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Y:\10. ปี 2565\1.รายงานแผนงาน-ผลงาน ปี 65\5. 3 R\"/>
    </mc:Choice>
  </mc:AlternateContent>
  <xr:revisionPtr revIDLastSave="0" documentId="13_ncr:1_{87EE938F-FF98-4757-BB34-EE2FFE7ABDD5}" xr6:coauthVersionLast="36" xr6:coauthVersionMax="47" xr10:uidLastSave="{00000000-0000-0000-0000-000000000000}"/>
  <bookViews>
    <workbookView xWindow="0" yWindow="0" windowWidth="24000" windowHeight="9525" tabRatio="926" firstSheet="5" activeTab="17" xr2:uid="{00000000-000D-0000-FFFF-FFFF00000000}"/>
  </bookViews>
  <sheets>
    <sheet name="แปลงใหญ่" sheetId="1" r:id="rId1"/>
    <sheet name="แปรรูปสมุนไพร" sheetId="2" r:id="rId2"/>
    <sheet name="GAP" sheetId="3" r:id="rId3"/>
    <sheet name="พระราชดำริ" sheetId="4" r:id="rId4"/>
    <sheet name="ศิลปหัตถกรรม" sheetId="5" r:id="rId5"/>
    <sheet name="กษ.รุ่นใหม่+SF" sheetId="6" r:id="rId6"/>
    <sheet name="ยกระดับรายได้+แปลงรวม" sheetId="7" r:id="rId7"/>
    <sheet name="จัดที่ดิน" sheetId="8" r:id="rId8"/>
    <sheet name="เกษตรอินทรีย์" sheetId="19" r:id="rId9"/>
    <sheet name="วนเกษตร" sheetId="10" r:id="rId10"/>
    <sheet name="ทฤษฎีใหม่" sheetId="20" r:id="rId11"/>
    <sheet name="ธุรกิจชุมชน" sheetId="12" r:id="rId12"/>
    <sheet name="ตรวจสอบที่ดิน" sheetId="13" r:id="rId13"/>
    <sheet name="พัฒนาผู้แทนฯ" sheetId="15" r:id="rId14"/>
    <sheet name="RTK" sheetId="16" r:id="rId15"/>
    <sheet name="ศูนย์บริการ ปชช." sheetId="14" r:id="rId16"/>
    <sheet name="ที่ดินชุมชน" sheetId="17" r:id="rId17"/>
    <sheet name="ที่ดินเอกชน" sheetId="18" r:id="rId18"/>
  </sheets>
  <definedNames>
    <definedName name="_DAT1" localSheetId="2">#REF!</definedName>
    <definedName name="_DAT1" localSheetId="14">#REF!</definedName>
    <definedName name="_DAT1" localSheetId="5">#REF!</definedName>
    <definedName name="_DAT1" localSheetId="8">#REF!</definedName>
    <definedName name="_DAT1" localSheetId="7">#REF!</definedName>
    <definedName name="_DAT1" localSheetId="12">#REF!</definedName>
    <definedName name="_DAT1" localSheetId="17">#REF!</definedName>
    <definedName name="_DAT1" localSheetId="1">#REF!</definedName>
    <definedName name="_DAT1" localSheetId="0">#REF!</definedName>
    <definedName name="_DAT1" localSheetId="3">#REF!</definedName>
    <definedName name="_DAT1" localSheetId="13">#REF!</definedName>
    <definedName name="_DAT1" localSheetId="6">#REF!</definedName>
    <definedName name="_DAT1" localSheetId="9">#REF!</definedName>
    <definedName name="_DAT1" localSheetId="4">#REF!</definedName>
    <definedName name="_DAT1">#REF!</definedName>
    <definedName name="_DAT10" localSheetId="2">#REF!</definedName>
    <definedName name="_DAT10" localSheetId="14">#REF!</definedName>
    <definedName name="_DAT10" localSheetId="5">#REF!</definedName>
    <definedName name="_DAT10" localSheetId="8">#REF!</definedName>
    <definedName name="_DAT10" localSheetId="7">#REF!</definedName>
    <definedName name="_DAT10" localSheetId="12">#REF!</definedName>
    <definedName name="_DAT10" localSheetId="17">#REF!</definedName>
    <definedName name="_DAT10" localSheetId="1">#REF!</definedName>
    <definedName name="_DAT10" localSheetId="0">#REF!</definedName>
    <definedName name="_DAT10" localSheetId="3">#REF!</definedName>
    <definedName name="_DAT10" localSheetId="13">#REF!</definedName>
    <definedName name="_DAT10" localSheetId="6">#REF!</definedName>
    <definedName name="_DAT10" localSheetId="9">#REF!</definedName>
    <definedName name="_DAT10" localSheetId="4">#REF!</definedName>
    <definedName name="_DAT10">#REF!</definedName>
    <definedName name="_DAT11" localSheetId="2">#REF!</definedName>
    <definedName name="_DAT11" localSheetId="14">#REF!</definedName>
    <definedName name="_DAT11" localSheetId="5">#REF!</definedName>
    <definedName name="_DAT11" localSheetId="8">#REF!</definedName>
    <definedName name="_DAT11" localSheetId="7">#REF!</definedName>
    <definedName name="_DAT11" localSheetId="12">#REF!</definedName>
    <definedName name="_DAT11" localSheetId="17">#REF!</definedName>
    <definedName name="_DAT11" localSheetId="1">#REF!</definedName>
    <definedName name="_DAT11" localSheetId="0">#REF!</definedName>
    <definedName name="_DAT11" localSheetId="3">#REF!</definedName>
    <definedName name="_DAT11" localSheetId="13">#REF!</definedName>
    <definedName name="_DAT11" localSheetId="6">#REF!</definedName>
    <definedName name="_DAT11" localSheetId="9">#REF!</definedName>
    <definedName name="_DAT11" localSheetId="4">#REF!</definedName>
    <definedName name="_DAT11">#REF!</definedName>
    <definedName name="_DAT12" localSheetId="2">#REF!</definedName>
    <definedName name="_DAT12" localSheetId="14">#REF!</definedName>
    <definedName name="_DAT12" localSheetId="5">#REF!</definedName>
    <definedName name="_DAT12" localSheetId="8">#REF!</definedName>
    <definedName name="_DAT12" localSheetId="7">#REF!</definedName>
    <definedName name="_DAT12" localSheetId="12">#REF!</definedName>
    <definedName name="_DAT12" localSheetId="17">#REF!</definedName>
    <definedName name="_DAT12" localSheetId="1">#REF!</definedName>
    <definedName name="_DAT12" localSheetId="0">#REF!</definedName>
    <definedName name="_DAT12" localSheetId="3">#REF!</definedName>
    <definedName name="_DAT12" localSheetId="13">#REF!</definedName>
    <definedName name="_DAT12" localSheetId="6">#REF!</definedName>
    <definedName name="_DAT12" localSheetId="9">#REF!</definedName>
    <definedName name="_DAT12" localSheetId="4">#REF!</definedName>
    <definedName name="_DAT12">#REF!</definedName>
    <definedName name="_DAT13" localSheetId="2">#REF!</definedName>
    <definedName name="_DAT13" localSheetId="14">#REF!</definedName>
    <definedName name="_DAT13" localSheetId="5">#REF!</definedName>
    <definedName name="_DAT13" localSheetId="8">#REF!</definedName>
    <definedName name="_DAT13" localSheetId="7">#REF!</definedName>
    <definedName name="_DAT13" localSheetId="12">#REF!</definedName>
    <definedName name="_DAT13" localSheetId="17">#REF!</definedName>
    <definedName name="_DAT13" localSheetId="1">#REF!</definedName>
    <definedName name="_DAT13" localSheetId="0">#REF!</definedName>
    <definedName name="_DAT13" localSheetId="3">#REF!</definedName>
    <definedName name="_DAT13" localSheetId="13">#REF!</definedName>
    <definedName name="_DAT13" localSheetId="6">#REF!</definedName>
    <definedName name="_DAT13" localSheetId="9">#REF!</definedName>
    <definedName name="_DAT13" localSheetId="4">#REF!</definedName>
    <definedName name="_DAT13">#REF!</definedName>
    <definedName name="_DAT2" localSheetId="2">#REF!</definedName>
    <definedName name="_DAT2" localSheetId="14">#REF!</definedName>
    <definedName name="_DAT2" localSheetId="5">#REF!</definedName>
    <definedName name="_DAT2" localSheetId="8">#REF!</definedName>
    <definedName name="_DAT2" localSheetId="7">#REF!</definedName>
    <definedName name="_DAT2" localSheetId="12">#REF!</definedName>
    <definedName name="_DAT2" localSheetId="17">#REF!</definedName>
    <definedName name="_DAT2" localSheetId="1">#REF!</definedName>
    <definedName name="_DAT2" localSheetId="0">#REF!</definedName>
    <definedName name="_DAT2" localSheetId="3">#REF!</definedName>
    <definedName name="_DAT2" localSheetId="13">#REF!</definedName>
    <definedName name="_DAT2" localSheetId="6">#REF!</definedName>
    <definedName name="_DAT2" localSheetId="9">#REF!</definedName>
    <definedName name="_DAT2" localSheetId="4">#REF!</definedName>
    <definedName name="_DAT2">#REF!</definedName>
    <definedName name="_DAT3" localSheetId="2">#REF!</definedName>
    <definedName name="_DAT3" localSheetId="14">#REF!</definedName>
    <definedName name="_DAT3" localSheetId="5">#REF!</definedName>
    <definedName name="_DAT3" localSheetId="8">#REF!</definedName>
    <definedName name="_DAT3" localSheetId="7">#REF!</definedName>
    <definedName name="_DAT3" localSheetId="12">#REF!</definedName>
    <definedName name="_DAT3" localSheetId="17">#REF!</definedName>
    <definedName name="_DAT3" localSheetId="1">#REF!</definedName>
    <definedName name="_DAT3" localSheetId="0">#REF!</definedName>
    <definedName name="_DAT3" localSheetId="3">#REF!</definedName>
    <definedName name="_DAT3" localSheetId="13">#REF!</definedName>
    <definedName name="_DAT3" localSheetId="6">#REF!</definedName>
    <definedName name="_DAT3" localSheetId="9">#REF!</definedName>
    <definedName name="_DAT3" localSheetId="4">#REF!</definedName>
    <definedName name="_DAT3">#REF!</definedName>
    <definedName name="_DAT4" localSheetId="2">#REF!</definedName>
    <definedName name="_DAT4" localSheetId="14">#REF!</definedName>
    <definedName name="_DAT4" localSheetId="5">#REF!</definedName>
    <definedName name="_DAT4" localSheetId="8">#REF!</definedName>
    <definedName name="_DAT4" localSheetId="7">#REF!</definedName>
    <definedName name="_DAT4" localSheetId="12">#REF!</definedName>
    <definedName name="_DAT4" localSheetId="17">#REF!</definedName>
    <definedName name="_DAT4" localSheetId="1">#REF!</definedName>
    <definedName name="_DAT4" localSheetId="0">#REF!</definedName>
    <definedName name="_DAT4" localSheetId="3">#REF!</definedName>
    <definedName name="_DAT4" localSheetId="13">#REF!</definedName>
    <definedName name="_DAT4" localSheetId="6">#REF!</definedName>
    <definedName name="_DAT4" localSheetId="9">#REF!</definedName>
    <definedName name="_DAT4" localSheetId="4">#REF!</definedName>
    <definedName name="_DAT4">#REF!</definedName>
    <definedName name="_DAT5" localSheetId="2">#REF!</definedName>
    <definedName name="_DAT5" localSheetId="14">#REF!</definedName>
    <definedName name="_DAT5" localSheetId="5">#REF!</definedName>
    <definedName name="_DAT5" localSheetId="8">#REF!</definedName>
    <definedName name="_DAT5" localSheetId="7">#REF!</definedName>
    <definedName name="_DAT5" localSheetId="12">#REF!</definedName>
    <definedName name="_DAT5" localSheetId="17">#REF!</definedName>
    <definedName name="_DAT5" localSheetId="1">#REF!</definedName>
    <definedName name="_DAT5" localSheetId="0">#REF!</definedName>
    <definedName name="_DAT5" localSheetId="3">#REF!</definedName>
    <definedName name="_DAT5" localSheetId="13">#REF!</definedName>
    <definedName name="_DAT5" localSheetId="6">#REF!</definedName>
    <definedName name="_DAT5" localSheetId="9">#REF!</definedName>
    <definedName name="_DAT5" localSheetId="4">#REF!</definedName>
    <definedName name="_DAT5">#REF!</definedName>
    <definedName name="_DAT6" localSheetId="2">#REF!</definedName>
    <definedName name="_DAT6" localSheetId="14">#REF!</definedName>
    <definedName name="_DAT6" localSheetId="5">#REF!</definedName>
    <definedName name="_DAT6" localSheetId="8">#REF!</definedName>
    <definedName name="_DAT6" localSheetId="7">#REF!</definedName>
    <definedName name="_DAT6" localSheetId="12">#REF!</definedName>
    <definedName name="_DAT6" localSheetId="17">#REF!</definedName>
    <definedName name="_DAT6" localSheetId="1">#REF!</definedName>
    <definedName name="_DAT6" localSheetId="0">#REF!</definedName>
    <definedName name="_DAT6" localSheetId="3">#REF!</definedName>
    <definedName name="_DAT6" localSheetId="13">#REF!</definedName>
    <definedName name="_DAT6" localSheetId="6">#REF!</definedName>
    <definedName name="_DAT6" localSheetId="9">#REF!</definedName>
    <definedName name="_DAT6" localSheetId="4">#REF!</definedName>
    <definedName name="_DAT6">#REF!</definedName>
    <definedName name="_DAT7" localSheetId="2">#REF!</definedName>
    <definedName name="_DAT7" localSheetId="14">#REF!</definedName>
    <definedName name="_DAT7" localSheetId="5">#REF!</definedName>
    <definedName name="_DAT7" localSheetId="8">#REF!</definedName>
    <definedName name="_DAT7" localSheetId="7">#REF!</definedName>
    <definedName name="_DAT7" localSheetId="12">#REF!</definedName>
    <definedName name="_DAT7" localSheetId="17">#REF!</definedName>
    <definedName name="_DAT7" localSheetId="1">#REF!</definedName>
    <definedName name="_DAT7" localSheetId="0">#REF!</definedName>
    <definedName name="_DAT7" localSheetId="3">#REF!</definedName>
    <definedName name="_DAT7" localSheetId="13">#REF!</definedName>
    <definedName name="_DAT7" localSheetId="6">#REF!</definedName>
    <definedName name="_DAT7" localSheetId="9">#REF!</definedName>
    <definedName name="_DAT7" localSheetId="4">#REF!</definedName>
    <definedName name="_DAT7">#REF!</definedName>
    <definedName name="_DAT8" localSheetId="2">#REF!</definedName>
    <definedName name="_DAT8" localSheetId="14">#REF!</definedName>
    <definedName name="_DAT8" localSheetId="5">#REF!</definedName>
    <definedName name="_DAT8" localSheetId="8">#REF!</definedName>
    <definedName name="_DAT8" localSheetId="7">#REF!</definedName>
    <definedName name="_DAT8" localSheetId="12">#REF!</definedName>
    <definedName name="_DAT8" localSheetId="17">#REF!</definedName>
    <definedName name="_DAT8" localSheetId="1">#REF!</definedName>
    <definedName name="_DAT8" localSheetId="0">#REF!</definedName>
    <definedName name="_DAT8" localSheetId="3">#REF!</definedName>
    <definedName name="_DAT8" localSheetId="13">#REF!</definedName>
    <definedName name="_DAT8" localSheetId="6">#REF!</definedName>
    <definedName name="_DAT8" localSheetId="9">#REF!</definedName>
    <definedName name="_DAT8" localSheetId="4">#REF!</definedName>
    <definedName name="_DAT8">#REF!</definedName>
    <definedName name="_DAT9" localSheetId="2">#REF!</definedName>
    <definedName name="_DAT9" localSheetId="14">#REF!</definedName>
    <definedName name="_DAT9" localSheetId="5">#REF!</definedName>
    <definedName name="_DAT9" localSheetId="8">#REF!</definedName>
    <definedName name="_DAT9" localSheetId="7">#REF!</definedName>
    <definedName name="_DAT9" localSheetId="12">#REF!</definedName>
    <definedName name="_DAT9" localSheetId="17">#REF!</definedName>
    <definedName name="_DAT9" localSheetId="1">#REF!</definedName>
    <definedName name="_DAT9" localSheetId="0">#REF!</definedName>
    <definedName name="_DAT9" localSheetId="3">#REF!</definedName>
    <definedName name="_DAT9" localSheetId="13">#REF!</definedName>
    <definedName name="_DAT9" localSheetId="6">#REF!</definedName>
    <definedName name="_DAT9" localSheetId="9">#REF!</definedName>
    <definedName name="_DAT9" localSheetId="4">#REF!</definedName>
    <definedName name="_DAT9">#REF!</definedName>
    <definedName name="dfdfd" localSheetId="2">#REF!</definedName>
    <definedName name="dfdfd" localSheetId="14">#REF!</definedName>
    <definedName name="dfdfd" localSheetId="5">#REF!</definedName>
    <definedName name="dfdfd" localSheetId="8">#REF!</definedName>
    <definedName name="dfdfd" localSheetId="7">#REF!</definedName>
    <definedName name="dfdfd" localSheetId="12">#REF!</definedName>
    <definedName name="dfdfd" localSheetId="17">#REF!</definedName>
    <definedName name="dfdfd" localSheetId="1">#REF!</definedName>
    <definedName name="dfdfd" localSheetId="0">#REF!</definedName>
    <definedName name="dfdfd" localSheetId="3">#REF!</definedName>
    <definedName name="dfdfd" localSheetId="13">#REF!</definedName>
    <definedName name="dfdfd" localSheetId="6">#REF!</definedName>
    <definedName name="dfdfd" localSheetId="9">#REF!</definedName>
    <definedName name="dfdfd" localSheetId="4">#REF!</definedName>
    <definedName name="dfdfd">#REF!</definedName>
    <definedName name="New" localSheetId="2">#REF!</definedName>
    <definedName name="New" localSheetId="14">#REF!</definedName>
    <definedName name="New" localSheetId="5">#REF!</definedName>
    <definedName name="New" localSheetId="8">#REF!</definedName>
    <definedName name="New" localSheetId="7">#REF!</definedName>
    <definedName name="New" localSheetId="12">#REF!</definedName>
    <definedName name="New" localSheetId="17">#REF!</definedName>
    <definedName name="New" localSheetId="1">#REF!</definedName>
    <definedName name="New" localSheetId="0">#REF!</definedName>
    <definedName name="New" localSheetId="3">#REF!</definedName>
    <definedName name="New" localSheetId="13">#REF!</definedName>
    <definedName name="New" localSheetId="6">#REF!</definedName>
    <definedName name="New" localSheetId="9">#REF!</definedName>
    <definedName name="New" localSheetId="4">#REF!</definedName>
    <definedName name="New">#REF!</definedName>
    <definedName name="_xlnm.Print_Area" localSheetId="14">RTK!$A$1:$S$115</definedName>
    <definedName name="_xlnm.Print_Area" localSheetId="8">เกษตรอินทรีย์!$A$1:$AA$115</definedName>
    <definedName name="_xlnm.Print_Area" localSheetId="10">ทฤษฎีใหม่!$A$1:$AS$115</definedName>
    <definedName name="_xlnm.Print_Area" localSheetId="16">ที่ดินชุมชน!$A$1:$U$115</definedName>
    <definedName name="_xlnm.Print_Area" localSheetId="17">ที่ดินเอกชน!$A$1:$AD$115</definedName>
    <definedName name="_xlnm.Print_Area" localSheetId="11">ธุรกิจชุมชน!$A$1:$T$115</definedName>
    <definedName name="_xlnm.Print_Area" localSheetId="13">พัฒนาผู้แทนฯ!$A$1:$K$115</definedName>
    <definedName name="_xlnm.Print_Area" localSheetId="9">วนเกษตร!$A$1:$P$115</definedName>
    <definedName name="_xlnm.Print_Area" localSheetId="15">'ศูนย์บริการ ปชช.'!$A$1:$O$115</definedName>
    <definedName name="_xlnm.Print_Titles" localSheetId="2">GAP!$1:$8</definedName>
    <definedName name="_xlnm.Print_Titles" localSheetId="14">RTK!$1:$8</definedName>
    <definedName name="_xlnm.Print_Titles" localSheetId="5">'กษ.รุ่นใหม่+SF'!$A:$B,'กษ.รุ่นใหม่+SF'!$2:$8</definedName>
    <definedName name="_xlnm.Print_Titles" localSheetId="8">เกษตรอินทรีย์!$1:$8</definedName>
    <definedName name="_xlnm.Print_Titles" localSheetId="7">จัดที่ดิน!$1:$8</definedName>
    <definedName name="_xlnm.Print_Titles" localSheetId="12">ตรวจสอบที่ดิน!$A:$B,ตรวจสอบที่ดิน!$1:$8</definedName>
    <definedName name="_xlnm.Print_Titles" localSheetId="10">ทฤษฎีใหม่!$A:$B,ทฤษฎีใหม่!$1:$8</definedName>
    <definedName name="_xlnm.Print_Titles" localSheetId="16">ที่ดินชุมชน!$1:$8</definedName>
    <definedName name="_xlnm.Print_Titles" localSheetId="17">ที่ดินเอกชน!$1:$8</definedName>
    <definedName name="_xlnm.Print_Titles" localSheetId="11">ธุรกิจชุมชน!$1:$8</definedName>
    <definedName name="_xlnm.Print_Titles" localSheetId="1">แปรรูปสมุนไพร!$1:$8</definedName>
    <definedName name="_xlnm.Print_Titles" localSheetId="0">แปลงใหญ่!$1:$8</definedName>
    <definedName name="_xlnm.Print_Titles" localSheetId="3">พระราชดำริ!$A:$B,พระราชดำริ!$1:$8</definedName>
    <definedName name="_xlnm.Print_Titles" localSheetId="13">พัฒนาผู้แทนฯ!$1:$8</definedName>
    <definedName name="_xlnm.Print_Titles" localSheetId="6">'ยกระดับรายได้+แปลงรวม'!$A:$B,'ยกระดับรายได้+แปลงรวม'!$1:$8</definedName>
    <definedName name="_xlnm.Print_Titles" localSheetId="9">วนเกษตร!$1:$8</definedName>
    <definedName name="_xlnm.Print_Titles" localSheetId="4">ศิลปหัตถกรรม!$1:$8</definedName>
    <definedName name="_xlnm.Print_Titles" localSheetId="15">'ศูนย์บริการ ปชช.'!$1:$8</definedName>
    <definedName name="TEST1" localSheetId="2">#REF!</definedName>
    <definedName name="TEST1" localSheetId="14">#REF!</definedName>
    <definedName name="TEST1" localSheetId="5">#REF!</definedName>
    <definedName name="TEST1" localSheetId="8">#REF!</definedName>
    <definedName name="TEST1" localSheetId="7">#REF!</definedName>
    <definedName name="TEST1" localSheetId="12">#REF!</definedName>
    <definedName name="TEST1" localSheetId="17">#REF!</definedName>
    <definedName name="TEST1" localSheetId="1">#REF!</definedName>
    <definedName name="TEST1" localSheetId="0">#REF!</definedName>
    <definedName name="TEST1" localSheetId="3">#REF!</definedName>
    <definedName name="TEST1" localSheetId="13">#REF!</definedName>
    <definedName name="TEST1" localSheetId="6">#REF!</definedName>
    <definedName name="TEST1" localSheetId="9">#REF!</definedName>
    <definedName name="TEST1" localSheetId="4">#REF!</definedName>
    <definedName name="TEST1">#REF!</definedName>
    <definedName name="TEST2" localSheetId="2">#REF!</definedName>
    <definedName name="TEST2" localSheetId="14">#REF!</definedName>
    <definedName name="TEST2" localSheetId="5">#REF!</definedName>
    <definedName name="TEST2" localSheetId="8">#REF!</definedName>
    <definedName name="TEST2" localSheetId="7">#REF!</definedName>
    <definedName name="TEST2" localSheetId="12">#REF!</definedName>
    <definedName name="TEST2" localSheetId="17">#REF!</definedName>
    <definedName name="TEST2" localSheetId="1">#REF!</definedName>
    <definedName name="TEST2" localSheetId="0">#REF!</definedName>
    <definedName name="TEST2" localSheetId="3">#REF!</definedName>
    <definedName name="TEST2" localSheetId="13">#REF!</definedName>
    <definedName name="TEST2" localSheetId="6">#REF!</definedName>
    <definedName name="TEST2" localSheetId="9">#REF!</definedName>
    <definedName name="TEST2" localSheetId="4">#REF!</definedName>
    <definedName name="TEST2">#REF!</definedName>
    <definedName name="TESTHKEY" localSheetId="2">#REF!</definedName>
    <definedName name="TESTHKEY" localSheetId="14">#REF!</definedName>
    <definedName name="TESTHKEY" localSheetId="5">#REF!</definedName>
    <definedName name="TESTHKEY" localSheetId="8">#REF!</definedName>
    <definedName name="TESTHKEY" localSheetId="7">#REF!</definedName>
    <definedName name="TESTHKEY" localSheetId="12">#REF!</definedName>
    <definedName name="TESTHKEY" localSheetId="17">#REF!</definedName>
    <definedName name="TESTHKEY" localSheetId="1">#REF!</definedName>
    <definedName name="TESTHKEY" localSheetId="0">#REF!</definedName>
    <definedName name="TESTHKEY" localSheetId="3">#REF!</definedName>
    <definedName name="TESTHKEY" localSheetId="13">#REF!</definedName>
    <definedName name="TESTHKEY" localSheetId="6">#REF!</definedName>
    <definedName name="TESTHKEY" localSheetId="9">#REF!</definedName>
    <definedName name="TESTHKEY" localSheetId="4">#REF!</definedName>
    <definedName name="TESTHKEY">#REF!</definedName>
    <definedName name="TESTKEYS" localSheetId="2">#REF!</definedName>
    <definedName name="TESTKEYS" localSheetId="14">#REF!</definedName>
    <definedName name="TESTKEYS" localSheetId="5">#REF!</definedName>
    <definedName name="TESTKEYS" localSheetId="8">#REF!</definedName>
    <definedName name="TESTKEYS" localSheetId="7">#REF!</definedName>
    <definedName name="TESTKEYS" localSheetId="12">#REF!</definedName>
    <definedName name="TESTKEYS" localSheetId="17">#REF!</definedName>
    <definedName name="TESTKEYS" localSheetId="1">#REF!</definedName>
    <definedName name="TESTKEYS" localSheetId="0">#REF!</definedName>
    <definedName name="TESTKEYS" localSheetId="3">#REF!</definedName>
    <definedName name="TESTKEYS" localSheetId="13">#REF!</definedName>
    <definedName name="TESTKEYS" localSheetId="6">#REF!</definedName>
    <definedName name="TESTKEYS" localSheetId="9">#REF!</definedName>
    <definedName name="TESTKEYS" localSheetId="4">#REF!</definedName>
    <definedName name="TESTKEYS">#REF!</definedName>
    <definedName name="TESTVKEY" localSheetId="2">#REF!</definedName>
    <definedName name="TESTVKEY" localSheetId="14">#REF!</definedName>
    <definedName name="TESTVKEY" localSheetId="5">#REF!</definedName>
    <definedName name="TESTVKEY" localSheetId="8">#REF!</definedName>
    <definedName name="TESTVKEY" localSheetId="7">#REF!</definedName>
    <definedName name="TESTVKEY" localSheetId="12">#REF!</definedName>
    <definedName name="TESTVKEY" localSheetId="17">#REF!</definedName>
    <definedName name="TESTVKEY" localSheetId="1">#REF!</definedName>
    <definedName name="TESTVKEY" localSheetId="0">#REF!</definedName>
    <definedName name="TESTVKEY" localSheetId="3">#REF!</definedName>
    <definedName name="TESTVKEY" localSheetId="13">#REF!</definedName>
    <definedName name="TESTVKEY" localSheetId="6">#REF!</definedName>
    <definedName name="TESTVKEY" localSheetId="9">#REF!</definedName>
    <definedName name="TESTVKEY" localSheetId="4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4" i="20" l="1"/>
  <c r="K14" i="20"/>
  <c r="M14" i="20"/>
  <c r="Q14" i="20"/>
  <c r="S14" i="20"/>
  <c r="Y14" i="20"/>
  <c r="AA14" i="20"/>
  <c r="AH14" i="20"/>
  <c r="AJ14" i="20"/>
  <c r="AO14" i="20"/>
  <c r="D15" i="20"/>
  <c r="E15" i="20"/>
  <c r="N15" i="20"/>
  <c r="O15" i="20"/>
  <c r="V15" i="20"/>
  <c r="W15" i="20"/>
  <c r="AE15" i="20"/>
  <c r="AF15" i="20"/>
  <c r="AP15" i="20"/>
  <c r="AR15" i="20"/>
  <c r="C16" i="20"/>
  <c r="F16" i="20"/>
  <c r="H16" i="20"/>
  <c r="I16" i="20"/>
  <c r="P16" i="20"/>
  <c r="R16" i="20"/>
  <c r="T16" i="20"/>
  <c r="U16" i="20"/>
  <c r="X16" i="20"/>
  <c r="Z16" i="20"/>
  <c r="AA16" i="20" s="1"/>
  <c r="AB16" i="20"/>
  <c r="AC16" i="20"/>
  <c r="AD16" i="20"/>
  <c r="AG16" i="20"/>
  <c r="AH16" i="20" s="1"/>
  <c r="AI16" i="20"/>
  <c r="AJ16" i="20" s="1"/>
  <c r="AK16" i="20"/>
  <c r="AL16" i="20"/>
  <c r="AM16" i="20"/>
  <c r="AQ16" i="20"/>
  <c r="AS16" i="20"/>
  <c r="C17" i="20"/>
  <c r="F17" i="20"/>
  <c r="H17" i="20"/>
  <c r="I17" i="20"/>
  <c r="P17" i="20"/>
  <c r="R17" i="20"/>
  <c r="S17" i="20" s="1"/>
  <c r="T17" i="20"/>
  <c r="U17" i="20"/>
  <c r="X17" i="20"/>
  <c r="Y17" i="20" s="1"/>
  <c r="Z17" i="20"/>
  <c r="AA17" i="20" s="1"/>
  <c r="AB17" i="20"/>
  <c r="AC17" i="20"/>
  <c r="AD17" i="20"/>
  <c r="AG17" i="20"/>
  <c r="AH17" i="20" s="1"/>
  <c r="AI17" i="20"/>
  <c r="AJ17" i="20" s="1"/>
  <c r="AK17" i="20"/>
  <c r="AL17" i="20"/>
  <c r="AM17" i="20"/>
  <c r="AQ17" i="20"/>
  <c r="AS17" i="20"/>
  <c r="C18" i="20"/>
  <c r="F18" i="20"/>
  <c r="H18" i="20"/>
  <c r="I18" i="20"/>
  <c r="P18" i="20"/>
  <c r="R18" i="20"/>
  <c r="T18" i="20"/>
  <c r="U18" i="20"/>
  <c r="X18" i="20"/>
  <c r="Y18" i="20" s="1"/>
  <c r="Z18" i="20"/>
  <c r="AA18" i="20" s="1"/>
  <c r="AB18" i="20"/>
  <c r="AC18" i="20"/>
  <c r="AD18" i="20"/>
  <c r="AG18" i="20"/>
  <c r="AH18" i="20" s="1"/>
  <c r="AI18" i="20"/>
  <c r="AJ18" i="20" s="1"/>
  <c r="AK18" i="20"/>
  <c r="AL18" i="20"/>
  <c r="AM18" i="20"/>
  <c r="AQ18" i="20"/>
  <c r="AS18" i="20"/>
  <c r="C19" i="20"/>
  <c r="F19" i="20"/>
  <c r="G19" i="20" s="1"/>
  <c r="H19" i="20"/>
  <c r="I19" i="20"/>
  <c r="P19" i="20"/>
  <c r="Q19" i="20"/>
  <c r="R19" i="20"/>
  <c r="S19" i="20"/>
  <c r="T19" i="20"/>
  <c r="U19" i="20"/>
  <c r="X19" i="20"/>
  <c r="Y19" i="20" s="1"/>
  <c r="Z19" i="20"/>
  <c r="AA19" i="20" s="1"/>
  <c r="AB19" i="20"/>
  <c r="AC19" i="20"/>
  <c r="AD19" i="20"/>
  <c r="AG19" i="20"/>
  <c r="AH19" i="20" s="1"/>
  <c r="AI19" i="20"/>
  <c r="AJ19" i="20" s="1"/>
  <c r="AK19" i="20"/>
  <c r="AL19" i="20"/>
  <c r="AM19" i="20"/>
  <c r="AQ19" i="20"/>
  <c r="AS19" i="20"/>
  <c r="C20" i="20"/>
  <c r="F20" i="20"/>
  <c r="H20" i="20"/>
  <c r="I20" i="20"/>
  <c r="P20" i="20"/>
  <c r="R20" i="20"/>
  <c r="T20" i="20"/>
  <c r="U20" i="20"/>
  <c r="X20" i="20"/>
  <c r="Y20" i="20" s="1"/>
  <c r="Z20" i="20"/>
  <c r="AA20" i="20" s="1"/>
  <c r="AB20" i="20"/>
  <c r="AC20" i="20"/>
  <c r="AD20" i="20"/>
  <c r="AG20" i="20"/>
  <c r="AH20" i="20" s="1"/>
  <c r="AI20" i="20"/>
  <c r="AJ20" i="20" s="1"/>
  <c r="AK20" i="20"/>
  <c r="AL20" i="20"/>
  <c r="AM20" i="20"/>
  <c r="AQ20" i="20"/>
  <c r="AS20" i="20"/>
  <c r="C21" i="20"/>
  <c r="F21" i="20"/>
  <c r="H21" i="20"/>
  <c r="I21" i="20"/>
  <c r="P21" i="20"/>
  <c r="Q21" i="20" s="1"/>
  <c r="R21" i="20"/>
  <c r="S21" i="20" s="1"/>
  <c r="T21" i="20"/>
  <c r="U21" i="20"/>
  <c r="X21" i="20"/>
  <c r="Y21" i="20" s="1"/>
  <c r="Z21" i="20"/>
  <c r="AA21" i="20" s="1"/>
  <c r="AB21" i="20"/>
  <c r="AC21" i="20"/>
  <c r="AD21" i="20"/>
  <c r="AG21" i="20"/>
  <c r="AH21" i="20" s="1"/>
  <c r="AI21" i="20"/>
  <c r="AJ21" i="20" s="1"/>
  <c r="AK21" i="20"/>
  <c r="AL21" i="20"/>
  <c r="AM21" i="20"/>
  <c r="AQ21" i="20"/>
  <c r="AS21" i="20"/>
  <c r="C22" i="20"/>
  <c r="F22" i="20"/>
  <c r="H22" i="20"/>
  <c r="I22" i="20"/>
  <c r="P22" i="20"/>
  <c r="Q22" i="20" s="1"/>
  <c r="R22" i="20"/>
  <c r="S22" i="20" s="1"/>
  <c r="T22" i="20"/>
  <c r="U22" i="20"/>
  <c r="X22" i="20"/>
  <c r="Y22" i="20" s="1"/>
  <c r="Z22" i="20"/>
  <c r="AA22" i="20" s="1"/>
  <c r="AB22" i="20"/>
  <c r="AC22" i="20"/>
  <c r="AD22" i="20"/>
  <c r="AG22" i="20"/>
  <c r="AH22" i="20" s="1"/>
  <c r="AI22" i="20"/>
  <c r="AJ22" i="20" s="1"/>
  <c r="AK22" i="20"/>
  <c r="AL22" i="20"/>
  <c r="AM22" i="20"/>
  <c r="AQ22" i="20"/>
  <c r="AS22" i="20"/>
  <c r="C23" i="20"/>
  <c r="F23" i="20"/>
  <c r="H23" i="20"/>
  <c r="I23" i="20"/>
  <c r="P23" i="20"/>
  <c r="R23" i="20"/>
  <c r="S23" i="20" s="1"/>
  <c r="T23" i="20"/>
  <c r="U23" i="20"/>
  <c r="X23" i="20"/>
  <c r="Y23" i="20" s="1"/>
  <c r="Z23" i="20"/>
  <c r="AA23" i="20" s="1"/>
  <c r="AB23" i="20"/>
  <c r="AC23" i="20"/>
  <c r="AD23" i="20"/>
  <c r="AG23" i="20"/>
  <c r="AH23" i="20" s="1"/>
  <c r="AI23" i="20"/>
  <c r="AJ23" i="20" s="1"/>
  <c r="AK23" i="20"/>
  <c r="AL23" i="20"/>
  <c r="AM23" i="20"/>
  <c r="AQ23" i="20"/>
  <c r="AS23" i="20"/>
  <c r="C24" i="20"/>
  <c r="F24" i="20"/>
  <c r="G24" i="20" s="1"/>
  <c r="H24" i="20"/>
  <c r="I24" i="20"/>
  <c r="P24" i="20"/>
  <c r="R24" i="20"/>
  <c r="T24" i="20"/>
  <c r="U24" i="20"/>
  <c r="X24" i="20"/>
  <c r="Y24" i="20" s="1"/>
  <c r="Z24" i="20"/>
  <c r="AA24" i="20" s="1"/>
  <c r="AB24" i="20"/>
  <c r="AC24" i="20"/>
  <c r="AD24" i="20"/>
  <c r="AG24" i="20"/>
  <c r="AH24" i="20" s="1"/>
  <c r="AI24" i="20"/>
  <c r="AJ24" i="20" s="1"/>
  <c r="AK24" i="20"/>
  <c r="AL24" i="20"/>
  <c r="AM24" i="20"/>
  <c r="AQ24" i="20"/>
  <c r="AS24" i="20"/>
  <c r="C25" i="20"/>
  <c r="F25" i="20"/>
  <c r="H25" i="20"/>
  <c r="I25" i="20"/>
  <c r="P25" i="20"/>
  <c r="Q25" i="20" s="1"/>
  <c r="R25" i="20"/>
  <c r="T25" i="20"/>
  <c r="U25" i="20"/>
  <c r="X25" i="20"/>
  <c r="Y25" i="20" s="1"/>
  <c r="Z25" i="20"/>
  <c r="AA25" i="20" s="1"/>
  <c r="AB25" i="20"/>
  <c r="AC25" i="20"/>
  <c r="AD25" i="20"/>
  <c r="AG25" i="20"/>
  <c r="AH25" i="20" s="1"/>
  <c r="AI25" i="20"/>
  <c r="AJ25" i="20" s="1"/>
  <c r="AK25" i="20"/>
  <c r="AL25" i="20"/>
  <c r="AM25" i="20"/>
  <c r="AQ25" i="20"/>
  <c r="AS25" i="20"/>
  <c r="C26" i="20"/>
  <c r="F26" i="20"/>
  <c r="H26" i="20"/>
  <c r="I26" i="20"/>
  <c r="P26" i="20"/>
  <c r="R26" i="20"/>
  <c r="S26" i="20" s="1"/>
  <c r="T26" i="20"/>
  <c r="U26" i="20"/>
  <c r="X26" i="20"/>
  <c r="Y26" i="20" s="1"/>
  <c r="Z26" i="20"/>
  <c r="AA26" i="20" s="1"/>
  <c r="AB26" i="20"/>
  <c r="AC26" i="20"/>
  <c r="AD26" i="20"/>
  <c r="AG26" i="20"/>
  <c r="AH26" i="20" s="1"/>
  <c r="AI26" i="20"/>
  <c r="AJ26" i="20" s="1"/>
  <c r="AK26" i="20"/>
  <c r="AL26" i="20"/>
  <c r="AM26" i="20"/>
  <c r="AQ26" i="20"/>
  <c r="AS26" i="20"/>
  <c r="C27" i="20"/>
  <c r="F27" i="20"/>
  <c r="H27" i="20"/>
  <c r="I27" i="20"/>
  <c r="P27" i="20"/>
  <c r="Q27" i="20"/>
  <c r="R27" i="20"/>
  <c r="S27" i="20"/>
  <c r="T27" i="20"/>
  <c r="U27" i="20"/>
  <c r="X27" i="20"/>
  <c r="Y27" i="20" s="1"/>
  <c r="Z27" i="20"/>
  <c r="AA27" i="20" s="1"/>
  <c r="AB27" i="20"/>
  <c r="AC27" i="20"/>
  <c r="AD27" i="20"/>
  <c r="AG27" i="20"/>
  <c r="AH27" i="20" s="1"/>
  <c r="AI27" i="20"/>
  <c r="AJ27" i="20" s="1"/>
  <c r="AK27" i="20"/>
  <c r="AL27" i="20"/>
  <c r="AM27" i="20"/>
  <c r="AQ27" i="20"/>
  <c r="AS27" i="20"/>
  <c r="C28" i="20"/>
  <c r="F28" i="20"/>
  <c r="H28" i="20"/>
  <c r="I28" i="20"/>
  <c r="P28" i="20"/>
  <c r="Q28" i="20" s="1"/>
  <c r="R28" i="20"/>
  <c r="T28" i="20"/>
  <c r="U28" i="20"/>
  <c r="X28" i="20"/>
  <c r="Y28" i="20" s="1"/>
  <c r="Z28" i="20"/>
  <c r="AA28" i="20" s="1"/>
  <c r="AB28" i="20"/>
  <c r="AC28" i="20"/>
  <c r="AD28" i="20"/>
  <c r="AG28" i="20"/>
  <c r="AH28" i="20" s="1"/>
  <c r="AI28" i="20"/>
  <c r="AJ28" i="20" s="1"/>
  <c r="AK28" i="20"/>
  <c r="AL28" i="20"/>
  <c r="AM28" i="20"/>
  <c r="AQ28" i="20"/>
  <c r="AS28" i="20"/>
  <c r="C29" i="20"/>
  <c r="F29" i="20"/>
  <c r="H29" i="20"/>
  <c r="I29" i="20"/>
  <c r="P29" i="20"/>
  <c r="Q29" i="20" s="1"/>
  <c r="R29" i="20"/>
  <c r="S29" i="20" s="1"/>
  <c r="T29" i="20"/>
  <c r="U29" i="20"/>
  <c r="X29" i="20"/>
  <c r="Y29" i="20" s="1"/>
  <c r="Z29" i="20"/>
  <c r="AA29" i="20" s="1"/>
  <c r="AB29" i="20"/>
  <c r="AC29" i="20"/>
  <c r="AD29" i="20"/>
  <c r="AG29" i="20"/>
  <c r="AH29" i="20" s="1"/>
  <c r="AI29" i="20"/>
  <c r="AJ29" i="20" s="1"/>
  <c r="AK29" i="20"/>
  <c r="AL29" i="20"/>
  <c r="AM29" i="20"/>
  <c r="AQ29" i="20"/>
  <c r="AS29" i="20"/>
  <c r="C30" i="20"/>
  <c r="F30" i="20"/>
  <c r="H30" i="20"/>
  <c r="I30" i="20"/>
  <c r="P30" i="20"/>
  <c r="R30" i="20"/>
  <c r="S30" i="20" s="1"/>
  <c r="T30" i="20"/>
  <c r="U30" i="20"/>
  <c r="X30" i="20"/>
  <c r="Y30" i="20" s="1"/>
  <c r="Z30" i="20"/>
  <c r="AA30" i="20" s="1"/>
  <c r="AB30" i="20"/>
  <c r="AC30" i="20"/>
  <c r="AD30" i="20"/>
  <c r="AG30" i="20"/>
  <c r="AH30" i="20" s="1"/>
  <c r="AI30" i="20"/>
  <c r="AJ30" i="20" s="1"/>
  <c r="AK30" i="20"/>
  <c r="AL30" i="20"/>
  <c r="AM30" i="20"/>
  <c r="AQ30" i="20"/>
  <c r="AS30" i="20"/>
  <c r="C31" i="20"/>
  <c r="F31" i="20"/>
  <c r="H31" i="20"/>
  <c r="I31" i="20"/>
  <c r="P31" i="20"/>
  <c r="R31" i="20"/>
  <c r="S31" i="20" s="1"/>
  <c r="T31" i="20"/>
  <c r="U31" i="20"/>
  <c r="X31" i="20"/>
  <c r="Y31" i="20" s="1"/>
  <c r="Z31" i="20"/>
  <c r="AA31" i="20" s="1"/>
  <c r="AB31" i="20"/>
  <c r="AC31" i="20"/>
  <c r="AD31" i="20"/>
  <c r="AG31" i="20"/>
  <c r="AH31" i="20" s="1"/>
  <c r="AI31" i="20"/>
  <c r="AJ31" i="20" s="1"/>
  <c r="AK31" i="20"/>
  <c r="AL31" i="20"/>
  <c r="AM31" i="20"/>
  <c r="AQ31" i="20"/>
  <c r="AS31" i="20"/>
  <c r="C32" i="20"/>
  <c r="F32" i="20"/>
  <c r="H32" i="20"/>
  <c r="I32" i="20"/>
  <c r="P32" i="20"/>
  <c r="Q32" i="20" s="1"/>
  <c r="R32" i="20"/>
  <c r="T32" i="20"/>
  <c r="U32" i="20"/>
  <c r="X32" i="20"/>
  <c r="Y32" i="20" s="1"/>
  <c r="Z32" i="20"/>
  <c r="AA32" i="20" s="1"/>
  <c r="AB32" i="20"/>
  <c r="AC32" i="20"/>
  <c r="AD32" i="20"/>
  <c r="AG32" i="20"/>
  <c r="AH32" i="20" s="1"/>
  <c r="AI32" i="20"/>
  <c r="AJ32" i="20" s="1"/>
  <c r="AK32" i="20"/>
  <c r="AL32" i="20"/>
  <c r="AM32" i="20"/>
  <c r="AQ32" i="20"/>
  <c r="AS32" i="20"/>
  <c r="D33" i="20"/>
  <c r="E33" i="20"/>
  <c r="N33" i="20"/>
  <c r="O33" i="20"/>
  <c r="V33" i="20"/>
  <c r="W33" i="20"/>
  <c r="AE33" i="20"/>
  <c r="AF33" i="20"/>
  <c r="AP33" i="20"/>
  <c r="AR33" i="20"/>
  <c r="C34" i="20"/>
  <c r="F34" i="20"/>
  <c r="G34" i="20" s="1"/>
  <c r="H34" i="20"/>
  <c r="I34" i="20"/>
  <c r="P34" i="20"/>
  <c r="Q34" i="20" s="1"/>
  <c r="R34" i="20"/>
  <c r="T34" i="20"/>
  <c r="U34" i="20"/>
  <c r="X34" i="20"/>
  <c r="Y34" i="20" s="1"/>
  <c r="Z34" i="20"/>
  <c r="AA34" i="20" s="1"/>
  <c r="AB34" i="20"/>
  <c r="AC34" i="20"/>
  <c r="AD34" i="20"/>
  <c r="AG34" i="20"/>
  <c r="AI34" i="20"/>
  <c r="AJ34" i="20" s="1"/>
  <c r="AK34" i="20"/>
  <c r="AL34" i="20"/>
  <c r="AM34" i="20"/>
  <c r="AQ34" i="20"/>
  <c r="AS34" i="20"/>
  <c r="C35" i="20"/>
  <c r="F35" i="20"/>
  <c r="G35" i="20" s="1"/>
  <c r="H35" i="20"/>
  <c r="I35" i="20"/>
  <c r="P35" i="20"/>
  <c r="Q35" i="20" s="1"/>
  <c r="R35" i="20"/>
  <c r="S35" i="20" s="1"/>
  <c r="T35" i="20"/>
  <c r="U35" i="20"/>
  <c r="X35" i="20"/>
  <c r="Y35" i="20" s="1"/>
  <c r="Z35" i="20"/>
  <c r="AA35" i="20" s="1"/>
  <c r="AB35" i="20"/>
  <c r="AC35" i="20"/>
  <c r="AD35" i="20"/>
  <c r="AG35" i="20"/>
  <c r="AH35" i="20" s="1"/>
  <c r="AI35" i="20"/>
  <c r="AJ35" i="20" s="1"/>
  <c r="AK35" i="20"/>
  <c r="AL35" i="20"/>
  <c r="AM35" i="20"/>
  <c r="AQ35" i="20"/>
  <c r="AS35" i="20"/>
  <c r="C36" i="20"/>
  <c r="F36" i="20"/>
  <c r="H36" i="20"/>
  <c r="I36" i="20"/>
  <c r="P36" i="20"/>
  <c r="Q36" i="20"/>
  <c r="R36" i="20"/>
  <c r="S36" i="20"/>
  <c r="T36" i="20"/>
  <c r="U36" i="20"/>
  <c r="X36" i="20"/>
  <c r="Y36" i="20" s="1"/>
  <c r="Z36" i="20"/>
  <c r="AA36" i="20" s="1"/>
  <c r="AB36" i="20"/>
  <c r="AC36" i="20"/>
  <c r="AD36" i="20"/>
  <c r="AG36" i="20"/>
  <c r="AH36" i="20" s="1"/>
  <c r="AI36" i="20"/>
  <c r="AJ36" i="20" s="1"/>
  <c r="AK36" i="20"/>
  <c r="AL36" i="20"/>
  <c r="AM36" i="20"/>
  <c r="AQ36" i="20"/>
  <c r="AS36" i="20"/>
  <c r="C37" i="20"/>
  <c r="F37" i="20"/>
  <c r="H37" i="20"/>
  <c r="I37" i="20"/>
  <c r="P37" i="20"/>
  <c r="R37" i="20"/>
  <c r="S37" i="20" s="1"/>
  <c r="T37" i="20"/>
  <c r="U37" i="20"/>
  <c r="X37" i="20"/>
  <c r="Y37" i="20" s="1"/>
  <c r="Z37" i="20"/>
  <c r="AA37" i="20" s="1"/>
  <c r="AB37" i="20"/>
  <c r="AC37" i="20"/>
  <c r="AD37" i="20"/>
  <c r="AG37" i="20"/>
  <c r="AH37" i="20" s="1"/>
  <c r="AI37" i="20"/>
  <c r="AJ37" i="20" s="1"/>
  <c r="AK37" i="20"/>
  <c r="AL37" i="20"/>
  <c r="AM37" i="20"/>
  <c r="AQ37" i="20"/>
  <c r="AS37" i="20"/>
  <c r="C38" i="20"/>
  <c r="F38" i="20"/>
  <c r="H38" i="20"/>
  <c r="I38" i="20"/>
  <c r="P38" i="20"/>
  <c r="R38" i="20"/>
  <c r="T38" i="20"/>
  <c r="U38" i="20"/>
  <c r="X38" i="20"/>
  <c r="Y38" i="20" s="1"/>
  <c r="Z38" i="20"/>
  <c r="AA38" i="20" s="1"/>
  <c r="AB38" i="20"/>
  <c r="AC38" i="20"/>
  <c r="AD38" i="20"/>
  <c r="AG38" i="20"/>
  <c r="AH38" i="20" s="1"/>
  <c r="AI38" i="20"/>
  <c r="AJ38" i="20" s="1"/>
  <c r="AK38" i="20"/>
  <c r="AL38" i="20"/>
  <c r="AM38" i="20"/>
  <c r="AQ38" i="20"/>
  <c r="AS38" i="20"/>
  <c r="C39" i="20"/>
  <c r="F39" i="20"/>
  <c r="H39" i="20"/>
  <c r="I39" i="20"/>
  <c r="P39" i="20"/>
  <c r="Q39" i="20" s="1"/>
  <c r="R39" i="20"/>
  <c r="T39" i="20"/>
  <c r="U39" i="20"/>
  <c r="X39" i="20"/>
  <c r="Y39" i="20" s="1"/>
  <c r="Z39" i="20"/>
  <c r="AA39" i="20" s="1"/>
  <c r="AB39" i="20"/>
  <c r="AC39" i="20"/>
  <c r="AD39" i="20"/>
  <c r="AG39" i="20"/>
  <c r="AH39" i="20" s="1"/>
  <c r="AI39" i="20"/>
  <c r="AJ39" i="20" s="1"/>
  <c r="AK39" i="20"/>
  <c r="AL39" i="20"/>
  <c r="AM39" i="20"/>
  <c r="AQ39" i="20"/>
  <c r="AS39" i="20"/>
  <c r="C40" i="20"/>
  <c r="F40" i="20"/>
  <c r="H40" i="20"/>
  <c r="I40" i="20"/>
  <c r="P40" i="20"/>
  <c r="Q40" i="20"/>
  <c r="R40" i="20"/>
  <c r="S40" i="20"/>
  <c r="T40" i="20"/>
  <c r="U40" i="20"/>
  <c r="X40" i="20"/>
  <c r="Y40" i="20" s="1"/>
  <c r="Z40" i="20"/>
  <c r="AA40" i="20" s="1"/>
  <c r="AB40" i="20"/>
  <c r="AC40" i="20"/>
  <c r="AD40" i="20"/>
  <c r="AG40" i="20"/>
  <c r="AH40" i="20" s="1"/>
  <c r="AI40" i="20"/>
  <c r="AJ40" i="20" s="1"/>
  <c r="AK40" i="20"/>
  <c r="AL40" i="20"/>
  <c r="AM40" i="20"/>
  <c r="AQ40" i="20"/>
  <c r="AS40" i="20"/>
  <c r="C41" i="20"/>
  <c r="F41" i="20"/>
  <c r="H41" i="20"/>
  <c r="I41" i="20"/>
  <c r="P41" i="20"/>
  <c r="R41" i="20"/>
  <c r="S41" i="20" s="1"/>
  <c r="T41" i="20"/>
  <c r="U41" i="20"/>
  <c r="X41" i="20"/>
  <c r="Y41" i="20" s="1"/>
  <c r="Z41" i="20"/>
  <c r="AA41" i="20" s="1"/>
  <c r="AB41" i="20"/>
  <c r="AC41" i="20"/>
  <c r="AD41" i="20"/>
  <c r="AG41" i="20"/>
  <c r="AH41" i="20" s="1"/>
  <c r="AI41" i="20"/>
  <c r="AJ41" i="20" s="1"/>
  <c r="AK41" i="20"/>
  <c r="AL41" i="20"/>
  <c r="AM41" i="20"/>
  <c r="AQ41" i="20"/>
  <c r="AS41" i="20"/>
  <c r="C42" i="20"/>
  <c r="F42" i="20"/>
  <c r="H42" i="20"/>
  <c r="I42" i="20"/>
  <c r="P42" i="20"/>
  <c r="Q42" i="20" s="1"/>
  <c r="R42" i="20"/>
  <c r="T42" i="20"/>
  <c r="U42" i="20"/>
  <c r="X42" i="20"/>
  <c r="Y42" i="20" s="1"/>
  <c r="Z42" i="20"/>
  <c r="AA42" i="20" s="1"/>
  <c r="AB42" i="20"/>
  <c r="AC42" i="20"/>
  <c r="AD42" i="20"/>
  <c r="AG42" i="20"/>
  <c r="AH42" i="20" s="1"/>
  <c r="AI42" i="20"/>
  <c r="AJ42" i="20" s="1"/>
  <c r="AK42" i="20"/>
  <c r="AL42" i="20"/>
  <c r="AM42" i="20"/>
  <c r="AQ42" i="20"/>
  <c r="AS42" i="20"/>
  <c r="C43" i="20"/>
  <c r="F43" i="20"/>
  <c r="H43" i="20"/>
  <c r="I43" i="20"/>
  <c r="P43" i="20"/>
  <c r="Q43" i="20" s="1"/>
  <c r="R43" i="20"/>
  <c r="T43" i="20"/>
  <c r="U43" i="20"/>
  <c r="X43" i="20"/>
  <c r="Y43" i="20" s="1"/>
  <c r="Z43" i="20"/>
  <c r="AA43" i="20" s="1"/>
  <c r="AB43" i="20"/>
  <c r="AC43" i="20"/>
  <c r="AD43" i="20"/>
  <c r="AG43" i="20"/>
  <c r="AH43" i="20" s="1"/>
  <c r="AI43" i="20"/>
  <c r="AJ43" i="20" s="1"/>
  <c r="AK43" i="20"/>
  <c r="AL43" i="20"/>
  <c r="AM43" i="20"/>
  <c r="AQ43" i="20"/>
  <c r="AS43" i="20"/>
  <c r="C44" i="20"/>
  <c r="F44" i="20"/>
  <c r="H44" i="20"/>
  <c r="I44" i="20"/>
  <c r="P44" i="20"/>
  <c r="R44" i="20"/>
  <c r="T44" i="20"/>
  <c r="U44" i="20"/>
  <c r="X44" i="20"/>
  <c r="Y44" i="20" s="1"/>
  <c r="Z44" i="20"/>
  <c r="AA44" i="20" s="1"/>
  <c r="AB44" i="20"/>
  <c r="AC44" i="20"/>
  <c r="AD44" i="20"/>
  <c r="AG44" i="20"/>
  <c r="AH44" i="20" s="1"/>
  <c r="AI44" i="20"/>
  <c r="AJ44" i="20" s="1"/>
  <c r="AK44" i="20"/>
  <c r="AL44" i="20"/>
  <c r="AM44" i="20"/>
  <c r="AQ44" i="20"/>
  <c r="AS44" i="20"/>
  <c r="C45" i="20"/>
  <c r="F45" i="20"/>
  <c r="H45" i="20"/>
  <c r="I45" i="20"/>
  <c r="P45" i="20"/>
  <c r="Q45" i="20" s="1"/>
  <c r="R45" i="20"/>
  <c r="T45" i="20"/>
  <c r="U45" i="20"/>
  <c r="X45" i="20"/>
  <c r="Y45" i="20" s="1"/>
  <c r="Z45" i="20"/>
  <c r="AA45" i="20" s="1"/>
  <c r="AB45" i="20"/>
  <c r="AC45" i="20"/>
  <c r="AD45" i="20"/>
  <c r="AG45" i="20"/>
  <c r="AH45" i="20" s="1"/>
  <c r="AI45" i="20"/>
  <c r="AJ45" i="20" s="1"/>
  <c r="AK45" i="20"/>
  <c r="AL45" i="20"/>
  <c r="AM45" i="20"/>
  <c r="AQ45" i="20"/>
  <c r="AS45" i="20"/>
  <c r="C46" i="20"/>
  <c r="F46" i="20"/>
  <c r="H46" i="20"/>
  <c r="I46" i="20"/>
  <c r="P46" i="20"/>
  <c r="Q46" i="20" s="1"/>
  <c r="R46" i="20"/>
  <c r="S46" i="20" s="1"/>
  <c r="T46" i="20"/>
  <c r="U46" i="20"/>
  <c r="X46" i="20"/>
  <c r="Y46" i="20" s="1"/>
  <c r="Z46" i="20"/>
  <c r="AA46" i="20" s="1"/>
  <c r="AB46" i="20"/>
  <c r="AC46" i="20"/>
  <c r="AD46" i="20"/>
  <c r="AG46" i="20"/>
  <c r="AH46" i="20" s="1"/>
  <c r="AI46" i="20"/>
  <c r="AJ46" i="20" s="1"/>
  <c r="AK46" i="20"/>
  <c r="AL46" i="20"/>
  <c r="AM46" i="20"/>
  <c r="AQ46" i="20"/>
  <c r="AS46" i="20"/>
  <c r="C47" i="20"/>
  <c r="F47" i="20"/>
  <c r="H47" i="20"/>
  <c r="I47" i="20"/>
  <c r="P47" i="20"/>
  <c r="R47" i="20"/>
  <c r="T47" i="20"/>
  <c r="U47" i="20"/>
  <c r="X47" i="20"/>
  <c r="Y47" i="20" s="1"/>
  <c r="Z47" i="20"/>
  <c r="AA47" i="20" s="1"/>
  <c r="AB47" i="20"/>
  <c r="AC47" i="20"/>
  <c r="AD47" i="20"/>
  <c r="AG47" i="20"/>
  <c r="AH47" i="20" s="1"/>
  <c r="AI47" i="20"/>
  <c r="AJ47" i="20" s="1"/>
  <c r="AK47" i="20"/>
  <c r="AL47" i="20"/>
  <c r="AM47" i="20"/>
  <c r="AQ47" i="20"/>
  <c r="AS47" i="20"/>
  <c r="C48" i="20"/>
  <c r="F48" i="20"/>
  <c r="H48" i="20"/>
  <c r="I48" i="20"/>
  <c r="P48" i="20"/>
  <c r="Q48" i="20" s="1"/>
  <c r="R48" i="20"/>
  <c r="T48" i="20"/>
  <c r="U48" i="20"/>
  <c r="X48" i="20"/>
  <c r="Y48" i="20" s="1"/>
  <c r="Z48" i="20"/>
  <c r="AA48" i="20" s="1"/>
  <c r="AB48" i="20"/>
  <c r="AC48" i="20"/>
  <c r="AD48" i="20"/>
  <c r="AG48" i="20"/>
  <c r="AH48" i="20" s="1"/>
  <c r="AI48" i="20"/>
  <c r="AJ48" i="20" s="1"/>
  <c r="AK48" i="20"/>
  <c r="AL48" i="20"/>
  <c r="AM48" i="20"/>
  <c r="AQ48" i="20"/>
  <c r="AS48" i="20"/>
  <c r="C49" i="20"/>
  <c r="F49" i="20"/>
  <c r="H49" i="20"/>
  <c r="I49" i="20"/>
  <c r="P49" i="20"/>
  <c r="R49" i="20"/>
  <c r="T49" i="20"/>
  <c r="U49" i="20"/>
  <c r="X49" i="20"/>
  <c r="Y49" i="20" s="1"/>
  <c r="Z49" i="20"/>
  <c r="AA49" i="20" s="1"/>
  <c r="AB49" i="20"/>
  <c r="AC49" i="20"/>
  <c r="AD49" i="20"/>
  <c r="AG49" i="20"/>
  <c r="AH49" i="20" s="1"/>
  <c r="AI49" i="20"/>
  <c r="AJ49" i="20" s="1"/>
  <c r="AK49" i="20"/>
  <c r="AL49" i="20"/>
  <c r="AM49" i="20"/>
  <c r="AQ49" i="20"/>
  <c r="AS49" i="20"/>
  <c r="C50" i="20"/>
  <c r="F50" i="20"/>
  <c r="H50" i="20"/>
  <c r="I50" i="20"/>
  <c r="P50" i="20"/>
  <c r="R50" i="20"/>
  <c r="S50" i="20" s="1"/>
  <c r="T50" i="20"/>
  <c r="U50" i="20"/>
  <c r="X50" i="20"/>
  <c r="Y50" i="20" s="1"/>
  <c r="Z50" i="20"/>
  <c r="AA50" i="20" s="1"/>
  <c r="AB50" i="20"/>
  <c r="AC50" i="20"/>
  <c r="AD50" i="20"/>
  <c r="AG50" i="20"/>
  <c r="AH50" i="20" s="1"/>
  <c r="AI50" i="20"/>
  <c r="AJ50" i="20" s="1"/>
  <c r="AK50" i="20"/>
  <c r="AL50" i="20"/>
  <c r="AM50" i="20"/>
  <c r="AQ50" i="20"/>
  <c r="AS50" i="20"/>
  <c r="C51" i="20"/>
  <c r="F51" i="20"/>
  <c r="H51" i="20"/>
  <c r="I51" i="20"/>
  <c r="P51" i="20"/>
  <c r="R51" i="20"/>
  <c r="T51" i="20"/>
  <c r="U51" i="20"/>
  <c r="X51" i="20"/>
  <c r="Y51" i="20" s="1"/>
  <c r="Z51" i="20"/>
  <c r="AA51" i="20" s="1"/>
  <c r="AB51" i="20"/>
  <c r="AC51" i="20"/>
  <c r="AD51" i="20"/>
  <c r="AG51" i="20"/>
  <c r="AH51" i="20" s="1"/>
  <c r="AI51" i="20"/>
  <c r="AJ51" i="20" s="1"/>
  <c r="AK51" i="20"/>
  <c r="AL51" i="20"/>
  <c r="AM51" i="20"/>
  <c r="AQ51" i="20"/>
  <c r="AS51" i="20"/>
  <c r="C52" i="20"/>
  <c r="F52" i="20"/>
  <c r="H52" i="20"/>
  <c r="I52" i="20"/>
  <c r="P52" i="20"/>
  <c r="Q52" i="20" s="1"/>
  <c r="R52" i="20"/>
  <c r="T52" i="20"/>
  <c r="U52" i="20"/>
  <c r="X52" i="20"/>
  <c r="Y52" i="20" s="1"/>
  <c r="Z52" i="20"/>
  <c r="AA52" i="20" s="1"/>
  <c r="AB52" i="20"/>
  <c r="AC52" i="20"/>
  <c r="AD52" i="20"/>
  <c r="AG52" i="20"/>
  <c r="AH52" i="20" s="1"/>
  <c r="AI52" i="20"/>
  <c r="AJ52" i="20" s="1"/>
  <c r="AK52" i="20"/>
  <c r="AL52" i="20"/>
  <c r="AM52" i="20"/>
  <c r="AQ52" i="20"/>
  <c r="AS52" i="20"/>
  <c r="C53" i="20"/>
  <c r="F53" i="20"/>
  <c r="H53" i="20"/>
  <c r="I53" i="20"/>
  <c r="P53" i="20"/>
  <c r="R53" i="20"/>
  <c r="T53" i="20"/>
  <c r="U53" i="20"/>
  <c r="X53" i="20"/>
  <c r="Y53" i="20" s="1"/>
  <c r="Z53" i="20"/>
  <c r="AA53" i="20" s="1"/>
  <c r="AB53" i="20"/>
  <c r="AC53" i="20"/>
  <c r="AD53" i="20"/>
  <c r="AG53" i="20"/>
  <c r="AH53" i="20" s="1"/>
  <c r="AI53" i="20"/>
  <c r="AJ53" i="20" s="1"/>
  <c r="AK53" i="20"/>
  <c r="AL53" i="20"/>
  <c r="AM53" i="20"/>
  <c r="AQ53" i="20"/>
  <c r="AS53" i="20"/>
  <c r="D54" i="20"/>
  <c r="E54" i="20"/>
  <c r="N54" i="20"/>
  <c r="O54" i="20"/>
  <c r="V54" i="20"/>
  <c r="W54" i="20"/>
  <c r="AE54" i="20"/>
  <c r="AF54" i="20"/>
  <c r="AP54" i="20"/>
  <c r="AR54" i="20"/>
  <c r="C55" i="20"/>
  <c r="F55" i="20"/>
  <c r="H55" i="20"/>
  <c r="I55" i="20"/>
  <c r="P55" i="20"/>
  <c r="R55" i="20"/>
  <c r="T55" i="20"/>
  <c r="U55" i="20"/>
  <c r="X55" i="20"/>
  <c r="Y55" i="20" s="1"/>
  <c r="Z55" i="20"/>
  <c r="AA55" i="20" s="1"/>
  <c r="AB55" i="20"/>
  <c r="AC55" i="20"/>
  <c r="AD55" i="20"/>
  <c r="AG55" i="20"/>
  <c r="AI55" i="20"/>
  <c r="AJ55" i="20" s="1"/>
  <c r="AK55" i="20"/>
  <c r="AL55" i="20"/>
  <c r="AM55" i="20"/>
  <c r="AQ55" i="20"/>
  <c r="AS55" i="20"/>
  <c r="C56" i="20"/>
  <c r="F56" i="20"/>
  <c r="H56" i="20"/>
  <c r="I56" i="20"/>
  <c r="P56" i="20"/>
  <c r="R56" i="20"/>
  <c r="S56" i="20" s="1"/>
  <c r="T56" i="20"/>
  <c r="U56" i="20"/>
  <c r="X56" i="20"/>
  <c r="Y56" i="20" s="1"/>
  <c r="Z56" i="20"/>
  <c r="AA56" i="20" s="1"/>
  <c r="AB56" i="20"/>
  <c r="AC56" i="20"/>
  <c r="AD56" i="20"/>
  <c r="AG56" i="20"/>
  <c r="AH56" i="20" s="1"/>
  <c r="AI56" i="20"/>
  <c r="AK56" i="20"/>
  <c r="AL56" i="20"/>
  <c r="AM56" i="20"/>
  <c r="AQ56" i="20"/>
  <c r="AS56" i="20"/>
  <c r="C57" i="20"/>
  <c r="F57" i="20"/>
  <c r="H57" i="20"/>
  <c r="I57" i="20"/>
  <c r="P57" i="20"/>
  <c r="R57" i="20"/>
  <c r="T57" i="20"/>
  <c r="U57" i="20"/>
  <c r="X57" i="20"/>
  <c r="Z57" i="20"/>
  <c r="AA57" i="20" s="1"/>
  <c r="AB57" i="20"/>
  <c r="AC57" i="20"/>
  <c r="AD57" i="20"/>
  <c r="AG57" i="20"/>
  <c r="AH57" i="20" s="1"/>
  <c r="AI57" i="20"/>
  <c r="AJ57" i="20" s="1"/>
  <c r="AK57" i="20"/>
  <c r="AL57" i="20"/>
  <c r="AM57" i="20"/>
  <c r="AQ57" i="20"/>
  <c r="AS57" i="20"/>
  <c r="C58" i="20"/>
  <c r="F58" i="20"/>
  <c r="H58" i="20"/>
  <c r="I58" i="20"/>
  <c r="P58" i="20"/>
  <c r="Q58" i="20"/>
  <c r="R58" i="20"/>
  <c r="S58" i="20"/>
  <c r="T58" i="20"/>
  <c r="U58" i="20"/>
  <c r="X58" i="20"/>
  <c r="Y58" i="20" s="1"/>
  <c r="Z58" i="20"/>
  <c r="AA58" i="20" s="1"/>
  <c r="AB58" i="20"/>
  <c r="AC58" i="20"/>
  <c r="AD58" i="20"/>
  <c r="AG58" i="20"/>
  <c r="AH58" i="20" s="1"/>
  <c r="AI58" i="20"/>
  <c r="AJ58" i="20" s="1"/>
  <c r="AK58" i="20"/>
  <c r="AL58" i="20"/>
  <c r="AM58" i="20"/>
  <c r="AQ58" i="20"/>
  <c r="AS58" i="20"/>
  <c r="C59" i="20"/>
  <c r="F59" i="20"/>
  <c r="H59" i="20"/>
  <c r="I59" i="20"/>
  <c r="P59" i="20"/>
  <c r="R59" i="20"/>
  <c r="S59" i="20" s="1"/>
  <c r="T59" i="20"/>
  <c r="U59" i="20"/>
  <c r="X59" i="20"/>
  <c r="Y59" i="20" s="1"/>
  <c r="Z59" i="20"/>
  <c r="AA59" i="20" s="1"/>
  <c r="AB59" i="20"/>
  <c r="AC59" i="20"/>
  <c r="AD59" i="20"/>
  <c r="AG59" i="20"/>
  <c r="AH59" i="20" s="1"/>
  <c r="AI59" i="20"/>
  <c r="AJ59" i="20" s="1"/>
  <c r="AK59" i="20"/>
  <c r="AL59" i="20"/>
  <c r="AM59" i="20"/>
  <c r="AQ59" i="20"/>
  <c r="AS59" i="20"/>
  <c r="C60" i="20"/>
  <c r="F60" i="20"/>
  <c r="H60" i="20"/>
  <c r="I60" i="20"/>
  <c r="P60" i="20"/>
  <c r="R60" i="20"/>
  <c r="S60" i="20" s="1"/>
  <c r="T60" i="20"/>
  <c r="U60" i="20"/>
  <c r="X60" i="20"/>
  <c r="Y60" i="20" s="1"/>
  <c r="Z60" i="20"/>
  <c r="AA60" i="20" s="1"/>
  <c r="AB60" i="20"/>
  <c r="AC60" i="20"/>
  <c r="AD60" i="20"/>
  <c r="AG60" i="20"/>
  <c r="AH60" i="20" s="1"/>
  <c r="AI60" i="20"/>
  <c r="AJ60" i="20" s="1"/>
  <c r="AK60" i="20"/>
  <c r="AL60" i="20"/>
  <c r="AM60" i="20"/>
  <c r="AQ60" i="20"/>
  <c r="AS60" i="20"/>
  <c r="C61" i="20"/>
  <c r="F61" i="20"/>
  <c r="H61" i="20"/>
  <c r="I61" i="20"/>
  <c r="P61" i="20"/>
  <c r="R61" i="20"/>
  <c r="T61" i="20"/>
  <c r="U61" i="20"/>
  <c r="X61" i="20"/>
  <c r="Y61" i="20" s="1"/>
  <c r="Z61" i="20"/>
  <c r="AA61" i="20" s="1"/>
  <c r="AB61" i="20"/>
  <c r="AC61" i="20"/>
  <c r="AD61" i="20"/>
  <c r="AG61" i="20"/>
  <c r="AH61" i="20" s="1"/>
  <c r="AI61" i="20"/>
  <c r="AJ61" i="20" s="1"/>
  <c r="AK61" i="20"/>
  <c r="AL61" i="20"/>
  <c r="AM61" i="20"/>
  <c r="AQ61" i="20"/>
  <c r="AS61" i="20"/>
  <c r="C62" i="20"/>
  <c r="F62" i="20"/>
  <c r="H62" i="20"/>
  <c r="I62" i="20"/>
  <c r="P62" i="20"/>
  <c r="Q62" i="20"/>
  <c r="R62" i="20"/>
  <c r="S62" i="20"/>
  <c r="T62" i="20"/>
  <c r="U62" i="20"/>
  <c r="X62" i="20"/>
  <c r="Y62" i="20" s="1"/>
  <c r="Z62" i="20"/>
  <c r="AA62" i="20" s="1"/>
  <c r="AB62" i="20"/>
  <c r="AC62" i="20"/>
  <c r="AD62" i="20"/>
  <c r="AG62" i="20"/>
  <c r="AH62" i="20" s="1"/>
  <c r="AI62" i="20"/>
  <c r="AJ62" i="20" s="1"/>
  <c r="AK62" i="20"/>
  <c r="AL62" i="20"/>
  <c r="AM62" i="20"/>
  <c r="AQ62" i="20"/>
  <c r="AS62" i="20"/>
  <c r="C63" i="20"/>
  <c r="F63" i="20"/>
  <c r="H63" i="20"/>
  <c r="I63" i="20"/>
  <c r="P63" i="20"/>
  <c r="R63" i="20"/>
  <c r="S63" i="20" s="1"/>
  <c r="T63" i="20"/>
  <c r="U63" i="20"/>
  <c r="X63" i="20"/>
  <c r="Y63" i="20" s="1"/>
  <c r="Z63" i="20"/>
  <c r="AA63" i="20" s="1"/>
  <c r="AB63" i="20"/>
  <c r="AC63" i="20"/>
  <c r="AD63" i="20"/>
  <c r="AG63" i="20"/>
  <c r="AH63" i="20" s="1"/>
  <c r="AI63" i="20"/>
  <c r="AJ63" i="20" s="1"/>
  <c r="AK63" i="20"/>
  <c r="AL63" i="20"/>
  <c r="AM63" i="20"/>
  <c r="AQ63" i="20"/>
  <c r="AS63" i="20"/>
  <c r="C64" i="20"/>
  <c r="F64" i="20"/>
  <c r="H64" i="20"/>
  <c r="I64" i="20"/>
  <c r="P64" i="20"/>
  <c r="Q64" i="20"/>
  <c r="R64" i="20"/>
  <c r="S64" i="20"/>
  <c r="T64" i="20"/>
  <c r="U64" i="20"/>
  <c r="X64" i="20"/>
  <c r="Y64" i="20" s="1"/>
  <c r="Z64" i="20"/>
  <c r="AA64" i="20" s="1"/>
  <c r="AB64" i="20"/>
  <c r="AC64" i="20"/>
  <c r="AD64" i="20"/>
  <c r="AG64" i="20"/>
  <c r="AH64" i="20" s="1"/>
  <c r="AI64" i="20"/>
  <c r="AJ64" i="20" s="1"/>
  <c r="AK64" i="20"/>
  <c r="AL64" i="20"/>
  <c r="AM64" i="20"/>
  <c r="AQ64" i="20"/>
  <c r="AS64" i="20"/>
  <c r="C65" i="20"/>
  <c r="F65" i="20"/>
  <c r="H65" i="20"/>
  <c r="I65" i="20"/>
  <c r="P65" i="20"/>
  <c r="Q65" i="20" s="1"/>
  <c r="R65" i="20"/>
  <c r="S65" i="20" s="1"/>
  <c r="T65" i="20"/>
  <c r="U65" i="20"/>
  <c r="X65" i="20"/>
  <c r="Y65" i="20" s="1"/>
  <c r="Z65" i="20"/>
  <c r="AA65" i="20" s="1"/>
  <c r="AB65" i="20"/>
  <c r="AC65" i="20"/>
  <c r="AD65" i="20"/>
  <c r="AG65" i="20"/>
  <c r="AH65" i="20" s="1"/>
  <c r="AI65" i="20"/>
  <c r="AJ65" i="20" s="1"/>
  <c r="AK65" i="20"/>
  <c r="AL65" i="20"/>
  <c r="AM65" i="20"/>
  <c r="AQ65" i="20"/>
  <c r="AS65" i="20"/>
  <c r="C66" i="20"/>
  <c r="F66" i="20"/>
  <c r="H66" i="20"/>
  <c r="I66" i="20"/>
  <c r="P66" i="20"/>
  <c r="Q66" i="20"/>
  <c r="R66" i="20"/>
  <c r="S66" i="20"/>
  <c r="T66" i="20"/>
  <c r="U66" i="20"/>
  <c r="X66" i="20"/>
  <c r="Y66" i="20" s="1"/>
  <c r="Z66" i="20"/>
  <c r="AA66" i="20" s="1"/>
  <c r="AB66" i="20"/>
  <c r="AC66" i="20"/>
  <c r="AD66" i="20"/>
  <c r="AG66" i="20"/>
  <c r="AH66" i="20" s="1"/>
  <c r="AI66" i="20"/>
  <c r="AJ66" i="20" s="1"/>
  <c r="AK66" i="20"/>
  <c r="AL66" i="20"/>
  <c r="AM66" i="20"/>
  <c r="AQ66" i="20"/>
  <c r="AS66" i="20"/>
  <c r="C67" i="20"/>
  <c r="F67" i="20"/>
  <c r="H67" i="20"/>
  <c r="I67" i="20"/>
  <c r="P67" i="20"/>
  <c r="Q67" i="20" s="1"/>
  <c r="R67" i="20"/>
  <c r="S67" i="20" s="1"/>
  <c r="T67" i="20"/>
  <c r="U67" i="20"/>
  <c r="X67" i="20"/>
  <c r="Y67" i="20" s="1"/>
  <c r="Z67" i="20"/>
  <c r="AA67" i="20" s="1"/>
  <c r="AB67" i="20"/>
  <c r="AC67" i="20"/>
  <c r="AD67" i="20"/>
  <c r="AG67" i="20"/>
  <c r="AH67" i="20" s="1"/>
  <c r="AI67" i="20"/>
  <c r="AJ67" i="20" s="1"/>
  <c r="AK67" i="20"/>
  <c r="AL67" i="20"/>
  <c r="AM67" i="20"/>
  <c r="AQ67" i="20"/>
  <c r="AS67" i="20"/>
  <c r="C68" i="20"/>
  <c r="F68" i="20"/>
  <c r="H68" i="20"/>
  <c r="I68" i="20"/>
  <c r="P68" i="20"/>
  <c r="Q68" i="20" s="1"/>
  <c r="R68" i="20"/>
  <c r="T68" i="20"/>
  <c r="U68" i="20"/>
  <c r="X68" i="20"/>
  <c r="Y68" i="20" s="1"/>
  <c r="Z68" i="20"/>
  <c r="AA68" i="20" s="1"/>
  <c r="AB68" i="20"/>
  <c r="AC68" i="20"/>
  <c r="AD68" i="20"/>
  <c r="AG68" i="20"/>
  <c r="AH68" i="20" s="1"/>
  <c r="AI68" i="20"/>
  <c r="AJ68" i="20" s="1"/>
  <c r="AK68" i="20"/>
  <c r="AL68" i="20"/>
  <c r="AM68" i="20"/>
  <c r="AQ68" i="20"/>
  <c r="AS68" i="20"/>
  <c r="C69" i="20"/>
  <c r="F69" i="20"/>
  <c r="H69" i="20"/>
  <c r="I69" i="20"/>
  <c r="P69" i="20"/>
  <c r="R69" i="20"/>
  <c r="S69" i="20" s="1"/>
  <c r="T69" i="20"/>
  <c r="U69" i="20"/>
  <c r="X69" i="20"/>
  <c r="Y69" i="20" s="1"/>
  <c r="Z69" i="20"/>
  <c r="AA69" i="20" s="1"/>
  <c r="AB69" i="20"/>
  <c r="AC69" i="20"/>
  <c r="AD69" i="20"/>
  <c r="AG69" i="20"/>
  <c r="AH69" i="20" s="1"/>
  <c r="AI69" i="20"/>
  <c r="AJ69" i="20" s="1"/>
  <c r="AK69" i="20"/>
  <c r="AL69" i="20"/>
  <c r="AM69" i="20"/>
  <c r="AQ69" i="20"/>
  <c r="AS69" i="20"/>
  <c r="C70" i="20"/>
  <c r="F70" i="20"/>
  <c r="H70" i="20"/>
  <c r="I70" i="20"/>
  <c r="P70" i="20"/>
  <c r="R70" i="20"/>
  <c r="S70" i="20" s="1"/>
  <c r="T70" i="20"/>
  <c r="U70" i="20"/>
  <c r="X70" i="20"/>
  <c r="Y70" i="20" s="1"/>
  <c r="Z70" i="20"/>
  <c r="AA70" i="20" s="1"/>
  <c r="AB70" i="20"/>
  <c r="AC70" i="20"/>
  <c r="AD70" i="20"/>
  <c r="AG70" i="20"/>
  <c r="AH70" i="20" s="1"/>
  <c r="AI70" i="20"/>
  <c r="AJ70" i="20" s="1"/>
  <c r="AK70" i="20"/>
  <c r="AL70" i="20"/>
  <c r="AM70" i="20"/>
  <c r="AQ70" i="20"/>
  <c r="AS70" i="20"/>
  <c r="C71" i="20"/>
  <c r="F71" i="20"/>
  <c r="H71" i="20"/>
  <c r="I71" i="20"/>
  <c r="P71" i="20"/>
  <c r="R71" i="20"/>
  <c r="T71" i="20"/>
  <c r="U71" i="20"/>
  <c r="X71" i="20"/>
  <c r="Y71" i="20" s="1"/>
  <c r="Z71" i="20"/>
  <c r="AA71" i="20" s="1"/>
  <c r="AB71" i="20"/>
  <c r="AC71" i="20"/>
  <c r="AD71" i="20"/>
  <c r="AG71" i="20"/>
  <c r="AH71" i="20" s="1"/>
  <c r="AI71" i="20"/>
  <c r="AJ71" i="20" s="1"/>
  <c r="AK71" i="20"/>
  <c r="AL71" i="20"/>
  <c r="AM71" i="20"/>
  <c r="AQ71" i="20"/>
  <c r="AS71" i="20"/>
  <c r="C72" i="20"/>
  <c r="F72" i="20"/>
  <c r="H72" i="20"/>
  <c r="I72" i="20"/>
  <c r="P72" i="20"/>
  <c r="Q72" i="20"/>
  <c r="R72" i="20"/>
  <c r="S72" i="20"/>
  <c r="T72" i="20"/>
  <c r="U72" i="20"/>
  <c r="X72" i="20"/>
  <c r="Y72" i="20" s="1"/>
  <c r="Z72" i="20"/>
  <c r="AA72" i="20" s="1"/>
  <c r="AB72" i="20"/>
  <c r="AC72" i="20"/>
  <c r="AD72" i="20"/>
  <c r="AG72" i="20"/>
  <c r="AH72" i="20" s="1"/>
  <c r="AI72" i="20"/>
  <c r="AJ72" i="20" s="1"/>
  <c r="AK72" i="20"/>
  <c r="AL72" i="20"/>
  <c r="AM72" i="20"/>
  <c r="AQ72" i="20"/>
  <c r="AS72" i="20"/>
  <c r="C73" i="20"/>
  <c r="F73" i="20"/>
  <c r="H73" i="20"/>
  <c r="I73" i="20"/>
  <c r="P73" i="20"/>
  <c r="Q73" i="20"/>
  <c r="R73" i="20"/>
  <c r="S73" i="20"/>
  <c r="T73" i="20"/>
  <c r="U73" i="20"/>
  <c r="X73" i="20"/>
  <c r="Y73" i="20" s="1"/>
  <c r="Z73" i="20"/>
  <c r="AA73" i="20" s="1"/>
  <c r="AB73" i="20"/>
  <c r="AC73" i="20"/>
  <c r="AD73" i="20"/>
  <c r="AG73" i="20"/>
  <c r="AH73" i="20" s="1"/>
  <c r="AI73" i="20"/>
  <c r="AJ73" i="20" s="1"/>
  <c r="AK73" i="20"/>
  <c r="AL73" i="20"/>
  <c r="AM73" i="20"/>
  <c r="AQ73" i="20"/>
  <c r="AS73" i="20"/>
  <c r="C74" i="20"/>
  <c r="F74" i="20"/>
  <c r="H74" i="20"/>
  <c r="I74" i="20"/>
  <c r="P74" i="20"/>
  <c r="Q74" i="20"/>
  <c r="R74" i="20"/>
  <c r="S74" i="20"/>
  <c r="T74" i="20"/>
  <c r="U74" i="20"/>
  <c r="X74" i="20"/>
  <c r="Y74" i="20" s="1"/>
  <c r="Z74" i="20"/>
  <c r="AA74" i="20" s="1"/>
  <c r="AB74" i="20"/>
  <c r="AC74" i="20"/>
  <c r="AD74" i="20"/>
  <c r="AG74" i="20"/>
  <c r="AH74" i="20" s="1"/>
  <c r="AI74" i="20"/>
  <c r="AJ74" i="20" s="1"/>
  <c r="AK74" i="20"/>
  <c r="AL74" i="20"/>
  <c r="AM74" i="20"/>
  <c r="AQ74" i="20"/>
  <c r="AS74" i="20"/>
  <c r="C75" i="20"/>
  <c r="F75" i="20"/>
  <c r="H75" i="20"/>
  <c r="I75" i="20"/>
  <c r="P75" i="20"/>
  <c r="Q75" i="20"/>
  <c r="R75" i="20"/>
  <c r="S75" i="20"/>
  <c r="T75" i="20"/>
  <c r="U75" i="20"/>
  <c r="X75" i="20"/>
  <c r="Y75" i="20"/>
  <c r="Z75" i="20"/>
  <c r="AA75" i="20"/>
  <c r="AB75" i="20"/>
  <c r="AC75" i="20"/>
  <c r="AD75" i="20"/>
  <c r="AG75" i="20"/>
  <c r="AH75" i="20" s="1"/>
  <c r="AI75" i="20"/>
  <c r="AJ75" i="20" s="1"/>
  <c r="AK75" i="20"/>
  <c r="AL75" i="20"/>
  <c r="AM75" i="20"/>
  <c r="AO75" i="20" s="1"/>
  <c r="AQ75" i="20"/>
  <c r="AS75" i="20"/>
  <c r="D76" i="20"/>
  <c r="E76" i="20"/>
  <c r="N76" i="20"/>
  <c r="O76" i="20"/>
  <c r="V76" i="20"/>
  <c r="W76" i="20"/>
  <c r="AE76" i="20"/>
  <c r="AF76" i="20"/>
  <c r="AP76" i="20"/>
  <c r="AR76" i="20"/>
  <c r="C77" i="20"/>
  <c r="F77" i="20"/>
  <c r="H77" i="20"/>
  <c r="I77" i="20"/>
  <c r="P77" i="20"/>
  <c r="R77" i="20"/>
  <c r="T77" i="20"/>
  <c r="U77" i="20"/>
  <c r="X77" i="20"/>
  <c r="Y77" i="20" s="1"/>
  <c r="Z77" i="20"/>
  <c r="AA77" i="20" s="1"/>
  <c r="AB77" i="20"/>
  <c r="AC77" i="20"/>
  <c r="AD77" i="20"/>
  <c r="AG77" i="20"/>
  <c r="AH77" i="20" s="1"/>
  <c r="AI77" i="20"/>
  <c r="AK77" i="20"/>
  <c r="AL77" i="20"/>
  <c r="AM77" i="20"/>
  <c r="AQ77" i="20"/>
  <c r="AS77" i="20"/>
  <c r="C78" i="20"/>
  <c r="F78" i="20"/>
  <c r="H78" i="20"/>
  <c r="I78" i="20"/>
  <c r="P78" i="20"/>
  <c r="R78" i="20"/>
  <c r="T78" i="20"/>
  <c r="U78" i="20"/>
  <c r="X78" i="20"/>
  <c r="Y78" i="20" s="1"/>
  <c r="Z78" i="20"/>
  <c r="AA78" i="20" s="1"/>
  <c r="AB78" i="20"/>
  <c r="AC78" i="20"/>
  <c r="AD78" i="20"/>
  <c r="AG78" i="20"/>
  <c r="AI78" i="20"/>
  <c r="AJ78" i="20" s="1"/>
  <c r="AK78" i="20"/>
  <c r="AL78" i="20"/>
  <c r="AM78" i="20"/>
  <c r="AQ78" i="20"/>
  <c r="AS78" i="20"/>
  <c r="C79" i="20"/>
  <c r="F79" i="20"/>
  <c r="H79" i="20"/>
  <c r="I79" i="20"/>
  <c r="P79" i="20"/>
  <c r="R79" i="20"/>
  <c r="S79" i="20" s="1"/>
  <c r="T79" i="20"/>
  <c r="U79" i="20"/>
  <c r="X79" i="20"/>
  <c r="Y79" i="20" s="1"/>
  <c r="Z79" i="20"/>
  <c r="AB79" i="20"/>
  <c r="AC79" i="20"/>
  <c r="AD79" i="20"/>
  <c r="AG79" i="20"/>
  <c r="AH79" i="20" s="1"/>
  <c r="AI79" i="20"/>
  <c r="AJ79" i="20" s="1"/>
  <c r="AK79" i="20"/>
  <c r="AL79" i="20"/>
  <c r="AM79" i="20"/>
  <c r="AQ79" i="20"/>
  <c r="AS79" i="20"/>
  <c r="C80" i="20"/>
  <c r="F80" i="20"/>
  <c r="H80" i="20"/>
  <c r="I80" i="20"/>
  <c r="P80" i="20"/>
  <c r="Q80" i="20"/>
  <c r="R80" i="20"/>
  <c r="S80" i="20"/>
  <c r="T80" i="20"/>
  <c r="U80" i="20"/>
  <c r="X80" i="20"/>
  <c r="Y80" i="20" s="1"/>
  <c r="Z80" i="20"/>
  <c r="AA80" i="20" s="1"/>
  <c r="AB80" i="20"/>
  <c r="AC80" i="20"/>
  <c r="AD80" i="20"/>
  <c r="AG80" i="20"/>
  <c r="AH80" i="20" s="1"/>
  <c r="AI80" i="20"/>
  <c r="AJ80" i="20" s="1"/>
  <c r="AK80" i="20"/>
  <c r="AL80" i="20"/>
  <c r="AM80" i="20"/>
  <c r="AQ80" i="20"/>
  <c r="AS80" i="20"/>
  <c r="C81" i="20"/>
  <c r="F81" i="20"/>
  <c r="H81" i="20"/>
  <c r="I81" i="20"/>
  <c r="P81" i="20"/>
  <c r="Q81" i="20" s="1"/>
  <c r="R81" i="20"/>
  <c r="T81" i="20"/>
  <c r="U81" i="20"/>
  <c r="X81" i="20"/>
  <c r="Y81" i="20" s="1"/>
  <c r="Z81" i="20"/>
  <c r="AA81" i="20" s="1"/>
  <c r="AB81" i="20"/>
  <c r="AC81" i="20"/>
  <c r="AD81" i="20"/>
  <c r="AG81" i="20"/>
  <c r="AH81" i="20" s="1"/>
  <c r="AI81" i="20"/>
  <c r="AJ81" i="20" s="1"/>
  <c r="AK81" i="20"/>
  <c r="AL81" i="20"/>
  <c r="AM81" i="20"/>
  <c r="AQ81" i="20"/>
  <c r="AS81" i="20"/>
  <c r="C82" i="20"/>
  <c r="F82" i="20"/>
  <c r="H82" i="20"/>
  <c r="I82" i="20"/>
  <c r="P82" i="20"/>
  <c r="Q82" i="20" s="1"/>
  <c r="R82" i="20"/>
  <c r="T82" i="20"/>
  <c r="U82" i="20"/>
  <c r="X82" i="20"/>
  <c r="Y82" i="20" s="1"/>
  <c r="Z82" i="20"/>
  <c r="AA82" i="20" s="1"/>
  <c r="AB82" i="20"/>
  <c r="AC82" i="20"/>
  <c r="AD82" i="20"/>
  <c r="AG82" i="20"/>
  <c r="AH82" i="20" s="1"/>
  <c r="AI82" i="20"/>
  <c r="AJ82" i="20" s="1"/>
  <c r="AK82" i="20"/>
  <c r="AL82" i="20"/>
  <c r="AM82" i="20"/>
  <c r="AQ82" i="20"/>
  <c r="AS82" i="20"/>
  <c r="C83" i="20"/>
  <c r="F83" i="20"/>
  <c r="H83" i="20"/>
  <c r="I83" i="20"/>
  <c r="P83" i="20"/>
  <c r="R83" i="20"/>
  <c r="S83" i="20" s="1"/>
  <c r="T83" i="20"/>
  <c r="U83" i="20"/>
  <c r="X83" i="20"/>
  <c r="Y83" i="20" s="1"/>
  <c r="Z83" i="20"/>
  <c r="AA83" i="20" s="1"/>
  <c r="AB83" i="20"/>
  <c r="AC83" i="20"/>
  <c r="AD83" i="20"/>
  <c r="AG83" i="20"/>
  <c r="AH83" i="20" s="1"/>
  <c r="AI83" i="20"/>
  <c r="AJ83" i="20" s="1"/>
  <c r="AK83" i="20"/>
  <c r="AL83" i="20"/>
  <c r="AM83" i="20"/>
  <c r="AQ83" i="20"/>
  <c r="AS83" i="20"/>
  <c r="C84" i="20"/>
  <c r="F84" i="20"/>
  <c r="H84" i="20"/>
  <c r="I84" i="20"/>
  <c r="P84" i="20"/>
  <c r="R84" i="20"/>
  <c r="S84" i="20" s="1"/>
  <c r="T84" i="20"/>
  <c r="U84" i="20"/>
  <c r="X84" i="20"/>
  <c r="Y84" i="20" s="1"/>
  <c r="Z84" i="20"/>
  <c r="AA84" i="20" s="1"/>
  <c r="AB84" i="20"/>
  <c r="AC84" i="20"/>
  <c r="AD84" i="20"/>
  <c r="AG84" i="20"/>
  <c r="AH84" i="20" s="1"/>
  <c r="AI84" i="20"/>
  <c r="AJ84" i="20" s="1"/>
  <c r="AK84" i="20"/>
  <c r="AL84" i="20"/>
  <c r="AM84" i="20"/>
  <c r="AQ84" i="20"/>
  <c r="AS84" i="20"/>
  <c r="C85" i="20"/>
  <c r="F85" i="20"/>
  <c r="G85" i="20" s="1"/>
  <c r="H85" i="20"/>
  <c r="I85" i="20"/>
  <c r="P85" i="20"/>
  <c r="Q85" i="20" s="1"/>
  <c r="R85" i="20"/>
  <c r="T85" i="20"/>
  <c r="U85" i="20"/>
  <c r="X85" i="20"/>
  <c r="Y85" i="20" s="1"/>
  <c r="Z85" i="20"/>
  <c r="AA85" i="20" s="1"/>
  <c r="AB85" i="20"/>
  <c r="AC85" i="20"/>
  <c r="AD85" i="20"/>
  <c r="AG85" i="20"/>
  <c r="AH85" i="20" s="1"/>
  <c r="AI85" i="20"/>
  <c r="AJ85" i="20" s="1"/>
  <c r="AK85" i="20"/>
  <c r="AL85" i="20"/>
  <c r="AM85" i="20"/>
  <c r="AQ85" i="20"/>
  <c r="AS85" i="20"/>
  <c r="C86" i="20"/>
  <c r="F86" i="20"/>
  <c r="G86" i="20" s="1"/>
  <c r="H86" i="20"/>
  <c r="I86" i="20"/>
  <c r="P86" i="20"/>
  <c r="Q86" i="20" s="1"/>
  <c r="R86" i="20"/>
  <c r="T86" i="20"/>
  <c r="U86" i="20"/>
  <c r="X86" i="20"/>
  <c r="Y86" i="20" s="1"/>
  <c r="Z86" i="20"/>
  <c r="AA86" i="20" s="1"/>
  <c r="AB86" i="20"/>
  <c r="AC86" i="20"/>
  <c r="AD86" i="20"/>
  <c r="AG86" i="20"/>
  <c r="AH86" i="20" s="1"/>
  <c r="AI86" i="20"/>
  <c r="AJ86" i="20" s="1"/>
  <c r="AK86" i="20"/>
  <c r="AL86" i="20"/>
  <c r="AM86" i="20"/>
  <c r="AQ86" i="20"/>
  <c r="AS86" i="20"/>
  <c r="C87" i="20"/>
  <c r="F87" i="20"/>
  <c r="H87" i="20"/>
  <c r="I87" i="20"/>
  <c r="P87" i="20"/>
  <c r="R87" i="20"/>
  <c r="T87" i="20"/>
  <c r="U87" i="20"/>
  <c r="X87" i="20"/>
  <c r="Y87" i="20" s="1"/>
  <c r="Z87" i="20"/>
  <c r="AA87" i="20" s="1"/>
  <c r="AB87" i="20"/>
  <c r="AC87" i="20"/>
  <c r="AD87" i="20"/>
  <c r="AG87" i="20"/>
  <c r="AH87" i="20" s="1"/>
  <c r="AI87" i="20"/>
  <c r="AJ87" i="20" s="1"/>
  <c r="AK87" i="20"/>
  <c r="AL87" i="20"/>
  <c r="AM87" i="20"/>
  <c r="AQ87" i="20"/>
  <c r="AS87" i="20"/>
  <c r="C88" i="20"/>
  <c r="F88" i="20"/>
  <c r="H88" i="20"/>
  <c r="I88" i="20"/>
  <c r="P88" i="20"/>
  <c r="Q88" i="20"/>
  <c r="R88" i="20"/>
  <c r="S88" i="20"/>
  <c r="T88" i="20"/>
  <c r="U88" i="20"/>
  <c r="X88" i="20"/>
  <c r="Y88" i="20" s="1"/>
  <c r="Z88" i="20"/>
  <c r="AA88" i="20" s="1"/>
  <c r="AB88" i="20"/>
  <c r="AC88" i="20"/>
  <c r="AD88" i="20"/>
  <c r="AG88" i="20"/>
  <c r="AH88" i="20" s="1"/>
  <c r="AI88" i="20"/>
  <c r="AJ88" i="20" s="1"/>
  <c r="AK88" i="20"/>
  <c r="AL88" i="20"/>
  <c r="AM88" i="20"/>
  <c r="AQ88" i="20"/>
  <c r="AS88" i="20"/>
  <c r="C89" i="20"/>
  <c r="F89" i="20"/>
  <c r="H89" i="20"/>
  <c r="I89" i="20"/>
  <c r="P89" i="20"/>
  <c r="R89" i="20"/>
  <c r="T89" i="20"/>
  <c r="U89" i="20"/>
  <c r="X89" i="20"/>
  <c r="Y89" i="20"/>
  <c r="Z89" i="20"/>
  <c r="AA89" i="20"/>
  <c r="AB89" i="20"/>
  <c r="AC89" i="20"/>
  <c r="AD89" i="20"/>
  <c r="AG89" i="20"/>
  <c r="AH89" i="20" s="1"/>
  <c r="AI89" i="20"/>
  <c r="AJ89" i="20" s="1"/>
  <c r="AK89" i="20"/>
  <c r="AL89" i="20"/>
  <c r="AM89" i="20"/>
  <c r="AQ89" i="20"/>
  <c r="AS89" i="20"/>
  <c r="C90" i="20"/>
  <c r="F90" i="20"/>
  <c r="G90" i="20" s="1"/>
  <c r="H90" i="20"/>
  <c r="I90" i="20"/>
  <c r="P90" i="20"/>
  <c r="Q90" i="20" s="1"/>
  <c r="R90" i="20"/>
  <c r="T90" i="20"/>
  <c r="U90" i="20"/>
  <c r="X90" i="20"/>
  <c r="Y90" i="20"/>
  <c r="Z90" i="20"/>
  <c r="AA90" i="20"/>
  <c r="AB90" i="20"/>
  <c r="AC90" i="20"/>
  <c r="AD90" i="20"/>
  <c r="AG90" i="20"/>
  <c r="AH90" i="20" s="1"/>
  <c r="AI90" i="20"/>
  <c r="AJ90" i="20" s="1"/>
  <c r="AK90" i="20"/>
  <c r="AL90" i="20"/>
  <c r="AM90" i="20"/>
  <c r="AQ90" i="20"/>
  <c r="AS90" i="20"/>
  <c r="D91" i="20"/>
  <c r="D12" i="20" s="1"/>
  <c r="E91" i="20"/>
  <c r="E12" i="20" s="1"/>
  <c r="F91" i="20"/>
  <c r="F12" i="20" s="1"/>
  <c r="F11" i="20" s="1"/>
  <c r="J91" i="20"/>
  <c r="J12" i="20" s="1"/>
  <c r="L91" i="20"/>
  <c r="L12" i="20" s="1"/>
  <c r="N91" i="20"/>
  <c r="N12" i="20" s="1"/>
  <c r="O91" i="20"/>
  <c r="O12" i="20" s="1"/>
  <c r="P91" i="20"/>
  <c r="P12" i="20" s="1"/>
  <c r="Q91" i="20"/>
  <c r="R91" i="20"/>
  <c r="R12" i="20" s="1"/>
  <c r="T91" i="20"/>
  <c r="T12" i="20" s="1"/>
  <c r="U91" i="20"/>
  <c r="U12" i="20" s="1"/>
  <c r="V91" i="20"/>
  <c r="V12" i="20" s="1"/>
  <c r="W91" i="20"/>
  <c r="W12" i="20" s="1"/>
  <c r="X91" i="20"/>
  <c r="X12" i="20" s="1"/>
  <c r="AB91" i="20"/>
  <c r="AB12" i="20" s="1"/>
  <c r="AC91" i="20"/>
  <c r="AC12" i="20" s="1"/>
  <c r="AD91" i="20"/>
  <c r="AD12" i="20" s="1"/>
  <c r="AE91" i="20"/>
  <c r="AE12" i="20" s="1"/>
  <c r="AF91" i="20"/>
  <c r="AF12" i="20" s="1"/>
  <c r="AG91" i="20"/>
  <c r="AG12" i="20" s="1"/>
  <c r="AK91" i="20"/>
  <c r="AK12" i="20" s="1"/>
  <c r="AL91" i="20"/>
  <c r="AL12" i="20" s="1"/>
  <c r="AP91" i="20"/>
  <c r="AP12" i="20" s="1"/>
  <c r="AQ91" i="20"/>
  <c r="AQ12" i="20" s="1"/>
  <c r="AR91" i="20"/>
  <c r="AR12" i="20" s="1"/>
  <c r="AS91" i="20"/>
  <c r="AS12" i="20" s="1"/>
  <c r="C92" i="20"/>
  <c r="G92" i="20" s="1"/>
  <c r="H92" i="20"/>
  <c r="I92" i="20"/>
  <c r="M92" i="20" s="1"/>
  <c r="Q92" i="20"/>
  <c r="S92" i="20"/>
  <c r="Y92" i="20"/>
  <c r="Z92" i="20"/>
  <c r="AA92" i="20"/>
  <c r="AH92" i="20"/>
  <c r="AI92" i="20"/>
  <c r="AJ92" i="20"/>
  <c r="AM92" i="20"/>
  <c r="AO92" i="20" s="1"/>
  <c r="AN92" i="20"/>
  <c r="C93" i="20"/>
  <c r="G93" i="20" s="1"/>
  <c r="H93" i="20"/>
  <c r="K93" i="20" s="1"/>
  <c r="I93" i="20"/>
  <c r="M93" i="20" s="1"/>
  <c r="Q93" i="20"/>
  <c r="S93" i="20"/>
  <c r="Y93" i="20"/>
  <c r="Z93" i="20"/>
  <c r="AA93" i="20"/>
  <c r="AH93" i="20"/>
  <c r="AI93" i="20"/>
  <c r="AJ93" i="20"/>
  <c r="AM93" i="20"/>
  <c r="AN93" i="20"/>
  <c r="C94" i="20"/>
  <c r="G94" i="20" s="1"/>
  <c r="H94" i="20"/>
  <c r="K94" i="20" s="1"/>
  <c r="I94" i="20"/>
  <c r="M94" i="20" s="1"/>
  <c r="Q94" i="20"/>
  <c r="S94" i="20"/>
  <c r="Y94" i="20"/>
  <c r="Z94" i="20"/>
  <c r="AA94" i="20"/>
  <c r="AH94" i="20"/>
  <c r="AI94" i="20"/>
  <c r="AJ94" i="20"/>
  <c r="AM94" i="20"/>
  <c r="AO94" i="20" s="1"/>
  <c r="AN94" i="20"/>
  <c r="A95" i="20"/>
  <c r="C95" i="20"/>
  <c r="G95" i="20" s="1"/>
  <c r="H95" i="20"/>
  <c r="K95" i="20" s="1"/>
  <c r="I95" i="20"/>
  <c r="M95" i="20" s="1"/>
  <c r="Q95" i="20"/>
  <c r="S95" i="20"/>
  <c r="Y95" i="20"/>
  <c r="Z95" i="20"/>
  <c r="AA95" i="20"/>
  <c r="AH95" i="20"/>
  <c r="AI95" i="20"/>
  <c r="AJ95" i="20"/>
  <c r="AM95" i="20"/>
  <c r="AO95" i="20" s="1"/>
  <c r="AN95" i="20"/>
  <c r="A96" i="20"/>
  <c r="A97" i="20" s="1"/>
  <c r="A98" i="20" s="1"/>
  <c r="A99" i="20" s="1"/>
  <c r="A100" i="20" s="1"/>
  <c r="A101" i="20" s="1"/>
  <c r="A102" i="20" s="1"/>
  <c r="A103" i="20" s="1"/>
  <c r="A104" i="20" s="1"/>
  <c r="A105" i="20" s="1"/>
  <c r="C96" i="20"/>
  <c r="G96" i="20" s="1"/>
  <c r="H96" i="20"/>
  <c r="K96" i="20" s="1"/>
  <c r="I96" i="20"/>
  <c r="M96" i="20" s="1"/>
  <c r="Q96" i="20"/>
  <c r="S96" i="20"/>
  <c r="Y96" i="20"/>
  <c r="Z96" i="20"/>
  <c r="AA96" i="20"/>
  <c r="AH96" i="20"/>
  <c r="AI96" i="20"/>
  <c r="AJ96" i="20"/>
  <c r="AM96" i="20"/>
  <c r="AO96" i="20" s="1"/>
  <c r="AN96" i="20"/>
  <c r="C97" i="20"/>
  <c r="G97" i="20" s="1"/>
  <c r="H97" i="20"/>
  <c r="K97" i="20" s="1"/>
  <c r="I97" i="20"/>
  <c r="M97" i="20"/>
  <c r="Q97" i="20"/>
  <c r="S97" i="20"/>
  <c r="Y97" i="20"/>
  <c r="Z97" i="20"/>
  <c r="AA97" i="20"/>
  <c r="AH97" i="20"/>
  <c r="AI97" i="20"/>
  <c r="AJ97" i="20"/>
  <c r="AM97" i="20"/>
  <c r="AO97" i="20" s="1"/>
  <c r="AN97" i="20"/>
  <c r="C98" i="20"/>
  <c r="G98" i="20" s="1"/>
  <c r="H98" i="20"/>
  <c r="K98" i="20" s="1"/>
  <c r="I98" i="20"/>
  <c r="M98" i="20" s="1"/>
  <c r="Q98" i="20"/>
  <c r="S98" i="20"/>
  <c r="Y98" i="20"/>
  <c r="Z98" i="20"/>
  <c r="AA98" i="20"/>
  <c r="AH98" i="20"/>
  <c r="AI98" i="20"/>
  <c r="AJ98" i="20"/>
  <c r="AM98" i="20"/>
  <c r="AO98" i="20" s="1"/>
  <c r="AN98" i="20"/>
  <c r="C99" i="20"/>
  <c r="G99" i="20" s="1"/>
  <c r="H99" i="20"/>
  <c r="K99" i="20" s="1"/>
  <c r="I99" i="20"/>
  <c r="M99" i="20" s="1"/>
  <c r="Q99" i="20"/>
  <c r="S99" i="20"/>
  <c r="Y99" i="20"/>
  <c r="Z99" i="20"/>
  <c r="AA99" i="20"/>
  <c r="AH99" i="20"/>
  <c r="AI99" i="20"/>
  <c r="AJ99" i="20"/>
  <c r="AM99" i="20"/>
  <c r="AO99" i="20" s="1"/>
  <c r="AN99" i="20"/>
  <c r="C100" i="20"/>
  <c r="G100" i="20" s="1"/>
  <c r="H100" i="20"/>
  <c r="K100" i="20" s="1"/>
  <c r="I100" i="20"/>
  <c r="M100" i="20" s="1"/>
  <c r="Q100" i="20"/>
  <c r="S100" i="20"/>
  <c r="Y100" i="20"/>
  <c r="Z100" i="20"/>
  <c r="AA100" i="20"/>
  <c r="AH100" i="20"/>
  <c r="AI100" i="20"/>
  <c r="AJ100" i="20"/>
  <c r="AM100" i="20"/>
  <c r="AO100" i="20" s="1"/>
  <c r="AN100" i="20"/>
  <c r="C101" i="20"/>
  <c r="G101" i="20" s="1"/>
  <c r="H101" i="20"/>
  <c r="K101" i="20" s="1"/>
  <c r="I101" i="20"/>
  <c r="M101" i="20" s="1"/>
  <c r="Q101" i="20"/>
  <c r="S101" i="20"/>
  <c r="Y101" i="20"/>
  <c r="Z101" i="20"/>
  <c r="AA101" i="20"/>
  <c r="AH101" i="20"/>
  <c r="AI101" i="20"/>
  <c r="AJ101" i="20"/>
  <c r="AM101" i="20"/>
  <c r="AO101" i="20" s="1"/>
  <c r="AN101" i="20"/>
  <c r="C102" i="20"/>
  <c r="G102" i="20" s="1"/>
  <c r="H102" i="20"/>
  <c r="K102" i="20" s="1"/>
  <c r="I102" i="20"/>
  <c r="M102" i="20" s="1"/>
  <c r="Q102" i="20"/>
  <c r="S102" i="20"/>
  <c r="Y102" i="20"/>
  <c r="Z102" i="20"/>
  <c r="AA102" i="20"/>
  <c r="AH102" i="20"/>
  <c r="AI102" i="20"/>
  <c r="AJ102" i="20"/>
  <c r="AM102" i="20"/>
  <c r="AO102" i="20" s="1"/>
  <c r="AN102" i="20"/>
  <c r="C103" i="20"/>
  <c r="G103" i="20" s="1"/>
  <c r="H103" i="20"/>
  <c r="K103" i="20" s="1"/>
  <c r="I103" i="20"/>
  <c r="M103" i="20" s="1"/>
  <c r="Q103" i="20"/>
  <c r="S103" i="20"/>
  <c r="Y103" i="20"/>
  <c r="Z103" i="20"/>
  <c r="AA103" i="20"/>
  <c r="AH103" i="20"/>
  <c r="AI103" i="20"/>
  <c r="AJ103" i="20"/>
  <c r="AM103" i="20"/>
  <c r="AO103" i="20" s="1"/>
  <c r="AN103" i="20"/>
  <c r="C104" i="20"/>
  <c r="G104" i="20" s="1"/>
  <c r="H104" i="20"/>
  <c r="K104" i="20" s="1"/>
  <c r="I104" i="20"/>
  <c r="M104" i="20" s="1"/>
  <c r="Q104" i="20"/>
  <c r="S104" i="20"/>
  <c r="Y104" i="20"/>
  <c r="Z104" i="20"/>
  <c r="AA104" i="20"/>
  <c r="AH104" i="20"/>
  <c r="AI104" i="20"/>
  <c r="AJ104" i="20"/>
  <c r="AM104" i="20"/>
  <c r="AO104" i="20" s="1"/>
  <c r="AN104" i="20"/>
  <c r="C105" i="20"/>
  <c r="G105" i="20" s="1"/>
  <c r="H105" i="20"/>
  <c r="K105" i="20" s="1"/>
  <c r="I105" i="20"/>
  <c r="M105" i="20" s="1"/>
  <c r="Q105" i="20"/>
  <c r="S105" i="20"/>
  <c r="Y105" i="20"/>
  <c r="Z105" i="20"/>
  <c r="AA105" i="20"/>
  <c r="AH105" i="20"/>
  <c r="AI105" i="20"/>
  <c r="AJ105" i="20"/>
  <c r="AM105" i="20"/>
  <c r="AO105" i="20" s="1"/>
  <c r="AN105" i="20"/>
  <c r="D106" i="20"/>
  <c r="D13" i="20" s="1"/>
  <c r="E106" i="20"/>
  <c r="E13" i="20" s="1"/>
  <c r="F106" i="20"/>
  <c r="J106" i="20"/>
  <c r="J13" i="20" s="1"/>
  <c r="L106" i="20"/>
  <c r="L13" i="20" s="1"/>
  <c r="N106" i="20"/>
  <c r="N13" i="20" s="1"/>
  <c r="Q13" i="20" s="1"/>
  <c r="O106" i="20"/>
  <c r="O13" i="20" s="1"/>
  <c r="S13" i="20" s="1"/>
  <c r="P106" i="20"/>
  <c r="P13" i="20" s="1"/>
  <c r="R106" i="20"/>
  <c r="R13" i="20" s="1"/>
  <c r="T106" i="20"/>
  <c r="T13" i="20" s="1"/>
  <c r="U106" i="20"/>
  <c r="U13" i="20" s="1"/>
  <c r="V106" i="20"/>
  <c r="V13" i="20" s="1"/>
  <c r="Y13" i="20" s="1"/>
  <c r="W106" i="20"/>
  <c r="W13" i="20" s="1"/>
  <c r="AA13" i="20" s="1"/>
  <c r="X106" i="20"/>
  <c r="X13" i="20" s="1"/>
  <c r="AB106" i="20"/>
  <c r="AB13" i="20" s="1"/>
  <c r="AC106" i="20"/>
  <c r="AC13" i="20" s="1"/>
  <c r="AD106" i="20"/>
  <c r="AD13" i="20" s="1"/>
  <c r="AE106" i="20"/>
  <c r="AE13" i="20" s="1"/>
  <c r="AH13" i="20" s="1"/>
  <c r="AF106" i="20"/>
  <c r="AF13" i="20" s="1"/>
  <c r="AJ13" i="20" s="1"/>
  <c r="AG106" i="20"/>
  <c r="AG13" i="20" s="1"/>
  <c r="AK106" i="20"/>
  <c r="AK13" i="20" s="1"/>
  <c r="AL106" i="20"/>
  <c r="AL13" i="20" s="1"/>
  <c r="AP106" i="20"/>
  <c r="AP13" i="20" s="1"/>
  <c r="AQ106" i="20"/>
  <c r="AQ13" i="20" s="1"/>
  <c r="AR106" i="20"/>
  <c r="AR13" i="20" s="1"/>
  <c r="AS106" i="20"/>
  <c r="AS13" i="20" s="1"/>
  <c r="C107" i="20"/>
  <c r="G107" i="20" s="1"/>
  <c r="H107" i="20"/>
  <c r="I107" i="20"/>
  <c r="Q107" i="20"/>
  <c r="S107" i="20"/>
  <c r="Y107" i="20"/>
  <c r="Z107" i="20"/>
  <c r="AA107" i="20"/>
  <c r="AH107" i="20"/>
  <c r="AI107" i="20"/>
  <c r="AJ107" i="20"/>
  <c r="AM107" i="20"/>
  <c r="AO107" i="20" s="1"/>
  <c r="AN107" i="20"/>
  <c r="C108" i="20"/>
  <c r="G108" i="20" s="1"/>
  <c r="H108" i="20"/>
  <c r="K108" i="20" s="1"/>
  <c r="I108" i="20"/>
  <c r="M108" i="20" s="1"/>
  <c r="Q108" i="20"/>
  <c r="S108" i="20"/>
  <c r="Y108" i="20"/>
  <c r="Z108" i="20"/>
  <c r="AA108" i="20"/>
  <c r="AH108" i="20"/>
  <c r="AI108" i="20"/>
  <c r="AJ108" i="20"/>
  <c r="AM108" i="20"/>
  <c r="AO108" i="20" s="1"/>
  <c r="AN108" i="20"/>
  <c r="C109" i="20"/>
  <c r="G109" i="20" s="1"/>
  <c r="H109" i="20"/>
  <c r="K109" i="20" s="1"/>
  <c r="I109" i="20"/>
  <c r="M109" i="20" s="1"/>
  <c r="Q109" i="20"/>
  <c r="S109" i="20"/>
  <c r="Y109" i="20"/>
  <c r="Z109" i="20"/>
  <c r="AA109" i="20"/>
  <c r="AH109" i="20"/>
  <c r="AI109" i="20"/>
  <c r="AJ109" i="20"/>
  <c r="AM109" i="20"/>
  <c r="AO109" i="20" s="1"/>
  <c r="AN109" i="20"/>
  <c r="A110" i="20"/>
  <c r="A111" i="20" s="1"/>
  <c r="A112" i="20" s="1"/>
  <c r="C110" i="20"/>
  <c r="G110" i="20" s="1"/>
  <c r="H110" i="20"/>
  <c r="K110" i="20" s="1"/>
  <c r="I110" i="20"/>
  <c r="M110" i="20" s="1"/>
  <c r="Q110" i="20"/>
  <c r="S110" i="20"/>
  <c r="Y110" i="20"/>
  <c r="Z110" i="20"/>
  <c r="AA110" i="20"/>
  <c r="AH110" i="20"/>
  <c r="AI110" i="20"/>
  <c r="AJ110" i="20"/>
  <c r="AM110" i="20"/>
  <c r="AO110" i="20" s="1"/>
  <c r="AN110" i="20"/>
  <c r="C111" i="20"/>
  <c r="G111" i="20" s="1"/>
  <c r="H111" i="20"/>
  <c r="K111" i="20" s="1"/>
  <c r="I111" i="20"/>
  <c r="M111" i="20" s="1"/>
  <c r="Q111" i="20"/>
  <c r="S111" i="20"/>
  <c r="Y111" i="20"/>
  <c r="Z111" i="20"/>
  <c r="AA111" i="20"/>
  <c r="AH111" i="20"/>
  <c r="AI111" i="20"/>
  <c r="AJ111" i="20"/>
  <c r="AM111" i="20"/>
  <c r="AO111" i="20" s="1"/>
  <c r="AN111" i="20"/>
  <c r="C112" i="20"/>
  <c r="G112" i="20" s="1"/>
  <c r="H112" i="20"/>
  <c r="K112" i="20" s="1"/>
  <c r="I112" i="20"/>
  <c r="M112" i="20"/>
  <c r="Q112" i="20"/>
  <c r="S112" i="20"/>
  <c r="Y112" i="20"/>
  <c r="Z112" i="20"/>
  <c r="AA112" i="20"/>
  <c r="AH112" i="20"/>
  <c r="AI112" i="20"/>
  <c r="AJ112" i="20"/>
  <c r="AM112" i="20"/>
  <c r="AO112" i="20" s="1"/>
  <c r="AN112" i="20"/>
  <c r="C113" i="20"/>
  <c r="G113" i="20" s="1"/>
  <c r="H113" i="20"/>
  <c r="K113" i="20" s="1"/>
  <c r="I113" i="20"/>
  <c r="M113" i="20" s="1"/>
  <c r="Q113" i="20"/>
  <c r="S113" i="20"/>
  <c r="Y113" i="20"/>
  <c r="Z113" i="20"/>
  <c r="AA113" i="20"/>
  <c r="AH113" i="20"/>
  <c r="AI113" i="20"/>
  <c r="AJ113" i="20"/>
  <c r="AM113" i="20"/>
  <c r="AO113" i="20" s="1"/>
  <c r="AN113" i="20"/>
  <c r="C114" i="20"/>
  <c r="G114" i="20" s="1"/>
  <c r="H114" i="20"/>
  <c r="K114" i="20" s="1"/>
  <c r="I114" i="20"/>
  <c r="M114" i="20" s="1"/>
  <c r="Q114" i="20"/>
  <c r="S114" i="20"/>
  <c r="Y114" i="20"/>
  <c r="Z114" i="20"/>
  <c r="AA114" i="20"/>
  <c r="AH114" i="20"/>
  <c r="AI114" i="20"/>
  <c r="AJ114" i="20"/>
  <c r="AM114" i="20"/>
  <c r="AO114" i="20" s="1"/>
  <c r="AN114" i="20"/>
  <c r="AA114" i="19"/>
  <c r="X114" i="19"/>
  <c r="U114" i="19"/>
  <c r="T114" i="19"/>
  <c r="R114" i="19"/>
  <c r="M114" i="19"/>
  <c r="L114" i="19"/>
  <c r="J114" i="19"/>
  <c r="C114" i="19"/>
  <c r="G114" i="19" s="1"/>
  <c r="AA113" i="19"/>
  <c r="X113" i="19"/>
  <c r="U113" i="19"/>
  <c r="T113" i="19"/>
  <c r="R113" i="19"/>
  <c r="M113" i="19"/>
  <c r="L113" i="19"/>
  <c r="J113" i="19"/>
  <c r="C113" i="19"/>
  <c r="G113" i="19" s="1"/>
  <c r="AA112" i="19"/>
  <c r="X112" i="19"/>
  <c r="U112" i="19"/>
  <c r="T112" i="19"/>
  <c r="R112" i="19"/>
  <c r="M112" i="19"/>
  <c r="L112" i="19"/>
  <c r="J112" i="19"/>
  <c r="C112" i="19"/>
  <c r="G112" i="19" s="1"/>
  <c r="AA111" i="19"/>
  <c r="X111" i="19"/>
  <c r="U111" i="19"/>
  <c r="T111" i="19"/>
  <c r="R111" i="19"/>
  <c r="M111" i="19"/>
  <c r="L111" i="19"/>
  <c r="J111" i="19"/>
  <c r="G111" i="19"/>
  <c r="C111" i="19"/>
  <c r="AA110" i="19"/>
  <c r="X110" i="19"/>
  <c r="U110" i="19"/>
  <c r="T110" i="19"/>
  <c r="R110" i="19"/>
  <c r="M110" i="19"/>
  <c r="L110" i="19"/>
  <c r="J110" i="19"/>
  <c r="C110" i="19"/>
  <c r="G110" i="19" s="1"/>
  <c r="A110" i="19"/>
  <c r="A111" i="19" s="1"/>
  <c r="A112" i="19" s="1"/>
  <c r="AA109" i="19"/>
  <c r="X109" i="19"/>
  <c r="U109" i="19"/>
  <c r="T109" i="19"/>
  <c r="R109" i="19"/>
  <c r="M109" i="19"/>
  <c r="L109" i="19"/>
  <c r="J109" i="19"/>
  <c r="C109" i="19"/>
  <c r="G109" i="19" s="1"/>
  <c r="AA108" i="19"/>
  <c r="X108" i="19"/>
  <c r="U108" i="19"/>
  <c r="T108" i="19"/>
  <c r="R108" i="19"/>
  <c r="M108" i="19"/>
  <c r="L108" i="19"/>
  <c r="J108" i="19"/>
  <c r="C108" i="19"/>
  <c r="G108" i="19" s="1"/>
  <c r="AA107" i="19"/>
  <c r="X107" i="19"/>
  <c r="U107" i="19"/>
  <c r="T107" i="19"/>
  <c r="R107" i="19"/>
  <c r="M107" i="19"/>
  <c r="L107" i="19"/>
  <c r="J107" i="19"/>
  <c r="C107" i="19"/>
  <c r="Z106" i="19"/>
  <c r="Y106" i="19"/>
  <c r="AA106" i="19" s="1"/>
  <c r="W106" i="19"/>
  <c r="T106" i="19" s="1"/>
  <c r="T13" i="19" s="1"/>
  <c r="V106" i="19"/>
  <c r="S106" i="19"/>
  <c r="U106" i="19" s="1"/>
  <c r="Q106" i="19"/>
  <c r="Q13" i="19" s="1"/>
  <c r="P106" i="19"/>
  <c r="R106" i="19" s="1"/>
  <c r="O106" i="19"/>
  <c r="N106" i="19"/>
  <c r="K106" i="19"/>
  <c r="M106" i="19" s="1"/>
  <c r="I106" i="19"/>
  <c r="H106" i="19"/>
  <c r="J106" i="19" s="1"/>
  <c r="F106" i="19"/>
  <c r="E106" i="19"/>
  <c r="E13" i="19" s="1"/>
  <c r="D106" i="19"/>
  <c r="D13" i="19" s="1"/>
  <c r="AA105" i="19"/>
  <c r="X105" i="19"/>
  <c r="U105" i="19"/>
  <c r="T105" i="19"/>
  <c r="R105" i="19"/>
  <c r="M105" i="19"/>
  <c r="L105" i="19"/>
  <c r="J105" i="19"/>
  <c r="C105" i="19"/>
  <c r="G105" i="19" s="1"/>
  <c r="AA104" i="19"/>
  <c r="X104" i="19"/>
  <c r="U104" i="19"/>
  <c r="T104" i="19"/>
  <c r="R104" i="19"/>
  <c r="M104" i="19"/>
  <c r="L104" i="19"/>
  <c r="J104" i="19"/>
  <c r="C104" i="19"/>
  <c r="G104" i="19" s="1"/>
  <c r="AA103" i="19"/>
  <c r="X103" i="19"/>
  <c r="U103" i="19"/>
  <c r="T103" i="19"/>
  <c r="R103" i="19"/>
  <c r="M103" i="19"/>
  <c r="L103" i="19"/>
  <c r="J103" i="19"/>
  <c r="C103" i="19"/>
  <c r="G103" i="19" s="1"/>
  <c r="AA102" i="19"/>
  <c r="X102" i="19"/>
  <c r="U102" i="19"/>
  <c r="T102" i="19"/>
  <c r="R102" i="19"/>
  <c r="M102" i="19"/>
  <c r="L102" i="19"/>
  <c r="J102" i="19"/>
  <c r="C102" i="19"/>
  <c r="G102" i="19" s="1"/>
  <c r="AA101" i="19"/>
  <c r="X101" i="19"/>
  <c r="U101" i="19"/>
  <c r="T101" i="19"/>
  <c r="R101" i="19"/>
  <c r="M101" i="19"/>
  <c r="L101" i="19"/>
  <c r="J101" i="19"/>
  <c r="C101" i="19"/>
  <c r="G101" i="19" s="1"/>
  <c r="AA100" i="19"/>
  <c r="X100" i="19"/>
  <c r="U100" i="19"/>
  <c r="T100" i="19"/>
  <c r="R100" i="19"/>
  <c r="M100" i="19"/>
  <c r="L100" i="19"/>
  <c r="J100" i="19"/>
  <c r="C100" i="19"/>
  <c r="G100" i="19" s="1"/>
  <c r="AA99" i="19"/>
  <c r="X99" i="19"/>
  <c r="U99" i="19"/>
  <c r="T99" i="19"/>
  <c r="R99" i="19"/>
  <c r="M99" i="19"/>
  <c r="L99" i="19"/>
  <c r="J99" i="19"/>
  <c r="C99" i="19"/>
  <c r="G99" i="19" s="1"/>
  <c r="AA98" i="19"/>
  <c r="X98" i="19"/>
  <c r="U98" i="19"/>
  <c r="T98" i="19"/>
  <c r="R98" i="19"/>
  <c r="M98" i="19"/>
  <c r="L98" i="19"/>
  <c r="J98" i="19"/>
  <c r="C98" i="19"/>
  <c r="G98" i="19" s="1"/>
  <c r="AA97" i="19"/>
  <c r="X97" i="19"/>
  <c r="U97" i="19"/>
  <c r="T97" i="19"/>
  <c r="R97" i="19"/>
  <c r="M97" i="19"/>
  <c r="L97" i="19"/>
  <c r="J97" i="19"/>
  <c r="C97" i="19"/>
  <c r="G97" i="19" s="1"/>
  <c r="AA96" i="19"/>
  <c r="X96" i="19"/>
  <c r="U96" i="19"/>
  <c r="T96" i="19"/>
  <c r="R96" i="19"/>
  <c r="M96" i="19"/>
  <c r="L96" i="19"/>
  <c r="J96" i="19"/>
  <c r="C96" i="19"/>
  <c r="AA95" i="19"/>
  <c r="X95" i="19"/>
  <c r="U95" i="19"/>
  <c r="T95" i="19"/>
  <c r="R95" i="19"/>
  <c r="M95" i="19"/>
  <c r="L95" i="19"/>
  <c r="J95" i="19"/>
  <c r="C95" i="19"/>
  <c r="G95" i="19" s="1"/>
  <c r="A95" i="19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A94" i="19"/>
  <c r="X94" i="19"/>
  <c r="U94" i="19"/>
  <c r="T94" i="19"/>
  <c r="R94" i="19"/>
  <c r="M94" i="19"/>
  <c r="L94" i="19"/>
  <c r="J94" i="19"/>
  <c r="C94" i="19"/>
  <c r="G94" i="19" s="1"/>
  <c r="AA93" i="19"/>
  <c r="X93" i="19"/>
  <c r="U93" i="19"/>
  <c r="T93" i="19"/>
  <c r="R93" i="19"/>
  <c r="M93" i="19"/>
  <c r="L93" i="19"/>
  <c r="J93" i="19"/>
  <c r="C93" i="19"/>
  <c r="G93" i="19" s="1"/>
  <c r="AA92" i="19"/>
  <c r="X92" i="19"/>
  <c r="U92" i="19"/>
  <c r="T92" i="19"/>
  <c r="R92" i="19"/>
  <c r="M92" i="19"/>
  <c r="L92" i="19"/>
  <c r="J92" i="19"/>
  <c r="C92" i="19"/>
  <c r="G92" i="19" s="1"/>
  <c r="Z91" i="19"/>
  <c r="Z12" i="19" s="1"/>
  <c r="Y91" i="19"/>
  <c r="W91" i="19"/>
  <c r="W12" i="19" s="1"/>
  <c r="V91" i="19"/>
  <c r="X91" i="19" s="1"/>
  <c r="S91" i="19"/>
  <c r="Q91" i="19"/>
  <c r="P91" i="19"/>
  <c r="O91" i="19"/>
  <c r="N91" i="19"/>
  <c r="N12" i="19" s="1"/>
  <c r="K91" i="19"/>
  <c r="M91" i="19" s="1"/>
  <c r="I91" i="19"/>
  <c r="I12" i="19" s="1"/>
  <c r="H91" i="19"/>
  <c r="F91" i="19"/>
  <c r="E91" i="19"/>
  <c r="E12" i="19" s="1"/>
  <c r="D91" i="19"/>
  <c r="D12" i="19" s="1"/>
  <c r="Z90" i="19"/>
  <c r="AA90" i="19" s="1"/>
  <c r="W90" i="19"/>
  <c r="S90" i="19"/>
  <c r="R90" i="19"/>
  <c r="O90" i="19"/>
  <c r="L90" i="19" s="1"/>
  <c r="N90" i="19"/>
  <c r="K90" i="19"/>
  <c r="J90" i="19"/>
  <c r="F90" i="19"/>
  <c r="C90" i="19"/>
  <c r="AA89" i="19"/>
  <c r="Z89" i="19"/>
  <c r="X89" i="19"/>
  <c r="W89" i="19"/>
  <c r="S89" i="19"/>
  <c r="U89" i="19" s="1"/>
  <c r="R89" i="19"/>
  <c r="O89" i="19"/>
  <c r="L89" i="19" s="1"/>
  <c r="N89" i="19"/>
  <c r="K89" i="19"/>
  <c r="J89" i="19"/>
  <c r="F89" i="19"/>
  <c r="C89" i="19"/>
  <c r="G89" i="19" s="1"/>
  <c r="Z88" i="19"/>
  <c r="W88" i="19"/>
  <c r="X88" i="19" s="1"/>
  <c r="S88" i="19"/>
  <c r="R88" i="19"/>
  <c r="O88" i="19"/>
  <c r="L88" i="19" s="1"/>
  <c r="N88" i="19"/>
  <c r="K88" i="19"/>
  <c r="J88" i="19"/>
  <c r="F88" i="19"/>
  <c r="C88" i="19"/>
  <c r="Z87" i="19"/>
  <c r="AA87" i="19" s="1"/>
  <c r="X87" i="19"/>
  <c r="W87" i="19"/>
  <c r="S87" i="19"/>
  <c r="R87" i="19"/>
  <c r="O87" i="19"/>
  <c r="L87" i="19" s="1"/>
  <c r="N87" i="19"/>
  <c r="K87" i="19"/>
  <c r="J87" i="19"/>
  <c r="F87" i="19"/>
  <c r="C87" i="19"/>
  <c r="AA86" i="19"/>
  <c r="Z86" i="19"/>
  <c r="X86" i="19"/>
  <c r="W86" i="19"/>
  <c r="S86" i="19"/>
  <c r="U86" i="19" s="1"/>
  <c r="R86" i="19"/>
  <c r="O86" i="19"/>
  <c r="L86" i="19" s="1"/>
  <c r="N86" i="19"/>
  <c r="K86" i="19"/>
  <c r="J86" i="19"/>
  <c r="F86" i="19"/>
  <c r="C86" i="19"/>
  <c r="G86" i="19" s="1"/>
  <c r="Z85" i="19"/>
  <c r="AA85" i="19" s="1"/>
  <c r="X85" i="19"/>
  <c r="W85" i="19"/>
  <c r="S85" i="19"/>
  <c r="R85" i="19"/>
  <c r="O85" i="19"/>
  <c r="L85" i="19" s="1"/>
  <c r="N85" i="19"/>
  <c r="K85" i="19"/>
  <c r="J85" i="19"/>
  <c r="F85" i="19"/>
  <c r="C85" i="19"/>
  <c r="Z84" i="19"/>
  <c r="AA84" i="19" s="1"/>
  <c r="W84" i="19"/>
  <c r="X84" i="19" s="1"/>
  <c r="S84" i="19"/>
  <c r="R84" i="19"/>
  <c r="O84" i="19"/>
  <c r="L84" i="19" s="1"/>
  <c r="N84" i="19"/>
  <c r="K84" i="19"/>
  <c r="J84" i="19"/>
  <c r="F84" i="19"/>
  <c r="G84" i="19" s="1"/>
  <c r="C84" i="19"/>
  <c r="Z83" i="19"/>
  <c r="W83" i="19"/>
  <c r="X83" i="19" s="1"/>
  <c r="S83" i="19"/>
  <c r="R83" i="19"/>
  <c r="O83" i="19"/>
  <c r="L83" i="19" s="1"/>
  <c r="N83" i="19"/>
  <c r="K83" i="19"/>
  <c r="J83" i="19"/>
  <c r="F83" i="19"/>
  <c r="C83" i="19"/>
  <c r="AA82" i="19"/>
  <c r="Z82" i="19"/>
  <c r="W82" i="19"/>
  <c r="S82" i="19"/>
  <c r="R82" i="19"/>
  <c r="O82" i="19"/>
  <c r="L82" i="19" s="1"/>
  <c r="N82" i="19"/>
  <c r="K82" i="19"/>
  <c r="J82" i="19"/>
  <c r="F82" i="19"/>
  <c r="C82" i="19"/>
  <c r="AA81" i="19"/>
  <c r="Z81" i="19"/>
  <c r="X81" i="19"/>
  <c r="W81" i="19"/>
  <c r="S81" i="19"/>
  <c r="U81" i="19" s="1"/>
  <c r="R81" i="19"/>
  <c r="O81" i="19"/>
  <c r="L81" i="19" s="1"/>
  <c r="N81" i="19"/>
  <c r="K81" i="19"/>
  <c r="J81" i="19"/>
  <c r="F81" i="19"/>
  <c r="C81" i="19"/>
  <c r="G81" i="19" s="1"/>
  <c r="AA80" i="19"/>
  <c r="Z80" i="19"/>
  <c r="X80" i="19"/>
  <c r="W80" i="19"/>
  <c r="S80" i="19"/>
  <c r="U80" i="19" s="1"/>
  <c r="R80" i="19"/>
  <c r="O80" i="19"/>
  <c r="L80" i="19" s="1"/>
  <c r="N80" i="19"/>
  <c r="K80" i="19"/>
  <c r="J80" i="19"/>
  <c r="F80" i="19"/>
  <c r="C80" i="19"/>
  <c r="G80" i="19" s="1"/>
  <c r="Z79" i="19"/>
  <c r="AA79" i="19" s="1"/>
  <c r="X79" i="19"/>
  <c r="W79" i="19"/>
  <c r="S79" i="19"/>
  <c r="R79" i="19"/>
  <c r="O79" i="19"/>
  <c r="L79" i="19" s="1"/>
  <c r="N79" i="19"/>
  <c r="K79" i="19"/>
  <c r="J79" i="19"/>
  <c r="F79" i="19"/>
  <c r="C79" i="19"/>
  <c r="Z78" i="19"/>
  <c r="AA78" i="19" s="1"/>
  <c r="W78" i="19"/>
  <c r="S78" i="19"/>
  <c r="R78" i="19"/>
  <c r="O78" i="19"/>
  <c r="L78" i="19" s="1"/>
  <c r="N78" i="19"/>
  <c r="K78" i="19"/>
  <c r="J78" i="19"/>
  <c r="F78" i="19"/>
  <c r="C78" i="19"/>
  <c r="AA77" i="19"/>
  <c r="Z77" i="19"/>
  <c r="X77" i="19"/>
  <c r="W77" i="19"/>
  <c r="S77" i="19"/>
  <c r="U77" i="19" s="1"/>
  <c r="R77" i="19"/>
  <c r="O77" i="19"/>
  <c r="N77" i="19"/>
  <c r="K77" i="19"/>
  <c r="J77" i="19"/>
  <c r="F77" i="19"/>
  <c r="C77" i="19"/>
  <c r="G77" i="19" s="1"/>
  <c r="Y76" i="19"/>
  <c r="V76" i="19"/>
  <c r="Q76" i="19"/>
  <c r="P76" i="19"/>
  <c r="R76" i="19" s="1"/>
  <c r="I76" i="19"/>
  <c r="H76" i="19"/>
  <c r="J76" i="19" s="1"/>
  <c r="E76" i="19"/>
  <c r="D76" i="19"/>
  <c r="AA75" i="19"/>
  <c r="Z75" i="19"/>
  <c r="W75" i="19"/>
  <c r="X75" i="19" s="1"/>
  <c r="S75" i="19"/>
  <c r="R75" i="19"/>
  <c r="O75" i="19"/>
  <c r="L75" i="19" s="1"/>
  <c r="N75" i="19"/>
  <c r="K75" i="19"/>
  <c r="J75" i="19"/>
  <c r="F75" i="19"/>
  <c r="C75" i="19"/>
  <c r="Z74" i="19"/>
  <c r="AA74" i="19" s="1"/>
  <c r="W74" i="19"/>
  <c r="S74" i="19"/>
  <c r="R74" i="19"/>
  <c r="O74" i="19"/>
  <c r="L74" i="19" s="1"/>
  <c r="N74" i="19"/>
  <c r="K74" i="19"/>
  <c r="J74" i="19"/>
  <c r="F74" i="19"/>
  <c r="C74" i="19"/>
  <c r="AA73" i="19"/>
  <c r="Z73" i="19"/>
  <c r="X73" i="19"/>
  <c r="W73" i="19"/>
  <c r="U73" i="19"/>
  <c r="S73" i="19"/>
  <c r="R73" i="19"/>
  <c r="O73" i="19"/>
  <c r="L73" i="19" s="1"/>
  <c r="N73" i="19"/>
  <c r="K73" i="19"/>
  <c r="J73" i="19"/>
  <c r="F73" i="19"/>
  <c r="C73" i="19"/>
  <c r="G73" i="19" s="1"/>
  <c r="Z72" i="19"/>
  <c r="AA72" i="19" s="1"/>
  <c r="X72" i="19"/>
  <c r="W72" i="19"/>
  <c r="S72" i="19"/>
  <c r="R72" i="19"/>
  <c r="O72" i="19"/>
  <c r="L72" i="19" s="1"/>
  <c r="N72" i="19"/>
  <c r="K72" i="19"/>
  <c r="J72" i="19"/>
  <c r="F72" i="19"/>
  <c r="C72" i="19"/>
  <c r="AA71" i="19"/>
  <c r="Z71" i="19"/>
  <c r="X71" i="19"/>
  <c r="W71" i="19"/>
  <c r="S71" i="19"/>
  <c r="U71" i="19" s="1"/>
  <c r="R71" i="19"/>
  <c r="O71" i="19"/>
  <c r="L71" i="19" s="1"/>
  <c r="N71" i="19"/>
  <c r="K71" i="19"/>
  <c r="J71" i="19"/>
  <c r="F71" i="19"/>
  <c r="C71" i="19"/>
  <c r="G71" i="19" s="1"/>
  <c r="Z70" i="19"/>
  <c r="AA70" i="19" s="1"/>
  <c r="W70" i="19"/>
  <c r="X70" i="19" s="1"/>
  <c r="S70" i="19"/>
  <c r="R70" i="19"/>
  <c r="O70" i="19"/>
  <c r="L70" i="19" s="1"/>
  <c r="N70" i="19"/>
  <c r="K70" i="19"/>
  <c r="J70" i="19"/>
  <c r="F70" i="19"/>
  <c r="C70" i="19"/>
  <c r="AA69" i="19"/>
  <c r="Z69" i="19"/>
  <c r="X69" i="19"/>
  <c r="W69" i="19"/>
  <c r="U69" i="19"/>
  <c r="S69" i="19"/>
  <c r="R69" i="19"/>
  <c r="O69" i="19"/>
  <c r="L69" i="19" s="1"/>
  <c r="N69" i="19"/>
  <c r="K69" i="19"/>
  <c r="J69" i="19"/>
  <c r="F69" i="19"/>
  <c r="C69" i="19"/>
  <c r="G69" i="19" s="1"/>
  <c r="Z68" i="19"/>
  <c r="AA68" i="19" s="1"/>
  <c r="W68" i="19"/>
  <c r="X68" i="19" s="1"/>
  <c r="S68" i="19"/>
  <c r="R68" i="19"/>
  <c r="O68" i="19"/>
  <c r="L68" i="19" s="1"/>
  <c r="N68" i="19"/>
  <c r="K68" i="19"/>
  <c r="J68" i="19"/>
  <c r="F68" i="19"/>
  <c r="C68" i="19"/>
  <c r="AA67" i="19"/>
  <c r="Z67" i="19"/>
  <c r="X67" i="19"/>
  <c r="W67" i="19"/>
  <c r="S67" i="19"/>
  <c r="U67" i="19" s="1"/>
  <c r="R67" i="19"/>
  <c r="O67" i="19"/>
  <c r="L67" i="19" s="1"/>
  <c r="N67" i="19"/>
  <c r="K67" i="19"/>
  <c r="J67" i="19"/>
  <c r="F67" i="19"/>
  <c r="C67" i="19"/>
  <c r="G67" i="19" s="1"/>
  <c r="AA66" i="19"/>
  <c r="Z66" i="19"/>
  <c r="X66" i="19"/>
  <c r="W66" i="19"/>
  <c r="S66" i="19"/>
  <c r="U66" i="19" s="1"/>
  <c r="R66" i="19"/>
  <c r="O66" i="19"/>
  <c r="L66" i="19" s="1"/>
  <c r="N66" i="19"/>
  <c r="K66" i="19"/>
  <c r="J66" i="19"/>
  <c r="F66" i="19"/>
  <c r="C66" i="19"/>
  <c r="G66" i="19" s="1"/>
  <c r="Z65" i="19"/>
  <c r="AA65" i="19" s="1"/>
  <c r="X65" i="19"/>
  <c r="W65" i="19"/>
  <c r="S65" i="19"/>
  <c r="R65" i="19"/>
  <c r="O65" i="19"/>
  <c r="L65" i="19" s="1"/>
  <c r="N65" i="19"/>
  <c r="K65" i="19"/>
  <c r="J65" i="19"/>
  <c r="F65" i="19"/>
  <c r="C65" i="19"/>
  <c r="AA64" i="19"/>
  <c r="Z64" i="19"/>
  <c r="X64" i="19"/>
  <c r="W64" i="19"/>
  <c r="S64" i="19"/>
  <c r="U64" i="19" s="1"/>
  <c r="R64" i="19"/>
  <c r="O64" i="19"/>
  <c r="L64" i="19" s="1"/>
  <c r="N64" i="19"/>
  <c r="K64" i="19"/>
  <c r="J64" i="19"/>
  <c r="F64" i="19"/>
  <c r="C64" i="19"/>
  <c r="G64" i="19" s="1"/>
  <c r="AA63" i="19"/>
  <c r="Z63" i="19"/>
  <c r="W63" i="19"/>
  <c r="X63" i="19" s="1"/>
  <c r="S63" i="19"/>
  <c r="R63" i="19"/>
  <c r="O63" i="19"/>
  <c r="L63" i="19" s="1"/>
  <c r="N63" i="19"/>
  <c r="K63" i="19"/>
  <c r="J63" i="19"/>
  <c r="F63" i="19"/>
  <c r="C63" i="19"/>
  <c r="AA62" i="19"/>
  <c r="Z62" i="19"/>
  <c r="X62" i="19"/>
  <c r="W62" i="19"/>
  <c r="S62" i="19"/>
  <c r="U62" i="19" s="1"/>
  <c r="R62" i="19"/>
  <c r="O62" i="19"/>
  <c r="L62" i="19" s="1"/>
  <c r="N62" i="19"/>
  <c r="K62" i="19"/>
  <c r="J62" i="19"/>
  <c r="F62" i="19"/>
  <c r="C62" i="19"/>
  <c r="G62" i="19" s="1"/>
  <c r="Z61" i="19"/>
  <c r="AA61" i="19" s="1"/>
  <c r="W61" i="19"/>
  <c r="S61" i="19"/>
  <c r="R61" i="19"/>
  <c r="O61" i="19"/>
  <c r="L61" i="19" s="1"/>
  <c r="N61" i="19"/>
  <c r="K61" i="19"/>
  <c r="J61" i="19"/>
  <c r="F61" i="19"/>
  <c r="C61" i="19"/>
  <c r="AA60" i="19"/>
  <c r="Z60" i="19"/>
  <c r="X60" i="19"/>
  <c r="W60" i="19"/>
  <c r="S60" i="19"/>
  <c r="U60" i="19" s="1"/>
  <c r="R60" i="19"/>
  <c r="O60" i="19"/>
  <c r="L60" i="19" s="1"/>
  <c r="N60" i="19"/>
  <c r="K60" i="19"/>
  <c r="M60" i="19" s="1"/>
  <c r="J60" i="19"/>
  <c r="F60" i="19"/>
  <c r="C60" i="19"/>
  <c r="G60" i="19" s="1"/>
  <c r="AA59" i="19"/>
  <c r="Z59" i="19"/>
  <c r="W59" i="19"/>
  <c r="X59" i="19" s="1"/>
  <c r="S59" i="19"/>
  <c r="R59" i="19"/>
  <c r="O59" i="19"/>
  <c r="L59" i="19" s="1"/>
  <c r="N59" i="19"/>
  <c r="K59" i="19"/>
  <c r="J59" i="19"/>
  <c r="F59" i="19"/>
  <c r="C59" i="19"/>
  <c r="Z58" i="19"/>
  <c r="AA58" i="19" s="1"/>
  <c r="X58" i="19"/>
  <c r="W58" i="19"/>
  <c r="S58" i="19"/>
  <c r="R58" i="19"/>
  <c r="O58" i="19"/>
  <c r="L58" i="19" s="1"/>
  <c r="N58" i="19"/>
  <c r="K58" i="19"/>
  <c r="J58" i="19"/>
  <c r="F58" i="19"/>
  <c r="C58" i="19"/>
  <c r="Z57" i="19"/>
  <c r="AA57" i="19" s="1"/>
  <c r="W57" i="19"/>
  <c r="S57" i="19"/>
  <c r="R57" i="19"/>
  <c r="O57" i="19"/>
  <c r="L57" i="19" s="1"/>
  <c r="N57" i="19"/>
  <c r="K57" i="19"/>
  <c r="J57" i="19"/>
  <c r="F57" i="19"/>
  <c r="C57" i="19"/>
  <c r="AA56" i="19"/>
  <c r="Z56" i="19"/>
  <c r="X56" i="19"/>
  <c r="W56" i="19"/>
  <c r="S56" i="19"/>
  <c r="U56" i="19" s="1"/>
  <c r="R56" i="19"/>
  <c r="O56" i="19"/>
  <c r="L56" i="19" s="1"/>
  <c r="N56" i="19"/>
  <c r="K56" i="19"/>
  <c r="J56" i="19"/>
  <c r="F56" i="19"/>
  <c r="C56" i="19"/>
  <c r="G56" i="19" s="1"/>
  <c r="AA55" i="19"/>
  <c r="Z55" i="19"/>
  <c r="W55" i="19"/>
  <c r="X55" i="19" s="1"/>
  <c r="S55" i="19"/>
  <c r="R55" i="19"/>
  <c r="O55" i="19"/>
  <c r="N55" i="19"/>
  <c r="K55" i="19"/>
  <c r="J55" i="19"/>
  <c r="F55" i="19"/>
  <c r="C55" i="19"/>
  <c r="Y54" i="19"/>
  <c r="V54" i="19"/>
  <c r="Q54" i="19"/>
  <c r="P54" i="19"/>
  <c r="R54" i="19" s="1"/>
  <c r="I54" i="19"/>
  <c r="H54" i="19"/>
  <c r="J54" i="19" s="1"/>
  <c r="E54" i="19"/>
  <c r="D54" i="19"/>
  <c r="Z53" i="19"/>
  <c r="AA53" i="19" s="1"/>
  <c r="W53" i="19"/>
  <c r="S53" i="19"/>
  <c r="R53" i="19"/>
  <c r="O53" i="19"/>
  <c r="L53" i="19" s="1"/>
  <c r="N53" i="19"/>
  <c r="K53" i="19"/>
  <c r="J53" i="19"/>
  <c r="F53" i="19"/>
  <c r="C53" i="19"/>
  <c r="Z52" i="19"/>
  <c r="AA52" i="19" s="1"/>
  <c r="W52" i="19"/>
  <c r="X52" i="19" s="1"/>
  <c r="S52" i="19"/>
  <c r="R52" i="19"/>
  <c r="O52" i="19"/>
  <c r="L52" i="19" s="1"/>
  <c r="N52" i="19"/>
  <c r="K52" i="19"/>
  <c r="J52" i="19"/>
  <c r="F52" i="19"/>
  <c r="C52" i="19"/>
  <c r="Z51" i="19"/>
  <c r="AA51" i="19" s="1"/>
  <c r="W51" i="19"/>
  <c r="X51" i="19" s="1"/>
  <c r="S51" i="19"/>
  <c r="R51" i="19"/>
  <c r="O51" i="19"/>
  <c r="L51" i="19" s="1"/>
  <c r="N51" i="19"/>
  <c r="K51" i="19"/>
  <c r="J51" i="19"/>
  <c r="F51" i="19"/>
  <c r="C51" i="19"/>
  <c r="Z50" i="19"/>
  <c r="AA50" i="19" s="1"/>
  <c r="W50" i="19"/>
  <c r="S50" i="19"/>
  <c r="R50" i="19"/>
  <c r="O50" i="19"/>
  <c r="L50" i="19" s="1"/>
  <c r="N50" i="19"/>
  <c r="K50" i="19"/>
  <c r="J50" i="19"/>
  <c r="F50" i="19"/>
  <c r="C50" i="19"/>
  <c r="Z49" i="19"/>
  <c r="AA49" i="19" s="1"/>
  <c r="W49" i="19"/>
  <c r="S49" i="19"/>
  <c r="R49" i="19"/>
  <c r="O49" i="19"/>
  <c r="L49" i="19" s="1"/>
  <c r="N49" i="19"/>
  <c r="K49" i="19"/>
  <c r="J49" i="19"/>
  <c r="F49" i="19"/>
  <c r="C49" i="19"/>
  <c r="AA48" i="19"/>
  <c r="Z48" i="19"/>
  <c r="W48" i="19"/>
  <c r="X48" i="19" s="1"/>
  <c r="S48" i="19"/>
  <c r="R48" i="19"/>
  <c r="O48" i="19"/>
  <c r="L48" i="19" s="1"/>
  <c r="N48" i="19"/>
  <c r="K48" i="19"/>
  <c r="J48" i="19"/>
  <c r="F48" i="19"/>
  <c r="C48" i="19"/>
  <c r="Z47" i="19"/>
  <c r="AA47" i="19" s="1"/>
  <c r="W47" i="19"/>
  <c r="X47" i="19" s="1"/>
  <c r="S47" i="19"/>
  <c r="R47" i="19"/>
  <c r="O47" i="19"/>
  <c r="L47" i="19" s="1"/>
  <c r="N47" i="19"/>
  <c r="K47" i="19"/>
  <c r="J47" i="19"/>
  <c r="F47" i="19"/>
  <c r="C47" i="19"/>
  <c r="Z46" i="19"/>
  <c r="AA46" i="19" s="1"/>
  <c r="X46" i="19"/>
  <c r="W46" i="19"/>
  <c r="S46" i="19"/>
  <c r="R46" i="19"/>
  <c r="O46" i="19"/>
  <c r="L46" i="19" s="1"/>
  <c r="N46" i="19"/>
  <c r="K46" i="19"/>
  <c r="J46" i="19"/>
  <c r="F46" i="19"/>
  <c r="C46" i="19"/>
  <c r="Z45" i="19"/>
  <c r="AA45" i="19" s="1"/>
  <c r="W45" i="19"/>
  <c r="S45" i="19"/>
  <c r="R45" i="19"/>
  <c r="O45" i="19"/>
  <c r="L45" i="19" s="1"/>
  <c r="N45" i="19"/>
  <c r="K45" i="19"/>
  <c r="J45" i="19"/>
  <c r="F45" i="19"/>
  <c r="C45" i="19"/>
  <c r="Z44" i="19"/>
  <c r="AA44" i="19" s="1"/>
  <c r="W44" i="19"/>
  <c r="X44" i="19" s="1"/>
  <c r="S44" i="19"/>
  <c r="R44" i="19"/>
  <c r="O44" i="19"/>
  <c r="L44" i="19" s="1"/>
  <c r="N44" i="19"/>
  <c r="K44" i="19"/>
  <c r="J44" i="19"/>
  <c r="F44" i="19"/>
  <c r="C44" i="19"/>
  <c r="Z43" i="19"/>
  <c r="AA43" i="19" s="1"/>
  <c r="W43" i="19"/>
  <c r="X43" i="19" s="1"/>
  <c r="S43" i="19"/>
  <c r="R43" i="19"/>
  <c r="O43" i="19"/>
  <c r="L43" i="19" s="1"/>
  <c r="N43" i="19"/>
  <c r="K43" i="19"/>
  <c r="J43" i="19"/>
  <c r="F43" i="19"/>
  <c r="C43" i="19"/>
  <c r="Z42" i="19"/>
  <c r="AA42" i="19" s="1"/>
  <c r="W42" i="19"/>
  <c r="S42" i="19"/>
  <c r="R42" i="19"/>
  <c r="O42" i="19"/>
  <c r="L42" i="19" s="1"/>
  <c r="N42" i="19"/>
  <c r="K42" i="19"/>
  <c r="J42" i="19"/>
  <c r="F42" i="19"/>
  <c r="C42" i="19"/>
  <c r="Z41" i="19"/>
  <c r="AA41" i="19" s="1"/>
  <c r="W41" i="19"/>
  <c r="S41" i="19"/>
  <c r="R41" i="19"/>
  <c r="O41" i="19"/>
  <c r="L41" i="19" s="1"/>
  <c r="N41" i="19"/>
  <c r="K41" i="19"/>
  <c r="J41" i="19"/>
  <c r="F41" i="19"/>
  <c r="C41" i="19"/>
  <c r="AA40" i="19"/>
  <c r="Z40" i="19"/>
  <c r="W40" i="19"/>
  <c r="X40" i="19" s="1"/>
  <c r="S40" i="19"/>
  <c r="R40" i="19"/>
  <c r="O40" i="19"/>
  <c r="L40" i="19" s="1"/>
  <c r="N40" i="19"/>
  <c r="K40" i="19"/>
  <c r="J40" i="19"/>
  <c r="F40" i="19"/>
  <c r="C40" i="19"/>
  <c r="Z39" i="19"/>
  <c r="AA39" i="19" s="1"/>
  <c r="W39" i="19"/>
  <c r="X39" i="19" s="1"/>
  <c r="S39" i="19"/>
  <c r="R39" i="19"/>
  <c r="O39" i="19"/>
  <c r="L39" i="19" s="1"/>
  <c r="N39" i="19"/>
  <c r="K39" i="19"/>
  <c r="J39" i="19"/>
  <c r="F39" i="19"/>
  <c r="C39" i="19"/>
  <c r="Z38" i="19"/>
  <c r="AA38" i="19" s="1"/>
  <c r="W38" i="19"/>
  <c r="S38" i="19"/>
  <c r="R38" i="19"/>
  <c r="O38" i="19"/>
  <c r="L38" i="19" s="1"/>
  <c r="N38" i="19"/>
  <c r="K38" i="19"/>
  <c r="J38" i="19"/>
  <c r="F38" i="19"/>
  <c r="C38" i="19"/>
  <c r="Z37" i="19"/>
  <c r="AA37" i="19" s="1"/>
  <c r="W37" i="19"/>
  <c r="S37" i="19"/>
  <c r="R37" i="19"/>
  <c r="O37" i="19"/>
  <c r="N37" i="19"/>
  <c r="K37" i="19"/>
  <c r="J37" i="19"/>
  <c r="F37" i="19"/>
  <c r="G37" i="19" s="1"/>
  <c r="C37" i="19"/>
  <c r="AA36" i="19"/>
  <c r="Z36" i="19"/>
  <c r="X36" i="19"/>
  <c r="W36" i="19"/>
  <c r="S36" i="19"/>
  <c r="U36" i="19" s="1"/>
  <c r="R36" i="19"/>
  <c r="O36" i="19"/>
  <c r="L36" i="19" s="1"/>
  <c r="N36" i="19"/>
  <c r="K36" i="19"/>
  <c r="J36" i="19"/>
  <c r="F36" i="19"/>
  <c r="C36" i="19"/>
  <c r="G36" i="19" s="1"/>
  <c r="Z35" i="19"/>
  <c r="W35" i="19"/>
  <c r="X35" i="19" s="1"/>
  <c r="S35" i="19"/>
  <c r="R35" i="19"/>
  <c r="O35" i="19"/>
  <c r="L35" i="19" s="1"/>
  <c r="N35" i="19"/>
  <c r="K35" i="19"/>
  <c r="J35" i="19"/>
  <c r="F35" i="19"/>
  <c r="C35" i="19"/>
  <c r="AA34" i="19"/>
  <c r="Z34" i="19"/>
  <c r="W34" i="19"/>
  <c r="S34" i="19"/>
  <c r="R34" i="19"/>
  <c r="O34" i="19"/>
  <c r="L34" i="19" s="1"/>
  <c r="N34" i="19"/>
  <c r="K34" i="19"/>
  <c r="J34" i="19"/>
  <c r="F34" i="19"/>
  <c r="C34" i="19"/>
  <c r="Y33" i="19"/>
  <c r="V33" i="19"/>
  <c r="V10" i="19" s="1"/>
  <c r="Q33" i="19"/>
  <c r="P33" i="19"/>
  <c r="R33" i="19" s="1"/>
  <c r="I33" i="19"/>
  <c r="H33" i="19"/>
  <c r="J33" i="19" s="1"/>
  <c r="E33" i="19"/>
  <c r="D33" i="19"/>
  <c r="Z32" i="19"/>
  <c r="AA32" i="19" s="1"/>
  <c r="W32" i="19"/>
  <c r="X32" i="19" s="1"/>
  <c r="S32" i="19"/>
  <c r="R32" i="19"/>
  <c r="O32" i="19"/>
  <c r="L32" i="19" s="1"/>
  <c r="N32" i="19"/>
  <c r="K32" i="19"/>
  <c r="J32" i="19"/>
  <c r="F32" i="19"/>
  <c r="C32" i="19"/>
  <c r="Z31" i="19"/>
  <c r="AA31" i="19" s="1"/>
  <c r="W31" i="19"/>
  <c r="X31" i="19" s="1"/>
  <c r="S31" i="19"/>
  <c r="R31" i="19"/>
  <c r="O31" i="19"/>
  <c r="L31" i="19" s="1"/>
  <c r="N31" i="19"/>
  <c r="K31" i="19"/>
  <c r="J31" i="19"/>
  <c r="F31" i="19"/>
  <c r="C31" i="19"/>
  <c r="Z30" i="19"/>
  <c r="AA30" i="19" s="1"/>
  <c r="W30" i="19"/>
  <c r="S30" i="19"/>
  <c r="R30" i="19"/>
  <c r="O30" i="19"/>
  <c r="L30" i="19" s="1"/>
  <c r="N30" i="19"/>
  <c r="K30" i="19"/>
  <c r="J30" i="19"/>
  <c r="F30" i="19"/>
  <c r="C30" i="19"/>
  <c r="Z29" i="19"/>
  <c r="AA29" i="19" s="1"/>
  <c r="W29" i="19"/>
  <c r="S29" i="19"/>
  <c r="R29" i="19"/>
  <c r="O29" i="19"/>
  <c r="L29" i="19" s="1"/>
  <c r="N29" i="19"/>
  <c r="K29" i="19"/>
  <c r="J29" i="19"/>
  <c r="F29" i="19"/>
  <c r="C29" i="19"/>
  <c r="Z28" i="19"/>
  <c r="AA28" i="19" s="1"/>
  <c r="X28" i="19"/>
  <c r="W28" i="19"/>
  <c r="S28" i="19"/>
  <c r="R28" i="19"/>
  <c r="O28" i="19"/>
  <c r="L28" i="19" s="1"/>
  <c r="N28" i="19"/>
  <c r="K28" i="19"/>
  <c r="J28" i="19"/>
  <c r="F28" i="19"/>
  <c r="C28" i="19"/>
  <c r="Z27" i="19"/>
  <c r="AA27" i="19" s="1"/>
  <c r="W27" i="19"/>
  <c r="X27" i="19" s="1"/>
  <c r="S27" i="19"/>
  <c r="R27" i="19"/>
  <c r="O27" i="19"/>
  <c r="L27" i="19" s="1"/>
  <c r="N27" i="19"/>
  <c r="K27" i="19"/>
  <c r="J27" i="19"/>
  <c r="F27" i="19"/>
  <c r="C27" i="19"/>
  <c r="Z26" i="19"/>
  <c r="AA26" i="19" s="1"/>
  <c r="W26" i="19"/>
  <c r="S26" i="19"/>
  <c r="R26" i="19"/>
  <c r="O26" i="19"/>
  <c r="L26" i="19" s="1"/>
  <c r="N26" i="19"/>
  <c r="K26" i="19"/>
  <c r="J26" i="19"/>
  <c r="F26" i="19"/>
  <c r="G26" i="19" s="1"/>
  <c r="C26" i="19"/>
  <c r="Z25" i="19"/>
  <c r="AA25" i="19" s="1"/>
  <c r="W25" i="19"/>
  <c r="X25" i="19" s="1"/>
  <c r="S25" i="19"/>
  <c r="R25" i="19"/>
  <c r="O25" i="19"/>
  <c r="L25" i="19" s="1"/>
  <c r="N25" i="19"/>
  <c r="K25" i="19"/>
  <c r="J25" i="19"/>
  <c r="F25" i="19"/>
  <c r="C25" i="19"/>
  <c r="AA24" i="19"/>
  <c r="Z24" i="19"/>
  <c r="X24" i="19"/>
  <c r="W24" i="19"/>
  <c r="S24" i="19"/>
  <c r="U24" i="19" s="1"/>
  <c r="R24" i="19"/>
  <c r="O24" i="19"/>
  <c r="L24" i="19" s="1"/>
  <c r="N24" i="19"/>
  <c r="K24" i="19"/>
  <c r="J24" i="19"/>
  <c r="F24" i="19"/>
  <c r="C24" i="19"/>
  <c r="G24" i="19" s="1"/>
  <c r="Z23" i="19"/>
  <c r="AA23" i="19" s="1"/>
  <c r="W23" i="19"/>
  <c r="S23" i="19"/>
  <c r="R23" i="19"/>
  <c r="O23" i="19"/>
  <c r="L23" i="19" s="1"/>
  <c r="N23" i="19"/>
  <c r="K23" i="19"/>
  <c r="J23" i="19"/>
  <c r="F23" i="19"/>
  <c r="C23" i="19"/>
  <c r="Z22" i="19"/>
  <c r="AA22" i="19" s="1"/>
  <c r="W22" i="19"/>
  <c r="S22" i="19"/>
  <c r="R22" i="19"/>
  <c r="O22" i="19"/>
  <c r="L22" i="19" s="1"/>
  <c r="N22" i="19"/>
  <c r="K22" i="19"/>
  <c r="J22" i="19"/>
  <c r="F22" i="19"/>
  <c r="C22" i="19"/>
  <c r="Z21" i="19"/>
  <c r="AA21" i="19" s="1"/>
  <c r="W21" i="19"/>
  <c r="X21" i="19" s="1"/>
  <c r="S21" i="19"/>
  <c r="R21" i="19"/>
  <c r="O21" i="19"/>
  <c r="L21" i="19" s="1"/>
  <c r="N21" i="19"/>
  <c r="K21" i="19"/>
  <c r="J21" i="19"/>
  <c r="F21" i="19"/>
  <c r="G21" i="19" s="1"/>
  <c r="C21" i="19"/>
  <c r="Z20" i="19"/>
  <c r="AA20" i="19" s="1"/>
  <c r="W20" i="19"/>
  <c r="X20" i="19" s="1"/>
  <c r="S20" i="19"/>
  <c r="R20" i="19"/>
  <c r="O20" i="19"/>
  <c r="L20" i="19" s="1"/>
  <c r="N20" i="19"/>
  <c r="K20" i="19"/>
  <c r="J20" i="19"/>
  <c r="F20" i="19"/>
  <c r="C20" i="19"/>
  <c r="AA19" i="19"/>
  <c r="Z19" i="19"/>
  <c r="X19" i="19"/>
  <c r="W19" i="19"/>
  <c r="S19" i="19"/>
  <c r="U19" i="19" s="1"/>
  <c r="R19" i="19"/>
  <c r="O19" i="19"/>
  <c r="L19" i="19" s="1"/>
  <c r="N19" i="19"/>
  <c r="K19" i="19"/>
  <c r="M19" i="19" s="1"/>
  <c r="J19" i="19"/>
  <c r="F19" i="19"/>
  <c r="C19" i="19"/>
  <c r="G19" i="19" s="1"/>
  <c r="Z18" i="19"/>
  <c r="AA18" i="19" s="1"/>
  <c r="W18" i="19"/>
  <c r="S18" i="19"/>
  <c r="R18" i="19"/>
  <c r="O18" i="19"/>
  <c r="L18" i="19" s="1"/>
  <c r="N18" i="19"/>
  <c r="K18" i="19"/>
  <c r="J18" i="19"/>
  <c r="F18" i="19"/>
  <c r="G18" i="19" s="1"/>
  <c r="C18" i="19"/>
  <c r="Z17" i="19"/>
  <c r="AA17" i="19" s="1"/>
  <c r="W17" i="19"/>
  <c r="X17" i="19" s="1"/>
  <c r="S17" i="19"/>
  <c r="R17" i="19"/>
  <c r="O17" i="19"/>
  <c r="L17" i="19" s="1"/>
  <c r="N17" i="19"/>
  <c r="K17" i="19"/>
  <c r="J17" i="19"/>
  <c r="F17" i="19"/>
  <c r="C17" i="19"/>
  <c r="AA16" i="19"/>
  <c r="Z16" i="19"/>
  <c r="X16" i="19"/>
  <c r="W16" i="19"/>
  <c r="S16" i="19"/>
  <c r="R16" i="19"/>
  <c r="O16" i="19"/>
  <c r="L16" i="19" s="1"/>
  <c r="N16" i="19"/>
  <c r="K16" i="19"/>
  <c r="J16" i="19"/>
  <c r="F16" i="19"/>
  <c r="C16" i="19"/>
  <c r="Y15" i="19"/>
  <c r="V15" i="19"/>
  <c r="Q15" i="19"/>
  <c r="P15" i="19"/>
  <c r="I15" i="19"/>
  <c r="H15" i="19"/>
  <c r="J15" i="19" s="1"/>
  <c r="E15" i="19"/>
  <c r="D15" i="19"/>
  <c r="AA14" i="19"/>
  <c r="X14" i="19"/>
  <c r="U14" i="19"/>
  <c r="R14" i="19"/>
  <c r="M14" i="19"/>
  <c r="J14" i="19"/>
  <c r="G14" i="19"/>
  <c r="Z13" i="19"/>
  <c r="Y13" i="19"/>
  <c r="AA13" i="19" s="1"/>
  <c r="S13" i="19"/>
  <c r="U13" i="19" s="1"/>
  <c r="O13" i="19"/>
  <c r="I13" i="19"/>
  <c r="H13" i="19"/>
  <c r="J13" i="19" s="1"/>
  <c r="P12" i="19"/>
  <c r="O12" i="19"/>
  <c r="O11" i="19" s="1"/>
  <c r="J12" i="19"/>
  <c r="H12" i="19"/>
  <c r="F12" i="19"/>
  <c r="F11" i="19" s="1"/>
  <c r="D10" i="19"/>
  <c r="Y114" i="18"/>
  <c r="U114" i="18"/>
  <c r="H114" i="18"/>
  <c r="C114" i="18"/>
  <c r="G114" i="18" s="1"/>
  <c r="Y113" i="18"/>
  <c r="U113" i="18"/>
  <c r="H113" i="18"/>
  <c r="Z113" i="18" s="1"/>
  <c r="C113" i="18"/>
  <c r="G113" i="18" s="1"/>
  <c r="Y112" i="18"/>
  <c r="U112" i="18"/>
  <c r="H112" i="18"/>
  <c r="C112" i="18"/>
  <c r="Y111" i="18"/>
  <c r="U111" i="18"/>
  <c r="H111" i="18"/>
  <c r="C111" i="18"/>
  <c r="G111" i="18" s="1"/>
  <c r="Y110" i="18"/>
  <c r="U110" i="18"/>
  <c r="H110" i="18"/>
  <c r="C110" i="18"/>
  <c r="G110" i="18" s="1"/>
  <c r="A110" i="18"/>
  <c r="A111" i="18" s="1"/>
  <c r="A112" i="18" s="1"/>
  <c r="Y109" i="18"/>
  <c r="U109" i="18"/>
  <c r="L109" i="18"/>
  <c r="H109" i="18"/>
  <c r="R109" i="18" s="1"/>
  <c r="C109" i="18"/>
  <c r="G109" i="18" s="1"/>
  <c r="Y108" i="18"/>
  <c r="U108" i="18"/>
  <c r="T108" i="18"/>
  <c r="H108" i="18"/>
  <c r="R108" i="18" s="1"/>
  <c r="G108" i="18"/>
  <c r="C108" i="18"/>
  <c r="Y107" i="18"/>
  <c r="U107" i="18"/>
  <c r="H107" i="18"/>
  <c r="R107" i="18" s="1"/>
  <c r="C107" i="18"/>
  <c r="G107" i="18" s="1"/>
  <c r="AD106" i="18"/>
  <c r="AD13" i="18" s="1"/>
  <c r="AC106" i="18"/>
  <c r="AC13" i="18" s="1"/>
  <c r="AB106" i="18"/>
  <c r="AA106" i="18"/>
  <c r="AA13" i="18" s="1"/>
  <c r="X106" i="18"/>
  <c r="X13" i="18" s="1"/>
  <c r="W106" i="18"/>
  <c r="W13" i="18" s="1"/>
  <c r="S106" i="18"/>
  <c r="Q106" i="18"/>
  <c r="O106" i="18"/>
  <c r="O13" i="18" s="1"/>
  <c r="M106" i="18"/>
  <c r="M13" i="18" s="1"/>
  <c r="K106" i="18"/>
  <c r="J106" i="18"/>
  <c r="F106" i="18"/>
  <c r="E106" i="18"/>
  <c r="D106" i="18"/>
  <c r="Y105" i="18"/>
  <c r="U105" i="18"/>
  <c r="H105" i="18"/>
  <c r="C105" i="18"/>
  <c r="G105" i="18" s="1"/>
  <c r="Y104" i="18"/>
  <c r="U104" i="18"/>
  <c r="H104" i="18"/>
  <c r="R104" i="18" s="1"/>
  <c r="G104" i="18"/>
  <c r="C104" i="18"/>
  <c r="Y103" i="18"/>
  <c r="U103" i="18"/>
  <c r="H103" i="18"/>
  <c r="N103" i="18" s="1"/>
  <c r="C103" i="18"/>
  <c r="G103" i="18" s="1"/>
  <c r="Y102" i="18"/>
  <c r="U102" i="18"/>
  <c r="P102" i="18"/>
  <c r="H102" i="18"/>
  <c r="N102" i="18" s="1"/>
  <c r="C102" i="18"/>
  <c r="G102" i="18" s="1"/>
  <c r="Y101" i="18"/>
  <c r="U101" i="18"/>
  <c r="H101" i="18"/>
  <c r="R101" i="18" s="1"/>
  <c r="C101" i="18"/>
  <c r="G101" i="18" s="1"/>
  <c r="Y100" i="18"/>
  <c r="U100" i="18"/>
  <c r="P100" i="18"/>
  <c r="H100" i="18"/>
  <c r="R100" i="18" s="1"/>
  <c r="G100" i="18"/>
  <c r="C100" i="18"/>
  <c r="Y99" i="18"/>
  <c r="U99" i="18"/>
  <c r="H99" i="18"/>
  <c r="N99" i="18" s="1"/>
  <c r="C99" i="18"/>
  <c r="G99" i="18" s="1"/>
  <c r="Y98" i="18"/>
  <c r="U98" i="18"/>
  <c r="H98" i="18"/>
  <c r="C98" i="18"/>
  <c r="G98" i="18" s="1"/>
  <c r="Y97" i="18"/>
  <c r="U97" i="18"/>
  <c r="H97" i="18"/>
  <c r="N97" i="18" s="1"/>
  <c r="C97" i="18"/>
  <c r="G97" i="18" s="1"/>
  <c r="Y96" i="18"/>
  <c r="U96" i="18"/>
  <c r="T96" i="18"/>
  <c r="H96" i="18"/>
  <c r="R96" i="18" s="1"/>
  <c r="C96" i="18"/>
  <c r="G96" i="18" s="1"/>
  <c r="Y95" i="18"/>
  <c r="U95" i="18"/>
  <c r="H95" i="18"/>
  <c r="R95" i="18" s="1"/>
  <c r="C95" i="18"/>
  <c r="A95" i="18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Y94" i="18"/>
  <c r="U94" i="18"/>
  <c r="H94" i="18"/>
  <c r="C94" i="18"/>
  <c r="G94" i="18" s="1"/>
  <c r="Y93" i="18"/>
  <c r="U93" i="18"/>
  <c r="H93" i="18"/>
  <c r="P93" i="18" s="1"/>
  <c r="C93" i="18"/>
  <c r="G93" i="18" s="1"/>
  <c r="Y92" i="18"/>
  <c r="U92" i="18"/>
  <c r="H92" i="18"/>
  <c r="C92" i="18"/>
  <c r="G92" i="18" s="1"/>
  <c r="AD91" i="18"/>
  <c r="AD12" i="18" s="1"/>
  <c r="AC91" i="18"/>
  <c r="AB91" i="18"/>
  <c r="AB12" i="18" s="1"/>
  <c r="AA91" i="18"/>
  <c r="AA12" i="18" s="1"/>
  <c r="X91" i="18"/>
  <c r="W91" i="18"/>
  <c r="S91" i="18"/>
  <c r="S12" i="18" s="1"/>
  <c r="Q91" i="18"/>
  <c r="O91" i="18"/>
  <c r="M91" i="18"/>
  <c r="M12" i="18" s="1"/>
  <c r="K91" i="18"/>
  <c r="K12" i="18" s="1"/>
  <c r="J91" i="18"/>
  <c r="I91" i="18"/>
  <c r="F91" i="18"/>
  <c r="E91" i="18"/>
  <c r="D91" i="18"/>
  <c r="D12" i="18" s="1"/>
  <c r="AD90" i="18"/>
  <c r="AC90" i="18"/>
  <c r="AB90" i="18"/>
  <c r="AA90" i="18"/>
  <c r="X90" i="18"/>
  <c r="W90" i="18"/>
  <c r="S90" i="18"/>
  <c r="Q90" i="18"/>
  <c r="O90" i="18"/>
  <c r="M90" i="18"/>
  <c r="K90" i="18"/>
  <c r="H90" i="18"/>
  <c r="F90" i="18"/>
  <c r="C90" i="18"/>
  <c r="AD89" i="18"/>
  <c r="AC89" i="18"/>
  <c r="AB89" i="18"/>
  <c r="AA89" i="18"/>
  <c r="X89" i="18"/>
  <c r="W89" i="18"/>
  <c r="S89" i="18"/>
  <c r="Q89" i="18"/>
  <c r="O89" i="18"/>
  <c r="P89" i="18" s="1"/>
  <c r="M89" i="18"/>
  <c r="K89" i="18"/>
  <c r="H89" i="18"/>
  <c r="F89" i="18"/>
  <c r="C89" i="18"/>
  <c r="AD88" i="18"/>
  <c r="AC88" i="18"/>
  <c r="AB88" i="18"/>
  <c r="AA88" i="18"/>
  <c r="X88" i="18"/>
  <c r="W88" i="18"/>
  <c r="S88" i="18"/>
  <c r="Q88" i="18"/>
  <c r="O88" i="18"/>
  <c r="M88" i="18"/>
  <c r="K88" i="18"/>
  <c r="H88" i="18"/>
  <c r="F88" i="18"/>
  <c r="C88" i="18"/>
  <c r="AD87" i="18"/>
  <c r="AC87" i="18"/>
  <c r="AB87" i="18"/>
  <c r="AA87" i="18"/>
  <c r="X87" i="18"/>
  <c r="W87" i="18"/>
  <c r="S87" i="18"/>
  <c r="Q87" i="18"/>
  <c r="O87" i="18"/>
  <c r="M87" i="18"/>
  <c r="K87" i="18"/>
  <c r="H87" i="18"/>
  <c r="F87" i="18"/>
  <c r="C87" i="18"/>
  <c r="AD86" i="18"/>
  <c r="AC86" i="18"/>
  <c r="AB86" i="18"/>
  <c r="AA86" i="18"/>
  <c r="X86" i="18"/>
  <c r="W86" i="18"/>
  <c r="S86" i="18"/>
  <c r="T86" i="18" s="1"/>
  <c r="Q86" i="18"/>
  <c r="O86" i="18"/>
  <c r="P86" i="18" s="1"/>
  <c r="M86" i="18"/>
  <c r="K86" i="18"/>
  <c r="L86" i="18" s="1"/>
  <c r="H86" i="18"/>
  <c r="F86" i="18"/>
  <c r="C86" i="18"/>
  <c r="AD85" i="18"/>
  <c r="AC85" i="18"/>
  <c r="AB85" i="18"/>
  <c r="AA85" i="18"/>
  <c r="X85" i="18"/>
  <c r="W85" i="18"/>
  <c r="S85" i="18"/>
  <c r="Q85" i="18"/>
  <c r="O85" i="18"/>
  <c r="P85" i="18" s="1"/>
  <c r="M85" i="18"/>
  <c r="K85" i="18"/>
  <c r="H85" i="18"/>
  <c r="F85" i="18"/>
  <c r="C85" i="18"/>
  <c r="AD84" i="18"/>
  <c r="AC84" i="18"/>
  <c r="AB84" i="18"/>
  <c r="AA84" i="18"/>
  <c r="X84" i="18"/>
  <c r="W84" i="18"/>
  <c r="S84" i="18"/>
  <c r="Q84" i="18"/>
  <c r="O84" i="18"/>
  <c r="M84" i="18"/>
  <c r="K84" i="18"/>
  <c r="H84" i="18"/>
  <c r="F84" i="18"/>
  <c r="C84" i="18"/>
  <c r="AD83" i="18"/>
  <c r="AC83" i="18"/>
  <c r="AB83" i="18"/>
  <c r="AA83" i="18"/>
  <c r="X83" i="18"/>
  <c r="W83" i="18"/>
  <c r="S83" i="18"/>
  <c r="Q83" i="18"/>
  <c r="O83" i="18"/>
  <c r="M83" i="18"/>
  <c r="K83" i="18"/>
  <c r="H83" i="18"/>
  <c r="F83" i="18"/>
  <c r="C83" i="18"/>
  <c r="AD82" i="18"/>
  <c r="AC82" i="18"/>
  <c r="AB82" i="18"/>
  <c r="AA82" i="18"/>
  <c r="X82" i="18"/>
  <c r="W82" i="18"/>
  <c r="S82" i="18"/>
  <c r="T82" i="18" s="1"/>
  <c r="Q82" i="18"/>
  <c r="O82" i="18"/>
  <c r="P82" i="18" s="1"/>
  <c r="M82" i="18"/>
  <c r="K82" i="18"/>
  <c r="L82" i="18" s="1"/>
  <c r="H82" i="18"/>
  <c r="F82" i="18"/>
  <c r="C82" i="18"/>
  <c r="AD81" i="18"/>
  <c r="AC81" i="18"/>
  <c r="AB81" i="18"/>
  <c r="AA81" i="18"/>
  <c r="X81" i="18"/>
  <c r="W81" i="18"/>
  <c r="S81" i="18"/>
  <c r="Q81" i="18"/>
  <c r="O81" i="18"/>
  <c r="M81" i="18"/>
  <c r="K81" i="18"/>
  <c r="H81" i="18"/>
  <c r="F81" i="18"/>
  <c r="C81" i="18"/>
  <c r="AD80" i="18"/>
  <c r="AC80" i="18"/>
  <c r="AB80" i="18"/>
  <c r="AA80" i="18"/>
  <c r="X80" i="18"/>
  <c r="W80" i="18"/>
  <c r="S80" i="18"/>
  <c r="Q80" i="18"/>
  <c r="O80" i="18"/>
  <c r="M80" i="18"/>
  <c r="K80" i="18"/>
  <c r="H80" i="18"/>
  <c r="F80" i="18"/>
  <c r="C80" i="18"/>
  <c r="AD79" i="18"/>
  <c r="AC79" i="18"/>
  <c r="AB79" i="18"/>
  <c r="AA79" i="18"/>
  <c r="X79" i="18"/>
  <c r="W79" i="18"/>
  <c r="S79" i="18"/>
  <c r="Q79" i="18"/>
  <c r="O79" i="18"/>
  <c r="M79" i="18"/>
  <c r="K79" i="18"/>
  <c r="H79" i="18"/>
  <c r="F79" i="18"/>
  <c r="C79" i="18"/>
  <c r="AD78" i="18"/>
  <c r="AC78" i="18"/>
  <c r="AB78" i="18"/>
  <c r="AA78" i="18"/>
  <c r="X78" i="18"/>
  <c r="W78" i="18"/>
  <c r="S78" i="18"/>
  <c r="Q78" i="18"/>
  <c r="O78" i="18"/>
  <c r="M78" i="18"/>
  <c r="K78" i="18"/>
  <c r="H78" i="18"/>
  <c r="F78" i="18"/>
  <c r="C78" i="18"/>
  <c r="AD77" i="18"/>
  <c r="AC77" i="18"/>
  <c r="AB77" i="18"/>
  <c r="AA77" i="18"/>
  <c r="X77" i="18"/>
  <c r="W77" i="18"/>
  <c r="S77" i="18"/>
  <c r="Q77" i="18"/>
  <c r="O77" i="18"/>
  <c r="M77" i="18"/>
  <c r="K77" i="18"/>
  <c r="H77" i="18"/>
  <c r="F77" i="18"/>
  <c r="G77" i="18" s="1"/>
  <c r="C77" i="18"/>
  <c r="J76" i="18"/>
  <c r="I76" i="18"/>
  <c r="E76" i="18"/>
  <c r="D76" i="18"/>
  <c r="AD75" i="18"/>
  <c r="AC75" i="18"/>
  <c r="AB75" i="18"/>
  <c r="AA75" i="18"/>
  <c r="X75" i="18"/>
  <c r="W75" i="18"/>
  <c r="S75" i="18"/>
  <c r="Q75" i="18"/>
  <c r="O75" i="18"/>
  <c r="M75" i="18"/>
  <c r="K75" i="18"/>
  <c r="H75" i="18"/>
  <c r="F75" i="18"/>
  <c r="C75" i="18"/>
  <c r="AD74" i="18"/>
  <c r="AC74" i="18"/>
  <c r="AB74" i="18"/>
  <c r="AA74" i="18"/>
  <c r="X74" i="18"/>
  <c r="W74" i="18"/>
  <c r="S74" i="18"/>
  <c r="Q74" i="18"/>
  <c r="O74" i="18"/>
  <c r="M74" i="18"/>
  <c r="K74" i="18"/>
  <c r="H74" i="18"/>
  <c r="F74" i="18"/>
  <c r="C74" i="18"/>
  <c r="AD73" i="18"/>
  <c r="AC73" i="18"/>
  <c r="AB73" i="18"/>
  <c r="AA73" i="18"/>
  <c r="X73" i="18"/>
  <c r="W73" i="18"/>
  <c r="S73" i="18"/>
  <c r="Q73" i="18"/>
  <c r="O73" i="18"/>
  <c r="M73" i="18"/>
  <c r="K73" i="18"/>
  <c r="H73" i="18"/>
  <c r="F73" i="18"/>
  <c r="C73" i="18"/>
  <c r="AD72" i="18"/>
  <c r="AC72" i="18"/>
  <c r="AB72" i="18"/>
  <c r="AA72" i="18"/>
  <c r="X72" i="18"/>
  <c r="W72" i="18"/>
  <c r="S72" i="18"/>
  <c r="Q72" i="18"/>
  <c r="O72" i="18"/>
  <c r="M72" i="18"/>
  <c r="K72" i="18"/>
  <c r="H72" i="18"/>
  <c r="F72" i="18"/>
  <c r="G72" i="18" s="1"/>
  <c r="C72" i="18"/>
  <c r="AD71" i="18"/>
  <c r="AC71" i="18"/>
  <c r="AB71" i="18"/>
  <c r="AA71" i="18"/>
  <c r="X71" i="18"/>
  <c r="W71" i="18"/>
  <c r="S71" i="18"/>
  <c r="Q71" i="18"/>
  <c r="O71" i="18"/>
  <c r="M71" i="18"/>
  <c r="K71" i="18"/>
  <c r="H71" i="18"/>
  <c r="F71" i="18"/>
  <c r="C71" i="18"/>
  <c r="AD70" i="18"/>
  <c r="AC70" i="18"/>
  <c r="AB70" i="18"/>
  <c r="AA70" i="18"/>
  <c r="X70" i="18"/>
  <c r="W70" i="18"/>
  <c r="S70" i="18"/>
  <c r="Q70" i="18"/>
  <c r="O70" i="18"/>
  <c r="M70" i="18"/>
  <c r="K70" i="18"/>
  <c r="H70" i="18"/>
  <c r="F70" i="18"/>
  <c r="G70" i="18" s="1"/>
  <c r="C70" i="18"/>
  <c r="AD69" i="18"/>
  <c r="AC69" i="18"/>
  <c r="AB69" i="18"/>
  <c r="AA69" i="18"/>
  <c r="X69" i="18"/>
  <c r="W69" i="18"/>
  <c r="S69" i="18"/>
  <c r="Q69" i="18"/>
  <c r="O69" i="18"/>
  <c r="M69" i="18"/>
  <c r="K69" i="18"/>
  <c r="H69" i="18"/>
  <c r="F69" i="18"/>
  <c r="C69" i="18"/>
  <c r="AD68" i="18"/>
  <c r="AC68" i="18"/>
  <c r="AB68" i="18"/>
  <c r="AA68" i="18"/>
  <c r="X68" i="18"/>
  <c r="W68" i="18"/>
  <c r="S68" i="18"/>
  <c r="Q68" i="18"/>
  <c r="O68" i="18"/>
  <c r="M68" i="18"/>
  <c r="K68" i="18"/>
  <c r="H68" i="18"/>
  <c r="F68" i="18"/>
  <c r="C68" i="18"/>
  <c r="AD67" i="18"/>
  <c r="AC67" i="18"/>
  <c r="AB67" i="18"/>
  <c r="AA67" i="18"/>
  <c r="X67" i="18"/>
  <c r="W67" i="18"/>
  <c r="S67" i="18"/>
  <c r="Q67" i="18"/>
  <c r="O67" i="18"/>
  <c r="M67" i="18"/>
  <c r="K67" i="18"/>
  <c r="H67" i="18"/>
  <c r="F67" i="18"/>
  <c r="C67" i="18"/>
  <c r="AD66" i="18"/>
  <c r="AC66" i="18"/>
  <c r="AB66" i="18"/>
  <c r="AA66" i="18"/>
  <c r="X66" i="18"/>
  <c r="W66" i="18"/>
  <c r="S66" i="18"/>
  <c r="Q66" i="18"/>
  <c r="O66" i="18"/>
  <c r="M66" i="18"/>
  <c r="K66" i="18"/>
  <c r="H66" i="18"/>
  <c r="F66" i="18"/>
  <c r="G66" i="18" s="1"/>
  <c r="C66" i="18"/>
  <c r="AD65" i="18"/>
  <c r="AC65" i="18"/>
  <c r="AB65" i="18"/>
  <c r="AA65" i="18"/>
  <c r="X65" i="18"/>
  <c r="W65" i="18"/>
  <c r="S65" i="18"/>
  <c r="Q65" i="18"/>
  <c r="O65" i="18"/>
  <c r="M65" i="18"/>
  <c r="K65" i="18"/>
  <c r="H65" i="18"/>
  <c r="F65" i="18"/>
  <c r="C65" i="18"/>
  <c r="AD64" i="18"/>
  <c r="AC64" i="18"/>
  <c r="AB64" i="18"/>
  <c r="AA64" i="18"/>
  <c r="X64" i="18"/>
  <c r="W64" i="18"/>
  <c r="S64" i="18"/>
  <c r="Q64" i="18"/>
  <c r="O64" i="18"/>
  <c r="M64" i="18"/>
  <c r="K64" i="18"/>
  <c r="H64" i="18"/>
  <c r="F64" i="18"/>
  <c r="C64" i="18"/>
  <c r="AD63" i="18"/>
  <c r="AC63" i="18"/>
  <c r="AB63" i="18"/>
  <c r="AA63" i="18"/>
  <c r="X63" i="18"/>
  <c r="W63" i="18"/>
  <c r="S63" i="18"/>
  <c r="T63" i="18" s="1"/>
  <c r="Q63" i="18"/>
  <c r="O63" i="18"/>
  <c r="P63" i="18" s="1"/>
  <c r="M63" i="18"/>
  <c r="K63" i="18"/>
  <c r="L63" i="18" s="1"/>
  <c r="H63" i="18"/>
  <c r="F63" i="18"/>
  <c r="C63" i="18"/>
  <c r="AD62" i="18"/>
  <c r="AC62" i="18"/>
  <c r="AB62" i="18"/>
  <c r="AA62" i="18"/>
  <c r="X62" i="18"/>
  <c r="W62" i="18"/>
  <c r="S62" i="18"/>
  <c r="Q62" i="18"/>
  <c r="O62" i="18"/>
  <c r="P62" i="18" s="1"/>
  <c r="M62" i="18"/>
  <c r="K62" i="18"/>
  <c r="H62" i="18"/>
  <c r="F62" i="18"/>
  <c r="C62" i="18"/>
  <c r="AD61" i="18"/>
  <c r="AC61" i="18"/>
  <c r="AB61" i="18"/>
  <c r="AA61" i="18"/>
  <c r="X61" i="18"/>
  <c r="W61" i="18"/>
  <c r="S61" i="18"/>
  <c r="Q61" i="18"/>
  <c r="O61" i="18"/>
  <c r="M61" i="18"/>
  <c r="K61" i="18"/>
  <c r="H61" i="18"/>
  <c r="F61" i="18"/>
  <c r="C61" i="18"/>
  <c r="AD60" i="18"/>
  <c r="AC60" i="18"/>
  <c r="AB60" i="18"/>
  <c r="AA60" i="18"/>
  <c r="X60" i="18"/>
  <c r="W60" i="18"/>
  <c r="S60" i="18"/>
  <c r="Q60" i="18"/>
  <c r="O60" i="18"/>
  <c r="P60" i="18" s="1"/>
  <c r="M60" i="18"/>
  <c r="K60" i="18"/>
  <c r="H60" i="18"/>
  <c r="F60" i="18"/>
  <c r="C60" i="18"/>
  <c r="AD59" i="18"/>
  <c r="AC59" i="18"/>
  <c r="AB59" i="18"/>
  <c r="AA59" i="18"/>
  <c r="X59" i="18"/>
  <c r="W59" i="18"/>
  <c r="S59" i="18"/>
  <c r="T59" i="18" s="1"/>
  <c r="Q59" i="18"/>
  <c r="O59" i="18"/>
  <c r="P59" i="18" s="1"/>
  <c r="M59" i="18"/>
  <c r="K59" i="18"/>
  <c r="L59" i="18" s="1"/>
  <c r="H59" i="18"/>
  <c r="F59" i="18"/>
  <c r="C59" i="18"/>
  <c r="AD58" i="18"/>
  <c r="AC58" i="18"/>
  <c r="AB58" i="18"/>
  <c r="AA58" i="18"/>
  <c r="X58" i="18"/>
  <c r="W58" i="18"/>
  <c r="S58" i="18"/>
  <c r="Q58" i="18"/>
  <c r="O58" i="18"/>
  <c r="M58" i="18"/>
  <c r="K58" i="18"/>
  <c r="H58" i="18"/>
  <c r="F58" i="18"/>
  <c r="C58" i="18"/>
  <c r="AD57" i="18"/>
  <c r="AC57" i="18"/>
  <c r="AB57" i="18"/>
  <c r="AA57" i="18"/>
  <c r="X57" i="18"/>
  <c r="W57" i="18"/>
  <c r="S57" i="18"/>
  <c r="T57" i="18" s="1"/>
  <c r="Q57" i="18"/>
  <c r="O57" i="18"/>
  <c r="P57" i="18" s="1"/>
  <c r="M57" i="18"/>
  <c r="K57" i="18"/>
  <c r="L57" i="18" s="1"/>
  <c r="H57" i="18"/>
  <c r="F57" i="18"/>
  <c r="C57" i="18"/>
  <c r="AD56" i="18"/>
  <c r="AC56" i="18"/>
  <c r="AB56" i="18"/>
  <c r="AA56" i="18"/>
  <c r="X56" i="18"/>
  <c r="W56" i="18"/>
  <c r="S56" i="18"/>
  <c r="Q56" i="18"/>
  <c r="O56" i="18"/>
  <c r="P56" i="18" s="1"/>
  <c r="M56" i="18"/>
  <c r="K56" i="18"/>
  <c r="H56" i="18"/>
  <c r="F56" i="18"/>
  <c r="C56" i="18"/>
  <c r="AD55" i="18"/>
  <c r="AC55" i="18"/>
  <c r="AB55" i="18"/>
  <c r="AA55" i="18"/>
  <c r="X55" i="18"/>
  <c r="W55" i="18"/>
  <c r="S55" i="18"/>
  <c r="Q55" i="18"/>
  <c r="O55" i="18"/>
  <c r="M55" i="18"/>
  <c r="K55" i="18"/>
  <c r="H55" i="18"/>
  <c r="H54" i="18" s="1"/>
  <c r="F55" i="18"/>
  <c r="C55" i="18"/>
  <c r="J54" i="18"/>
  <c r="I54" i="18"/>
  <c r="E54" i="18"/>
  <c r="D54" i="18"/>
  <c r="AD53" i="18"/>
  <c r="AC53" i="18"/>
  <c r="AB53" i="18"/>
  <c r="AA53" i="18"/>
  <c r="X53" i="18"/>
  <c r="W53" i="18"/>
  <c r="S53" i="18"/>
  <c r="Q53" i="18"/>
  <c r="O53" i="18"/>
  <c r="M53" i="18"/>
  <c r="K53" i="18"/>
  <c r="H53" i="18"/>
  <c r="F53" i="18"/>
  <c r="C53" i="18"/>
  <c r="AD52" i="18"/>
  <c r="AC52" i="18"/>
  <c r="AB52" i="18"/>
  <c r="AA52" i="18"/>
  <c r="X52" i="18"/>
  <c r="W52" i="18"/>
  <c r="S52" i="18"/>
  <c r="Q52" i="18"/>
  <c r="O52" i="18"/>
  <c r="M52" i="18"/>
  <c r="K52" i="18"/>
  <c r="H52" i="18"/>
  <c r="F52" i="18"/>
  <c r="C52" i="18"/>
  <c r="AD51" i="18"/>
  <c r="AC51" i="18"/>
  <c r="AB51" i="18"/>
  <c r="AA51" i="18"/>
  <c r="X51" i="18"/>
  <c r="W51" i="18"/>
  <c r="S51" i="18"/>
  <c r="Q51" i="18"/>
  <c r="O51" i="18"/>
  <c r="M51" i="18"/>
  <c r="K51" i="18"/>
  <c r="H51" i="18"/>
  <c r="F51" i="18"/>
  <c r="C51" i="18"/>
  <c r="AD50" i="18"/>
  <c r="AC50" i="18"/>
  <c r="AB50" i="18"/>
  <c r="AA50" i="18"/>
  <c r="X50" i="18"/>
  <c r="W50" i="18"/>
  <c r="S50" i="18"/>
  <c r="Q50" i="18"/>
  <c r="O50" i="18"/>
  <c r="M50" i="18"/>
  <c r="K50" i="18"/>
  <c r="H50" i="18"/>
  <c r="F50" i="18"/>
  <c r="C50" i="18"/>
  <c r="AD49" i="18"/>
  <c r="AC49" i="18"/>
  <c r="AB49" i="18"/>
  <c r="AA49" i="18"/>
  <c r="X49" i="18"/>
  <c r="W49" i="18"/>
  <c r="S49" i="18"/>
  <c r="Q49" i="18"/>
  <c r="O49" i="18"/>
  <c r="M49" i="18"/>
  <c r="K49" i="18"/>
  <c r="H49" i="18"/>
  <c r="F49" i="18"/>
  <c r="C49" i="18"/>
  <c r="AD48" i="18"/>
  <c r="AC48" i="18"/>
  <c r="AB48" i="18"/>
  <c r="AA48" i="18"/>
  <c r="X48" i="18"/>
  <c r="W48" i="18"/>
  <c r="S48" i="18"/>
  <c r="Q48" i="18"/>
  <c r="O48" i="18"/>
  <c r="M48" i="18"/>
  <c r="K48" i="18"/>
  <c r="H48" i="18"/>
  <c r="F48" i="18"/>
  <c r="C48" i="18"/>
  <c r="AD47" i="18"/>
  <c r="AC47" i="18"/>
  <c r="AB47" i="18"/>
  <c r="AA47" i="18"/>
  <c r="X47" i="18"/>
  <c r="W47" i="18"/>
  <c r="S47" i="18"/>
  <c r="Q47" i="18"/>
  <c r="O47" i="18"/>
  <c r="M47" i="18"/>
  <c r="K47" i="18"/>
  <c r="H47" i="18"/>
  <c r="F47" i="18"/>
  <c r="C47" i="18"/>
  <c r="AD46" i="18"/>
  <c r="AC46" i="18"/>
  <c r="AB46" i="18"/>
  <c r="AA46" i="18"/>
  <c r="X46" i="18"/>
  <c r="W46" i="18"/>
  <c r="S46" i="18"/>
  <c r="Q46" i="18"/>
  <c r="O46" i="18"/>
  <c r="M46" i="18"/>
  <c r="K46" i="18"/>
  <c r="H46" i="18"/>
  <c r="F46" i="18"/>
  <c r="C46" i="18"/>
  <c r="AD45" i="18"/>
  <c r="AC45" i="18"/>
  <c r="AB45" i="18"/>
  <c r="AA45" i="18"/>
  <c r="X45" i="18"/>
  <c r="W45" i="18"/>
  <c r="S45" i="18"/>
  <c r="Q45" i="18"/>
  <c r="O45" i="18"/>
  <c r="M45" i="18"/>
  <c r="K45" i="18"/>
  <c r="H45" i="18"/>
  <c r="F45" i="18"/>
  <c r="C45" i="18"/>
  <c r="AD44" i="18"/>
  <c r="AC44" i="18"/>
  <c r="AB44" i="18"/>
  <c r="AA44" i="18"/>
  <c r="X44" i="18"/>
  <c r="W44" i="18"/>
  <c r="S44" i="18"/>
  <c r="Q44" i="18"/>
  <c r="O44" i="18"/>
  <c r="M44" i="18"/>
  <c r="K44" i="18"/>
  <c r="H44" i="18"/>
  <c r="F44" i="18"/>
  <c r="C44" i="18"/>
  <c r="AD43" i="18"/>
  <c r="AC43" i="18"/>
  <c r="AB43" i="18"/>
  <c r="AA43" i="18"/>
  <c r="X43" i="18"/>
  <c r="W43" i="18"/>
  <c r="S43" i="18"/>
  <c r="Q43" i="18"/>
  <c r="O43" i="18"/>
  <c r="M43" i="18"/>
  <c r="K43" i="18"/>
  <c r="H43" i="18"/>
  <c r="F43" i="18"/>
  <c r="C43" i="18"/>
  <c r="AD42" i="18"/>
  <c r="AC42" i="18"/>
  <c r="AB42" i="18"/>
  <c r="AA42" i="18"/>
  <c r="X42" i="18"/>
  <c r="W42" i="18"/>
  <c r="S42" i="18"/>
  <c r="Q42" i="18"/>
  <c r="O42" i="18"/>
  <c r="M42" i="18"/>
  <c r="K42" i="18"/>
  <c r="H42" i="18"/>
  <c r="F42" i="18"/>
  <c r="C42" i="18"/>
  <c r="AD41" i="18"/>
  <c r="AC41" i="18"/>
  <c r="AB41" i="18"/>
  <c r="AA41" i="18"/>
  <c r="X41" i="18"/>
  <c r="W41" i="18"/>
  <c r="S41" i="18"/>
  <c r="Q41" i="18"/>
  <c r="O41" i="18"/>
  <c r="M41" i="18"/>
  <c r="K41" i="18"/>
  <c r="H41" i="18"/>
  <c r="F41" i="18"/>
  <c r="C41" i="18"/>
  <c r="AD40" i="18"/>
  <c r="AC40" i="18"/>
  <c r="AB40" i="18"/>
  <c r="AA40" i="18"/>
  <c r="X40" i="18"/>
  <c r="W40" i="18"/>
  <c r="S40" i="18"/>
  <c r="Q40" i="18"/>
  <c r="O40" i="18"/>
  <c r="M40" i="18"/>
  <c r="K40" i="18"/>
  <c r="H40" i="18"/>
  <c r="F40" i="18"/>
  <c r="C40" i="18"/>
  <c r="AD39" i="18"/>
  <c r="AC39" i="18"/>
  <c r="AB39" i="18"/>
  <c r="AA39" i="18"/>
  <c r="X39" i="18"/>
  <c r="W39" i="18"/>
  <c r="S39" i="18"/>
  <c r="Q39" i="18"/>
  <c r="O39" i="18"/>
  <c r="M39" i="18"/>
  <c r="K39" i="18"/>
  <c r="H39" i="18"/>
  <c r="F39" i="18"/>
  <c r="C39" i="18"/>
  <c r="AD38" i="18"/>
  <c r="AC38" i="18"/>
  <c r="AB38" i="18"/>
  <c r="AA38" i="18"/>
  <c r="X38" i="18"/>
  <c r="W38" i="18"/>
  <c r="S38" i="18"/>
  <c r="Q38" i="18"/>
  <c r="O38" i="18"/>
  <c r="M38" i="18"/>
  <c r="K38" i="18"/>
  <c r="H38" i="18"/>
  <c r="F38" i="18"/>
  <c r="C38" i="18"/>
  <c r="AD37" i="18"/>
  <c r="AC37" i="18"/>
  <c r="AB37" i="18"/>
  <c r="AA37" i="18"/>
  <c r="X37" i="18"/>
  <c r="W37" i="18"/>
  <c r="S37" i="18"/>
  <c r="Q37" i="18"/>
  <c r="O37" i="18"/>
  <c r="M37" i="18"/>
  <c r="K37" i="18"/>
  <c r="H37" i="18"/>
  <c r="F37" i="18"/>
  <c r="C37" i="18"/>
  <c r="AD36" i="18"/>
  <c r="AC36" i="18"/>
  <c r="AB36" i="18"/>
  <c r="AA36" i="18"/>
  <c r="X36" i="18"/>
  <c r="W36" i="18"/>
  <c r="S36" i="18"/>
  <c r="Q36" i="18"/>
  <c r="O36" i="18"/>
  <c r="P36" i="18" s="1"/>
  <c r="M36" i="18"/>
  <c r="K36" i="18"/>
  <c r="L36" i="18" s="1"/>
  <c r="H36" i="18"/>
  <c r="F36" i="18"/>
  <c r="C36" i="18"/>
  <c r="AD35" i="18"/>
  <c r="AC35" i="18"/>
  <c r="AB35" i="18"/>
  <c r="AA35" i="18"/>
  <c r="X35" i="18"/>
  <c r="W35" i="18"/>
  <c r="S35" i="18"/>
  <c r="Q35" i="18"/>
  <c r="O35" i="18"/>
  <c r="M35" i="18"/>
  <c r="K35" i="18"/>
  <c r="H35" i="18"/>
  <c r="F35" i="18"/>
  <c r="C35" i="18"/>
  <c r="AD34" i="18"/>
  <c r="AC34" i="18"/>
  <c r="AB34" i="18"/>
  <c r="AA34" i="18"/>
  <c r="X34" i="18"/>
  <c r="W34" i="18"/>
  <c r="S34" i="18"/>
  <c r="Q34" i="18"/>
  <c r="O34" i="18"/>
  <c r="P34" i="18" s="1"/>
  <c r="M34" i="18"/>
  <c r="K34" i="18"/>
  <c r="H34" i="18"/>
  <c r="F34" i="18"/>
  <c r="C34" i="18"/>
  <c r="J33" i="18"/>
  <c r="E33" i="18"/>
  <c r="D33" i="18"/>
  <c r="AD32" i="18"/>
  <c r="AC32" i="18"/>
  <c r="AB32" i="18"/>
  <c r="AA32" i="18"/>
  <c r="X32" i="18"/>
  <c r="W32" i="18"/>
  <c r="S32" i="18"/>
  <c r="Q32" i="18"/>
  <c r="O32" i="18"/>
  <c r="M32" i="18"/>
  <c r="K32" i="18"/>
  <c r="H32" i="18"/>
  <c r="F32" i="18"/>
  <c r="C32" i="18"/>
  <c r="AD31" i="18"/>
  <c r="AC31" i="18"/>
  <c r="AB31" i="18"/>
  <c r="AA31" i="18"/>
  <c r="X31" i="18"/>
  <c r="W31" i="18"/>
  <c r="S31" i="18"/>
  <c r="Q31" i="18"/>
  <c r="O31" i="18"/>
  <c r="M31" i="18"/>
  <c r="N31" i="18" s="1"/>
  <c r="K31" i="18"/>
  <c r="H31" i="18"/>
  <c r="F31" i="18"/>
  <c r="C31" i="18"/>
  <c r="AD30" i="18"/>
  <c r="AC30" i="18"/>
  <c r="AB30" i="18"/>
  <c r="AA30" i="18"/>
  <c r="X30" i="18"/>
  <c r="W30" i="18"/>
  <c r="S30" i="18"/>
  <c r="Q30" i="18"/>
  <c r="O30" i="18"/>
  <c r="M30" i="18"/>
  <c r="K30" i="18"/>
  <c r="H30" i="18"/>
  <c r="F30" i="18"/>
  <c r="C30" i="18"/>
  <c r="AD29" i="18"/>
  <c r="AC29" i="18"/>
  <c r="AB29" i="18"/>
  <c r="AA29" i="18"/>
  <c r="X29" i="18"/>
  <c r="W29" i="18"/>
  <c r="S29" i="18"/>
  <c r="T29" i="18" s="1"/>
  <c r="Q29" i="18"/>
  <c r="O29" i="18"/>
  <c r="M29" i="18"/>
  <c r="K29" i="18"/>
  <c r="H29" i="18"/>
  <c r="F29" i="18"/>
  <c r="C29" i="18"/>
  <c r="AD28" i="18"/>
  <c r="AC28" i="18"/>
  <c r="AB28" i="18"/>
  <c r="AA28" i="18"/>
  <c r="X28" i="18"/>
  <c r="W28" i="18"/>
  <c r="S28" i="18"/>
  <c r="Q28" i="18"/>
  <c r="O28" i="18"/>
  <c r="M28" i="18"/>
  <c r="K28" i="18"/>
  <c r="H28" i="18"/>
  <c r="F28" i="18"/>
  <c r="C28" i="18"/>
  <c r="AD27" i="18"/>
  <c r="AC27" i="18"/>
  <c r="AB27" i="18"/>
  <c r="AA27" i="18"/>
  <c r="X27" i="18"/>
  <c r="W27" i="18"/>
  <c r="S27" i="18"/>
  <c r="Q27" i="18"/>
  <c r="O27" i="18"/>
  <c r="M27" i="18"/>
  <c r="K27" i="18"/>
  <c r="H27" i="18"/>
  <c r="F27" i="18"/>
  <c r="C27" i="18"/>
  <c r="AD26" i="18"/>
  <c r="AC26" i="18"/>
  <c r="AB26" i="18"/>
  <c r="AA26" i="18"/>
  <c r="X26" i="18"/>
  <c r="W26" i="18"/>
  <c r="S26" i="18"/>
  <c r="Q26" i="18"/>
  <c r="O26" i="18"/>
  <c r="M26" i="18"/>
  <c r="K26" i="18"/>
  <c r="H26" i="18"/>
  <c r="F26" i="18"/>
  <c r="G26" i="18" s="1"/>
  <c r="C26" i="18"/>
  <c r="AD25" i="18"/>
  <c r="AC25" i="18"/>
  <c r="AB25" i="18"/>
  <c r="AA25" i="18"/>
  <c r="X25" i="18"/>
  <c r="W25" i="18"/>
  <c r="S25" i="18"/>
  <c r="Q25" i="18"/>
  <c r="O25" i="18"/>
  <c r="M25" i="18"/>
  <c r="N25" i="18" s="1"/>
  <c r="K25" i="18"/>
  <c r="H25" i="18"/>
  <c r="F25" i="18"/>
  <c r="C25" i="18"/>
  <c r="AD24" i="18"/>
  <c r="AC24" i="18"/>
  <c r="AB24" i="18"/>
  <c r="AA24" i="18"/>
  <c r="X24" i="18"/>
  <c r="W24" i="18"/>
  <c r="S24" i="18"/>
  <c r="Q24" i="18"/>
  <c r="O24" i="18"/>
  <c r="M24" i="18"/>
  <c r="K24" i="18"/>
  <c r="H24" i="18"/>
  <c r="F24" i="18"/>
  <c r="C24" i="18"/>
  <c r="AD23" i="18"/>
  <c r="AC23" i="18"/>
  <c r="AB23" i="18"/>
  <c r="AA23" i="18"/>
  <c r="X23" i="18"/>
  <c r="W23" i="18"/>
  <c r="S23" i="18"/>
  <c r="Q23" i="18"/>
  <c r="O23" i="18"/>
  <c r="M23" i="18"/>
  <c r="K23" i="18"/>
  <c r="H23" i="18"/>
  <c r="F23" i="18"/>
  <c r="C23" i="18"/>
  <c r="AD22" i="18"/>
  <c r="AC22" i="18"/>
  <c r="AB22" i="18"/>
  <c r="AA22" i="18"/>
  <c r="X22" i="18"/>
  <c r="W22" i="18"/>
  <c r="S22" i="18"/>
  <c r="Q22" i="18"/>
  <c r="O22" i="18"/>
  <c r="M22" i="18"/>
  <c r="K22" i="18"/>
  <c r="H22" i="18"/>
  <c r="F22" i="18"/>
  <c r="C22" i="18"/>
  <c r="AD21" i="18"/>
  <c r="AC21" i="18"/>
  <c r="AB21" i="18"/>
  <c r="AA21" i="18"/>
  <c r="X21" i="18"/>
  <c r="W21" i="18"/>
  <c r="S21" i="18"/>
  <c r="Q21" i="18"/>
  <c r="O21" i="18"/>
  <c r="M21" i="18"/>
  <c r="K21" i="18"/>
  <c r="H21" i="18"/>
  <c r="F21" i="18"/>
  <c r="C21" i="18"/>
  <c r="AD20" i="18"/>
  <c r="AC20" i="18"/>
  <c r="AB20" i="18"/>
  <c r="AA20" i="18"/>
  <c r="X20" i="18"/>
  <c r="W20" i="18"/>
  <c r="S20" i="18"/>
  <c r="Q20" i="18"/>
  <c r="O20" i="18"/>
  <c r="M20" i="18"/>
  <c r="K20" i="18"/>
  <c r="H20" i="18"/>
  <c r="F20" i="18"/>
  <c r="G20" i="18" s="1"/>
  <c r="C20" i="18"/>
  <c r="AD19" i="18"/>
  <c r="AC19" i="18"/>
  <c r="AB19" i="18"/>
  <c r="AA19" i="18"/>
  <c r="X19" i="18"/>
  <c r="W19" i="18"/>
  <c r="S19" i="18"/>
  <c r="Q19" i="18"/>
  <c r="O19" i="18"/>
  <c r="M19" i="18"/>
  <c r="K19" i="18"/>
  <c r="H19" i="18"/>
  <c r="F19" i="18"/>
  <c r="C19" i="18"/>
  <c r="AD18" i="18"/>
  <c r="AC18" i="18"/>
  <c r="AB18" i="18"/>
  <c r="AA18" i="18"/>
  <c r="X18" i="18"/>
  <c r="W18" i="18"/>
  <c r="S18" i="18"/>
  <c r="Q18" i="18"/>
  <c r="O18" i="18"/>
  <c r="M18" i="18"/>
  <c r="K18" i="18"/>
  <c r="H18" i="18"/>
  <c r="F18" i="18"/>
  <c r="C18" i="18"/>
  <c r="AD17" i="18"/>
  <c r="AC17" i="18"/>
  <c r="AB17" i="18"/>
  <c r="AA17" i="18"/>
  <c r="X17" i="18"/>
  <c r="W17" i="18"/>
  <c r="S17" i="18"/>
  <c r="Q17" i="18"/>
  <c r="O17" i="18"/>
  <c r="M17" i="18"/>
  <c r="N17" i="18" s="1"/>
  <c r="K17" i="18"/>
  <c r="H17" i="18"/>
  <c r="F17" i="18"/>
  <c r="C17" i="18"/>
  <c r="AD16" i="18"/>
  <c r="AC16" i="18"/>
  <c r="AB16" i="18"/>
  <c r="AA16" i="18"/>
  <c r="X16" i="18"/>
  <c r="W16" i="18"/>
  <c r="S16" i="18"/>
  <c r="Q16" i="18"/>
  <c r="O16" i="18"/>
  <c r="M16" i="18"/>
  <c r="K16" i="18"/>
  <c r="H16" i="18"/>
  <c r="F16" i="18"/>
  <c r="C16" i="18"/>
  <c r="J15" i="18"/>
  <c r="E15" i="18"/>
  <c r="D15" i="18"/>
  <c r="D10" i="18" s="1"/>
  <c r="AB13" i="18"/>
  <c r="Z13" i="18"/>
  <c r="V13" i="18"/>
  <c r="T13" i="18"/>
  <c r="S13" i="18"/>
  <c r="R13" i="18"/>
  <c r="Q13" i="18"/>
  <c r="P13" i="18"/>
  <c r="N13" i="18"/>
  <c r="L13" i="18"/>
  <c r="K13" i="18"/>
  <c r="E13" i="18"/>
  <c r="D13" i="18"/>
  <c r="AC12" i="18"/>
  <c r="Z12" i="18"/>
  <c r="X12" i="18"/>
  <c r="W12" i="18"/>
  <c r="V12" i="18"/>
  <c r="T12" i="18"/>
  <c r="R12" i="18"/>
  <c r="Q12" i="18"/>
  <c r="Q11" i="18" s="1"/>
  <c r="P12" i="18"/>
  <c r="O12" i="18"/>
  <c r="N12" i="18"/>
  <c r="L12" i="18"/>
  <c r="F12" i="18"/>
  <c r="F11" i="18" s="1"/>
  <c r="E12" i="18"/>
  <c r="Z11" i="18"/>
  <c r="V11" i="18"/>
  <c r="T11" i="18"/>
  <c r="R11" i="18"/>
  <c r="P11" i="18"/>
  <c r="N11" i="18"/>
  <c r="L11" i="18"/>
  <c r="U114" i="17"/>
  <c r="R114" i="17"/>
  <c r="O114" i="17"/>
  <c r="L114" i="17"/>
  <c r="C114" i="17"/>
  <c r="G114" i="17" s="1"/>
  <c r="U113" i="17"/>
  <c r="R113" i="17"/>
  <c r="O113" i="17"/>
  <c r="L113" i="17"/>
  <c r="G113" i="17"/>
  <c r="C113" i="17"/>
  <c r="U112" i="17"/>
  <c r="R112" i="17"/>
  <c r="O112" i="17"/>
  <c r="L112" i="17"/>
  <c r="C112" i="17"/>
  <c r="G112" i="17" s="1"/>
  <c r="U111" i="17"/>
  <c r="R111" i="17"/>
  <c r="O111" i="17"/>
  <c r="L111" i="17"/>
  <c r="C111" i="17"/>
  <c r="G111" i="17" s="1"/>
  <c r="U110" i="17"/>
  <c r="R110" i="17"/>
  <c r="O110" i="17"/>
  <c r="L110" i="17"/>
  <c r="C110" i="17"/>
  <c r="G110" i="17" s="1"/>
  <c r="A110" i="17"/>
  <c r="A111" i="17" s="1"/>
  <c r="A112" i="17" s="1"/>
  <c r="U109" i="17"/>
  <c r="R109" i="17"/>
  <c r="O109" i="17"/>
  <c r="L109" i="17"/>
  <c r="C109" i="17"/>
  <c r="G109" i="17" s="1"/>
  <c r="U108" i="17"/>
  <c r="R108" i="17"/>
  <c r="O108" i="17"/>
  <c r="L108" i="17"/>
  <c r="C108" i="17"/>
  <c r="G108" i="17" s="1"/>
  <c r="U107" i="17"/>
  <c r="R107" i="17"/>
  <c r="O107" i="17"/>
  <c r="L107" i="17"/>
  <c r="G107" i="17"/>
  <c r="C107" i="17"/>
  <c r="T106" i="17"/>
  <c r="S106" i="17"/>
  <c r="S13" i="17" s="1"/>
  <c r="Q106" i="17"/>
  <c r="P106" i="17"/>
  <c r="P13" i="17" s="1"/>
  <c r="N106" i="17"/>
  <c r="N13" i="17" s="1"/>
  <c r="M106" i="17"/>
  <c r="K106" i="17"/>
  <c r="K13" i="17" s="1"/>
  <c r="J106" i="17"/>
  <c r="J13" i="17" s="1"/>
  <c r="I106" i="17"/>
  <c r="H106" i="17"/>
  <c r="U106" i="17" s="1"/>
  <c r="F106" i="17"/>
  <c r="E106" i="17"/>
  <c r="E13" i="17" s="1"/>
  <c r="D106" i="17"/>
  <c r="U105" i="17"/>
  <c r="R105" i="17"/>
  <c r="O105" i="17"/>
  <c r="L105" i="17"/>
  <c r="C105" i="17"/>
  <c r="G105" i="17" s="1"/>
  <c r="U104" i="17"/>
  <c r="R104" i="17"/>
  <c r="O104" i="17"/>
  <c r="L104" i="17"/>
  <c r="C104" i="17"/>
  <c r="G104" i="17" s="1"/>
  <c r="U103" i="17"/>
  <c r="R103" i="17"/>
  <c r="O103" i="17"/>
  <c r="L103" i="17"/>
  <c r="C103" i="17"/>
  <c r="G103" i="17" s="1"/>
  <c r="U102" i="17"/>
  <c r="R102" i="17"/>
  <c r="O102" i="17"/>
  <c r="L102" i="17"/>
  <c r="C102" i="17"/>
  <c r="G102" i="17" s="1"/>
  <c r="U101" i="17"/>
  <c r="R101" i="17"/>
  <c r="O101" i="17"/>
  <c r="L101" i="17"/>
  <c r="G101" i="17"/>
  <c r="C101" i="17"/>
  <c r="U100" i="17"/>
  <c r="R100" i="17"/>
  <c r="O100" i="17"/>
  <c r="L100" i="17"/>
  <c r="C100" i="17"/>
  <c r="G100" i="17" s="1"/>
  <c r="U99" i="17"/>
  <c r="R99" i="17"/>
  <c r="O99" i="17"/>
  <c r="L99" i="17"/>
  <c r="C99" i="17"/>
  <c r="G99" i="17" s="1"/>
  <c r="U98" i="17"/>
  <c r="R98" i="17"/>
  <c r="O98" i="17"/>
  <c r="L98" i="17"/>
  <c r="C98" i="17"/>
  <c r="G98" i="17" s="1"/>
  <c r="U97" i="17"/>
  <c r="R97" i="17"/>
  <c r="O97" i="17"/>
  <c r="L97" i="17"/>
  <c r="C97" i="17"/>
  <c r="G97" i="17" s="1"/>
  <c r="U96" i="17"/>
  <c r="R96" i="17"/>
  <c r="O96" i="17"/>
  <c r="L96" i="17"/>
  <c r="C96" i="17"/>
  <c r="G96" i="17" s="1"/>
  <c r="U95" i="17"/>
  <c r="R95" i="17"/>
  <c r="O95" i="17"/>
  <c r="L95" i="17"/>
  <c r="C95" i="17"/>
  <c r="G95" i="17" s="1"/>
  <c r="A95" i="17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U94" i="17"/>
  <c r="R94" i="17"/>
  <c r="O94" i="17"/>
  <c r="L94" i="17"/>
  <c r="C94" i="17"/>
  <c r="G94" i="17" s="1"/>
  <c r="U93" i="17"/>
  <c r="R93" i="17"/>
  <c r="O93" i="17"/>
  <c r="L93" i="17"/>
  <c r="C93" i="17"/>
  <c r="G93" i="17" s="1"/>
  <c r="U92" i="17"/>
  <c r="R92" i="17"/>
  <c r="O92" i="17"/>
  <c r="L92" i="17"/>
  <c r="C92" i="17"/>
  <c r="T91" i="17"/>
  <c r="T12" i="17" s="1"/>
  <c r="S91" i="17"/>
  <c r="Q91" i="17"/>
  <c r="Q12" i="17" s="1"/>
  <c r="P91" i="17"/>
  <c r="P12" i="17" s="1"/>
  <c r="N91" i="17"/>
  <c r="M91" i="17"/>
  <c r="M12" i="17" s="1"/>
  <c r="L91" i="17"/>
  <c r="K91" i="17"/>
  <c r="K12" i="17" s="1"/>
  <c r="K11" i="17" s="1"/>
  <c r="J91" i="17"/>
  <c r="I91" i="17"/>
  <c r="I12" i="17" s="1"/>
  <c r="L12" i="17" s="1"/>
  <c r="H91" i="17"/>
  <c r="F91" i="17"/>
  <c r="F12" i="17" s="1"/>
  <c r="F11" i="17" s="1"/>
  <c r="E91" i="17"/>
  <c r="E12" i="17" s="1"/>
  <c r="D91" i="17"/>
  <c r="D12" i="17" s="1"/>
  <c r="U90" i="17"/>
  <c r="T90" i="17"/>
  <c r="S90" i="17"/>
  <c r="R90" i="17"/>
  <c r="Q90" i="17"/>
  <c r="P90" i="17"/>
  <c r="O90" i="17"/>
  <c r="N90" i="17"/>
  <c r="M90" i="17"/>
  <c r="L90" i="17"/>
  <c r="K90" i="17"/>
  <c r="J90" i="17"/>
  <c r="G90" i="17"/>
  <c r="F90" i="17"/>
  <c r="C90" i="17"/>
  <c r="U89" i="17"/>
  <c r="T89" i="17"/>
  <c r="S89" i="17"/>
  <c r="R89" i="17"/>
  <c r="Q89" i="17"/>
  <c r="P89" i="17"/>
  <c r="O89" i="17"/>
  <c r="N89" i="17"/>
  <c r="M89" i="17"/>
  <c r="L89" i="17"/>
  <c r="K89" i="17"/>
  <c r="J89" i="17"/>
  <c r="F89" i="17"/>
  <c r="C89" i="17"/>
  <c r="G89" i="17" s="1"/>
  <c r="T88" i="17"/>
  <c r="S88" i="17"/>
  <c r="U88" i="17" s="1"/>
  <c r="Q88" i="17"/>
  <c r="P88" i="17"/>
  <c r="R88" i="17" s="1"/>
  <c r="N88" i="17"/>
  <c r="M88" i="17"/>
  <c r="O88" i="17" s="1"/>
  <c r="K88" i="17"/>
  <c r="J88" i="17"/>
  <c r="L88" i="17" s="1"/>
  <c r="F88" i="17"/>
  <c r="G88" i="17" s="1"/>
  <c r="C88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F87" i="17"/>
  <c r="C87" i="17"/>
  <c r="G87" i="17" s="1"/>
  <c r="U86" i="17"/>
  <c r="T86" i="17"/>
  <c r="S86" i="17"/>
  <c r="R86" i="17"/>
  <c r="Q86" i="17"/>
  <c r="P86" i="17"/>
  <c r="O86" i="17"/>
  <c r="N86" i="17"/>
  <c r="M86" i="17"/>
  <c r="L86" i="17"/>
  <c r="K86" i="17"/>
  <c r="J86" i="17"/>
  <c r="F86" i="17"/>
  <c r="C86" i="17"/>
  <c r="G86" i="17" s="1"/>
  <c r="U85" i="17"/>
  <c r="T85" i="17"/>
  <c r="S85" i="17"/>
  <c r="R85" i="17"/>
  <c r="Q85" i="17"/>
  <c r="P85" i="17"/>
  <c r="O85" i="17"/>
  <c r="N85" i="17"/>
  <c r="M85" i="17"/>
  <c r="L85" i="17"/>
  <c r="K85" i="17"/>
  <c r="J85" i="17"/>
  <c r="F85" i="17"/>
  <c r="C85" i="17"/>
  <c r="G85" i="17" s="1"/>
  <c r="T84" i="17"/>
  <c r="S84" i="17"/>
  <c r="U84" i="17" s="1"/>
  <c r="Q84" i="17"/>
  <c r="P84" i="17"/>
  <c r="R84" i="17" s="1"/>
  <c r="N84" i="17"/>
  <c r="M84" i="17"/>
  <c r="O84" i="17" s="1"/>
  <c r="K84" i="17"/>
  <c r="J84" i="17"/>
  <c r="L84" i="17" s="1"/>
  <c r="F84" i="17"/>
  <c r="C84" i="17"/>
  <c r="U83" i="17"/>
  <c r="T83" i="17"/>
  <c r="S83" i="17"/>
  <c r="R83" i="17"/>
  <c r="Q83" i="17"/>
  <c r="P83" i="17"/>
  <c r="O83" i="17"/>
  <c r="N83" i="17"/>
  <c r="M83" i="17"/>
  <c r="L83" i="17"/>
  <c r="K83" i="17"/>
  <c r="J83" i="17"/>
  <c r="G83" i="17"/>
  <c r="F83" i="17"/>
  <c r="C83" i="17"/>
  <c r="U82" i="17"/>
  <c r="T82" i="17"/>
  <c r="S82" i="17"/>
  <c r="R82" i="17"/>
  <c r="Q82" i="17"/>
  <c r="P82" i="17"/>
  <c r="O82" i="17"/>
  <c r="N82" i="17"/>
  <c r="M82" i="17"/>
  <c r="L82" i="17"/>
  <c r="K82" i="17"/>
  <c r="J82" i="17"/>
  <c r="F82" i="17"/>
  <c r="C82" i="17"/>
  <c r="G82" i="17" s="1"/>
  <c r="U81" i="17"/>
  <c r="T81" i="17"/>
  <c r="S81" i="17"/>
  <c r="R81" i="17"/>
  <c r="Q81" i="17"/>
  <c r="P81" i="17"/>
  <c r="O81" i="17"/>
  <c r="N81" i="17"/>
  <c r="M81" i="17"/>
  <c r="L81" i="17"/>
  <c r="K81" i="17"/>
  <c r="J81" i="17"/>
  <c r="F81" i="17"/>
  <c r="C81" i="17"/>
  <c r="G81" i="17" s="1"/>
  <c r="T80" i="17"/>
  <c r="S80" i="17"/>
  <c r="U80" i="17" s="1"/>
  <c r="Q80" i="17"/>
  <c r="P80" i="17"/>
  <c r="R80" i="17" s="1"/>
  <c r="N80" i="17"/>
  <c r="M80" i="17"/>
  <c r="O80" i="17" s="1"/>
  <c r="K80" i="17"/>
  <c r="J80" i="17"/>
  <c r="L80" i="17" s="1"/>
  <c r="F80" i="17"/>
  <c r="C80" i="17"/>
  <c r="U79" i="17"/>
  <c r="T79" i="17"/>
  <c r="S79" i="17"/>
  <c r="R79" i="17"/>
  <c r="Q79" i="17"/>
  <c r="P79" i="17"/>
  <c r="O79" i="17"/>
  <c r="N79" i="17"/>
  <c r="M79" i="17"/>
  <c r="L79" i="17"/>
  <c r="K79" i="17"/>
  <c r="J79" i="17"/>
  <c r="F79" i="17"/>
  <c r="C79" i="17"/>
  <c r="G79" i="17" s="1"/>
  <c r="U78" i="17"/>
  <c r="T78" i="17"/>
  <c r="S78" i="17"/>
  <c r="R78" i="17"/>
  <c r="Q78" i="17"/>
  <c r="P78" i="17"/>
  <c r="O78" i="17"/>
  <c r="N78" i="17"/>
  <c r="M78" i="17"/>
  <c r="L78" i="17"/>
  <c r="K78" i="17"/>
  <c r="J78" i="17"/>
  <c r="F78" i="17"/>
  <c r="C78" i="17"/>
  <c r="U77" i="17"/>
  <c r="T77" i="17"/>
  <c r="S77" i="17"/>
  <c r="R77" i="17"/>
  <c r="Q77" i="17"/>
  <c r="P77" i="17"/>
  <c r="O77" i="17"/>
  <c r="N77" i="17"/>
  <c r="M77" i="17"/>
  <c r="L77" i="17"/>
  <c r="K77" i="17"/>
  <c r="J77" i="17"/>
  <c r="F77" i="17"/>
  <c r="C77" i="17"/>
  <c r="G77" i="17" s="1"/>
  <c r="I76" i="17"/>
  <c r="H76" i="17"/>
  <c r="E76" i="17"/>
  <c r="D76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G75" i="17"/>
  <c r="F75" i="17"/>
  <c r="C75" i="17"/>
  <c r="T74" i="17"/>
  <c r="S74" i="17"/>
  <c r="U74" i="17" s="1"/>
  <c r="Q74" i="17"/>
  <c r="P74" i="17"/>
  <c r="R74" i="17" s="1"/>
  <c r="N74" i="17"/>
  <c r="M74" i="17"/>
  <c r="O74" i="17" s="1"/>
  <c r="K74" i="17"/>
  <c r="J74" i="17"/>
  <c r="L74" i="17" s="1"/>
  <c r="F74" i="17"/>
  <c r="C74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F73" i="17"/>
  <c r="C73" i="17"/>
  <c r="G73" i="17" s="1"/>
  <c r="T72" i="17"/>
  <c r="S72" i="17"/>
  <c r="U72" i="17" s="1"/>
  <c r="Q72" i="17"/>
  <c r="P72" i="17"/>
  <c r="R72" i="17" s="1"/>
  <c r="N72" i="17"/>
  <c r="M72" i="17"/>
  <c r="O72" i="17" s="1"/>
  <c r="K72" i="17"/>
  <c r="J72" i="17"/>
  <c r="L72" i="17" s="1"/>
  <c r="F72" i="17"/>
  <c r="C72" i="17"/>
  <c r="T71" i="17"/>
  <c r="S71" i="17"/>
  <c r="U71" i="17" s="1"/>
  <c r="Q71" i="17"/>
  <c r="P71" i="17"/>
  <c r="R71" i="17" s="1"/>
  <c r="N71" i="17"/>
  <c r="M71" i="17"/>
  <c r="O71" i="17" s="1"/>
  <c r="K71" i="17"/>
  <c r="J71" i="17"/>
  <c r="L71" i="17" s="1"/>
  <c r="F71" i="17"/>
  <c r="C71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F70" i="17"/>
  <c r="C70" i="17"/>
  <c r="G70" i="17" s="1"/>
  <c r="U69" i="17"/>
  <c r="T69" i="17"/>
  <c r="S69" i="17"/>
  <c r="R69" i="17"/>
  <c r="Q69" i="17"/>
  <c r="P69" i="17"/>
  <c r="O69" i="17"/>
  <c r="N69" i="17"/>
  <c r="M69" i="17"/>
  <c r="L69" i="17"/>
  <c r="K69" i="17"/>
  <c r="J69" i="17"/>
  <c r="F69" i="17"/>
  <c r="C69" i="17"/>
  <c r="G69" i="17" s="1"/>
  <c r="U68" i="17"/>
  <c r="T68" i="17"/>
  <c r="S68" i="17"/>
  <c r="R68" i="17"/>
  <c r="Q68" i="17"/>
  <c r="P68" i="17"/>
  <c r="O68" i="17"/>
  <c r="N68" i="17"/>
  <c r="M68" i="17"/>
  <c r="L68" i="17"/>
  <c r="K68" i="17"/>
  <c r="J68" i="17"/>
  <c r="G68" i="17"/>
  <c r="F68" i="17"/>
  <c r="C68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F67" i="17"/>
  <c r="C67" i="17"/>
  <c r="G67" i="17" s="1"/>
  <c r="U66" i="17"/>
  <c r="T66" i="17"/>
  <c r="S66" i="17"/>
  <c r="R66" i="17"/>
  <c r="Q66" i="17"/>
  <c r="P66" i="17"/>
  <c r="O66" i="17"/>
  <c r="N66" i="17"/>
  <c r="M66" i="17"/>
  <c r="L66" i="17"/>
  <c r="K66" i="17"/>
  <c r="J66" i="17"/>
  <c r="F66" i="17"/>
  <c r="C66" i="17"/>
  <c r="G66" i="17" s="1"/>
  <c r="T65" i="17"/>
  <c r="S65" i="17"/>
  <c r="U65" i="17" s="1"/>
  <c r="Q65" i="17"/>
  <c r="P65" i="17"/>
  <c r="R65" i="17" s="1"/>
  <c r="N65" i="17"/>
  <c r="M65" i="17"/>
  <c r="O65" i="17" s="1"/>
  <c r="K65" i="17"/>
  <c r="J65" i="17"/>
  <c r="L65" i="17" s="1"/>
  <c r="F65" i="17"/>
  <c r="C65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F64" i="17"/>
  <c r="C64" i="17"/>
  <c r="G64" i="17" s="1"/>
  <c r="U63" i="17"/>
  <c r="T63" i="17"/>
  <c r="S63" i="17"/>
  <c r="R63" i="17"/>
  <c r="Q63" i="17"/>
  <c r="P63" i="17"/>
  <c r="O63" i="17"/>
  <c r="N63" i="17"/>
  <c r="M63" i="17"/>
  <c r="L63" i="17"/>
  <c r="K63" i="17"/>
  <c r="J63" i="17"/>
  <c r="F63" i="17"/>
  <c r="C63" i="17"/>
  <c r="G63" i="17" s="1"/>
  <c r="U62" i="17"/>
  <c r="T62" i="17"/>
  <c r="S62" i="17"/>
  <c r="R62" i="17"/>
  <c r="Q62" i="17"/>
  <c r="P62" i="17"/>
  <c r="O62" i="17"/>
  <c r="N62" i="17"/>
  <c r="M62" i="17"/>
  <c r="L62" i="17"/>
  <c r="K62" i="17"/>
  <c r="J62" i="17"/>
  <c r="F62" i="17"/>
  <c r="C62" i="17"/>
  <c r="G62" i="17" s="1"/>
  <c r="U61" i="17"/>
  <c r="T61" i="17"/>
  <c r="S61" i="17"/>
  <c r="R61" i="17"/>
  <c r="Q61" i="17"/>
  <c r="P61" i="17"/>
  <c r="O61" i="17"/>
  <c r="N61" i="17"/>
  <c r="M61" i="17"/>
  <c r="L61" i="17"/>
  <c r="K61" i="17"/>
  <c r="J61" i="17"/>
  <c r="F61" i="17"/>
  <c r="C61" i="17"/>
  <c r="G61" i="17" s="1"/>
  <c r="U60" i="17"/>
  <c r="T60" i="17"/>
  <c r="S60" i="17"/>
  <c r="R60" i="17"/>
  <c r="Q60" i="17"/>
  <c r="P60" i="17"/>
  <c r="O60" i="17"/>
  <c r="N60" i="17"/>
  <c r="M60" i="17"/>
  <c r="L60" i="17"/>
  <c r="K60" i="17"/>
  <c r="J60" i="17"/>
  <c r="F60" i="17"/>
  <c r="C60" i="17"/>
  <c r="G60" i="17" s="1"/>
  <c r="U59" i="17"/>
  <c r="T59" i="17"/>
  <c r="S59" i="17"/>
  <c r="R59" i="17"/>
  <c r="Q59" i="17"/>
  <c r="P59" i="17"/>
  <c r="O59" i="17"/>
  <c r="N59" i="17"/>
  <c r="M59" i="17"/>
  <c r="L59" i="17"/>
  <c r="K59" i="17"/>
  <c r="J59" i="17"/>
  <c r="F59" i="17"/>
  <c r="C59" i="17"/>
  <c r="G59" i="17" s="1"/>
  <c r="U58" i="17"/>
  <c r="T58" i="17"/>
  <c r="S58" i="17"/>
  <c r="R58" i="17"/>
  <c r="Q58" i="17"/>
  <c r="P58" i="17"/>
  <c r="O58" i="17"/>
  <c r="N58" i="17"/>
  <c r="M58" i="17"/>
  <c r="L58" i="17"/>
  <c r="K58" i="17"/>
  <c r="J58" i="17"/>
  <c r="F58" i="17"/>
  <c r="C58" i="17"/>
  <c r="G58" i="17" s="1"/>
  <c r="U57" i="17"/>
  <c r="T57" i="17"/>
  <c r="S57" i="17"/>
  <c r="R57" i="17"/>
  <c r="Q57" i="17"/>
  <c r="P57" i="17"/>
  <c r="O57" i="17"/>
  <c r="N57" i="17"/>
  <c r="M57" i="17"/>
  <c r="L57" i="17"/>
  <c r="K57" i="17"/>
  <c r="J57" i="17"/>
  <c r="F57" i="17"/>
  <c r="C57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F56" i="17"/>
  <c r="C56" i="17"/>
  <c r="G56" i="17" s="1"/>
  <c r="U55" i="17"/>
  <c r="T55" i="17"/>
  <c r="S55" i="17"/>
  <c r="R55" i="17"/>
  <c r="Q55" i="17"/>
  <c r="P55" i="17"/>
  <c r="O55" i="17"/>
  <c r="N55" i="17"/>
  <c r="M55" i="17"/>
  <c r="L55" i="17"/>
  <c r="K55" i="17"/>
  <c r="J55" i="17"/>
  <c r="F55" i="17"/>
  <c r="C55" i="17"/>
  <c r="G55" i="17" s="1"/>
  <c r="I54" i="17"/>
  <c r="H54" i="17"/>
  <c r="E54" i="17"/>
  <c r="D54" i="17"/>
  <c r="T53" i="17"/>
  <c r="S53" i="17"/>
  <c r="U53" i="17" s="1"/>
  <c r="Q53" i="17"/>
  <c r="P53" i="17"/>
  <c r="R53" i="17" s="1"/>
  <c r="N53" i="17"/>
  <c r="M53" i="17"/>
  <c r="O53" i="17" s="1"/>
  <c r="K53" i="17"/>
  <c r="J53" i="17"/>
  <c r="L53" i="17" s="1"/>
  <c r="F53" i="17"/>
  <c r="C53" i="17"/>
  <c r="T52" i="17"/>
  <c r="S52" i="17"/>
  <c r="U52" i="17" s="1"/>
  <c r="Q52" i="17"/>
  <c r="P52" i="17"/>
  <c r="R52" i="17" s="1"/>
  <c r="N52" i="17"/>
  <c r="M52" i="17"/>
  <c r="O52" i="17" s="1"/>
  <c r="K52" i="17"/>
  <c r="J52" i="17"/>
  <c r="L52" i="17" s="1"/>
  <c r="F52" i="17"/>
  <c r="C52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F51" i="17"/>
  <c r="C51" i="17"/>
  <c r="G51" i="17" s="1"/>
  <c r="U50" i="17"/>
  <c r="T50" i="17"/>
  <c r="S50" i="17"/>
  <c r="R50" i="17"/>
  <c r="Q50" i="17"/>
  <c r="P50" i="17"/>
  <c r="O50" i="17"/>
  <c r="N50" i="17"/>
  <c r="M50" i="17"/>
  <c r="L50" i="17"/>
  <c r="K50" i="17"/>
  <c r="J50" i="17"/>
  <c r="F50" i="17"/>
  <c r="C50" i="17"/>
  <c r="G50" i="17" s="1"/>
  <c r="U49" i="17"/>
  <c r="T49" i="17"/>
  <c r="S49" i="17"/>
  <c r="R49" i="17"/>
  <c r="Q49" i="17"/>
  <c r="P49" i="17"/>
  <c r="O49" i="17"/>
  <c r="N49" i="17"/>
  <c r="M49" i="17"/>
  <c r="L49" i="17"/>
  <c r="K49" i="17"/>
  <c r="J49" i="17"/>
  <c r="F49" i="17"/>
  <c r="C49" i="17"/>
  <c r="G49" i="17" s="1"/>
  <c r="U48" i="17"/>
  <c r="T48" i="17"/>
  <c r="S48" i="17"/>
  <c r="R48" i="17"/>
  <c r="Q48" i="17"/>
  <c r="P48" i="17"/>
  <c r="O48" i="17"/>
  <c r="N48" i="17"/>
  <c r="M48" i="17"/>
  <c r="L48" i="17"/>
  <c r="K48" i="17"/>
  <c r="J48" i="17"/>
  <c r="G48" i="17"/>
  <c r="F48" i="17"/>
  <c r="C48" i="17"/>
  <c r="T47" i="17"/>
  <c r="S47" i="17"/>
  <c r="U47" i="17" s="1"/>
  <c r="Q47" i="17"/>
  <c r="P47" i="17"/>
  <c r="R47" i="17" s="1"/>
  <c r="N47" i="17"/>
  <c r="M47" i="17"/>
  <c r="O47" i="17" s="1"/>
  <c r="K47" i="17"/>
  <c r="J47" i="17"/>
  <c r="L47" i="17" s="1"/>
  <c r="F47" i="17"/>
  <c r="C47" i="17"/>
  <c r="T46" i="17"/>
  <c r="S46" i="17"/>
  <c r="U46" i="17" s="1"/>
  <c r="Q46" i="17"/>
  <c r="P46" i="17"/>
  <c r="R46" i="17" s="1"/>
  <c r="N46" i="17"/>
  <c r="M46" i="17"/>
  <c r="O46" i="17" s="1"/>
  <c r="K46" i="17"/>
  <c r="J46" i="17"/>
  <c r="L46" i="17" s="1"/>
  <c r="F46" i="17"/>
  <c r="C46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F45" i="17"/>
  <c r="C45" i="17"/>
  <c r="G45" i="17" s="1"/>
  <c r="T44" i="17"/>
  <c r="S44" i="17"/>
  <c r="U44" i="17" s="1"/>
  <c r="Q44" i="17"/>
  <c r="P44" i="17"/>
  <c r="R44" i="17" s="1"/>
  <c r="N44" i="17"/>
  <c r="M44" i="17"/>
  <c r="O44" i="17" s="1"/>
  <c r="K44" i="17"/>
  <c r="J44" i="17"/>
  <c r="L44" i="17" s="1"/>
  <c r="F44" i="17"/>
  <c r="C44" i="17"/>
  <c r="T43" i="17"/>
  <c r="S43" i="17"/>
  <c r="U43" i="17" s="1"/>
  <c r="Q43" i="17"/>
  <c r="P43" i="17"/>
  <c r="R43" i="17" s="1"/>
  <c r="N43" i="17"/>
  <c r="M43" i="17"/>
  <c r="O43" i="17" s="1"/>
  <c r="K43" i="17"/>
  <c r="J43" i="17"/>
  <c r="L43" i="17" s="1"/>
  <c r="F43" i="17"/>
  <c r="C43" i="17"/>
  <c r="T42" i="17"/>
  <c r="S42" i="17"/>
  <c r="U42" i="17" s="1"/>
  <c r="Q42" i="17"/>
  <c r="P42" i="17"/>
  <c r="R42" i="17" s="1"/>
  <c r="N42" i="17"/>
  <c r="M42" i="17"/>
  <c r="O42" i="17" s="1"/>
  <c r="K42" i="17"/>
  <c r="J42" i="17"/>
  <c r="L42" i="17" s="1"/>
  <c r="F42" i="17"/>
  <c r="C42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F41" i="17"/>
  <c r="C41" i="17"/>
  <c r="G41" i="17" s="1"/>
  <c r="T40" i="17"/>
  <c r="S40" i="17"/>
  <c r="U40" i="17" s="1"/>
  <c r="Q40" i="17"/>
  <c r="P40" i="17"/>
  <c r="R40" i="17" s="1"/>
  <c r="N40" i="17"/>
  <c r="M40" i="17"/>
  <c r="O40" i="17" s="1"/>
  <c r="K40" i="17"/>
  <c r="J40" i="17"/>
  <c r="L40" i="17" s="1"/>
  <c r="F40" i="17"/>
  <c r="C40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F39" i="17"/>
  <c r="C39" i="17"/>
  <c r="G39" i="17" s="1"/>
  <c r="T38" i="17"/>
  <c r="S38" i="17"/>
  <c r="U38" i="17" s="1"/>
  <c r="Q38" i="17"/>
  <c r="P38" i="17"/>
  <c r="R38" i="17" s="1"/>
  <c r="N38" i="17"/>
  <c r="M38" i="17"/>
  <c r="O38" i="17" s="1"/>
  <c r="K38" i="17"/>
  <c r="J38" i="17"/>
  <c r="L38" i="17" s="1"/>
  <c r="F38" i="17"/>
  <c r="C38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F37" i="17"/>
  <c r="C37" i="17"/>
  <c r="G37" i="17" s="1"/>
  <c r="U36" i="17"/>
  <c r="T36" i="17"/>
  <c r="S36" i="17"/>
  <c r="R36" i="17"/>
  <c r="Q36" i="17"/>
  <c r="P36" i="17"/>
  <c r="O36" i="17"/>
  <c r="N36" i="17"/>
  <c r="M36" i="17"/>
  <c r="L36" i="17"/>
  <c r="K36" i="17"/>
  <c r="J36" i="17"/>
  <c r="F36" i="17"/>
  <c r="C36" i="17"/>
  <c r="G36" i="17" s="1"/>
  <c r="T35" i="17"/>
  <c r="S35" i="17"/>
  <c r="U35" i="17" s="1"/>
  <c r="Q35" i="17"/>
  <c r="P35" i="17"/>
  <c r="R35" i="17" s="1"/>
  <c r="N35" i="17"/>
  <c r="M35" i="17"/>
  <c r="O35" i="17" s="1"/>
  <c r="K35" i="17"/>
  <c r="J35" i="17"/>
  <c r="L35" i="17" s="1"/>
  <c r="F35" i="17"/>
  <c r="G35" i="17" s="1"/>
  <c r="C35" i="17"/>
  <c r="T34" i="17"/>
  <c r="S34" i="17"/>
  <c r="U34" i="17" s="1"/>
  <c r="Q34" i="17"/>
  <c r="P34" i="17"/>
  <c r="N34" i="17"/>
  <c r="M34" i="17"/>
  <c r="O34" i="17" s="1"/>
  <c r="K34" i="17"/>
  <c r="J34" i="17"/>
  <c r="L34" i="17" s="1"/>
  <c r="F34" i="17"/>
  <c r="C34" i="17"/>
  <c r="I33" i="17"/>
  <c r="H33" i="17"/>
  <c r="E33" i="17"/>
  <c r="D33" i="17"/>
  <c r="T32" i="17"/>
  <c r="S32" i="17"/>
  <c r="U32" i="17" s="1"/>
  <c r="Q32" i="17"/>
  <c r="P32" i="17"/>
  <c r="R32" i="17" s="1"/>
  <c r="N32" i="17"/>
  <c r="M32" i="17"/>
  <c r="O32" i="17" s="1"/>
  <c r="K32" i="17"/>
  <c r="J32" i="17"/>
  <c r="L32" i="17" s="1"/>
  <c r="F32" i="17"/>
  <c r="G32" i="17" s="1"/>
  <c r="C32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F31" i="17"/>
  <c r="C31" i="17"/>
  <c r="G31" i="17" s="1"/>
  <c r="T30" i="17"/>
  <c r="S30" i="17"/>
  <c r="U30" i="17" s="1"/>
  <c r="Q30" i="17"/>
  <c r="P30" i="17"/>
  <c r="R30" i="17" s="1"/>
  <c r="N30" i="17"/>
  <c r="M30" i="17"/>
  <c r="O30" i="17" s="1"/>
  <c r="K30" i="17"/>
  <c r="J30" i="17"/>
  <c r="L30" i="17" s="1"/>
  <c r="F30" i="17"/>
  <c r="C30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F29" i="17"/>
  <c r="C29" i="17"/>
  <c r="G29" i="17" s="1"/>
  <c r="T28" i="17"/>
  <c r="S28" i="17"/>
  <c r="U28" i="17" s="1"/>
  <c r="Q28" i="17"/>
  <c r="P28" i="17"/>
  <c r="R28" i="17" s="1"/>
  <c r="N28" i="17"/>
  <c r="M28" i="17"/>
  <c r="O28" i="17" s="1"/>
  <c r="K28" i="17"/>
  <c r="J28" i="17"/>
  <c r="L28" i="17" s="1"/>
  <c r="F28" i="17"/>
  <c r="G28" i="17" s="1"/>
  <c r="C28" i="17"/>
  <c r="T27" i="17"/>
  <c r="S27" i="17"/>
  <c r="U27" i="17" s="1"/>
  <c r="Q27" i="17"/>
  <c r="P27" i="17"/>
  <c r="R27" i="17" s="1"/>
  <c r="N27" i="17"/>
  <c r="M27" i="17"/>
  <c r="O27" i="17" s="1"/>
  <c r="K27" i="17"/>
  <c r="J27" i="17"/>
  <c r="L27" i="17" s="1"/>
  <c r="F27" i="17"/>
  <c r="C27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F26" i="17"/>
  <c r="C26" i="17"/>
  <c r="G26" i="17" s="1"/>
  <c r="T25" i="17"/>
  <c r="S25" i="17"/>
  <c r="U25" i="17" s="1"/>
  <c r="Q25" i="17"/>
  <c r="P25" i="17"/>
  <c r="R25" i="17" s="1"/>
  <c r="N25" i="17"/>
  <c r="M25" i="17"/>
  <c r="O25" i="17" s="1"/>
  <c r="K25" i="17"/>
  <c r="J25" i="17"/>
  <c r="L25" i="17" s="1"/>
  <c r="F25" i="17"/>
  <c r="C25" i="17"/>
  <c r="T24" i="17"/>
  <c r="S24" i="17"/>
  <c r="U24" i="17" s="1"/>
  <c r="Q24" i="17"/>
  <c r="P24" i="17"/>
  <c r="R24" i="17" s="1"/>
  <c r="N24" i="17"/>
  <c r="M24" i="17"/>
  <c r="O24" i="17" s="1"/>
  <c r="K24" i="17"/>
  <c r="J24" i="17"/>
  <c r="L24" i="17" s="1"/>
  <c r="F24" i="17"/>
  <c r="C24" i="17"/>
  <c r="T23" i="17"/>
  <c r="S23" i="17"/>
  <c r="U23" i="17" s="1"/>
  <c r="Q23" i="17"/>
  <c r="P23" i="17"/>
  <c r="R23" i="17" s="1"/>
  <c r="N23" i="17"/>
  <c r="M23" i="17"/>
  <c r="O23" i="17" s="1"/>
  <c r="K23" i="17"/>
  <c r="J23" i="17"/>
  <c r="L23" i="17" s="1"/>
  <c r="F23" i="17"/>
  <c r="C23" i="17"/>
  <c r="T22" i="17"/>
  <c r="S22" i="17"/>
  <c r="U22" i="17" s="1"/>
  <c r="Q22" i="17"/>
  <c r="P22" i="17"/>
  <c r="R22" i="17" s="1"/>
  <c r="N22" i="17"/>
  <c r="M22" i="17"/>
  <c r="O22" i="17" s="1"/>
  <c r="K22" i="17"/>
  <c r="J22" i="17"/>
  <c r="L22" i="17" s="1"/>
  <c r="F22" i="17"/>
  <c r="C22" i="17"/>
  <c r="T21" i="17"/>
  <c r="S21" i="17"/>
  <c r="U21" i="17" s="1"/>
  <c r="Q21" i="17"/>
  <c r="P21" i="17"/>
  <c r="R21" i="17" s="1"/>
  <c r="N21" i="17"/>
  <c r="M21" i="17"/>
  <c r="O21" i="17" s="1"/>
  <c r="K21" i="17"/>
  <c r="J21" i="17"/>
  <c r="L21" i="17" s="1"/>
  <c r="F21" i="17"/>
  <c r="C21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F20" i="17"/>
  <c r="C20" i="17"/>
  <c r="G20" i="17" s="1"/>
  <c r="U19" i="17"/>
  <c r="T19" i="17"/>
  <c r="S19" i="17"/>
  <c r="R19" i="17"/>
  <c r="Q19" i="17"/>
  <c r="P19" i="17"/>
  <c r="O19" i="17"/>
  <c r="N19" i="17"/>
  <c r="M19" i="17"/>
  <c r="L19" i="17"/>
  <c r="K19" i="17"/>
  <c r="J19" i="17"/>
  <c r="G19" i="17"/>
  <c r="F19" i="17"/>
  <c r="C19" i="17"/>
  <c r="T18" i="17"/>
  <c r="S18" i="17"/>
  <c r="U18" i="17" s="1"/>
  <c r="Q18" i="17"/>
  <c r="P18" i="17"/>
  <c r="R18" i="17" s="1"/>
  <c r="N18" i="17"/>
  <c r="M18" i="17"/>
  <c r="O18" i="17" s="1"/>
  <c r="K18" i="17"/>
  <c r="J18" i="17"/>
  <c r="L18" i="17" s="1"/>
  <c r="F18" i="17"/>
  <c r="C18" i="17"/>
  <c r="T17" i="17"/>
  <c r="S17" i="17"/>
  <c r="U17" i="17" s="1"/>
  <c r="Q17" i="17"/>
  <c r="P17" i="17"/>
  <c r="R17" i="17" s="1"/>
  <c r="N17" i="17"/>
  <c r="M17" i="17"/>
  <c r="O17" i="17" s="1"/>
  <c r="K17" i="17"/>
  <c r="J17" i="17"/>
  <c r="L17" i="17" s="1"/>
  <c r="F17" i="17"/>
  <c r="C17" i="17"/>
  <c r="T16" i="17"/>
  <c r="S16" i="17"/>
  <c r="U16" i="17" s="1"/>
  <c r="Q16" i="17"/>
  <c r="P16" i="17"/>
  <c r="R16" i="17" s="1"/>
  <c r="N16" i="17"/>
  <c r="M16" i="17"/>
  <c r="K16" i="17"/>
  <c r="J16" i="17"/>
  <c r="F16" i="17"/>
  <c r="C16" i="17"/>
  <c r="I15" i="17"/>
  <c r="H15" i="17"/>
  <c r="E15" i="17"/>
  <c r="D15" i="17"/>
  <c r="U14" i="17"/>
  <c r="R14" i="17"/>
  <c r="O14" i="17"/>
  <c r="L14" i="17"/>
  <c r="G14" i="17"/>
  <c r="T13" i="17"/>
  <c r="Q13" i="17"/>
  <c r="M13" i="17"/>
  <c r="M11" i="17" s="1"/>
  <c r="H13" i="17"/>
  <c r="U13" i="17" s="1"/>
  <c r="D13" i="17"/>
  <c r="S12" i="17"/>
  <c r="S11" i="17" s="1"/>
  <c r="N12" i="17"/>
  <c r="N11" i="17" s="1"/>
  <c r="J12" i="17"/>
  <c r="S114" i="16"/>
  <c r="O114" i="16"/>
  <c r="K114" i="16"/>
  <c r="J114" i="16"/>
  <c r="I114" i="16"/>
  <c r="C114" i="16"/>
  <c r="S113" i="16"/>
  <c r="O113" i="16"/>
  <c r="K113" i="16"/>
  <c r="J113" i="16"/>
  <c r="I113" i="16"/>
  <c r="C113" i="16"/>
  <c r="G113" i="16" s="1"/>
  <c r="S112" i="16"/>
  <c r="O112" i="16"/>
  <c r="K112" i="16"/>
  <c r="J112" i="16"/>
  <c r="I112" i="16"/>
  <c r="C112" i="16"/>
  <c r="G112" i="16" s="1"/>
  <c r="S111" i="16"/>
  <c r="O111" i="16"/>
  <c r="K111" i="16"/>
  <c r="J111" i="16"/>
  <c r="I111" i="16"/>
  <c r="G111" i="16"/>
  <c r="C111" i="16"/>
  <c r="S110" i="16"/>
  <c r="O110" i="16"/>
  <c r="K110" i="16"/>
  <c r="J110" i="16"/>
  <c r="I110" i="16"/>
  <c r="C110" i="16"/>
  <c r="G110" i="16" s="1"/>
  <c r="A110" i="16"/>
  <c r="A111" i="16" s="1"/>
  <c r="A112" i="16" s="1"/>
  <c r="S109" i="16"/>
  <c r="O109" i="16"/>
  <c r="K109" i="16"/>
  <c r="J109" i="16"/>
  <c r="I109" i="16"/>
  <c r="C109" i="16"/>
  <c r="G109" i="16" s="1"/>
  <c r="S108" i="16"/>
  <c r="O108" i="16"/>
  <c r="K108" i="16"/>
  <c r="J108" i="16"/>
  <c r="I108" i="16"/>
  <c r="C108" i="16"/>
  <c r="G108" i="16" s="1"/>
  <c r="S107" i="16"/>
  <c r="O107" i="16"/>
  <c r="K107" i="16"/>
  <c r="J107" i="16"/>
  <c r="I107" i="16"/>
  <c r="C107" i="16"/>
  <c r="G107" i="16" s="1"/>
  <c r="R106" i="16"/>
  <c r="Q106" i="16"/>
  <c r="P106" i="16"/>
  <c r="S106" i="16" s="1"/>
  <c r="N106" i="16"/>
  <c r="N13" i="16" s="1"/>
  <c r="M106" i="16"/>
  <c r="L106" i="16"/>
  <c r="O106" i="16" s="1"/>
  <c r="H106" i="16"/>
  <c r="K106" i="16" s="1"/>
  <c r="F106" i="16"/>
  <c r="E106" i="16"/>
  <c r="D106" i="16"/>
  <c r="D13" i="16" s="1"/>
  <c r="D11" i="16" s="1"/>
  <c r="S105" i="16"/>
  <c r="O105" i="16"/>
  <c r="K105" i="16"/>
  <c r="J105" i="16"/>
  <c r="I105" i="16"/>
  <c r="C105" i="16"/>
  <c r="G105" i="16" s="1"/>
  <c r="S104" i="16"/>
  <c r="O104" i="16"/>
  <c r="K104" i="16"/>
  <c r="J104" i="16"/>
  <c r="I104" i="16"/>
  <c r="C104" i="16"/>
  <c r="G104" i="16" s="1"/>
  <c r="S103" i="16"/>
  <c r="O103" i="16"/>
  <c r="K103" i="16"/>
  <c r="J103" i="16"/>
  <c r="I103" i="16"/>
  <c r="C103" i="16"/>
  <c r="G103" i="16" s="1"/>
  <c r="S102" i="16"/>
  <c r="O102" i="16"/>
  <c r="K102" i="16"/>
  <c r="J102" i="16"/>
  <c r="I102" i="16"/>
  <c r="C102" i="16"/>
  <c r="G102" i="16" s="1"/>
  <c r="S101" i="16"/>
  <c r="O101" i="16"/>
  <c r="J101" i="16"/>
  <c r="I101" i="16"/>
  <c r="H101" i="16"/>
  <c r="C101" i="16"/>
  <c r="G101" i="16" s="1"/>
  <c r="S100" i="16"/>
  <c r="O100" i="16"/>
  <c r="K100" i="16"/>
  <c r="J100" i="16"/>
  <c r="I100" i="16"/>
  <c r="C100" i="16"/>
  <c r="G100" i="16" s="1"/>
  <c r="S99" i="16"/>
  <c r="O99" i="16"/>
  <c r="K99" i="16"/>
  <c r="J99" i="16"/>
  <c r="I99" i="16"/>
  <c r="G99" i="16"/>
  <c r="C99" i="16"/>
  <c r="S98" i="16"/>
  <c r="O98" i="16"/>
  <c r="K98" i="16"/>
  <c r="J98" i="16"/>
  <c r="I98" i="16"/>
  <c r="C98" i="16"/>
  <c r="G98" i="16" s="1"/>
  <c r="S97" i="16"/>
  <c r="O97" i="16"/>
  <c r="K97" i="16"/>
  <c r="J97" i="16"/>
  <c r="I97" i="16"/>
  <c r="C97" i="16"/>
  <c r="G97" i="16" s="1"/>
  <c r="S96" i="16"/>
  <c r="O96" i="16"/>
  <c r="K96" i="16"/>
  <c r="J96" i="16"/>
  <c r="I96" i="16"/>
  <c r="C96" i="16"/>
  <c r="G96" i="16" s="1"/>
  <c r="S95" i="16"/>
  <c r="O95" i="16"/>
  <c r="K95" i="16"/>
  <c r="J95" i="16"/>
  <c r="I95" i="16"/>
  <c r="C95" i="16"/>
  <c r="G95" i="16" s="1"/>
  <c r="A95" i="16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S94" i="16"/>
  <c r="O94" i="16"/>
  <c r="K94" i="16"/>
  <c r="J94" i="16"/>
  <c r="I94" i="16"/>
  <c r="C94" i="16"/>
  <c r="G94" i="16" s="1"/>
  <c r="S93" i="16"/>
  <c r="O93" i="16"/>
  <c r="K93" i="16"/>
  <c r="J93" i="16"/>
  <c r="I93" i="16"/>
  <c r="C93" i="16"/>
  <c r="S92" i="16"/>
  <c r="O92" i="16"/>
  <c r="K92" i="16"/>
  <c r="J92" i="16"/>
  <c r="I92" i="16"/>
  <c r="C92" i="16"/>
  <c r="G92" i="16" s="1"/>
  <c r="S91" i="16"/>
  <c r="R91" i="16"/>
  <c r="R12" i="16" s="1"/>
  <c r="Q91" i="16"/>
  <c r="N91" i="16"/>
  <c r="N12" i="16" s="1"/>
  <c r="M91" i="16"/>
  <c r="L91" i="16"/>
  <c r="O91" i="16" s="1"/>
  <c r="F91" i="16"/>
  <c r="F12" i="16" s="1"/>
  <c r="F11" i="16" s="1"/>
  <c r="E91" i="16"/>
  <c r="E12" i="16" s="1"/>
  <c r="D91" i="16"/>
  <c r="S90" i="16"/>
  <c r="R90" i="16"/>
  <c r="Q90" i="16"/>
  <c r="O90" i="16"/>
  <c r="N90" i="16"/>
  <c r="M90" i="16"/>
  <c r="K90" i="16"/>
  <c r="F90" i="16"/>
  <c r="C90" i="16"/>
  <c r="G90" i="16" s="1"/>
  <c r="S89" i="16"/>
  <c r="R89" i="16"/>
  <c r="Q89" i="16"/>
  <c r="O89" i="16"/>
  <c r="N89" i="16"/>
  <c r="M89" i="16"/>
  <c r="K89" i="16"/>
  <c r="F89" i="16"/>
  <c r="C89" i="16"/>
  <c r="G89" i="16" s="1"/>
  <c r="S88" i="16"/>
  <c r="R88" i="16"/>
  <c r="Q88" i="16"/>
  <c r="O88" i="16"/>
  <c r="N88" i="16"/>
  <c r="M88" i="16"/>
  <c r="K88" i="16"/>
  <c r="F88" i="16"/>
  <c r="C88" i="16"/>
  <c r="G88" i="16" s="1"/>
  <c r="S87" i="16"/>
  <c r="R87" i="16"/>
  <c r="Q87" i="16"/>
  <c r="O87" i="16"/>
  <c r="N87" i="16"/>
  <c r="M87" i="16"/>
  <c r="K87" i="16"/>
  <c r="F87" i="16"/>
  <c r="C87" i="16"/>
  <c r="G87" i="16" s="1"/>
  <c r="S86" i="16"/>
  <c r="R86" i="16"/>
  <c r="Q86" i="16"/>
  <c r="O86" i="16"/>
  <c r="N86" i="16"/>
  <c r="M86" i="16"/>
  <c r="K86" i="16"/>
  <c r="F86" i="16"/>
  <c r="C86" i="16"/>
  <c r="G86" i="16" s="1"/>
  <c r="S85" i="16"/>
  <c r="R85" i="16"/>
  <c r="Q85" i="16"/>
  <c r="O85" i="16"/>
  <c r="N85" i="16"/>
  <c r="M85" i="16"/>
  <c r="K85" i="16"/>
  <c r="G85" i="16"/>
  <c r="F85" i="16"/>
  <c r="C85" i="16"/>
  <c r="S84" i="16"/>
  <c r="R84" i="16"/>
  <c r="Q84" i="16"/>
  <c r="O84" i="16"/>
  <c r="N84" i="16"/>
  <c r="M84" i="16"/>
  <c r="K84" i="16"/>
  <c r="F84" i="16"/>
  <c r="C84" i="16"/>
  <c r="G84" i="16" s="1"/>
  <c r="S83" i="16"/>
  <c r="R83" i="16"/>
  <c r="Q83" i="16"/>
  <c r="O83" i="16"/>
  <c r="N83" i="16"/>
  <c r="M83" i="16"/>
  <c r="K83" i="16"/>
  <c r="F83" i="16"/>
  <c r="C83" i="16"/>
  <c r="G83" i="16" s="1"/>
  <c r="S82" i="16"/>
  <c r="R82" i="16"/>
  <c r="Q82" i="16"/>
  <c r="O82" i="16"/>
  <c r="N82" i="16"/>
  <c r="M82" i="16"/>
  <c r="K82" i="16"/>
  <c r="F82" i="16"/>
  <c r="C82" i="16"/>
  <c r="G82" i="16" s="1"/>
  <c r="S81" i="16"/>
  <c r="R81" i="16"/>
  <c r="Q81" i="16"/>
  <c r="O81" i="16"/>
  <c r="N81" i="16"/>
  <c r="M81" i="16"/>
  <c r="K81" i="16"/>
  <c r="G81" i="16"/>
  <c r="F81" i="16"/>
  <c r="C81" i="16"/>
  <c r="S80" i="16"/>
  <c r="R80" i="16"/>
  <c r="Q80" i="16"/>
  <c r="O80" i="16"/>
  <c r="N80" i="16"/>
  <c r="M80" i="16"/>
  <c r="K80" i="16"/>
  <c r="F80" i="16"/>
  <c r="C80" i="16"/>
  <c r="G80" i="16" s="1"/>
  <c r="S79" i="16"/>
  <c r="R79" i="16"/>
  <c r="Q79" i="16"/>
  <c r="O79" i="16"/>
  <c r="N79" i="16"/>
  <c r="M79" i="16"/>
  <c r="K79" i="16"/>
  <c r="G79" i="16"/>
  <c r="F79" i="16"/>
  <c r="C79" i="16"/>
  <c r="S78" i="16"/>
  <c r="R78" i="16"/>
  <c r="Q78" i="16"/>
  <c r="O78" i="16"/>
  <c r="N78" i="16"/>
  <c r="M78" i="16"/>
  <c r="K78" i="16"/>
  <c r="F78" i="16"/>
  <c r="C78" i="16"/>
  <c r="S77" i="16"/>
  <c r="R77" i="16"/>
  <c r="Q77" i="16"/>
  <c r="O77" i="16"/>
  <c r="N77" i="16"/>
  <c r="M77" i="16"/>
  <c r="K77" i="16"/>
  <c r="F77" i="16"/>
  <c r="C77" i="16"/>
  <c r="G77" i="16" s="1"/>
  <c r="P76" i="16"/>
  <c r="S76" i="16" s="1"/>
  <c r="L76" i="16"/>
  <c r="O76" i="16" s="1"/>
  <c r="H76" i="16"/>
  <c r="K76" i="16" s="1"/>
  <c r="E76" i="16"/>
  <c r="D76" i="16"/>
  <c r="S75" i="16"/>
  <c r="R75" i="16"/>
  <c r="Q75" i="16"/>
  <c r="O75" i="16"/>
  <c r="N75" i="16"/>
  <c r="M75" i="16"/>
  <c r="K75" i="16"/>
  <c r="F75" i="16"/>
  <c r="C75" i="16"/>
  <c r="G75" i="16" s="1"/>
  <c r="S74" i="16"/>
  <c r="R74" i="16"/>
  <c r="Q74" i="16"/>
  <c r="O74" i="16"/>
  <c r="N74" i="16"/>
  <c r="M74" i="16"/>
  <c r="K74" i="16"/>
  <c r="F74" i="16"/>
  <c r="C74" i="16"/>
  <c r="G74" i="16" s="1"/>
  <c r="S73" i="16"/>
  <c r="R73" i="16"/>
  <c r="Q73" i="16"/>
  <c r="O73" i="16"/>
  <c r="N73" i="16"/>
  <c r="M73" i="16"/>
  <c r="K73" i="16"/>
  <c r="F73" i="16"/>
  <c r="C73" i="16"/>
  <c r="G73" i="16" s="1"/>
  <c r="S72" i="16"/>
  <c r="R72" i="16"/>
  <c r="Q72" i="16"/>
  <c r="O72" i="16"/>
  <c r="N72" i="16"/>
  <c r="M72" i="16"/>
  <c r="K72" i="16"/>
  <c r="G72" i="16"/>
  <c r="F72" i="16"/>
  <c r="C72" i="16"/>
  <c r="S71" i="16"/>
  <c r="R71" i="16"/>
  <c r="Q71" i="16"/>
  <c r="O71" i="16"/>
  <c r="N71" i="16"/>
  <c r="M71" i="16"/>
  <c r="K71" i="16"/>
  <c r="F71" i="16"/>
  <c r="C71" i="16"/>
  <c r="G71" i="16" s="1"/>
  <c r="S70" i="16"/>
  <c r="R70" i="16"/>
  <c r="Q70" i="16"/>
  <c r="O70" i="16"/>
  <c r="N70" i="16"/>
  <c r="M70" i="16"/>
  <c r="K70" i="16"/>
  <c r="F70" i="16"/>
  <c r="C70" i="16"/>
  <c r="G70" i="16" s="1"/>
  <c r="S69" i="16"/>
  <c r="R69" i="16"/>
  <c r="Q69" i="16"/>
  <c r="O69" i="16"/>
  <c r="N69" i="16"/>
  <c r="M69" i="16"/>
  <c r="K69" i="16"/>
  <c r="F69" i="16"/>
  <c r="C69" i="16"/>
  <c r="G69" i="16" s="1"/>
  <c r="R68" i="16"/>
  <c r="Q68" i="16"/>
  <c r="S68" i="16" s="1"/>
  <c r="O68" i="16"/>
  <c r="N68" i="16"/>
  <c r="M68" i="16"/>
  <c r="K68" i="16"/>
  <c r="F68" i="16"/>
  <c r="C68" i="16"/>
  <c r="G68" i="16" s="1"/>
  <c r="R67" i="16"/>
  <c r="Q67" i="16"/>
  <c r="S67" i="16" s="1"/>
  <c r="O67" i="16"/>
  <c r="N67" i="16"/>
  <c r="M67" i="16"/>
  <c r="K67" i="16"/>
  <c r="F67" i="16"/>
  <c r="C67" i="16"/>
  <c r="G67" i="16" s="1"/>
  <c r="S66" i="16"/>
  <c r="R66" i="16"/>
  <c r="Q66" i="16"/>
  <c r="O66" i="16"/>
  <c r="N66" i="16"/>
  <c r="M66" i="16"/>
  <c r="K66" i="16"/>
  <c r="F66" i="16"/>
  <c r="C66" i="16"/>
  <c r="G66" i="16" s="1"/>
  <c r="S65" i="16"/>
  <c r="R65" i="16"/>
  <c r="Q65" i="16"/>
  <c r="O65" i="16"/>
  <c r="N65" i="16"/>
  <c r="M65" i="16"/>
  <c r="K65" i="16"/>
  <c r="F65" i="16"/>
  <c r="C65" i="16"/>
  <c r="G65" i="16" s="1"/>
  <c r="S64" i="16"/>
  <c r="R64" i="16"/>
  <c r="Q64" i="16"/>
  <c r="O64" i="16"/>
  <c r="N64" i="16"/>
  <c r="M64" i="16"/>
  <c r="K64" i="16"/>
  <c r="F64" i="16"/>
  <c r="C64" i="16"/>
  <c r="G64" i="16" s="1"/>
  <c r="S63" i="16"/>
  <c r="R63" i="16"/>
  <c r="Q63" i="16"/>
  <c r="O63" i="16"/>
  <c r="N63" i="16"/>
  <c r="M63" i="16"/>
  <c r="K63" i="16"/>
  <c r="G63" i="16"/>
  <c r="F63" i="16"/>
  <c r="C63" i="16"/>
  <c r="S62" i="16"/>
  <c r="R62" i="16"/>
  <c r="Q62" i="16"/>
  <c r="O62" i="16"/>
  <c r="N62" i="16"/>
  <c r="M62" i="16"/>
  <c r="K62" i="16"/>
  <c r="F62" i="16"/>
  <c r="C62" i="16"/>
  <c r="G62" i="16" s="1"/>
  <c r="S61" i="16"/>
  <c r="R61" i="16"/>
  <c r="Q61" i="16"/>
  <c r="O61" i="16"/>
  <c r="N61" i="16"/>
  <c r="M61" i="16"/>
  <c r="K61" i="16"/>
  <c r="F61" i="16"/>
  <c r="C61" i="16"/>
  <c r="G61" i="16" s="1"/>
  <c r="S60" i="16"/>
  <c r="R60" i="16"/>
  <c r="Q60" i="16"/>
  <c r="O60" i="16"/>
  <c r="N60" i="16"/>
  <c r="M60" i="16"/>
  <c r="K60" i="16"/>
  <c r="F60" i="16"/>
  <c r="C60" i="16"/>
  <c r="G60" i="16" s="1"/>
  <c r="S59" i="16"/>
  <c r="R59" i="16"/>
  <c r="Q59" i="16"/>
  <c r="O59" i="16"/>
  <c r="N59" i="16"/>
  <c r="M59" i="16"/>
  <c r="K59" i="16"/>
  <c r="G59" i="16"/>
  <c r="F59" i="16"/>
  <c r="C59" i="16"/>
  <c r="S58" i="16"/>
  <c r="R58" i="16"/>
  <c r="Q58" i="16"/>
  <c r="O58" i="16"/>
  <c r="N58" i="16"/>
  <c r="M58" i="16"/>
  <c r="K58" i="16"/>
  <c r="F58" i="16"/>
  <c r="C58" i="16"/>
  <c r="G58" i="16" s="1"/>
  <c r="S57" i="16"/>
  <c r="R57" i="16"/>
  <c r="Q57" i="16"/>
  <c r="O57" i="16"/>
  <c r="N57" i="16"/>
  <c r="M57" i="16"/>
  <c r="K57" i="16"/>
  <c r="G57" i="16"/>
  <c r="F57" i="16"/>
  <c r="C57" i="16"/>
  <c r="S56" i="16"/>
  <c r="R56" i="16"/>
  <c r="Q56" i="16"/>
  <c r="O56" i="16"/>
  <c r="N56" i="16"/>
  <c r="M56" i="16"/>
  <c r="K56" i="16"/>
  <c r="F56" i="16"/>
  <c r="C56" i="16"/>
  <c r="G56" i="16" s="1"/>
  <c r="S55" i="16"/>
  <c r="R55" i="16"/>
  <c r="Q55" i="16"/>
  <c r="N55" i="16"/>
  <c r="M55" i="16"/>
  <c r="F55" i="16"/>
  <c r="C55" i="16"/>
  <c r="P54" i="16"/>
  <c r="L54" i="16"/>
  <c r="H54" i="16"/>
  <c r="E54" i="16"/>
  <c r="D54" i="16"/>
  <c r="S53" i="16"/>
  <c r="R53" i="16"/>
  <c r="Q53" i="16"/>
  <c r="N53" i="16"/>
  <c r="M53" i="16"/>
  <c r="O53" i="16" s="1"/>
  <c r="F53" i="16"/>
  <c r="C53" i="16"/>
  <c r="S52" i="16"/>
  <c r="R52" i="16"/>
  <c r="Q52" i="16"/>
  <c r="O52" i="16"/>
  <c r="N52" i="16"/>
  <c r="M52" i="16"/>
  <c r="K52" i="16"/>
  <c r="F52" i="16"/>
  <c r="C52" i="16"/>
  <c r="G52" i="16" s="1"/>
  <c r="S51" i="16"/>
  <c r="R51" i="16"/>
  <c r="Q51" i="16"/>
  <c r="O51" i="16"/>
  <c r="N51" i="16"/>
  <c r="M51" i="16"/>
  <c r="K51" i="16"/>
  <c r="F51" i="16"/>
  <c r="C51" i="16"/>
  <c r="G51" i="16" s="1"/>
  <c r="S50" i="16"/>
  <c r="R50" i="16"/>
  <c r="Q50" i="16"/>
  <c r="N50" i="16"/>
  <c r="M50" i="16"/>
  <c r="O50" i="16" s="1"/>
  <c r="F50" i="16"/>
  <c r="C50" i="16"/>
  <c r="S49" i="16"/>
  <c r="R49" i="16"/>
  <c r="Q49" i="16"/>
  <c r="O49" i="16"/>
  <c r="N49" i="16"/>
  <c r="M49" i="16"/>
  <c r="K49" i="16"/>
  <c r="F49" i="16"/>
  <c r="C49" i="16"/>
  <c r="G49" i="16" s="1"/>
  <c r="S48" i="16"/>
  <c r="R48" i="16"/>
  <c r="Q48" i="16"/>
  <c r="O48" i="16"/>
  <c r="N48" i="16"/>
  <c r="M48" i="16"/>
  <c r="K48" i="16"/>
  <c r="F48" i="16"/>
  <c r="C48" i="16"/>
  <c r="G48" i="16" s="1"/>
  <c r="S47" i="16"/>
  <c r="R47" i="16"/>
  <c r="Q47" i="16"/>
  <c r="O47" i="16"/>
  <c r="N47" i="16"/>
  <c r="M47" i="16"/>
  <c r="K47" i="16"/>
  <c r="F47" i="16"/>
  <c r="C47" i="16"/>
  <c r="G47" i="16" s="1"/>
  <c r="S46" i="16"/>
  <c r="R46" i="16"/>
  <c r="Q46" i="16"/>
  <c r="O46" i="16"/>
  <c r="N46" i="16"/>
  <c r="M46" i="16"/>
  <c r="K46" i="16"/>
  <c r="F46" i="16"/>
  <c r="C46" i="16"/>
  <c r="G46" i="16" s="1"/>
  <c r="S45" i="16"/>
  <c r="R45" i="16"/>
  <c r="Q45" i="16"/>
  <c r="N45" i="16"/>
  <c r="M45" i="16"/>
  <c r="O45" i="16" s="1"/>
  <c r="F45" i="16"/>
  <c r="C45" i="16"/>
  <c r="S44" i="16"/>
  <c r="R44" i="16"/>
  <c r="Q44" i="16"/>
  <c r="O44" i="16"/>
  <c r="N44" i="16"/>
  <c r="M44" i="16"/>
  <c r="K44" i="16"/>
  <c r="F44" i="16"/>
  <c r="C44" i="16"/>
  <c r="G44" i="16" s="1"/>
  <c r="S43" i="16"/>
  <c r="R43" i="16"/>
  <c r="Q43" i="16"/>
  <c r="O43" i="16"/>
  <c r="N43" i="16"/>
  <c r="M43" i="16"/>
  <c r="K43" i="16"/>
  <c r="F43" i="16"/>
  <c r="C43" i="16"/>
  <c r="G43" i="16" s="1"/>
  <c r="S42" i="16"/>
  <c r="R42" i="16"/>
  <c r="Q42" i="16"/>
  <c r="O42" i="16"/>
  <c r="N42" i="16"/>
  <c r="M42" i="16"/>
  <c r="K42" i="16"/>
  <c r="F42" i="16"/>
  <c r="C42" i="16"/>
  <c r="G42" i="16" s="1"/>
  <c r="S41" i="16"/>
  <c r="R41" i="16"/>
  <c r="Q41" i="16"/>
  <c r="O41" i="16"/>
  <c r="N41" i="16"/>
  <c r="M41" i="16"/>
  <c r="K41" i="16"/>
  <c r="F41" i="16"/>
  <c r="C41" i="16"/>
  <c r="G41" i="16" s="1"/>
  <c r="S40" i="16"/>
  <c r="R40" i="16"/>
  <c r="Q40" i="16"/>
  <c r="O40" i="16"/>
  <c r="N40" i="16"/>
  <c r="M40" i="16"/>
  <c r="K40" i="16"/>
  <c r="F40" i="16"/>
  <c r="C40" i="16"/>
  <c r="G40" i="16" s="1"/>
  <c r="S39" i="16"/>
  <c r="R39" i="16"/>
  <c r="Q39" i="16"/>
  <c r="N39" i="16"/>
  <c r="M39" i="16"/>
  <c r="F39" i="16"/>
  <c r="C39" i="16"/>
  <c r="S38" i="16"/>
  <c r="R38" i="16"/>
  <c r="Q38" i="16"/>
  <c r="N38" i="16"/>
  <c r="M38" i="16"/>
  <c r="O38" i="16" s="1"/>
  <c r="F38" i="16"/>
  <c r="C38" i="16"/>
  <c r="S37" i="16"/>
  <c r="R37" i="16"/>
  <c r="Q37" i="16"/>
  <c r="O37" i="16"/>
  <c r="N37" i="16"/>
  <c r="M37" i="16"/>
  <c r="K37" i="16"/>
  <c r="F37" i="16"/>
  <c r="C37" i="16"/>
  <c r="G37" i="16" s="1"/>
  <c r="S36" i="16"/>
  <c r="R36" i="16"/>
  <c r="Q36" i="16"/>
  <c r="O36" i="16"/>
  <c r="N36" i="16"/>
  <c r="M36" i="16"/>
  <c r="K36" i="16"/>
  <c r="F36" i="16"/>
  <c r="C36" i="16"/>
  <c r="G36" i="16" s="1"/>
  <c r="S35" i="16"/>
  <c r="R35" i="16"/>
  <c r="Q35" i="16"/>
  <c r="O35" i="16"/>
  <c r="N35" i="16"/>
  <c r="M35" i="16"/>
  <c r="K35" i="16"/>
  <c r="F35" i="16"/>
  <c r="C35" i="16"/>
  <c r="G35" i="16" s="1"/>
  <c r="S34" i="16"/>
  <c r="R34" i="16"/>
  <c r="Q34" i="16"/>
  <c r="O34" i="16"/>
  <c r="N34" i="16"/>
  <c r="M34" i="16"/>
  <c r="K34" i="16"/>
  <c r="F34" i="16"/>
  <c r="C34" i="16"/>
  <c r="P33" i="16"/>
  <c r="S33" i="16" s="1"/>
  <c r="L33" i="16"/>
  <c r="H33" i="16"/>
  <c r="E33" i="16"/>
  <c r="D33" i="16"/>
  <c r="S32" i="16"/>
  <c r="R32" i="16"/>
  <c r="Q32" i="16"/>
  <c r="O32" i="16"/>
  <c r="N32" i="16"/>
  <c r="M32" i="16"/>
  <c r="H32" i="16"/>
  <c r="K32" i="16" s="1"/>
  <c r="F32" i="16"/>
  <c r="C32" i="16"/>
  <c r="G32" i="16" s="1"/>
  <c r="S31" i="16"/>
  <c r="R31" i="16"/>
  <c r="Q31" i="16"/>
  <c r="N31" i="16"/>
  <c r="M31" i="16"/>
  <c r="O31" i="16" s="1"/>
  <c r="H31" i="16"/>
  <c r="F31" i="16"/>
  <c r="C31" i="16"/>
  <c r="S30" i="16"/>
  <c r="R30" i="16"/>
  <c r="Q30" i="16"/>
  <c r="O30" i="16"/>
  <c r="N30" i="16"/>
  <c r="M30" i="16"/>
  <c r="H30" i="16"/>
  <c r="K30" i="16" s="1"/>
  <c r="F30" i="16"/>
  <c r="C30" i="16"/>
  <c r="G30" i="16" s="1"/>
  <c r="S29" i="16"/>
  <c r="R29" i="16"/>
  <c r="Q29" i="16"/>
  <c r="O29" i="16"/>
  <c r="N29" i="16"/>
  <c r="M29" i="16"/>
  <c r="H29" i="16"/>
  <c r="K29" i="16" s="1"/>
  <c r="G29" i="16"/>
  <c r="F29" i="16"/>
  <c r="C29" i="16"/>
  <c r="S28" i="16"/>
  <c r="R28" i="16"/>
  <c r="Q28" i="16"/>
  <c r="N28" i="16"/>
  <c r="M28" i="16"/>
  <c r="H28" i="16"/>
  <c r="F28" i="16"/>
  <c r="C28" i="16"/>
  <c r="S27" i="16"/>
  <c r="R27" i="16"/>
  <c r="Q27" i="16"/>
  <c r="O27" i="16"/>
  <c r="N27" i="16"/>
  <c r="M27" i="16"/>
  <c r="K27" i="16"/>
  <c r="H27" i="16"/>
  <c r="G27" i="16"/>
  <c r="F27" i="16"/>
  <c r="C27" i="16"/>
  <c r="S26" i="16"/>
  <c r="R26" i="16"/>
  <c r="Q26" i="16"/>
  <c r="O26" i="16"/>
  <c r="N26" i="16"/>
  <c r="M26" i="16"/>
  <c r="H26" i="16"/>
  <c r="K26" i="16" s="1"/>
  <c r="F26" i="16"/>
  <c r="C26" i="16"/>
  <c r="G26" i="16" s="1"/>
  <c r="R25" i="16"/>
  <c r="Q25" i="16"/>
  <c r="O25" i="16"/>
  <c r="N25" i="16"/>
  <c r="M25" i="16"/>
  <c r="H25" i="16"/>
  <c r="F25" i="16"/>
  <c r="C25" i="16"/>
  <c r="G25" i="16" s="1"/>
  <c r="S24" i="16"/>
  <c r="R24" i="16"/>
  <c r="Q24" i="16"/>
  <c r="N24" i="16"/>
  <c r="M24" i="16"/>
  <c r="H24" i="16"/>
  <c r="F24" i="16"/>
  <c r="C24" i="16"/>
  <c r="S23" i="16"/>
  <c r="R23" i="16"/>
  <c r="Q23" i="16"/>
  <c r="O23" i="16"/>
  <c r="N23" i="16"/>
  <c r="M23" i="16"/>
  <c r="H23" i="16"/>
  <c r="K23" i="16" s="1"/>
  <c r="G23" i="16"/>
  <c r="F23" i="16"/>
  <c r="C23" i="16"/>
  <c r="S22" i="16"/>
  <c r="R22" i="16"/>
  <c r="Q22" i="16"/>
  <c r="O22" i="16"/>
  <c r="N22" i="16"/>
  <c r="M22" i="16"/>
  <c r="H22" i="16"/>
  <c r="K22" i="16" s="1"/>
  <c r="F22" i="16"/>
  <c r="C22" i="16"/>
  <c r="G22" i="16" s="1"/>
  <c r="S21" i="16"/>
  <c r="R21" i="16"/>
  <c r="Q21" i="16"/>
  <c r="O21" i="16"/>
  <c r="N21" i="16"/>
  <c r="M21" i="16"/>
  <c r="H21" i="16"/>
  <c r="K21" i="16" s="1"/>
  <c r="G21" i="16"/>
  <c r="F21" i="16"/>
  <c r="C21" i="16"/>
  <c r="S20" i="16"/>
  <c r="R20" i="16"/>
  <c r="Q20" i="16"/>
  <c r="O20" i="16"/>
  <c r="N20" i="16"/>
  <c r="M20" i="16"/>
  <c r="K20" i="16"/>
  <c r="H20" i="16"/>
  <c r="G20" i="16"/>
  <c r="F20" i="16"/>
  <c r="C20" i="16"/>
  <c r="S19" i="16"/>
  <c r="R19" i="16"/>
  <c r="Q19" i="16"/>
  <c r="O19" i="16"/>
  <c r="N19" i="16"/>
  <c r="M19" i="16"/>
  <c r="H19" i="16"/>
  <c r="K19" i="16" s="1"/>
  <c r="F19" i="16"/>
  <c r="C19" i="16"/>
  <c r="G19" i="16" s="1"/>
  <c r="S18" i="16"/>
  <c r="R18" i="16"/>
  <c r="Q18" i="16"/>
  <c r="N18" i="16"/>
  <c r="M18" i="16"/>
  <c r="H18" i="16"/>
  <c r="F18" i="16"/>
  <c r="C18" i="16"/>
  <c r="S17" i="16"/>
  <c r="R17" i="16"/>
  <c r="Q17" i="16"/>
  <c r="O17" i="16"/>
  <c r="N17" i="16"/>
  <c r="M17" i="16"/>
  <c r="H17" i="16"/>
  <c r="K17" i="16" s="1"/>
  <c r="F17" i="16"/>
  <c r="C17" i="16"/>
  <c r="G17" i="16" s="1"/>
  <c r="S16" i="16"/>
  <c r="R16" i="16"/>
  <c r="Q16" i="16"/>
  <c r="N16" i="16"/>
  <c r="M16" i="16"/>
  <c r="H16" i="16"/>
  <c r="F16" i="16"/>
  <c r="C16" i="16"/>
  <c r="P15" i="16"/>
  <c r="L15" i="16"/>
  <c r="E15" i="16"/>
  <c r="D15" i="16"/>
  <c r="S14" i="16"/>
  <c r="O14" i="16"/>
  <c r="K14" i="16"/>
  <c r="G14" i="16"/>
  <c r="R13" i="16"/>
  <c r="R11" i="16" s="1"/>
  <c r="Q13" i="16"/>
  <c r="M13" i="16"/>
  <c r="L13" i="16"/>
  <c r="E13" i="16"/>
  <c r="O12" i="16"/>
  <c r="M12" i="16"/>
  <c r="L12" i="16"/>
  <c r="H12" i="16" s="1"/>
  <c r="D12" i="16"/>
  <c r="S10" i="16"/>
  <c r="J114" i="15"/>
  <c r="C114" i="15"/>
  <c r="G114" i="15" s="1"/>
  <c r="J113" i="15"/>
  <c r="C113" i="15"/>
  <c r="G113" i="15" s="1"/>
  <c r="J112" i="15"/>
  <c r="C112" i="15"/>
  <c r="G112" i="15" s="1"/>
  <c r="J111" i="15"/>
  <c r="C111" i="15"/>
  <c r="G111" i="15" s="1"/>
  <c r="J110" i="15"/>
  <c r="G110" i="15"/>
  <c r="C110" i="15"/>
  <c r="A110" i="15"/>
  <c r="A111" i="15" s="1"/>
  <c r="A112" i="15" s="1"/>
  <c r="J109" i="15"/>
  <c r="G109" i="15"/>
  <c r="C109" i="15"/>
  <c r="J108" i="15"/>
  <c r="C108" i="15"/>
  <c r="G108" i="15" s="1"/>
  <c r="J107" i="15"/>
  <c r="C107" i="15"/>
  <c r="K106" i="15"/>
  <c r="K13" i="15" s="1"/>
  <c r="I106" i="15"/>
  <c r="H106" i="15"/>
  <c r="F106" i="15"/>
  <c r="E106" i="15"/>
  <c r="D106" i="15"/>
  <c r="D13" i="15" s="1"/>
  <c r="J105" i="15"/>
  <c r="C105" i="15"/>
  <c r="G105" i="15" s="1"/>
  <c r="J104" i="15"/>
  <c r="C104" i="15"/>
  <c r="G104" i="15" s="1"/>
  <c r="J103" i="15"/>
  <c r="C103" i="15"/>
  <c r="G103" i="15" s="1"/>
  <c r="J102" i="15"/>
  <c r="C102" i="15"/>
  <c r="G102" i="15" s="1"/>
  <c r="J101" i="15"/>
  <c r="C101" i="15"/>
  <c r="G101" i="15" s="1"/>
  <c r="J100" i="15"/>
  <c r="C100" i="15"/>
  <c r="G100" i="15" s="1"/>
  <c r="J99" i="15"/>
  <c r="C99" i="15"/>
  <c r="G99" i="15" s="1"/>
  <c r="J98" i="15"/>
  <c r="C98" i="15"/>
  <c r="G98" i="15" s="1"/>
  <c r="J97" i="15"/>
  <c r="C97" i="15"/>
  <c r="G97" i="15" s="1"/>
  <c r="J96" i="15"/>
  <c r="C96" i="15"/>
  <c r="G96" i="15" s="1"/>
  <c r="J95" i="15"/>
  <c r="C95" i="15"/>
  <c r="G95" i="15" s="1"/>
  <c r="A95" i="15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J94" i="15"/>
  <c r="C94" i="15"/>
  <c r="G94" i="15" s="1"/>
  <c r="J93" i="15"/>
  <c r="G93" i="15"/>
  <c r="C93" i="15"/>
  <c r="J92" i="15"/>
  <c r="C92" i="15"/>
  <c r="K91" i="15"/>
  <c r="I91" i="15"/>
  <c r="I12" i="15" s="1"/>
  <c r="H91" i="15"/>
  <c r="J91" i="15" s="1"/>
  <c r="F91" i="15"/>
  <c r="F12" i="15" s="1"/>
  <c r="F11" i="15" s="1"/>
  <c r="E91" i="15"/>
  <c r="E12" i="15" s="1"/>
  <c r="D91" i="15"/>
  <c r="D12" i="15" s="1"/>
  <c r="K90" i="15"/>
  <c r="I90" i="15"/>
  <c r="J90" i="15" s="1"/>
  <c r="F90" i="15"/>
  <c r="C90" i="15"/>
  <c r="K89" i="15"/>
  <c r="I89" i="15"/>
  <c r="J89" i="15" s="1"/>
  <c r="F89" i="15"/>
  <c r="C89" i="15"/>
  <c r="K88" i="15"/>
  <c r="I88" i="15"/>
  <c r="J88" i="15" s="1"/>
  <c r="F88" i="15"/>
  <c r="C88" i="15"/>
  <c r="K87" i="15"/>
  <c r="I87" i="15"/>
  <c r="J87" i="15" s="1"/>
  <c r="F87" i="15"/>
  <c r="G87" i="15" s="1"/>
  <c r="C87" i="15"/>
  <c r="K86" i="15"/>
  <c r="I86" i="15"/>
  <c r="J86" i="15" s="1"/>
  <c r="F86" i="15"/>
  <c r="C86" i="15"/>
  <c r="K85" i="15"/>
  <c r="I85" i="15"/>
  <c r="J85" i="15" s="1"/>
  <c r="F85" i="15"/>
  <c r="C85" i="15"/>
  <c r="K84" i="15"/>
  <c r="I84" i="15"/>
  <c r="J84" i="15" s="1"/>
  <c r="F84" i="15"/>
  <c r="C84" i="15"/>
  <c r="K83" i="15"/>
  <c r="I83" i="15"/>
  <c r="J83" i="15" s="1"/>
  <c r="F83" i="15"/>
  <c r="C83" i="15"/>
  <c r="K82" i="15"/>
  <c r="I82" i="15"/>
  <c r="J82" i="15" s="1"/>
  <c r="F82" i="15"/>
  <c r="C82" i="15"/>
  <c r="K81" i="15"/>
  <c r="I81" i="15"/>
  <c r="J81" i="15" s="1"/>
  <c r="F81" i="15"/>
  <c r="G81" i="15" s="1"/>
  <c r="C81" i="15"/>
  <c r="K80" i="15"/>
  <c r="I80" i="15"/>
  <c r="J80" i="15" s="1"/>
  <c r="F80" i="15"/>
  <c r="C80" i="15"/>
  <c r="K79" i="15"/>
  <c r="I79" i="15"/>
  <c r="J79" i="15" s="1"/>
  <c r="F79" i="15"/>
  <c r="C79" i="15"/>
  <c r="K78" i="15"/>
  <c r="I78" i="15"/>
  <c r="J78" i="15" s="1"/>
  <c r="F78" i="15"/>
  <c r="C78" i="15"/>
  <c r="K77" i="15"/>
  <c r="I77" i="15"/>
  <c r="J77" i="15" s="1"/>
  <c r="F77" i="15"/>
  <c r="C77" i="15"/>
  <c r="H76" i="15"/>
  <c r="E76" i="15"/>
  <c r="D76" i="15"/>
  <c r="K75" i="15"/>
  <c r="I75" i="15"/>
  <c r="J75" i="15" s="1"/>
  <c r="F75" i="15"/>
  <c r="C75" i="15"/>
  <c r="K74" i="15"/>
  <c r="I74" i="15"/>
  <c r="J74" i="15" s="1"/>
  <c r="F74" i="15"/>
  <c r="C74" i="15"/>
  <c r="K73" i="15"/>
  <c r="I73" i="15"/>
  <c r="J73" i="15" s="1"/>
  <c r="F73" i="15"/>
  <c r="C73" i="15"/>
  <c r="K72" i="15"/>
  <c r="I72" i="15"/>
  <c r="J72" i="15" s="1"/>
  <c r="F72" i="15"/>
  <c r="C72" i="15"/>
  <c r="K71" i="15"/>
  <c r="I71" i="15"/>
  <c r="J71" i="15" s="1"/>
  <c r="F71" i="15"/>
  <c r="C71" i="15"/>
  <c r="K70" i="15"/>
  <c r="I70" i="15"/>
  <c r="J70" i="15" s="1"/>
  <c r="F70" i="15"/>
  <c r="C70" i="15"/>
  <c r="K69" i="15"/>
  <c r="I69" i="15"/>
  <c r="J69" i="15" s="1"/>
  <c r="F69" i="15"/>
  <c r="C69" i="15"/>
  <c r="K68" i="15"/>
  <c r="I68" i="15"/>
  <c r="J68" i="15" s="1"/>
  <c r="F68" i="15"/>
  <c r="C68" i="15"/>
  <c r="K67" i="15"/>
  <c r="I67" i="15"/>
  <c r="J67" i="15" s="1"/>
  <c r="F67" i="15"/>
  <c r="C67" i="15"/>
  <c r="K66" i="15"/>
  <c r="I66" i="15"/>
  <c r="J66" i="15" s="1"/>
  <c r="F66" i="15"/>
  <c r="C66" i="15"/>
  <c r="K65" i="15"/>
  <c r="I65" i="15"/>
  <c r="J65" i="15" s="1"/>
  <c r="F65" i="15"/>
  <c r="C65" i="15"/>
  <c r="K64" i="15"/>
  <c r="I64" i="15"/>
  <c r="J64" i="15" s="1"/>
  <c r="F64" i="15"/>
  <c r="C64" i="15"/>
  <c r="K63" i="15"/>
  <c r="I63" i="15"/>
  <c r="J63" i="15" s="1"/>
  <c r="F63" i="15"/>
  <c r="C63" i="15"/>
  <c r="K62" i="15"/>
  <c r="I62" i="15"/>
  <c r="J62" i="15" s="1"/>
  <c r="F62" i="15"/>
  <c r="C62" i="15"/>
  <c r="K61" i="15"/>
  <c r="I61" i="15"/>
  <c r="J61" i="15" s="1"/>
  <c r="F61" i="15"/>
  <c r="C61" i="15"/>
  <c r="K60" i="15"/>
  <c r="I60" i="15"/>
  <c r="J60" i="15" s="1"/>
  <c r="F60" i="15"/>
  <c r="C60" i="15"/>
  <c r="K59" i="15"/>
  <c r="I59" i="15"/>
  <c r="J59" i="15" s="1"/>
  <c r="F59" i="15"/>
  <c r="C59" i="15"/>
  <c r="K58" i="15"/>
  <c r="I58" i="15"/>
  <c r="J58" i="15" s="1"/>
  <c r="F58" i="15"/>
  <c r="C58" i="15"/>
  <c r="K57" i="15"/>
  <c r="I57" i="15"/>
  <c r="J57" i="15" s="1"/>
  <c r="F57" i="15"/>
  <c r="C57" i="15"/>
  <c r="K56" i="15"/>
  <c r="I56" i="15"/>
  <c r="F56" i="15"/>
  <c r="C56" i="15"/>
  <c r="K55" i="15"/>
  <c r="I55" i="15"/>
  <c r="J55" i="15" s="1"/>
  <c r="F55" i="15"/>
  <c r="C55" i="15"/>
  <c r="H54" i="15"/>
  <c r="E54" i="15"/>
  <c r="D54" i="15"/>
  <c r="K53" i="15"/>
  <c r="I53" i="15"/>
  <c r="J53" i="15" s="1"/>
  <c r="F53" i="15"/>
  <c r="C53" i="15"/>
  <c r="K52" i="15"/>
  <c r="I52" i="15"/>
  <c r="J52" i="15" s="1"/>
  <c r="F52" i="15"/>
  <c r="G52" i="15" s="1"/>
  <c r="C52" i="15"/>
  <c r="K51" i="15"/>
  <c r="I51" i="15"/>
  <c r="J51" i="15" s="1"/>
  <c r="F51" i="15"/>
  <c r="C51" i="15"/>
  <c r="K50" i="15"/>
  <c r="I50" i="15"/>
  <c r="J50" i="15" s="1"/>
  <c r="F50" i="15"/>
  <c r="C50" i="15"/>
  <c r="K49" i="15"/>
  <c r="I49" i="15"/>
  <c r="J49" i="15" s="1"/>
  <c r="F49" i="15"/>
  <c r="C49" i="15"/>
  <c r="K48" i="15"/>
  <c r="I48" i="15"/>
  <c r="J48" i="15" s="1"/>
  <c r="F48" i="15"/>
  <c r="G48" i="15" s="1"/>
  <c r="C48" i="15"/>
  <c r="K47" i="15"/>
  <c r="I47" i="15"/>
  <c r="J47" i="15" s="1"/>
  <c r="F47" i="15"/>
  <c r="C47" i="15"/>
  <c r="K46" i="15"/>
  <c r="I46" i="15"/>
  <c r="J46" i="15" s="1"/>
  <c r="F46" i="15"/>
  <c r="G46" i="15" s="1"/>
  <c r="C46" i="15"/>
  <c r="K45" i="15"/>
  <c r="I45" i="15"/>
  <c r="J45" i="15" s="1"/>
  <c r="F45" i="15"/>
  <c r="C45" i="15"/>
  <c r="K44" i="15"/>
  <c r="I44" i="15"/>
  <c r="J44" i="15" s="1"/>
  <c r="F44" i="15"/>
  <c r="C44" i="15"/>
  <c r="K43" i="15"/>
  <c r="I43" i="15"/>
  <c r="J43" i="15" s="1"/>
  <c r="F43" i="15"/>
  <c r="C43" i="15"/>
  <c r="K42" i="15"/>
  <c r="I42" i="15"/>
  <c r="J42" i="15" s="1"/>
  <c r="F42" i="15"/>
  <c r="G42" i="15" s="1"/>
  <c r="C42" i="15"/>
  <c r="K41" i="15"/>
  <c r="I41" i="15"/>
  <c r="J41" i="15" s="1"/>
  <c r="F41" i="15"/>
  <c r="C41" i="15"/>
  <c r="K40" i="15"/>
  <c r="I40" i="15"/>
  <c r="J40" i="15" s="1"/>
  <c r="F40" i="15"/>
  <c r="G40" i="15" s="1"/>
  <c r="C40" i="15"/>
  <c r="K39" i="15"/>
  <c r="I39" i="15"/>
  <c r="J39" i="15" s="1"/>
  <c r="F39" i="15"/>
  <c r="C39" i="15"/>
  <c r="K38" i="15"/>
  <c r="I38" i="15"/>
  <c r="J38" i="15" s="1"/>
  <c r="F38" i="15"/>
  <c r="C38" i="15"/>
  <c r="K37" i="15"/>
  <c r="I37" i="15"/>
  <c r="J37" i="15" s="1"/>
  <c r="F37" i="15"/>
  <c r="C37" i="15"/>
  <c r="K36" i="15"/>
  <c r="I36" i="15"/>
  <c r="J36" i="15" s="1"/>
  <c r="F36" i="15"/>
  <c r="G36" i="15" s="1"/>
  <c r="C36" i="15"/>
  <c r="K35" i="15"/>
  <c r="I35" i="15"/>
  <c r="J35" i="15" s="1"/>
  <c r="F35" i="15"/>
  <c r="C35" i="15"/>
  <c r="K34" i="15"/>
  <c r="I34" i="15"/>
  <c r="F34" i="15"/>
  <c r="G34" i="15" s="1"/>
  <c r="C34" i="15"/>
  <c r="H33" i="15"/>
  <c r="E33" i="15"/>
  <c r="D33" i="15"/>
  <c r="K32" i="15"/>
  <c r="I32" i="15"/>
  <c r="J32" i="15" s="1"/>
  <c r="F32" i="15"/>
  <c r="C32" i="15"/>
  <c r="K31" i="15"/>
  <c r="I31" i="15"/>
  <c r="J31" i="15" s="1"/>
  <c r="F31" i="15"/>
  <c r="C31" i="15"/>
  <c r="K30" i="15"/>
  <c r="I30" i="15"/>
  <c r="J30" i="15" s="1"/>
  <c r="F30" i="15"/>
  <c r="C30" i="15"/>
  <c r="K29" i="15"/>
  <c r="I29" i="15"/>
  <c r="J29" i="15" s="1"/>
  <c r="F29" i="15"/>
  <c r="C29" i="15"/>
  <c r="K28" i="15"/>
  <c r="I28" i="15"/>
  <c r="J28" i="15" s="1"/>
  <c r="F28" i="15"/>
  <c r="C28" i="15"/>
  <c r="K27" i="15"/>
  <c r="I27" i="15"/>
  <c r="J27" i="15" s="1"/>
  <c r="F27" i="15"/>
  <c r="C27" i="15"/>
  <c r="K26" i="15"/>
  <c r="I26" i="15"/>
  <c r="J26" i="15" s="1"/>
  <c r="F26" i="15"/>
  <c r="C26" i="15"/>
  <c r="K25" i="15"/>
  <c r="I25" i="15"/>
  <c r="J25" i="15" s="1"/>
  <c r="F25" i="15"/>
  <c r="C25" i="15"/>
  <c r="K24" i="15"/>
  <c r="I24" i="15"/>
  <c r="J24" i="15" s="1"/>
  <c r="F24" i="15"/>
  <c r="C24" i="15"/>
  <c r="K23" i="15"/>
  <c r="I23" i="15"/>
  <c r="J23" i="15" s="1"/>
  <c r="F23" i="15"/>
  <c r="C23" i="15"/>
  <c r="K22" i="15"/>
  <c r="I22" i="15"/>
  <c r="J22" i="15" s="1"/>
  <c r="F22" i="15"/>
  <c r="C22" i="15"/>
  <c r="K21" i="15"/>
  <c r="I21" i="15"/>
  <c r="J21" i="15" s="1"/>
  <c r="F21" i="15"/>
  <c r="C21" i="15"/>
  <c r="K20" i="15"/>
  <c r="I20" i="15"/>
  <c r="J20" i="15" s="1"/>
  <c r="F20" i="15"/>
  <c r="C20" i="15"/>
  <c r="K19" i="15"/>
  <c r="I19" i="15"/>
  <c r="J19" i="15" s="1"/>
  <c r="F19" i="15"/>
  <c r="C19" i="15"/>
  <c r="K18" i="15"/>
  <c r="I18" i="15"/>
  <c r="J18" i="15" s="1"/>
  <c r="F18" i="15"/>
  <c r="C18" i="15"/>
  <c r="K17" i="15"/>
  <c r="I17" i="15"/>
  <c r="J17" i="15" s="1"/>
  <c r="F17" i="15"/>
  <c r="C17" i="15"/>
  <c r="K16" i="15"/>
  <c r="I16" i="15"/>
  <c r="F16" i="15"/>
  <c r="C16" i="15"/>
  <c r="H15" i="15"/>
  <c r="E15" i="15"/>
  <c r="D15" i="15"/>
  <c r="J14" i="15"/>
  <c r="G14" i="15"/>
  <c r="I13" i="15"/>
  <c r="E13" i="15"/>
  <c r="K12" i="15"/>
  <c r="J114" i="14"/>
  <c r="I114" i="14"/>
  <c r="C114" i="14"/>
  <c r="G114" i="14" s="1"/>
  <c r="J113" i="14"/>
  <c r="I113" i="14"/>
  <c r="C113" i="14"/>
  <c r="G113" i="14" s="1"/>
  <c r="J112" i="14"/>
  <c r="I112" i="14"/>
  <c r="C112" i="14"/>
  <c r="G112" i="14" s="1"/>
  <c r="J111" i="14"/>
  <c r="I111" i="14"/>
  <c r="C111" i="14"/>
  <c r="G111" i="14" s="1"/>
  <c r="J110" i="14"/>
  <c r="I110" i="14"/>
  <c r="C110" i="14"/>
  <c r="G110" i="14" s="1"/>
  <c r="A110" i="14"/>
  <c r="A111" i="14" s="1"/>
  <c r="A112" i="14" s="1"/>
  <c r="J109" i="14"/>
  <c r="I109" i="14"/>
  <c r="C109" i="14"/>
  <c r="G109" i="14" s="1"/>
  <c r="J108" i="14"/>
  <c r="I108" i="14"/>
  <c r="C108" i="14"/>
  <c r="J107" i="14"/>
  <c r="I107" i="14"/>
  <c r="C107" i="14"/>
  <c r="G107" i="14" s="1"/>
  <c r="O106" i="14"/>
  <c r="O13" i="14" s="1"/>
  <c r="N106" i="14"/>
  <c r="M106" i="14"/>
  <c r="L106" i="14"/>
  <c r="L13" i="14" s="1"/>
  <c r="K106" i="14"/>
  <c r="K13" i="14" s="1"/>
  <c r="H106" i="14"/>
  <c r="F106" i="14"/>
  <c r="E106" i="14"/>
  <c r="D106" i="14"/>
  <c r="J105" i="14"/>
  <c r="I105" i="14"/>
  <c r="C105" i="14"/>
  <c r="G105" i="14" s="1"/>
  <c r="J104" i="14"/>
  <c r="I104" i="14"/>
  <c r="C104" i="14"/>
  <c r="G104" i="14" s="1"/>
  <c r="J103" i="14"/>
  <c r="I103" i="14"/>
  <c r="C103" i="14"/>
  <c r="G103" i="14" s="1"/>
  <c r="J102" i="14"/>
  <c r="I102" i="14"/>
  <c r="C102" i="14"/>
  <c r="G102" i="14" s="1"/>
  <c r="J101" i="14"/>
  <c r="I101" i="14"/>
  <c r="C101" i="14"/>
  <c r="G101" i="14" s="1"/>
  <c r="J100" i="14"/>
  <c r="I100" i="14"/>
  <c r="C100" i="14"/>
  <c r="G100" i="14" s="1"/>
  <c r="J99" i="14"/>
  <c r="I99" i="14"/>
  <c r="C99" i="14"/>
  <c r="G99" i="14" s="1"/>
  <c r="J98" i="14"/>
  <c r="I98" i="14"/>
  <c r="C98" i="14"/>
  <c r="G98" i="14" s="1"/>
  <c r="J97" i="14"/>
  <c r="I97" i="14"/>
  <c r="C97" i="14"/>
  <c r="G97" i="14" s="1"/>
  <c r="J96" i="14"/>
  <c r="I96" i="14"/>
  <c r="C96" i="14"/>
  <c r="G96" i="14" s="1"/>
  <c r="J95" i="14"/>
  <c r="I95" i="14"/>
  <c r="G95" i="14"/>
  <c r="C95" i="14"/>
  <c r="A95" i="14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J94" i="14"/>
  <c r="I94" i="14"/>
  <c r="C94" i="14"/>
  <c r="G94" i="14" s="1"/>
  <c r="J93" i="14"/>
  <c r="I93" i="14"/>
  <c r="C93" i="14"/>
  <c r="G93" i="14" s="1"/>
  <c r="J92" i="14"/>
  <c r="I92" i="14"/>
  <c r="C92" i="14"/>
  <c r="G92" i="14" s="1"/>
  <c r="O91" i="14"/>
  <c r="O12" i="14" s="1"/>
  <c r="N91" i="14"/>
  <c r="N12" i="14" s="1"/>
  <c r="M91" i="14"/>
  <c r="L91" i="14"/>
  <c r="L12" i="14" s="1"/>
  <c r="K91" i="14"/>
  <c r="K12" i="14" s="1"/>
  <c r="H91" i="14"/>
  <c r="H12" i="14" s="1"/>
  <c r="F91" i="14"/>
  <c r="E91" i="14"/>
  <c r="E12" i="14" s="1"/>
  <c r="D91" i="14"/>
  <c r="D12" i="14" s="1"/>
  <c r="O90" i="14"/>
  <c r="N90" i="14"/>
  <c r="M90" i="14"/>
  <c r="L90" i="14"/>
  <c r="K90" i="14"/>
  <c r="F90" i="14"/>
  <c r="C90" i="14"/>
  <c r="O89" i="14"/>
  <c r="N89" i="14"/>
  <c r="M89" i="14"/>
  <c r="L89" i="14"/>
  <c r="K89" i="14"/>
  <c r="F89" i="14"/>
  <c r="C89" i="14"/>
  <c r="O88" i="14"/>
  <c r="N88" i="14"/>
  <c r="M88" i="14"/>
  <c r="L88" i="14"/>
  <c r="K88" i="14"/>
  <c r="F88" i="14"/>
  <c r="C88" i="14"/>
  <c r="O87" i="14"/>
  <c r="N87" i="14"/>
  <c r="M87" i="14"/>
  <c r="L87" i="14"/>
  <c r="K87" i="14"/>
  <c r="F87" i="14"/>
  <c r="C87" i="14"/>
  <c r="O86" i="14"/>
  <c r="N86" i="14"/>
  <c r="M86" i="14"/>
  <c r="L86" i="14"/>
  <c r="K86" i="14"/>
  <c r="F86" i="14"/>
  <c r="C86" i="14"/>
  <c r="O85" i="14"/>
  <c r="N85" i="14"/>
  <c r="M85" i="14"/>
  <c r="L85" i="14"/>
  <c r="K85" i="14"/>
  <c r="F85" i="14"/>
  <c r="C85" i="14"/>
  <c r="O84" i="14"/>
  <c r="N84" i="14"/>
  <c r="M84" i="14"/>
  <c r="L84" i="14"/>
  <c r="K84" i="14"/>
  <c r="F84" i="14"/>
  <c r="C84" i="14"/>
  <c r="O83" i="14"/>
  <c r="N83" i="14"/>
  <c r="M83" i="14"/>
  <c r="L83" i="14"/>
  <c r="K83" i="14"/>
  <c r="F83" i="14"/>
  <c r="C83" i="14"/>
  <c r="O82" i="14"/>
  <c r="N82" i="14"/>
  <c r="M82" i="14"/>
  <c r="L82" i="14"/>
  <c r="K82" i="14"/>
  <c r="F82" i="14"/>
  <c r="C82" i="14"/>
  <c r="O81" i="14"/>
  <c r="N81" i="14"/>
  <c r="M81" i="14"/>
  <c r="L81" i="14"/>
  <c r="K81" i="14"/>
  <c r="F81" i="14"/>
  <c r="C81" i="14"/>
  <c r="O80" i="14"/>
  <c r="N80" i="14"/>
  <c r="M80" i="14"/>
  <c r="L80" i="14"/>
  <c r="K80" i="14"/>
  <c r="F80" i="14"/>
  <c r="C80" i="14"/>
  <c r="O79" i="14"/>
  <c r="N79" i="14"/>
  <c r="M79" i="14"/>
  <c r="L79" i="14"/>
  <c r="K79" i="14"/>
  <c r="F79" i="14"/>
  <c r="C79" i="14"/>
  <c r="O78" i="14"/>
  <c r="N78" i="14"/>
  <c r="M78" i="14"/>
  <c r="L78" i="14"/>
  <c r="K78" i="14"/>
  <c r="F78" i="14"/>
  <c r="C78" i="14"/>
  <c r="O77" i="14"/>
  <c r="N77" i="14"/>
  <c r="M77" i="14"/>
  <c r="L77" i="14"/>
  <c r="K77" i="14"/>
  <c r="F77" i="14"/>
  <c r="C77" i="14"/>
  <c r="H76" i="14"/>
  <c r="E76" i="14"/>
  <c r="D76" i="14"/>
  <c r="O75" i="14"/>
  <c r="N75" i="14"/>
  <c r="M75" i="14"/>
  <c r="L75" i="14"/>
  <c r="K75" i="14"/>
  <c r="F75" i="14"/>
  <c r="C75" i="14"/>
  <c r="O74" i="14"/>
  <c r="N74" i="14"/>
  <c r="M74" i="14"/>
  <c r="L74" i="14"/>
  <c r="K74" i="14"/>
  <c r="F74" i="14"/>
  <c r="C74" i="14"/>
  <c r="O73" i="14"/>
  <c r="N73" i="14"/>
  <c r="M73" i="14"/>
  <c r="L73" i="14"/>
  <c r="K73" i="14"/>
  <c r="F73" i="14"/>
  <c r="G73" i="14" s="1"/>
  <c r="C73" i="14"/>
  <c r="O72" i="14"/>
  <c r="N72" i="14"/>
  <c r="M72" i="14"/>
  <c r="L72" i="14"/>
  <c r="K72" i="14"/>
  <c r="F72" i="14"/>
  <c r="C72" i="14"/>
  <c r="O71" i="14"/>
  <c r="N71" i="14"/>
  <c r="M71" i="14"/>
  <c r="L71" i="14"/>
  <c r="K71" i="14"/>
  <c r="F71" i="14"/>
  <c r="C71" i="14"/>
  <c r="O70" i="14"/>
  <c r="N70" i="14"/>
  <c r="M70" i="14"/>
  <c r="L70" i="14"/>
  <c r="K70" i="14"/>
  <c r="F70" i="14"/>
  <c r="C70" i="14"/>
  <c r="O69" i="14"/>
  <c r="N69" i="14"/>
  <c r="M69" i="14"/>
  <c r="L69" i="14"/>
  <c r="K69" i="14"/>
  <c r="F69" i="14"/>
  <c r="C69" i="14"/>
  <c r="O68" i="14"/>
  <c r="N68" i="14"/>
  <c r="M68" i="14"/>
  <c r="L68" i="14"/>
  <c r="K68" i="14"/>
  <c r="F68" i="14"/>
  <c r="C68" i="14"/>
  <c r="O67" i="14"/>
  <c r="N67" i="14"/>
  <c r="M67" i="14"/>
  <c r="L67" i="14"/>
  <c r="K67" i="14"/>
  <c r="F67" i="14"/>
  <c r="C67" i="14"/>
  <c r="O66" i="14"/>
  <c r="N66" i="14"/>
  <c r="M66" i="14"/>
  <c r="L66" i="14"/>
  <c r="K66" i="14"/>
  <c r="F66" i="14"/>
  <c r="C66" i="14"/>
  <c r="O65" i="14"/>
  <c r="N65" i="14"/>
  <c r="M65" i="14"/>
  <c r="L65" i="14"/>
  <c r="K65" i="14"/>
  <c r="F65" i="14"/>
  <c r="C65" i="14"/>
  <c r="O64" i="14"/>
  <c r="N64" i="14"/>
  <c r="M64" i="14"/>
  <c r="L64" i="14"/>
  <c r="K64" i="14"/>
  <c r="F64" i="14"/>
  <c r="C64" i="14"/>
  <c r="O63" i="14"/>
  <c r="N63" i="14"/>
  <c r="M63" i="14"/>
  <c r="L63" i="14"/>
  <c r="K63" i="14"/>
  <c r="F63" i="14"/>
  <c r="G63" i="14" s="1"/>
  <c r="C63" i="14"/>
  <c r="O62" i="14"/>
  <c r="N62" i="14"/>
  <c r="M62" i="14"/>
  <c r="L62" i="14"/>
  <c r="K62" i="14"/>
  <c r="F62" i="14"/>
  <c r="C62" i="14"/>
  <c r="O61" i="14"/>
  <c r="N61" i="14"/>
  <c r="M61" i="14"/>
  <c r="L61" i="14"/>
  <c r="K61" i="14"/>
  <c r="F61" i="14"/>
  <c r="C61" i="14"/>
  <c r="O60" i="14"/>
  <c r="N60" i="14"/>
  <c r="M60" i="14"/>
  <c r="L60" i="14"/>
  <c r="K60" i="14"/>
  <c r="F60" i="14"/>
  <c r="C60" i="14"/>
  <c r="O59" i="14"/>
  <c r="N59" i="14"/>
  <c r="M59" i="14"/>
  <c r="L59" i="14"/>
  <c r="K59" i="14"/>
  <c r="F59" i="14"/>
  <c r="C59" i="14"/>
  <c r="O58" i="14"/>
  <c r="N58" i="14"/>
  <c r="M58" i="14"/>
  <c r="L58" i="14"/>
  <c r="K58" i="14"/>
  <c r="F58" i="14"/>
  <c r="C58" i="14"/>
  <c r="O57" i="14"/>
  <c r="N57" i="14"/>
  <c r="M57" i="14"/>
  <c r="L57" i="14"/>
  <c r="K57" i="14"/>
  <c r="F57" i="14"/>
  <c r="G57" i="14" s="1"/>
  <c r="C57" i="14"/>
  <c r="O56" i="14"/>
  <c r="N56" i="14"/>
  <c r="M56" i="14"/>
  <c r="L56" i="14"/>
  <c r="K56" i="14"/>
  <c r="F56" i="14"/>
  <c r="C56" i="14"/>
  <c r="O55" i="14"/>
  <c r="N55" i="14"/>
  <c r="M55" i="14"/>
  <c r="L55" i="14"/>
  <c r="K55" i="14"/>
  <c r="F55" i="14"/>
  <c r="G55" i="14" s="1"/>
  <c r="C55" i="14"/>
  <c r="H54" i="14"/>
  <c r="E54" i="14"/>
  <c r="D54" i="14"/>
  <c r="O53" i="14"/>
  <c r="N53" i="14"/>
  <c r="M53" i="14"/>
  <c r="L53" i="14"/>
  <c r="K53" i="14"/>
  <c r="F53" i="14"/>
  <c r="G53" i="14" s="1"/>
  <c r="C53" i="14"/>
  <c r="O52" i="14"/>
  <c r="N52" i="14"/>
  <c r="M52" i="14"/>
  <c r="L52" i="14"/>
  <c r="K52" i="14"/>
  <c r="F52" i="14"/>
  <c r="C52" i="14"/>
  <c r="O51" i="14"/>
  <c r="N51" i="14"/>
  <c r="M51" i="14"/>
  <c r="L51" i="14"/>
  <c r="K51" i="14"/>
  <c r="F51" i="14"/>
  <c r="G51" i="14" s="1"/>
  <c r="C51" i="14"/>
  <c r="O50" i="14"/>
  <c r="N50" i="14"/>
  <c r="M50" i="14"/>
  <c r="L50" i="14"/>
  <c r="K50" i="14"/>
  <c r="F50" i="14"/>
  <c r="C50" i="14"/>
  <c r="O49" i="14"/>
  <c r="N49" i="14"/>
  <c r="M49" i="14"/>
  <c r="L49" i="14"/>
  <c r="K49" i="14"/>
  <c r="F49" i="14"/>
  <c r="C49" i="14"/>
  <c r="O48" i="14"/>
  <c r="N48" i="14"/>
  <c r="M48" i="14"/>
  <c r="L48" i="14"/>
  <c r="K48" i="14"/>
  <c r="F48" i="14"/>
  <c r="C48" i="14"/>
  <c r="O47" i="14"/>
  <c r="N47" i="14"/>
  <c r="M47" i="14"/>
  <c r="L47" i="14"/>
  <c r="K47" i="14"/>
  <c r="F47" i="14"/>
  <c r="G47" i="14" s="1"/>
  <c r="C47" i="14"/>
  <c r="O46" i="14"/>
  <c r="N46" i="14"/>
  <c r="M46" i="14"/>
  <c r="L46" i="14"/>
  <c r="K46" i="14"/>
  <c r="F46" i="14"/>
  <c r="C46" i="14"/>
  <c r="O45" i="14"/>
  <c r="N45" i="14"/>
  <c r="M45" i="14"/>
  <c r="L45" i="14"/>
  <c r="K45" i="14"/>
  <c r="F45" i="14"/>
  <c r="G45" i="14" s="1"/>
  <c r="C45" i="14"/>
  <c r="O44" i="14"/>
  <c r="N44" i="14"/>
  <c r="M44" i="14"/>
  <c r="L44" i="14"/>
  <c r="K44" i="14"/>
  <c r="F44" i="14"/>
  <c r="C44" i="14"/>
  <c r="O43" i="14"/>
  <c r="N43" i="14"/>
  <c r="M43" i="14"/>
  <c r="L43" i="14"/>
  <c r="K43" i="14"/>
  <c r="F43" i="14"/>
  <c r="C43" i="14"/>
  <c r="O42" i="14"/>
  <c r="N42" i="14"/>
  <c r="M42" i="14"/>
  <c r="L42" i="14"/>
  <c r="K42" i="14"/>
  <c r="F42" i="14"/>
  <c r="C42" i="14"/>
  <c r="O41" i="14"/>
  <c r="N41" i="14"/>
  <c r="M41" i="14"/>
  <c r="L41" i="14"/>
  <c r="K41" i="14"/>
  <c r="F41" i="14"/>
  <c r="G41" i="14" s="1"/>
  <c r="C41" i="14"/>
  <c r="O40" i="14"/>
  <c r="N40" i="14"/>
  <c r="M40" i="14"/>
  <c r="L40" i="14"/>
  <c r="K40" i="14"/>
  <c r="F40" i="14"/>
  <c r="C40" i="14"/>
  <c r="O39" i="14"/>
  <c r="N39" i="14"/>
  <c r="M39" i="14"/>
  <c r="L39" i="14"/>
  <c r="K39" i="14"/>
  <c r="F39" i="14"/>
  <c r="G39" i="14" s="1"/>
  <c r="C39" i="14"/>
  <c r="O38" i="14"/>
  <c r="N38" i="14"/>
  <c r="M38" i="14"/>
  <c r="L38" i="14"/>
  <c r="K38" i="14"/>
  <c r="F38" i="14"/>
  <c r="C38" i="14"/>
  <c r="O37" i="14"/>
  <c r="N37" i="14"/>
  <c r="M37" i="14"/>
  <c r="L37" i="14"/>
  <c r="K37" i="14"/>
  <c r="F37" i="14"/>
  <c r="C37" i="14"/>
  <c r="O36" i="14"/>
  <c r="N36" i="14"/>
  <c r="M36" i="14"/>
  <c r="L36" i="14"/>
  <c r="K36" i="14"/>
  <c r="F36" i="14"/>
  <c r="C36" i="14"/>
  <c r="O35" i="14"/>
  <c r="N35" i="14"/>
  <c r="M35" i="14"/>
  <c r="L35" i="14"/>
  <c r="K35" i="14"/>
  <c r="F35" i="14"/>
  <c r="G35" i="14" s="1"/>
  <c r="C35" i="14"/>
  <c r="O34" i="14"/>
  <c r="N34" i="14"/>
  <c r="M34" i="14"/>
  <c r="L34" i="14"/>
  <c r="K34" i="14"/>
  <c r="F34" i="14"/>
  <c r="C34" i="14"/>
  <c r="H33" i="14"/>
  <c r="E33" i="14"/>
  <c r="D33" i="14"/>
  <c r="O32" i="14"/>
  <c r="N32" i="14"/>
  <c r="M32" i="14"/>
  <c r="L32" i="14"/>
  <c r="K32" i="14"/>
  <c r="F32" i="14"/>
  <c r="C32" i="14"/>
  <c r="O31" i="14"/>
  <c r="N31" i="14"/>
  <c r="M31" i="14"/>
  <c r="L31" i="14"/>
  <c r="K31" i="14"/>
  <c r="F31" i="14"/>
  <c r="G31" i="14" s="1"/>
  <c r="C31" i="14"/>
  <c r="O30" i="14"/>
  <c r="N30" i="14"/>
  <c r="M30" i="14"/>
  <c r="L30" i="14"/>
  <c r="K30" i="14"/>
  <c r="F30" i="14"/>
  <c r="C30" i="14"/>
  <c r="O29" i="14"/>
  <c r="N29" i="14"/>
  <c r="M29" i="14"/>
  <c r="L29" i="14"/>
  <c r="K29" i="14"/>
  <c r="F29" i="14"/>
  <c r="C29" i="14"/>
  <c r="O28" i="14"/>
  <c r="N28" i="14"/>
  <c r="M28" i="14"/>
  <c r="L28" i="14"/>
  <c r="K28" i="14"/>
  <c r="F28" i="14"/>
  <c r="C28" i="14"/>
  <c r="O27" i="14"/>
  <c r="N27" i="14"/>
  <c r="M27" i="14"/>
  <c r="L27" i="14"/>
  <c r="K27" i="14"/>
  <c r="F27" i="14"/>
  <c r="C27" i="14"/>
  <c r="O26" i="14"/>
  <c r="N26" i="14"/>
  <c r="M26" i="14"/>
  <c r="L26" i="14"/>
  <c r="K26" i="14"/>
  <c r="F26" i="14"/>
  <c r="C26" i="14"/>
  <c r="O25" i="14"/>
  <c r="N25" i="14"/>
  <c r="M25" i="14"/>
  <c r="L25" i="14"/>
  <c r="K25" i="14"/>
  <c r="F25" i="14"/>
  <c r="G25" i="14" s="1"/>
  <c r="C25" i="14"/>
  <c r="O24" i="14"/>
  <c r="N24" i="14"/>
  <c r="M24" i="14"/>
  <c r="L24" i="14"/>
  <c r="K24" i="14"/>
  <c r="F24" i="14"/>
  <c r="C24" i="14"/>
  <c r="O23" i="14"/>
  <c r="N23" i="14"/>
  <c r="M23" i="14"/>
  <c r="L23" i="14"/>
  <c r="K23" i="14"/>
  <c r="F23" i="14"/>
  <c r="G23" i="14" s="1"/>
  <c r="C23" i="14"/>
  <c r="O22" i="14"/>
  <c r="N22" i="14"/>
  <c r="M22" i="14"/>
  <c r="L22" i="14"/>
  <c r="K22" i="14"/>
  <c r="F22" i="14"/>
  <c r="C22" i="14"/>
  <c r="O21" i="14"/>
  <c r="N21" i="14"/>
  <c r="M21" i="14"/>
  <c r="L21" i="14"/>
  <c r="K21" i="14"/>
  <c r="F21" i="14"/>
  <c r="C21" i="14"/>
  <c r="O20" i="14"/>
  <c r="N20" i="14"/>
  <c r="M20" i="14"/>
  <c r="L20" i="14"/>
  <c r="K20" i="14"/>
  <c r="F20" i="14"/>
  <c r="C20" i="14"/>
  <c r="O19" i="14"/>
  <c r="N19" i="14"/>
  <c r="M19" i="14"/>
  <c r="L19" i="14"/>
  <c r="K19" i="14"/>
  <c r="F19" i="14"/>
  <c r="C19" i="14"/>
  <c r="O18" i="14"/>
  <c r="N18" i="14"/>
  <c r="M18" i="14"/>
  <c r="L18" i="14"/>
  <c r="K18" i="14"/>
  <c r="F18" i="14"/>
  <c r="C18" i="14"/>
  <c r="O17" i="14"/>
  <c r="N17" i="14"/>
  <c r="M17" i="14"/>
  <c r="L17" i="14"/>
  <c r="K17" i="14"/>
  <c r="F17" i="14"/>
  <c r="C17" i="14"/>
  <c r="O16" i="14"/>
  <c r="N16" i="14"/>
  <c r="M16" i="14"/>
  <c r="L16" i="14"/>
  <c r="K16" i="14"/>
  <c r="F16" i="14"/>
  <c r="C16" i="14"/>
  <c r="H15" i="14"/>
  <c r="E15" i="14"/>
  <c r="D15" i="14"/>
  <c r="J14" i="14"/>
  <c r="G14" i="14"/>
  <c r="N13" i="14"/>
  <c r="M13" i="14"/>
  <c r="E13" i="14"/>
  <c r="D13" i="14"/>
  <c r="M12" i="14"/>
  <c r="J12" i="14"/>
  <c r="F12" i="14"/>
  <c r="F11" i="14" s="1"/>
  <c r="K11" i="14"/>
  <c r="BY114" i="13"/>
  <c r="BX114" i="13"/>
  <c r="BW114" i="13"/>
  <c r="BV114" i="13"/>
  <c r="BO114" i="13"/>
  <c r="BN114" i="13"/>
  <c r="BM114" i="13"/>
  <c r="BL114" i="13"/>
  <c r="AW114" i="13"/>
  <c r="AV114" i="13"/>
  <c r="AU114" i="13"/>
  <c r="AT114" i="13"/>
  <c r="AG114" i="13"/>
  <c r="AF114" i="13"/>
  <c r="AE114" i="13"/>
  <c r="AD114" i="13"/>
  <c r="W114" i="13"/>
  <c r="V114" i="13"/>
  <c r="U114" i="13"/>
  <c r="T114" i="13"/>
  <c r="M114" i="13"/>
  <c r="L114" i="13"/>
  <c r="K114" i="13"/>
  <c r="J114" i="13"/>
  <c r="C114" i="13"/>
  <c r="G114" i="13" s="1"/>
  <c r="BY113" i="13"/>
  <c r="BX113" i="13"/>
  <c r="BW113" i="13"/>
  <c r="BV113" i="13"/>
  <c r="BO113" i="13"/>
  <c r="BN113" i="13"/>
  <c r="BM113" i="13"/>
  <c r="BL113" i="13"/>
  <c r="AW113" i="13"/>
  <c r="AV113" i="13"/>
  <c r="AU113" i="13"/>
  <c r="AT113" i="13"/>
  <c r="AG113" i="13"/>
  <c r="AF113" i="13"/>
  <c r="AE113" i="13"/>
  <c r="AD113" i="13"/>
  <c r="W113" i="13"/>
  <c r="V113" i="13"/>
  <c r="U113" i="13"/>
  <c r="T113" i="13"/>
  <c r="M113" i="13"/>
  <c r="L113" i="13"/>
  <c r="K113" i="13"/>
  <c r="J113" i="13"/>
  <c r="C113" i="13"/>
  <c r="G113" i="13" s="1"/>
  <c r="BY112" i="13"/>
  <c r="BX112" i="13"/>
  <c r="BW112" i="13"/>
  <c r="BV112" i="13"/>
  <c r="BO112" i="13"/>
  <c r="BN112" i="13"/>
  <c r="BM112" i="13"/>
  <c r="BL112" i="13"/>
  <c r="AW112" i="13"/>
  <c r="AV112" i="13"/>
  <c r="AU112" i="13"/>
  <c r="AT112" i="13"/>
  <c r="AG112" i="13"/>
  <c r="AF112" i="13"/>
  <c r="AE112" i="13"/>
  <c r="AD112" i="13"/>
  <c r="W112" i="13"/>
  <c r="V112" i="13"/>
  <c r="U112" i="13"/>
  <c r="T112" i="13"/>
  <c r="M112" i="13"/>
  <c r="L112" i="13"/>
  <c r="K112" i="13"/>
  <c r="J112" i="13"/>
  <c r="C112" i="13"/>
  <c r="G112" i="13" s="1"/>
  <c r="A112" i="13"/>
  <c r="BY111" i="13"/>
  <c r="BX111" i="13"/>
  <c r="BW111" i="13"/>
  <c r="BV111" i="13"/>
  <c r="BO111" i="13"/>
  <c r="BN111" i="13"/>
  <c r="BM111" i="13"/>
  <c r="BL111" i="13"/>
  <c r="AW111" i="13"/>
  <c r="AV111" i="13"/>
  <c r="AU111" i="13"/>
  <c r="AT111" i="13"/>
  <c r="AG111" i="13"/>
  <c r="AF111" i="13"/>
  <c r="AE111" i="13"/>
  <c r="AD111" i="13"/>
  <c r="W111" i="13"/>
  <c r="V111" i="13"/>
  <c r="U111" i="13"/>
  <c r="T111" i="13"/>
  <c r="M111" i="13"/>
  <c r="L111" i="13"/>
  <c r="K111" i="13"/>
  <c r="J111" i="13"/>
  <c r="C111" i="13"/>
  <c r="G111" i="13" s="1"/>
  <c r="A111" i="13"/>
  <c r="BY110" i="13"/>
  <c r="BX110" i="13"/>
  <c r="BW110" i="13"/>
  <c r="BV110" i="13"/>
  <c r="BO110" i="13"/>
  <c r="BN110" i="13"/>
  <c r="BM110" i="13"/>
  <c r="BL110" i="13"/>
  <c r="AW110" i="13"/>
  <c r="AV110" i="13"/>
  <c r="AU110" i="13"/>
  <c r="AT110" i="13"/>
  <c r="AG110" i="13"/>
  <c r="AF110" i="13"/>
  <c r="AE110" i="13"/>
  <c r="AD110" i="13"/>
  <c r="W110" i="13"/>
  <c r="V110" i="13"/>
  <c r="U110" i="13"/>
  <c r="T110" i="13"/>
  <c r="M110" i="13"/>
  <c r="L110" i="13"/>
  <c r="K110" i="13"/>
  <c r="J110" i="13"/>
  <c r="C110" i="13"/>
  <c r="G110" i="13" s="1"/>
  <c r="A110" i="13"/>
  <c r="BY109" i="13"/>
  <c r="BX109" i="13"/>
  <c r="BW109" i="13"/>
  <c r="BV109" i="13"/>
  <c r="BO109" i="13"/>
  <c r="BN109" i="13"/>
  <c r="BM109" i="13"/>
  <c r="BL109" i="13"/>
  <c r="AW109" i="13"/>
  <c r="AV109" i="13"/>
  <c r="AU109" i="13"/>
  <c r="AT109" i="13"/>
  <c r="AG109" i="13"/>
  <c r="AF109" i="13"/>
  <c r="AE109" i="13"/>
  <c r="AD109" i="13"/>
  <c r="W109" i="13"/>
  <c r="V109" i="13"/>
  <c r="U109" i="13"/>
  <c r="T109" i="13"/>
  <c r="M109" i="13"/>
  <c r="L109" i="13"/>
  <c r="K109" i="13"/>
  <c r="J109" i="13"/>
  <c r="C109" i="13"/>
  <c r="G109" i="13" s="1"/>
  <c r="BY108" i="13"/>
  <c r="BX108" i="13"/>
  <c r="BW108" i="13"/>
  <c r="BV108" i="13"/>
  <c r="BO108" i="13"/>
  <c r="BN108" i="13"/>
  <c r="BM108" i="13"/>
  <c r="BL108" i="13"/>
  <c r="AW108" i="13"/>
  <c r="AV108" i="13"/>
  <c r="AU108" i="13"/>
  <c r="AT108" i="13"/>
  <c r="AG108" i="13"/>
  <c r="AF108" i="13"/>
  <c r="AE108" i="13"/>
  <c r="AD108" i="13"/>
  <c r="W108" i="13"/>
  <c r="V108" i="13"/>
  <c r="U108" i="13"/>
  <c r="T108" i="13"/>
  <c r="M108" i="13"/>
  <c r="L108" i="13"/>
  <c r="K108" i="13"/>
  <c r="J108" i="13"/>
  <c r="C108" i="13"/>
  <c r="G108" i="13" s="1"/>
  <c r="BY107" i="13"/>
  <c r="BX107" i="13"/>
  <c r="BW107" i="13"/>
  <c r="BV107" i="13"/>
  <c r="BO107" i="13"/>
  <c r="BN107" i="13"/>
  <c r="BM107" i="13"/>
  <c r="BL107" i="13"/>
  <c r="AW107" i="13"/>
  <c r="AV107" i="13"/>
  <c r="AU107" i="13"/>
  <c r="AT107" i="13"/>
  <c r="AG107" i="13"/>
  <c r="AF107" i="13"/>
  <c r="AE107" i="13"/>
  <c r="AD107" i="13"/>
  <c r="W107" i="13"/>
  <c r="V107" i="13"/>
  <c r="U107" i="13"/>
  <c r="T107" i="13"/>
  <c r="M107" i="13"/>
  <c r="L107" i="13"/>
  <c r="K107" i="13"/>
  <c r="J107" i="13"/>
  <c r="C107" i="13"/>
  <c r="CE106" i="13"/>
  <c r="CD106" i="13"/>
  <c r="CC106" i="13"/>
  <c r="CB106" i="13"/>
  <c r="CB13" i="13" s="1"/>
  <c r="BU106" i="13"/>
  <c r="BU13" i="13" s="1"/>
  <c r="BY13" i="13" s="1"/>
  <c r="BT106" i="13"/>
  <c r="BS106" i="13"/>
  <c r="BR106" i="13"/>
  <c r="BQ106" i="13"/>
  <c r="BQ13" i="13" s="1"/>
  <c r="BP106" i="13"/>
  <c r="BK106" i="13"/>
  <c r="BJ106" i="13"/>
  <c r="BM106" i="13" s="1"/>
  <c r="BI106" i="13"/>
  <c r="BH106" i="13"/>
  <c r="BG106" i="13"/>
  <c r="BF106" i="13"/>
  <c r="BE106" i="13"/>
  <c r="BE13" i="13" s="1"/>
  <c r="BD106" i="13"/>
  <c r="BC106" i="13"/>
  <c r="BB106" i="13"/>
  <c r="BA106" i="13"/>
  <c r="AZ106" i="13"/>
  <c r="AY106" i="13"/>
  <c r="AY13" i="13" s="1"/>
  <c r="AX106" i="13"/>
  <c r="AS106" i="13"/>
  <c r="AR106" i="13"/>
  <c r="AU106" i="13" s="1"/>
  <c r="AQ106" i="13"/>
  <c r="AP106" i="13"/>
  <c r="AO106" i="13"/>
  <c r="AO13" i="13" s="1"/>
  <c r="AN106" i="13"/>
  <c r="AM106" i="13"/>
  <c r="AL106" i="13"/>
  <c r="AK106" i="13"/>
  <c r="AK13" i="13" s="1"/>
  <c r="AJ106" i="13"/>
  <c r="AI106" i="13"/>
  <c r="AI13" i="13" s="1"/>
  <c r="AH106" i="13"/>
  <c r="AC106" i="13"/>
  <c r="AB106" i="13"/>
  <c r="AA106" i="13"/>
  <c r="Z106" i="13"/>
  <c r="Y106" i="13"/>
  <c r="Y13" i="13" s="1"/>
  <c r="X106" i="13"/>
  <c r="S106" i="13"/>
  <c r="R106" i="13"/>
  <c r="Q106" i="13"/>
  <c r="P106" i="13"/>
  <c r="O106" i="13"/>
  <c r="O13" i="13" s="1"/>
  <c r="N106" i="13"/>
  <c r="I106" i="13"/>
  <c r="M106" i="13" s="1"/>
  <c r="H106" i="13"/>
  <c r="F106" i="13"/>
  <c r="E106" i="13"/>
  <c r="D106" i="13"/>
  <c r="BY105" i="13"/>
  <c r="BX105" i="13"/>
  <c r="BW105" i="13"/>
  <c r="BV105" i="13"/>
  <c r="BO105" i="13"/>
  <c r="BN105" i="13"/>
  <c r="BM105" i="13"/>
  <c r="BL105" i="13"/>
  <c r="AW105" i="13"/>
  <c r="AV105" i="13"/>
  <c r="AU105" i="13"/>
  <c r="AT105" i="13"/>
  <c r="AG105" i="13"/>
  <c r="AF105" i="13"/>
  <c r="AE105" i="13"/>
  <c r="AD105" i="13"/>
  <c r="W105" i="13"/>
  <c r="V105" i="13"/>
  <c r="U105" i="13"/>
  <c r="T105" i="13"/>
  <c r="M105" i="13"/>
  <c r="L105" i="13"/>
  <c r="K105" i="13"/>
  <c r="J105" i="13"/>
  <c r="C105" i="13"/>
  <c r="G105" i="13" s="1"/>
  <c r="BY104" i="13"/>
  <c r="BX104" i="13"/>
  <c r="BW104" i="13"/>
  <c r="BV104" i="13"/>
  <c r="BO104" i="13"/>
  <c r="BN104" i="13"/>
  <c r="BM104" i="13"/>
  <c r="BL104" i="13"/>
  <c r="AW104" i="13"/>
  <c r="AV104" i="13"/>
  <c r="AU104" i="13"/>
  <c r="AT104" i="13"/>
  <c r="AG104" i="13"/>
  <c r="AF104" i="13"/>
  <c r="AE104" i="13"/>
  <c r="AD104" i="13"/>
  <c r="W104" i="13"/>
  <c r="V104" i="13"/>
  <c r="U104" i="13"/>
  <c r="T104" i="13"/>
  <c r="M104" i="13"/>
  <c r="L104" i="13"/>
  <c r="K104" i="13"/>
  <c r="J104" i="13"/>
  <c r="C104" i="13"/>
  <c r="G104" i="13" s="1"/>
  <c r="BY103" i="13"/>
  <c r="BX103" i="13"/>
  <c r="BW103" i="13"/>
  <c r="BV103" i="13"/>
  <c r="BO103" i="13"/>
  <c r="BN103" i="13"/>
  <c r="BM103" i="13"/>
  <c r="BL103" i="13"/>
  <c r="AW103" i="13"/>
  <c r="AV103" i="13"/>
  <c r="AU103" i="13"/>
  <c r="AT103" i="13"/>
  <c r="AG103" i="13"/>
  <c r="AF103" i="13"/>
  <c r="AE103" i="13"/>
  <c r="AD103" i="13"/>
  <c r="W103" i="13"/>
  <c r="V103" i="13"/>
  <c r="U103" i="13"/>
  <c r="T103" i="13"/>
  <c r="M103" i="13"/>
  <c r="L103" i="13"/>
  <c r="K103" i="13"/>
  <c r="J103" i="13"/>
  <c r="C103" i="13"/>
  <c r="G103" i="13" s="1"/>
  <c r="BY102" i="13"/>
  <c r="BX102" i="13"/>
  <c r="BW102" i="13"/>
  <c r="BV102" i="13"/>
  <c r="BO102" i="13"/>
  <c r="BN102" i="13"/>
  <c r="BM102" i="13"/>
  <c r="BL102" i="13"/>
  <c r="AW102" i="13"/>
  <c r="AV102" i="13"/>
  <c r="AU102" i="13"/>
  <c r="AT102" i="13"/>
  <c r="AG102" i="13"/>
  <c r="AF102" i="13"/>
  <c r="AE102" i="13"/>
  <c r="AD102" i="13"/>
  <c r="W102" i="13"/>
  <c r="V102" i="13"/>
  <c r="U102" i="13"/>
  <c r="T102" i="13"/>
  <c r="M102" i="13"/>
  <c r="L102" i="13"/>
  <c r="K102" i="13"/>
  <c r="J102" i="13"/>
  <c r="C102" i="13"/>
  <c r="G102" i="13" s="1"/>
  <c r="BY101" i="13"/>
  <c r="BX101" i="13"/>
  <c r="BW101" i="13"/>
  <c r="BV101" i="13"/>
  <c r="BO101" i="13"/>
  <c r="BN101" i="13"/>
  <c r="BM101" i="13"/>
  <c r="BL101" i="13"/>
  <c r="AW101" i="13"/>
  <c r="AV101" i="13"/>
  <c r="AU101" i="13"/>
  <c r="AT101" i="13"/>
  <c r="AG101" i="13"/>
  <c r="AF101" i="13"/>
  <c r="AE101" i="13"/>
  <c r="AD101" i="13"/>
  <c r="W101" i="13"/>
  <c r="V101" i="13"/>
  <c r="U101" i="13"/>
  <c r="T101" i="13"/>
  <c r="M101" i="13"/>
  <c r="L101" i="13"/>
  <c r="K101" i="13"/>
  <c r="J101" i="13"/>
  <c r="C101" i="13"/>
  <c r="G101" i="13" s="1"/>
  <c r="BY100" i="13"/>
  <c r="BX100" i="13"/>
  <c r="BW100" i="13"/>
  <c r="BV100" i="13"/>
  <c r="BO100" i="13"/>
  <c r="BN100" i="13"/>
  <c r="BM100" i="13"/>
  <c r="BL100" i="13"/>
  <c r="AW100" i="13"/>
  <c r="AV100" i="13"/>
  <c r="AU100" i="13"/>
  <c r="AT100" i="13"/>
  <c r="AG100" i="13"/>
  <c r="AF100" i="13"/>
  <c r="AE100" i="13"/>
  <c r="AD100" i="13"/>
  <c r="W100" i="13"/>
  <c r="V100" i="13"/>
  <c r="U100" i="13"/>
  <c r="T100" i="13"/>
  <c r="M100" i="13"/>
  <c r="L100" i="13"/>
  <c r="K100" i="13"/>
  <c r="J100" i="13"/>
  <c r="C100" i="13"/>
  <c r="G100" i="13" s="1"/>
  <c r="BY99" i="13"/>
  <c r="BX99" i="13"/>
  <c r="BW99" i="13"/>
  <c r="BV99" i="13"/>
  <c r="BO99" i="13"/>
  <c r="BN99" i="13"/>
  <c r="BM99" i="13"/>
  <c r="BL99" i="13"/>
  <c r="AW99" i="13"/>
  <c r="AV99" i="13"/>
  <c r="AU99" i="13"/>
  <c r="AT99" i="13"/>
  <c r="AG99" i="13"/>
  <c r="AF99" i="13"/>
  <c r="AE99" i="13"/>
  <c r="AD99" i="13"/>
  <c r="W99" i="13"/>
  <c r="V99" i="13"/>
  <c r="U99" i="13"/>
  <c r="T99" i="13"/>
  <c r="M99" i="13"/>
  <c r="L99" i="13"/>
  <c r="K99" i="13"/>
  <c r="J99" i="13"/>
  <c r="C99" i="13"/>
  <c r="G99" i="13" s="1"/>
  <c r="BY98" i="13"/>
  <c r="BX98" i="13"/>
  <c r="BW98" i="13"/>
  <c r="BV98" i="13"/>
  <c r="BO98" i="13"/>
  <c r="BN98" i="13"/>
  <c r="BM98" i="13"/>
  <c r="BL98" i="13"/>
  <c r="AW98" i="13"/>
  <c r="AV98" i="13"/>
  <c r="AU98" i="13"/>
  <c r="AT98" i="13"/>
  <c r="AG98" i="13"/>
  <c r="AF98" i="13"/>
  <c r="AE98" i="13"/>
  <c r="AD98" i="13"/>
  <c r="W98" i="13"/>
  <c r="V98" i="13"/>
  <c r="U98" i="13"/>
  <c r="T98" i="13"/>
  <c r="M98" i="13"/>
  <c r="L98" i="13"/>
  <c r="K98" i="13"/>
  <c r="J98" i="13"/>
  <c r="C98" i="13"/>
  <c r="G98" i="13" s="1"/>
  <c r="BY97" i="13"/>
  <c r="BX97" i="13"/>
  <c r="BW97" i="13"/>
  <c r="BV97" i="13"/>
  <c r="BO97" i="13"/>
  <c r="BN97" i="13"/>
  <c r="BM97" i="13"/>
  <c r="BL97" i="13"/>
  <c r="AW97" i="13"/>
  <c r="AV97" i="13"/>
  <c r="AU97" i="13"/>
  <c r="AT97" i="13"/>
  <c r="AG97" i="13"/>
  <c r="AF97" i="13"/>
  <c r="AE97" i="13"/>
  <c r="AD97" i="13"/>
  <c r="W97" i="13"/>
  <c r="V97" i="13"/>
  <c r="U97" i="13"/>
  <c r="T97" i="13"/>
  <c r="M97" i="13"/>
  <c r="L97" i="13"/>
  <c r="K97" i="13"/>
  <c r="J97" i="13"/>
  <c r="C97" i="13"/>
  <c r="G97" i="13" s="1"/>
  <c r="BY96" i="13"/>
  <c r="BX96" i="13"/>
  <c r="BW96" i="13"/>
  <c r="BV96" i="13"/>
  <c r="BO96" i="13"/>
  <c r="BN96" i="13"/>
  <c r="BM96" i="13"/>
  <c r="BL96" i="13"/>
  <c r="AW96" i="13"/>
  <c r="AV96" i="13"/>
  <c r="AU96" i="13"/>
  <c r="AT96" i="13"/>
  <c r="AG96" i="13"/>
  <c r="AF96" i="13"/>
  <c r="AE96" i="13"/>
  <c r="AD96" i="13"/>
  <c r="W96" i="13"/>
  <c r="V96" i="13"/>
  <c r="U96" i="13"/>
  <c r="T96" i="13"/>
  <c r="M96" i="13"/>
  <c r="L96" i="13"/>
  <c r="K96" i="13"/>
  <c r="J96" i="13"/>
  <c r="C96" i="13"/>
  <c r="G96" i="13" s="1"/>
  <c r="BY95" i="13"/>
  <c r="BX95" i="13"/>
  <c r="BW95" i="13"/>
  <c r="BV95" i="13"/>
  <c r="BO95" i="13"/>
  <c r="BN95" i="13"/>
  <c r="BM95" i="13"/>
  <c r="BL95" i="13"/>
  <c r="AW95" i="13"/>
  <c r="AV95" i="13"/>
  <c r="AU95" i="13"/>
  <c r="AT95" i="13"/>
  <c r="AG95" i="13"/>
  <c r="AF95" i="13"/>
  <c r="AE95" i="13"/>
  <c r="AD95" i="13"/>
  <c r="W95" i="13"/>
  <c r="V95" i="13"/>
  <c r="U95" i="13"/>
  <c r="T95" i="13"/>
  <c r="M95" i="13"/>
  <c r="L95" i="13"/>
  <c r="K95" i="13"/>
  <c r="J95" i="13"/>
  <c r="C95" i="13"/>
  <c r="G95" i="13" s="1"/>
  <c r="A95" i="13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BY94" i="13"/>
  <c r="BX94" i="13"/>
  <c r="BW94" i="13"/>
  <c r="BV94" i="13"/>
  <c r="BO94" i="13"/>
  <c r="BN94" i="13"/>
  <c r="BM94" i="13"/>
  <c r="BL94" i="13"/>
  <c r="AW94" i="13"/>
  <c r="AV94" i="13"/>
  <c r="AU94" i="13"/>
  <c r="AT94" i="13"/>
  <c r="AG94" i="13"/>
  <c r="AF94" i="13"/>
  <c r="AE94" i="13"/>
  <c r="AD94" i="13"/>
  <c r="W94" i="13"/>
  <c r="V94" i="13"/>
  <c r="U94" i="13"/>
  <c r="T94" i="13"/>
  <c r="M94" i="13"/>
  <c r="L94" i="13"/>
  <c r="K94" i="13"/>
  <c r="J94" i="13"/>
  <c r="C94" i="13"/>
  <c r="G94" i="13" s="1"/>
  <c r="BY93" i="13"/>
  <c r="BX93" i="13"/>
  <c r="BW93" i="13"/>
  <c r="BV93" i="13"/>
  <c r="BO93" i="13"/>
  <c r="BN93" i="13"/>
  <c r="BM93" i="13"/>
  <c r="BL93" i="13"/>
  <c r="AW93" i="13"/>
  <c r="AV93" i="13"/>
  <c r="AU93" i="13"/>
  <c r="AT93" i="13"/>
  <c r="AG93" i="13"/>
  <c r="AF93" i="13"/>
  <c r="AE93" i="13"/>
  <c r="AD93" i="13"/>
  <c r="W93" i="13"/>
  <c r="V93" i="13"/>
  <c r="U93" i="13"/>
  <c r="T93" i="13"/>
  <c r="M93" i="13"/>
  <c r="L93" i="13"/>
  <c r="K93" i="13"/>
  <c r="J93" i="13"/>
  <c r="C93" i="13"/>
  <c r="G93" i="13" s="1"/>
  <c r="BY92" i="13"/>
  <c r="BX92" i="13"/>
  <c r="BW92" i="13"/>
  <c r="BV92" i="13"/>
  <c r="BO92" i="13"/>
  <c r="BN92" i="13"/>
  <c r="BM92" i="13"/>
  <c r="BL92" i="13"/>
  <c r="AW92" i="13"/>
  <c r="AV92" i="13"/>
  <c r="AU92" i="13"/>
  <c r="AT92" i="13"/>
  <c r="AG92" i="13"/>
  <c r="AF92" i="13"/>
  <c r="AE92" i="13"/>
  <c r="AD92" i="13"/>
  <c r="W92" i="13"/>
  <c r="V92" i="13"/>
  <c r="U92" i="13"/>
  <c r="T92" i="13"/>
  <c r="M92" i="13"/>
  <c r="L92" i="13"/>
  <c r="K92" i="13"/>
  <c r="J92" i="13"/>
  <c r="C92" i="13"/>
  <c r="CE91" i="13"/>
  <c r="CD91" i="13"/>
  <c r="CD12" i="13" s="1"/>
  <c r="CC91" i="13"/>
  <c r="CB91" i="13"/>
  <c r="BU91" i="13"/>
  <c r="BU12" i="13" s="1"/>
  <c r="BY12" i="13" s="1"/>
  <c r="BT91" i="13"/>
  <c r="BT12" i="13" s="1"/>
  <c r="BS91" i="13"/>
  <c r="BR91" i="13"/>
  <c r="BQ91" i="13"/>
  <c r="BP91" i="13"/>
  <c r="BK91" i="13"/>
  <c r="BJ91" i="13"/>
  <c r="BI91" i="13"/>
  <c r="BH91" i="13"/>
  <c r="BH12" i="13" s="1"/>
  <c r="BG91" i="13"/>
  <c r="BF91" i="13"/>
  <c r="BE91" i="13"/>
  <c r="BD91" i="13"/>
  <c r="BD12" i="13" s="1"/>
  <c r="BC91" i="13"/>
  <c r="BB91" i="13"/>
  <c r="BA91" i="13"/>
  <c r="AZ91" i="13"/>
  <c r="AZ12" i="13" s="1"/>
  <c r="AY91" i="13"/>
  <c r="AY12" i="13" s="1"/>
  <c r="AX91" i="13"/>
  <c r="AS91" i="13"/>
  <c r="AW91" i="13" s="1"/>
  <c r="AR91" i="13"/>
  <c r="AQ91" i="13"/>
  <c r="AP91" i="13"/>
  <c r="AO91" i="13"/>
  <c r="AO12" i="13" s="1"/>
  <c r="AN91" i="13"/>
  <c r="AN12" i="13" s="1"/>
  <c r="AM91" i="13"/>
  <c r="AL91" i="13"/>
  <c r="AK91" i="13"/>
  <c r="AJ91" i="13"/>
  <c r="AJ12" i="13" s="1"/>
  <c r="AI91" i="13"/>
  <c r="AI12" i="13" s="1"/>
  <c r="AI11" i="13" s="1"/>
  <c r="AH91" i="13"/>
  <c r="AC91" i="13"/>
  <c r="AB91" i="13"/>
  <c r="AA91" i="13"/>
  <c r="Z91" i="13"/>
  <c r="Y91" i="13"/>
  <c r="Y12" i="13" s="1"/>
  <c r="Y11" i="13" s="1"/>
  <c r="X91" i="13"/>
  <c r="S91" i="13"/>
  <c r="R91" i="13"/>
  <c r="Q91" i="13"/>
  <c r="P91" i="13"/>
  <c r="O91" i="13"/>
  <c r="O12" i="13" s="1"/>
  <c r="O11" i="13" s="1"/>
  <c r="N91" i="13"/>
  <c r="I91" i="13"/>
  <c r="W91" i="13" s="1"/>
  <c r="H91" i="13"/>
  <c r="F91" i="13"/>
  <c r="E91" i="13"/>
  <c r="D91" i="13"/>
  <c r="CE90" i="13"/>
  <c r="CD90" i="13"/>
  <c r="CC90" i="13"/>
  <c r="CB90" i="13"/>
  <c r="CA90" i="13"/>
  <c r="BZ90" i="13"/>
  <c r="BU90" i="13"/>
  <c r="BY90" i="13" s="1"/>
  <c r="BT90" i="13"/>
  <c r="BW90" i="13" s="1"/>
  <c r="BS90" i="13"/>
  <c r="BR90" i="13"/>
  <c r="BQ90" i="13"/>
  <c r="BP90" i="13"/>
  <c r="BI90" i="13"/>
  <c r="BH90" i="13"/>
  <c r="BG90" i="13"/>
  <c r="BF90" i="13"/>
  <c r="BE90" i="13"/>
  <c r="BD90" i="13"/>
  <c r="BC90" i="13"/>
  <c r="BB90" i="13"/>
  <c r="BA90" i="13"/>
  <c r="AZ90" i="13"/>
  <c r="AY90" i="13"/>
  <c r="AX90" i="13"/>
  <c r="AQ90" i="13"/>
  <c r="AP90" i="13"/>
  <c r="AO90" i="13"/>
  <c r="AN90" i="13"/>
  <c r="AM90" i="13"/>
  <c r="AL90" i="13"/>
  <c r="AK90" i="13"/>
  <c r="AJ90" i="13"/>
  <c r="AI90" i="13"/>
  <c r="AH90" i="13"/>
  <c r="AC90" i="13"/>
  <c r="AB90" i="13"/>
  <c r="AA90" i="13"/>
  <c r="Z90" i="13"/>
  <c r="Y90" i="13"/>
  <c r="X90" i="13"/>
  <c r="S90" i="13"/>
  <c r="R90" i="13"/>
  <c r="Q90" i="13"/>
  <c r="P90" i="13"/>
  <c r="O90" i="13"/>
  <c r="N90" i="13"/>
  <c r="F90" i="13"/>
  <c r="C90" i="13"/>
  <c r="CE89" i="13"/>
  <c r="CD89" i="13"/>
  <c r="CC89" i="13"/>
  <c r="CB89" i="13"/>
  <c r="CA89" i="13"/>
  <c r="BZ89" i="13"/>
  <c r="BU89" i="13"/>
  <c r="BY89" i="13" s="1"/>
  <c r="BT89" i="13"/>
  <c r="BW89" i="13" s="1"/>
  <c r="BS89" i="13"/>
  <c r="BR89" i="13"/>
  <c r="BQ89" i="13"/>
  <c r="BP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AU89" i="13"/>
  <c r="AQ89" i="13"/>
  <c r="AP89" i="13"/>
  <c r="AO89" i="13"/>
  <c r="AN89" i="13"/>
  <c r="AM89" i="13"/>
  <c r="AL89" i="13"/>
  <c r="AK89" i="13"/>
  <c r="AJ89" i="13"/>
  <c r="AI89" i="13"/>
  <c r="AH89" i="13"/>
  <c r="AC89" i="13"/>
  <c r="AB89" i="13"/>
  <c r="AA89" i="13"/>
  <c r="Z89" i="13"/>
  <c r="Y89" i="13"/>
  <c r="X89" i="13"/>
  <c r="S89" i="13"/>
  <c r="R89" i="13"/>
  <c r="Q89" i="13"/>
  <c r="P89" i="13"/>
  <c r="O89" i="13"/>
  <c r="N89" i="13"/>
  <c r="F89" i="13"/>
  <c r="C89" i="13"/>
  <c r="CE88" i="13"/>
  <c r="CD88" i="13"/>
  <c r="CC88" i="13"/>
  <c r="CB88" i="13"/>
  <c r="CA88" i="13"/>
  <c r="BZ88" i="13"/>
  <c r="BU88" i="13"/>
  <c r="BY88" i="13" s="1"/>
  <c r="BT88" i="13"/>
  <c r="BW88" i="13" s="1"/>
  <c r="BS88" i="13"/>
  <c r="BR88" i="13"/>
  <c r="BQ88" i="13"/>
  <c r="BP88" i="13"/>
  <c r="BI88" i="13"/>
  <c r="BH88" i="13"/>
  <c r="BG88" i="13"/>
  <c r="BF88" i="13"/>
  <c r="BE88" i="13"/>
  <c r="BD88" i="13"/>
  <c r="BC88" i="13"/>
  <c r="BB88" i="13"/>
  <c r="BA88" i="13"/>
  <c r="AZ88" i="13"/>
  <c r="AY88" i="13"/>
  <c r="AX88" i="13"/>
  <c r="AQ88" i="13"/>
  <c r="AP88" i="13"/>
  <c r="AO88" i="13"/>
  <c r="AN88" i="13"/>
  <c r="AM88" i="13"/>
  <c r="AL88" i="13"/>
  <c r="AK88" i="13"/>
  <c r="AJ88" i="13"/>
  <c r="AI88" i="13"/>
  <c r="AH88" i="13"/>
  <c r="AC88" i="13"/>
  <c r="AB88" i="13"/>
  <c r="AA88" i="13"/>
  <c r="Z88" i="13"/>
  <c r="Y88" i="13"/>
  <c r="X88" i="13"/>
  <c r="S88" i="13"/>
  <c r="R88" i="13"/>
  <c r="Q88" i="13"/>
  <c r="P88" i="13"/>
  <c r="O88" i="13"/>
  <c r="N88" i="13"/>
  <c r="F88" i="13"/>
  <c r="C88" i="13"/>
  <c r="CE87" i="13"/>
  <c r="CD87" i="13"/>
  <c r="CC87" i="13"/>
  <c r="CB87" i="13"/>
  <c r="CA87" i="13"/>
  <c r="BZ87" i="13"/>
  <c r="BU87" i="13"/>
  <c r="BY87" i="13" s="1"/>
  <c r="BT87" i="13"/>
  <c r="BW87" i="13" s="1"/>
  <c r="BS87" i="13"/>
  <c r="BR87" i="13"/>
  <c r="BQ87" i="13"/>
  <c r="BP87" i="13"/>
  <c r="BO87" i="13"/>
  <c r="BM87" i="13"/>
  <c r="BI87" i="13"/>
  <c r="BH87" i="13"/>
  <c r="BG87" i="13"/>
  <c r="BF87" i="13"/>
  <c r="BE87" i="13"/>
  <c r="BD87" i="13"/>
  <c r="BC87" i="13"/>
  <c r="BB87" i="13"/>
  <c r="BA87" i="13"/>
  <c r="AZ87" i="13"/>
  <c r="AY87" i="13"/>
  <c r="AX87" i="13"/>
  <c r="AQ87" i="13"/>
  <c r="AP87" i="13"/>
  <c r="AO87" i="13"/>
  <c r="AN87" i="13"/>
  <c r="AM87" i="13"/>
  <c r="AL87" i="13"/>
  <c r="AK87" i="13"/>
  <c r="AJ87" i="13"/>
  <c r="AI87" i="13"/>
  <c r="AH87" i="13"/>
  <c r="AG87" i="13"/>
  <c r="AE87" i="13"/>
  <c r="AC87" i="13"/>
  <c r="AB87" i="13"/>
  <c r="AA87" i="13"/>
  <c r="Z87" i="13"/>
  <c r="Y87" i="13"/>
  <c r="X87" i="13"/>
  <c r="W87" i="13"/>
  <c r="U87" i="13"/>
  <c r="S87" i="13"/>
  <c r="R87" i="13"/>
  <c r="Q87" i="13"/>
  <c r="P87" i="13"/>
  <c r="O87" i="13"/>
  <c r="N87" i="13"/>
  <c r="M87" i="13"/>
  <c r="K87" i="13"/>
  <c r="F87" i="13"/>
  <c r="G87" i="13" s="1"/>
  <c r="C87" i="13"/>
  <c r="CE86" i="13"/>
  <c r="CD86" i="13"/>
  <c r="CC86" i="13"/>
  <c r="CB86" i="13"/>
  <c r="CA86" i="13"/>
  <c r="BZ86" i="13"/>
  <c r="BU86" i="13"/>
  <c r="BY86" i="13" s="1"/>
  <c r="BT86" i="13"/>
  <c r="BW86" i="13" s="1"/>
  <c r="BS86" i="13"/>
  <c r="BR86" i="13"/>
  <c r="BQ86" i="13"/>
  <c r="BP86" i="13"/>
  <c r="BI86" i="13"/>
  <c r="BH86" i="13"/>
  <c r="BG86" i="13"/>
  <c r="BF86" i="13"/>
  <c r="BE86" i="13"/>
  <c r="BD86" i="13"/>
  <c r="BC86" i="13"/>
  <c r="BB86" i="13"/>
  <c r="BA86" i="13"/>
  <c r="AZ86" i="13"/>
  <c r="AY86" i="13"/>
  <c r="AX86" i="13"/>
  <c r="AW86" i="13"/>
  <c r="AU86" i="13"/>
  <c r="AQ86" i="13"/>
  <c r="AP86" i="13"/>
  <c r="AO86" i="13"/>
  <c r="AN86" i="13"/>
  <c r="AM86" i="13"/>
  <c r="AL86" i="13"/>
  <c r="AK86" i="13"/>
  <c r="AJ86" i="13"/>
  <c r="AI86" i="13"/>
  <c r="AH86" i="13"/>
  <c r="AC86" i="13"/>
  <c r="AB86" i="13"/>
  <c r="AA86" i="13"/>
  <c r="Z86" i="13"/>
  <c r="Y86" i="13"/>
  <c r="X86" i="13"/>
  <c r="S86" i="13"/>
  <c r="R86" i="13"/>
  <c r="Q86" i="13"/>
  <c r="P86" i="13"/>
  <c r="O86" i="13"/>
  <c r="N86" i="13"/>
  <c r="F86" i="13"/>
  <c r="C86" i="13"/>
  <c r="CE85" i="13"/>
  <c r="CD85" i="13"/>
  <c r="CC85" i="13"/>
  <c r="CB85" i="13"/>
  <c r="CA85" i="13"/>
  <c r="BZ85" i="13"/>
  <c r="BU85" i="13"/>
  <c r="BY85" i="13" s="1"/>
  <c r="BT85" i="13"/>
  <c r="BW85" i="13" s="1"/>
  <c r="BS85" i="13"/>
  <c r="BR85" i="13"/>
  <c r="BQ85" i="13"/>
  <c r="BP85" i="13"/>
  <c r="BO85" i="13"/>
  <c r="BM85" i="13"/>
  <c r="BI85" i="13"/>
  <c r="BH85" i="13"/>
  <c r="BG85" i="13"/>
  <c r="BF85" i="13"/>
  <c r="BE85" i="13"/>
  <c r="BD85" i="13"/>
  <c r="BC85" i="13"/>
  <c r="BB85" i="13"/>
  <c r="BA85" i="13"/>
  <c r="AZ85" i="13"/>
  <c r="AY85" i="13"/>
  <c r="AX85" i="13"/>
  <c r="AW85" i="13"/>
  <c r="AU85" i="13"/>
  <c r="AQ85" i="13"/>
  <c r="AP85" i="13"/>
  <c r="AO85" i="13"/>
  <c r="AN85" i="13"/>
  <c r="AM85" i="13"/>
  <c r="AL85" i="13"/>
  <c r="AK85" i="13"/>
  <c r="AJ85" i="13"/>
  <c r="AI85" i="13"/>
  <c r="AH85" i="13"/>
  <c r="AG85" i="13"/>
  <c r="AE85" i="13"/>
  <c r="AC85" i="13"/>
  <c r="AB85" i="13"/>
  <c r="AA85" i="13"/>
  <c r="Z85" i="13"/>
  <c r="Y85" i="13"/>
  <c r="X85" i="13"/>
  <c r="W85" i="13"/>
  <c r="U85" i="13"/>
  <c r="S85" i="13"/>
  <c r="R85" i="13"/>
  <c r="Q85" i="13"/>
  <c r="P85" i="13"/>
  <c r="O85" i="13"/>
  <c r="N85" i="13"/>
  <c r="M85" i="13"/>
  <c r="K85" i="13"/>
  <c r="F85" i="13"/>
  <c r="C85" i="13"/>
  <c r="G85" i="13" s="1"/>
  <c r="CE84" i="13"/>
  <c r="CD84" i="13"/>
  <c r="CC84" i="13"/>
  <c r="CB84" i="13"/>
  <c r="CA84" i="13"/>
  <c r="BZ84" i="13"/>
  <c r="BU84" i="13"/>
  <c r="BY84" i="13" s="1"/>
  <c r="BT84" i="13"/>
  <c r="BW84" i="13" s="1"/>
  <c r="BS84" i="13"/>
  <c r="BR84" i="13"/>
  <c r="BQ84" i="13"/>
  <c r="BP84" i="13"/>
  <c r="BI84" i="13"/>
  <c r="BH84" i="13"/>
  <c r="BG84" i="13"/>
  <c r="BF84" i="13"/>
  <c r="BE84" i="13"/>
  <c r="BD84" i="13"/>
  <c r="BC84" i="13"/>
  <c r="BB84" i="13"/>
  <c r="BA84" i="13"/>
  <c r="AZ84" i="13"/>
  <c r="AY84" i="13"/>
  <c r="AX84" i="13"/>
  <c r="AQ84" i="13"/>
  <c r="AP84" i="13"/>
  <c r="AO84" i="13"/>
  <c r="AN84" i="13"/>
  <c r="AM84" i="13"/>
  <c r="AL84" i="13"/>
  <c r="AK84" i="13"/>
  <c r="AJ84" i="13"/>
  <c r="AI84" i="13"/>
  <c r="AH84" i="13"/>
  <c r="AC84" i="13"/>
  <c r="AB84" i="13"/>
  <c r="AA84" i="13"/>
  <c r="Z84" i="13"/>
  <c r="Y84" i="13"/>
  <c r="X84" i="13"/>
  <c r="S84" i="13"/>
  <c r="R84" i="13"/>
  <c r="Q84" i="13"/>
  <c r="P84" i="13"/>
  <c r="O84" i="13"/>
  <c r="N84" i="13"/>
  <c r="F84" i="13"/>
  <c r="C84" i="13"/>
  <c r="CE83" i="13"/>
  <c r="CD83" i="13"/>
  <c r="CC83" i="13"/>
  <c r="CB83" i="13"/>
  <c r="CA83" i="13"/>
  <c r="BZ83" i="13"/>
  <c r="BU83" i="13"/>
  <c r="BY83" i="13" s="1"/>
  <c r="BT83" i="13"/>
  <c r="BW83" i="13" s="1"/>
  <c r="BS83" i="13"/>
  <c r="BR83" i="13"/>
  <c r="BQ83" i="13"/>
  <c r="BP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Q83" i="13"/>
  <c r="AP83" i="13"/>
  <c r="AO83" i="13"/>
  <c r="AN83" i="13"/>
  <c r="AM83" i="13"/>
  <c r="AL83" i="13"/>
  <c r="AK83" i="13"/>
  <c r="AJ83" i="13"/>
  <c r="AI83" i="13"/>
  <c r="AH83" i="13"/>
  <c r="AC83" i="13"/>
  <c r="AB83" i="13"/>
  <c r="AA83" i="13"/>
  <c r="Z83" i="13"/>
  <c r="Y83" i="13"/>
  <c r="X83" i="13"/>
  <c r="S83" i="13"/>
  <c r="R83" i="13"/>
  <c r="Q83" i="13"/>
  <c r="P83" i="13"/>
  <c r="O83" i="13"/>
  <c r="N83" i="13"/>
  <c r="F83" i="13"/>
  <c r="C83" i="13"/>
  <c r="CE82" i="13"/>
  <c r="CD82" i="13"/>
  <c r="CC82" i="13"/>
  <c r="CB82" i="13"/>
  <c r="CA82" i="13"/>
  <c r="BZ82" i="13"/>
  <c r="BU82" i="13"/>
  <c r="BY82" i="13" s="1"/>
  <c r="BT82" i="13"/>
  <c r="BW82" i="13" s="1"/>
  <c r="BS82" i="13"/>
  <c r="BR82" i="13"/>
  <c r="BQ82" i="13"/>
  <c r="BP82" i="13"/>
  <c r="BI82" i="13"/>
  <c r="BH82" i="13"/>
  <c r="BG82" i="13"/>
  <c r="BF82" i="13"/>
  <c r="BE82" i="13"/>
  <c r="BD82" i="13"/>
  <c r="BC82" i="13"/>
  <c r="BB82" i="13"/>
  <c r="BA82" i="13"/>
  <c r="AZ82" i="13"/>
  <c r="AY82" i="13"/>
  <c r="AX82" i="13"/>
  <c r="AW82" i="13"/>
  <c r="AU82" i="13"/>
  <c r="AQ82" i="13"/>
  <c r="AP82" i="13"/>
  <c r="AO82" i="13"/>
  <c r="AN82" i="13"/>
  <c r="AM82" i="13"/>
  <c r="AL82" i="13"/>
  <c r="AK82" i="13"/>
  <c r="AJ82" i="13"/>
  <c r="AI82" i="13"/>
  <c r="AH82" i="13"/>
  <c r="AC82" i="13"/>
  <c r="AB82" i="13"/>
  <c r="AA82" i="13"/>
  <c r="Z82" i="13"/>
  <c r="Y82" i="13"/>
  <c r="X82" i="13"/>
  <c r="S82" i="13"/>
  <c r="R82" i="13"/>
  <c r="Q82" i="13"/>
  <c r="P82" i="13"/>
  <c r="O82" i="13"/>
  <c r="N82" i="13"/>
  <c r="F82" i="13"/>
  <c r="C82" i="13"/>
  <c r="CE81" i="13"/>
  <c r="CD81" i="13"/>
  <c r="CC81" i="13"/>
  <c r="CB81" i="13"/>
  <c r="CA81" i="13"/>
  <c r="BZ81" i="13"/>
  <c r="BU81" i="13"/>
  <c r="BY81" i="13" s="1"/>
  <c r="BT81" i="13"/>
  <c r="BW81" i="13" s="1"/>
  <c r="BS81" i="13"/>
  <c r="BR81" i="13"/>
  <c r="BQ81" i="13"/>
  <c r="BP81" i="13"/>
  <c r="BI81" i="13"/>
  <c r="BH81" i="13"/>
  <c r="BG81" i="13"/>
  <c r="BF81" i="13"/>
  <c r="BE81" i="13"/>
  <c r="BD81" i="13"/>
  <c r="BC81" i="13"/>
  <c r="BB81" i="13"/>
  <c r="BA81" i="13"/>
  <c r="AZ81" i="13"/>
  <c r="AY81" i="13"/>
  <c r="AX81" i="13"/>
  <c r="AW81" i="13"/>
  <c r="AU81" i="13"/>
  <c r="AQ81" i="13"/>
  <c r="AP81" i="13"/>
  <c r="AO81" i="13"/>
  <c r="AN81" i="13"/>
  <c r="AM81" i="13"/>
  <c r="AL81" i="13"/>
  <c r="AK81" i="13"/>
  <c r="AJ81" i="13"/>
  <c r="AI81" i="13"/>
  <c r="AH81" i="13"/>
  <c r="AC81" i="13"/>
  <c r="AB81" i="13"/>
  <c r="AA81" i="13"/>
  <c r="Z81" i="13"/>
  <c r="Y81" i="13"/>
  <c r="X81" i="13"/>
  <c r="S81" i="13"/>
  <c r="R81" i="13"/>
  <c r="Q81" i="13"/>
  <c r="P81" i="13"/>
  <c r="O81" i="13"/>
  <c r="N81" i="13"/>
  <c r="F81" i="13"/>
  <c r="C81" i="13"/>
  <c r="CE80" i="13"/>
  <c r="CD80" i="13"/>
  <c r="CC80" i="13"/>
  <c r="CB80" i="13"/>
  <c r="CA80" i="13"/>
  <c r="BZ80" i="13"/>
  <c r="BU80" i="13"/>
  <c r="BY80" i="13" s="1"/>
  <c r="BT80" i="13"/>
  <c r="BW80" i="13" s="1"/>
  <c r="BS80" i="13"/>
  <c r="BR80" i="13"/>
  <c r="BQ80" i="13"/>
  <c r="BP80" i="13"/>
  <c r="BI80" i="13"/>
  <c r="BH80" i="13"/>
  <c r="BG80" i="13"/>
  <c r="BF80" i="13"/>
  <c r="BE80" i="13"/>
  <c r="BD80" i="13"/>
  <c r="BC80" i="13"/>
  <c r="BB80" i="13"/>
  <c r="BA80" i="13"/>
  <c r="AZ80" i="13"/>
  <c r="AY80" i="13"/>
  <c r="AX80" i="13"/>
  <c r="AW80" i="13"/>
  <c r="AU80" i="13"/>
  <c r="AQ80" i="13"/>
  <c r="AP80" i="13"/>
  <c r="AO80" i="13"/>
  <c r="AN80" i="13"/>
  <c r="AM80" i="13"/>
  <c r="AL80" i="13"/>
  <c r="AK80" i="13"/>
  <c r="AJ80" i="13"/>
  <c r="AI80" i="13"/>
  <c r="AH80" i="13"/>
  <c r="AC80" i="13"/>
  <c r="AB80" i="13"/>
  <c r="AA80" i="13"/>
  <c r="Z80" i="13"/>
  <c r="Y80" i="13"/>
  <c r="X80" i="13"/>
  <c r="S80" i="13"/>
  <c r="R80" i="13"/>
  <c r="Q80" i="13"/>
  <c r="P80" i="13"/>
  <c r="O80" i="13"/>
  <c r="N80" i="13"/>
  <c r="F80" i="13"/>
  <c r="C80" i="13"/>
  <c r="CE79" i="13"/>
  <c r="CD79" i="13"/>
  <c r="CC79" i="13"/>
  <c r="CB79" i="13"/>
  <c r="CA79" i="13"/>
  <c r="BZ79" i="13"/>
  <c r="BU79" i="13"/>
  <c r="BY79" i="13" s="1"/>
  <c r="BT79" i="13"/>
  <c r="BW79" i="13" s="1"/>
  <c r="BS79" i="13"/>
  <c r="BR79" i="13"/>
  <c r="BQ79" i="13"/>
  <c r="BP79" i="13"/>
  <c r="BI79" i="13"/>
  <c r="BH79" i="13"/>
  <c r="BG79" i="13"/>
  <c r="BF79" i="13"/>
  <c r="BE79" i="13"/>
  <c r="BD79" i="13"/>
  <c r="BC79" i="13"/>
  <c r="BB79" i="13"/>
  <c r="BA79" i="13"/>
  <c r="AZ79" i="13"/>
  <c r="AY79" i="13"/>
  <c r="AX79" i="13"/>
  <c r="AW79" i="13"/>
  <c r="AU79" i="13"/>
  <c r="AQ79" i="13"/>
  <c r="AP79" i="13"/>
  <c r="AO79" i="13"/>
  <c r="AN79" i="13"/>
  <c r="AM79" i="13"/>
  <c r="AL79" i="13"/>
  <c r="AK79" i="13"/>
  <c r="AJ79" i="13"/>
  <c r="AI79" i="13"/>
  <c r="AH79" i="13"/>
  <c r="AC79" i="13"/>
  <c r="AB79" i="13"/>
  <c r="AA79" i="13"/>
  <c r="Z79" i="13"/>
  <c r="Y79" i="13"/>
  <c r="X79" i="13"/>
  <c r="S79" i="13"/>
  <c r="R79" i="13"/>
  <c r="Q79" i="13"/>
  <c r="P79" i="13"/>
  <c r="O79" i="13"/>
  <c r="N79" i="13"/>
  <c r="F79" i="13"/>
  <c r="C79" i="13"/>
  <c r="CE78" i="13"/>
  <c r="CD78" i="13"/>
  <c r="CC78" i="13"/>
  <c r="CB78" i="13"/>
  <c r="CA78" i="13"/>
  <c r="BZ78" i="13"/>
  <c r="BU78" i="13"/>
  <c r="BY78" i="13" s="1"/>
  <c r="BT78" i="13"/>
  <c r="BW78" i="13" s="1"/>
  <c r="BS78" i="13"/>
  <c r="BR78" i="13"/>
  <c r="BQ78" i="13"/>
  <c r="BP78" i="13"/>
  <c r="BI78" i="13"/>
  <c r="BH78" i="13"/>
  <c r="BG78" i="13"/>
  <c r="BF78" i="13"/>
  <c r="BE78" i="13"/>
  <c r="BD78" i="13"/>
  <c r="BC78" i="13"/>
  <c r="BB78" i="13"/>
  <c r="BA78" i="13"/>
  <c r="AZ78" i="13"/>
  <c r="AY78" i="13"/>
  <c r="AX78" i="13"/>
  <c r="AQ78" i="13"/>
  <c r="AP78" i="13"/>
  <c r="AO78" i="13"/>
  <c r="AN78" i="13"/>
  <c r="AM78" i="13"/>
  <c r="AL78" i="13"/>
  <c r="AK78" i="13"/>
  <c r="AJ78" i="13"/>
  <c r="AI78" i="13"/>
  <c r="AH78" i="13"/>
  <c r="AC78" i="13"/>
  <c r="AB78" i="13"/>
  <c r="AA78" i="13"/>
  <c r="Z78" i="13"/>
  <c r="Y78" i="13"/>
  <c r="X78" i="13"/>
  <c r="S78" i="13"/>
  <c r="R78" i="13"/>
  <c r="Q78" i="13"/>
  <c r="P78" i="13"/>
  <c r="O78" i="13"/>
  <c r="N78" i="13"/>
  <c r="F78" i="13"/>
  <c r="C78" i="13"/>
  <c r="CE77" i="13"/>
  <c r="CD77" i="13"/>
  <c r="CC77" i="13"/>
  <c r="CB77" i="13"/>
  <c r="CA77" i="13"/>
  <c r="BZ77" i="13"/>
  <c r="BU77" i="13"/>
  <c r="BY77" i="13" s="1"/>
  <c r="BT77" i="13"/>
  <c r="BS77" i="13"/>
  <c r="BR77" i="13"/>
  <c r="BQ77" i="13"/>
  <c r="BP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U77" i="13"/>
  <c r="AQ77" i="13"/>
  <c r="AP77" i="13"/>
  <c r="AO77" i="13"/>
  <c r="AN77" i="13"/>
  <c r="AM77" i="13"/>
  <c r="AL77" i="13"/>
  <c r="AK77" i="13"/>
  <c r="AJ77" i="13"/>
  <c r="AI77" i="13"/>
  <c r="AH77" i="13"/>
  <c r="AC77" i="13"/>
  <c r="AB77" i="13"/>
  <c r="AA77" i="13"/>
  <c r="Z77" i="13"/>
  <c r="Y77" i="13"/>
  <c r="X77" i="13"/>
  <c r="S77" i="13"/>
  <c r="R77" i="13"/>
  <c r="Q77" i="13"/>
  <c r="P77" i="13"/>
  <c r="O77" i="13"/>
  <c r="N77" i="13"/>
  <c r="F77" i="13"/>
  <c r="C77" i="13"/>
  <c r="C76" i="13" s="1"/>
  <c r="BK76" i="13"/>
  <c r="BJ76" i="13"/>
  <c r="AS76" i="13"/>
  <c r="AR76" i="13"/>
  <c r="I76" i="13"/>
  <c r="H76" i="13"/>
  <c r="E76" i="13"/>
  <c r="D76" i="13"/>
  <c r="CE75" i="13"/>
  <c r="CD75" i="13"/>
  <c r="CC75" i="13"/>
  <c r="CB75" i="13"/>
  <c r="CA75" i="13"/>
  <c r="BZ75" i="13"/>
  <c r="BU75" i="13"/>
  <c r="BY75" i="13" s="1"/>
  <c r="BT75" i="13"/>
  <c r="BW75" i="13" s="1"/>
  <c r="BS75" i="13"/>
  <c r="BR75" i="13"/>
  <c r="BQ75" i="13"/>
  <c r="BP75" i="13"/>
  <c r="BO75" i="13"/>
  <c r="BM75" i="13"/>
  <c r="BI75" i="13"/>
  <c r="BH75" i="13"/>
  <c r="BG75" i="13"/>
  <c r="BF75" i="13"/>
  <c r="BE75" i="13"/>
  <c r="BD75" i="13"/>
  <c r="BC75" i="13"/>
  <c r="BB75" i="13"/>
  <c r="BA75" i="13"/>
  <c r="AZ75" i="13"/>
  <c r="AY75" i="13"/>
  <c r="AX75" i="13"/>
  <c r="AW75" i="13"/>
  <c r="AU75" i="13"/>
  <c r="AQ75" i="13"/>
  <c r="AP75" i="13"/>
  <c r="AO75" i="13"/>
  <c r="AN75" i="13"/>
  <c r="AM75" i="13"/>
  <c r="AL75" i="13"/>
  <c r="AK75" i="13"/>
  <c r="AJ75" i="13"/>
  <c r="AI75" i="13"/>
  <c r="AH75" i="13"/>
  <c r="AG75" i="13"/>
  <c r="AE75" i="13"/>
  <c r="AC75" i="13"/>
  <c r="AB75" i="13"/>
  <c r="AA75" i="13"/>
  <c r="Z75" i="13"/>
  <c r="Y75" i="13"/>
  <c r="X75" i="13"/>
  <c r="W75" i="13"/>
  <c r="U75" i="13"/>
  <c r="S75" i="13"/>
  <c r="R75" i="13"/>
  <c r="Q75" i="13"/>
  <c r="P75" i="13"/>
  <c r="O75" i="13"/>
  <c r="N75" i="13"/>
  <c r="M75" i="13"/>
  <c r="K75" i="13"/>
  <c r="F75" i="13"/>
  <c r="C75" i="13"/>
  <c r="G75" i="13" s="1"/>
  <c r="CE74" i="13"/>
  <c r="CD74" i="13"/>
  <c r="CC74" i="13"/>
  <c r="CB74" i="13"/>
  <c r="CA74" i="13"/>
  <c r="BZ74" i="13"/>
  <c r="BU74" i="13"/>
  <c r="BY74" i="13" s="1"/>
  <c r="BT74" i="13"/>
  <c r="BW74" i="13" s="1"/>
  <c r="BS74" i="13"/>
  <c r="BR74" i="13"/>
  <c r="BQ74" i="13"/>
  <c r="BP74" i="13"/>
  <c r="BI74" i="13"/>
  <c r="BH74" i="13"/>
  <c r="BG74" i="13"/>
  <c r="BF74" i="13"/>
  <c r="BE74" i="13"/>
  <c r="BD74" i="13"/>
  <c r="BC74" i="13"/>
  <c r="BB74" i="13"/>
  <c r="BA74" i="13"/>
  <c r="AZ74" i="13"/>
  <c r="AY74" i="13"/>
  <c r="AX74" i="13"/>
  <c r="AQ74" i="13"/>
  <c r="AP74" i="13"/>
  <c r="AO74" i="13"/>
  <c r="AN74" i="13"/>
  <c r="AM74" i="13"/>
  <c r="AL74" i="13"/>
  <c r="AK74" i="13"/>
  <c r="AJ74" i="13"/>
  <c r="AI74" i="13"/>
  <c r="AH74" i="13"/>
  <c r="AC74" i="13"/>
  <c r="AB74" i="13"/>
  <c r="AA74" i="13"/>
  <c r="Z74" i="13"/>
  <c r="Y74" i="13"/>
  <c r="X74" i="13"/>
  <c r="S74" i="13"/>
  <c r="R74" i="13"/>
  <c r="Q74" i="13"/>
  <c r="P74" i="13"/>
  <c r="O74" i="13"/>
  <c r="N74" i="13"/>
  <c r="F74" i="13"/>
  <c r="C74" i="13"/>
  <c r="CE73" i="13"/>
  <c r="CD73" i="13"/>
  <c r="CC73" i="13"/>
  <c r="CB73" i="13"/>
  <c r="CA73" i="13"/>
  <c r="BZ73" i="13"/>
  <c r="BU73" i="13"/>
  <c r="BY73" i="13" s="1"/>
  <c r="BT73" i="13"/>
  <c r="BW73" i="13" s="1"/>
  <c r="BS73" i="13"/>
  <c r="BR73" i="13"/>
  <c r="BQ73" i="13"/>
  <c r="BP73" i="13"/>
  <c r="BO73" i="13"/>
  <c r="BM73" i="13"/>
  <c r="BI73" i="13"/>
  <c r="BH73" i="13"/>
  <c r="BG73" i="13"/>
  <c r="BF73" i="13"/>
  <c r="BE73" i="13"/>
  <c r="BD73" i="13"/>
  <c r="BC73" i="13"/>
  <c r="BB73" i="13"/>
  <c r="BA73" i="13"/>
  <c r="AZ73" i="13"/>
  <c r="AY73" i="13"/>
  <c r="AX73" i="13"/>
  <c r="AW73" i="13"/>
  <c r="AU73" i="13"/>
  <c r="AQ73" i="13"/>
  <c r="AP73" i="13"/>
  <c r="AO73" i="13"/>
  <c r="AN73" i="13"/>
  <c r="AM73" i="13"/>
  <c r="AL73" i="13"/>
  <c r="AK73" i="13"/>
  <c r="AJ73" i="13"/>
  <c r="AI73" i="13"/>
  <c r="AH73" i="13"/>
  <c r="AG73" i="13"/>
  <c r="AE73" i="13"/>
  <c r="AC73" i="13"/>
  <c r="AB73" i="13"/>
  <c r="AA73" i="13"/>
  <c r="Z73" i="13"/>
  <c r="Y73" i="13"/>
  <c r="X73" i="13"/>
  <c r="W73" i="13"/>
  <c r="U73" i="13"/>
  <c r="S73" i="13"/>
  <c r="R73" i="13"/>
  <c r="Q73" i="13"/>
  <c r="P73" i="13"/>
  <c r="O73" i="13"/>
  <c r="N73" i="13"/>
  <c r="M73" i="13"/>
  <c r="K73" i="13"/>
  <c r="F73" i="13"/>
  <c r="C73" i="13"/>
  <c r="G73" i="13" s="1"/>
  <c r="CE72" i="13"/>
  <c r="CD72" i="13"/>
  <c r="CC72" i="13"/>
  <c r="CB72" i="13"/>
  <c r="CA72" i="13"/>
  <c r="BZ72" i="13"/>
  <c r="BU72" i="13"/>
  <c r="BY72" i="13" s="1"/>
  <c r="BT72" i="13"/>
  <c r="BW72" i="13" s="1"/>
  <c r="BS72" i="13"/>
  <c r="BR72" i="13"/>
  <c r="BQ72" i="13"/>
  <c r="BP72" i="13"/>
  <c r="BI72" i="13"/>
  <c r="BH72" i="13"/>
  <c r="BG72" i="13"/>
  <c r="BF72" i="13"/>
  <c r="BE72" i="13"/>
  <c r="BD72" i="13"/>
  <c r="BC72" i="13"/>
  <c r="BB72" i="13"/>
  <c r="BA72" i="13"/>
  <c r="AZ72" i="13"/>
  <c r="AY72" i="13"/>
  <c r="AX72" i="13"/>
  <c r="AQ72" i="13"/>
  <c r="AP72" i="13"/>
  <c r="AO72" i="13"/>
  <c r="AN72" i="13"/>
  <c r="AM72" i="13"/>
  <c r="AL72" i="13"/>
  <c r="AK72" i="13"/>
  <c r="AJ72" i="13"/>
  <c r="AI72" i="13"/>
  <c r="AH72" i="13"/>
  <c r="AC72" i="13"/>
  <c r="AB72" i="13"/>
  <c r="AA72" i="13"/>
  <c r="Z72" i="13"/>
  <c r="Y72" i="13"/>
  <c r="X72" i="13"/>
  <c r="S72" i="13"/>
  <c r="R72" i="13"/>
  <c r="Q72" i="13"/>
  <c r="P72" i="13"/>
  <c r="O72" i="13"/>
  <c r="N72" i="13"/>
  <c r="F72" i="13"/>
  <c r="C72" i="13"/>
  <c r="CE71" i="13"/>
  <c r="CD71" i="13"/>
  <c r="CC71" i="13"/>
  <c r="CB71" i="13"/>
  <c r="CA71" i="13"/>
  <c r="BZ71" i="13"/>
  <c r="BU71" i="13"/>
  <c r="BY71" i="13" s="1"/>
  <c r="BT71" i="13"/>
  <c r="BW71" i="13" s="1"/>
  <c r="BS71" i="13"/>
  <c r="BR71" i="13"/>
  <c r="BQ71" i="13"/>
  <c r="BP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Q71" i="13"/>
  <c r="AP71" i="13"/>
  <c r="AO71" i="13"/>
  <c r="AN71" i="13"/>
  <c r="AM71" i="13"/>
  <c r="AL71" i="13"/>
  <c r="AK71" i="13"/>
  <c r="AJ71" i="13"/>
  <c r="AI71" i="13"/>
  <c r="AH71" i="13"/>
  <c r="AC71" i="13"/>
  <c r="AB71" i="13"/>
  <c r="AA71" i="13"/>
  <c r="Z71" i="13"/>
  <c r="Y71" i="13"/>
  <c r="X71" i="13"/>
  <c r="S71" i="13"/>
  <c r="R71" i="13"/>
  <c r="Q71" i="13"/>
  <c r="P71" i="13"/>
  <c r="O71" i="13"/>
  <c r="N71" i="13"/>
  <c r="F71" i="13"/>
  <c r="C71" i="13"/>
  <c r="CE70" i="13"/>
  <c r="CD70" i="13"/>
  <c r="CC70" i="13"/>
  <c r="CB70" i="13"/>
  <c r="CA70" i="13"/>
  <c r="BZ70" i="13"/>
  <c r="BU70" i="13"/>
  <c r="BY70" i="13" s="1"/>
  <c r="BT70" i="13"/>
  <c r="BW70" i="13" s="1"/>
  <c r="BS70" i="13"/>
  <c r="BR70" i="13"/>
  <c r="BQ70" i="13"/>
  <c r="BP70" i="13"/>
  <c r="BI70" i="13"/>
  <c r="BH70" i="13"/>
  <c r="BG70" i="13"/>
  <c r="BF70" i="13"/>
  <c r="BE70" i="13"/>
  <c r="BD70" i="13"/>
  <c r="BC70" i="13"/>
  <c r="BB70" i="13"/>
  <c r="BA70" i="13"/>
  <c r="AZ70" i="13"/>
  <c r="AY70" i="13"/>
  <c r="AX70" i="13"/>
  <c r="AQ70" i="13"/>
  <c r="AP70" i="13"/>
  <c r="AO70" i="13"/>
  <c r="AN70" i="13"/>
  <c r="AM70" i="13"/>
  <c r="AL70" i="13"/>
  <c r="AK70" i="13"/>
  <c r="AJ70" i="13"/>
  <c r="AI70" i="13"/>
  <c r="AH70" i="13"/>
  <c r="AC70" i="13"/>
  <c r="AB70" i="13"/>
  <c r="AA70" i="13"/>
  <c r="Z70" i="13"/>
  <c r="Y70" i="13"/>
  <c r="X70" i="13"/>
  <c r="S70" i="13"/>
  <c r="R70" i="13"/>
  <c r="Q70" i="13"/>
  <c r="P70" i="13"/>
  <c r="O70" i="13"/>
  <c r="N70" i="13"/>
  <c r="F70" i="13"/>
  <c r="C70" i="13"/>
  <c r="CE69" i="13"/>
  <c r="CD69" i="13"/>
  <c r="CC69" i="13"/>
  <c r="CB69" i="13"/>
  <c r="CA69" i="13"/>
  <c r="BZ69" i="13"/>
  <c r="BU69" i="13"/>
  <c r="BY69" i="13" s="1"/>
  <c r="BT69" i="13"/>
  <c r="BW69" i="13" s="1"/>
  <c r="BS69" i="13"/>
  <c r="BR69" i="13"/>
  <c r="BQ69" i="13"/>
  <c r="BP69" i="13"/>
  <c r="BO69" i="13"/>
  <c r="BM69" i="13"/>
  <c r="BI69" i="13"/>
  <c r="BH69" i="13"/>
  <c r="BG69" i="13"/>
  <c r="BF69" i="13"/>
  <c r="BE69" i="13"/>
  <c r="BD69" i="13"/>
  <c r="BC69" i="13"/>
  <c r="BB69" i="13"/>
  <c r="BA69" i="13"/>
  <c r="AZ69" i="13"/>
  <c r="AY69" i="13"/>
  <c r="AX69" i="13"/>
  <c r="AQ69" i="13"/>
  <c r="AP69" i="13"/>
  <c r="AO69" i="13"/>
  <c r="AN69" i="13"/>
  <c r="AM69" i="13"/>
  <c r="AL69" i="13"/>
  <c r="AK69" i="13"/>
  <c r="AJ69" i="13"/>
  <c r="AI69" i="13"/>
  <c r="AH69" i="13"/>
  <c r="AG69" i="13"/>
  <c r="AE69" i="13"/>
  <c r="AC69" i="13"/>
  <c r="AB69" i="13"/>
  <c r="AA69" i="13"/>
  <c r="Z69" i="13"/>
  <c r="Y69" i="13"/>
  <c r="X69" i="13"/>
  <c r="W69" i="13"/>
  <c r="U69" i="13"/>
  <c r="S69" i="13"/>
  <c r="R69" i="13"/>
  <c r="Q69" i="13"/>
  <c r="P69" i="13"/>
  <c r="O69" i="13"/>
  <c r="N69" i="13"/>
  <c r="M69" i="13"/>
  <c r="K69" i="13"/>
  <c r="F69" i="13"/>
  <c r="C69" i="13"/>
  <c r="CE68" i="13"/>
  <c r="CD68" i="13"/>
  <c r="CC68" i="13"/>
  <c r="CB68" i="13"/>
  <c r="CA68" i="13"/>
  <c r="BZ68" i="13"/>
  <c r="BU68" i="13"/>
  <c r="BY68" i="13" s="1"/>
  <c r="BT68" i="13"/>
  <c r="BW68" i="13" s="1"/>
  <c r="BS68" i="13"/>
  <c r="BR68" i="13"/>
  <c r="BQ68" i="13"/>
  <c r="BP68" i="13"/>
  <c r="BI68" i="13"/>
  <c r="BH68" i="13"/>
  <c r="BG68" i="13"/>
  <c r="BF68" i="13"/>
  <c r="BE68" i="13"/>
  <c r="BD68" i="13"/>
  <c r="BC68" i="13"/>
  <c r="BB68" i="13"/>
  <c r="BA68" i="13"/>
  <c r="AZ68" i="13"/>
  <c r="AY68" i="13"/>
  <c r="AX68" i="13"/>
  <c r="AQ68" i="13"/>
  <c r="AP68" i="13"/>
  <c r="AO68" i="13"/>
  <c r="AN68" i="13"/>
  <c r="AM68" i="13"/>
  <c r="AL68" i="13"/>
  <c r="AK68" i="13"/>
  <c r="AJ68" i="13"/>
  <c r="AI68" i="13"/>
  <c r="AH68" i="13"/>
  <c r="AC68" i="13"/>
  <c r="AB68" i="13"/>
  <c r="AA68" i="13"/>
  <c r="Z68" i="13"/>
  <c r="Y68" i="13"/>
  <c r="X68" i="13"/>
  <c r="S68" i="13"/>
  <c r="R68" i="13"/>
  <c r="Q68" i="13"/>
  <c r="P68" i="13"/>
  <c r="O68" i="13"/>
  <c r="N68" i="13"/>
  <c r="F68" i="13"/>
  <c r="C68" i="13"/>
  <c r="CE67" i="13"/>
  <c r="CD67" i="13"/>
  <c r="CC67" i="13"/>
  <c r="CB67" i="13"/>
  <c r="CA67" i="13"/>
  <c r="BZ67" i="13"/>
  <c r="BU67" i="13"/>
  <c r="BY67" i="13" s="1"/>
  <c r="BT67" i="13"/>
  <c r="BW67" i="13" s="1"/>
  <c r="BS67" i="13"/>
  <c r="BR67" i="13"/>
  <c r="BQ67" i="13"/>
  <c r="BP67" i="13"/>
  <c r="BI67" i="13"/>
  <c r="BH67" i="13"/>
  <c r="BG67" i="13"/>
  <c r="BF67" i="13"/>
  <c r="BE67" i="13"/>
  <c r="BD67" i="13"/>
  <c r="BC67" i="13"/>
  <c r="BB67" i="13"/>
  <c r="BA67" i="13"/>
  <c r="AZ67" i="13"/>
  <c r="AY67" i="13"/>
  <c r="AX67" i="13"/>
  <c r="AQ67" i="13"/>
  <c r="AP67" i="13"/>
  <c r="AO67" i="13"/>
  <c r="AN67" i="13"/>
  <c r="AM67" i="13"/>
  <c r="AL67" i="13"/>
  <c r="AK67" i="13"/>
  <c r="AJ67" i="13"/>
  <c r="AI67" i="13"/>
  <c r="AH67" i="13"/>
  <c r="AC67" i="13"/>
  <c r="AB67" i="13"/>
  <c r="AA67" i="13"/>
  <c r="Z67" i="13"/>
  <c r="Y67" i="13"/>
  <c r="X67" i="13"/>
  <c r="S67" i="13"/>
  <c r="R67" i="13"/>
  <c r="Q67" i="13"/>
  <c r="P67" i="13"/>
  <c r="O67" i="13"/>
  <c r="N67" i="13"/>
  <c r="F67" i="13"/>
  <c r="C67" i="13"/>
  <c r="CE66" i="13"/>
  <c r="CD66" i="13"/>
  <c r="CC66" i="13"/>
  <c r="CB66" i="13"/>
  <c r="CA66" i="13"/>
  <c r="BZ66" i="13"/>
  <c r="BU66" i="13"/>
  <c r="BY66" i="13" s="1"/>
  <c r="BT66" i="13"/>
  <c r="BW66" i="13" s="1"/>
  <c r="BS66" i="13"/>
  <c r="BR66" i="13"/>
  <c r="BQ66" i="13"/>
  <c r="BP66" i="13"/>
  <c r="BI66" i="13"/>
  <c r="BH66" i="13"/>
  <c r="BG66" i="13"/>
  <c r="BF66" i="13"/>
  <c r="BE66" i="13"/>
  <c r="BD66" i="13"/>
  <c r="BC66" i="13"/>
  <c r="BB66" i="13"/>
  <c r="BA66" i="13"/>
  <c r="AZ66" i="13"/>
  <c r="AY66" i="13"/>
  <c r="AX66" i="13"/>
  <c r="AW66" i="13"/>
  <c r="AU66" i="13"/>
  <c r="AQ66" i="13"/>
  <c r="AP66" i="13"/>
  <c r="AO66" i="13"/>
  <c r="AN66" i="13"/>
  <c r="AM66" i="13"/>
  <c r="AL66" i="13"/>
  <c r="AK66" i="13"/>
  <c r="AJ66" i="13"/>
  <c r="AI66" i="13"/>
  <c r="AH66" i="13"/>
  <c r="AC66" i="13"/>
  <c r="AB66" i="13"/>
  <c r="AA66" i="13"/>
  <c r="Z66" i="13"/>
  <c r="Y66" i="13"/>
  <c r="X66" i="13"/>
  <c r="S66" i="13"/>
  <c r="R66" i="13"/>
  <c r="Q66" i="13"/>
  <c r="P66" i="13"/>
  <c r="O66" i="13"/>
  <c r="N66" i="13"/>
  <c r="F66" i="13"/>
  <c r="C66" i="13"/>
  <c r="CE65" i="13"/>
  <c r="CD65" i="13"/>
  <c r="CC65" i="13"/>
  <c r="CB65" i="13"/>
  <c r="CA65" i="13"/>
  <c r="BZ65" i="13"/>
  <c r="BU65" i="13"/>
  <c r="BY65" i="13" s="1"/>
  <c r="BT65" i="13"/>
  <c r="BW65" i="13" s="1"/>
  <c r="BS65" i="13"/>
  <c r="BR65" i="13"/>
  <c r="BQ65" i="13"/>
  <c r="BP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Q65" i="13"/>
  <c r="AP65" i="13"/>
  <c r="AO65" i="13"/>
  <c r="AN65" i="13"/>
  <c r="AM65" i="13"/>
  <c r="AL65" i="13"/>
  <c r="AK65" i="13"/>
  <c r="AJ65" i="13"/>
  <c r="AI65" i="13"/>
  <c r="AH65" i="13"/>
  <c r="AC65" i="13"/>
  <c r="AB65" i="13"/>
  <c r="AA65" i="13"/>
  <c r="Z65" i="13"/>
  <c r="Y65" i="13"/>
  <c r="X65" i="13"/>
  <c r="S65" i="13"/>
  <c r="R65" i="13"/>
  <c r="Q65" i="13"/>
  <c r="P65" i="13"/>
  <c r="O65" i="13"/>
  <c r="N65" i="13"/>
  <c r="F65" i="13"/>
  <c r="C65" i="13"/>
  <c r="CE64" i="13"/>
  <c r="CD64" i="13"/>
  <c r="CC64" i="13"/>
  <c r="CB64" i="13"/>
  <c r="CA64" i="13"/>
  <c r="BZ64" i="13"/>
  <c r="BU64" i="13"/>
  <c r="BY64" i="13" s="1"/>
  <c r="BT64" i="13"/>
  <c r="BW64" i="13" s="1"/>
  <c r="BS64" i="13"/>
  <c r="BR64" i="13"/>
  <c r="BQ64" i="13"/>
  <c r="BP64" i="13"/>
  <c r="BI64" i="13"/>
  <c r="BH64" i="13"/>
  <c r="BG64" i="13"/>
  <c r="BF64" i="13"/>
  <c r="BE64" i="13"/>
  <c r="BD64" i="13"/>
  <c r="BC64" i="13"/>
  <c r="BB64" i="13"/>
  <c r="BA64" i="13"/>
  <c r="AZ64" i="13"/>
  <c r="AY64" i="13"/>
  <c r="AX64" i="13"/>
  <c r="AW64" i="13"/>
  <c r="AU64" i="13"/>
  <c r="AQ64" i="13"/>
  <c r="AP64" i="13"/>
  <c r="AO64" i="13"/>
  <c r="AN64" i="13"/>
  <c r="AM64" i="13"/>
  <c r="AL64" i="13"/>
  <c r="AK64" i="13"/>
  <c r="AJ64" i="13"/>
  <c r="AI64" i="13"/>
  <c r="AH64" i="13"/>
  <c r="AC64" i="13"/>
  <c r="AB64" i="13"/>
  <c r="AA64" i="13"/>
  <c r="Z64" i="13"/>
  <c r="Y64" i="13"/>
  <c r="X64" i="13"/>
  <c r="S64" i="13"/>
  <c r="R64" i="13"/>
  <c r="Q64" i="13"/>
  <c r="P64" i="13"/>
  <c r="O64" i="13"/>
  <c r="N64" i="13"/>
  <c r="F64" i="13"/>
  <c r="C64" i="13"/>
  <c r="CE63" i="13"/>
  <c r="CD63" i="13"/>
  <c r="CC63" i="13"/>
  <c r="CB63" i="13"/>
  <c r="CA63" i="13"/>
  <c r="BZ63" i="13"/>
  <c r="BU63" i="13"/>
  <c r="BY63" i="13" s="1"/>
  <c r="BT63" i="13"/>
  <c r="BW63" i="13" s="1"/>
  <c r="BS63" i="13"/>
  <c r="BR63" i="13"/>
  <c r="BQ63" i="13"/>
  <c r="BP63" i="13"/>
  <c r="BO63" i="13"/>
  <c r="BM63" i="13"/>
  <c r="BI63" i="13"/>
  <c r="BH63" i="13"/>
  <c r="BG63" i="13"/>
  <c r="BF63" i="13"/>
  <c r="BE63" i="13"/>
  <c r="BD63" i="13"/>
  <c r="BC63" i="13"/>
  <c r="BB63" i="13"/>
  <c r="BA63" i="13"/>
  <c r="AZ63" i="13"/>
  <c r="AY63" i="13"/>
  <c r="AX63" i="13"/>
  <c r="AW63" i="13"/>
  <c r="AU63" i="13"/>
  <c r="AQ63" i="13"/>
  <c r="AP63" i="13"/>
  <c r="AO63" i="13"/>
  <c r="AN63" i="13"/>
  <c r="AM63" i="13"/>
  <c r="AL63" i="13"/>
  <c r="AK63" i="13"/>
  <c r="AJ63" i="13"/>
  <c r="AI63" i="13"/>
  <c r="AH63" i="13"/>
  <c r="AG63" i="13"/>
  <c r="AE63" i="13"/>
  <c r="AC63" i="13"/>
  <c r="AB63" i="13"/>
  <c r="AA63" i="13"/>
  <c r="Z63" i="13"/>
  <c r="Y63" i="13"/>
  <c r="X63" i="13"/>
  <c r="W63" i="13"/>
  <c r="U63" i="13"/>
  <c r="S63" i="13"/>
  <c r="R63" i="13"/>
  <c r="Q63" i="13"/>
  <c r="P63" i="13"/>
  <c r="O63" i="13"/>
  <c r="N63" i="13"/>
  <c r="M63" i="13"/>
  <c r="K63" i="13"/>
  <c r="F63" i="13"/>
  <c r="C63" i="13"/>
  <c r="G63" i="13" s="1"/>
  <c r="CE62" i="13"/>
  <c r="CD62" i="13"/>
  <c r="CC62" i="13"/>
  <c r="CB62" i="13"/>
  <c r="CA62" i="13"/>
  <c r="BZ62" i="13"/>
  <c r="BU62" i="13"/>
  <c r="BY62" i="13" s="1"/>
  <c r="BT62" i="13"/>
  <c r="BW62" i="13" s="1"/>
  <c r="BS62" i="13"/>
  <c r="BR62" i="13"/>
  <c r="BQ62" i="13"/>
  <c r="BP62" i="13"/>
  <c r="BO62" i="13"/>
  <c r="BM62" i="13"/>
  <c r="BI62" i="13"/>
  <c r="BH62" i="13"/>
  <c r="BG62" i="13"/>
  <c r="BF62" i="13"/>
  <c r="BE62" i="13"/>
  <c r="BD62" i="13"/>
  <c r="BC62" i="13"/>
  <c r="BB62" i="13"/>
  <c r="BA62" i="13"/>
  <c r="AZ62" i="13"/>
  <c r="AY62" i="13"/>
  <c r="AX62" i="13"/>
  <c r="AW62" i="13"/>
  <c r="AU62" i="13"/>
  <c r="AQ62" i="13"/>
  <c r="AP62" i="13"/>
  <c r="AO62" i="13"/>
  <c r="AN62" i="13"/>
  <c r="AM62" i="13"/>
  <c r="AL62" i="13"/>
  <c r="AK62" i="13"/>
  <c r="AJ62" i="13"/>
  <c r="AI62" i="13"/>
  <c r="AH62" i="13"/>
  <c r="AG62" i="13"/>
  <c r="AE62" i="13"/>
  <c r="AC62" i="13"/>
  <c r="AB62" i="13"/>
  <c r="AA62" i="13"/>
  <c r="Z62" i="13"/>
  <c r="Y62" i="13"/>
  <c r="X62" i="13"/>
  <c r="W62" i="13"/>
  <c r="U62" i="13"/>
  <c r="S62" i="13"/>
  <c r="R62" i="13"/>
  <c r="Q62" i="13"/>
  <c r="P62" i="13"/>
  <c r="O62" i="13"/>
  <c r="N62" i="13"/>
  <c r="M62" i="13"/>
  <c r="K62" i="13"/>
  <c r="F62" i="13"/>
  <c r="C62" i="13"/>
  <c r="G62" i="13" s="1"/>
  <c r="CE61" i="13"/>
  <c r="CD61" i="13"/>
  <c r="CC61" i="13"/>
  <c r="CB61" i="13"/>
  <c r="CA61" i="13"/>
  <c r="BZ61" i="13"/>
  <c r="BU61" i="13"/>
  <c r="BY61" i="13" s="1"/>
  <c r="BT61" i="13"/>
  <c r="BW61" i="13" s="1"/>
  <c r="BS61" i="13"/>
  <c r="BR61" i="13"/>
  <c r="BQ61" i="13"/>
  <c r="BP61" i="13"/>
  <c r="BO61" i="13"/>
  <c r="BM61" i="13"/>
  <c r="BI61" i="13"/>
  <c r="BH61" i="13"/>
  <c r="BG61" i="13"/>
  <c r="BF61" i="13"/>
  <c r="BE61" i="13"/>
  <c r="BD61" i="13"/>
  <c r="BC61" i="13"/>
  <c r="BB61" i="13"/>
  <c r="BA61" i="13"/>
  <c r="AZ61" i="13"/>
  <c r="AY61" i="13"/>
  <c r="AX61" i="13"/>
  <c r="AW61" i="13"/>
  <c r="AU61" i="13"/>
  <c r="AQ61" i="13"/>
  <c r="AP61" i="13"/>
  <c r="AO61" i="13"/>
  <c r="AN61" i="13"/>
  <c r="AM61" i="13"/>
  <c r="AL61" i="13"/>
  <c r="AK61" i="13"/>
  <c r="AJ61" i="13"/>
  <c r="AI61" i="13"/>
  <c r="AH61" i="13"/>
  <c r="AG61" i="13"/>
  <c r="AE61" i="13"/>
  <c r="AC61" i="13"/>
  <c r="AB61" i="13"/>
  <c r="AA61" i="13"/>
  <c r="Z61" i="13"/>
  <c r="Y61" i="13"/>
  <c r="X61" i="13"/>
  <c r="W61" i="13"/>
  <c r="U61" i="13"/>
  <c r="S61" i="13"/>
  <c r="R61" i="13"/>
  <c r="Q61" i="13"/>
  <c r="P61" i="13"/>
  <c r="O61" i="13"/>
  <c r="N61" i="13"/>
  <c r="M61" i="13"/>
  <c r="K61" i="13"/>
  <c r="F61" i="13"/>
  <c r="C61" i="13"/>
  <c r="G61" i="13" s="1"/>
  <c r="CE60" i="13"/>
  <c r="CD60" i="13"/>
  <c r="CC60" i="13"/>
  <c r="CB60" i="13"/>
  <c r="CA60" i="13"/>
  <c r="BZ60" i="13"/>
  <c r="BU60" i="13"/>
  <c r="BY60" i="13" s="1"/>
  <c r="BT60" i="13"/>
  <c r="BW60" i="13" s="1"/>
  <c r="BS60" i="13"/>
  <c r="BR60" i="13"/>
  <c r="BQ60" i="13"/>
  <c r="BP60" i="13"/>
  <c r="BO60" i="13"/>
  <c r="BM60" i="13"/>
  <c r="BI60" i="13"/>
  <c r="BH60" i="13"/>
  <c r="BG60" i="13"/>
  <c r="BF60" i="13"/>
  <c r="BE60" i="13"/>
  <c r="BD60" i="13"/>
  <c r="BC60" i="13"/>
  <c r="BB60" i="13"/>
  <c r="BA60" i="13"/>
  <c r="AZ60" i="13"/>
  <c r="AY60" i="13"/>
  <c r="AX60" i="13"/>
  <c r="AQ60" i="13"/>
  <c r="AP60" i="13"/>
  <c r="AO60" i="13"/>
  <c r="AN60" i="13"/>
  <c r="AM60" i="13"/>
  <c r="AL60" i="13"/>
  <c r="AK60" i="13"/>
  <c r="AJ60" i="13"/>
  <c r="AI60" i="13"/>
  <c r="AH60" i="13"/>
  <c r="AG60" i="13"/>
  <c r="AE60" i="13"/>
  <c r="AC60" i="13"/>
  <c r="AB60" i="13"/>
  <c r="AA60" i="13"/>
  <c r="Z60" i="13"/>
  <c r="Y60" i="13"/>
  <c r="X60" i="13"/>
  <c r="W60" i="13"/>
  <c r="U60" i="13"/>
  <c r="S60" i="13"/>
  <c r="R60" i="13"/>
  <c r="Q60" i="13"/>
  <c r="P60" i="13"/>
  <c r="O60" i="13"/>
  <c r="N60" i="13"/>
  <c r="M60" i="13"/>
  <c r="K60" i="13"/>
  <c r="F60" i="13"/>
  <c r="C60" i="13"/>
  <c r="CE59" i="13"/>
  <c r="CD59" i="13"/>
  <c r="CC59" i="13"/>
  <c r="CB59" i="13"/>
  <c r="CA59" i="13"/>
  <c r="BZ59" i="13"/>
  <c r="BU59" i="13"/>
  <c r="BY59" i="13" s="1"/>
  <c r="BT59" i="13"/>
  <c r="BW59" i="13" s="1"/>
  <c r="BS59" i="13"/>
  <c r="BR59" i="13"/>
  <c r="BQ59" i="13"/>
  <c r="BP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Q59" i="13"/>
  <c r="AP59" i="13"/>
  <c r="AO59" i="13"/>
  <c r="AN59" i="13"/>
  <c r="AM59" i="13"/>
  <c r="AL59" i="13"/>
  <c r="AK59" i="13"/>
  <c r="AJ59" i="13"/>
  <c r="AI59" i="13"/>
  <c r="AH59" i="13"/>
  <c r="AC59" i="13"/>
  <c r="AB59" i="13"/>
  <c r="AA59" i="13"/>
  <c r="Z59" i="13"/>
  <c r="Y59" i="13"/>
  <c r="X59" i="13"/>
  <c r="S59" i="13"/>
  <c r="R59" i="13"/>
  <c r="Q59" i="13"/>
  <c r="P59" i="13"/>
  <c r="O59" i="13"/>
  <c r="N59" i="13"/>
  <c r="F59" i="13"/>
  <c r="C59" i="13"/>
  <c r="CE58" i="13"/>
  <c r="CD58" i="13"/>
  <c r="CC58" i="13"/>
  <c r="CB58" i="13"/>
  <c r="CA58" i="13"/>
  <c r="BZ58" i="13"/>
  <c r="BU58" i="13"/>
  <c r="BY58" i="13" s="1"/>
  <c r="BT58" i="13"/>
  <c r="BS58" i="13"/>
  <c r="BR58" i="13"/>
  <c r="BQ58" i="13"/>
  <c r="BP58" i="13"/>
  <c r="BI58" i="13"/>
  <c r="BH58" i="13"/>
  <c r="BG58" i="13"/>
  <c r="BF58" i="13"/>
  <c r="BE58" i="13"/>
  <c r="BD58" i="13"/>
  <c r="BC58" i="13"/>
  <c r="BB58" i="13"/>
  <c r="BA58" i="13"/>
  <c r="AZ58" i="13"/>
  <c r="AY58" i="13"/>
  <c r="AX58" i="13"/>
  <c r="AQ58" i="13"/>
  <c r="AP58" i="13"/>
  <c r="AO58" i="13"/>
  <c r="AN58" i="13"/>
  <c r="AM58" i="13"/>
  <c r="AL58" i="13"/>
  <c r="AK58" i="13"/>
  <c r="AJ58" i="13"/>
  <c r="AI58" i="13"/>
  <c r="AH58" i="13"/>
  <c r="AC58" i="13"/>
  <c r="AB58" i="13"/>
  <c r="AA58" i="13"/>
  <c r="Z58" i="13"/>
  <c r="Y58" i="13"/>
  <c r="X58" i="13"/>
  <c r="S58" i="13"/>
  <c r="R58" i="13"/>
  <c r="Q58" i="13"/>
  <c r="P58" i="13"/>
  <c r="O58" i="13"/>
  <c r="N58" i="13"/>
  <c r="F58" i="13"/>
  <c r="C58" i="13"/>
  <c r="CE57" i="13"/>
  <c r="CD57" i="13"/>
  <c r="CC57" i="13"/>
  <c r="CB57" i="13"/>
  <c r="CA57" i="13"/>
  <c r="BZ57" i="13"/>
  <c r="BU57" i="13"/>
  <c r="BY57" i="13" s="1"/>
  <c r="BT57" i="13"/>
  <c r="BW57" i="13" s="1"/>
  <c r="BS57" i="13"/>
  <c r="BR57" i="13"/>
  <c r="BQ57" i="13"/>
  <c r="BP57" i="13"/>
  <c r="BI57" i="13"/>
  <c r="BH57" i="13"/>
  <c r="BG57" i="13"/>
  <c r="BF57" i="13"/>
  <c r="BE57" i="13"/>
  <c r="BD57" i="13"/>
  <c r="BC57" i="13"/>
  <c r="BB57" i="13"/>
  <c r="BA57" i="13"/>
  <c r="AZ57" i="13"/>
  <c r="AY57" i="13"/>
  <c r="AX57" i="13"/>
  <c r="AQ57" i="13"/>
  <c r="AP57" i="13"/>
  <c r="AO57" i="13"/>
  <c r="AN57" i="13"/>
  <c r="AM57" i="13"/>
  <c r="AL57" i="13"/>
  <c r="AK57" i="13"/>
  <c r="AJ57" i="13"/>
  <c r="AI57" i="13"/>
  <c r="AH57" i="13"/>
  <c r="AC57" i="13"/>
  <c r="AB57" i="13"/>
  <c r="AA57" i="13"/>
  <c r="Z57" i="13"/>
  <c r="Y57" i="13"/>
  <c r="X57" i="13"/>
  <c r="S57" i="13"/>
  <c r="R57" i="13"/>
  <c r="Q57" i="13"/>
  <c r="P57" i="13"/>
  <c r="O57" i="13"/>
  <c r="N57" i="13"/>
  <c r="F57" i="13"/>
  <c r="C57" i="13"/>
  <c r="CE56" i="13"/>
  <c r="CD56" i="13"/>
  <c r="CC56" i="13"/>
  <c r="CB56" i="13"/>
  <c r="CA56" i="13"/>
  <c r="BZ56" i="13"/>
  <c r="BU56" i="13"/>
  <c r="BY56" i="13" s="1"/>
  <c r="BT56" i="13"/>
  <c r="BW56" i="13" s="1"/>
  <c r="BS56" i="13"/>
  <c r="BR56" i="13"/>
  <c r="BQ56" i="13"/>
  <c r="BP56" i="13"/>
  <c r="BI56" i="13"/>
  <c r="BH56" i="13"/>
  <c r="BG56" i="13"/>
  <c r="BF56" i="13"/>
  <c r="BE56" i="13"/>
  <c r="BD56" i="13"/>
  <c r="BC56" i="13"/>
  <c r="BB56" i="13"/>
  <c r="BA56" i="13"/>
  <c r="AZ56" i="13"/>
  <c r="AY56" i="13"/>
  <c r="AX56" i="13"/>
  <c r="AQ56" i="13"/>
  <c r="AP56" i="13"/>
  <c r="AO56" i="13"/>
  <c r="AN56" i="13"/>
  <c r="AM56" i="13"/>
  <c r="AL56" i="13"/>
  <c r="AK56" i="13"/>
  <c r="AJ56" i="13"/>
  <c r="AI56" i="13"/>
  <c r="AH56" i="13"/>
  <c r="AC56" i="13"/>
  <c r="AB56" i="13"/>
  <c r="AA56" i="13"/>
  <c r="Z56" i="13"/>
  <c r="Y56" i="13"/>
  <c r="X56" i="13"/>
  <c r="S56" i="13"/>
  <c r="R56" i="13"/>
  <c r="Q56" i="13"/>
  <c r="P56" i="13"/>
  <c r="O56" i="13"/>
  <c r="N56" i="13"/>
  <c r="F56" i="13"/>
  <c r="C56" i="13"/>
  <c r="CE55" i="13"/>
  <c r="CD55" i="13"/>
  <c r="CC55" i="13"/>
  <c r="CB55" i="13"/>
  <c r="CA55" i="13"/>
  <c r="BZ55" i="13"/>
  <c r="BU55" i="13"/>
  <c r="BT55" i="13"/>
  <c r="BW55" i="13" s="1"/>
  <c r="BS55" i="13"/>
  <c r="BR55" i="13"/>
  <c r="BQ55" i="13"/>
  <c r="BP55" i="13"/>
  <c r="BI55" i="13"/>
  <c r="BH55" i="13"/>
  <c r="BG55" i="13"/>
  <c r="BF55" i="13"/>
  <c r="BE55" i="13"/>
  <c r="BD55" i="13"/>
  <c r="BC55" i="13"/>
  <c r="BB55" i="13"/>
  <c r="BA55" i="13"/>
  <c r="AZ55" i="13"/>
  <c r="AY55" i="13"/>
  <c r="AX55" i="13"/>
  <c r="AW55" i="13"/>
  <c r="AU55" i="13"/>
  <c r="AQ55" i="13"/>
  <c r="AP55" i="13"/>
  <c r="AO55" i="13"/>
  <c r="AN55" i="13"/>
  <c r="AM55" i="13"/>
  <c r="AL55" i="13"/>
  <c r="AK55" i="13"/>
  <c r="AJ55" i="13"/>
  <c r="AI55" i="13"/>
  <c r="AH55" i="13"/>
  <c r="AC55" i="13"/>
  <c r="AB55" i="13"/>
  <c r="AA55" i="13"/>
  <c r="Z55" i="13"/>
  <c r="Y55" i="13"/>
  <c r="X55" i="13"/>
  <c r="S55" i="13"/>
  <c r="R55" i="13"/>
  <c r="Q55" i="13"/>
  <c r="P55" i="13"/>
  <c r="O55" i="13"/>
  <c r="N55" i="13"/>
  <c r="F55" i="13"/>
  <c r="C55" i="13"/>
  <c r="BK54" i="13"/>
  <c r="BJ54" i="13"/>
  <c r="AS54" i="13"/>
  <c r="AR54" i="13"/>
  <c r="I54" i="13"/>
  <c r="H54" i="13"/>
  <c r="E54" i="13"/>
  <c r="D54" i="13"/>
  <c r="CE53" i="13"/>
  <c r="CD53" i="13"/>
  <c r="CC53" i="13"/>
  <c r="CB53" i="13"/>
  <c r="CA53" i="13"/>
  <c r="BZ53" i="13"/>
  <c r="BU53" i="13"/>
  <c r="BY53" i="13" s="1"/>
  <c r="BT53" i="13"/>
  <c r="BW53" i="13" s="1"/>
  <c r="BS53" i="13"/>
  <c r="BR53" i="13"/>
  <c r="BQ53" i="13"/>
  <c r="BP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Q53" i="13"/>
  <c r="AP53" i="13"/>
  <c r="AO53" i="13"/>
  <c r="AN53" i="13"/>
  <c r="AM53" i="13"/>
  <c r="AL53" i="13"/>
  <c r="AK53" i="13"/>
  <c r="AJ53" i="13"/>
  <c r="AI53" i="13"/>
  <c r="AH53" i="13"/>
  <c r="AC53" i="13"/>
  <c r="AB53" i="13"/>
  <c r="AA53" i="13"/>
  <c r="Z53" i="13"/>
  <c r="Y53" i="13"/>
  <c r="X53" i="13"/>
  <c r="S53" i="13"/>
  <c r="R53" i="13"/>
  <c r="Q53" i="13"/>
  <c r="P53" i="13"/>
  <c r="O53" i="13"/>
  <c r="N53" i="13"/>
  <c r="F53" i="13"/>
  <c r="C53" i="13"/>
  <c r="CE52" i="13"/>
  <c r="CD52" i="13"/>
  <c r="CC52" i="13"/>
  <c r="CB52" i="13"/>
  <c r="CA52" i="13"/>
  <c r="BZ52" i="13"/>
  <c r="BU52" i="13"/>
  <c r="BY52" i="13" s="1"/>
  <c r="BT52" i="13"/>
  <c r="BW52" i="13" s="1"/>
  <c r="BS52" i="13"/>
  <c r="BR52" i="13"/>
  <c r="BQ52" i="13"/>
  <c r="BP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Q52" i="13"/>
  <c r="AP52" i="13"/>
  <c r="AO52" i="13"/>
  <c r="AN52" i="13"/>
  <c r="AM52" i="13"/>
  <c r="AL52" i="13"/>
  <c r="AK52" i="13"/>
  <c r="AJ52" i="13"/>
  <c r="AI52" i="13"/>
  <c r="AH52" i="13"/>
  <c r="AC52" i="13"/>
  <c r="AB52" i="13"/>
  <c r="AA52" i="13"/>
  <c r="Z52" i="13"/>
  <c r="Y52" i="13"/>
  <c r="X52" i="13"/>
  <c r="S52" i="13"/>
  <c r="R52" i="13"/>
  <c r="Q52" i="13"/>
  <c r="P52" i="13"/>
  <c r="O52" i="13"/>
  <c r="N52" i="13"/>
  <c r="F52" i="13"/>
  <c r="C52" i="13"/>
  <c r="CE51" i="13"/>
  <c r="CD51" i="13"/>
  <c r="CC51" i="13"/>
  <c r="CB51" i="13"/>
  <c r="CA51" i="13"/>
  <c r="BZ51" i="13"/>
  <c r="BU51" i="13"/>
  <c r="BY51" i="13" s="1"/>
  <c r="BT51" i="13"/>
  <c r="BW51" i="13" s="1"/>
  <c r="BS51" i="13"/>
  <c r="BR51" i="13"/>
  <c r="BQ51" i="13"/>
  <c r="BP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Q51" i="13"/>
  <c r="AP51" i="13"/>
  <c r="AO51" i="13"/>
  <c r="AN51" i="13"/>
  <c r="AM51" i="13"/>
  <c r="AL51" i="13"/>
  <c r="AK51" i="13"/>
  <c r="AJ51" i="13"/>
  <c r="AI51" i="13"/>
  <c r="AH51" i="13"/>
  <c r="AC51" i="13"/>
  <c r="AB51" i="13"/>
  <c r="AA51" i="13"/>
  <c r="Z51" i="13"/>
  <c r="Y51" i="13"/>
  <c r="X51" i="13"/>
  <c r="S51" i="13"/>
  <c r="R51" i="13"/>
  <c r="Q51" i="13"/>
  <c r="P51" i="13"/>
  <c r="O51" i="13"/>
  <c r="N51" i="13"/>
  <c r="F51" i="13"/>
  <c r="C51" i="13"/>
  <c r="CE50" i="13"/>
  <c r="CD50" i="13"/>
  <c r="CC50" i="13"/>
  <c r="CB50" i="13"/>
  <c r="CA50" i="13"/>
  <c r="BZ50" i="13"/>
  <c r="BU50" i="13"/>
  <c r="BY50" i="13" s="1"/>
  <c r="BT50" i="13"/>
  <c r="BW50" i="13" s="1"/>
  <c r="BS50" i="13"/>
  <c r="BR50" i="13"/>
  <c r="BQ50" i="13"/>
  <c r="BP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Q50" i="13"/>
  <c r="AP50" i="13"/>
  <c r="AO50" i="13"/>
  <c r="AN50" i="13"/>
  <c r="AM50" i="13"/>
  <c r="AL50" i="13"/>
  <c r="AK50" i="13"/>
  <c r="AJ50" i="13"/>
  <c r="AI50" i="13"/>
  <c r="AH50" i="13"/>
  <c r="AC50" i="13"/>
  <c r="AB50" i="13"/>
  <c r="AA50" i="13"/>
  <c r="Z50" i="13"/>
  <c r="Y50" i="13"/>
  <c r="X50" i="13"/>
  <c r="S50" i="13"/>
  <c r="R50" i="13"/>
  <c r="Q50" i="13"/>
  <c r="P50" i="13"/>
  <c r="O50" i="13"/>
  <c r="N50" i="13"/>
  <c r="F50" i="13"/>
  <c r="C50" i="13"/>
  <c r="CE49" i="13"/>
  <c r="CD49" i="13"/>
  <c r="CC49" i="13"/>
  <c r="CB49" i="13"/>
  <c r="CA49" i="13"/>
  <c r="BZ49" i="13"/>
  <c r="BU49" i="13"/>
  <c r="BY49" i="13" s="1"/>
  <c r="BT49" i="13"/>
  <c r="BW49" i="13" s="1"/>
  <c r="BS49" i="13"/>
  <c r="BR49" i="13"/>
  <c r="BQ49" i="13"/>
  <c r="BP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Q49" i="13"/>
  <c r="AP49" i="13"/>
  <c r="AO49" i="13"/>
  <c r="AN49" i="13"/>
  <c r="AM49" i="13"/>
  <c r="AL49" i="13"/>
  <c r="AK49" i="13"/>
  <c r="AJ49" i="13"/>
  <c r="AI49" i="13"/>
  <c r="AH49" i="13"/>
  <c r="AC49" i="13"/>
  <c r="AB49" i="13"/>
  <c r="AA49" i="13"/>
  <c r="Z49" i="13"/>
  <c r="Y49" i="13"/>
  <c r="X49" i="13"/>
  <c r="S49" i="13"/>
  <c r="R49" i="13"/>
  <c r="Q49" i="13"/>
  <c r="P49" i="13"/>
  <c r="O49" i="13"/>
  <c r="N49" i="13"/>
  <c r="F49" i="13"/>
  <c r="C49" i="13"/>
  <c r="CE48" i="13"/>
  <c r="CD48" i="13"/>
  <c r="CC48" i="13"/>
  <c r="CB48" i="13"/>
  <c r="CA48" i="13"/>
  <c r="BZ48" i="13"/>
  <c r="BU48" i="13"/>
  <c r="BY48" i="13" s="1"/>
  <c r="BT48" i="13"/>
  <c r="BW48" i="13" s="1"/>
  <c r="BS48" i="13"/>
  <c r="BR48" i="13"/>
  <c r="BQ48" i="13"/>
  <c r="BP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Q48" i="13"/>
  <c r="AP48" i="13"/>
  <c r="AO48" i="13"/>
  <c r="AN48" i="13"/>
  <c r="AM48" i="13"/>
  <c r="AL48" i="13"/>
  <c r="AK48" i="13"/>
  <c r="AJ48" i="13"/>
  <c r="AI48" i="13"/>
  <c r="AH48" i="13"/>
  <c r="AC48" i="13"/>
  <c r="AB48" i="13"/>
  <c r="AA48" i="13"/>
  <c r="Z48" i="13"/>
  <c r="Y48" i="13"/>
  <c r="X48" i="13"/>
  <c r="S48" i="13"/>
  <c r="R48" i="13"/>
  <c r="Q48" i="13"/>
  <c r="P48" i="13"/>
  <c r="O48" i="13"/>
  <c r="N48" i="13"/>
  <c r="F48" i="13"/>
  <c r="C48" i="13"/>
  <c r="CE47" i="13"/>
  <c r="CD47" i="13"/>
  <c r="CC47" i="13"/>
  <c r="CB47" i="13"/>
  <c r="CA47" i="13"/>
  <c r="BZ47" i="13"/>
  <c r="BU47" i="13"/>
  <c r="BY47" i="13" s="1"/>
  <c r="BT47" i="13"/>
  <c r="BW47" i="13" s="1"/>
  <c r="BS47" i="13"/>
  <c r="BR47" i="13"/>
  <c r="BQ47" i="13"/>
  <c r="BP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Q47" i="13"/>
  <c r="AP47" i="13"/>
  <c r="AO47" i="13"/>
  <c r="AN47" i="13"/>
  <c r="AM47" i="13"/>
  <c r="AL47" i="13"/>
  <c r="AK47" i="13"/>
  <c r="AJ47" i="13"/>
  <c r="AI47" i="13"/>
  <c r="AH47" i="13"/>
  <c r="AC47" i="13"/>
  <c r="AB47" i="13"/>
  <c r="AA47" i="13"/>
  <c r="Z47" i="13"/>
  <c r="Y47" i="13"/>
  <c r="X47" i="13"/>
  <c r="S47" i="13"/>
  <c r="R47" i="13"/>
  <c r="Q47" i="13"/>
  <c r="P47" i="13"/>
  <c r="O47" i="13"/>
  <c r="N47" i="13"/>
  <c r="F47" i="13"/>
  <c r="C47" i="13"/>
  <c r="CE46" i="13"/>
  <c r="CD46" i="13"/>
  <c r="CC46" i="13"/>
  <c r="CB46" i="13"/>
  <c r="CA46" i="13"/>
  <c r="BZ46" i="13"/>
  <c r="BU46" i="13"/>
  <c r="BY46" i="13" s="1"/>
  <c r="BT46" i="13"/>
  <c r="BW46" i="13" s="1"/>
  <c r="BS46" i="13"/>
  <c r="BR46" i="13"/>
  <c r="BQ46" i="13"/>
  <c r="BP46" i="13"/>
  <c r="BI46" i="13"/>
  <c r="BH46" i="13"/>
  <c r="BG46" i="13"/>
  <c r="BF46" i="13"/>
  <c r="BE46" i="13"/>
  <c r="BD46" i="13"/>
  <c r="BC46" i="13"/>
  <c r="BB46" i="13"/>
  <c r="BA46" i="13"/>
  <c r="AZ46" i="13"/>
  <c r="AY46" i="13"/>
  <c r="AX46" i="13"/>
  <c r="AQ46" i="13"/>
  <c r="AP46" i="13"/>
  <c r="AO46" i="13"/>
  <c r="AN46" i="13"/>
  <c r="AM46" i="13"/>
  <c r="AL46" i="13"/>
  <c r="AK46" i="13"/>
  <c r="AJ46" i="13"/>
  <c r="AI46" i="13"/>
  <c r="AH46" i="13"/>
  <c r="AC46" i="13"/>
  <c r="AB46" i="13"/>
  <c r="AA46" i="13"/>
  <c r="Z46" i="13"/>
  <c r="Y46" i="13"/>
  <c r="X46" i="13"/>
  <c r="S46" i="13"/>
  <c r="R46" i="13"/>
  <c r="Q46" i="13"/>
  <c r="P46" i="13"/>
  <c r="O46" i="13"/>
  <c r="N46" i="13"/>
  <c r="F46" i="13"/>
  <c r="C46" i="13"/>
  <c r="CE45" i="13"/>
  <c r="CD45" i="13"/>
  <c r="CC45" i="13"/>
  <c r="CB45" i="13"/>
  <c r="CA45" i="13"/>
  <c r="BZ45" i="13"/>
  <c r="BU45" i="13"/>
  <c r="BY45" i="13" s="1"/>
  <c r="BT45" i="13"/>
  <c r="BW45" i="13" s="1"/>
  <c r="BS45" i="13"/>
  <c r="BR45" i="13"/>
  <c r="BQ45" i="13"/>
  <c r="BP45" i="13"/>
  <c r="BI45" i="13"/>
  <c r="BH45" i="13"/>
  <c r="BG45" i="13"/>
  <c r="BF45" i="13"/>
  <c r="BE45" i="13"/>
  <c r="BD45" i="13"/>
  <c r="BC45" i="13"/>
  <c r="BB45" i="13"/>
  <c r="BA45" i="13"/>
  <c r="AZ45" i="13"/>
  <c r="AY45" i="13"/>
  <c r="AX45" i="13"/>
  <c r="AW45" i="13"/>
  <c r="AU45" i="13"/>
  <c r="AQ45" i="13"/>
  <c r="AP45" i="13"/>
  <c r="AO45" i="13"/>
  <c r="AN45" i="13"/>
  <c r="AM45" i="13"/>
  <c r="AL45" i="13"/>
  <c r="AK45" i="13"/>
  <c r="AJ45" i="13"/>
  <c r="AI45" i="13"/>
  <c r="AH45" i="13"/>
  <c r="AC45" i="13"/>
  <c r="AB45" i="13"/>
  <c r="AA45" i="13"/>
  <c r="Z45" i="13"/>
  <c r="Y45" i="13"/>
  <c r="X45" i="13"/>
  <c r="S45" i="13"/>
  <c r="R45" i="13"/>
  <c r="Q45" i="13"/>
  <c r="P45" i="13"/>
  <c r="O45" i="13"/>
  <c r="N45" i="13"/>
  <c r="F45" i="13"/>
  <c r="C45" i="13"/>
  <c r="CE44" i="13"/>
  <c r="CD44" i="13"/>
  <c r="CC44" i="13"/>
  <c r="CB44" i="13"/>
  <c r="CA44" i="13"/>
  <c r="BZ44" i="13"/>
  <c r="BU44" i="13"/>
  <c r="BY44" i="13" s="1"/>
  <c r="BT44" i="13"/>
  <c r="BW44" i="13" s="1"/>
  <c r="BS44" i="13"/>
  <c r="BR44" i="13"/>
  <c r="BQ44" i="13"/>
  <c r="BP44" i="13"/>
  <c r="BI44" i="13"/>
  <c r="BH44" i="13"/>
  <c r="BG44" i="13"/>
  <c r="BF44" i="13"/>
  <c r="BE44" i="13"/>
  <c r="BD44" i="13"/>
  <c r="BC44" i="13"/>
  <c r="BB44" i="13"/>
  <c r="BA44" i="13"/>
  <c r="AZ44" i="13"/>
  <c r="AY44" i="13"/>
  <c r="AX44" i="13"/>
  <c r="AQ44" i="13"/>
  <c r="AP44" i="13"/>
  <c r="AO44" i="13"/>
  <c r="AN44" i="13"/>
  <c r="AM44" i="13"/>
  <c r="AL44" i="13"/>
  <c r="AK44" i="13"/>
  <c r="AJ44" i="13"/>
  <c r="AI44" i="13"/>
  <c r="AH44" i="13"/>
  <c r="AC44" i="13"/>
  <c r="AB44" i="13"/>
  <c r="AA44" i="13"/>
  <c r="Z44" i="13"/>
  <c r="Y44" i="13"/>
  <c r="X44" i="13"/>
  <c r="S44" i="13"/>
  <c r="R44" i="13"/>
  <c r="Q44" i="13"/>
  <c r="P44" i="13"/>
  <c r="O44" i="13"/>
  <c r="N44" i="13"/>
  <c r="F44" i="13"/>
  <c r="C44" i="13"/>
  <c r="CE43" i="13"/>
  <c r="CD43" i="13"/>
  <c r="CC43" i="13"/>
  <c r="CB43" i="13"/>
  <c r="CA43" i="13"/>
  <c r="BZ43" i="13"/>
  <c r="BU43" i="13"/>
  <c r="BY43" i="13" s="1"/>
  <c r="BT43" i="13"/>
  <c r="BW43" i="13" s="1"/>
  <c r="BS43" i="13"/>
  <c r="BR43" i="13"/>
  <c r="BQ43" i="13"/>
  <c r="BP43" i="13"/>
  <c r="BI43" i="13"/>
  <c r="BH43" i="13"/>
  <c r="BG43" i="13"/>
  <c r="BF43" i="13"/>
  <c r="BE43" i="13"/>
  <c r="BD43" i="13"/>
  <c r="BC43" i="13"/>
  <c r="BB43" i="13"/>
  <c r="BA43" i="13"/>
  <c r="AZ43" i="13"/>
  <c r="AY43" i="13"/>
  <c r="AX43" i="13"/>
  <c r="AQ43" i="13"/>
  <c r="AP43" i="13"/>
  <c r="AO43" i="13"/>
  <c r="AN43" i="13"/>
  <c r="AM43" i="13"/>
  <c r="AL43" i="13"/>
  <c r="AK43" i="13"/>
  <c r="AJ43" i="13"/>
  <c r="AI43" i="13"/>
  <c r="AH43" i="13"/>
  <c r="AC43" i="13"/>
  <c r="AB43" i="13"/>
  <c r="AA43" i="13"/>
  <c r="Z43" i="13"/>
  <c r="Y43" i="13"/>
  <c r="X43" i="13"/>
  <c r="S43" i="13"/>
  <c r="R43" i="13"/>
  <c r="Q43" i="13"/>
  <c r="P43" i="13"/>
  <c r="O43" i="13"/>
  <c r="N43" i="13"/>
  <c r="F43" i="13"/>
  <c r="C43" i="13"/>
  <c r="CE42" i="13"/>
  <c r="CD42" i="13"/>
  <c r="CC42" i="13"/>
  <c r="CB42" i="13"/>
  <c r="CA42" i="13"/>
  <c r="BZ42" i="13"/>
  <c r="BU42" i="13"/>
  <c r="BY42" i="13" s="1"/>
  <c r="BT42" i="13"/>
  <c r="BW42" i="13" s="1"/>
  <c r="BS42" i="13"/>
  <c r="BR42" i="13"/>
  <c r="BQ42" i="13"/>
  <c r="BP42" i="13"/>
  <c r="BI42" i="13"/>
  <c r="BH42" i="13"/>
  <c r="BG42" i="13"/>
  <c r="BF42" i="13"/>
  <c r="BE42" i="13"/>
  <c r="BD42" i="13"/>
  <c r="BC42" i="13"/>
  <c r="BB42" i="13"/>
  <c r="BA42" i="13"/>
  <c r="AZ42" i="13"/>
  <c r="AY42" i="13"/>
  <c r="AX42" i="13"/>
  <c r="AQ42" i="13"/>
  <c r="AP42" i="13"/>
  <c r="AO42" i="13"/>
  <c r="AN42" i="13"/>
  <c r="AM42" i="13"/>
  <c r="AL42" i="13"/>
  <c r="AK42" i="13"/>
  <c r="AJ42" i="13"/>
  <c r="AI42" i="13"/>
  <c r="AH42" i="13"/>
  <c r="AC42" i="13"/>
  <c r="AB42" i="13"/>
  <c r="AA42" i="13"/>
  <c r="Z42" i="13"/>
  <c r="Y42" i="13"/>
  <c r="X42" i="13"/>
  <c r="S42" i="13"/>
  <c r="R42" i="13"/>
  <c r="Q42" i="13"/>
  <c r="P42" i="13"/>
  <c r="O42" i="13"/>
  <c r="N42" i="13"/>
  <c r="F42" i="13"/>
  <c r="C42" i="13"/>
  <c r="CE41" i="13"/>
  <c r="CD41" i="13"/>
  <c r="CC41" i="13"/>
  <c r="CB41" i="13"/>
  <c r="CA41" i="13"/>
  <c r="BZ41" i="13"/>
  <c r="BU41" i="13"/>
  <c r="BY41" i="13" s="1"/>
  <c r="BT41" i="13"/>
  <c r="BW41" i="13" s="1"/>
  <c r="BS41" i="13"/>
  <c r="BR41" i="13"/>
  <c r="BQ41" i="13"/>
  <c r="BP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Q41" i="13"/>
  <c r="AP41" i="13"/>
  <c r="AO41" i="13"/>
  <c r="AN41" i="13"/>
  <c r="AM41" i="13"/>
  <c r="AL41" i="13"/>
  <c r="AK41" i="13"/>
  <c r="AJ41" i="13"/>
  <c r="AI41" i="13"/>
  <c r="AH41" i="13"/>
  <c r="AC41" i="13"/>
  <c r="AB41" i="13"/>
  <c r="AA41" i="13"/>
  <c r="Z41" i="13"/>
  <c r="Y41" i="13"/>
  <c r="X41" i="13"/>
  <c r="S41" i="13"/>
  <c r="R41" i="13"/>
  <c r="Q41" i="13"/>
  <c r="P41" i="13"/>
  <c r="O41" i="13"/>
  <c r="N41" i="13"/>
  <c r="F41" i="13"/>
  <c r="C41" i="13"/>
  <c r="CE40" i="13"/>
  <c r="CD40" i="13"/>
  <c r="CC40" i="13"/>
  <c r="CB40" i="13"/>
  <c r="CA40" i="13"/>
  <c r="BZ40" i="13"/>
  <c r="BU40" i="13"/>
  <c r="BY40" i="13" s="1"/>
  <c r="BT40" i="13"/>
  <c r="BW40" i="13" s="1"/>
  <c r="BS40" i="13"/>
  <c r="BR40" i="13"/>
  <c r="BQ40" i="13"/>
  <c r="BP40" i="13"/>
  <c r="BI40" i="13"/>
  <c r="BH40" i="13"/>
  <c r="BG40" i="13"/>
  <c r="BF40" i="13"/>
  <c r="BE40" i="13"/>
  <c r="BD40" i="13"/>
  <c r="BC40" i="13"/>
  <c r="BB40" i="13"/>
  <c r="BA40" i="13"/>
  <c r="AZ40" i="13"/>
  <c r="AY40" i="13"/>
  <c r="AX40" i="13"/>
  <c r="AQ40" i="13"/>
  <c r="AP40" i="13"/>
  <c r="AO40" i="13"/>
  <c r="AN40" i="13"/>
  <c r="AM40" i="13"/>
  <c r="AL40" i="13"/>
  <c r="AK40" i="13"/>
  <c r="AJ40" i="13"/>
  <c r="AI40" i="13"/>
  <c r="AH40" i="13"/>
  <c r="AC40" i="13"/>
  <c r="AB40" i="13"/>
  <c r="AA40" i="13"/>
  <c r="Z40" i="13"/>
  <c r="Y40" i="13"/>
  <c r="X40" i="13"/>
  <c r="S40" i="13"/>
  <c r="R40" i="13"/>
  <c r="Q40" i="13"/>
  <c r="P40" i="13"/>
  <c r="O40" i="13"/>
  <c r="N40" i="13"/>
  <c r="F40" i="13"/>
  <c r="C40" i="13"/>
  <c r="CE39" i="13"/>
  <c r="CD39" i="13"/>
  <c r="CC39" i="13"/>
  <c r="CB39" i="13"/>
  <c r="CA39" i="13"/>
  <c r="BZ39" i="13"/>
  <c r="BU39" i="13"/>
  <c r="BY39" i="13" s="1"/>
  <c r="BT39" i="13"/>
  <c r="BW39" i="13" s="1"/>
  <c r="BS39" i="13"/>
  <c r="BR39" i="13"/>
  <c r="BQ39" i="13"/>
  <c r="BP39" i="13"/>
  <c r="BI39" i="13"/>
  <c r="BH39" i="13"/>
  <c r="BG39" i="13"/>
  <c r="BF39" i="13"/>
  <c r="BE39" i="13"/>
  <c r="BD39" i="13"/>
  <c r="BC39" i="13"/>
  <c r="BB39" i="13"/>
  <c r="BA39" i="13"/>
  <c r="AZ39" i="13"/>
  <c r="AY39" i="13"/>
  <c r="AX39" i="13"/>
  <c r="AQ39" i="13"/>
  <c r="AP39" i="13"/>
  <c r="AO39" i="13"/>
  <c r="AN39" i="13"/>
  <c r="AM39" i="13"/>
  <c r="AL39" i="13"/>
  <c r="AK39" i="13"/>
  <c r="AJ39" i="13"/>
  <c r="AI39" i="13"/>
  <c r="AH39" i="13"/>
  <c r="AC39" i="13"/>
  <c r="AB39" i="13"/>
  <c r="AA39" i="13"/>
  <c r="Z39" i="13"/>
  <c r="Y39" i="13"/>
  <c r="X39" i="13"/>
  <c r="S39" i="13"/>
  <c r="R39" i="13"/>
  <c r="Q39" i="13"/>
  <c r="P39" i="13"/>
  <c r="O39" i="13"/>
  <c r="N39" i="13"/>
  <c r="F39" i="13"/>
  <c r="C39" i="13"/>
  <c r="CE38" i="13"/>
  <c r="CD38" i="13"/>
  <c r="CC38" i="13"/>
  <c r="CB38" i="13"/>
  <c r="CA38" i="13"/>
  <c r="BZ38" i="13"/>
  <c r="BU38" i="13"/>
  <c r="BY38" i="13" s="1"/>
  <c r="BT38" i="13"/>
  <c r="BW38" i="13" s="1"/>
  <c r="BS38" i="13"/>
  <c r="BR38" i="13"/>
  <c r="BQ38" i="13"/>
  <c r="BP38" i="13"/>
  <c r="BI38" i="13"/>
  <c r="BH38" i="13"/>
  <c r="BG38" i="13"/>
  <c r="BF38" i="13"/>
  <c r="BE38" i="13"/>
  <c r="BD38" i="13"/>
  <c r="BC38" i="13"/>
  <c r="BB38" i="13"/>
  <c r="BA38" i="13"/>
  <c r="AZ38" i="13"/>
  <c r="AY38" i="13"/>
  <c r="AX38" i="13"/>
  <c r="AW38" i="13"/>
  <c r="AU38" i="13"/>
  <c r="AQ38" i="13"/>
  <c r="AP38" i="13"/>
  <c r="AO38" i="13"/>
  <c r="AN38" i="13"/>
  <c r="AM38" i="13"/>
  <c r="AL38" i="13"/>
  <c r="AK38" i="13"/>
  <c r="AJ38" i="13"/>
  <c r="AI38" i="13"/>
  <c r="AH38" i="13"/>
  <c r="AC38" i="13"/>
  <c r="AB38" i="13"/>
  <c r="AA38" i="13"/>
  <c r="Z38" i="13"/>
  <c r="Y38" i="13"/>
  <c r="X38" i="13"/>
  <c r="S38" i="13"/>
  <c r="R38" i="13"/>
  <c r="Q38" i="13"/>
  <c r="P38" i="13"/>
  <c r="O38" i="13"/>
  <c r="N38" i="13"/>
  <c r="F38" i="13"/>
  <c r="C38" i="13"/>
  <c r="CE37" i="13"/>
  <c r="CD37" i="13"/>
  <c r="CC37" i="13"/>
  <c r="CB37" i="13"/>
  <c r="CA37" i="13"/>
  <c r="BZ37" i="13"/>
  <c r="BU37" i="13"/>
  <c r="BY37" i="13" s="1"/>
  <c r="BT37" i="13"/>
  <c r="BW37" i="13" s="1"/>
  <c r="BS37" i="13"/>
  <c r="BR37" i="13"/>
  <c r="BQ37" i="13"/>
  <c r="BP37" i="13"/>
  <c r="BI37" i="13"/>
  <c r="BH37" i="13"/>
  <c r="BG37" i="13"/>
  <c r="BF37" i="13"/>
  <c r="BE37" i="13"/>
  <c r="BD37" i="13"/>
  <c r="BC37" i="13"/>
  <c r="BB37" i="13"/>
  <c r="BA37" i="13"/>
  <c r="AZ37" i="13"/>
  <c r="AY37" i="13"/>
  <c r="AX37" i="13"/>
  <c r="AQ37" i="13"/>
  <c r="AP37" i="13"/>
  <c r="AO37" i="13"/>
  <c r="AN37" i="13"/>
  <c r="AM37" i="13"/>
  <c r="AL37" i="13"/>
  <c r="AK37" i="13"/>
  <c r="AJ37" i="13"/>
  <c r="AI37" i="13"/>
  <c r="AH37" i="13"/>
  <c r="AC37" i="13"/>
  <c r="AB37" i="13"/>
  <c r="AA37" i="13"/>
  <c r="Z37" i="13"/>
  <c r="Y37" i="13"/>
  <c r="X37" i="13"/>
  <c r="S37" i="13"/>
  <c r="R37" i="13"/>
  <c r="Q37" i="13"/>
  <c r="P37" i="13"/>
  <c r="O37" i="13"/>
  <c r="N37" i="13"/>
  <c r="F37" i="13"/>
  <c r="C37" i="13"/>
  <c r="CE36" i="13"/>
  <c r="CD36" i="13"/>
  <c r="CC36" i="13"/>
  <c r="CB36" i="13"/>
  <c r="CA36" i="13"/>
  <c r="BZ36" i="13"/>
  <c r="BU36" i="13"/>
  <c r="BY36" i="13" s="1"/>
  <c r="BT36" i="13"/>
  <c r="BW36" i="13" s="1"/>
  <c r="BS36" i="13"/>
  <c r="BR36" i="13"/>
  <c r="BQ36" i="13"/>
  <c r="BP36" i="13"/>
  <c r="BI36" i="13"/>
  <c r="BH36" i="13"/>
  <c r="BG36" i="13"/>
  <c r="BF36" i="13"/>
  <c r="BE36" i="13"/>
  <c r="BD36" i="13"/>
  <c r="BC36" i="13"/>
  <c r="BB36" i="13"/>
  <c r="BA36" i="13"/>
  <c r="AZ36" i="13"/>
  <c r="AY36" i="13"/>
  <c r="AX36" i="13"/>
  <c r="AQ36" i="13"/>
  <c r="AP36" i="13"/>
  <c r="AO36" i="13"/>
  <c r="AN36" i="13"/>
  <c r="AM36" i="13"/>
  <c r="AL36" i="13"/>
  <c r="AK36" i="13"/>
  <c r="AJ36" i="13"/>
  <c r="AI36" i="13"/>
  <c r="AH36" i="13"/>
  <c r="AC36" i="13"/>
  <c r="AB36" i="13"/>
  <c r="AA36" i="13"/>
  <c r="Z36" i="13"/>
  <c r="Y36" i="13"/>
  <c r="X36" i="13"/>
  <c r="S36" i="13"/>
  <c r="R36" i="13"/>
  <c r="Q36" i="13"/>
  <c r="P36" i="13"/>
  <c r="O36" i="13"/>
  <c r="N36" i="13"/>
  <c r="F36" i="13"/>
  <c r="C36" i="13"/>
  <c r="CE35" i="13"/>
  <c r="CD35" i="13"/>
  <c r="CC35" i="13"/>
  <c r="CB35" i="13"/>
  <c r="CA35" i="13"/>
  <c r="BZ35" i="13"/>
  <c r="BU35" i="13"/>
  <c r="BY35" i="13" s="1"/>
  <c r="BT35" i="13"/>
  <c r="BW35" i="13" s="1"/>
  <c r="BS35" i="13"/>
  <c r="BR35" i="13"/>
  <c r="BQ35" i="13"/>
  <c r="BP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Q35" i="13"/>
  <c r="AP35" i="13"/>
  <c r="AO35" i="13"/>
  <c r="AN35" i="13"/>
  <c r="AM35" i="13"/>
  <c r="AL35" i="13"/>
  <c r="AK35" i="13"/>
  <c r="AJ35" i="13"/>
  <c r="AI35" i="13"/>
  <c r="AH35" i="13"/>
  <c r="AC35" i="13"/>
  <c r="AB35" i="13"/>
  <c r="AA35" i="13"/>
  <c r="Z35" i="13"/>
  <c r="Y35" i="13"/>
  <c r="X35" i="13"/>
  <c r="S35" i="13"/>
  <c r="R35" i="13"/>
  <c r="Q35" i="13"/>
  <c r="P35" i="13"/>
  <c r="O35" i="13"/>
  <c r="N35" i="13"/>
  <c r="F35" i="13"/>
  <c r="C35" i="13"/>
  <c r="CE34" i="13"/>
  <c r="CD34" i="13"/>
  <c r="CC34" i="13"/>
  <c r="CB34" i="13"/>
  <c r="CA34" i="13"/>
  <c r="BZ34" i="13"/>
  <c r="BU34" i="13"/>
  <c r="BT34" i="13"/>
  <c r="BW34" i="13" s="1"/>
  <c r="BS34" i="13"/>
  <c r="BR34" i="13"/>
  <c r="BQ34" i="13"/>
  <c r="BP34" i="13"/>
  <c r="BI34" i="13"/>
  <c r="BH34" i="13"/>
  <c r="BG34" i="13"/>
  <c r="BF34" i="13"/>
  <c r="BE34" i="13"/>
  <c r="BD34" i="13"/>
  <c r="BC34" i="13"/>
  <c r="BB34" i="13"/>
  <c r="BA34" i="13"/>
  <c r="AZ34" i="13"/>
  <c r="AY34" i="13"/>
  <c r="AX34" i="13"/>
  <c r="AW34" i="13"/>
  <c r="AU34" i="13"/>
  <c r="AQ34" i="13"/>
  <c r="AP34" i="13"/>
  <c r="AO34" i="13"/>
  <c r="AN34" i="13"/>
  <c r="AM34" i="13"/>
  <c r="AL34" i="13"/>
  <c r="AK34" i="13"/>
  <c r="AJ34" i="13"/>
  <c r="AI34" i="13"/>
  <c r="AH34" i="13"/>
  <c r="AC34" i="13"/>
  <c r="AB34" i="13"/>
  <c r="AA34" i="13"/>
  <c r="Z34" i="13"/>
  <c r="Y34" i="13"/>
  <c r="X34" i="13"/>
  <c r="S34" i="13"/>
  <c r="R34" i="13"/>
  <c r="Q34" i="13"/>
  <c r="P34" i="13"/>
  <c r="O34" i="13"/>
  <c r="N34" i="13"/>
  <c r="F34" i="13"/>
  <c r="C34" i="13"/>
  <c r="BK33" i="13"/>
  <c r="BJ33" i="13"/>
  <c r="AS33" i="13"/>
  <c r="AR33" i="13"/>
  <c r="I33" i="13"/>
  <c r="H33" i="13"/>
  <c r="E33" i="13"/>
  <c r="D33" i="13"/>
  <c r="CE32" i="13"/>
  <c r="CD32" i="13"/>
  <c r="CC32" i="13"/>
  <c r="CB32" i="13"/>
  <c r="CA32" i="13"/>
  <c r="BZ32" i="13"/>
  <c r="BU32" i="13"/>
  <c r="BY32" i="13" s="1"/>
  <c r="BT32" i="13"/>
  <c r="BW32" i="13" s="1"/>
  <c r="BS32" i="13"/>
  <c r="BR32" i="13"/>
  <c r="BQ32" i="13"/>
  <c r="BP32" i="13"/>
  <c r="BI32" i="13"/>
  <c r="BH32" i="13"/>
  <c r="BG32" i="13"/>
  <c r="BF32" i="13"/>
  <c r="BE32" i="13"/>
  <c r="BD32" i="13"/>
  <c r="BC32" i="13"/>
  <c r="BB32" i="13"/>
  <c r="BA32" i="13"/>
  <c r="AZ32" i="13"/>
  <c r="AY32" i="13"/>
  <c r="AX32" i="13"/>
  <c r="AQ32" i="13"/>
  <c r="AP32" i="13"/>
  <c r="AO32" i="13"/>
  <c r="AN32" i="13"/>
  <c r="AM32" i="13"/>
  <c r="AL32" i="13"/>
  <c r="AK32" i="13"/>
  <c r="AJ32" i="13"/>
  <c r="AI32" i="13"/>
  <c r="AH32" i="13"/>
  <c r="AC32" i="13"/>
  <c r="AB32" i="13"/>
  <c r="AA32" i="13"/>
  <c r="Z32" i="13"/>
  <c r="Y32" i="13"/>
  <c r="X32" i="13"/>
  <c r="S32" i="13"/>
  <c r="R32" i="13"/>
  <c r="Q32" i="13"/>
  <c r="P32" i="13"/>
  <c r="O32" i="13"/>
  <c r="N32" i="13"/>
  <c r="F32" i="13"/>
  <c r="C32" i="13"/>
  <c r="CE31" i="13"/>
  <c r="CD31" i="13"/>
  <c r="CC31" i="13"/>
  <c r="CB31" i="13"/>
  <c r="CA31" i="13"/>
  <c r="BZ31" i="13"/>
  <c r="BU31" i="13"/>
  <c r="BY31" i="13" s="1"/>
  <c r="BT31" i="13"/>
  <c r="BW31" i="13" s="1"/>
  <c r="BS31" i="13"/>
  <c r="BR31" i="13"/>
  <c r="BQ31" i="13"/>
  <c r="BP31" i="13"/>
  <c r="BI31" i="13"/>
  <c r="BH31" i="13"/>
  <c r="BG31" i="13"/>
  <c r="BF31" i="13"/>
  <c r="BE31" i="13"/>
  <c r="BD31" i="13"/>
  <c r="BC31" i="13"/>
  <c r="BB31" i="13"/>
  <c r="BA31" i="13"/>
  <c r="AZ31" i="13"/>
  <c r="AY31" i="13"/>
  <c r="AX31" i="13"/>
  <c r="AQ31" i="13"/>
  <c r="AP31" i="13"/>
  <c r="AO31" i="13"/>
  <c r="AN31" i="13"/>
  <c r="AM31" i="13"/>
  <c r="AL31" i="13"/>
  <c r="AK31" i="13"/>
  <c r="AJ31" i="13"/>
  <c r="AI31" i="13"/>
  <c r="AH31" i="13"/>
  <c r="AC31" i="13"/>
  <c r="AB31" i="13"/>
  <c r="AA31" i="13"/>
  <c r="Z31" i="13"/>
  <c r="Y31" i="13"/>
  <c r="X31" i="13"/>
  <c r="S31" i="13"/>
  <c r="R31" i="13"/>
  <c r="Q31" i="13"/>
  <c r="P31" i="13"/>
  <c r="O31" i="13"/>
  <c r="N31" i="13"/>
  <c r="F31" i="13"/>
  <c r="C31" i="13"/>
  <c r="CE30" i="13"/>
  <c r="CD30" i="13"/>
  <c r="CC30" i="13"/>
  <c r="CB30" i="13"/>
  <c r="CA30" i="13"/>
  <c r="BZ30" i="13"/>
  <c r="BU30" i="13"/>
  <c r="BY30" i="13" s="1"/>
  <c r="BT30" i="13"/>
  <c r="BW30" i="13" s="1"/>
  <c r="BS30" i="13"/>
  <c r="BR30" i="13"/>
  <c r="BQ30" i="13"/>
  <c r="BP30" i="13"/>
  <c r="BI30" i="13"/>
  <c r="BH30" i="13"/>
  <c r="BG30" i="13"/>
  <c r="BF30" i="13"/>
  <c r="BE30" i="13"/>
  <c r="BD30" i="13"/>
  <c r="BC30" i="13"/>
  <c r="BB30" i="13"/>
  <c r="BA30" i="13"/>
  <c r="AZ30" i="13"/>
  <c r="AY30" i="13"/>
  <c r="AX30" i="13"/>
  <c r="AW30" i="13"/>
  <c r="AU30" i="13"/>
  <c r="AQ30" i="13"/>
  <c r="AP30" i="13"/>
  <c r="AO30" i="13"/>
  <c r="AN30" i="13"/>
  <c r="AM30" i="13"/>
  <c r="AL30" i="13"/>
  <c r="AK30" i="13"/>
  <c r="AJ30" i="13"/>
  <c r="AI30" i="13"/>
  <c r="AH30" i="13"/>
  <c r="AC30" i="13"/>
  <c r="AB30" i="13"/>
  <c r="AA30" i="13"/>
  <c r="Z30" i="13"/>
  <c r="Y30" i="13"/>
  <c r="X30" i="13"/>
  <c r="S30" i="13"/>
  <c r="R30" i="13"/>
  <c r="Q30" i="13"/>
  <c r="P30" i="13"/>
  <c r="O30" i="13"/>
  <c r="N30" i="13"/>
  <c r="F30" i="13"/>
  <c r="C30" i="13"/>
  <c r="CE29" i="13"/>
  <c r="CD29" i="13"/>
  <c r="CC29" i="13"/>
  <c r="CB29" i="13"/>
  <c r="CA29" i="13"/>
  <c r="BZ29" i="13"/>
  <c r="BU29" i="13"/>
  <c r="BY29" i="13" s="1"/>
  <c r="BT29" i="13"/>
  <c r="BW29" i="13" s="1"/>
  <c r="BS29" i="13"/>
  <c r="BR29" i="13"/>
  <c r="BQ29" i="13"/>
  <c r="BP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Q29" i="13"/>
  <c r="AP29" i="13"/>
  <c r="AO29" i="13"/>
  <c r="AN29" i="13"/>
  <c r="AM29" i="13"/>
  <c r="AL29" i="13"/>
  <c r="AK29" i="13"/>
  <c r="AJ29" i="13"/>
  <c r="AI29" i="13"/>
  <c r="AH29" i="13"/>
  <c r="AC29" i="13"/>
  <c r="AB29" i="13"/>
  <c r="AA29" i="13"/>
  <c r="Z29" i="13"/>
  <c r="Y29" i="13"/>
  <c r="X29" i="13"/>
  <c r="S29" i="13"/>
  <c r="R29" i="13"/>
  <c r="Q29" i="13"/>
  <c r="P29" i="13"/>
  <c r="O29" i="13"/>
  <c r="N29" i="13"/>
  <c r="F29" i="13"/>
  <c r="C29" i="13"/>
  <c r="CE28" i="13"/>
  <c r="CD28" i="13"/>
  <c r="CC28" i="13"/>
  <c r="CB28" i="13"/>
  <c r="CA28" i="13"/>
  <c r="BZ28" i="13"/>
  <c r="BU28" i="13"/>
  <c r="BY28" i="13" s="1"/>
  <c r="BT28" i="13"/>
  <c r="BW28" i="13" s="1"/>
  <c r="BS28" i="13"/>
  <c r="BR28" i="13"/>
  <c r="BQ28" i="13"/>
  <c r="BP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Q28" i="13"/>
  <c r="AP28" i="13"/>
  <c r="AO28" i="13"/>
  <c r="AN28" i="13"/>
  <c r="AM28" i="13"/>
  <c r="AL28" i="13"/>
  <c r="AK28" i="13"/>
  <c r="AJ28" i="13"/>
  <c r="AI28" i="13"/>
  <c r="AH28" i="13"/>
  <c r="AC28" i="13"/>
  <c r="AB28" i="13"/>
  <c r="AA28" i="13"/>
  <c r="Z28" i="13"/>
  <c r="Y28" i="13"/>
  <c r="X28" i="13"/>
  <c r="S28" i="13"/>
  <c r="R28" i="13"/>
  <c r="Q28" i="13"/>
  <c r="P28" i="13"/>
  <c r="O28" i="13"/>
  <c r="N28" i="13"/>
  <c r="F28" i="13"/>
  <c r="C28" i="13"/>
  <c r="CE27" i="13"/>
  <c r="CD27" i="13"/>
  <c r="CC27" i="13"/>
  <c r="CB27" i="13"/>
  <c r="CA27" i="13"/>
  <c r="BZ27" i="13"/>
  <c r="BU27" i="13"/>
  <c r="BY27" i="13" s="1"/>
  <c r="BT27" i="13"/>
  <c r="BW27" i="13" s="1"/>
  <c r="BS27" i="13"/>
  <c r="BR27" i="13"/>
  <c r="BQ27" i="13"/>
  <c r="BP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Q27" i="13"/>
  <c r="AP27" i="13"/>
  <c r="AO27" i="13"/>
  <c r="AN27" i="13"/>
  <c r="AM27" i="13"/>
  <c r="AL27" i="13"/>
  <c r="AK27" i="13"/>
  <c r="AJ27" i="13"/>
  <c r="AI27" i="13"/>
  <c r="AH27" i="13"/>
  <c r="AC27" i="13"/>
  <c r="AB27" i="13"/>
  <c r="AA27" i="13"/>
  <c r="Z27" i="13"/>
  <c r="Y27" i="13"/>
  <c r="X27" i="13"/>
  <c r="S27" i="13"/>
  <c r="R27" i="13"/>
  <c r="Q27" i="13"/>
  <c r="P27" i="13"/>
  <c r="O27" i="13"/>
  <c r="N27" i="13"/>
  <c r="F27" i="13"/>
  <c r="C27" i="13"/>
  <c r="CE26" i="13"/>
  <c r="CD26" i="13"/>
  <c r="CC26" i="13"/>
  <c r="CB26" i="13"/>
  <c r="CA26" i="13"/>
  <c r="BZ26" i="13"/>
  <c r="BU26" i="13"/>
  <c r="BY26" i="13" s="1"/>
  <c r="BT26" i="13"/>
  <c r="BW26" i="13" s="1"/>
  <c r="BS26" i="13"/>
  <c r="BR26" i="13"/>
  <c r="BQ26" i="13"/>
  <c r="BP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Q26" i="13"/>
  <c r="AP26" i="13"/>
  <c r="AO26" i="13"/>
  <c r="AN26" i="13"/>
  <c r="AM26" i="13"/>
  <c r="AL26" i="13"/>
  <c r="AK26" i="13"/>
  <c r="AJ26" i="13"/>
  <c r="AI26" i="13"/>
  <c r="AH26" i="13"/>
  <c r="AC26" i="13"/>
  <c r="AB26" i="13"/>
  <c r="AA26" i="13"/>
  <c r="Z26" i="13"/>
  <c r="Y26" i="13"/>
  <c r="X26" i="13"/>
  <c r="S26" i="13"/>
  <c r="R26" i="13"/>
  <c r="Q26" i="13"/>
  <c r="P26" i="13"/>
  <c r="O26" i="13"/>
  <c r="N26" i="13"/>
  <c r="F26" i="13"/>
  <c r="C26" i="13"/>
  <c r="CE25" i="13"/>
  <c r="CD25" i="13"/>
  <c r="CC25" i="13"/>
  <c r="CB25" i="13"/>
  <c r="CA25" i="13"/>
  <c r="BZ25" i="13"/>
  <c r="BU25" i="13"/>
  <c r="BY25" i="13" s="1"/>
  <c r="BT25" i="13"/>
  <c r="BW25" i="13" s="1"/>
  <c r="BS25" i="13"/>
  <c r="BR25" i="13"/>
  <c r="BQ25" i="13"/>
  <c r="BP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Q25" i="13"/>
  <c r="AP25" i="13"/>
  <c r="AO25" i="13"/>
  <c r="AN25" i="13"/>
  <c r="AM25" i="13"/>
  <c r="AL25" i="13"/>
  <c r="AK25" i="13"/>
  <c r="AJ25" i="13"/>
  <c r="AI25" i="13"/>
  <c r="AH25" i="13"/>
  <c r="AC25" i="13"/>
  <c r="AB25" i="13"/>
  <c r="AA25" i="13"/>
  <c r="Z25" i="13"/>
  <c r="Y25" i="13"/>
  <c r="X25" i="13"/>
  <c r="S25" i="13"/>
  <c r="R25" i="13"/>
  <c r="Q25" i="13"/>
  <c r="P25" i="13"/>
  <c r="O25" i="13"/>
  <c r="N25" i="13"/>
  <c r="F25" i="13"/>
  <c r="C25" i="13"/>
  <c r="CE24" i="13"/>
  <c r="CD24" i="13"/>
  <c r="CC24" i="13"/>
  <c r="CB24" i="13"/>
  <c r="CA24" i="13"/>
  <c r="BZ24" i="13"/>
  <c r="BU24" i="13"/>
  <c r="BY24" i="13" s="1"/>
  <c r="BT24" i="13"/>
  <c r="BW24" i="13" s="1"/>
  <c r="BS24" i="13"/>
  <c r="BR24" i="13"/>
  <c r="BQ24" i="13"/>
  <c r="BP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Q24" i="13"/>
  <c r="AP24" i="13"/>
  <c r="AO24" i="13"/>
  <c r="AN24" i="13"/>
  <c r="AM24" i="13"/>
  <c r="AL24" i="13"/>
  <c r="AK24" i="13"/>
  <c r="AJ24" i="13"/>
  <c r="AI24" i="13"/>
  <c r="AH24" i="13"/>
  <c r="AC24" i="13"/>
  <c r="AB24" i="13"/>
  <c r="AA24" i="13"/>
  <c r="Z24" i="13"/>
  <c r="Y24" i="13"/>
  <c r="X24" i="13"/>
  <c r="S24" i="13"/>
  <c r="R24" i="13"/>
  <c r="Q24" i="13"/>
  <c r="P24" i="13"/>
  <c r="O24" i="13"/>
  <c r="N24" i="13"/>
  <c r="F24" i="13"/>
  <c r="C24" i="13"/>
  <c r="CE23" i="13"/>
  <c r="CD23" i="13"/>
  <c r="CC23" i="13"/>
  <c r="CB23" i="13"/>
  <c r="CA23" i="13"/>
  <c r="BZ23" i="13"/>
  <c r="BU23" i="13"/>
  <c r="BY23" i="13" s="1"/>
  <c r="BT23" i="13"/>
  <c r="BW23" i="13" s="1"/>
  <c r="BS23" i="13"/>
  <c r="BR23" i="13"/>
  <c r="BQ23" i="13"/>
  <c r="BP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Q23" i="13"/>
  <c r="AP23" i="13"/>
  <c r="AO23" i="13"/>
  <c r="AN23" i="13"/>
  <c r="AM23" i="13"/>
  <c r="AL23" i="13"/>
  <c r="AK23" i="13"/>
  <c r="AJ23" i="13"/>
  <c r="AI23" i="13"/>
  <c r="AH23" i="13"/>
  <c r="AC23" i="13"/>
  <c r="AB23" i="13"/>
  <c r="AA23" i="13"/>
  <c r="Z23" i="13"/>
  <c r="Y23" i="13"/>
  <c r="X23" i="13"/>
  <c r="S23" i="13"/>
  <c r="R23" i="13"/>
  <c r="Q23" i="13"/>
  <c r="P23" i="13"/>
  <c r="O23" i="13"/>
  <c r="N23" i="13"/>
  <c r="F23" i="13"/>
  <c r="C23" i="13"/>
  <c r="CE22" i="13"/>
  <c r="CD22" i="13"/>
  <c r="CC22" i="13"/>
  <c r="CB22" i="13"/>
  <c r="CA22" i="13"/>
  <c r="BZ22" i="13"/>
  <c r="BU22" i="13"/>
  <c r="BY22" i="13" s="1"/>
  <c r="BT22" i="13"/>
  <c r="BW22" i="13" s="1"/>
  <c r="BS22" i="13"/>
  <c r="BR22" i="13"/>
  <c r="BQ22" i="13"/>
  <c r="BP22" i="13"/>
  <c r="BI22" i="13"/>
  <c r="BH22" i="13"/>
  <c r="BG22" i="13"/>
  <c r="BF22" i="13"/>
  <c r="BE22" i="13"/>
  <c r="BD22" i="13"/>
  <c r="BC22" i="13"/>
  <c r="BB22" i="13"/>
  <c r="BA22" i="13"/>
  <c r="AZ22" i="13"/>
  <c r="AY22" i="13"/>
  <c r="AX22" i="13"/>
  <c r="AW22" i="13"/>
  <c r="AU22" i="13"/>
  <c r="AQ22" i="13"/>
  <c r="AP22" i="13"/>
  <c r="AO22" i="13"/>
  <c r="AN22" i="13"/>
  <c r="AM22" i="13"/>
  <c r="AL22" i="13"/>
  <c r="AK22" i="13"/>
  <c r="AJ22" i="13"/>
  <c r="AI22" i="13"/>
  <c r="AH22" i="13"/>
  <c r="AC22" i="13"/>
  <c r="AB22" i="13"/>
  <c r="AA22" i="13"/>
  <c r="Z22" i="13"/>
  <c r="Y22" i="13"/>
  <c r="X22" i="13"/>
  <c r="S22" i="13"/>
  <c r="R22" i="13"/>
  <c r="Q22" i="13"/>
  <c r="P22" i="13"/>
  <c r="O22" i="13"/>
  <c r="N22" i="13"/>
  <c r="F22" i="13"/>
  <c r="C22" i="13"/>
  <c r="CE21" i="13"/>
  <c r="CD21" i="13"/>
  <c r="CC21" i="13"/>
  <c r="CB21" i="13"/>
  <c r="CA21" i="13"/>
  <c r="BZ21" i="13"/>
  <c r="BU21" i="13"/>
  <c r="BY21" i="13" s="1"/>
  <c r="BT21" i="13"/>
  <c r="BW21" i="13" s="1"/>
  <c r="BS21" i="13"/>
  <c r="BR21" i="13"/>
  <c r="BQ21" i="13"/>
  <c r="BP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Q21" i="13"/>
  <c r="AP21" i="13"/>
  <c r="AO21" i="13"/>
  <c r="AN21" i="13"/>
  <c r="AM21" i="13"/>
  <c r="AL21" i="13"/>
  <c r="AK21" i="13"/>
  <c r="AJ21" i="13"/>
  <c r="AI21" i="13"/>
  <c r="AH21" i="13"/>
  <c r="AC21" i="13"/>
  <c r="AB21" i="13"/>
  <c r="AA21" i="13"/>
  <c r="Z21" i="13"/>
  <c r="Y21" i="13"/>
  <c r="X21" i="13"/>
  <c r="S21" i="13"/>
  <c r="R21" i="13"/>
  <c r="Q21" i="13"/>
  <c r="P21" i="13"/>
  <c r="O21" i="13"/>
  <c r="N21" i="13"/>
  <c r="F21" i="13"/>
  <c r="C21" i="13"/>
  <c r="CE20" i="13"/>
  <c r="CD20" i="13"/>
  <c r="CC20" i="13"/>
  <c r="CB20" i="13"/>
  <c r="CA20" i="13"/>
  <c r="BZ20" i="13"/>
  <c r="BU20" i="13"/>
  <c r="BY20" i="13" s="1"/>
  <c r="BT20" i="13"/>
  <c r="BW20" i="13" s="1"/>
  <c r="BS20" i="13"/>
  <c r="BR20" i="13"/>
  <c r="BQ20" i="13"/>
  <c r="BP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Q20" i="13"/>
  <c r="AP20" i="13"/>
  <c r="AO20" i="13"/>
  <c r="AN20" i="13"/>
  <c r="AM20" i="13"/>
  <c r="AL20" i="13"/>
  <c r="AK20" i="13"/>
  <c r="AJ20" i="13"/>
  <c r="AI20" i="13"/>
  <c r="AH20" i="13"/>
  <c r="AC20" i="13"/>
  <c r="AB20" i="13"/>
  <c r="AA20" i="13"/>
  <c r="Z20" i="13"/>
  <c r="Y20" i="13"/>
  <c r="X20" i="13"/>
  <c r="S20" i="13"/>
  <c r="R20" i="13"/>
  <c r="Q20" i="13"/>
  <c r="P20" i="13"/>
  <c r="O20" i="13"/>
  <c r="N20" i="13"/>
  <c r="F20" i="13"/>
  <c r="C20" i="13"/>
  <c r="CE19" i="13"/>
  <c r="CD19" i="13"/>
  <c r="CC19" i="13"/>
  <c r="CB19" i="13"/>
  <c r="CA19" i="13"/>
  <c r="BZ19" i="13"/>
  <c r="BU19" i="13"/>
  <c r="BY19" i="13" s="1"/>
  <c r="BT19" i="13"/>
  <c r="BW19" i="13" s="1"/>
  <c r="BS19" i="13"/>
  <c r="BR19" i="13"/>
  <c r="BQ19" i="13"/>
  <c r="BP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Q19" i="13"/>
  <c r="AP19" i="13"/>
  <c r="AO19" i="13"/>
  <c r="AN19" i="13"/>
  <c r="AM19" i="13"/>
  <c r="AL19" i="13"/>
  <c r="AK19" i="13"/>
  <c r="AJ19" i="13"/>
  <c r="AI19" i="13"/>
  <c r="AH19" i="13"/>
  <c r="AC19" i="13"/>
  <c r="AB19" i="13"/>
  <c r="AA19" i="13"/>
  <c r="Z19" i="13"/>
  <c r="Y19" i="13"/>
  <c r="X19" i="13"/>
  <c r="S19" i="13"/>
  <c r="R19" i="13"/>
  <c r="Q19" i="13"/>
  <c r="P19" i="13"/>
  <c r="O19" i="13"/>
  <c r="N19" i="13"/>
  <c r="F19" i="13"/>
  <c r="C19" i="13"/>
  <c r="CE18" i="13"/>
  <c r="CD18" i="13"/>
  <c r="CC18" i="13"/>
  <c r="CB18" i="13"/>
  <c r="CA18" i="13"/>
  <c r="BZ18" i="13"/>
  <c r="BU18" i="13"/>
  <c r="BY18" i="13" s="1"/>
  <c r="BT18" i="13"/>
  <c r="BW18" i="13" s="1"/>
  <c r="BS18" i="13"/>
  <c r="BR18" i="13"/>
  <c r="BQ18" i="13"/>
  <c r="BP18" i="13"/>
  <c r="BI18" i="13"/>
  <c r="BH18" i="13"/>
  <c r="BG18" i="13"/>
  <c r="BF18" i="13"/>
  <c r="BE18" i="13"/>
  <c r="BD18" i="13"/>
  <c r="BC18" i="13"/>
  <c r="BB18" i="13"/>
  <c r="BA18" i="13"/>
  <c r="AZ18" i="13"/>
  <c r="AY18" i="13"/>
  <c r="AX18" i="13"/>
  <c r="AQ18" i="13"/>
  <c r="AP18" i="13"/>
  <c r="AO18" i="13"/>
  <c r="AN18" i="13"/>
  <c r="AM18" i="13"/>
  <c r="AL18" i="13"/>
  <c r="AK18" i="13"/>
  <c r="AJ18" i="13"/>
  <c r="AI18" i="13"/>
  <c r="AH18" i="13"/>
  <c r="AC18" i="13"/>
  <c r="AB18" i="13"/>
  <c r="AA18" i="13"/>
  <c r="Z18" i="13"/>
  <c r="Y18" i="13"/>
  <c r="X18" i="13"/>
  <c r="S18" i="13"/>
  <c r="R18" i="13"/>
  <c r="Q18" i="13"/>
  <c r="P18" i="13"/>
  <c r="O18" i="13"/>
  <c r="N18" i="13"/>
  <c r="F18" i="13"/>
  <c r="C18" i="13"/>
  <c r="CE17" i="13"/>
  <c r="CD17" i="13"/>
  <c r="CC17" i="13"/>
  <c r="CB17" i="13"/>
  <c r="CA17" i="13"/>
  <c r="BZ17" i="13"/>
  <c r="BU17" i="13"/>
  <c r="BY17" i="13" s="1"/>
  <c r="BT17" i="13"/>
  <c r="BS17" i="13"/>
  <c r="BR17" i="13"/>
  <c r="BQ17" i="13"/>
  <c r="BP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Q17" i="13"/>
  <c r="AP17" i="13"/>
  <c r="AO17" i="13"/>
  <c r="AN17" i="13"/>
  <c r="AM17" i="13"/>
  <c r="AL17" i="13"/>
  <c r="AK17" i="13"/>
  <c r="AJ17" i="13"/>
  <c r="AI17" i="13"/>
  <c r="AH17" i="13"/>
  <c r="AC17" i="13"/>
  <c r="AB17" i="13"/>
  <c r="AA17" i="13"/>
  <c r="Z17" i="13"/>
  <c r="Y17" i="13"/>
  <c r="X17" i="13"/>
  <c r="S17" i="13"/>
  <c r="R17" i="13"/>
  <c r="Q17" i="13"/>
  <c r="P17" i="13"/>
  <c r="O17" i="13"/>
  <c r="N17" i="13"/>
  <c r="F17" i="13"/>
  <c r="C17" i="13"/>
  <c r="CE16" i="13"/>
  <c r="CD16" i="13"/>
  <c r="CC16" i="13"/>
  <c r="CB16" i="13"/>
  <c r="CA16" i="13"/>
  <c r="BZ16" i="13"/>
  <c r="BU16" i="13"/>
  <c r="BT16" i="13"/>
  <c r="BW16" i="13" s="1"/>
  <c r="BS16" i="13"/>
  <c r="BR16" i="13"/>
  <c r="BQ16" i="13"/>
  <c r="BP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Q16" i="13"/>
  <c r="AP16" i="13"/>
  <c r="AO16" i="13"/>
  <c r="AN16" i="13"/>
  <c r="AM16" i="13"/>
  <c r="AL16" i="13"/>
  <c r="AK16" i="13"/>
  <c r="AJ16" i="13"/>
  <c r="AI16" i="13"/>
  <c r="AH16" i="13"/>
  <c r="AC16" i="13"/>
  <c r="AB16" i="13"/>
  <c r="AA16" i="13"/>
  <c r="Z16" i="13"/>
  <c r="Y16" i="13"/>
  <c r="X16" i="13"/>
  <c r="S16" i="13"/>
  <c r="R16" i="13"/>
  <c r="Q16" i="13"/>
  <c r="P16" i="13"/>
  <c r="O16" i="13"/>
  <c r="N16" i="13"/>
  <c r="F16" i="13"/>
  <c r="C16" i="13"/>
  <c r="BK15" i="13"/>
  <c r="BJ15" i="13"/>
  <c r="BJ10" i="13" s="1"/>
  <c r="AS15" i="13"/>
  <c r="AR15" i="13"/>
  <c r="I15" i="13"/>
  <c r="H15" i="13"/>
  <c r="E15" i="13"/>
  <c r="D15" i="13"/>
  <c r="BY14" i="13"/>
  <c r="BW14" i="13"/>
  <c r="BO14" i="13"/>
  <c r="BM14" i="13"/>
  <c r="AW14" i="13"/>
  <c r="AU14" i="13"/>
  <c r="AG14" i="13"/>
  <c r="AE14" i="13"/>
  <c r="W14" i="13"/>
  <c r="U14" i="13"/>
  <c r="M14" i="13"/>
  <c r="K14" i="13"/>
  <c r="G14" i="13"/>
  <c r="CE13" i="13"/>
  <c r="CE11" i="13" s="1"/>
  <c r="CD13" i="13"/>
  <c r="CC13" i="13"/>
  <c r="CA13" i="13"/>
  <c r="BZ13" i="13"/>
  <c r="BX13" i="13"/>
  <c r="BT13" i="13"/>
  <c r="BW13" i="13" s="1"/>
  <c r="BS13" i="13"/>
  <c r="BR13" i="13"/>
  <c r="BP13" i="13"/>
  <c r="BJ13" i="13"/>
  <c r="BM13" i="13" s="1"/>
  <c r="BI13" i="13"/>
  <c r="BH13" i="13"/>
  <c r="BG13" i="13"/>
  <c r="BF13" i="13"/>
  <c r="BD13" i="13"/>
  <c r="BC13" i="13"/>
  <c r="BB13" i="13"/>
  <c r="BA13" i="13"/>
  <c r="AZ13" i="13"/>
  <c r="AX13" i="13"/>
  <c r="AX11" i="13" s="1"/>
  <c r="AR13" i="13"/>
  <c r="AU13" i="13" s="1"/>
  <c r="AQ13" i="13"/>
  <c r="AP13" i="13"/>
  <c r="AN13" i="13"/>
  <c r="AM13" i="13"/>
  <c r="AL13" i="13"/>
  <c r="AJ13" i="13"/>
  <c r="AH13" i="13"/>
  <c r="AC13" i="13"/>
  <c r="AB13" i="13"/>
  <c r="AA13" i="13"/>
  <c r="AA11" i="13" s="1"/>
  <c r="Z13" i="13"/>
  <c r="X13" i="13"/>
  <c r="S13" i="13"/>
  <c r="R13" i="13"/>
  <c r="Q13" i="13"/>
  <c r="P13" i="13"/>
  <c r="N13" i="13"/>
  <c r="I13" i="13"/>
  <c r="W13" i="13" s="1"/>
  <c r="H13" i="13"/>
  <c r="E13" i="13"/>
  <c r="D13" i="13"/>
  <c r="CE12" i="13"/>
  <c r="CC12" i="13"/>
  <c r="CB12" i="13"/>
  <c r="CB11" i="13" s="1"/>
  <c r="CA12" i="13"/>
  <c r="BZ12" i="13"/>
  <c r="BZ11" i="13" s="1"/>
  <c r="BX12" i="13"/>
  <c r="BS12" i="13"/>
  <c r="BR12" i="13"/>
  <c r="BQ12" i="13"/>
  <c r="BQ11" i="13" s="1"/>
  <c r="BM12" i="13"/>
  <c r="BJ12" i="13"/>
  <c r="BI12" i="13"/>
  <c r="BG12" i="13"/>
  <c r="BG11" i="13" s="1"/>
  <c r="BF12" i="13"/>
  <c r="BE12" i="13"/>
  <c r="BE11" i="13" s="1"/>
  <c r="BC12" i="13"/>
  <c r="BB12" i="13"/>
  <c r="BA12" i="13"/>
  <c r="BA11" i="13" s="1"/>
  <c r="AX12" i="13"/>
  <c r="AS12" i="13"/>
  <c r="AW12" i="13" s="1"/>
  <c r="AQ12" i="13"/>
  <c r="AQ11" i="13" s="1"/>
  <c r="AP12" i="13"/>
  <c r="AP11" i="13" s="1"/>
  <c r="AM12" i="13"/>
  <c r="AL12" i="13"/>
  <c r="AK12" i="13"/>
  <c r="AK11" i="13" s="1"/>
  <c r="AH12" i="13"/>
  <c r="AH11" i="13" s="1"/>
  <c r="AC12" i="13"/>
  <c r="AC11" i="13" s="1"/>
  <c r="AB12" i="13"/>
  <c r="AA12" i="13"/>
  <c r="Z12" i="13"/>
  <c r="X12" i="13"/>
  <c r="S12" i="13"/>
  <c r="S11" i="13" s="1"/>
  <c r="R12" i="13"/>
  <c r="Q12" i="13"/>
  <c r="P12" i="13"/>
  <c r="N12" i="13"/>
  <c r="I12" i="13"/>
  <c r="W12" i="13" s="1"/>
  <c r="H12" i="13"/>
  <c r="F12" i="13"/>
  <c r="E12" i="13"/>
  <c r="D12" i="13"/>
  <c r="CC11" i="13"/>
  <c r="BR11" i="13"/>
  <c r="BF11" i="13"/>
  <c r="BB11" i="13"/>
  <c r="AM11" i="13"/>
  <c r="R11" i="13"/>
  <c r="N11" i="13"/>
  <c r="F11" i="13"/>
  <c r="BK10" i="13"/>
  <c r="AS10" i="13"/>
  <c r="I10" i="13"/>
  <c r="E10" i="13"/>
  <c r="T114" i="12"/>
  <c r="L114" i="12"/>
  <c r="I114" i="12" s="1"/>
  <c r="K114" i="12"/>
  <c r="M114" i="12" s="1"/>
  <c r="H114" i="12"/>
  <c r="J114" i="12" s="1"/>
  <c r="C114" i="12"/>
  <c r="G114" i="12" s="1"/>
  <c r="T113" i="12"/>
  <c r="L113" i="12"/>
  <c r="I113" i="12" s="1"/>
  <c r="K113" i="12"/>
  <c r="M113" i="12" s="1"/>
  <c r="H113" i="12"/>
  <c r="J113" i="12" s="1"/>
  <c r="C113" i="12"/>
  <c r="G113" i="12" s="1"/>
  <c r="T112" i="12"/>
  <c r="L112" i="12"/>
  <c r="I112" i="12" s="1"/>
  <c r="K112" i="12"/>
  <c r="M112" i="12" s="1"/>
  <c r="H112" i="12"/>
  <c r="J112" i="12" s="1"/>
  <c r="C112" i="12"/>
  <c r="G112" i="12" s="1"/>
  <c r="T111" i="12"/>
  <c r="L111" i="12"/>
  <c r="I111" i="12" s="1"/>
  <c r="K111" i="12"/>
  <c r="M111" i="12" s="1"/>
  <c r="H111" i="12"/>
  <c r="J111" i="12" s="1"/>
  <c r="C111" i="12"/>
  <c r="G111" i="12" s="1"/>
  <c r="T110" i="12"/>
  <c r="L110" i="12"/>
  <c r="I110" i="12" s="1"/>
  <c r="K110" i="12"/>
  <c r="M110" i="12" s="1"/>
  <c r="H110" i="12"/>
  <c r="J110" i="12" s="1"/>
  <c r="C110" i="12"/>
  <c r="G110" i="12" s="1"/>
  <c r="A110" i="12"/>
  <c r="A111" i="12" s="1"/>
  <c r="A112" i="12" s="1"/>
  <c r="T109" i="12"/>
  <c r="L109" i="12"/>
  <c r="I109" i="12" s="1"/>
  <c r="K109" i="12"/>
  <c r="H109" i="12"/>
  <c r="J109" i="12" s="1"/>
  <c r="C109" i="12"/>
  <c r="G109" i="12" s="1"/>
  <c r="T108" i="12"/>
  <c r="L108" i="12"/>
  <c r="I108" i="12" s="1"/>
  <c r="K108" i="12"/>
  <c r="M108" i="12" s="1"/>
  <c r="H108" i="12"/>
  <c r="J108" i="12" s="1"/>
  <c r="G108" i="12"/>
  <c r="C108" i="12"/>
  <c r="T107" i="12"/>
  <c r="M107" i="12"/>
  <c r="L107" i="12"/>
  <c r="K107" i="12"/>
  <c r="I107" i="12"/>
  <c r="H107" i="12"/>
  <c r="J107" i="12" s="1"/>
  <c r="C107" i="12"/>
  <c r="S106" i="12"/>
  <c r="R106" i="12"/>
  <c r="T106" i="12" s="1"/>
  <c r="Q106" i="12"/>
  <c r="Q13" i="12" s="1"/>
  <c r="P106" i="12"/>
  <c r="P13" i="12" s="1"/>
  <c r="O106" i="12"/>
  <c r="O13" i="12" s="1"/>
  <c r="N106" i="12"/>
  <c r="F106" i="12"/>
  <c r="E106" i="12"/>
  <c r="E13" i="12" s="1"/>
  <c r="D106" i="12"/>
  <c r="D13" i="12" s="1"/>
  <c r="T105" i="12"/>
  <c r="M105" i="12"/>
  <c r="L105" i="12"/>
  <c r="I105" i="12" s="1"/>
  <c r="K105" i="12"/>
  <c r="H105" i="12"/>
  <c r="J105" i="12" s="1"/>
  <c r="C105" i="12"/>
  <c r="G105" i="12" s="1"/>
  <c r="T104" i="12"/>
  <c r="L104" i="12"/>
  <c r="I104" i="12" s="1"/>
  <c r="K104" i="12"/>
  <c r="M104" i="12" s="1"/>
  <c r="J104" i="12"/>
  <c r="H104" i="12"/>
  <c r="C104" i="12"/>
  <c r="G104" i="12" s="1"/>
  <c r="T103" i="12"/>
  <c r="L103" i="12"/>
  <c r="I103" i="12" s="1"/>
  <c r="K103" i="12"/>
  <c r="M103" i="12" s="1"/>
  <c r="H103" i="12"/>
  <c r="J103" i="12" s="1"/>
  <c r="C103" i="12"/>
  <c r="G103" i="12" s="1"/>
  <c r="T102" i="12"/>
  <c r="L102" i="12"/>
  <c r="I102" i="12" s="1"/>
  <c r="K102" i="12"/>
  <c r="M102" i="12" s="1"/>
  <c r="H102" i="12"/>
  <c r="J102" i="12" s="1"/>
  <c r="C102" i="12"/>
  <c r="G102" i="12" s="1"/>
  <c r="T101" i="12"/>
  <c r="L101" i="12"/>
  <c r="I101" i="12" s="1"/>
  <c r="K101" i="12"/>
  <c r="M101" i="12" s="1"/>
  <c r="H101" i="12"/>
  <c r="J101" i="12" s="1"/>
  <c r="C101" i="12"/>
  <c r="G101" i="12" s="1"/>
  <c r="T100" i="12"/>
  <c r="L100" i="12"/>
  <c r="I100" i="12" s="1"/>
  <c r="K100" i="12"/>
  <c r="M100" i="12" s="1"/>
  <c r="H100" i="12"/>
  <c r="J100" i="12" s="1"/>
  <c r="C100" i="12"/>
  <c r="G100" i="12" s="1"/>
  <c r="T99" i="12"/>
  <c r="L99" i="12"/>
  <c r="I99" i="12" s="1"/>
  <c r="K99" i="12"/>
  <c r="M99" i="12" s="1"/>
  <c r="H99" i="12"/>
  <c r="J99" i="12" s="1"/>
  <c r="C99" i="12"/>
  <c r="G99" i="12" s="1"/>
  <c r="T98" i="12"/>
  <c r="L98" i="12"/>
  <c r="I98" i="12" s="1"/>
  <c r="K98" i="12"/>
  <c r="M98" i="12" s="1"/>
  <c r="H98" i="12"/>
  <c r="C98" i="12"/>
  <c r="G98" i="12" s="1"/>
  <c r="T97" i="12"/>
  <c r="L97" i="12"/>
  <c r="I97" i="12" s="1"/>
  <c r="K97" i="12"/>
  <c r="M97" i="12" s="1"/>
  <c r="H97" i="12"/>
  <c r="J97" i="12" s="1"/>
  <c r="C97" i="12"/>
  <c r="G97" i="12" s="1"/>
  <c r="T96" i="12"/>
  <c r="L96" i="12"/>
  <c r="I96" i="12" s="1"/>
  <c r="K96" i="12"/>
  <c r="M96" i="12" s="1"/>
  <c r="H96" i="12"/>
  <c r="J96" i="12" s="1"/>
  <c r="C96" i="12"/>
  <c r="G96" i="12" s="1"/>
  <c r="T95" i="12"/>
  <c r="L95" i="12"/>
  <c r="I95" i="12" s="1"/>
  <c r="K95" i="12"/>
  <c r="M95" i="12" s="1"/>
  <c r="H95" i="12"/>
  <c r="J95" i="12" s="1"/>
  <c r="C95" i="12"/>
  <c r="G95" i="12" s="1"/>
  <c r="A95" i="12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T94" i="12"/>
  <c r="L94" i="12"/>
  <c r="I94" i="12" s="1"/>
  <c r="K94" i="12"/>
  <c r="M94" i="12" s="1"/>
  <c r="H94" i="12"/>
  <c r="J94" i="12" s="1"/>
  <c r="C94" i="12"/>
  <c r="G94" i="12" s="1"/>
  <c r="T93" i="12"/>
  <c r="L93" i="12"/>
  <c r="I93" i="12" s="1"/>
  <c r="K93" i="12"/>
  <c r="M93" i="12" s="1"/>
  <c r="H93" i="12"/>
  <c r="J93" i="12" s="1"/>
  <c r="C93" i="12"/>
  <c r="G93" i="12" s="1"/>
  <c r="T92" i="12"/>
  <c r="L92" i="12"/>
  <c r="K92" i="12"/>
  <c r="H92" i="12"/>
  <c r="C92" i="12"/>
  <c r="G92" i="12" s="1"/>
  <c r="S91" i="12"/>
  <c r="R91" i="12"/>
  <c r="R12" i="12" s="1"/>
  <c r="Q91" i="12"/>
  <c r="P91" i="12"/>
  <c r="P12" i="12" s="1"/>
  <c r="O91" i="12"/>
  <c r="O12" i="12" s="1"/>
  <c r="N91" i="12"/>
  <c r="N12" i="12" s="1"/>
  <c r="F91" i="12"/>
  <c r="E91" i="12"/>
  <c r="D91" i="12"/>
  <c r="T90" i="12"/>
  <c r="Q90" i="12"/>
  <c r="O90" i="12"/>
  <c r="K90" i="12"/>
  <c r="H90" i="12"/>
  <c r="F90" i="12"/>
  <c r="C90" i="12"/>
  <c r="T89" i="12"/>
  <c r="Q89" i="12"/>
  <c r="O89" i="12"/>
  <c r="K89" i="12"/>
  <c r="H89" i="12"/>
  <c r="F89" i="12"/>
  <c r="C89" i="12"/>
  <c r="T88" i="12"/>
  <c r="Q88" i="12"/>
  <c r="O88" i="12"/>
  <c r="K88" i="12"/>
  <c r="H88" i="12"/>
  <c r="F88" i="12"/>
  <c r="C88" i="12"/>
  <c r="T87" i="12"/>
  <c r="Q87" i="12"/>
  <c r="K87" i="12"/>
  <c r="H87" i="12"/>
  <c r="F87" i="12"/>
  <c r="C87" i="12"/>
  <c r="T86" i="12"/>
  <c r="Q86" i="12"/>
  <c r="O86" i="12"/>
  <c r="K86" i="12"/>
  <c r="H86" i="12"/>
  <c r="F86" i="12"/>
  <c r="C86" i="12"/>
  <c r="T85" i="12"/>
  <c r="Q85" i="12"/>
  <c r="O85" i="12"/>
  <c r="K85" i="12"/>
  <c r="H85" i="12"/>
  <c r="F85" i="12"/>
  <c r="C85" i="12"/>
  <c r="T84" i="12"/>
  <c r="Q84" i="12"/>
  <c r="O84" i="12"/>
  <c r="K84" i="12"/>
  <c r="H84" i="12"/>
  <c r="F84" i="12"/>
  <c r="C84" i="12"/>
  <c r="T83" i="12"/>
  <c r="Q83" i="12"/>
  <c r="O83" i="12"/>
  <c r="K83" i="12"/>
  <c r="H83" i="12"/>
  <c r="F83" i="12"/>
  <c r="C83" i="12"/>
  <c r="T82" i="12"/>
  <c r="Q82" i="12"/>
  <c r="O82" i="12"/>
  <c r="K82" i="12"/>
  <c r="H82" i="12"/>
  <c r="F82" i="12"/>
  <c r="C82" i="12"/>
  <c r="T81" i="12"/>
  <c r="Q81" i="12"/>
  <c r="O81" i="12"/>
  <c r="K81" i="12"/>
  <c r="H81" i="12"/>
  <c r="F81" i="12"/>
  <c r="C81" i="12"/>
  <c r="T80" i="12"/>
  <c r="Q80" i="12"/>
  <c r="O80" i="12"/>
  <c r="K80" i="12"/>
  <c r="H80" i="12"/>
  <c r="H76" i="12" s="1"/>
  <c r="F80" i="12"/>
  <c r="C80" i="12"/>
  <c r="T79" i="12"/>
  <c r="Q79" i="12"/>
  <c r="O79" i="12"/>
  <c r="K79" i="12"/>
  <c r="H79" i="12"/>
  <c r="F79" i="12"/>
  <c r="C79" i="12"/>
  <c r="T78" i="12"/>
  <c r="Q78" i="12"/>
  <c r="O78" i="12"/>
  <c r="K78" i="12"/>
  <c r="H78" i="12"/>
  <c r="F78" i="12"/>
  <c r="C78" i="12"/>
  <c r="T77" i="12"/>
  <c r="Q77" i="12"/>
  <c r="O77" i="12"/>
  <c r="K77" i="12"/>
  <c r="H77" i="12"/>
  <c r="F77" i="12"/>
  <c r="C77" i="12"/>
  <c r="S76" i="12"/>
  <c r="R76" i="12"/>
  <c r="T76" i="12" s="1"/>
  <c r="P76" i="12"/>
  <c r="N76" i="12"/>
  <c r="E76" i="12"/>
  <c r="D76" i="12"/>
  <c r="T75" i="12"/>
  <c r="Q75" i="12"/>
  <c r="O75" i="12"/>
  <c r="K75" i="12"/>
  <c r="H75" i="12"/>
  <c r="F75" i="12"/>
  <c r="G75" i="12" s="1"/>
  <c r="C75" i="12"/>
  <c r="T74" i="12"/>
  <c r="Q74" i="12"/>
  <c r="O74" i="12"/>
  <c r="K74" i="12"/>
  <c r="H74" i="12"/>
  <c r="F74" i="12"/>
  <c r="C74" i="12"/>
  <c r="T73" i="12"/>
  <c r="Q73" i="12"/>
  <c r="O73" i="12"/>
  <c r="K73" i="12"/>
  <c r="H73" i="12"/>
  <c r="F73" i="12"/>
  <c r="C73" i="12"/>
  <c r="T72" i="12"/>
  <c r="Q72" i="12"/>
  <c r="O72" i="12"/>
  <c r="K72" i="12"/>
  <c r="H72" i="12"/>
  <c r="F72" i="12"/>
  <c r="C72" i="12"/>
  <c r="T71" i="12"/>
  <c r="Q71" i="12"/>
  <c r="O71" i="12"/>
  <c r="K71" i="12"/>
  <c r="H71" i="12"/>
  <c r="F71" i="12"/>
  <c r="C71" i="12"/>
  <c r="T70" i="12"/>
  <c r="Q70" i="12"/>
  <c r="O70" i="12"/>
  <c r="K70" i="12"/>
  <c r="H70" i="12"/>
  <c r="F70" i="12"/>
  <c r="C70" i="12"/>
  <c r="T69" i="12"/>
  <c r="Q69" i="12"/>
  <c r="O69" i="12"/>
  <c r="K69" i="12"/>
  <c r="H69" i="12"/>
  <c r="F69" i="12"/>
  <c r="C69" i="12"/>
  <c r="T68" i="12"/>
  <c r="Q68" i="12"/>
  <c r="O68" i="12"/>
  <c r="K68" i="12"/>
  <c r="H68" i="12"/>
  <c r="F68" i="12"/>
  <c r="G68" i="12" s="1"/>
  <c r="C68" i="12"/>
  <c r="T67" i="12"/>
  <c r="Q67" i="12"/>
  <c r="O67" i="12"/>
  <c r="K67" i="12"/>
  <c r="H67" i="12"/>
  <c r="F67" i="12"/>
  <c r="C67" i="12"/>
  <c r="T66" i="12"/>
  <c r="Q66" i="12"/>
  <c r="O66" i="12"/>
  <c r="K66" i="12"/>
  <c r="H66" i="12"/>
  <c r="F66" i="12"/>
  <c r="C66" i="12"/>
  <c r="T65" i="12"/>
  <c r="Q65" i="12"/>
  <c r="O65" i="12"/>
  <c r="K65" i="12"/>
  <c r="H65" i="12"/>
  <c r="F65" i="12"/>
  <c r="C65" i="12"/>
  <c r="T64" i="12"/>
  <c r="Q64" i="12"/>
  <c r="O64" i="12"/>
  <c r="K64" i="12"/>
  <c r="H64" i="12"/>
  <c r="F64" i="12"/>
  <c r="G64" i="12" s="1"/>
  <c r="C64" i="12"/>
  <c r="T63" i="12"/>
  <c r="Q63" i="12"/>
  <c r="O63" i="12"/>
  <c r="K63" i="12"/>
  <c r="H63" i="12"/>
  <c r="F63" i="12"/>
  <c r="G63" i="12" s="1"/>
  <c r="C63" i="12"/>
  <c r="T62" i="12"/>
  <c r="Q62" i="12"/>
  <c r="O62" i="12"/>
  <c r="K62" i="12"/>
  <c r="H62" i="12"/>
  <c r="F62" i="12"/>
  <c r="C62" i="12"/>
  <c r="T61" i="12"/>
  <c r="Q61" i="12"/>
  <c r="O61" i="12"/>
  <c r="K61" i="12"/>
  <c r="H61" i="12"/>
  <c r="F61" i="12"/>
  <c r="C61" i="12"/>
  <c r="T60" i="12"/>
  <c r="Q60" i="12"/>
  <c r="O60" i="12"/>
  <c r="K60" i="12"/>
  <c r="H60" i="12"/>
  <c r="F60" i="12"/>
  <c r="G60" i="12" s="1"/>
  <c r="C60" i="12"/>
  <c r="T59" i="12"/>
  <c r="Q59" i="12"/>
  <c r="O59" i="12"/>
  <c r="K59" i="12"/>
  <c r="H59" i="12"/>
  <c r="F59" i="12"/>
  <c r="C59" i="12"/>
  <c r="T58" i="12"/>
  <c r="Q58" i="12"/>
  <c r="O58" i="12"/>
  <c r="K58" i="12"/>
  <c r="H58" i="12"/>
  <c r="F58" i="12"/>
  <c r="C58" i="12"/>
  <c r="T57" i="12"/>
  <c r="Q57" i="12"/>
  <c r="O57" i="12"/>
  <c r="K57" i="12"/>
  <c r="H57" i="12"/>
  <c r="F57" i="12"/>
  <c r="C57" i="12"/>
  <c r="T56" i="12"/>
  <c r="Q56" i="12"/>
  <c r="O56" i="12"/>
  <c r="K56" i="12"/>
  <c r="H56" i="12"/>
  <c r="H54" i="12" s="1"/>
  <c r="F56" i="12"/>
  <c r="C56" i="12"/>
  <c r="T55" i="12"/>
  <c r="Q55" i="12"/>
  <c r="O55" i="12"/>
  <c r="K55" i="12"/>
  <c r="H55" i="12"/>
  <c r="F55" i="12"/>
  <c r="G55" i="12" s="1"/>
  <c r="C55" i="12"/>
  <c r="S54" i="12"/>
  <c r="R54" i="12"/>
  <c r="T54" i="12" s="1"/>
  <c r="P54" i="12"/>
  <c r="N54" i="12"/>
  <c r="E54" i="12"/>
  <c r="D54" i="12"/>
  <c r="T53" i="12"/>
  <c r="Q53" i="12"/>
  <c r="O53" i="12"/>
  <c r="K53" i="12"/>
  <c r="H53" i="12"/>
  <c r="F53" i="12"/>
  <c r="C53" i="12"/>
  <c r="T52" i="12"/>
  <c r="Q52" i="12"/>
  <c r="O52" i="12"/>
  <c r="K52" i="12"/>
  <c r="H52" i="12"/>
  <c r="F52" i="12"/>
  <c r="C52" i="12"/>
  <c r="T51" i="12"/>
  <c r="Q51" i="12"/>
  <c r="O51" i="12"/>
  <c r="K51" i="12"/>
  <c r="H51" i="12"/>
  <c r="F51" i="12"/>
  <c r="C51" i="12"/>
  <c r="T50" i="12"/>
  <c r="Q50" i="12"/>
  <c r="O50" i="12"/>
  <c r="K50" i="12"/>
  <c r="H50" i="12"/>
  <c r="F50" i="12"/>
  <c r="C50" i="12"/>
  <c r="T49" i="12"/>
  <c r="Q49" i="12"/>
  <c r="O49" i="12"/>
  <c r="K49" i="12"/>
  <c r="H49" i="12"/>
  <c r="F49" i="12"/>
  <c r="C49" i="12"/>
  <c r="T48" i="12"/>
  <c r="Q48" i="12"/>
  <c r="O48" i="12"/>
  <c r="K48" i="12"/>
  <c r="H48" i="12"/>
  <c r="F48" i="12"/>
  <c r="C48" i="12"/>
  <c r="T47" i="12"/>
  <c r="Q47" i="12"/>
  <c r="O47" i="12"/>
  <c r="K47" i="12"/>
  <c r="H47" i="12"/>
  <c r="F47" i="12"/>
  <c r="C47" i="12"/>
  <c r="T46" i="12"/>
  <c r="Q46" i="12"/>
  <c r="O46" i="12"/>
  <c r="K46" i="12"/>
  <c r="H46" i="12"/>
  <c r="F46" i="12"/>
  <c r="C46" i="12"/>
  <c r="T45" i="12"/>
  <c r="Q45" i="12"/>
  <c r="O45" i="12"/>
  <c r="K45" i="12"/>
  <c r="H45" i="12"/>
  <c r="F45" i="12"/>
  <c r="C45" i="12"/>
  <c r="T44" i="12"/>
  <c r="Q44" i="12"/>
  <c r="O44" i="12"/>
  <c r="K44" i="12"/>
  <c r="H44" i="12"/>
  <c r="F44" i="12"/>
  <c r="C44" i="12"/>
  <c r="T43" i="12"/>
  <c r="Q43" i="12"/>
  <c r="O43" i="12"/>
  <c r="K43" i="12"/>
  <c r="H43" i="12"/>
  <c r="F43" i="12"/>
  <c r="C43" i="12"/>
  <c r="T42" i="12"/>
  <c r="Q42" i="12"/>
  <c r="O42" i="12"/>
  <c r="K42" i="12"/>
  <c r="H42" i="12"/>
  <c r="F42" i="12"/>
  <c r="C42" i="12"/>
  <c r="T41" i="12"/>
  <c r="Q41" i="12"/>
  <c r="O41" i="12"/>
  <c r="K41" i="12"/>
  <c r="H41" i="12"/>
  <c r="F41" i="12"/>
  <c r="C41" i="12"/>
  <c r="T40" i="12"/>
  <c r="Q40" i="12"/>
  <c r="O40" i="12"/>
  <c r="K40" i="12"/>
  <c r="H40" i="12"/>
  <c r="F40" i="12"/>
  <c r="C40" i="12"/>
  <c r="T39" i="12"/>
  <c r="Q39" i="12"/>
  <c r="O39" i="12"/>
  <c r="K39" i="12"/>
  <c r="H39" i="12"/>
  <c r="F39" i="12"/>
  <c r="C39" i="12"/>
  <c r="T38" i="12"/>
  <c r="Q38" i="12"/>
  <c r="O38" i="12"/>
  <c r="K38" i="12"/>
  <c r="H38" i="12"/>
  <c r="F38" i="12"/>
  <c r="C38" i="12"/>
  <c r="T37" i="12"/>
  <c r="Q37" i="12"/>
  <c r="O37" i="12"/>
  <c r="K37" i="12"/>
  <c r="H37" i="12"/>
  <c r="F37" i="12"/>
  <c r="C37" i="12"/>
  <c r="T36" i="12"/>
  <c r="Q36" i="12"/>
  <c r="O36" i="12"/>
  <c r="K36" i="12"/>
  <c r="H36" i="12"/>
  <c r="F36" i="12"/>
  <c r="C36" i="12"/>
  <c r="T35" i="12"/>
  <c r="Q35" i="12"/>
  <c r="O35" i="12"/>
  <c r="K35" i="12"/>
  <c r="H35" i="12"/>
  <c r="F35" i="12"/>
  <c r="C35" i="12"/>
  <c r="T34" i="12"/>
  <c r="Q34" i="12"/>
  <c r="O34" i="12"/>
  <c r="K34" i="12"/>
  <c r="H34" i="12"/>
  <c r="F34" i="12"/>
  <c r="C34" i="12"/>
  <c r="S33" i="12"/>
  <c r="R33" i="12"/>
  <c r="T33" i="12" s="1"/>
  <c r="P33" i="12"/>
  <c r="N33" i="12"/>
  <c r="K33" i="12"/>
  <c r="E33" i="12"/>
  <c r="D33" i="12"/>
  <c r="T32" i="12"/>
  <c r="Q32" i="12"/>
  <c r="O32" i="12"/>
  <c r="K32" i="12"/>
  <c r="H32" i="12"/>
  <c r="F32" i="12"/>
  <c r="G32" i="12" s="1"/>
  <c r="C32" i="12"/>
  <c r="T31" i="12"/>
  <c r="Q31" i="12"/>
  <c r="O31" i="12"/>
  <c r="K31" i="12"/>
  <c r="H31" i="12"/>
  <c r="F31" i="12"/>
  <c r="G31" i="12" s="1"/>
  <c r="C31" i="12"/>
  <c r="T30" i="12"/>
  <c r="Q30" i="12"/>
  <c r="O30" i="12"/>
  <c r="K30" i="12"/>
  <c r="H30" i="12"/>
  <c r="F30" i="12"/>
  <c r="C30" i="12"/>
  <c r="T29" i="12"/>
  <c r="Q29" i="12"/>
  <c r="O29" i="12"/>
  <c r="K29" i="12"/>
  <c r="H29" i="12"/>
  <c r="F29" i="12"/>
  <c r="C29" i="12"/>
  <c r="T28" i="12"/>
  <c r="Q28" i="12"/>
  <c r="O28" i="12"/>
  <c r="K28" i="12"/>
  <c r="H28" i="12"/>
  <c r="F28" i="12"/>
  <c r="G28" i="12" s="1"/>
  <c r="C28" i="12"/>
  <c r="T27" i="12"/>
  <c r="Q27" i="12"/>
  <c r="O27" i="12"/>
  <c r="K27" i="12"/>
  <c r="H27" i="12"/>
  <c r="F27" i="12"/>
  <c r="G27" i="12" s="1"/>
  <c r="C27" i="12"/>
  <c r="T26" i="12"/>
  <c r="Q26" i="12"/>
  <c r="O26" i="12"/>
  <c r="K26" i="12"/>
  <c r="H26" i="12"/>
  <c r="F26" i="12"/>
  <c r="C26" i="12"/>
  <c r="T25" i="12"/>
  <c r="Q25" i="12"/>
  <c r="O25" i="12"/>
  <c r="K25" i="12"/>
  <c r="H25" i="12"/>
  <c r="F25" i="12"/>
  <c r="C25" i="12"/>
  <c r="T24" i="12"/>
  <c r="Q24" i="12"/>
  <c r="O24" i="12"/>
  <c r="K24" i="12"/>
  <c r="H24" i="12"/>
  <c r="F24" i="12"/>
  <c r="G24" i="12" s="1"/>
  <c r="C24" i="12"/>
  <c r="T23" i="12"/>
  <c r="Q23" i="12"/>
  <c r="O23" i="12"/>
  <c r="K23" i="12"/>
  <c r="H23" i="12"/>
  <c r="F23" i="12"/>
  <c r="C23" i="12"/>
  <c r="T22" i="12"/>
  <c r="Q22" i="12"/>
  <c r="O22" i="12"/>
  <c r="K22" i="12"/>
  <c r="H22" i="12"/>
  <c r="F22" i="12"/>
  <c r="C22" i="12"/>
  <c r="T21" i="12"/>
  <c r="Q21" i="12"/>
  <c r="O21" i="12"/>
  <c r="K21" i="12"/>
  <c r="H21" i="12"/>
  <c r="F21" i="12"/>
  <c r="C21" i="12"/>
  <c r="T20" i="12"/>
  <c r="Q20" i="12"/>
  <c r="O20" i="12"/>
  <c r="K20" i="12"/>
  <c r="H20" i="12"/>
  <c r="F20" i="12"/>
  <c r="G20" i="12" s="1"/>
  <c r="C20" i="12"/>
  <c r="T19" i="12"/>
  <c r="Q19" i="12"/>
  <c r="O19" i="12"/>
  <c r="K19" i="12"/>
  <c r="H19" i="12"/>
  <c r="F19" i="12"/>
  <c r="G19" i="12" s="1"/>
  <c r="C19" i="12"/>
  <c r="T18" i="12"/>
  <c r="Q18" i="12"/>
  <c r="O18" i="12"/>
  <c r="K18" i="12"/>
  <c r="H18" i="12"/>
  <c r="F18" i="12"/>
  <c r="C18" i="12"/>
  <c r="T17" i="12"/>
  <c r="Q17" i="12"/>
  <c r="O17" i="12"/>
  <c r="K17" i="12"/>
  <c r="H17" i="12"/>
  <c r="F17" i="12"/>
  <c r="C17" i="12"/>
  <c r="T16" i="12"/>
  <c r="Q16" i="12"/>
  <c r="O16" i="12"/>
  <c r="K16" i="12"/>
  <c r="H16" i="12"/>
  <c r="F16" i="12"/>
  <c r="C16" i="12"/>
  <c r="S15" i="12"/>
  <c r="R15" i="12"/>
  <c r="T15" i="12" s="1"/>
  <c r="P15" i="12"/>
  <c r="N15" i="12"/>
  <c r="E15" i="12"/>
  <c r="D15" i="12"/>
  <c r="D10" i="12" s="1"/>
  <c r="S14" i="12"/>
  <c r="R14" i="12"/>
  <c r="Q14" i="12"/>
  <c r="K14" i="12" s="1"/>
  <c r="P14" i="12"/>
  <c r="O14" i="12"/>
  <c r="I14" i="12" s="1"/>
  <c r="M14" i="12"/>
  <c r="G14" i="12"/>
  <c r="S13" i="12"/>
  <c r="R13" i="12"/>
  <c r="T13" i="12" s="1"/>
  <c r="N13" i="12"/>
  <c r="Q12" i="12"/>
  <c r="Q11" i="12" s="1"/>
  <c r="F12" i="12"/>
  <c r="E12" i="12"/>
  <c r="E11" i="12" s="1"/>
  <c r="D12" i="12"/>
  <c r="D11" i="12" s="1"/>
  <c r="F11" i="12"/>
  <c r="P10" i="12"/>
  <c r="P114" i="10"/>
  <c r="N114" i="10"/>
  <c r="J114" i="10"/>
  <c r="C114" i="10"/>
  <c r="G114" i="10" s="1"/>
  <c r="P113" i="10"/>
  <c r="N113" i="10"/>
  <c r="J113" i="10"/>
  <c r="C113" i="10"/>
  <c r="G113" i="10" s="1"/>
  <c r="P112" i="10"/>
  <c r="N112" i="10"/>
  <c r="J112" i="10"/>
  <c r="C112" i="10"/>
  <c r="G112" i="10" s="1"/>
  <c r="P111" i="10"/>
  <c r="N111" i="10"/>
  <c r="J111" i="10"/>
  <c r="C111" i="10"/>
  <c r="G111" i="10" s="1"/>
  <c r="P110" i="10"/>
  <c r="N110" i="10"/>
  <c r="J110" i="10"/>
  <c r="C110" i="10"/>
  <c r="G110" i="10" s="1"/>
  <c r="A110" i="10"/>
  <c r="A111" i="10" s="1"/>
  <c r="A112" i="10" s="1"/>
  <c r="P109" i="10"/>
  <c r="N109" i="10"/>
  <c r="J109" i="10"/>
  <c r="C109" i="10"/>
  <c r="G109" i="10" s="1"/>
  <c r="P108" i="10"/>
  <c r="N108" i="10"/>
  <c r="J108" i="10"/>
  <c r="C108" i="10"/>
  <c r="G108" i="10" s="1"/>
  <c r="P107" i="10"/>
  <c r="N107" i="10"/>
  <c r="J107" i="10"/>
  <c r="C107" i="10"/>
  <c r="O106" i="10"/>
  <c r="O13" i="10" s="1"/>
  <c r="N106" i="10"/>
  <c r="M106" i="10"/>
  <c r="M13" i="10" s="1"/>
  <c r="L106" i="10"/>
  <c r="P106" i="10" s="1"/>
  <c r="K106" i="10"/>
  <c r="I106" i="10"/>
  <c r="I13" i="10" s="1"/>
  <c r="H106" i="10"/>
  <c r="H13" i="10" s="1"/>
  <c r="J13" i="10" s="1"/>
  <c r="F106" i="10"/>
  <c r="E106" i="10"/>
  <c r="D106" i="10"/>
  <c r="D13" i="10" s="1"/>
  <c r="P105" i="10"/>
  <c r="N105" i="10"/>
  <c r="J105" i="10"/>
  <c r="C105" i="10"/>
  <c r="G105" i="10" s="1"/>
  <c r="P104" i="10"/>
  <c r="N104" i="10"/>
  <c r="J104" i="10"/>
  <c r="C104" i="10"/>
  <c r="G104" i="10" s="1"/>
  <c r="P103" i="10"/>
  <c r="N103" i="10"/>
  <c r="J103" i="10"/>
  <c r="C103" i="10"/>
  <c r="G103" i="10" s="1"/>
  <c r="P102" i="10"/>
  <c r="N102" i="10"/>
  <c r="J102" i="10"/>
  <c r="C102" i="10"/>
  <c r="G102" i="10" s="1"/>
  <c r="P101" i="10"/>
  <c r="N101" i="10"/>
  <c r="J101" i="10"/>
  <c r="C101" i="10"/>
  <c r="G101" i="10" s="1"/>
  <c r="P100" i="10"/>
  <c r="N100" i="10"/>
  <c r="J100" i="10"/>
  <c r="C100" i="10"/>
  <c r="G100" i="10" s="1"/>
  <c r="P99" i="10"/>
  <c r="N99" i="10"/>
  <c r="J99" i="10"/>
  <c r="C99" i="10"/>
  <c r="G99" i="10" s="1"/>
  <c r="P98" i="10"/>
  <c r="N98" i="10"/>
  <c r="J98" i="10"/>
  <c r="C98" i="10"/>
  <c r="G98" i="10" s="1"/>
  <c r="P97" i="10"/>
  <c r="N97" i="10"/>
  <c r="J97" i="10"/>
  <c r="C97" i="10"/>
  <c r="G97" i="10" s="1"/>
  <c r="P96" i="10"/>
  <c r="N96" i="10"/>
  <c r="J96" i="10"/>
  <c r="G96" i="10"/>
  <c r="C96" i="10"/>
  <c r="P95" i="10"/>
  <c r="N95" i="10"/>
  <c r="J95" i="10"/>
  <c r="C95" i="10"/>
  <c r="G95" i="10" s="1"/>
  <c r="A95" i="10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P94" i="10"/>
  <c r="N94" i="10"/>
  <c r="J94" i="10"/>
  <c r="C94" i="10"/>
  <c r="G94" i="10" s="1"/>
  <c r="P93" i="10"/>
  <c r="N93" i="10"/>
  <c r="J93" i="10"/>
  <c r="C93" i="10"/>
  <c r="G93" i="10" s="1"/>
  <c r="P92" i="10"/>
  <c r="N92" i="10"/>
  <c r="J92" i="10"/>
  <c r="C92" i="10"/>
  <c r="G92" i="10" s="1"/>
  <c r="O91" i="10"/>
  <c r="O12" i="10" s="1"/>
  <c r="M91" i="10"/>
  <c r="L91" i="10"/>
  <c r="K91" i="10"/>
  <c r="N91" i="10" s="1"/>
  <c r="I91" i="10"/>
  <c r="H91" i="10"/>
  <c r="F91" i="10"/>
  <c r="F12" i="10" s="1"/>
  <c r="E91" i="10"/>
  <c r="D91" i="10"/>
  <c r="O90" i="10"/>
  <c r="P90" i="10" s="1"/>
  <c r="M90" i="10"/>
  <c r="N90" i="10" s="1"/>
  <c r="I90" i="10"/>
  <c r="J90" i="10" s="1"/>
  <c r="F90" i="10"/>
  <c r="C90" i="10"/>
  <c r="O89" i="10"/>
  <c r="P89" i="10" s="1"/>
  <c r="M89" i="10"/>
  <c r="N89" i="10" s="1"/>
  <c r="I89" i="10"/>
  <c r="J89" i="10" s="1"/>
  <c r="F89" i="10"/>
  <c r="G89" i="10" s="1"/>
  <c r="C89" i="10"/>
  <c r="O88" i="10"/>
  <c r="P88" i="10" s="1"/>
  <c r="M88" i="10"/>
  <c r="N88" i="10" s="1"/>
  <c r="I88" i="10"/>
  <c r="J88" i="10" s="1"/>
  <c r="F88" i="10"/>
  <c r="C88" i="10"/>
  <c r="O87" i="10"/>
  <c r="P87" i="10" s="1"/>
  <c r="M87" i="10"/>
  <c r="N87" i="10" s="1"/>
  <c r="I87" i="10"/>
  <c r="J87" i="10" s="1"/>
  <c r="F87" i="10"/>
  <c r="C87" i="10"/>
  <c r="O86" i="10"/>
  <c r="P86" i="10" s="1"/>
  <c r="M86" i="10"/>
  <c r="N86" i="10" s="1"/>
  <c r="I86" i="10"/>
  <c r="J86" i="10" s="1"/>
  <c r="F86" i="10"/>
  <c r="C86" i="10"/>
  <c r="O85" i="10"/>
  <c r="P85" i="10" s="1"/>
  <c r="M85" i="10"/>
  <c r="N85" i="10" s="1"/>
  <c r="I85" i="10"/>
  <c r="J85" i="10" s="1"/>
  <c r="F85" i="10"/>
  <c r="C85" i="10"/>
  <c r="O84" i="10"/>
  <c r="P84" i="10" s="1"/>
  <c r="M84" i="10"/>
  <c r="N84" i="10" s="1"/>
  <c r="I84" i="10"/>
  <c r="J84" i="10" s="1"/>
  <c r="F84" i="10"/>
  <c r="G84" i="10" s="1"/>
  <c r="C84" i="10"/>
  <c r="O83" i="10"/>
  <c r="P83" i="10" s="1"/>
  <c r="M83" i="10"/>
  <c r="N83" i="10" s="1"/>
  <c r="I83" i="10"/>
  <c r="J83" i="10" s="1"/>
  <c r="F83" i="10"/>
  <c r="C83" i="10"/>
  <c r="O82" i="10"/>
  <c r="P82" i="10" s="1"/>
  <c r="M82" i="10"/>
  <c r="N82" i="10" s="1"/>
  <c r="I82" i="10"/>
  <c r="J82" i="10" s="1"/>
  <c r="F82" i="10"/>
  <c r="C82" i="10"/>
  <c r="O81" i="10"/>
  <c r="P81" i="10" s="1"/>
  <c r="M81" i="10"/>
  <c r="N81" i="10" s="1"/>
  <c r="I81" i="10"/>
  <c r="J81" i="10" s="1"/>
  <c r="F81" i="10"/>
  <c r="G81" i="10" s="1"/>
  <c r="C81" i="10"/>
  <c r="O80" i="10"/>
  <c r="P80" i="10" s="1"/>
  <c r="M80" i="10"/>
  <c r="N80" i="10" s="1"/>
  <c r="I80" i="10"/>
  <c r="J80" i="10" s="1"/>
  <c r="F80" i="10"/>
  <c r="G80" i="10" s="1"/>
  <c r="C80" i="10"/>
  <c r="O79" i="10"/>
  <c r="P79" i="10" s="1"/>
  <c r="M79" i="10"/>
  <c r="N79" i="10" s="1"/>
  <c r="I79" i="10"/>
  <c r="J79" i="10" s="1"/>
  <c r="F79" i="10"/>
  <c r="C79" i="10"/>
  <c r="O78" i="10"/>
  <c r="P78" i="10" s="1"/>
  <c r="M78" i="10"/>
  <c r="N78" i="10" s="1"/>
  <c r="I78" i="10"/>
  <c r="J78" i="10" s="1"/>
  <c r="F78" i="10"/>
  <c r="C78" i="10"/>
  <c r="O77" i="10"/>
  <c r="P77" i="10" s="1"/>
  <c r="M77" i="10"/>
  <c r="I77" i="10"/>
  <c r="J77" i="10" s="1"/>
  <c r="F77" i="10"/>
  <c r="G77" i="10" s="1"/>
  <c r="C77" i="10"/>
  <c r="L76" i="10"/>
  <c r="K76" i="10"/>
  <c r="K10" i="10" s="1"/>
  <c r="H76" i="10"/>
  <c r="H10" i="10" s="1"/>
  <c r="E76" i="10"/>
  <c r="D76" i="10"/>
  <c r="P75" i="10"/>
  <c r="O75" i="10"/>
  <c r="N75" i="10"/>
  <c r="M75" i="10"/>
  <c r="J75" i="10"/>
  <c r="I75" i="10"/>
  <c r="F75" i="10"/>
  <c r="C75" i="10"/>
  <c r="G75" i="10" s="1"/>
  <c r="O74" i="10"/>
  <c r="P74" i="10" s="1"/>
  <c r="M74" i="10"/>
  <c r="N74" i="10" s="1"/>
  <c r="I74" i="10"/>
  <c r="J74" i="10" s="1"/>
  <c r="F74" i="10"/>
  <c r="C74" i="10"/>
  <c r="P73" i="10"/>
  <c r="O73" i="10"/>
  <c r="N73" i="10"/>
  <c r="M73" i="10"/>
  <c r="J73" i="10"/>
  <c r="I73" i="10"/>
  <c r="F73" i="10"/>
  <c r="C73" i="10"/>
  <c r="G73" i="10" s="1"/>
  <c r="O72" i="10"/>
  <c r="P72" i="10" s="1"/>
  <c r="M72" i="10"/>
  <c r="N72" i="10" s="1"/>
  <c r="I72" i="10"/>
  <c r="J72" i="10" s="1"/>
  <c r="F72" i="10"/>
  <c r="C72" i="10"/>
  <c r="O71" i="10"/>
  <c r="P71" i="10" s="1"/>
  <c r="M71" i="10"/>
  <c r="N71" i="10" s="1"/>
  <c r="I71" i="10"/>
  <c r="J71" i="10" s="1"/>
  <c r="F71" i="10"/>
  <c r="C71" i="10"/>
  <c r="O70" i="10"/>
  <c r="P70" i="10" s="1"/>
  <c r="M70" i="10"/>
  <c r="N70" i="10" s="1"/>
  <c r="I70" i="10"/>
  <c r="J70" i="10" s="1"/>
  <c r="F70" i="10"/>
  <c r="C70" i="10"/>
  <c r="O69" i="10"/>
  <c r="P69" i="10" s="1"/>
  <c r="M69" i="10"/>
  <c r="N69" i="10" s="1"/>
  <c r="I69" i="10"/>
  <c r="J69" i="10" s="1"/>
  <c r="F69" i="10"/>
  <c r="C69" i="10"/>
  <c r="O68" i="10"/>
  <c r="P68" i="10" s="1"/>
  <c r="M68" i="10"/>
  <c r="N68" i="10" s="1"/>
  <c r="I68" i="10"/>
  <c r="J68" i="10" s="1"/>
  <c r="F68" i="10"/>
  <c r="C68" i="10"/>
  <c r="O67" i="10"/>
  <c r="P67" i="10" s="1"/>
  <c r="M67" i="10"/>
  <c r="N67" i="10" s="1"/>
  <c r="I67" i="10"/>
  <c r="J67" i="10" s="1"/>
  <c r="F67" i="10"/>
  <c r="C67" i="10"/>
  <c r="P66" i="10"/>
  <c r="O66" i="10"/>
  <c r="N66" i="10"/>
  <c r="M66" i="10"/>
  <c r="J66" i="10"/>
  <c r="I66" i="10"/>
  <c r="G66" i="10"/>
  <c r="F66" i="10"/>
  <c r="C66" i="10"/>
  <c r="O65" i="10"/>
  <c r="P65" i="10" s="1"/>
  <c r="M65" i="10"/>
  <c r="N65" i="10" s="1"/>
  <c r="I65" i="10"/>
  <c r="J65" i="10" s="1"/>
  <c r="F65" i="10"/>
  <c r="C65" i="10"/>
  <c r="O64" i="10"/>
  <c r="P64" i="10" s="1"/>
  <c r="M64" i="10"/>
  <c r="N64" i="10" s="1"/>
  <c r="I64" i="10"/>
  <c r="J64" i="10" s="1"/>
  <c r="F64" i="10"/>
  <c r="C64" i="10"/>
  <c r="O63" i="10"/>
  <c r="P63" i="10" s="1"/>
  <c r="M63" i="10"/>
  <c r="N63" i="10" s="1"/>
  <c r="I63" i="10"/>
  <c r="J63" i="10" s="1"/>
  <c r="F63" i="10"/>
  <c r="C63" i="10"/>
  <c r="P62" i="10"/>
  <c r="O62" i="10"/>
  <c r="N62" i="10"/>
  <c r="M62" i="10"/>
  <c r="J62" i="10"/>
  <c r="I62" i="10"/>
  <c r="G62" i="10"/>
  <c r="F62" i="10"/>
  <c r="C62" i="10"/>
  <c r="O61" i="10"/>
  <c r="P61" i="10" s="1"/>
  <c r="M61" i="10"/>
  <c r="N61" i="10" s="1"/>
  <c r="I61" i="10"/>
  <c r="J61" i="10" s="1"/>
  <c r="F61" i="10"/>
  <c r="C61" i="10"/>
  <c r="O60" i="10"/>
  <c r="P60" i="10" s="1"/>
  <c r="M60" i="10"/>
  <c r="N60" i="10" s="1"/>
  <c r="I60" i="10"/>
  <c r="J60" i="10" s="1"/>
  <c r="F60" i="10"/>
  <c r="C60" i="10"/>
  <c r="O59" i="10"/>
  <c r="P59" i="10" s="1"/>
  <c r="M59" i="10"/>
  <c r="N59" i="10" s="1"/>
  <c r="I59" i="10"/>
  <c r="J59" i="10" s="1"/>
  <c r="F59" i="10"/>
  <c r="C59" i="10"/>
  <c r="O58" i="10"/>
  <c r="P58" i="10" s="1"/>
  <c r="M58" i="10"/>
  <c r="N58" i="10" s="1"/>
  <c r="I58" i="10"/>
  <c r="J58" i="10" s="1"/>
  <c r="F58" i="10"/>
  <c r="C58" i="10"/>
  <c r="O57" i="10"/>
  <c r="P57" i="10" s="1"/>
  <c r="M57" i="10"/>
  <c r="N57" i="10" s="1"/>
  <c r="I57" i="10"/>
  <c r="J57" i="10" s="1"/>
  <c r="F57" i="10"/>
  <c r="C57" i="10"/>
  <c r="O56" i="10"/>
  <c r="M56" i="10"/>
  <c r="I56" i="10"/>
  <c r="J56" i="10" s="1"/>
  <c r="F56" i="10"/>
  <c r="C56" i="10"/>
  <c r="O55" i="10"/>
  <c r="P55" i="10" s="1"/>
  <c r="M55" i="10"/>
  <c r="N55" i="10" s="1"/>
  <c r="I55" i="10"/>
  <c r="F55" i="10"/>
  <c r="C55" i="10"/>
  <c r="L54" i="10"/>
  <c r="K54" i="10"/>
  <c r="H54" i="10"/>
  <c r="E54" i="10"/>
  <c r="D54" i="10"/>
  <c r="O53" i="10"/>
  <c r="P53" i="10" s="1"/>
  <c r="M53" i="10"/>
  <c r="N53" i="10" s="1"/>
  <c r="I53" i="10"/>
  <c r="J53" i="10" s="1"/>
  <c r="F53" i="10"/>
  <c r="C53" i="10"/>
  <c r="O52" i="10"/>
  <c r="P52" i="10" s="1"/>
  <c r="M52" i="10"/>
  <c r="N52" i="10" s="1"/>
  <c r="I52" i="10"/>
  <c r="J52" i="10" s="1"/>
  <c r="F52" i="10"/>
  <c r="C52" i="10"/>
  <c r="O51" i="10"/>
  <c r="P51" i="10" s="1"/>
  <c r="M51" i="10"/>
  <c r="N51" i="10" s="1"/>
  <c r="I51" i="10"/>
  <c r="J51" i="10" s="1"/>
  <c r="F51" i="10"/>
  <c r="G51" i="10" s="1"/>
  <c r="C51" i="10"/>
  <c r="O50" i="10"/>
  <c r="P50" i="10" s="1"/>
  <c r="M50" i="10"/>
  <c r="N50" i="10" s="1"/>
  <c r="I50" i="10"/>
  <c r="J50" i="10" s="1"/>
  <c r="F50" i="10"/>
  <c r="C50" i="10"/>
  <c r="O49" i="10"/>
  <c r="P49" i="10" s="1"/>
  <c r="M49" i="10"/>
  <c r="N49" i="10" s="1"/>
  <c r="I49" i="10"/>
  <c r="J49" i="10" s="1"/>
  <c r="F49" i="10"/>
  <c r="C49" i="10"/>
  <c r="O48" i="10"/>
  <c r="P48" i="10" s="1"/>
  <c r="M48" i="10"/>
  <c r="N48" i="10" s="1"/>
  <c r="I48" i="10"/>
  <c r="J48" i="10" s="1"/>
  <c r="F48" i="10"/>
  <c r="C48" i="10"/>
  <c r="O47" i="10"/>
  <c r="P47" i="10" s="1"/>
  <c r="M47" i="10"/>
  <c r="N47" i="10" s="1"/>
  <c r="I47" i="10"/>
  <c r="J47" i="10" s="1"/>
  <c r="F47" i="10"/>
  <c r="C47" i="10"/>
  <c r="O46" i="10"/>
  <c r="P46" i="10" s="1"/>
  <c r="M46" i="10"/>
  <c r="N46" i="10" s="1"/>
  <c r="I46" i="10"/>
  <c r="J46" i="10" s="1"/>
  <c r="F46" i="10"/>
  <c r="C46" i="10"/>
  <c r="O45" i="10"/>
  <c r="P45" i="10" s="1"/>
  <c r="M45" i="10"/>
  <c r="N45" i="10" s="1"/>
  <c r="I45" i="10"/>
  <c r="J45" i="10" s="1"/>
  <c r="F45" i="10"/>
  <c r="C45" i="10"/>
  <c r="O44" i="10"/>
  <c r="P44" i="10" s="1"/>
  <c r="M44" i="10"/>
  <c r="N44" i="10" s="1"/>
  <c r="I44" i="10"/>
  <c r="J44" i="10" s="1"/>
  <c r="F44" i="10"/>
  <c r="C44" i="10"/>
  <c r="O43" i="10"/>
  <c r="P43" i="10" s="1"/>
  <c r="M43" i="10"/>
  <c r="N43" i="10" s="1"/>
  <c r="I43" i="10"/>
  <c r="J43" i="10" s="1"/>
  <c r="F43" i="10"/>
  <c r="G43" i="10" s="1"/>
  <c r="C43" i="10"/>
  <c r="O42" i="10"/>
  <c r="P42" i="10" s="1"/>
  <c r="M42" i="10"/>
  <c r="N42" i="10" s="1"/>
  <c r="I42" i="10"/>
  <c r="J42" i="10" s="1"/>
  <c r="F42" i="10"/>
  <c r="C42" i="10"/>
  <c r="O41" i="10"/>
  <c r="P41" i="10" s="1"/>
  <c r="M41" i="10"/>
  <c r="N41" i="10" s="1"/>
  <c r="I41" i="10"/>
  <c r="J41" i="10" s="1"/>
  <c r="F41" i="10"/>
  <c r="C41" i="10"/>
  <c r="O40" i="10"/>
  <c r="P40" i="10" s="1"/>
  <c r="M40" i="10"/>
  <c r="N40" i="10" s="1"/>
  <c r="I40" i="10"/>
  <c r="J40" i="10" s="1"/>
  <c r="F40" i="10"/>
  <c r="C40" i="10"/>
  <c r="O39" i="10"/>
  <c r="P39" i="10" s="1"/>
  <c r="M39" i="10"/>
  <c r="N39" i="10" s="1"/>
  <c r="I39" i="10"/>
  <c r="J39" i="10" s="1"/>
  <c r="F39" i="10"/>
  <c r="G39" i="10" s="1"/>
  <c r="C39" i="10"/>
  <c r="O38" i="10"/>
  <c r="P38" i="10" s="1"/>
  <c r="M38" i="10"/>
  <c r="N38" i="10" s="1"/>
  <c r="I38" i="10"/>
  <c r="J38" i="10" s="1"/>
  <c r="F38" i="10"/>
  <c r="C38" i="10"/>
  <c r="O37" i="10"/>
  <c r="P37" i="10" s="1"/>
  <c r="M37" i="10"/>
  <c r="N37" i="10" s="1"/>
  <c r="I37" i="10"/>
  <c r="J37" i="10" s="1"/>
  <c r="F37" i="10"/>
  <c r="C37" i="10"/>
  <c r="O36" i="10"/>
  <c r="P36" i="10" s="1"/>
  <c r="M36" i="10"/>
  <c r="N36" i="10" s="1"/>
  <c r="I36" i="10"/>
  <c r="J36" i="10" s="1"/>
  <c r="F36" i="10"/>
  <c r="C36" i="10"/>
  <c r="O35" i="10"/>
  <c r="P35" i="10" s="1"/>
  <c r="M35" i="10"/>
  <c r="N35" i="10" s="1"/>
  <c r="I35" i="10"/>
  <c r="J35" i="10" s="1"/>
  <c r="F35" i="10"/>
  <c r="C35" i="10"/>
  <c r="O34" i="10"/>
  <c r="P34" i="10" s="1"/>
  <c r="M34" i="10"/>
  <c r="N34" i="10" s="1"/>
  <c r="I34" i="10"/>
  <c r="J34" i="10" s="1"/>
  <c r="F34" i="10"/>
  <c r="C34" i="10"/>
  <c r="L33" i="10"/>
  <c r="K33" i="10"/>
  <c r="H33" i="10"/>
  <c r="E33" i="10"/>
  <c r="D33" i="10"/>
  <c r="O32" i="10"/>
  <c r="P32" i="10" s="1"/>
  <c r="M32" i="10"/>
  <c r="N32" i="10" s="1"/>
  <c r="I32" i="10"/>
  <c r="J32" i="10" s="1"/>
  <c r="F32" i="10"/>
  <c r="C32" i="10"/>
  <c r="O31" i="10"/>
  <c r="P31" i="10" s="1"/>
  <c r="M31" i="10"/>
  <c r="N31" i="10" s="1"/>
  <c r="I31" i="10"/>
  <c r="J31" i="10" s="1"/>
  <c r="F31" i="10"/>
  <c r="C31" i="10"/>
  <c r="O30" i="10"/>
  <c r="P30" i="10" s="1"/>
  <c r="M30" i="10"/>
  <c r="N30" i="10" s="1"/>
  <c r="I30" i="10"/>
  <c r="J30" i="10" s="1"/>
  <c r="F30" i="10"/>
  <c r="C30" i="10"/>
  <c r="O29" i="10"/>
  <c r="P29" i="10" s="1"/>
  <c r="M29" i="10"/>
  <c r="N29" i="10" s="1"/>
  <c r="I29" i="10"/>
  <c r="J29" i="10" s="1"/>
  <c r="F29" i="10"/>
  <c r="C29" i="10"/>
  <c r="O28" i="10"/>
  <c r="P28" i="10" s="1"/>
  <c r="M28" i="10"/>
  <c r="N28" i="10" s="1"/>
  <c r="I28" i="10"/>
  <c r="J28" i="10" s="1"/>
  <c r="F28" i="10"/>
  <c r="G28" i="10" s="1"/>
  <c r="C28" i="10"/>
  <c r="O27" i="10"/>
  <c r="P27" i="10" s="1"/>
  <c r="M27" i="10"/>
  <c r="N27" i="10" s="1"/>
  <c r="I27" i="10"/>
  <c r="J27" i="10" s="1"/>
  <c r="F27" i="10"/>
  <c r="C27" i="10"/>
  <c r="O26" i="10"/>
  <c r="P26" i="10" s="1"/>
  <c r="M26" i="10"/>
  <c r="N26" i="10" s="1"/>
  <c r="I26" i="10"/>
  <c r="J26" i="10" s="1"/>
  <c r="F26" i="10"/>
  <c r="C26" i="10"/>
  <c r="O25" i="10"/>
  <c r="P25" i="10" s="1"/>
  <c r="M25" i="10"/>
  <c r="N25" i="10" s="1"/>
  <c r="I25" i="10"/>
  <c r="J25" i="10" s="1"/>
  <c r="F25" i="10"/>
  <c r="C25" i="10"/>
  <c r="O24" i="10"/>
  <c r="P24" i="10" s="1"/>
  <c r="M24" i="10"/>
  <c r="N24" i="10" s="1"/>
  <c r="I24" i="10"/>
  <c r="J24" i="10" s="1"/>
  <c r="F24" i="10"/>
  <c r="G24" i="10" s="1"/>
  <c r="C24" i="10"/>
  <c r="O23" i="10"/>
  <c r="P23" i="10" s="1"/>
  <c r="M23" i="10"/>
  <c r="N23" i="10" s="1"/>
  <c r="I23" i="10"/>
  <c r="J23" i="10" s="1"/>
  <c r="F23" i="10"/>
  <c r="C23" i="10"/>
  <c r="O22" i="10"/>
  <c r="P22" i="10" s="1"/>
  <c r="M22" i="10"/>
  <c r="N22" i="10" s="1"/>
  <c r="I22" i="10"/>
  <c r="J22" i="10" s="1"/>
  <c r="F22" i="10"/>
  <c r="C22" i="10"/>
  <c r="O21" i="10"/>
  <c r="P21" i="10" s="1"/>
  <c r="M21" i="10"/>
  <c r="N21" i="10" s="1"/>
  <c r="I21" i="10"/>
  <c r="J21" i="10" s="1"/>
  <c r="F21" i="10"/>
  <c r="C21" i="10"/>
  <c r="O20" i="10"/>
  <c r="P20" i="10" s="1"/>
  <c r="M20" i="10"/>
  <c r="N20" i="10" s="1"/>
  <c r="I20" i="10"/>
  <c r="J20" i="10" s="1"/>
  <c r="F20" i="10"/>
  <c r="G20" i="10" s="1"/>
  <c r="C20" i="10"/>
  <c r="O19" i="10"/>
  <c r="P19" i="10" s="1"/>
  <c r="M19" i="10"/>
  <c r="N19" i="10" s="1"/>
  <c r="I19" i="10"/>
  <c r="J19" i="10" s="1"/>
  <c r="F19" i="10"/>
  <c r="C19" i="10"/>
  <c r="O18" i="10"/>
  <c r="M18" i="10"/>
  <c r="N18" i="10" s="1"/>
  <c r="I18" i="10"/>
  <c r="F18" i="10"/>
  <c r="C18" i="10"/>
  <c r="O17" i="10"/>
  <c r="P17" i="10" s="1"/>
  <c r="M17" i="10"/>
  <c r="N17" i="10" s="1"/>
  <c r="I17" i="10"/>
  <c r="J17" i="10" s="1"/>
  <c r="F17" i="10"/>
  <c r="C17" i="10"/>
  <c r="O16" i="10"/>
  <c r="P16" i="10" s="1"/>
  <c r="M16" i="10"/>
  <c r="I16" i="10"/>
  <c r="J16" i="10" s="1"/>
  <c r="F16" i="10"/>
  <c r="C16" i="10"/>
  <c r="L15" i="10"/>
  <c r="K15" i="10"/>
  <c r="H15" i="10"/>
  <c r="E15" i="10"/>
  <c r="D15" i="10"/>
  <c r="P14" i="10"/>
  <c r="N14" i="10"/>
  <c r="J14" i="10"/>
  <c r="G14" i="10"/>
  <c r="P13" i="10"/>
  <c r="L13" i="10"/>
  <c r="K13" i="10"/>
  <c r="N13" i="10" s="1"/>
  <c r="F13" i="10"/>
  <c r="E13" i="10"/>
  <c r="E11" i="10" s="1"/>
  <c r="M12" i="10"/>
  <c r="I12" i="10"/>
  <c r="I11" i="10" s="1"/>
  <c r="E12" i="10"/>
  <c r="D12" i="10"/>
  <c r="D11" i="10" s="1"/>
  <c r="U114" i="8"/>
  <c r="R114" i="8"/>
  <c r="O114" i="8"/>
  <c r="L114" i="8"/>
  <c r="C114" i="8"/>
  <c r="G114" i="8" s="1"/>
  <c r="U113" i="8"/>
  <c r="R113" i="8"/>
  <c r="O113" i="8"/>
  <c r="L113" i="8"/>
  <c r="C113" i="8"/>
  <c r="G113" i="8" s="1"/>
  <c r="U112" i="8"/>
  <c r="R112" i="8"/>
  <c r="O112" i="8"/>
  <c r="L112" i="8"/>
  <c r="C112" i="8"/>
  <c r="G112" i="8" s="1"/>
  <c r="U111" i="8"/>
  <c r="R111" i="8"/>
  <c r="O111" i="8"/>
  <c r="L111" i="8"/>
  <c r="C111" i="8"/>
  <c r="G111" i="8" s="1"/>
  <c r="A111" i="8"/>
  <c r="A112" i="8" s="1"/>
  <c r="U110" i="8"/>
  <c r="R110" i="8"/>
  <c r="O110" i="8"/>
  <c r="L110" i="8"/>
  <c r="C110" i="8"/>
  <c r="G110" i="8" s="1"/>
  <c r="A110" i="8"/>
  <c r="U109" i="8"/>
  <c r="R109" i="8"/>
  <c r="O109" i="8"/>
  <c r="L109" i="8"/>
  <c r="C109" i="8"/>
  <c r="U108" i="8"/>
  <c r="R108" i="8"/>
  <c r="O108" i="8"/>
  <c r="L108" i="8"/>
  <c r="C108" i="8"/>
  <c r="G108" i="8" s="1"/>
  <c r="U107" i="8"/>
  <c r="R107" i="8"/>
  <c r="O107" i="8"/>
  <c r="L107" i="8"/>
  <c r="C107" i="8"/>
  <c r="G107" i="8" s="1"/>
  <c r="T106" i="8"/>
  <c r="S106" i="8"/>
  <c r="S13" i="8" s="1"/>
  <c r="Q106" i="8"/>
  <c r="Q13" i="8" s="1"/>
  <c r="P106" i="8"/>
  <c r="N106" i="8"/>
  <c r="N13" i="8" s="1"/>
  <c r="M106" i="8"/>
  <c r="K106" i="8"/>
  <c r="K13" i="8" s="1"/>
  <c r="J106" i="8"/>
  <c r="I106" i="8"/>
  <c r="L106" i="8" s="1"/>
  <c r="H106" i="8"/>
  <c r="U106" i="8" s="1"/>
  <c r="F106" i="8"/>
  <c r="F13" i="8" s="1"/>
  <c r="E106" i="8"/>
  <c r="D106" i="8"/>
  <c r="D13" i="8" s="1"/>
  <c r="U105" i="8"/>
  <c r="R105" i="8"/>
  <c r="O105" i="8"/>
  <c r="L105" i="8"/>
  <c r="F105" i="8"/>
  <c r="C105" i="8"/>
  <c r="G105" i="8" s="1"/>
  <c r="U104" i="8"/>
  <c r="R104" i="8"/>
  <c r="O104" i="8"/>
  <c r="L104" i="8"/>
  <c r="F104" i="8"/>
  <c r="C104" i="8"/>
  <c r="G104" i="8" s="1"/>
  <c r="U103" i="8"/>
  <c r="R103" i="8"/>
  <c r="O103" i="8"/>
  <c r="L103" i="8"/>
  <c r="F103" i="8"/>
  <c r="C103" i="8"/>
  <c r="U102" i="8"/>
  <c r="R102" i="8"/>
  <c r="O102" i="8"/>
  <c r="L102" i="8"/>
  <c r="F102" i="8"/>
  <c r="C102" i="8"/>
  <c r="U101" i="8"/>
  <c r="R101" i="8"/>
  <c r="O101" i="8"/>
  <c r="L101" i="8"/>
  <c r="F101" i="8"/>
  <c r="C101" i="8"/>
  <c r="U100" i="8"/>
  <c r="R100" i="8"/>
  <c r="O100" i="8"/>
  <c r="L100" i="8"/>
  <c r="F100" i="8"/>
  <c r="C100" i="8"/>
  <c r="U99" i="8"/>
  <c r="R99" i="8"/>
  <c r="O99" i="8"/>
  <c r="L99" i="8"/>
  <c r="F99" i="8"/>
  <c r="C99" i="8"/>
  <c r="U98" i="8"/>
  <c r="R98" i="8"/>
  <c r="O98" i="8"/>
  <c r="L98" i="8"/>
  <c r="F98" i="8"/>
  <c r="C98" i="8"/>
  <c r="G98" i="8" s="1"/>
  <c r="U97" i="8"/>
  <c r="R97" i="8"/>
  <c r="O97" i="8"/>
  <c r="L97" i="8"/>
  <c r="F97" i="8"/>
  <c r="C97" i="8"/>
  <c r="U96" i="8"/>
  <c r="R96" i="8"/>
  <c r="O96" i="8"/>
  <c r="L96" i="8"/>
  <c r="F96" i="8"/>
  <c r="C96" i="8"/>
  <c r="U95" i="8"/>
  <c r="R95" i="8"/>
  <c r="O95" i="8"/>
  <c r="L95" i="8"/>
  <c r="F95" i="8"/>
  <c r="C95" i="8"/>
  <c r="A95" i="8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U94" i="8"/>
  <c r="R94" i="8"/>
  <c r="O94" i="8"/>
  <c r="L94" i="8"/>
  <c r="F94" i="8"/>
  <c r="G94" i="8" s="1"/>
  <c r="C94" i="8"/>
  <c r="U93" i="8"/>
  <c r="R93" i="8"/>
  <c r="O93" i="8"/>
  <c r="L93" i="8"/>
  <c r="F93" i="8"/>
  <c r="C93" i="8"/>
  <c r="G93" i="8" s="1"/>
  <c r="U92" i="8"/>
  <c r="R92" i="8"/>
  <c r="O92" i="8"/>
  <c r="L92" i="8"/>
  <c r="F92" i="8"/>
  <c r="C92" i="8"/>
  <c r="T91" i="8"/>
  <c r="S91" i="8"/>
  <c r="S12" i="8" s="1"/>
  <c r="Q91" i="8"/>
  <c r="Q12" i="8" s="1"/>
  <c r="P91" i="8"/>
  <c r="P12" i="8" s="1"/>
  <c r="N91" i="8"/>
  <c r="N12" i="8" s="1"/>
  <c r="M91" i="8"/>
  <c r="K91" i="8"/>
  <c r="K12" i="8" s="1"/>
  <c r="J91" i="8"/>
  <c r="J12" i="8" s="1"/>
  <c r="I91" i="8"/>
  <c r="L91" i="8" s="1"/>
  <c r="H91" i="8"/>
  <c r="E91" i="8"/>
  <c r="D91" i="8"/>
  <c r="T90" i="8"/>
  <c r="S90" i="8"/>
  <c r="U90" i="8" s="1"/>
  <c r="Q90" i="8"/>
  <c r="P90" i="8"/>
  <c r="R90" i="8" s="1"/>
  <c r="N90" i="8"/>
  <c r="M90" i="8"/>
  <c r="O90" i="8" s="1"/>
  <c r="K90" i="8"/>
  <c r="L90" i="8" s="1"/>
  <c r="J90" i="8"/>
  <c r="F90" i="8"/>
  <c r="C90" i="8"/>
  <c r="T89" i="8"/>
  <c r="S89" i="8"/>
  <c r="U89" i="8" s="1"/>
  <c r="Q89" i="8"/>
  <c r="P89" i="8"/>
  <c r="R89" i="8" s="1"/>
  <c r="N89" i="8"/>
  <c r="M89" i="8"/>
  <c r="O89" i="8" s="1"/>
  <c r="K89" i="8"/>
  <c r="L89" i="8" s="1"/>
  <c r="J89" i="8"/>
  <c r="F89" i="8"/>
  <c r="G89" i="8" s="1"/>
  <c r="C89" i="8"/>
  <c r="T88" i="8"/>
  <c r="S88" i="8"/>
  <c r="U88" i="8" s="1"/>
  <c r="Q88" i="8"/>
  <c r="P88" i="8"/>
  <c r="R88" i="8" s="1"/>
  <c r="N88" i="8"/>
  <c r="M88" i="8"/>
  <c r="O88" i="8" s="1"/>
  <c r="K88" i="8"/>
  <c r="L88" i="8" s="1"/>
  <c r="J88" i="8"/>
  <c r="F88" i="8"/>
  <c r="C88" i="8"/>
  <c r="T87" i="8"/>
  <c r="S87" i="8"/>
  <c r="U87" i="8" s="1"/>
  <c r="Q87" i="8"/>
  <c r="P87" i="8"/>
  <c r="R87" i="8" s="1"/>
  <c r="N87" i="8"/>
  <c r="M87" i="8"/>
  <c r="O87" i="8" s="1"/>
  <c r="K87" i="8"/>
  <c r="L87" i="8" s="1"/>
  <c r="J87" i="8"/>
  <c r="F87" i="8"/>
  <c r="C87" i="8"/>
  <c r="T86" i="8"/>
  <c r="S86" i="8"/>
  <c r="U86" i="8" s="1"/>
  <c r="Q86" i="8"/>
  <c r="P86" i="8"/>
  <c r="R86" i="8" s="1"/>
  <c r="N86" i="8"/>
  <c r="M86" i="8"/>
  <c r="O86" i="8" s="1"/>
  <c r="K86" i="8"/>
  <c r="L86" i="8" s="1"/>
  <c r="J86" i="8"/>
  <c r="F86" i="8"/>
  <c r="C86" i="8"/>
  <c r="T85" i="8"/>
  <c r="S85" i="8"/>
  <c r="U85" i="8" s="1"/>
  <c r="Q85" i="8"/>
  <c r="P85" i="8"/>
  <c r="R85" i="8" s="1"/>
  <c r="N85" i="8"/>
  <c r="M85" i="8"/>
  <c r="O85" i="8" s="1"/>
  <c r="K85" i="8"/>
  <c r="L85" i="8" s="1"/>
  <c r="J85" i="8"/>
  <c r="F85" i="8"/>
  <c r="G85" i="8" s="1"/>
  <c r="C85" i="8"/>
  <c r="T84" i="8"/>
  <c r="S84" i="8"/>
  <c r="U84" i="8" s="1"/>
  <c r="Q84" i="8"/>
  <c r="P84" i="8"/>
  <c r="R84" i="8" s="1"/>
  <c r="N84" i="8"/>
  <c r="M84" i="8"/>
  <c r="O84" i="8" s="1"/>
  <c r="K84" i="8"/>
  <c r="L84" i="8" s="1"/>
  <c r="J84" i="8"/>
  <c r="F84" i="8"/>
  <c r="C84" i="8"/>
  <c r="T83" i="8"/>
  <c r="S83" i="8"/>
  <c r="U83" i="8" s="1"/>
  <c r="Q83" i="8"/>
  <c r="P83" i="8"/>
  <c r="R83" i="8" s="1"/>
  <c r="N83" i="8"/>
  <c r="M83" i="8"/>
  <c r="O83" i="8" s="1"/>
  <c r="K83" i="8"/>
  <c r="J83" i="8"/>
  <c r="F83" i="8"/>
  <c r="C83" i="8"/>
  <c r="T82" i="8"/>
  <c r="S82" i="8"/>
  <c r="U82" i="8" s="1"/>
  <c r="Q82" i="8"/>
  <c r="P82" i="8"/>
  <c r="R82" i="8" s="1"/>
  <c r="N82" i="8"/>
  <c r="M82" i="8"/>
  <c r="O82" i="8" s="1"/>
  <c r="K82" i="8"/>
  <c r="L82" i="8" s="1"/>
  <c r="J82" i="8"/>
  <c r="F82" i="8"/>
  <c r="C82" i="8"/>
  <c r="T81" i="8"/>
  <c r="S81" i="8"/>
  <c r="U81" i="8" s="1"/>
  <c r="Q81" i="8"/>
  <c r="P81" i="8"/>
  <c r="R81" i="8" s="1"/>
  <c r="N81" i="8"/>
  <c r="M81" i="8"/>
  <c r="O81" i="8" s="1"/>
  <c r="K81" i="8"/>
  <c r="L81" i="8" s="1"/>
  <c r="J81" i="8"/>
  <c r="F81" i="8"/>
  <c r="C81" i="8"/>
  <c r="T80" i="8"/>
  <c r="S80" i="8"/>
  <c r="U80" i="8" s="1"/>
  <c r="Q80" i="8"/>
  <c r="P80" i="8"/>
  <c r="R80" i="8" s="1"/>
  <c r="N80" i="8"/>
  <c r="M80" i="8"/>
  <c r="O80" i="8" s="1"/>
  <c r="K80" i="8"/>
  <c r="L80" i="8" s="1"/>
  <c r="J80" i="8"/>
  <c r="F80" i="8"/>
  <c r="C80" i="8"/>
  <c r="T79" i="8"/>
  <c r="S79" i="8"/>
  <c r="U79" i="8" s="1"/>
  <c r="Q79" i="8"/>
  <c r="P79" i="8"/>
  <c r="R79" i="8" s="1"/>
  <c r="N79" i="8"/>
  <c r="M79" i="8"/>
  <c r="O79" i="8" s="1"/>
  <c r="K79" i="8"/>
  <c r="L79" i="8" s="1"/>
  <c r="J79" i="8"/>
  <c r="F79" i="8"/>
  <c r="C79" i="8"/>
  <c r="T78" i="8"/>
  <c r="S78" i="8"/>
  <c r="Q78" i="8"/>
  <c r="P78" i="8"/>
  <c r="R78" i="8" s="1"/>
  <c r="N78" i="8"/>
  <c r="M78" i="8"/>
  <c r="O78" i="8" s="1"/>
  <c r="K78" i="8"/>
  <c r="L78" i="8" s="1"/>
  <c r="J78" i="8"/>
  <c r="F78" i="8"/>
  <c r="C78" i="8"/>
  <c r="T77" i="8"/>
  <c r="S77" i="8"/>
  <c r="U77" i="8" s="1"/>
  <c r="Q77" i="8"/>
  <c r="P77" i="8"/>
  <c r="R77" i="8" s="1"/>
  <c r="N77" i="8"/>
  <c r="M77" i="8"/>
  <c r="K77" i="8"/>
  <c r="L77" i="8" s="1"/>
  <c r="J77" i="8"/>
  <c r="F77" i="8"/>
  <c r="G77" i="8" s="1"/>
  <c r="C77" i="8"/>
  <c r="I76" i="8"/>
  <c r="H76" i="8"/>
  <c r="E76" i="8"/>
  <c r="D76" i="8"/>
  <c r="U75" i="8"/>
  <c r="T75" i="8"/>
  <c r="S75" i="8"/>
  <c r="R75" i="8"/>
  <c r="Q75" i="8"/>
  <c r="P75" i="8"/>
  <c r="O75" i="8"/>
  <c r="N75" i="8"/>
  <c r="M75" i="8"/>
  <c r="L75" i="8"/>
  <c r="K75" i="8"/>
  <c r="J75" i="8"/>
  <c r="F75" i="8"/>
  <c r="C75" i="8"/>
  <c r="T74" i="8"/>
  <c r="S74" i="8"/>
  <c r="U74" i="8" s="1"/>
  <c r="Q74" i="8"/>
  <c r="P74" i="8"/>
  <c r="R74" i="8" s="1"/>
  <c r="N74" i="8"/>
  <c r="M74" i="8"/>
  <c r="O74" i="8" s="1"/>
  <c r="K74" i="8"/>
  <c r="L74" i="8" s="1"/>
  <c r="J74" i="8"/>
  <c r="F74" i="8"/>
  <c r="G74" i="8" s="1"/>
  <c r="C74" i="8"/>
  <c r="U73" i="8"/>
  <c r="T73" i="8"/>
  <c r="S73" i="8"/>
  <c r="R73" i="8"/>
  <c r="Q73" i="8"/>
  <c r="P73" i="8"/>
  <c r="O73" i="8"/>
  <c r="N73" i="8"/>
  <c r="M73" i="8"/>
  <c r="L73" i="8"/>
  <c r="K73" i="8"/>
  <c r="J73" i="8"/>
  <c r="F73" i="8"/>
  <c r="C73" i="8"/>
  <c r="T72" i="8"/>
  <c r="S72" i="8"/>
  <c r="U72" i="8" s="1"/>
  <c r="Q72" i="8"/>
  <c r="P72" i="8"/>
  <c r="R72" i="8" s="1"/>
  <c r="N72" i="8"/>
  <c r="M72" i="8"/>
  <c r="O72" i="8" s="1"/>
  <c r="K72" i="8"/>
  <c r="L72" i="8" s="1"/>
  <c r="J72" i="8"/>
  <c r="F72" i="8"/>
  <c r="C72" i="8"/>
  <c r="T71" i="8"/>
  <c r="S71" i="8"/>
  <c r="U71" i="8" s="1"/>
  <c r="Q71" i="8"/>
  <c r="P71" i="8"/>
  <c r="R71" i="8" s="1"/>
  <c r="N71" i="8"/>
  <c r="M71" i="8"/>
  <c r="O71" i="8" s="1"/>
  <c r="K71" i="8"/>
  <c r="L71" i="8" s="1"/>
  <c r="J71" i="8"/>
  <c r="F71" i="8"/>
  <c r="C71" i="8"/>
  <c r="T70" i="8"/>
  <c r="S70" i="8"/>
  <c r="U70" i="8" s="1"/>
  <c r="Q70" i="8"/>
  <c r="P70" i="8"/>
  <c r="R70" i="8" s="1"/>
  <c r="N70" i="8"/>
  <c r="M70" i="8"/>
  <c r="O70" i="8" s="1"/>
  <c r="K70" i="8"/>
  <c r="L70" i="8" s="1"/>
  <c r="J70" i="8"/>
  <c r="F70" i="8"/>
  <c r="C70" i="8"/>
  <c r="T69" i="8"/>
  <c r="S69" i="8"/>
  <c r="U69" i="8" s="1"/>
  <c r="Q69" i="8"/>
  <c r="P69" i="8"/>
  <c r="R69" i="8" s="1"/>
  <c r="N69" i="8"/>
  <c r="M69" i="8"/>
  <c r="O69" i="8" s="1"/>
  <c r="K69" i="8"/>
  <c r="L69" i="8" s="1"/>
  <c r="J69" i="8"/>
  <c r="F69" i="8"/>
  <c r="C69" i="8"/>
  <c r="T68" i="8"/>
  <c r="S68" i="8"/>
  <c r="U68" i="8" s="1"/>
  <c r="Q68" i="8"/>
  <c r="P68" i="8"/>
  <c r="R68" i="8" s="1"/>
  <c r="N68" i="8"/>
  <c r="M68" i="8"/>
  <c r="O68" i="8" s="1"/>
  <c r="K68" i="8"/>
  <c r="L68" i="8" s="1"/>
  <c r="J68" i="8"/>
  <c r="F68" i="8"/>
  <c r="C68" i="8"/>
  <c r="T67" i="8"/>
  <c r="S67" i="8"/>
  <c r="U67" i="8" s="1"/>
  <c r="Q67" i="8"/>
  <c r="P67" i="8"/>
  <c r="R67" i="8" s="1"/>
  <c r="N67" i="8"/>
  <c r="M67" i="8"/>
  <c r="O67" i="8" s="1"/>
  <c r="K67" i="8"/>
  <c r="L67" i="8" s="1"/>
  <c r="J67" i="8"/>
  <c r="F67" i="8"/>
  <c r="C67" i="8"/>
  <c r="U66" i="8"/>
  <c r="T66" i="8"/>
  <c r="S66" i="8"/>
  <c r="R66" i="8"/>
  <c r="Q66" i="8"/>
  <c r="P66" i="8"/>
  <c r="O66" i="8"/>
  <c r="N66" i="8"/>
  <c r="M66" i="8"/>
  <c r="L66" i="8"/>
  <c r="K66" i="8"/>
  <c r="J66" i="8"/>
  <c r="F66" i="8"/>
  <c r="C66" i="8"/>
  <c r="T65" i="8"/>
  <c r="S65" i="8"/>
  <c r="U65" i="8" s="1"/>
  <c r="Q65" i="8"/>
  <c r="P65" i="8"/>
  <c r="R65" i="8" s="1"/>
  <c r="N65" i="8"/>
  <c r="M65" i="8"/>
  <c r="O65" i="8" s="1"/>
  <c r="K65" i="8"/>
  <c r="L65" i="8" s="1"/>
  <c r="J65" i="8"/>
  <c r="F65" i="8"/>
  <c r="C65" i="8"/>
  <c r="T64" i="8"/>
  <c r="S64" i="8"/>
  <c r="U64" i="8" s="1"/>
  <c r="Q64" i="8"/>
  <c r="P64" i="8"/>
  <c r="R64" i="8" s="1"/>
  <c r="N64" i="8"/>
  <c r="M64" i="8"/>
  <c r="O64" i="8" s="1"/>
  <c r="K64" i="8"/>
  <c r="L64" i="8" s="1"/>
  <c r="J64" i="8"/>
  <c r="F64" i="8"/>
  <c r="C64" i="8"/>
  <c r="U63" i="8"/>
  <c r="T63" i="8"/>
  <c r="S63" i="8"/>
  <c r="R63" i="8"/>
  <c r="Q63" i="8"/>
  <c r="P63" i="8"/>
  <c r="O63" i="8"/>
  <c r="N63" i="8"/>
  <c r="M63" i="8"/>
  <c r="L63" i="8"/>
  <c r="K63" i="8"/>
  <c r="J63" i="8"/>
  <c r="F63" i="8"/>
  <c r="C63" i="8"/>
  <c r="U62" i="8"/>
  <c r="T62" i="8"/>
  <c r="S62" i="8"/>
  <c r="R62" i="8"/>
  <c r="Q62" i="8"/>
  <c r="P62" i="8"/>
  <c r="O62" i="8"/>
  <c r="N62" i="8"/>
  <c r="M62" i="8"/>
  <c r="L62" i="8"/>
  <c r="K62" i="8"/>
  <c r="J62" i="8"/>
  <c r="F62" i="8"/>
  <c r="C62" i="8"/>
  <c r="U61" i="8"/>
  <c r="T61" i="8"/>
  <c r="S61" i="8"/>
  <c r="R61" i="8"/>
  <c r="Q61" i="8"/>
  <c r="P61" i="8"/>
  <c r="O61" i="8"/>
  <c r="N61" i="8"/>
  <c r="M61" i="8"/>
  <c r="L61" i="8"/>
  <c r="K61" i="8"/>
  <c r="J61" i="8"/>
  <c r="F61" i="8"/>
  <c r="C61" i="8"/>
  <c r="T60" i="8"/>
  <c r="S60" i="8"/>
  <c r="U60" i="8" s="1"/>
  <c r="Q60" i="8"/>
  <c r="P60" i="8"/>
  <c r="R60" i="8" s="1"/>
  <c r="N60" i="8"/>
  <c r="M60" i="8"/>
  <c r="O60" i="8" s="1"/>
  <c r="K60" i="8"/>
  <c r="L60" i="8" s="1"/>
  <c r="J60" i="8"/>
  <c r="F60" i="8"/>
  <c r="C60" i="8"/>
  <c r="T59" i="8"/>
  <c r="S59" i="8"/>
  <c r="U59" i="8" s="1"/>
  <c r="Q59" i="8"/>
  <c r="P59" i="8"/>
  <c r="R59" i="8" s="1"/>
  <c r="N59" i="8"/>
  <c r="M59" i="8"/>
  <c r="O59" i="8" s="1"/>
  <c r="K59" i="8"/>
  <c r="L59" i="8" s="1"/>
  <c r="J59" i="8"/>
  <c r="F59" i="8"/>
  <c r="C59" i="8"/>
  <c r="T58" i="8"/>
  <c r="S58" i="8"/>
  <c r="U58" i="8" s="1"/>
  <c r="Q58" i="8"/>
  <c r="P58" i="8"/>
  <c r="R58" i="8" s="1"/>
  <c r="N58" i="8"/>
  <c r="M58" i="8"/>
  <c r="O58" i="8" s="1"/>
  <c r="K58" i="8"/>
  <c r="L58" i="8" s="1"/>
  <c r="J58" i="8"/>
  <c r="F58" i="8"/>
  <c r="G58" i="8" s="1"/>
  <c r="C58" i="8"/>
  <c r="T57" i="8"/>
  <c r="S57" i="8"/>
  <c r="U57" i="8" s="1"/>
  <c r="Q57" i="8"/>
  <c r="P57" i="8"/>
  <c r="R57" i="8" s="1"/>
  <c r="N57" i="8"/>
  <c r="M57" i="8"/>
  <c r="O57" i="8" s="1"/>
  <c r="K57" i="8"/>
  <c r="L57" i="8" s="1"/>
  <c r="J57" i="8"/>
  <c r="F57" i="8"/>
  <c r="C57" i="8"/>
  <c r="T56" i="8"/>
  <c r="S56" i="8"/>
  <c r="U56" i="8" s="1"/>
  <c r="Q56" i="8"/>
  <c r="P56" i="8"/>
  <c r="N56" i="8"/>
  <c r="M56" i="8"/>
  <c r="O56" i="8" s="1"/>
  <c r="K56" i="8"/>
  <c r="L56" i="8" s="1"/>
  <c r="J56" i="8"/>
  <c r="F56" i="8"/>
  <c r="C56" i="8"/>
  <c r="T55" i="8"/>
  <c r="S55" i="8"/>
  <c r="Q55" i="8"/>
  <c r="P55" i="8"/>
  <c r="R55" i="8" s="1"/>
  <c r="N55" i="8"/>
  <c r="M55" i="8"/>
  <c r="O55" i="8" s="1"/>
  <c r="K55" i="8"/>
  <c r="J55" i="8"/>
  <c r="F55" i="8"/>
  <c r="C55" i="8"/>
  <c r="I54" i="8"/>
  <c r="H54" i="8"/>
  <c r="E54" i="8"/>
  <c r="D54" i="8"/>
  <c r="T53" i="8"/>
  <c r="S53" i="8"/>
  <c r="U53" i="8" s="1"/>
  <c r="Q53" i="8"/>
  <c r="P53" i="8"/>
  <c r="R53" i="8" s="1"/>
  <c r="N53" i="8"/>
  <c r="M53" i="8"/>
  <c r="O53" i="8" s="1"/>
  <c r="K53" i="8"/>
  <c r="L53" i="8" s="1"/>
  <c r="J53" i="8"/>
  <c r="F53" i="8"/>
  <c r="C53" i="8"/>
  <c r="T52" i="8"/>
  <c r="S52" i="8"/>
  <c r="U52" i="8" s="1"/>
  <c r="Q52" i="8"/>
  <c r="P52" i="8"/>
  <c r="R52" i="8" s="1"/>
  <c r="N52" i="8"/>
  <c r="M52" i="8"/>
  <c r="O52" i="8" s="1"/>
  <c r="K52" i="8"/>
  <c r="L52" i="8" s="1"/>
  <c r="J52" i="8"/>
  <c r="F52" i="8"/>
  <c r="C52" i="8"/>
  <c r="T51" i="8"/>
  <c r="S51" i="8"/>
  <c r="U51" i="8" s="1"/>
  <c r="Q51" i="8"/>
  <c r="P51" i="8"/>
  <c r="R51" i="8" s="1"/>
  <c r="N51" i="8"/>
  <c r="M51" i="8"/>
  <c r="O51" i="8" s="1"/>
  <c r="K51" i="8"/>
  <c r="L51" i="8" s="1"/>
  <c r="J51" i="8"/>
  <c r="F51" i="8"/>
  <c r="C51" i="8"/>
  <c r="T50" i="8"/>
  <c r="S50" i="8"/>
  <c r="U50" i="8" s="1"/>
  <c r="Q50" i="8"/>
  <c r="P50" i="8"/>
  <c r="R50" i="8" s="1"/>
  <c r="N50" i="8"/>
  <c r="M50" i="8"/>
  <c r="O50" i="8" s="1"/>
  <c r="K50" i="8"/>
  <c r="L50" i="8" s="1"/>
  <c r="J50" i="8"/>
  <c r="F50" i="8"/>
  <c r="C50" i="8"/>
  <c r="T49" i="8"/>
  <c r="S49" i="8"/>
  <c r="U49" i="8" s="1"/>
  <c r="Q49" i="8"/>
  <c r="P49" i="8"/>
  <c r="R49" i="8" s="1"/>
  <c r="N49" i="8"/>
  <c r="M49" i="8"/>
  <c r="O49" i="8" s="1"/>
  <c r="K49" i="8"/>
  <c r="L49" i="8" s="1"/>
  <c r="J49" i="8"/>
  <c r="F49" i="8"/>
  <c r="G49" i="8" s="1"/>
  <c r="C49" i="8"/>
  <c r="T48" i="8"/>
  <c r="S48" i="8"/>
  <c r="U48" i="8" s="1"/>
  <c r="Q48" i="8"/>
  <c r="P48" i="8"/>
  <c r="R48" i="8" s="1"/>
  <c r="N48" i="8"/>
  <c r="M48" i="8"/>
  <c r="O48" i="8" s="1"/>
  <c r="K48" i="8"/>
  <c r="L48" i="8" s="1"/>
  <c r="J48" i="8"/>
  <c r="F48" i="8"/>
  <c r="C48" i="8"/>
  <c r="T47" i="8"/>
  <c r="S47" i="8"/>
  <c r="U47" i="8" s="1"/>
  <c r="Q47" i="8"/>
  <c r="P47" i="8"/>
  <c r="R47" i="8" s="1"/>
  <c r="N47" i="8"/>
  <c r="M47" i="8"/>
  <c r="O47" i="8" s="1"/>
  <c r="K47" i="8"/>
  <c r="L47" i="8" s="1"/>
  <c r="J47" i="8"/>
  <c r="F47" i="8"/>
  <c r="C47" i="8"/>
  <c r="T46" i="8"/>
  <c r="S46" i="8"/>
  <c r="U46" i="8" s="1"/>
  <c r="Q46" i="8"/>
  <c r="P46" i="8"/>
  <c r="R46" i="8" s="1"/>
  <c r="N46" i="8"/>
  <c r="M46" i="8"/>
  <c r="O46" i="8" s="1"/>
  <c r="K46" i="8"/>
  <c r="L46" i="8" s="1"/>
  <c r="J46" i="8"/>
  <c r="F46" i="8"/>
  <c r="C46" i="8"/>
  <c r="T45" i="8"/>
  <c r="S45" i="8"/>
  <c r="U45" i="8" s="1"/>
  <c r="Q45" i="8"/>
  <c r="P45" i="8"/>
  <c r="R45" i="8" s="1"/>
  <c r="N45" i="8"/>
  <c r="M45" i="8"/>
  <c r="O45" i="8" s="1"/>
  <c r="K45" i="8"/>
  <c r="L45" i="8" s="1"/>
  <c r="J45" i="8"/>
  <c r="F45" i="8"/>
  <c r="C45" i="8"/>
  <c r="T44" i="8"/>
  <c r="S44" i="8"/>
  <c r="U44" i="8" s="1"/>
  <c r="Q44" i="8"/>
  <c r="P44" i="8"/>
  <c r="R44" i="8" s="1"/>
  <c r="N44" i="8"/>
  <c r="M44" i="8"/>
  <c r="O44" i="8" s="1"/>
  <c r="K44" i="8"/>
  <c r="L44" i="8" s="1"/>
  <c r="J44" i="8"/>
  <c r="F44" i="8"/>
  <c r="C44" i="8"/>
  <c r="T43" i="8"/>
  <c r="S43" i="8"/>
  <c r="U43" i="8" s="1"/>
  <c r="Q43" i="8"/>
  <c r="P43" i="8"/>
  <c r="R43" i="8" s="1"/>
  <c r="N43" i="8"/>
  <c r="M43" i="8"/>
  <c r="O43" i="8" s="1"/>
  <c r="K43" i="8"/>
  <c r="L43" i="8" s="1"/>
  <c r="J43" i="8"/>
  <c r="F43" i="8"/>
  <c r="C43" i="8"/>
  <c r="T42" i="8"/>
  <c r="S42" i="8"/>
  <c r="U42" i="8" s="1"/>
  <c r="Q42" i="8"/>
  <c r="P42" i="8"/>
  <c r="R42" i="8" s="1"/>
  <c r="N42" i="8"/>
  <c r="M42" i="8"/>
  <c r="O42" i="8" s="1"/>
  <c r="K42" i="8"/>
  <c r="L42" i="8" s="1"/>
  <c r="J42" i="8"/>
  <c r="F42" i="8"/>
  <c r="C42" i="8"/>
  <c r="T41" i="8"/>
  <c r="S41" i="8"/>
  <c r="U41" i="8" s="1"/>
  <c r="Q41" i="8"/>
  <c r="P41" i="8"/>
  <c r="R41" i="8" s="1"/>
  <c r="N41" i="8"/>
  <c r="M41" i="8"/>
  <c r="O41" i="8" s="1"/>
  <c r="K41" i="8"/>
  <c r="L41" i="8" s="1"/>
  <c r="J41" i="8"/>
  <c r="F41" i="8"/>
  <c r="C41" i="8"/>
  <c r="T40" i="8"/>
  <c r="S40" i="8"/>
  <c r="U40" i="8" s="1"/>
  <c r="Q40" i="8"/>
  <c r="P40" i="8"/>
  <c r="R40" i="8" s="1"/>
  <c r="N40" i="8"/>
  <c r="M40" i="8"/>
  <c r="O40" i="8" s="1"/>
  <c r="K40" i="8"/>
  <c r="L40" i="8" s="1"/>
  <c r="J40" i="8"/>
  <c r="F40" i="8"/>
  <c r="C40" i="8"/>
  <c r="T39" i="8"/>
  <c r="S39" i="8"/>
  <c r="U39" i="8" s="1"/>
  <c r="Q39" i="8"/>
  <c r="P39" i="8"/>
  <c r="R39" i="8" s="1"/>
  <c r="N39" i="8"/>
  <c r="M39" i="8"/>
  <c r="O39" i="8" s="1"/>
  <c r="K39" i="8"/>
  <c r="L39" i="8" s="1"/>
  <c r="J39" i="8"/>
  <c r="F39" i="8"/>
  <c r="C39" i="8"/>
  <c r="T38" i="8"/>
  <c r="S38" i="8"/>
  <c r="U38" i="8" s="1"/>
  <c r="Q38" i="8"/>
  <c r="P38" i="8"/>
  <c r="R38" i="8" s="1"/>
  <c r="N38" i="8"/>
  <c r="M38" i="8"/>
  <c r="O38" i="8" s="1"/>
  <c r="K38" i="8"/>
  <c r="L38" i="8" s="1"/>
  <c r="J38" i="8"/>
  <c r="F38" i="8"/>
  <c r="C38" i="8"/>
  <c r="T37" i="8"/>
  <c r="S37" i="8"/>
  <c r="U37" i="8" s="1"/>
  <c r="Q37" i="8"/>
  <c r="P37" i="8"/>
  <c r="R37" i="8" s="1"/>
  <c r="N37" i="8"/>
  <c r="M37" i="8"/>
  <c r="O37" i="8" s="1"/>
  <c r="K37" i="8"/>
  <c r="L37" i="8" s="1"/>
  <c r="J37" i="8"/>
  <c r="F37" i="8"/>
  <c r="G37" i="8" s="1"/>
  <c r="C37" i="8"/>
  <c r="T36" i="8"/>
  <c r="S36" i="8"/>
  <c r="U36" i="8" s="1"/>
  <c r="Q36" i="8"/>
  <c r="P36" i="8"/>
  <c r="R36" i="8" s="1"/>
  <c r="N36" i="8"/>
  <c r="M36" i="8"/>
  <c r="O36" i="8" s="1"/>
  <c r="K36" i="8"/>
  <c r="L36" i="8" s="1"/>
  <c r="J36" i="8"/>
  <c r="F36" i="8"/>
  <c r="C36" i="8"/>
  <c r="T35" i="8"/>
  <c r="S35" i="8"/>
  <c r="Q35" i="8"/>
  <c r="P35" i="8"/>
  <c r="R35" i="8" s="1"/>
  <c r="N35" i="8"/>
  <c r="M35" i="8"/>
  <c r="O35" i="8" s="1"/>
  <c r="K35" i="8"/>
  <c r="J35" i="8"/>
  <c r="F35" i="8"/>
  <c r="C35" i="8"/>
  <c r="T34" i="8"/>
  <c r="S34" i="8"/>
  <c r="U34" i="8" s="1"/>
  <c r="Q34" i="8"/>
  <c r="P34" i="8"/>
  <c r="R34" i="8" s="1"/>
  <c r="N34" i="8"/>
  <c r="M34" i="8"/>
  <c r="O34" i="8" s="1"/>
  <c r="K34" i="8"/>
  <c r="L34" i="8" s="1"/>
  <c r="J34" i="8"/>
  <c r="F34" i="8"/>
  <c r="C34" i="8"/>
  <c r="I33" i="8"/>
  <c r="H33" i="8"/>
  <c r="E33" i="8"/>
  <c r="D33" i="8"/>
  <c r="T32" i="8"/>
  <c r="S32" i="8"/>
  <c r="U32" i="8" s="1"/>
  <c r="Q32" i="8"/>
  <c r="P32" i="8"/>
  <c r="R32" i="8" s="1"/>
  <c r="N32" i="8"/>
  <c r="M32" i="8"/>
  <c r="O32" i="8" s="1"/>
  <c r="K32" i="8"/>
  <c r="L32" i="8" s="1"/>
  <c r="J32" i="8"/>
  <c r="F32" i="8"/>
  <c r="C32" i="8"/>
  <c r="T31" i="8"/>
  <c r="S31" i="8"/>
  <c r="U31" i="8" s="1"/>
  <c r="Q31" i="8"/>
  <c r="P31" i="8"/>
  <c r="R31" i="8" s="1"/>
  <c r="N31" i="8"/>
  <c r="M31" i="8"/>
  <c r="O31" i="8" s="1"/>
  <c r="K31" i="8"/>
  <c r="L31" i="8" s="1"/>
  <c r="J31" i="8"/>
  <c r="F31" i="8"/>
  <c r="C31" i="8"/>
  <c r="T30" i="8"/>
  <c r="S30" i="8"/>
  <c r="U30" i="8" s="1"/>
  <c r="Q30" i="8"/>
  <c r="P30" i="8"/>
  <c r="R30" i="8" s="1"/>
  <c r="N30" i="8"/>
  <c r="M30" i="8"/>
  <c r="O30" i="8" s="1"/>
  <c r="K30" i="8"/>
  <c r="L30" i="8" s="1"/>
  <c r="J30" i="8"/>
  <c r="F30" i="8"/>
  <c r="C30" i="8"/>
  <c r="T29" i="8"/>
  <c r="S29" i="8"/>
  <c r="U29" i="8" s="1"/>
  <c r="Q29" i="8"/>
  <c r="P29" i="8"/>
  <c r="R29" i="8" s="1"/>
  <c r="N29" i="8"/>
  <c r="M29" i="8"/>
  <c r="O29" i="8" s="1"/>
  <c r="K29" i="8"/>
  <c r="L29" i="8" s="1"/>
  <c r="J29" i="8"/>
  <c r="F29" i="8"/>
  <c r="C29" i="8"/>
  <c r="T28" i="8"/>
  <c r="S28" i="8"/>
  <c r="U28" i="8" s="1"/>
  <c r="Q28" i="8"/>
  <c r="P28" i="8"/>
  <c r="R28" i="8" s="1"/>
  <c r="N28" i="8"/>
  <c r="M28" i="8"/>
  <c r="O28" i="8" s="1"/>
  <c r="K28" i="8"/>
  <c r="L28" i="8" s="1"/>
  <c r="J28" i="8"/>
  <c r="F28" i="8"/>
  <c r="C28" i="8"/>
  <c r="T27" i="8"/>
  <c r="S27" i="8"/>
  <c r="U27" i="8" s="1"/>
  <c r="Q27" i="8"/>
  <c r="P27" i="8"/>
  <c r="R27" i="8" s="1"/>
  <c r="N27" i="8"/>
  <c r="M27" i="8"/>
  <c r="O27" i="8" s="1"/>
  <c r="K27" i="8"/>
  <c r="L27" i="8" s="1"/>
  <c r="J27" i="8"/>
  <c r="F27" i="8"/>
  <c r="C27" i="8"/>
  <c r="T26" i="8"/>
  <c r="S26" i="8"/>
  <c r="U26" i="8" s="1"/>
  <c r="Q26" i="8"/>
  <c r="P26" i="8"/>
  <c r="R26" i="8" s="1"/>
  <c r="N26" i="8"/>
  <c r="M26" i="8"/>
  <c r="O26" i="8" s="1"/>
  <c r="K26" i="8"/>
  <c r="L26" i="8" s="1"/>
  <c r="J26" i="8"/>
  <c r="F26" i="8"/>
  <c r="C26" i="8"/>
  <c r="T25" i="8"/>
  <c r="S25" i="8"/>
  <c r="U25" i="8" s="1"/>
  <c r="Q25" i="8"/>
  <c r="P25" i="8"/>
  <c r="R25" i="8" s="1"/>
  <c r="N25" i="8"/>
  <c r="M25" i="8"/>
  <c r="O25" i="8" s="1"/>
  <c r="K25" i="8"/>
  <c r="L25" i="8" s="1"/>
  <c r="J25" i="8"/>
  <c r="F25" i="8"/>
  <c r="C25" i="8"/>
  <c r="T24" i="8"/>
  <c r="S24" i="8"/>
  <c r="U24" i="8" s="1"/>
  <c r="Q24" i="8"/>
  <c r="P24" i="8"/>
  <c r="R24" i="8" s="1"/>
  <c r="N24" i="8"/>
  <c r="M24" i="8"/>
  <c r="O24" i="8" s="1"/>
  <c r="K24" i="8"/>
  <c r="L24" i="8" s="1"/>
  <c r="J24" i="8"/>
  <c r="F24" i="8"/>
  <c r="C24" i="8"/>
  <c r="T23" i="8"/>
  <c r="S23" i="8"/>
  <c r="U23" i="8" s="1"/>
  <c r="Q23" i="8"/>
  <c r="P23" i="8"/>
  <c r="R23" i="8" s="1"/>
  <c r="N23" i="8"/>
  <c r="M23" i="8"/>
  <c r="O23" i="8" s="1"/>
  <c r="K23" i="8"/>
  <c r="L23" i="8" s="1"/>
  <c r="J23" i="8"/>
  <c r="F23" i="8"/>
  <c r="C23" i="8"/>
  <c r="T22" i="8"/>
  <c r="S22" i="8"/>
  <c r="U22" i="8" s="1"/>
  <c r="Q22" i="8"/>
  <c r="P22" i="8"/>
  <c r="R22" i="8" s="1"/>
  <c r="N22" i="8"/>
  <c r="M22" i="8"/>
  <c r="O22" i="8" s="1"/>
  <c r="K22" i="8"/>
  <c r="L22" i="8" s="1"/>
  <c r="J22" i="8"/>
  <c r="F22" i="8"/>
  <c r="C22" i="8"/>
  <c r="T21" i="8"/>
  <c r="S21" i="8"/>
  <c r="U21" i="8" s="1"/>
  <c r="Q21" i="8"/>
  <c r="P21" i="8"/>
  <c r="R21" i="8" s="1"/>
  <c r="N21" i="8"/>
  <c r="M21" i="8"/>
  <c r="O21" i="8" s="1"/>
  <c r="K21" i="8"/>
  <c r="L21" i="8" s="1"/>
  <c r="J21" i="8"/>
  <c r="F21" i="8"/>
  <c r="C21" i="8"/>
  <c r="T20" i="8"/>
  <c r="S20" i="8"/>
  <c r="U20" i="8" s="1"/>
  <c r="Q20" i="8"/>
  <c r="P20" i="8"/>
  <c r="R20" i="8" s="1"/>
  <c r="N20" i="8"/>
  <c r="M20" i="8"/>
  <c r="O20" i="8" s="1"/>
  <c r="K20" i="8"/>
  <c r="L20" i="8" s="1"/>
  <c r="J20" i="8"/>
  <c r="F20" i="8"/>
  <c r="C20" i="8"/>
  <c r="T19" i="8"/>
  <c r="S19" i="8"/>
  <c r="Q19" i="8"/>
  <c r="P19" i="8"/>
  <c r="R19" i="8" s="1"/>
  <c r="N19" i="8"/>
  <c r="M19" i="8"/>
  <c r="O19" i="8" s="1"/>
  <c r="K19" i="8"/>
  <c r="L19" i="8" s="1"/>
  <c r="J19" i="8"/>
  <c r="F19" i="8"/>
  <c r="C19" i="8"/>
  <c r="T18" i="8"/>
  <c r="S18" i="8"/>
  <c r="U18" i="8" s="1"/>
  <c r="Q18" i="8"/>
  <c r="P18" i="8"/>
  <c r="R18" i="8" s="1"/>
  <c r="N18" i="8"/>
  <c r="M18" i="8"/>
  <c r="O18" i="8" s="1"/>
  <c r="K18" i="8"/>
  <c r="L18" i="8" s="1"/>
  <c r="J18" i="8"/>
  <c r="F18" i="8"/>
  <c r="C18" i="8"/>
  <c r="T17" i="8"/>
  <c r="S17" i="8"/>
  <c r="U17" i="8" s="1"/>
  <c r="Q17" i="8"/>
  <c r="P17" i="8"/>
  <c r="R17" i="8" s="1"/>
  <c r="N17" i="8"/>
  <c r="M17" i="8"/>
  <c r="K17" i="8"/>
  <c r="L17" i="8" s="1"/>
  <c r="J17" i="8"/>
  <c r="F17" i="8"/>
  <c r="C17" i="8"/>
  <c r="T16" i="8"/>
  <c r="S16" i="8"/>
  <c r="U16" i="8" s="1"/>
  <c r="Q16" i="8"/>
  <c r="P16" i="8"/>
  <c r="N16" i="8"/>
  <c r="M16" i="8"/>
  <c r="O16" i="8" s="1"/>
  <c r="K16" i="8"/>
  <c r="J16" i="8"/>
  <c r="F16" i="8"/>
  <c r="C16" i="8"/>
  <c r="I15" i="8"/>
  <c r="H15" i="8"/>
  <c r="E15" i="8"/>
  <c r="D15" i="8"/>
  <c r="U14" i="8"/>
  <c r="R14" i="8"/>
  <c r="O14" i="8"/>
  <c r="L14" i="8"/>
  <c r="G14" i="8"/>
  <c r="T13" i="8"/>
  <c r="P13" i="8"/>
  <c r="M13" i="8"/>
  <c r="M11" i="8" s="1"/>
  <c r="J13" i="8"/>
  <c r="I13" i="8"/>
  <c r="L13" i="8" s="1"/>
  <c r="H13" i="8"/>
  <c r="U13" i="8" s="1"/>
  <c r="E13" i="8"/>
  <c r="T12" i="8"/>
  <c r="M12" i="8"/>
  <c r="I12" i="8"/>
  <c r="E12" i="8"/>
  <c r="E11" i="8" s="1"/>
  <c r="D12" i="8"/>
  <c r="T114" i="7"/>
  <c r="M114" i="7"/>
  <c r="Q114" i="7" s="1"/>
  <c r="L114" i="7"/>
  <c r="J114" i="7"/>
  <c r="C114" i="7"/>
  <c r="G114" i="7" s="1"/>
  <c r="T113" i="7"/>
  <c r="M113" i="7"/>
  <c r="Q113" i="7" s="1"/>
  <c r="L113" i="7"/>
  <c r="J113" i="7"/>
  <c r="C113" i="7"/>
  <c r="G113" i="7" s="1"/>
  <c r="T112" i="7"/>
  <c r="M112" i="7"/>
  <c r="Q112" i="7" s="1"/>
  <c r="L112" i="7"/>
  <c r="J112" i="7"/>
  <c r="C112" i="7"/>
  <c r="T111" i="7"/>
  <c r="M111" i="7"/>
  <c r="Q111" i="7" s="1"/>
  <c r="L111" i="7"/>
  <c r="J111" i="7"/>
  <c r="C111" i="7"/>
  <c r="G111" i="7" s="1"/>
  <c r="T110" i="7"/>
  <c r="M110" i="7"/>
  <c r="Q110" i="7" s="1"/>
  <c r="L110" i="7"/>
  <c r="J110" i="7"/>
  <c r="C110" i="7"/>
  <c r="G110" i="7" s="1"/>
  <c r="A110" i="7"/>
  <c r="A111" i="7" s="1"/>
  <c r="A112" i="7" s="1"/>
  <c r="T109" i="7"/>
  <c r="M109" i="7"/>
  <c r="Q109" i="7" s="1"/>
  <c r="L109" i="7"/>
  <c r="J109" i="7"/>
  <c r="C109" i="7"/>
  <c r="G109" i="7" s="1"/>
  <c r="T108" i="7"/>
  <c r="M108" i="7"/>
  <c r="L108" i="7"/>
  <c r="J108" i="7"/>
  <c r="C108" i="7"/>
  <c r="G108" i="7" s="1"/>
  <c r="T107" i="7"/>
  <c r="M107" i="7"/>
  <c r="Q107" i="7" s="1"/>
  <c r="L107" i="7"/>
  <c r="J107" i="7"/>
  <c r="G107" i="7"/>
  <c r="C107" i="7"/>
  <c r="S106" i="7"/>
  <c r="S13" i="7" s="1"/>
  <c r="R106" i="7"/>
  <c r="P106" i="7"/>
  <c r="P13" i="7" s="1"/>
  <c r="O106" i="7"/>
  <c r="O13" i="7" s="1"/>
  <c r="N106" i="7"/>
  <c r="K106" i="7"/>
  <c r="K13" i="7" s="1"/>
  <c r="I106" i="7"/>
  <c r="H106" i="7"/>
  <c r="F106" i="7"/>
  <c r="F13" i="7" s="1"/>
  <c r="E106" i="7"/>
  <c r="E13" i="7" s="1"/>
  <c r="D106" i="7"/>
  <c r="D13" i="7" s="1"/>
  <c r="T105" i="7"/>
  <c r="P105" i="7"/>
  <c r="M105" i="7"/>
  <c r="Q105" i="7" s="1"/>
  <c r="L105" i="7"/>
  <c r="J105" i="7"/>
  <c r="F105" i="7"/>
  <c r="C105" i="7"/>
  <c r="G105" i="7" s="1"/>
  <c r="T104" i="7"/>
  <c r="P104" i="7"/>
  <c r="M104" i="7"/>
  <c r="Q104" i="7" s="1"/>
  <c r="L104" i="7"/>
  <c r="J104" i="7"/>
  <c r="F104" i="7"/>
  <c r="C104" i="7"/>
  <c r="G104" i="7" s="1"/>
  <c r="T103" i="7"/>
  <c r="P103" i="7"/>
  <c r="M103" i="7"/>
  <c r="Q103" i="7" s="1"/>
  <c r="L103" i="7"/>
  <c r="J103" i="7"/>
  <c r="G103" i="7"/>
  <c r="F103" i="7"/>
  <c r="C103" i="7"/>
  <c r="T102" i="7"/>
  <c r="P102" i="7"/>
  <c r="M102" i="7"/>
  <c r="Q102" i="7" s="1"/>
  <c r="L102" i="7"/>
  <c r="J102" i="7"/>
  <c r="F102" i="7"/>
  <c r="C102" i="7"/>
  <c r="G102" i="7" s="1"/>
  <c r="T101" i="7"/>
  <c r="P101" i="7"/>
  <c r="M101" i="7"/>
  <c r="Q101" i="7" s="1"/>
  <c r="L101" i="7"/>
  <c r="J101" i="7"/>
  <c r="F101" i="7"/>
  <c r="C101" i="7"/>
  <c r="G101" i="7" s="1"/>
  <c r="T100" i="7"/>
  <c r="P100" i="7"/>
  <c r="M100" i="7"/>
  <c r="Q100" i="7" s="1"/>
  <c r="L100" i="7"/>
  <c r="J100" i="7"/>
  <c r="F100" i="7"/>
  <c r="C100" i="7"/>
  <c r="G100" i="7" s="1"/>
  <c r="T99" i="7"/>
  <c r="P99" i="7"/>
  <c r="M99" i="7"/>
  <c r="L99" i="7"/>
  <c r="J99" i="7"/>
  <c r="F99" i="7"/>
  <c r="C99" i="7"/>
  <c r="G99" i="7" s="1"/>
  <c r="T98" i="7"/>
  <c r="Q98" i="7"/>
  <c r="P98" i="7"/>
  <c r="M98" i="7"/>
  <c r="L98" i="7"/>
  <c r="J98" i="7"/>
  <c r="F98" i="7"/>
  <c r="C98" i="7"/>
  <c r="T97" i="7"/>
  <c r="P97" i="7"/>
  <c r="M97" i="7"/>
  <c r="L97" i="7"/>
  <c r="J97" i="7"/>
  <c r="G97" i="7"/>
  <c r="F97" i="7"/>
  <c r="C97" i="7"/>
  <c r="T96" i="7"/>
  <c r="P96" i="7"/>
  <c r="M96" i="7"/>
  <c r="Q96" i="7" s="1"/>
  <c r="L96" i="7"/>
  <c r="J96" i="7"/>
  <c r="F96" i="7"/>
  <c r="C96" i="7"/>
  <c r="G96" i="7" s="1"/>
  <c r="T95" i="7"/>
  <c r="P95" i="7"/>
  <c r="M95" i="7"/>
  <c r="L95" i="7"/>
  <c r="J95" i="7"/>
  <c r="F95" i="7"/>
  <c r="C95" i="7"/>
  <c r="G95" i="7" s="1"/>
  <c r="A95" i="7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T94" i="7"/>
  <c r="P94" i="7"/>
  <c r="M94" i="7"/>
  <c r="Q94" i="7" s="1"/>
  <c r="L94" i="7"/>
  <c r="J94" i="7"/>
  <c r="F94" i="7"/>
  <c r="C94" i="7"/>
  <c r="G94" i="7" s="1"/>
  <c r="T93" i="7"/>
  <c r="P93" i="7"/>
  <c r="M93" i="7"/>
  <c r="Q93" i="7" s="1"/>
  <c r="L93" i="7"/>
  <c r="J93" i="7"/>
  <c r="F93" i="7"/>
  <c r="C93" i="7"/>
  <c r="G93" i="7" s="1"/>
  <c r="T92" i="7"/>
  <c r="P92" i="7"/>
  <c r="M92" i="7"/>
  <c r="L92" i="7"/>
  <c r="J92" i="7"/>
  <c r="F92" i="7"/>
  <c r="C92" i="7"/>
  <c r="G92" i="7" s="1"/>
  <c r="S91" i="7"/>
  <c r="S12" i="7" s="1"/>
  <c r="R91" i="7"/>
  <c r="O91" i="7"/>
  <c r="N91" i="7"/>
  <c r="N12" i="7" s="1"/>
  <c r="K91" i="7"/>
  <c r="K12" i="7" s="1"/>
  <c r="I91" i="7"/>
  <c r="H91" i="7"/>
  <c r="L91" i="7" s="1"/>
  <c r="E91" i="7"/>
  <c r="E12" i="7" s="1"/>
  <c r="D91" i="7"/>
  <c r="S90" i="7"/>
  <c r="T90" i="7" s="1"/>
  <c r="P90" i="7"/>
  <c r="M90" i="7"/>
  <c r="K90" i="7"/>
  <c r="L90" i="7" s="1"/>
  <c r="I90" i="7"/>
  <c r="J90" i="7" s="1"/>
  <c r="F90" i="7"/>
  <c r="C90" i="7"/>
  <c r="T89" i="7"/>
  <c r="S89" i="7"/>
  <c r="P89" i="7"/>
  <c r="M89" i="7"/>
  <c r="Q89" i="7" s="1"/>
  <c r="L89" i="7"/>
  <c r="K89" i="7"/>
  <c r="J89" i="7"/>
  <c r="I89" i="7"/>
  <c r="F89" i="7"/>
  <c r="C89" i="7"/>
  <c r="G89" i="7" s="1"/>
  <c r="S88" i="7"/>
  <c r="T88" i="7" s="1"/>
  <c r="P88" i="7"/>
  <c r="M88" i="7"/>
  <c r="K88" i="7"/>
  <c r="L88" i="7" s="1"/>
  <c r="I88" i="7"/>
  <c r="J88" i="7" s="1"/>
  <c r="F88" i="7"/>
  <c r="C88" i="7"/>
  <c r="T87" i="7"/>
  <c r="S87" i="7"/>
  <c r="P87" i="7"/>
  <c r="M87" i="7"/>
  <c r="Q87" i="7" s="1"/>
  <c r="L87" i="7"/>
  <c r="K87" i="7"/>
  <c r="J87" i="7"/>
  <c r="I87" i="7"/>
  <c r="F87" i="7"/>
  <c r="C87" i="7"/>
  <c r="G87" i="7" s="1"/>
  <c r="T86" i="7"/>
  <c r="S86" i="7"/>
  <c r="P86" i="7"/>
  <c r="M86" i="7"/>
  <c r="Q86" i="7" s="1"/>
  <c r="L86" i="7"/>
  <c r="K86" i="7"/>
  <c r="J86" i="7"/>
  <c r="I86" i="7"/>
  <c r="F86" i="7"/>
  <c r="C86" i="7"/>
  <c r="G86" i="7" s="1"/>
  <c r="T85" i="7"/>
  <c r="S85" i="7"/>
  <c r="P85" i="7"/>
  <c r="M85" i="7"/>
  <c r="Q85" i="7" s="1"/>
  <c r="L85" i="7"/>
  <c r="K85" i="7"/>
  <c r="J85" i="7"/>
  <c r="I85" i="7"/>
  <c r="F85" i="7"/>
  <c r="C85" i="7"/>
  <c r="G85" i="7" s="1"/>
  <c r="T84" i="7"/>
  <c r="S84" i="7"/>
  <c r="P84" i="7"/>
  <c r="M84" i="7"/>
  <c r="Q84" i="7" s="1"/>
  <c r="L84" i="7"/>
  <c r="K84" i="7"/>
  <c r="J84" i="7"/>
  <c r="I84" i="7"/>
  <c r="F84" i="7"/>
  <c r="C84" i="7"/>
  <c r="G84" i="7" s="1"/>
  <c r="T83" i="7"/>
  <c r="S83" i="7"/>
  <c r="P83" i="7"/>
  <c r="M83" i="7"/>
  <c r="Q83" i="7" s="1"/>
  <c r="L83" i="7"/>
  <c r="K83" i="7"/>
  <c r="J83" i="7"/>
  <c r="I83" i="7"/>
  <c r="F83" i="7"/>
  <c r="C83" i="7"/>
  <c r="G83" i="7" s="1"/>
  <c r="T82" i="7"/>
  <c r="S82" i="7"/>
  <c r="P82" i="7"/>
  <c r="M82" i="7"/>
  <c r="Q82" i="7" s="1"/>
  <c r="L82" i="7"/>
  <c r="K82" i="7"/>
  <c r="J82" i="7"/>
  <c r="I82" i="7"/>
  <c r="F82" i="7"/>
  <c r="C82" i="7"/>
  <c r="G82" i="7" s="1"/>
  <c r="T81" i="7"/>
  <c r="S81" i="7"/>
  <c r="P81" i="7"/>
  <c r="M81" i="7"/>
  <c r="Q81" i="7" s="1"/>
  <c r="L81" i="7"/>
  <c r="K81" i="7"/>
  <c r="J81" i="7"/>
  <c r="I81" i="7"/>
  <c r="F81" i="7"/>
  <c r="C81" i="7"/>
  <c r="G81" i="7" s="1"/>
  <c r="T80" i="7"/>
  <c r="S80" i="7"/>
  <c r="P80" i="7"/>
  <c r="M80" i="7"/>
  <c r="Q80" i="7" s="1"/>
  <c r="L80" i="7"/>
  <c r="K80" i="7"/>
  <c r="J80" i="7"/>
  <c r="I80" i="7"/>
  <c r="F80" i="7"/>
  <c r="C80" i="7"/>
  <c r="G80" i="7" s="1"/>
  <c r="T79" i="7"/>
  <c r="S79" i="7"/>
  <c r="P79" i="7"/>
  <c r="M79" i="7"/>
  <c r="Q79" i="7" s="1"/>
  <c r="L79" i="7"/>
  <c r="K79" i="7"/>
  <c r="J79" i="7"/>
  <c r="I79" i="7"/>
  <c r="F79" i="7"/>
  <c r="C79" i="7"/>
  <c r="G79" i="7" s="1"/>
  <c r="S78" i="7"/>
  <c r="T78" i="7" s="1"/>
  <c r="P78" i="7"/>
  <c r="M78" i="7"/>
  <c r="K78" i="7"/>
  <c r="L78" i="7" s="1"/>
  <c r="I78" i="7"/>
  <c r="J78" i="7" s="1"/>
  <c r="F78" i="7"/>
  <c r="C78" i="7"/>
  <c r="S77" i="7"/>
  <c r="T77" i="7" s="1"/>
  <c r="P77" i="7"/>
  <c r="M77" i="7"/>
  <c r="K77" i="7"/>
  <c r="L77" i="7" s="1"/>
  <c r="I77" i="7"/>
  <c r="J77" i="7" s="1"/>
  <c r="F77" i="7"/>
  <c r="C77" i="7"/>
  <c r="R76" i="7"/>
  <c r="O76" i="7"/>
  <c r="N76" i="7"/>
  <c r="H76" i="7"/>
  <c r="E76" i="7"/>
  <c r="D76" i="7"/>
  <c r="T75" i="7"/>
  <c r="S75" i="7"/>
  <c r="P75" i="7"/>
  <c r="M75" i="7"/>
  <c r="Q75" i="7" s="1"/>
  <c r="L75" i="7"/>
  <c r="K75" i="7"/>
  <c r="J75" i="7"/>
  <c r="I75" i="7"/>
  <c r="F75" i="7"/>
  <c r="C75" i="7"/>
  <c r="G75" i="7" s="1"/>
  <c r="T74" i="7"/>
  <c r="S74" i="7"/>
  <c r="P74" i="7"/>
  <c r="M74" i="7"/>
  <c r="Q74" i="7" s="1"/>
  <c r="L74" i="7"/>
  <c r="K74" i="7"/>
  <c r="J74" i="7"/>
  <c r="I74" i="7"/>
  <c r="F74" i="7"/>
  <c r="C74" i="7"/>
  <c r="G74" i="7" s="1"/>
  <c r="T73" i="7"/>
  <c r="S73" i="7"/>
  <c r="P73" i="7"/>
  <c r="M73" i="7"/>
  <c r="Q73" i="7" s="1"/>
  <c r="L73" i="7"/>
  <c r="K73" i="7"/>
  <c r="J73" i="7"/>
  <c r="I73" i="7"/>
  <c r="F73" i="7"/>
  <c r="C73" i="7"/>
  <c r="G73" i="7" s="1"/>
  <c r="T72" i="7"/>
  <c r="S72" i="7"/>
  <c r="P72" i="7"/>
  <c r="M72" i="7"/>
  <c r="Q72" i="7" s="1"/>
  <c r="L72" i="7"/>
  <c r="K72" i="7"/>
  <c r="J72" i="7"/>
  <c r="I72" i="7"/>
  <c r="F72" i="7"/>
  <c r="C72" i="7"/>
  <c r="G72" i="7" s="1"/>
  <c r="S71" i="7"/>
  <c r="T71" i="7" s="1"/>
  <c r="P71" i="7"/>
  <c r="Q71" i="7" s="1"/>
  <c r="M71" i="7"/>
  <c r="K71" i="7"/>
  <c r="L71" i="7" s="1"/>
  <c r="I71" i="7"/>
  <c r="J71" i="7" s="1"/>
  <c r="F71" i="7"/>
  <c r="G71" i="7" s="1"/>
  <c r="C71" i="7"/>
  <c r="T70" i="7"/>
  <c r="S70" i="7"/>
  <c r="P70" i="7"/>
  <c r="M70" i="7"/>
  <c r="Q70" i="7" s="1"/>
  <c r="L70" i="7"/>
  <c r="K70" i="7"/>
  <c r="J70" i="7"/>
  <c r="I70" i="7"/>
  <c r="F70" i="7"/>
  <c r="C70" i="7"/>
  <c r="G70" i="7" s="1"/>
  <c r="T69" i="7"/>
  <c r="S69" i="7"/>
  <c r="P69" i="7"/>
  <c r="M69" i="7"/>
  <c r="Q69" i="7" s="1"/>
  <c r="L69" i="7"/>
  <c r="K69" i="7"/>
  <c r="J69" i="7"/>
  <c r="I69" i="7"/>
  <c r="F69" i="7"/>
  <c r="C69" i="7"/>
  <c r="G69" i="7" s="1"/>
  <c r="T68" i="7"/>
  <c r="S68" i="7"/>
  <c r="Q68" i="7"/>
  <c r="P68" i="7"/>
  <c r="M68" i="7"/>
  <c r="L68" i="7"/>
  <c r="K68" i="7"/>
  <c r="J68" i="7"/>
  <c r="I68" i="7"/>
  <c r="F68" i="7"/>
  <c r="C68" i="7"/>
  <c r="G68" i="7" s="1"/>
  <c r="T67" i="7"/>
  <c r="S67" i="7"/>
  <c r="Q67" i="7"/>
  <c r="P67" i="7"/>
  <c r="M67" i="7"/>
  <c r="L67" i="7"/>
  <c r="K67" i="7"/>
  <c r="J67" i="7"/>
  <c r="I67" i="7"/>
  <c r="F67" i="7"/>
  <c r="C67" i="7"/>
  <c r="G67" i="7" s="1"/>
  <c r="T66" i="7"/>
  <c r="S66" i="7"/>
  <c r="Q66" i="7"/>
  <c r="P66" i="7"/>
  <c r="M66" i="7"/>
  <c r="L66" i="7"/>
  <c r="K66" i="7"/>
  <c r="J66" i="7"/>
  <c r="I66" i="7"/>
  <c r="F66" i="7"/>
  <c r="C66" i="7"/>
  <c r="G66" i="7" s="1"/>
  <c r="T65" i="7"/>
  <c r="S65" i="7"/>
  <c r="Q65" i="7"/>
  <c r="P65" i="7"/>
  <c r="M65" i="7"/>
  <c r="L65" i="7"/>
  <c r="K65" i="7"/>
  <c r="J65" i="7"/>
  <c r="I65" i="7"/>
  <c r="F65" i="7"/>
  <c r="C65" i="7"/>
  <c r="G65" i="7" s="1"/>
  <c r="T64" i="7"/>
  <c r="S64" i="7"/>
  <c r="Q64" i="7"/>
  <c r="P64" i="7"/>
  <c r="M64" i="7"/>
  <c r="L64" i="7"/>
  <c r="K64" i="7"/>
  <c r="J64" i="7"/>
  <c r="I64" i="7"/>
  <c r="F64" i="7"/>
  <c r="C64" i="7"/>
  <c r="G64" i="7" s="1"/>
  <c r="T63" i="7"/>
  <c r="S63" i="7"/>
  <c r="Q63" i="7"/>
  <c r="P63" i="7"/>
  <c r="M63" i="7"/>
  <c r="L63" i="7"/>
  <c r="K63" i="7"/>
  <c r="J63" i="7"/>
  <c r="I63" i="7"/>
  <c r="F63" i="7"/>
  <c r="C63" i="7"/>
  <c r="G63" i="7" s="1"/>
  <c r="T62" i="7"/>
  <c r="S62" i="7"/>
  <c r="Q62" i="7"/>
  <c r="P62" i="7"/>
  <c r="M62" i="7"/>
  <c r="L62" i="7"/>
  <c r="K62" i="7"/>
  <c r="J62" i="7"/>
  <c r="I62" i="7"/>
  <c r="F62" i="7"/>
  <c r="C62" i="7"/>
  <c r="G62" i="7" s="1"/>
  <c r="T61" i="7"/>
  <c r="S61" i="7"/>
  <c r="Q61" i="7"/>
  <c r="P61" i="7"/>
  <c r="M61" i="7"/>
  <c r="L61" i="7"/>
  <c r="K61" i="7"/>
  <c r="J61" i="7"/>
  <c r="I61" i="7"/>
  <c r="F61" i="7"/>
  <c r="C61" i="7"/>
  <c r="G61" i="7" s="1"/>
  <c r="T60" i="7"/>
  <c r="S60" i="7"/>
  <c r="Q60" i="7"/>
  <c r="P60" i="7"/>
  <c r="M60" i="7"/>
  <c r="L60" i="7"/>
  <c r="K60" i="7"/>
  <c r="J60" i="7"/>
  <c r="I60" i="7"/>
  <c r="F60" i="7"/>
  <c r="C60" i="7"/>
  <c r="G60" i="7" s="1"/>
  <c r="T59" i="7"/>
  <c r="S59" i="7"/>
  <c r="Q59" i="7"/>
  <c r="P59" i="7"/>
  <c r="M59" i="7"/>
  <c r="L59" i="7"/>
  <c r="K59" i="7"/>
  <c r="J59" i="7"/>
  <c r="I59" i="7"/>
  <c r="F59" i="7"/>
  <c r="C59" i="7"/>
  <c r="G59" i="7" s="1"/>
  <c r="S58" i="7"/>
  <c r="T58" i="7" s="1"/>
  <c r="P58" i="7"/>
  <c r="M58" i="7"/>
  <c r="K58" i="7"/>
  <c r="L58" i="7" s="1"/>
  <c r="I58" i="7"/>
  <c r="J58" i="7" s="1"/>
  <c r="F58" i="7"/>
  <c r="C58" i="7"/>
  <c r="T57" i="7"/>
  <c r="S57" i="7"/>
  <c r="P57" i="7"/>
  <c r="M57" i="7"/>
  <c r="Q57" i="7" s="1"/>
  <c r="L57" i="7"/>
  <c r="K57" i="7"/>
  <c r="J57" i="7"/>
  <c r="I57" i="7"/>
  <c r="F57" i="7"/>
  <c r="C57" i="7"/>
  <c r="G57" i="7" s="1"/>
  <c r="T56" i="7"/>
  <c r="S56" i="7"/>
  <c r="Q56" i="7"/>
  <c r="P56" i="7"/>
  <c r="M56" i="7"/>
  <c r="L56" i="7"/>
  <c r="K56" i="7"/>
  <c r="J56" i="7"/>
  <c r="I56" i="7"/>
  <c r="F56" i="7"/>
  <c r="C56" i="7"/>
  <c r="G56" i="7" s="1"/>
  <c r="S55" i="7"/>
  <c r="T55" i="7" s="1"/>
  <c r="P55" i="7"/>
  <c r="M55" i="7"/>
  <c r="K55" i="7"/>
  <c r="I55" i="7"/>
  <c r="J55" i="7" s="1"/>
  <c r="F55" i="7"/>
  <c r="C55" i="7"/>
  <c r="R54" i="7"/>
  <c r="O54" i="7"/>
  <c r="N54" i="7"/>
  <c r="H54" i="7"/>
  <c r="E54" i="7"/>
  <c r="D54" i="7"/>
  <c r="T53" i="7"/>
  <c r="S53" i="7"/>
  <c r="P53" i="7"/>
  <c r="M53" i="7"/>
  <c r="Q53" i="7" s="1"/>
  <c r="L53" i="7"/>
  <c r="K53" i="7"/>
  <c r="J53" i="7"/>
  <c r="I53" i="7"/>
  <c r="F53" i="7"/>
  <c r="C53" i="7"/>
  <c r="G53" i="7" s="1"/>
  <c r="T52" i="7"/>
  <c r="S52" i="7"/>
  <c r="P52" i="7"/>
  <c r="M52" i="7"/>
  <c r="Q52" i="7" s="1"/>
  <c r="L52" i="7"/>
  <c r="K52" i="7"/>
  <c r="J52" i="7"/>
  <c r="I52" i="7"/>
  <c r="F52" i="7"/>
  <c r="C52" i="7"/>
  <c r="G52" i="7" s="1"/>
  <c r="T51" i="7"/>
  <c r="S51" i="7"/>
  <c r="P51" i="7"/>
  <c r="M51" i="7"/>
  <c r="Q51" i="7" s="1"/>
  <c r="L51" i="7"/>
  <c r="K51" i="7"/>
  <c r="J51" i="7"/>
  <c r="I51" i="7"/>
  <c r="F51" i="7"/>
  <c r="C51" i="7"/>
  <c r="G51" i="7" s="1"/>
  <c r="T50" i="7"/>
  <c r="S50" i="7"/>
  <c r="P50" i="7"/>
  <c r="M50" i="7"/>
  <c r="Q50" i="7" s="1"/>
  <c r="L50" i="7"/>
  <c r="K50" i="7"/>
  <c r="J50" i="7"/>
  <c r="I50" i="7"/>
  <c r="F50" i="7"/>
  <c r="C50" i="7"/>
  <c r="G50" i="7" s="1"/>
  <c r="T49" i="7"/>
  <c r="S49" i="7"/>
  <c r="P49" i="7"/>
  <c r="M49" i="7"/>
  <c r="Q49" i="7" s="1"/>
  <c r="L49" i="7"/>
  <c r="K49" i="7"/>
  <c r="J49" i="7"/>
  <c r="I49" i="7"/>
  <c r="F49" i="7"/>
  <c r="C49" i="7"/>
  <c r="G49" i="7" s="1"/>
  <c r="T48" i="7"/>
  <c r="S48" i="7"/>
  <c r="P48" i="7"/>
  <c r="M48" i="7"/>
  <c r="Q48" i="7" s="1"/>
  <c r="L48" i="7"/>
  <c r="K48" i="7"/>
  <c r="J48" i="7"/>
  <c r="I48" i="7"/>
  <c r="F48" i="7"/>
  <c r="C48" i="7"/>
  <c r="G48" i="7" s="1"/>
  <c r="T47" i="7"/>
  <c r="S47" i="7"/>
  <c r="P47" i="7"/>
  <c r="M47" i="7"/>
  <c r="Q47" i="7" s="1"/>
  <c r="L47" i="7"/>
  <c r="K47" i="7"/>
  <c r="J47" i="7"/>
  <c r="I47" i="7"/>
  <c r="F47" i="7"/>
  <c r="C47" i="7"/>
  <c r="G47" i="7" s="1"/>
  <c r="T46" i="7"/>
  <c r="S46" i="7"/>
  <c r="P46" i="7"/>
  <c r="M46" i="7"/>
  <c r="Q46" i="7" s="1"/>
  <c r="L46" i="7"/>
  <c r="K46" i="7"/>
  <c r="J46" i="7"/>
  <c r="I46" i="7"/>
  <c r="F46" i="7"/>
  <c r="C46" i="7"/>
  <c r="G46" i="7" s="1"/>
  <c r="T45" i="7"/>
  <c r="S45" i="7"/>
  <c r="P45" i="7"/>
  <c r="M45" i="7"/>
  <c r="Q45" i="7" s="1"/>
  <c r="L45" i="7"/>
  <c r="K45" i="7"/>
  <c r="J45" i="7"/>
  <c r="I45" i="7"/>
  <c r="F45" i="7"/>
  <c r="C45" i="7"/>
  <c r="G45" i="7" s="1"/>
  <c r="T44" i="7"/>
  <c r="S44" i="7"/>
  <c r="P44" i="7"/>
  <c r="M44" i="7"/>
  <c r="Q44" i="7" s="1"/>
  <c r="L44" i="7"/>
  <c r="K44" i="7"/>
  <c r="J44" i="7"/>
  <c r="I44" i="7"/>
  <c r="F44" i="7"/>
  <c r="C44" i="7"/>
  <c r="G44" i="7" s="1"/>
  <c r="T43" i="7"/>
  <c r="S43" i="7"/>
  <c r="P43" i="7"/>
  <c r="M43" i="7"/>
  <c r="Q43" i="7" s="1"/>
  <c r="L43" i="7"/>
  <c r="K43" i="7"/>
  <c r="J43" i="7"/>
  <c r="I43" i="7"/>
  <c r="F43" i="7"/>
  <c r="C43" i="7"/>
  <c r="G43" i="7" s="1"/>
  <c r="T42" i="7"/>
  <c r="S42" i="7"/>
  <c r="P42" i="7"/>
  <c r="M42" i="7"/>
  <c r="Q42" i="7" s="1"/>
  <c r="L42" i="7"/>
  <c r="K42" i="7"/>
  <c r="J42" i="7"/>
  <c r="I42" i="7"/>
  <c r="F42" i="7"/>
  <c r="C42" i="7"/>
  <c r="G42" i="7" s="1"/>
  <c r="T41" i="7"/>
  <c r="S41" i="7"/>
  <c r="P41" i="7"/>
  <c r="M41" i="7"/>
  <c r="Q41" i="7" s="1"/>
  <c r="L41" i="7"/>
  <c r="K41" i="7"/>
  <c r="J41" i="7"/>
  <c r="I41" i="7"/>
  <c r="F41" i="7"/>
  <c r="C41" i="7"/>
  <c r="G41" i="7" s="1"/>
  <c r="T40" i="7"/>
  <c r="S40" i="7"/>
  <c r="P40" i="7"/>
  <c r="M40" i="7"/>
  <c r="Q40" i="7" s="1"/>
  <c r="L40" i="7"/>
  <c r="K40" i="7"/>
  <c r="J40" i="7"/>
  <c r="I40" i="7"/>
  <c r="F40" i="7"/>
  <c r="C40" i="7"/>
  <c r="G40" i="7" s="1"/>
  <c r="T39" i="7"/>
  <c r="S39" i="7"/>
  <c r="P39" i="7"/>
  <c r="M39" i="7"/>
  <c r="Q39" i="7" s="1"/>
  <c r="L39" i="7"/>
  <c r="K39" i="7"/>
  <c r="J39" i="7"/>
  <c r="I39" i="7"/>
  <c r="F39" i="7"/>
  <c r="C39" i="7"/>
  <c r="G39" i="7" s="1"/>
  <c r="S38" i="7"/>
  <c r="T38" i="7" s="1"/>
  <c r="P38" i="7"/>
  <c r="M38" i="7"/>
  <c r="K38" i="7"/>
  <c r="L38" i="7" s="1"/>
  <c r="I38" i="7"/>
  <c r="J38" i="7" s="1"/>
  <c r="F38" i="7"/>
  <c r="C38" i="7"/>
  <c r="T37" i="7"/>
  <c r="S37" i="7"/>
  <c r="P37" i="7"/>
  <c r="M37" i="7"/>
  <c r="Q37" i="7" s="1"/>
  <c r="L37" i="7"/>
  <c r="K37" i="7"/>
  <c r="J37" i="7"/>
  <c r="I37" i="7"/>
  <c r="F37" i="7"/>
  <c r="C37" i="7"/>
  <c r="G37" i="7" s="1"/>
  <c r="T36" i="7"/>
  <c r="S36" i="7"/>
  <c r="P36" i="7"/>
  <c r="M36" i="7"/>
  <c r="Q36" i="7" s="1"/>
  <c r="L36" i="7"/>
  <c r="K36" i="7"/>
  <c r="J36" i="7"/>
  <c r="I36" i="7"/>
  <c r="F36" i="7"/>
  <c r="C36" i="7"/>
  <c r="G36" i="7" s="1"/>
  <c r="T35" i="7"/>
  <c r="S35" i="7"/>
  <c r="P35" i="7"/>
  <c r="M35" i="7"/>
  <c r="L35" i="7"/>
  <c r="K35" i="7"/>
  <c r="J35" i="7"/>
  <c r="I35" i="7"/>
  <c r="F35" i="7"/>
  <c r="C35" i="7"/>
  <c r="G35" i="7" s="1"/>
  <c r="S34" i="7"/>
  <c r="T34" i="7" s="1"/>
  <c r="P34" i="7"/>
  <c r="M34" i="7"/>
  <c r="K34" i="7"/>
  <c r="L34" i="7" s="1"/>
  <c r="I34" i="7"/>
  <c r="J34" i="7" s="1"/>
  <c r="F34" i="7"/>
  <c r="C34" i="7"/>
  <c r="R33" i="7"/>
  <c r="O33" i="7"/>
  <c r="N33" i="7"/>
  <c r="H33" i="7"/>
  <c r="E33" i="7"/>
  <c r="D33" i="7"/>
  <c r="S32" i="7"/>
  <c r="T32" i="7" s="1"/>
  <c r="P32" i="7"/>
  <c r="Q32" i="7" s="1"/>
  <c r="M32" i="7"/>
  <c r="K32" i="7"/>
  <c r="L32" i="7" s="1"/>
  <c r="I32" i="7"/>
  <c r="J32" i="7" s="1"/>
  <c r="F32" i="7"/>
  <c r="C32" i="7"/>
  <c r="T31" i="7"/>
  <c r="S31" i="7"/>
  <c r="P31" i="7"/>
  <c r="M31" i="7"/>
  <c r="Q31" i="7" s="1"/>
  <c r="L31" i="7"/>
  <c r="K31" i="7"/>
  <c r="J31" i="7"/>
  <c r="I31" i="7"/>
  <c r="G31" i="7"/>
  <c r="F31" i="7"/>
  <c r="C31" i="7"/>
  <c r="T30" i="7"/>
  <c r="S30" i="7"/>
  <c r="P30" i="7"/>
  <c r="M30" i="7"/>
  <c r="Q30" i="7" s="1"/>
  <c r="L30" i="7"/>
  <c r="K30" i="7"/>
  <c r="J30" i="7"/>
  <c r="I30" i="7"/>
  <c r="F30" i="7"/>
  <c r="C30" i="7"/>
  <c r="G30" i="7" s="1"/>
  <c r="T29" i="7"/>
  <c r="S29" i="7"/>
  <c r="P29" i="7"/>
  <c r="M29" i="7"/>
  <c r="Q29" i="7" s="1"/>
  <c r="L29" i="7"/>
  <c r="K29" i="7"/>
  <c r="J29" i="7"/>
  <c r="I29" i="7"/>
  <c r="G29" i="7"/>
  <c r="F29" i="7"/>
  <c r="C29" i="7"/>
  <c r="T28" i="7"/>
  <c r="S28" i="7"/>
  <c r="P28" i="7"/>
  <c r="M28" i="7"/>
  <c r="Q28" i="7" s="1"/>
  <c r="L28" i="7"/>
  <c r="K28" i="7"/>
  <c r="J28" i="7"/>
  <c r="I28" i="7"/>
  <c r="G28" i="7"/>
  <c r="F28" i="7"/>
  <c r="C28" i="7"/>
  <c r="T27" i="7"/>
  <c r="S27" i="7"/>
  <c r="P27" i="7"/>
  <c r="M27" i="7"/>
  <c r="Q27" i="7" s="1"/>
  <c r="L27" i="7"/>
  <c r="K27" i="7"/>
  <c r="J27" i="7"/>
  <c r="I27" i="7"/>
  <c r="G27" i="7"/>
  <c r="F27" i="7"/>
  <c r="C27" i="7"/>
  <c r="T26" i="7"/>
  <c r="S26" i="7"/>
  <c r="P26" i="7"/>
  <c r="M26" i="7"/>
  <c r="Q26" i="7" s="1"/>
  <c r="L26" i="7"/>
  <c r="K26" i="7"/>
  <c r="J26" i="7"/>
  <c r="I26" i="7"/>
  <c r="G26" i="7"/>
  <c r="F26" i="7"/>
  <c r="C26" i="7"/>
  <c r="T25" i="7"/>
  <c r="S25" i="7"/>
  <c r="P25" i="7"/>
  <c r="M25" i="7"/>
  <c r="Q25" i="7" s="1"/>
  <c r="L25" i="7"/>
  <c r="K25" i="7"/>
  <c r="J25" i="7"/>
  <c r="I25" i="7"/>
  <c r="G25" i="7"/>
  <c r="F25" i="7"/>
  <c r="C25" i="7"/>
  <c r="T24" i="7"/>
  <c r="S24" i="7"/>
  <c r="P24" i="7"/>
  <c r="M24" i="7"/>
  <c r="Q24" i="7" s="1"/>
  <c r="L24" i="7"/>
  <c r="K24" i="7"/>
  <c r="J24" i="7"/>
  <c r="I24" i="7"/>
  <c r="G24" i="7"/>
  <c r="F24" i="7"/>
  <c r="C24" i="7"/>
  <c r="T23" i="7"/>
  <c r="S23" i="7"/>
  <c r="P23" i="7"/>
  <c r="M23" i="7"/>
  <c r="Q23" i="7" s="1"/>
  <c r="L23" i="7"/>
  <c r="K23" i="7"/>
  <c r="J23" i="7"/>
  <c r="I23" i="7"/>
  <c r="G23" i="7"/>
  <c r="F23" i="7"/>
  <c r="C23" i="7"/>
  <c r="T22" i="7"/>
  <c r="S22" i="7"/>
  <c r="P22" i="7"/>
  <c r="M22" i="7"/>
  <c r="Q22" i="7" s="1"/>
  <c r="L22" i="7"/>
  <c r="K22" i="7"/>
  <c r="J22" i="7"/>
  <c r="I22" i="7"/>
  <c r="G22" i="7"/>
  <c r="F22" i="7"/>
  <c r="C22" i="7"/>
  <c r="T21" i="7"/>
  <c r="S21" i="7"/>
  <c r="P21" i="7"/>
  <c r="M21" i="7"/>
  <c r="Q21" i="7" s="1"/>
  <c r="L21" i="7"/>
  <c r="K21" i="7"/>
  <c r="J21" i="7"/>
  <c r="I21" i="7"/>
  <c r="G21" i="7"/>
  <c r="F21" i="7"/>
  <c r="C21" i="7"/>
  <c r="T20" i="7"/>
  <c r="S20" i="7"/>
  <c r="P20" i="7"/>
  <c r="M20" i="7"/>
  <c r="Q20" i="7" s="1"/>
  <c r="L20" i="7"/>
  <c r="K20" i="7"/>
  <c r="J20" i="7"/>
  <c r="I20" i="7"/>
  <c r="G20" i="7"/>
  <c r="F20" i="7"/>
  <c r="C20" i="7"/>
  <c r="T19" i="7"/>
  <c r="S19" i="7"/>
  <c r="P19" i="7"/>
  <c r="M19" i="7"/>
  <c r="Q19" i="7" s="1"/>
  <c r="L19" i="7"/>
  <c r="K19" i="7"/>
  <c r="J19" i="7"/>
  <c r="I19" i="7"/>
  <c r="G19" i="7"/>
  <c r="F19" i="7"/>
  <c r="C19" i="7"/>
  <c r="S18" i="7"/>
  <c r="T18" i="7" s="1"/>
  <c r="P18" i="7"/>
  <c r="Q18" i="7" s="1"/>
  <c r="M18" i="7"/>
  <c r="L18" i="7"/>
  <c r="K18" i="7"/>
  <c r="J18" i="7"/>
  <c r="I18" i="7"/>
  <c r="F18" i="7"/>
  <c r="C18" i="7"/>
  <c r="G18" i="7" s="1"/>
  <c r="T17" i="7"/>
  <c r="S17" i="7"/>
  <c r="P17" i="7"/>
  <c r="M17" i="7"/>
  <c r="Q17" i="7" s="1"/>
  <c r="L17" i="7"/>
  <c r="K17" i="7"/>
  <c r="J17" i="7"/>
  <c r="I17" i="7"/>
  <c r="F17" i="7"/>
  <c r="C17" i="7"/>
  <c r="S16" i="7"/>
  <c r="T16" i="7" s="1"/>
  <c r="P16" i="7"/>
  <c r="M16" i="7"/>
  <c r="L16" i="7"/>
  <c r="K16" i="7"/>
  <c r="J16" i="7"/>
  <c r="I16" i="7"/>
  <c r="F16" i="7"/>
  <c r="C16" i="7"/>
  <c r="G16" i="7" s="1"/>
  <c r="R15" i="7"/>
  <c r="O15" i="7"/>
  <c r="O10" i="7" s="1"/>
  <c r="N15" i="7"/>
  <c r="H15" i="7"/>
  <c r="E15" i="7"/>
  <c r="D15" i="7"/>
  <c r="T14" i="7"/>
  <c r="Q14" i="7"/>
  <c r="L14" i="7"/>
  <c r="J14" i="7"/>
  <c r="G14" i="7"/>
  <c r="N13" i="7"/>
  <c r="I13" i="7"/>
  <c r="O12" i="7"/>
  <c r="I12" i="7"/>
  <c r="I11" i="7" s="1"/>
  <c r="D12" i="7"/>
  <c r="AA114" i="6"/>
  <c r="X114" i="6"/>
  <c r="T114" i="6"/>
  <c r="S114" i="6"/>
  <c r="P114" i="6"/>
  <c r="M114" i="6"/>
  <c r="J114" i="6"/>
  <c r="C114" i="6"/>
  <c r="G114" i="6" s="1"/>
  <c r="AA113" i="6"/>
  <c r="T113" i="6"/>
  <c r="X113" i="6" s="1"/>
  <c r="S113" i="6"/>
  <c r="P113" i="6"/>
  <c r="M113" i="6"/>
  <c r="J113" i="6"/>
  <c r="C113" i="6"/>
  <c r="G113" i="6" s="1"/>
  <c r="AA112" i="6"/>
  <c r="T112" i="6"/>
  <c r="X112" i="6" s="1"/>
  <c r="S112" i="6"/>
  <c r="P112" i="6"/>
  <c r="M112" i="6"/>
  <c r="J112" i="6"/>
  <c r="G112" i="6"/>
  <c r="C112" i="6"/>
  <c r="AA111" i="6"/>
  <c r="X111" i="6"/>
  <c r="T111" i="6"/>
  <c r="S111" i="6"/>
  <c r="P111" i="6"/>
  <c r="M111" i="6"/>
  <c r="J111" i="6"/>
  <c r="C111" i="6"/>
  <c r="G111" i="6" s="1"/>
  <c r="AA110" i="6"/>
  <c r="T110" i="6"/>
  <c r="X110" i="6" s="1"/>
  <c r="S110" i="6"/>
  <c r="P110" i="6"/>
  <c r="M110" i="6"/>
  <c r="J110" i="6"/>
  <c r="C110" i="6"/>
  <c r="G110" i="6" s="1"/>
  <c r="A110" i="6"/>
  <c r="A111" i="6" s="1"/>
  <c r="A112" i="6" s="1"/>
  <c r="AA109" i="6"/>
  <c r="T109" i="6"/>
  <c r="X109" i="6" s="1"/>
  <c r="S109" i="6"/>
  <c r="P109" i="6"/>
  <c r="M109" i="6"/>
  <c r="J109" i="6"/>
  <c r="C109" i="6"/>
  <c r="G109" i="6" s="1"/>
  <c r="AA108" i="6"/>
  <c r="T108" i="6"/>
  <c r="X108" i="6" s="1"/>
  <c r="S108" i="6"/>
  <c r="P108" i="6"/>
  <c r="M108" i="6"/>
  <c r="J108" i="6"/>
  <c r="C108" i="6"/>
  <c r="G108" i="6" s="1"/>
  <c r="AA107" i="6"/>
  <c r="T107" i="6"/>
  <c r="S107" i="6"/>
  <c r="P107" i="6"/>
  <c r="M107" i="6"/>
  <c r="J107" i="6"/>
  <c r="C107" i="6"/>
  <c r="G107" i="6" s="1"/>
  <c r="Z106" i="6"/>
  <c r="Z13" i="6" s="1"/>
  <c r="Y106" i="6"/>
  <c r="AA106" i="6" s="1"/>
  <c r="W106" i="6"/>
  <c r="W13" i="6" s="1"/>
  <c r="V106" i="6"/>
  <c r="V13" i="6" s="1"/>
  <c r="U106" i="6"/>
  <c r="U13" i="6" s="1"/>
  <c r="R106" i="6"/>
  <c r="Q106" i="6"/>
  <c r="S106" i="6" s="1"/>
  <c r="O106" i="6"/>
  <c r="O13" i="6" s="1"/>
  <c r="N106" i="6"/>
  <c r="P106" i="6" s="1"/>
  <c r="L106" i="6"/>
  <c r="K106" i="6"/>
  <c r="M106" i="6" s="1"/>
  <c r="J106" i="6"/>
  <c r="I106" i="6"/>
  <c r="I13" i="6" s="1"/>
  <c r="H106" i="6"/>
  <c r="F106" i="6"/>
  <c r="F13" i="6" s="1"/>
  <c r="E106" i="6"/>
  <c r="E13" i="6" s="1"/>
  <c r="D106" i="6"/>
  <c r="AA105" i="6"/>
  <c r="X105" i="6"/>
  <c r="W105" i="6"/>
  <c r="T105" i="6"/>
  <c r="S105" i="6"/>
  <c r="P105" i="6"/>
  <c r="M105" i="6"/>
  <c r="J105" i="6"/>
  <c r="F105" i="6"/>
  <c r="C105" i="6"/>
  <c r="G105" i="6" s="1"/>
  <c r="AA104" i="6"/>
  <c r="W104" i="6"/>
  <c r="T104" i="6"/>
  <c r="X104" i="6" s="1"/>
  <c r="S104" i="6"/>
  <c r="P104" i="6"/>
  <c r="M104" i="6"/>
  <c r="J104" i="6"/>
  <c r="F104" i="6"/>
  <c r="C104" i="6"/>
  <c r="G104" i="6" s="1"/>
  <c r="AA103" i="6"/>
  <c r="W103" i="6"/>
  <c r="T103" i="6"/>
  <c r="X103" i="6" s="1"/>
  <c r="S103" i="6"/>
  <c r="P103" i="6"/>
  <c r="M103" i="6"/>
  <c r="J103" i="6"/>
  <c r="F103" i="6"/>
  <c r="C103" i="6"/>
  <c r="G103" i="6" s="1"/>
  <c r="AA102" i="6"/>
  <c r="X102" i="6"/>
  <c r="W102" i="6"/>
  <c r="T102" i="6"/>
  <c r="S102" i="6"/>
  <c r="P102" i="6"/>
  <c r="M102" i="6"/>
  <c r="J102" i="6"/>
  <c r="F102" i="6"/>
  <c r="C102" i="6"/>
  <c r="G102" i="6" s="1"/>
  <c r="AA101" i="6"/>
  <c r="W101" i="6"/>
  <c r="T101" i="6"/>
  <c r="X101" i="6" s="1"/>
  <c r="S101" i="6"/>
  <c r="P101" i="6"/>
  <c r="M101" i="6"/>
  <c r="J101" i="6"/>
  <c r="F101" i="6"/>
  <c r="C101" i="6"/>
  <c r="G101" i="6" s="1"/>
  <c r="AA100" i="6"/>
  <c r="W100" i="6"/>
  <c r="T100" i="6"/>
  <c r="X100" i="6" s="1"/>
  <c r="S100" i="6"/>
  <c r="P100" i="6"/>
  <c r="M100" i="6"/>
  <c r="J100" i="6"/>
  <c r="F100" i="6"/>
  <c r="C100" i="6"/>
  <c r="G100" i="6" s="1"/>
  <c r="AA99" i="6"/>
  <c r="W99" i="6"/>
  <c r="T99" i="6"/>
  <c r="X99" i="6" s="1"/>
  <c r="S99" i="6"/>
  <c r="P99" i="6"/>
  <c r="M99" i="6"/>
  <c r="J99" i="6"/>
  <c r="G99" i="6"/>
  <c r="F99" i="6"/>
  <c r="C99" i="6"/>
  <c r="AA98" i="6"/>
  <c r="W98" i="6"/>
  <c r="X98" i="6" s="1"/>
  <c r="T98" i="6"/>
  <c r="S98" i="6"/>
  <c r="P98" i="6"/>
  <c r="M98" i="6"/>
  <c r="J98" i="6"/>
  <c r="F98" i="6"/>
  <c r="C98" i="6"/>
  <c r="AA97" i="6"/>
  <c r="W97" i="6"/>
  <c r="T97" i="6"/>
  <c r="X97" i="6" s="1"/>
  <c r="S97" i="6"/>
  <c r="P97" i="6"/>
  <c r="M97" i="6"/>
  <c r="J97" i="6"/>
  <c r="G97" i="6"/>
  <c r="F97" i="6"/>
  <c r="C97" i="6"/>
  <c r="AA96" i="6"/>
  <c r="W96" i="6"/>
  <c r="T96" i="6"/>
  <c r="X96" i="6" s="1"/>
  <c r="S96" i="6"/>
  <c r="P96" i="6"/>
  <c r="M96" i="6"/>
  <c r="J96" i="6"/>
  <c r="G96" i="6"/>
  <c r="F96" i="6"/>
  <c r="C96" i="6"/>
  <c r="AA95" i="6"/>
  <c r="X95" i="6"/>
  <c r="W95" i="6"/>
  <c r="T95" i="6"/>
  <c r="S95" i="6"/>
  <c r="P95" i="6"/>
  <c r="M95" i="6"/>
  <c r="J95" i="6"/>
  <c r="F95" i="6"/>
  <c r="C95" i="6"/>
  <c r="A95" i="6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A94" i="6"/>
  <c r="W94" i="6"/>
  <c r="T94" i="6"/>
  <c r="X94" i="6" s="1"/>
  <c r="S94" i="6"/>
  <c r="P94" i="6"/>
  <c r="M94" i="6"/>
  <c r="J94" i="6"/>
  <c r="F94" i="6"/>
  <c r="C94" i="6"/>
  <c r="G94" i="6" s="1"/>
  <c r="AA93" i="6"/>
  <c r="W93" i="6"/>
  <c r="T93" i="6"/>
  <c r="S93" i="6"/>
  <c r="P93" i="6"/>
  <c r="M93" i="6"/>
  <c r="J93" i="6"/>
  <c r="F93" i="6"/>
  <c r="C93" i="6"/>
  <c r="G93" i="6" s="1"/>
  <c r="AA92" i="6"/>
  <c r="W92" i="6"/>
  <c r="T92" i="6"/>
  <c r="X92" i="6" s="1"/>
  <c r="S92" i="6"/>
  <c r="P92" i="6"/>
  <c r="M92" i="6"/>
  <c r="J92" i="6"/>
  <c r="F92" i="6"/>
  <c r="C92" i="6"/>
  <c r="G92" i="6" s="1"/>
  <c r="Z91" i="6"/>
  <c r="Z12" i="6" s="1"/>
  <c r="Y91" i="6"/>
  <c r="AA91" i="6" s="1"/>
  <c r="V91" i="6"/>
  <c r="U91" i="6"/>
  <c r="R91" i="6"/>
  <c r="R12" i="6" s="1"/>
  <c r="Q91" i="6"/>
  <c r="S91" i="6" s="1"/>
  <c r="P91" i="6"/>
  <c r="O91" i="6"/>
  <c r="O12" i="6" s="1"/>
  <c r="N91" i="6"/>
  <c r="L91" i="6"/>
  <c r="L12" i="6" s="1"/>
  <c r="K91" i="6"/>
  <c r="M91" i="6" s="1"/>
  <c r="I91" i="6"/>
  <c r="H91" i="6"/>
  <c r="J91" i="6" s="1"/>
  <c r="E91" i="6"/>
  <c r="E12" i="6" s="1"/>
  <c r="D91" i="6"/>
  <c r="D12" i="6" s="1"/>
  <c r="Z90" i="6"/>
  <c r="AA90" i="6" s="1"/>
  <c r="W90" i="6"/>
  <c r="T90" i="6"/>
  <c r="R90" i="6"/>
  <c r="S90" i="6" s="1"/>
  <c r="O90" i="6"/>
  <c r="P90" i="6" s="1"/>
  <c r="L90" i="6"/>
  <c r="M90" i="6" s="1"/>
  <c r="I90" i="6"/>
  <c r="J90" i="6" s="1"/>
  <c r="F90" i="6"/>
  <c r="C90" i="6"/>
  <c r="Z89" i="6"/>
  <c r="AA89" i="6" s="1"/>
  <c r="W89" i="6"/>
  <c r="X89" i="6" s="1"/>
  <c r="T89" i="6"/>
  <c r="S89" i="6"/>
  <c r="R89" i="6"/>
  <c r="P89" i="6"/>
  <c r="O89" i="6"/>
  <c r="M89" i="6"/>
  <c r="L89" i="6"/>
  <c r="J89" i="6"/>
  <c r="I89" i="6"/>
  <c r="F89" i="6"/>
  <c r="C89" i="6"/>
  <c r="G89" i="6" s="1"/>
  <c r="Z88" i="6"/>
  <c r="AA88" i="6" s="1"/>
  <c r="W88" i="6"/>
  <c r="T88" i="6"/>
  <c r="S88" i="6"/>
  <c r="R88" i="6"/>
  <c r="P88" i="6"/>
  <c r="O88" i="6"/>
  <c r="M88" i="6"/>
  <c r="L88" i="6"/>
  <c r="J88" i="6"/>
  <c r="I88" i="6"/>
  <c r="F88" i="6"/>
  <c r="C88" i="6"/>
  <c r="G88" i="6" s="1"/>
  <c r="AA87" i="6"/>
  <c r="Z87" i="6"/>
  <c r="W87" i="6"/>
  <c r="T87" i="6"/>
  <c r="X87" i="6" s="1"/>
  <c r="S87" i="6"/>
  <c r="R87" i="6"/>
  <c r="P87" i="6"/>
  <c r="O87" i="6"/>
  <c r="M87" i="6"/>
  <c r="L87" i="6"/>
  <c r="J87" i="6"/>
  <c r="I87" i="6"/>
  <c r="F87" i="6"/>
  <c r="C87" i="6"/>
  <c r="G87" i="6" s="1"/>
  <c r="AA86" i="6"/>
  <c r="Z86" i="6"/>
  <c r="W86" i="6"/>
  <c r="T86" i="6"/>
  <c r="X86" i="6" s="1"/>
  <c r="S86" i="6"/>
  <c r="R86" i="6"/>
  <c r="P86" i="6"/>
  <c r="O86" i="6"/>
  <c r="M86" i="6"/>
  <c r="L86" i="6"/>
  <c r="J86" i="6"/>
  <c r="I86" i="6"/>
  <c r="F86" i="6"/>
  <c r="C86" i="6"/>
  <c r="G86" i="6" s="1"/>
  <c r="AA85" i="6"/>
  <c r="Z85" i="6"/>
  <c r="W85" i="6"/>
  <c r="T85" i="6"/>
  <c r="X85" i="6" s="1"/>
  <c r="S85" i="6"/>
  <c r="R85" i="6"/>
  <c r="P85" i="6"/>
  <c r="O85" i="6"/>
  <c r="M85" i="6"/>
  <c r="L85" i="6"/>
  <c r="J85" i="6"/>
  <c r="I85" i="6"/>
  <c r="F85" i="6"/>
  <c r="C85" i="6"/>
  <c r="G85" i="6" s="1"/>
  <c r="AA84" i="6"/>
  <c r="Z84" i="6"/>
  <c r="W84" i="6"/>
  <c r="T84" i="6"/>
  <c r="X84" i="6" s="1"/>
  <c r="R84" i="6"/>
  <c r="S84" i="6" s="1"/>
  <c r="O84" i="6"/>
  <c r="P84" i="6" s="1"/>
  <c r="L84" i="6"/>
  <c r="M84" i="6" s="1"/>
  <c r="I84" i="6"/>
  <c r="J84" i="6" s="1"/>
  <c r="F84" i="6"/>
  <c r="C84" i="6"/>
  <c r="Z83" i="6"/>
  <c r="AA83" i="6" s="1"/>
  <c r="W83" i="6"/>
  <c r="T83" i="6"/>
  <c r="S83" i="6"/>
  <c r="R83" i="6"/>
  <c r="P83" i="6"/>
  <c r="O83" i="6"/>
  <c r="M83" i="6"/>
  <c r="L83" i="6"/>
  <c r="J83" i="6"/>
  <c r="I83" i="6"/>
  <c r="F83" i="6"/>
  <c r="C83" i="6"/>
  <c r="G83" i="6" s="1"/>
  <c r="AA82" i="6"/>
  <c r="Z82" i="6"/>
  <c r="W82" i="6"/>
  <c r="T82" i="6"/>
  <c r="X82" i="6" s="1"/>
  <c r="S82" i="6"/>
  <c r="R82" i="6"/>
  <c r="P82" i="6"/>
  <c r="O82" i="6"/>
  <c r="M82" i="6"/>
  <c r="L82" i="6"/>
  <c r="J82" i="6"/>
  <c r="I82" i="6"/>
  <c r="F82" i="6"/>
  <c r="C82" i="6"/>
  <c r="G82" i="6" s="1"/>
  <c r="AA81" i="6"/>
  <c r="Z81" i="6"/>
  <c r="W81" i="6"/>
  <c r="T81" i="6"/>
  <c r="X81" i="6" s="1"/>
  <c r="S81" i="6"/>
  <c r="R81" i="6"/>
  <c r="P81" i="6"/>
  <c r="O81" i="6"/>
  <c r="M81" i="6"/>
  <c r="L81" i="6"/>
  <c r="J81" i="6"/>
  <c r="I81" i="6"/>
  <c r="F81" i="6"/>
  <c r="C81" i="6"/>
  <c r="G81" i="6" s="1"/>
  <c r="AA80" i="6"/>
  <c r="Z80" i="6"/>
  <c r="W80" i="6"/>
  <c r="T80" i="6"/>
  <c r="X80" i="6" s="1"/>
  <c r="S80" i="6"/>
  <c r="R80" i="6"/>
  <c r="P80" i="6"/>
  <c r="O80" i="6"/>
  <c r="M80" i="6"/>
  <c r="L80" i="6"/>
  <c r="J80" i="6"/>
  <c r="I80" i="6"/>
  <c r="F80" i="6"/>
  <c r="C80" i="6"/>
  <c r="G80" i="6" s="1"/>
  <c r="AA79" i="6"/>
  <c r="Z79" i="6"/>
  <c r="X79" i="6"/>
  <c r="W79" i="6"/>
  <c r="T79" i="6"/>
  <c r="R79" i="6"/>
  <c r="S79" i="6" s="1"/>
  <c r="O79" i="6"/>
  <c r="P79" i="6" s="1"/>
  <c r="L79" i="6"/>
  <c r="M79" i="6" s="1"/>
  <c r="I79" i="6"/>
  <c r="J79" i="6" s="1"/>
  <c r="F79" i="6"/>
  <c r="C79" i="6"/>
  <c r="Z78" i="6"/>
  <c r="AA78" i="6" s="1"/>
  <c r="W78" i="6"/>
  <c r="T78" i="6"/>
  <c r="R78" i="6"/>
  <c r="S78" i="6" s="1"/>
  <c r="O78" i="6"/>
  <c r="P78" i="6" s="1"/>
  <c r="L78" i="6"/>
  <c r="M78" i="6" s="1"/>
  <c r="I78" i="6"/>
  <c r="J78" i="6" s="1"/>
  <c r="F78" i="6"/>
  <c r="C78" i="6"/>
  <c r="AA77" i="6"/>
  <c r="Z77" i="6"/>
  <c r="W77" i="6"/>
  <c r="T77" i="6"/>
  <c r="X77" i="6" s="1"/>
  <c r="S77" i="6"/>
  <c r="R77" i="6"/>
  <c r="P77" i="6"/>
  <c r="O77" i="6"/>
  <c r="M77" i="6"/>
  <c r="L77" i="6"/>
  <c r="J77" i="6"/>
  <c r="I77" i="6"/>
  <c r="F77" i="6"/>
  <c r="C77" i="6"/>
  <c r="Y76" i="6"/>
  <c r="V76" i="6"/>
  <c r="U76" i="6"/>
  <c r="Q76" i="6"/>
  <c r="N76" i="6"/>
  <c r="K76" i="6"/>
  <c r="H76" i="6"/>
  <c r="E76" i="6"/>
  <c r="D76" i="6"/>
  <c r="AA75" i="6"/>
  <c r="Z75" i="6"/>
  <c r="W75" i="6"/>
  <c r="T75" i="6"/>
  <c r="X75" i="6" s="1"/>
  <c r="S75" i="6"/>
  <c r="R75" i="6"/>
  <c r="P75" i="6"/>
  <c r="O75" i="6"/>
  <c r="M75" i="6"/>
  <c r="L75" i="6"/>
  <c r="J75" i="6"/>
  <c r="I75" i="6"/>
  <c r="G75" i="6"/>
  <c r="F75" i="6"/>
  <c r="C75" i="6"/>
  <c r="Z74" i="6"/>
  <c r="AA74" i="6" s="1"/>
  <c r="W74" i="6"/>
  <c r="X74" i="6" s="1"/>
  <c r="T74" i="6"/>
  <c r="R74" i="6"/>
  <c r="S74" i="6" s="1"/>
  <c r="O74" i="6"/>
  <c r="P74" i="6" s="1"/>
  <c r="L74" i="6"/>
  <c r="M74" i="6" s="1"/>
  <c r="I74" i="6"/>
  <c r="J74" i="6" s="1"/>
  <c r="F74" i="6"/>
  <c r="C74" i="6"/>
  <c r="AA73" i="6"/>
  <c r="Z73" i="6"/>
  <c r="W73" i="6"/>
  <c r="T73" i="6"/>
  <c r="X73" i="6" s="1"/>
  <c r="S73" i="6"/>
  <c r="R73" i="6"/>
  <c r="P73" i="6"/>
  <c r="O73" i="6"/>
  <c r="M73" i="6"/>
  <c r="L73" i="6"/>
  <c r="J73" i="6"/>
  <c r="I73" i="6"/>
  <c r="F73" i="6"/>
  <c r="C73" i="6"/>
  <c r="G73" i="6" s="1"/>
  <c r="Z72" i="6"/>
  <c r="AA72" i="6" s="1"/>
  <c r="W72" i="6"/>
  <c r="T72" i="6"/>
  <c r="R72" i="6"/>
  <c r="S72" i="6" s="1"/>
  <c r="O72" i="6"/>
  <c r="P72" i="6" s="1"/>
  <c r="L72" i="6"/>
  <c r="M72" i="6" s="1"/>
  <c r="I72" i="6"/>
  <c r="J72" i="6" s="1"/>
  <c r="F72" i="6"/>
  <c r="C72" i="6"/>
  <c r="Z71" i="6"/>
  <c r="AA71" i="6" s="1"/>
  <c r="W71" i="6"/>
  <c r="T71" i="6"/>
  <c r="S71" i="6"/>
  <c r="R71" i="6"/>
  <c r="P71" i="6"/>
  <c r="O71" i="6"/>
  <c r="M71" i="6"/>
  <c r="L71" i="6"/>
  <c r="J71" i="6"/>
  <c r="I71" i="6"/>
  <c r="G71" i="6"/>
  <c r="F71" i="6"/>
  <c r="C71" i="6"/>
  <c r="Z70" i="6"/>
  <c r="AA70" i="6" s="1"/>
  <c r="W70" i="6"/>
  <c r="T70" i="6"/>
  <c r="R70" i="6"/>
  <c r="S70" i="6" s="1"/>
  <c r="O70" i="6"/>
  <c r="P70" i="6" s="1"/>
  <c r="L70" i="6"/>
  <c r="M70" i="6" s="1"/>
  <c r="I70" i="6"/>
  <c r="J70" i="6" s="1"/>
  <c r="F70" i="6"/>
  <c r="C70" i="6"/>
  <c r="Z69" i="6"/>
  <c r="AA69" i="6" s="1"/>
  <c r="W69" i="6"/>
  <c r="T69" i="6"/>
  <c r="S69" i="6"/>
  <c r="R69" i="6"/>
  <c r="P69" i="6"/>
  <c r="O69" i="6"/>
  <c r="M69" i="6"/>
  <c r="L69" i="6"/>
  <c r="J69" i="6"/>
  <c r="I69" i="6"/>
  <c r="G69" i="6"/>
  <c r="F69" i="6"/>
  <c r="C69" i="6"/>
  <c r="Z68" i="6"/>
  <c r="AA68" i="6" s="1"/>
  <c r="W68" i="6"/>
  <c r="X68" i="6" s="1"/>
  <c r="T68" i="6"/>
  <c r="R68" i="6"/>
  <c r="S68" i="6" s="1"/>
  <c r="O68" i="6"/>
  <c r="P68" i="6" s="1"/>
  <c r="L68" i="6"/>
  <c r="M68" i="6" s="1"/>
  <c r="I68" i="6"/>
  <c r="J68" i="6" s="1"/>
  <c r="F68" i="6"/>
  <c r="C68" i="6"/>
  <c r="AA67" i="6"/>
  <c r="Z67" i="6"/>
  <c r="W67" i="6"/>
  <c r="T67" i="6"/>
  <c r="X67" i="6" s="1"/>
  <c r="S67" i="6"/>
  <c r="R67" i="6"/>
  <c r="P67" i="6"/>
  <c r="O67" i="6"/>
  <c r="M67" i="6"/>
  <c r="L67" i="6"/>
  <c r="J67" i="6"/>
  <c r="I67" i="6"/>
  <c r="F67" i="6"/>
  <c r="C67" i="6"/>
  <c r="G67" i="6" s="1"/>
  <c r="AA66" i="6"/>
  <c r="Z66" i="6"/>
  <c r="W66" i="6"/>
  <c r="T66" i="6"/>
  <c r="X66" i="6" s="1"/>
  <c r="S66" i="6"/>
  <c r="R66" i="6"/>
  <c r="P66" i="6"/>
  <c r="O66" i="6"/>
  <c r="M66" i="6"/>
  <c r="L66" i="6"/>
  <c r="J66" i="6"/>
  <c r="I66" i="6"/>
  <c r="G66" i="6"/>
  <c r="F66" i="6"/>
  <c r="C66" i="6"/>
  <c r="AA65" i="6"/>
  <c r="Z65" i="6"/>
  <c r="W65" i="6"/>
  <c r="T65" i="6"/>
  <c r="X65" i="6" s="1"/>
  <c r="R65" i="6"/>
  <c r="S65" i="6" s="1"/>
  <c r="O65" i="6"/>
  <c r="P65" i="6" s="1"/>
  <c r="L65" i="6"/>
  <c r="M65" i="6" s="1"/>
  <c r="I65" i="6"/>
  <c r="J65" i="6" s="1"/>
  <c r="F65" i="6"/>
  <c r="G65" i="6" s="1"/>
  <c r="C65" i="6"/>
  <c r="AA64" i="6"/>
  <c r="Z64" i="6"/>
  <c r="W64" i="6"/>
  <c r="T64" i="6"/>
  <c r="X64" i="6" s="1"/>
  <c r="S64" i="6"/>
  <c r="R64" i="6"/>
  <c r="P64" i="6"/>
  <c r="O64" i="6"/>
  <c r="M64" i="6"/>
  <c r="L64" i="6"/>
  <c r="J64" i="6"/>
  <c r="I64" i="6"/>
  <c r="F64" i="6"/>
  <c r="C64" i="6"/>
  <c r="G64" i="6" s="1"/>
  <c r="Z63" i="6"/>
  <c r="AA63" i="6" s="1"/>
  <c r="W63" i="6"/>
  <c r="T63" i="6"/>
  <c r="S63" i="6"/>
  <c r="R63" i="6"/>
  <c r="P63" i="6"/>
  <c r="O63" i="6"/>
  <c r="M63" i="6"/>
  <c r="L63" i="6"/>
  <c r="J63" i="6"/>
  <c r="I63" i="6"/>
  <c r="F63" i="6"/>
  <c r="C63" i="6"/>
  <c r="G63" i="6" s="1"/>
  <c r="AA62" i="6"/>
  <c r="Z62" i="6"/>
  <c r="W62" i="6"/>
  <c r="T62" i="6"/>
  <c r="X62" i="6" s="1"/>
  <c r="S62" i="6"/>
  <c r="R62" i="6"/>
  <c r="P62" i="6"/>
  <c r="O62" i="6"/>
  <c r="M62" i="6"/>
  <c r="L62" i="6"/>
  <c r="J62" i="6"/>
  <c r="I62" i="6"/>
  <c r="F62" i="6"/>
  <c r="C62" i="6"/>
  <c r="G62" i="6" s="1"/>
  <c r="Z61" i="6"/>
  <c r="AA61" i="6" s="1"/>
  <c r="W61" i="6"/>
  <c r="T61" i="6"/>
  <c r="S61" i="6"/>
  <c r="R61" i="6"/>
  <c r="P61" i="6"/>
  <c r="O61" i="6"/>
  <c r="M61" i="6"/>
  <c r="L61" i="6"/>
  <c r="J61" i="6"/>
  <c r="I61" i="6"/>
  <c r="G61" i="6"/>
  <c r="F61" i="6"/>
  <c r="C61" i="6"/>
  <c r="AA60" i="6"/>
  <c r="Z60" i="6"/>
  <c r="X60" i="6"/>
  <c r="W60" i="6"/>
  <c r="T60" i="6"/>
  <c r="S60" i="6"/>
  <c r="R60" i="6"/>
  <c r="P60" i="6"/>
  <c r="O60" i="6"/>
  <c r="M60" i="6"/>
  <c r="L60" i="6"/>
  <c r="J60" i="6"/>
  <c r="I60" i="6"/>
  <c r="F60" i="6"/>
  <c r="C60" i="6"/>
  <c r="G60" i="6" s="1"/>
  <c r="Z59" i="6"/>
  <c r="AA59" i="6" s="1"/>
  <c r="W59" i="6"/>
  <c r="T59" i="6"/>
  <c r="R59" i="6"/>
  <c r="S59" i="6" s="1"/>
  <c r="O59" i="6"/>
  <c r="P59" i="6" s="1"/>
  <c r="L59" i="6"/>
  <c r="M59" i="6" s="1"/>
  <c r="I59" i="6"/>
  <c r="J59" i="6" s="1"/>
  <c r="F59" i="6"/>
  <c r="C59" i="6"/>
  <c r="Z58" i="6"/>
  <c r="AA58" i="6" s="1"/>
  <c r="W58" i="6"/>
  <c r="T58" i="6"/>
  <c r="S58" i="6"/>
  <c r="R58" i="6"/>
  <c r="P58" i="6"/>
  <c r="O58" i="6"/>
  <c r="M58" i="6"/>
  <c r="L58" i="6"/>
  <c r="J58" i="6"/>
  <c r="I58" i="6"/>
  <c r="F58" i="6"/>
  <c r="C58" i="6"/>
  <c r="G58" i="6" s="1"/>
  <c r="Z57" i="6"/>
  <c r="AA57" i="6" s="1"/>
  <c r="W57" i="6"/>
  <c r="T57" i="6"/>
  <c r="R57" i="6"/>
  <c r="S57" i="6" s="1"/>
  <c r="O57" i="6"/>
  <c r="P57" i="6" s="1"/>
  <c r="L57" i="6"/>
  <c r="M57" i="6" s="1"/>
  <c r="I57" i="6"/>
  <c r="J57" i="6" s="1"/>
  <c r="F57" i="6"/>
  <c r="G57" i="6" s="1"/>
  <c r="C57" i="6"/>
  <c r="Z56" i="6"/>
  <c r="AA56" i="6" s="1"/>
  <c r="W56" i="6"/>
  <c r="X56" i="6" s="1"/>
  <c r="T56" i="6"/>
  <c r="R56" i="6"/>
  <c r="S56" i="6" s="1"/>
  <c r="O56" i="6"/>
  <c r="P56" i="6" s="1"/>
  <c r="L56" i="6"/>
  <c r="M56" i="6" s="1"/>
  <c r="I56" i="6"/>
  <c r="J56" i="6" s="1"/>
  <c r="F56" i="6"/>
  <c r="C56" i="6"/>
  <c r="Z55" i="6"/>
  <c r="W55" i="6"/>
  <c r="X55" i="6" s="1"/>
  <c r="T55" i="6"/>
  <c r="R55" i="6"/>
  <c r="S55" i="6" s="1"/>
  <c r="O55" i="6"/>
  <c r="P55" i="6" s="1"/>
  <c r="L55" i="6"/>
  <c r="I55" i="6"/>
  <c r="F55" i="6"/>
  <c r="C55" i="6"/>
  <c r="Y54" i="6"/>
  <c r="V54" i="6"/>
  <c r="U54" i="6"/>
  <c r="Q54" i="6"/>
  <c r="N54" i="6"/>
  <c r="K54" i="6"/>
  <c r="H54" i="6"/>
  <c r="E54" i="6"/>
  <c r="D54" i="6"/>
  <c r="Z53" i="6"/>
  <c r="AA53" i="6" s="1"/>
  <c r="W53" i="6"/>
  <c r="T53" i="6"/>
  <c r="R53" i="6"/>
  <c r="S53" i="6" s="1"/>
  <c r="O53" i="6"/>
  <c r="P53" i="6" s="1"/>
  <c r="L53" i="6"/>
  <c r="M53" i="6" s="1"/>
  <c r="I53" i="6"/>
  <c r="J53" i="6" s="1"/>
  <c r="F53" i="6"/>
  <c r="C53" i="6"/>
  <c r="Z52" i="6"/>
  <c r="AA52" i="6" s="1"/>
  <c r="W52" i="6"/>
  <c r="T52" i="6"/>
  <c r="R52" i="6"/>
  <c r="S52" i="6" s="1"/>
  <c r="O52" i="6"/>
  <c r="P52" i="6" s="1"/>
  <c r="L52" i="6"/>
  <c r="M52" i="6" s="1"/>
  <c r="I52" i="6"/>
  <c r="J52" i="6" s="1"/>
  <c r="F52" i="6"/>
  <c r="C52" i="6"/>
  <c r="Z51" i="6"/>
  <c r="AA51" i="6" s="1"/>
  <c r="W51" i="6"/>
  <c r="T51" i="6"/>
  <c r="S51" i="6"/>
  <c r="R51" i="6"/>
  <c r="P51" i="6"/>
  <c r="O51" i="6"/>
  <c r="M51" i="6"/>
  <c r="L51" i="6"/>
  <c r="J51" i="6"/>
  <c r="I51" i="6"/>
  <c r="F51" i="6"/>
  <c r="C51" i="6"/>
  <c r="G51" i="6" s="1"/>
  <c r="AA50" i="6"/>
  <c r="Z50" i="6"/>
  <c r="W50" i="6"/>
  <c r="T50" i="6"/>
  <c r="X50" i="6" s="1"/>
  <c r="S50" i="6"/>
  <c r="R50" i="6"/>
  <c r="P50" i="6"/>
  <c r="O50" i="6"/>
  <c r="M50" i="6"/>
  <c r="L50" i="6"/>
  <c r="J50" i="6"/>
  <c r="I50" i="6"/>
  <c r="F50" i="6"/>
  <c r="C50" i="6"/>
  <c r="G50" i="6" s="1"/>
  <c r="AA49" i="6"/>
  <c r="Z49" i="6"/>
  <c r="W49" i="6"/>
  <c r="T49" i="6"/>
  <c r="X49" i="6" s="1"/>
  <c r="R49" i="6"/>
  <c r="S49" i="6" s="1"/>
  <c r="O49" i="6"/>
  <c r="P49" i="6" s="1"/>
  <c r="L49" i="6"/>
  <c r="M49" i="6" s="1"/>
  <c r="I49" i="6"/>
  <c r="J49" i="6" s="1"/>
  <c r="F49" i="6"/>
  <c r="C49" i="6"/>
  <c r="Z48" i="6"/>
  <c r="AA48" i="6" s="1"/>
  <c r="W48" i="6"/>
  <c r="T48" i="6"/>
  <c r="S48" i="6"/>
  <c r="R48" i="6"/>
  <c r="P48" i="6"/>
  <c r="O48" i="6"/>
  <c r="M48" i="6"/>
  <c r="L48" i="6"/>
  <c r="J48" i="6"/>
  <c r="I48" i="6"/>
  <c r="F48" i="6"/>
  <c r="C48" i="6"/>
  <c r="G48" i="6" s="1"/>
  <c r="AA47" i="6"/>
  <c r="Z47" i="6"/>
  <c r="W47" i="6"/>
  <c r="T47" i="6"/>
  <c r="X47" i="6" s="1"/>
  <c r="R47" i="6"/>
  <c r="S47" i="6" s="1"/>
  <c r="O47" i="6"/>
  <c r="P47" i="6" s="1"/>
  <c r="L47" i="6"/>
  <c r="M47" i="6" s="1"/>
  <c r="I47" i="6"/>
  <c r="J47" i="6" s="1"/>
  <c r="F47" i="6"/>
  <c r="C47" i="6"/>
  <c r="Z46" i="6"/>
  <c r="AA46" i="6" s="1"/>
  <c r="W46" i="6"/>
  <c r="T46" i="6"/>
  <c r="R46" i="6"/>
  <c r="S46" i="6" s="1"/>
  <c r="O46" i="6"/>
  <c r="P46" i="6" s="1"/>
  <c r="L46" i="6"/>
  <c r="M46" i="6" s="1"/>
  <c r="I46" i="6"/>
  <c r="J46" i="6" s="1"/>
  <c r="F46" i="6"/>
  <c r="C46" i="6"/>
  <c r="Z45" i="6"/>
  <c r="AA45" i="6" s="1"/>
  <c r="W45" i="6"/>
  <c r="T45" i="6"/>
  <c r="S45" i="6"/>
  <c r="R45" i="6"/>
  <c r="P45" i="6"/>
  <c r="O45" i="6"/>
  <c r="M45" i="6"/>
  <c r="L45" i="6"/>
  <c r="J45" i="6"/>
  <c r="I45" i="6"/>
  <c r="F45" i="6"/>
  <c r="C45" i="6"/>
  <c r="G45" i="6" s="1"/>
  <c r="Z44" i="6"/>
  <c r="AA44" i="6" s="1"/>
  <c r="W44" i="6"/>
  <c r="T44" i="6"/>
  <c r="S44" i="6"/>
  <c r="R44" i="6"/>
  <c r="P44" i="6"/>
  <c r="O44" i="6"/>
  <c r="M44" i="6"/>
  <c r="L44" i="6"/>
  <c r="J44" i="6"/>
  <c r="I44" i="6"/>
  <c r="F44" i="6"/>
  <c r="C44" i="6"/>
  <c r="G44" i="6" s="1"/>
  <c r="Z43" i="6"/>
  <c r="AA43" i="6" s="1"/>
  <c r="W43" i="6"/>
  <c r="T43" i="6"/>
  <c r="S43" i="6"/>
  <c r="R43" i="6"/>
  <c r="P43" i="6"/>
  <c r="O43" i="6"/>
  <c r="M43" i="6"/>
  <c r="L43" i="6"/>
  <c r="J43" i="6"/>
  <c r="I43" i="6"/>
  <c r="G43" i="6"/>
  <c r="F43" i="6"/>
  <c r="C43" i="6"/>
  <c r="Z42" i="6"/>
  <c r="AA42" i="6" s="1"/>
  <c r="W42" i="6"/>
  <c r="T42" i="6"/>
  <c r="S42" i="6"/>
  <c r="R42" i="6"/>
  <c r="P42" i="6"/>
  <c r="O42" i="6"/>
  <c r="M42" i="6"/>
  <c r="L42" i="6"/>
  <c r="J42" i="6"/>
  <c r="I42" i="6"/>
  <c r="F42" i="6"/>
  <c r="C42" i="6"/>
  <c r="G42" i="6" s="1"/>
  <c r="Z41" i="6"/>
  <c r="AA41" i="6" s="1"/>
  <c r="W41" i="6"/>
  <c r="T41" i="6"/>
  <c r="S41" i="6"/>
  <c r="R41" i="6"/>
  <c r="P41" i="6"/>
  <c r="O41" i="6"/>
  <c r="M41" i="6"/>
  <c r="L41" i="6"/>
  <c r="J41" i="6"/>
  <c r="I41" i="6"/>
  <c r="F41" i="6"/>
  <c r="C41" i="6"/>
  <c r="G41" i="6" s="1"/>
  <c r="Z40" i="6"/>
  <c r="AA40" i="6" s="1"/>
  <c r="W40" i="6"/>
  <c r="T40" i="6"/>
  <c r="R40" i="6"/>
  <c r="S40" i="6" s="1"/>
  <c r="O40" i="6"/>
  <c r="P40" i="6" s="1"/>
  <c r="L40" i="6"/>
  <c r="M40" i="6" s="1"/>
  <c r="I40" i="6"/>
  <c r="J40" i="6" s="1"/>
  <c r="F40" i="6"/>
  <c r="C40" i="6"/>
  <c r="AA39" i="6"/>
  <c r="Z39" i="6"/>
  <c r="W39" i="6"/>
  <c r="T39" i="6"/>
  <c r="X39" i="6" s="1"/>
  <c r="S39" i="6"/>
  <c r="R39" i="6"/>
  <c r="P39" i="6"/>
  <c r="O39" i="6"/>
  <c r="M39" i="6"/>
  <c r="L39" i="6"/>
  <c r="J39" i="6"/>
  <c r="I39" i="6"/>
  <c r="F39" i="6"/>
  <c r="C39" i="6"/>
  <c r="G39" i="6" s="1"/>
  <c r="Z38" i="6"/>
  <c r="AA38" i="6" s="1"/>
  <c r="W38" i="6"/>
  <c r="T38" i="6"/>
  <c r="R38" i="6"/>
  <c r="S38" i="6" s="1"/>
  <c r="O38" i="6"/>
  <c r="P38" i="6" s="1"/>
  <c r="L38" i="6"/>
  <c r="M38" i="6" s="1"/>
  <c r="I38" i="6"/>
  <c r="J38" i="6" s="1"/>
  <c r="F38" i="6"/>
  <c r="C38" i="6"/>
  <c r="AA37" i="6"/>
  <c r="Z37" i="6"/>
  <c r="W37" i="6"/>
  <c r="T37" i="6"/>
  <c r="X37" i="6" s="1"/>
  <c r="R37" i="6"/>
  <c r="S37" i="6" s="1"/>
  <c r="O37" i="6"/>
  <c r="P37" i="6" s="1"/>
  <c r="L37" i="6"/>
  <c r="M37" i="6" s="1"/>
  <c r="I37" i="6"/>
  <c r="J37" i="6" s="1"/>
  <c r="F37" i="6"/>
  <c r="C37" i="6"/>
  <c r="Z36" i="6"/>
  <c r="AA36" i="6" s="1"/>
  <c r="W36" i="6"/>
  <c r="T36" i="6"/>
  <c r="S36" i="6"/>
  <c r="R36" i="6"/>
  <c r="P36" i="6"/>
  <c r="O36" i="6"/>
  <c r="M36" i="6"/>
  <c r="L36" i="6"/>
  <c r="J36" i="6"/>
  <c r="I36" i="6"/>
  <c r="F36" i="6"/>
  <c r="C36" i="6"/>
  <c r="G36" i="6" s="1"/>
  <c r="Z35" i="6"/>
  <c r="AA35" i="6" s="1"/>
  <c r="W35" i="6"/>
  <c r="T35" i="6"/>
  <c r="S35" i="6"/>
  <c r="R35" i="6"/>
  <c r="P35" i="6"/>
  <c r="O35" i="6"/>
  <c r="M35" i="6"/>
  <c r="L35" i="6"/>
  <c r="J35" i="6"/>
  <c r="I35" i="6"/>
  <c r="F35" i="6"/>
  <c r="C35" i="6"/>
  <c r="G35" i="6" s="1"/>
  <c r="Z34" i="6"/>
  <c r="AA34" i="6" s="1"/>
  <c r="W34" i="6"/>
  <c r="T34" i="6"/>
  <c r="R34" i="6"/>
  <c r="S34" i="6" s="1"/>
  <c r="O34" i="6"/>
  <c r="P34" i="6" s="1"/>
  <c r="L34" i="6"/>
  <c r="M34" i="6" s="1"/>
  <c r="I34" i="6"/>
  <c r="F34" i="6"/>
  <c r="C34" i="6"/>
  <c r="Y33" i="6"/>
  <c r="V33" i="6"/>
  <c r="U33" i="6"/>
  <c r="Q33" i="6"/>
  <c r="N33" i="6"/>
  <c r="K33" i="6"/>
  <c r="H33" i="6"/>
  <c r="E33" i="6"/>
  <c r="D33" i="6"/>
  <c r="Z32" i="6"/>
  <c r="AA32" i="6" s="1"/>
  <c r="W32" i="6"/>
  <c r="T32" i="6"/>
  <c r="R32" i="6"/>
  <c r="S32" i="6" s="1"/>
  <c r="O32" i="6"/>
  <c r="P32" i="6" s="1"/>
  <c r="L32" i="6"/>
  <c r="M32" i="6" s="1"/>
  <c r="I32" i="6"/>
  <c r="J32" i="6" s="1"/>
  <c r="F32" i="6"/>
  <c r="C32" i="6"/>
  <c r="AA31" i="6"/>
  <c r="Z31" i="6"/>
  <c r="W31" i="6"/>
  <c r="T31" i="6"/>
  <c r="X31" i="6" s="1"/>
  <c r="R31" i="6"/>
  <c r="S31" i="6" s="1"/>
  <c r="O31" i="6"/>
  <c r="P31" i="6" s="1"/>
  <c r="L31" i="6"/>
  <c r="M31" i="6" s="1"/>
  <c r="I31" i="6"/>
  <c r="J31" i="6" s="1"/>
  <c r="F31" i="6"/>
  <c r="C31" i="6"/>
  <c r="Z30" i="6"/>
  <c r="AA30" i="6" s="1"/>
  <c r="W30" i="6"/>
  <c r="T30" i="6"/>
  <c r="S30" i="6"/>
  <c r="R30" i="6"/>
  <c r="P30" i="6"/>
  <c r="O30" i="6"/>
  <c r="M30" i="6"/>
  <c r="L30" i="6"/>
  <c r="J30" i="6"/>
  <c r="I30" i="6"/>
  <c r="F30" i="6"/>
  <c r="C30" i="6"/>
  <c r="G30" i="6" s="1"/>
  <c r="Z29" i="6"/>
  <c r="AA29" i="6" s="1"/>
  <c r="W29" i="6"/>
  <c r="T29" i="6"/>
  <c r="S29" i="6"/>
  <c r="R29" i="6"/>
  <c r="P29" i="6"/>
  <c r="O29" i="6"/>
  <c r="M29" i="6"/>
  <c r="L29" i="6"/>
  <c r="J29" i="6"/>
  <c r="I29" i="6"/>
  <c r="F29" i="6"/>
  <c r="C29" i="6"/>
  <c r="G29" i="6" s="1"/>
  <c r="Z28" i="6"/>
  <c r="AA28" i="6" s="1"/>
  <c r="W28" i="6"/>
  <c r="T28" i="6"/>
  <c r="S28" i="6"/>
  <c r="R28" i="6"/>
  <c r="P28" i="6"/>
  <c r="O28" i="6"/>
  <c r="M28" i="6"/>
  <c r="L28" i="6"/>
  <c r="J28" i="6"/>
  <c r="I28" i="6"/>
  <c r="F28" i="6"/>
  <c r="C28" i="6"/>
  <c r="G28" i="6" s="1"/>
  <c r="Z27" i="6"/>
  <c r="AA27" i="6" s="1"/>
  <c r="W27" i="6"/>
  <c r="T27" i="6"/>
  <c r="S27" i="6"/>
  <c r="R27" i="6"/>
  <c r="P27" i="6"/>
  <c r="O27" i="6"/>
  <c r="M27" i="6"/>
  <c r="L27" i="6"/>
  <c r="J27" i="6"/>
  <c r="I27" i="6"/>
  <c r="F27" i="6"/>
  <c r="C27" i="6"/>
  <c r="G27" i="6" s="1"/>
  <c r="Z26" i="6"/>
  <c r="AA26" i="6" s="1"/>
  <c r="W26" i="6"/>
  <c r="T26" i="6"/>
  <c r="R26" i="6"/>
  <c r="S26" i="6" s="1"/>
  <c r="O26" i="6"/>
  <c r="P26" i="6" s="1"/>
  <c r="L26" i="6"/>
  <c r="M26" i="6" s="1"/>
  <c r="I26" i="6"/>
  <c r="J26" i="6" s="1"/>
  <c r="F26" i="6"/>
  <c r="C26" i="6"/>
  <c r="Z25" i="6"/>
  <c r="AA25" i="6" s="1"/>
  <c r="W25" i="6"/>
  <c r="T25" i="6"/>
  <c r="S25" i="6"/>
  <c r="O25" i="6"/>
  <c r="P25" i="6" s="1"/>
  <c r="L25" i="6"/>
  <c r="M25" i="6" s="1"/>
  <c r="I25" i="6"/>
  <c r="J25" i="6" s="1"/>
  <c r="F25" i="6"/>
  <c r="C25" i="6"/>
  <c r="Z24" i="6"/>
  <c r="AA24" i="6" s="1"/>
  <c r="W24" i="6"/>
  <c r="T24" i="6"/>
  <c r="S24" i="6"/>
  <c r="R24" i="6"/>
  <c r="P24" i="6"/>
  <c r="O24" i="6"/>
  <c r="M24" i="6"/>
  <c r="L24" i="6"/>
  <c r="J24" i="6"/>
  <c r="I24" i="6"/>
  <c r="F24" i="6"/>
  <c r="C24" i="6"/>
  <c r="G24" i="6" s="1"/>
  <c r="AA23" i="6"/>
  <c r="Z23" i="6"/>
  <c r="W23" i="6"/>
  <c r="T23" i="6"/>
  <c r="X23" i="6" s="1"/>
  <c r="S23" i="6"/>
  <c r="R23" i="6"/>
  <c r="P23" i="6"/>
  <c r="O23" i="6"/>
  <c r="M23" i="6"/>
  <c r="L23" i="6"/>
  <c r="J23" i="6"/>
  <c r="I23" i="6"/>
  <c r="F23" i="6"/>
  <c r="C23" i="6"/>
  <c r="G23" i="6" s="1"/>
  <c r="Z22" i="6"/>
  <c r="AA22" i="6" s="1"/>
  <c r="W22" i="6"/>
  <c r="T22" i="6"/>
  <c r="R22" i="6"/>
  <c r="S22" i="6" s="1"/>
  <c r="O22" i="6"/>
  <c r="P22" i="6" s="1"/>
  <c r="L22" i="6"/>
  <c r="M22" i="6" s="1"/>
  <c r="I22" i="6"/>
  <c r="J22" i="6" s="1"/>
  <c r="F22" i="6"/>
  <c r="C22" i="6"/>
  <c r="Z21" i="6"/>
  <c r="AA21" i="6" s="1"/>
  <c r="W21" i="6"/>
  <c r="T21" i="6"/>
  <c r="S21" i="6"/>
  <c r="R21" i="6"/>
  <c r="P21" i="6"/>
  <c r="O21" i="6"/>
  <c r="M21" i="6"/>
  <c r="L21" i="6"/>
  <c r="J21" i="6"/>
  <c r="I21" i="6"/>
  <c r="F21" i="6"/>
  <c r="C21" i="6"/>
  <c r="G21" i="6" s="1"/>
  <c r="Z20" i="6"/>
  <c r="AA20" i="6" s="1"/>
  <c r="W20" i="6"/>
  <c r="T20" i="6"/>
  <c r="R20" i="6"/>
  <c r="S20" i="6" s="1"/>
  <c r="O20" i="6"/>
  <c r="P20" i="6" s="1"/>
  <c r="L20" i="6"/>
  <c r="M20" i="6" s="1"/>
  <c r="I20" i="6"/>
  <c r="J20" i="6" s="1"/>
  <c r="F20" i="6"/>
  <c r="C20" i="6"/>
  <c r="Z19" i="6"/>
  <c r="AA19" i="6" s="1"/>
  <c r="W19" i="6"/>
  <c r="T19" i="6"/>
  <c r="S19" i="6"/>
  <c r="R19" i="6"/>
  <c r="P19" i="6"/>
  <c r="O19" i="6"/>
  <c r="M19" i="6"/>
  <c r="L19" i="6"/>
  <c r="J19" i="6"/>
  <c r="I19" i="6"/>
  <c r="F19" i="6"/>
  <c r="C19" i="6"/>
  <c r="Z18" i="6"/>
  <c r="AA18" i="6" s="1"/>
  <c r="W18" i="6"/>
  <c r="T18" i="6"/>
  <c r="R18" i="6"/>
  <c r="S18" i="6" s="1"/>
  <c r="O18" i="6"/>
  <c r="P18" i="6" s="1"/>
  <c r="L18" i="6"/>
  <c r="M18" i="6" s="1"/>
  <c r="I18" i="6"/>
  <c r="J18" i="6" s="1"/>
  <c r="F18" i="6"/>
  <c r="C18" i="6"/>
  <c r="Z17" i="6"/>
  <c r="AA17" i="6" s="1"/>
  <c r="W17" i="6"/>
  <c r="T17" i="6"/>
  <c r="R17" i="6"/>
  <c r="S17" i="6" s="1"/>
  <c r="O17" i="6"/>
  <c r="P17" i="6" s="1"/>
  <c r="L17" i="6"/>
  <c r="M17" i="6" s="1"/>
  <c r="I17" i="6"/>
  <c r="J17" i="6" s="1"/>
  <c r="F17" i="6"/>
  <c r="C17" i="6"/>
  <c r="Z16" i="6"/>
  <c r="W16" i="6"/>
  <c r="T16" i="6"/>
  <c r="S16" i="6"/>
  <c r="R16" i="6"/>
  <c r="P16" i="6"/>
  <c r="O16" i="6"/>
  <c r="M16" i="6"/>
  <c r="L16" i="6"/>
  <c r="J16" i="6"/>
  <c r="I16" i="6"/>
  <c r="F16" i="6"/>
  <c r="C16" i="6"/>
  <c r="G16" i="6" s="1"/>
  <c r="Y15" i="6"/>
  <c r="V15" i="6"/>
  <c r="U15" i="6"/>
  <c r="Q15" i="6"/>
  <c r="N15" i="6"/>
  <c r="K15" i="6"/>
  <c r="K10" i="6" s="1"/>
  <c r="H15" i="6"/>
  <c r="E15" i="6"/>
  <c r="D15" i="6"/>
  <c r="D10" i="6" s="1"/>
  <c r="AA14" i="6"/>
  <c r="X14" i="6"/>
  <c r="S14" i="6"/>
  <c r="P14" i="6"/>
  <c r="M14" i="6"/>
  <c r="J14" i="6"/>
  <c r="G14" i="6"/>
  <c r="AA13" i="6"/>
  <c r="S13" i="6"/>
  <c r="R13" i="6"/>
  <c r="P13" i="6"/>
  <c r="M13" i="6"/>
  <c r="L13" i="6"/>
  <c r="J13" i="6"/>
  <c r="D13" i="6"/>
  <c r="AA12" i="6"/>
  <c r="V12" i="6"/>
  <c r="U12" i="6"/>
  <c r="S12" i="6"/>
  <c r="P12" i="6"/>
  <c r="M12" i="6"/>
  <c r="J12" i="6"/>
  <c r="I12" i="6"/>
  <c r="AA11" i="6"/>
  <c r="S11" i="6"/>
  <c r="P11" i="6"/>
  <c r="M11" i="6"/>
  <c r="J11" i="6"/>
  <c r="P114" i="5"/>
  <c r="M114" i="5"/>
  <c r="H114" i="5"/>
  <c r="J114" i="5" s="1"/>
  <c r="C114" i="5"/>
  <c r="G114" i="5" s="1"/>
  <c r="P113" i="5"/>
  <c r="M113" i="5"/>
  <c r="H113" i="5"/>
  <c r="J113" i="5" s="1"/>
  <c r="G113" i="5"/>
  <c r="C113" i="5"/>
  <c r="P112" i="5"/>
  <c r="M112" i="5"/>
  <c r="H112" i="5"/>
  <c r="J112" i="5" s="1"/>
  <c r="C112" i="5"/>
  <c r="G112" i="5" s="1"/>
  <c r="P111" i="5"/>
  <c r="M111" i="5"/>
  <c r="J111" i="5"/>
  <c r="H111" i="5"/>
  <c r="C111" i="5"/>
  <c r="G111" i="5" s="1"/>
  <c r="P110" i="5"/>
  <c r="M110" i="5"/>
  <c r="H110" i="5"/>
  <c r="J110" i="5" s="1"/>
  <c r="C110" i="5"/>
  <c r="G110" i="5" s="1"/>
  <c r="A110" i="5"/>
  <c r="A111" i="5" s="1"/>
  <c r="A112" i="5" s="1"/>
  <c r="P109" i="5"/>
  <c r="M109" i="5"/>
  <c r="H109" i="5"/>
  <c r="J109" i="5" s="1"/>
  <c r="C109" i="5"/>
  <c r="G109" i="5" s="1"/>
  <c r="P108" i="5"/>
  <c r="M108" i="5"/>
  <c r="H108" i="5"/>
  <c r="J108" i="5" s="1"/>
  <c r="C108" i="5"/>
  <c r="G108" i="5" s="1"/>
  <c r="P107" i="5"/>
  <c r="M107" i="5"/>
  <c r="H107" i="5"/>
  <c r="J107" i="5" s="1"/>
  <c r="G107" i="5"/>
  <c r="C107" i="5"/>
  <c r="O106" i="5"/>
  <c r="O13" i="5" s="1"/>
  <c r="N106" i="5"/>
  <c r="P106" i="5" s="1"/>
  <c r="L106" i="5"/>
  <c r="L13" i="5" s="1"/>
  <c r="K106" i="5"/>
  <c r="M106" i="5" s="1"/>
  <c r="I106" i="5"/>
  <c r="I13" i="5" s="1"/>
  <c r="F106" i="5"/>
  <c r="F13" i="5" s="1"/>
  <c r="E106" i="5"/>
  <c r="D106" i="5"/>
  <c r="P105" i="5"/>
  <c r="M105" i="5"/>
  <c r="H105" i="5"/>
  <c r="J105" i="5" s="1"/>
  <c r="F105" i="5"/>
  <c r="C105" i="5"/>
  <c r="P104" i="5"/>
  <c r="M104" i="5"/>
  <c r="H104" i="5"/>
  <c r="J104" i="5" s="1"/>
  <c r="F104" i="5"/>
  <c r="C104" i="5"/>
  <c r="G104" i="5" s="1"/>
  <c r="P103" i="5"/>
  <c r="M103" i="5"/>
  <c r="H103" i="5"/>
  <c r="J103" i="5" s="1"/>
  <c r="F103" i="5"/>
  <c r="C103" i="5"/>
  <c r="G103" i="5" s="1"/>
  <c r="P102" i="5"/>
  <c r="M102" i="5"/>
  <c r="H102" i="5"/>
  <c r="J102" i="5" s="1"/>
  <c r="F102" i="5"/>
  <c r="C102" i="5"/>
  <c r="G102" i="5" s="1"/>
  <c r="P101" i="5"/>
  <c r="M101" i="5"/>
  <c r="H101" i="5"/>
  <c r="J101" i="5" s="1"/>
  <c r="F101" i="5"/>
  <c r="C101" i="5"/>
  <c r="G101" i="5" s="1"/>
  <c r="P100" i="5"/>
  <c r="M100" i="5"/>
  <c r="H100" i="5"/>
  <c r="J100" i="5" s="1"/>
  <c r="F100" i="5"/>
  <c r="C100" i="5"/>
  <c r="G100" i="5" s="1"/>
  <c r="P99" i="5"/>
  <c r="M99" i="5"/>
  <c r="H99" i="5"/>
  <c r="J99" i="5" s="1"/>
  <c r="F99" i="5"/>
  <c r="C99" i="5"/>
  <c r="G99" i="5" s="1"/>
  <c r="P98" i="5"/>
  <c r="M98" i="5"/>
  <c r="H98" i="5"/>
  <c r="J98" i="5" s="1"/>
  <c r="F98" i="5"/>
  <c r="C98" i="5"/>
  <c r="G98" i="5" s="1"/>
  <c r="P97" i="5"/>
  <c r="M97" i="5"/>
  <c r="H97" i="5"/>
  <c r="J97" i="5" s="1"/>
  <c r="F97" i="5"/>
  <c r="C97" i="5"/>
  <c r="G97" i="5" s="1"/>
  <c r="P96" i="5"/>
  <c r="M96" i="5"/>
  <c r="H96" i="5"/>
  <c r="J96" i="5" s="1"/>
  <c r="F96" i="5"/>
  <c r="C96" i="5"/>
  <c r="G96" i="5" s="1"/>
  <c r="P95" i="5"/>
  <c r="M95" i="5"/>
  <c r="H95" i="5"/>
  <c r="J95" i="5" s="1"/>
  <c r="F95" i="5"/>
  <c r="C95" i="5"/>
  <c r="G95" i="5" s="1"/>
  <c r="A95" i="5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P94" i="5"/>
  <c r="M94" i="5"/>
  <c r="H94" i="5"/>
  <c r="J94" i="5" s="1"/>
  <c r="F94" i="5"/>
  <c r="C94" i="5"/>
  <c r="G94" i="5" s="1"/>
  <c r="P93" i="5"/>
  <c r="M93" i="5"/>
  <c r="J93" i="5"/>
  <c r="H93" i="5"/>
  <c r="F93" i="5"/>
  <c r="C93" i="5"/>
  <c r="G93" i="5" s="1"/>
  <c r="P92" i="5"/>
  <c r="M92" i="5"/>
  <c r="H92" i="5"/>
  <c r="F92" i="5"/>
  <c r="C92" i="5"/>
  <c r="O91" i="5"/>
  <c r="O12" i="5" s="1"/>
  <c r="O11" i="5" s="1"/>
  <c r="N91" i="5"/>
  <c r="N12" i="5" s="1"/>
  <c r="L91" i="5"/>
  <c r="K91" i="5"/>
  <c r="I91" i="5"/>
  <c r="E91" i="5"/>
  <c r="E12" i="5" s="1"/>
  <c r="D91" i="5"/>
  <c r="D12" i="5" s="1"/>
  <c r="D11" i="5" s="1"/>
  <c r="P90" i="5"/>
  <c r="L90" i="5"/>
  <c r="M90" i="5" s="1"/>
  <c r="H90" i="5"/>
  <c r="J90" i="5" s="1"/>
  <c r="F90" i="5"/>
  <c r="C90" i="5"/>
  <c r="P89" i="5"/>
  <c r="L89" i="5"/>
  <c r="M89" i="5" s="1"/>
  <c r="H89" i="5"/>
  <c r="J89" i="5" s="1"/>
  <c r="F89" i="5"/>
  <c r="G89" i="5" s="1"/>
  <c r="C89" i="5"/>
  <c r="P88" i="5"/>
  <c r="L88" i="5"/>
  <c r="M88" i="5" s="1"/>
  <c r="H88" i="5"/>
  <c r="J88" i="5" s="1"/>
  <c r="F88" i="5"/>
  <c r="C88" i="5"/>
  <c r="P87" i="5"/>
  <c r="L87" i="5"/>
  <c r="M87" i="5" s="1"/>
  <c r="H87" i="5"/>
  <c r="J87" i="5" s="1"/>
  <c r="F87" i="5"/>
  <c r="C87" i="5"/>
  <c r="P86" i="5"/>
  <c r="L86" i="5"/>
  <c r="M86" i="5" s="1"/>
  <c r="H86" i="5"/>
  <c r="J86" i="5" s="1"/>
  <c r="F86" i="5"/>
  <c r="G86" i="5" s="1"/>
  <c r="C86" i="5"/>
  <c r="P85" i="5"/>
  <c r="L85" i="5"/>
  <c r="M85" i="5" s="1"/>
  <c r="H85" i="5"/>
  <c r="J85" i="5" s="1"/>
  <c r="F85" i="5"/>
  <c r="C85" i="5"/>
  <c r="P84" i="5"/>
  <c r="L84" i="5"/>
  <c r="M84" i="5" s="1"/>
  <c r="H84" i="5"/>
  <c r="J84" i="5" s="1"/>
  <c r="F84" i="5"/>
  <c r="C84" i="5"/>
  <c r="P83" i="5"/>
  <c r="L83" i="5"/>
  <c r="M83" i="5" s="1"/>
  <c r="H83" i="5"/>
  <c r="J83" i="5" s="1"/>
  <c r="F83" i="5"/>
  <c r="C83" i="5"/>
  <c r="P82" i="5"/>
  <c r="L82" i="5"/>
  <c r="M82" i="5" s="1"/>
  <c r="H82" i="5"/>
  <c r="J82" i="5" s="1"/>
  <c r="F82" i="5"/>
  <c r="C82" i="5"/>
  <c r="P81" i="5"/>
  <c r="L81" i="5"/>
  <c r="M81" i="5" s="1"/>
  <c r="H81" i="5"/>
  <c r="J81" i="5" s="1"/>
  <c r="F81" i="5"/>
  <c r="G81" i="5" s="1"/>
  <c r="C81" i="5"/>
  <c r="P80" i="5"/>
  <c r="L80" i="5"/>
  <c r="M80" i="5" s="1"/>
  <c r="H80" i="5"/>
  <c r="J80" i="5" s="1"/>
  <c r="F80" i="5"/>
  <c r="C80" i="5"/>
  <c r="P79" i="5"/>
  <c r="L79" i="5"/>
  <c r="M79" i="5" s="1"/>
  <c r="H79" i="5"/>
  <c r="J79" i="5" s="1"/>
  <c r="F79" i="5"/>
  <c r="C79" i="5"/>
  <c r="P78" i="5"/>
  <c r="M78" i="5"/>
  <c r="L78" i="5"/>
  <c r="H78" i="5"/>
  <c r="F78" i="5"/>
  <c r="C78" i="5"/>
  <c r="G78" i="5" s="1"/>
  <c r="P77" i="5"/>
  <c r="L77" i="5"/>
  <c r="H77" i="5"/>
  <c r="J77" i="5" s="1"/>
  <c r="F77" i="5"/>
  <c r="C77" i="5"/>
  <c r="O76" i="5"/>
  <c r="O10" i="5" s="1"/>
  <c r="N76" i="5"/>
  <c r="P76" i="5" s="1"/>
  <c r="K76" i="5"/>
  <c r="I76" i="5"/>
  <c r="E76" i="5"/>
  <c r="D76" i="5"/>
  <c r="P75" i="5"/>
  <c r="M75" i="5"/>
  <c r="L75" i="5"/>
  <c r="H75" i="5"/>
  <c r="J75" i="5" s="1"/>
  <c r="F75" i="5"/>
  <c r="C75" i="5"/>
  <c r="G75" i="5" s="1"/>
  <c r="P74" i="5"/>
  <c r="L74" i="5"/>
  <c r="M74" i="5" s="1"/>
  <c r="H74" i="5"/>
  <c r="J74" i="5" s="1"/>
  <c r="F74" i="5"/>
  <c r="C74" i="5"/>
  <c r="P73" i="5"/>
  <c r="L73" i="5"/>
  <c r="M73" i="5" s="1"/>
  <c r="H73" i="5"/>
  <c r="J73" i="5" s="1"/>
  <c r="F73" i="5"/>
  <c r="C73" i="5"/>
  <c r="P72" i="5"/>
  <c r="L72" i="5"/>
  <c r="M72" i="5" s="1"/>
  <c r="J72" i="5"/>
  <c r="H72" i="5"/>
  <c r="F72" i="5"/>
  <c r="C72" i="5"/>
  <c r="P71" i="5"/>
  <c r="L71" i="5"/>
  <c r="M71" i="5" s="1"/>
  <c r="H71" i="5"/>
  <c r="J71" i="5" s="1"/>
  <c r="F71" i="5"/>
  <c r="C71" i="5"/>
  <c r="P70" i="5"/>
  <c r="L70" i="5"/>
  <c r="M70" i="5" s="1"/>
  <c r="H70" i="5"/>
  <c r="J70" i="5" s="1"/>
  <c r="F70" i="5"/>
  <c r="C70" i="5"/>
  <c r="P69" i="5"/>
  <c r="L69" i="5"/>
  <c r="M69" i="5" s="1"/>
  <c r="H69" i="5"/>
  <c r="J69" i="5" s="1"/>
  <c r="F69" i="5"/>
  <c r="C69" i="5"/>
  <c r="P68" i="5"/>
  <c r="L68" i="5"/>
  <c r="M68" i="5" s="1"/>
  <c r="H68" i="5"/>
  <c r="J68" i="5" s="1"/>
  <c r="F68" i="5"/>
  <c r="C68" i="5"/>
  <c r="P67" i="5"/>
  <c r="L67" i="5"/>
  <c r="M67" i="5" s="1"/>
  <c r="H67" i="5"/>
  <c r="J67" i="5" s="1"/>
  <c r="F67" i="5"/>
  <c r="C67" i="5"/>
  <c r="P66" i="5"/>
  <c r="L66" i="5"/>
  <c r="M66" i="5" s="1"/>
  <c r="H66" i="5"/>
  <c r="J66" i="5" s="1"/>
  <c r="F66" i="5"/>
  <c r="C66" i="5"/>
  <c r="P65" i="5"/>
  <c r="L65" i="5"/>
  <c r="M65" i="5" s="1"/>
  <c r="H65" i="5"/>
  <c r="J65" i="5" s="1"/>
  <c r="F65" i="5"/>
  <c r="C65" i="5"/>
  <c r="P64" i="5"/>
  <c r="L64" i="5"/>
  <c r="M64" i="5" s="1"/>
  <c r="J64" i="5"/>
  <c r="H64" i="5"/>
  <c r="F64" i="5"/>
  <c r="C64" i="5"/>
  <c r="P63" i="5"/>
  <c r="L63" i="5"/>
  <c r="M63" i="5" s="1"/>
  <c r="H63" i="5"/>
  <c r="J63" i="5" s="1"/>
  <c r="F63" i="5"/>
  <c r="C63" i="5"/>
  <c r="P62" i="5"/>
  <c r="L62" i="5"/>
  <c r="M62" i="5" s="1"/>
  <c r="H62" i="5"/>
  <c r="J62" i="5" s="1"/>
  <c r="F62" i="5"/>
  <c r="C62" i="5"/>
  <c r="P61" i="5"/>
  <c r="M61" i="5"/>
  <c r="L61" i="5"/>
  <c r="H61" i="5"/>
  <c r="J61" i="5" s="1"/>
  <c r="F61" i="5"/>
  <c r="C61" i="5"/>
  <c r="G61" i="5" s="1"/>
  <c r="P60" i="5"/>
  <c r="L60" i="5"/>
  <c r="M60" i="5" s="1"/>
  <c r="H60" i="5"/>
  <c r="J60" i="5" s="1"/>
  <c r="F60" i="5"/>
  <c r="C60" i="5"/>
  <c r="P59" i="5"/>
  <c r="L59" i="5"/>
  <c r="M59" i="5" s="1"/>
  <c r="H59" i="5"/>
  <c r="J59" i="5" s="1"/>
  <c r="F59" i="5"/>
  <c r="C59" i="5"/>
  <c r="P58" i="5"/>
  <c r="M58" i="5"/>
  <c r="L58" i="5"/>
  <c r="H58" i="5"/>
  <c r="J58" i="5" s="1"/>
  <c r="F58" i="5"/>
  <c r="C58" i="5"/>
  <c r="G58" i="5" s="1"/>
  <c r="P57" i="5"/>
  <c r="L57" i="5"/>
  <c r="M57" i="5" s="1"/>
  <c r="H57" i="5"/>
  <c r="J57" i="5" s="1"/>
  <c r="F57" i="5"/>
  <c r="C57" i="5"/>
  <c r="P56" i="5"/>
  <c r="L56" i="5"/>
  <c r="M56" i="5" s="1"/>
  <c r="H56" i="5"/>
  <c r="F56" i="5"/>
  <c r="C56" i="5"/>
  <c r="P55" i="5"/>
  <c r="L55" i="5"/>
  <c r="H55" i="5"/>
  <c r="J55" i="5" s="1"/>
  <c r="F55" i="5"/>
  <c r="C55" i="5"/>
  <c r="O54" i="5"/>
  <c r="N54" i="5"/>
  <c r="K54" i="5"/>
  <c r="I54" i="5"/>
  <c r="E54" i="5"/>
  <c r="D54" i="5"/>
  <c r="P53" i="5"/>
  <c r="L53" i="5"/>
  <c r="M53" i="5" s="1"/>
  <c r="H53" i="5"/>
  <c r="J53" i="5" s="1"/>
  <c r="F53" i="5"/>
  <c r="C53" i="5"/>
  <c r="P52" i="5"/>
  <c r="L52" i="5"/>
  <c r="M52" i="5" s="1"/>
  <c r="H52" i="5"/>
  <c r="J52" i="5" s="1"/>
  <c r="F52" i="5"/>
  <c r="G52" i="5" s="1"/>
  <c r="C52" i="5"/>
  <c r="P51" i="5"/>
  <c r="L51" i="5"/>
  <c r="M51" i="5" s="1"/>
  <c r="H51" i="5"/>
  <c r="J51" i="5" s="1"/>
  <c r="F51" i="5"/>
  <c r="C51" i="5"/>
  <c r="P50" i="5"/>
  <c r="L50" i="5"/>
  <c r="M50" i="5" s="1"/>
  <c r="H50" i="5"/>
  <c r="J50" i="5" s="1"/>
  <c r="F50" i="5"/>
  <c r="C50" i="5"/>
  <c r="P49" i="5"/>
  <c r="L49" i="5"/>
  <c r="M49" i="5" s="1"/>
  <c r="H49" i="5"/>
  <c r="J49" i="5" s="1"/>
  <c r="F49" i="5"/>
  <c r="C49" i="5"/>
  <c r="P48" i="5"/>
  <c r="L48" i="5"/>
  <c r="M48" i="5" s="1"/>
  <c r="H48" i="5"/>
  <c r="J48" i="5" s="1"/>
  <c r="F48" i="5"/>
  <c r="G48" i="5" s="1"/>
  <c r="C48" i="5"/>
  <c r="P47" i="5"/>
  <c r="L47" i="5"/>
  <c r="M47" i="5" s="1"/>
  <c r="H47" i="5"/>
  <c r="J47" i="5" s="1"/>
  <c r="F47" i="5"/>
  <c r="C47" i="5"/>
  <c r="P46" i="5"/>
  <c r="L46" i="5"/>
  <c r="M46" i="5" s="1"/>
  <c r="H46" i="5"/>
  <c r="J46" i="5" s="1"/>
  <c r="F46" i="5"/>
  <c r="C46" i="5"/>
  <c r="P45" i="5"/>
  <c r="L45" i="5"/>
  <c r="M45" i="5" s="1"/>
  <c r="H45" i="5"/>
  <c r="J45" i="5" s="1"/>
  <c r="F45" i="5"/>
  <c r="G45" i="5" s="1"/>
  <c r="C45" i="5"/>
  <c r="P44" i="5"/>
  <c r="L44" i="5"/>
  <c r="M44" i="5" s="1"/>
  <c r="H44" i="5"/>
  <c r="J44" i="5" s="1"/>
  <c r="F44" i="5"/>
  <c r="C44" i="5"/>
  <c r="P43" i="5"/>
  <c r="L43" i="5"/>
  <c r="M43" i="5" s="1"/>
  <c r="H43" i="5"/>
  <c r="J43" i="5" s="1"/>
  <c r="F43" i="5"/>
  <c r="C43" i="5"/>
  <c r="P42" i="5"/>
  <c r="L42" i="5"/>
  <c r="M42" i="5" s="1"/>
  <c r="H42" i="5"/>
  <c r="J42" i="5" s="1"/>
  <c r="F42" i="5"/>
  <c r="C42" i="5"/>
  <c r="P41" i="5"/>
  <c r="L41" i="5"/>
  <c r="M41" i="5" s="1"/>
  <c r="H41" i="5"/>
  <c r="J41" i="5" s="1"/>
  <c r="F41" i="5"/>
  <c r="C41" i="5"/>
  <c r="P40" i="5"/>
  <c r="L40" i="5"/>
  <c r="M40" i="5" s="1"/>
  <c r="H40" i="5"/>
  <c r="J40" i="5" s="1"/>
  <c r="F40" i="5"/>
  <c r="G40" i="5" s="1"/>
  <c r="C40" i="5"/>
  <c r="P39" i="5"/>
  <c r="L39" i="5"/>
  <c r="M39" i="5" s="1"/>
  <c r="H39" i="5"/>
  <c r="J39" i="5" s="1"/>
  <c r="F39" i="5"/>
  <c r="C39" i="5"/>
  <c r="P38" i="5"/>
  <c r="L38" i="5"/>
  <c r="M38" i="5" s="1"/>
  <c r="H38" i="5"/>
  <c r="J38" i="5" s="1"/>
  <c r="F38" i="5"/>
  <c r="C38" i="5"/>
  <c r="P37" i="5"/>
  <c r="M37" i="5"/>
  <c r="L37" i="5"/>
  <c r="H37" i="5"/>
  <c r="J37" i="5" s="1"/>
  <c r="F37" i="5"/>
  <c r="C37" i="5"/>
  <c r="G37" i="5" s="1"/>
  <c r="P36" i="5"/>
  <c r="L36" i="5"/>
  <c r="M36" i="5" s="1"/>
  <c r="H36" i="5"/>
  <c r="J36" i="5" s="1"/>
  <c r="F36" i="5"/>
  <c r="C36" i="5"/>
  <c r="P35" i="5"/>
  <c r="L35" i="5"/>
  <c r="M35" i="5" s="1"/>
  <c r="H35" i="5"/>
  <c r="J35" i="5" s="1"/>
  <c r="F35" i="5"/>
  <c r="C35" i="5"/>
  <c r="P34" i="5"/>
  <c r="L34" i="5"/>
  <c r="M34" i="5" s="1"/>
  <c r="H34" i="5"/>
  <c r="J34" i="5" s="1"/>
  <c r="F34" i="5"/>
  <c r="C34" i="5"/>
  <c r="O33" i="5"/>
  <c r="N33" i="5"/>
  <c r="P33" i="5" s="1"/>
  <c r="K33" i="5"/>
  <c r="I33" i="5"/>
  <c r="E33" i="5"/>
  <c r="D33" i="5"/>
  <c r="P32" i="5"/>
  <c r="L32" i="5"/>
  <c r="M32" i="5" s="1"/>
  <c r="J32" i="5"/>
  <c r="H32" i="5"/>
  <c r="F32" i="5"/>
  <c r="C32" i="5"/>
  <c r="P31" i="5"/>
  <c r="L31" i="5"/>
  <c r="M31" i="5" s="1"/>
  <c r="H31" i="5"/>
  <c r="J31" i="5" s="1"/>
  <c r="F31" i="5"/>
  <c r="C31" i="5"/>
  <c r="P30" i="5"/>
  <c r="L30" i="5"/>
  <c r="M30" i="5" s="1"/>
  <c r="H30" i="5"/>
  <c r="J30" i="5" s="1"/>
  <c r="F30" i="5"/>
  <c r="C30" i="5"/>
  <c r="P29" i="5"/>
  <c r="L29" i="5"/>
  <c r="M29" i="5" s="1"/>
  <c r="H29" i="5"/>
  <c r="J29" i="5" s="1"/>
  <c r="F29" i="5"/>
  <c r="C29" i="5"/>
  <c r="P28" i="5"/>
  <c r="L28" i="5"/>
  <c r="M28" i="5" s="1"/>
  <c r="H28" i="5"/>
  <c r="J28" i="5" s="1"/>
  <c r="F28" i="5"/>
  <c r="C28" i="5"/>
  <c r="P27" i="5"/>
  <c r="L27" i="5"/>
  <c r="M27" i="5" s="1"/>
  <c r="H27" i="5"/>
  <c r="J27" i="5" s="1"/>
  <c r="F27" i="5"/>
  <c r="C27" i="5"/>
  <c r="P26" i="5"/>
  <c r="L26" i="5"/>
  <c r="M26" i="5" s="1"/>
  <c r="H26" i="5"/>
  <c r="J26" i="5" s="1"/>
  <c r="F26" i="5"/>
  <c r="C26" i="5"/>
  <c r="P25" i="5"/>
  <c r="L25" i="5"/>
  <c r="M25" i="5" s="1"/>
  <c r="H25" i="5"/>
  <c r="J25" i="5" s="1"/>
  <c r="F25" i="5"/>
  <c r="C25" i="5"/>
  <c r="P24" i="5"/>
  <c r="M24" i="5"/>
  <c r="L24" i="5"/>
  <c r="H24" i="5"/>
  <c r="J24" i="5" s="1"/>
  <c r="F24" i="5"/>
  <c r="C24" i="5"/>
  <c r="G24" i="5" s="1"/>
  <c r="P23" i="5"/>
  <c r="L23" i="5"/>
  <c r="M23" i="5" s="1"/>
  <c r="H23" i="5"/>
  <c r="J23" i="5" s="1"/>
  <c r="F23" i="5"/>
  <c r="C23" i="5"/>
  <c r="P22" i="5"/>
  <c r="L22" i="5"/>
  <c r="M22" i="5" s="1"/>
  <c r="H22" i="5"/>
  <c r="J22" i="5" s="1"/>
  <c r="F22" i="5"/>
  <c r="C22" i="5"/>
  <c r="P21" i="5"/>
  <c r="L21" i="5"/>
  <c r="M21" i="5" s="1"/>
  <c r="H21" i="5"/>
  <c r="J21" i="5" s="1"/>
  <c r="F21" i="5"/>
  <c r="C21" i="5"/>
  <c r="P20" i="5"/>
  <c r="L20" i="5"/>
  <c r="M20" i="5" s="1"/>
  <c r="H20" i="5"/>
  <c r="J20" i="5" s="1"/>
  <c r="F20" i="5"/>
  <c r="C20" i="5"/>
  <c r="P19" i="5"/>
  <c r="L19" i="5"/>
  <c r="M19" i="5" s="1"/>
  <c r="H19" i="5"/>
  <c r="J19" i="5" s="1"/>
  <c r="F19" i="5"/>
  <c r="C19" i="5"/>
  <c r="P18" i="5"/>
  <c r="L18" i="5"/>
  <c r="M18" i="5" s="1"/>
  <c r="J18" i="5"/>
  <c r="H18" i="5"/>
  <c r="F18" i="5"/>
  <c r="C18" i="5"/>
  <c r="P17" i="5"/>
  <c r="L17" i="5"/>
  <c r="M17" i="5" s="1"/>
  <c r="H17" i="5"/>
  <c r="F17" i="5"/>
  <c r="C17" i="5"/>
  <c r="P16" i="5"/>
  <c r="L16" i="5"/>
  <c r="H16" i="5"/>
  <c r="J16" i="5" s="1"/>
  <c r="F16" i="5"/>
  <c r="C16" i="5"/>
  <c r="O15" i="5"/>
  <c r="N15" i="5"/>
  <c r="P15" i="5" s="1"/>
  <c r="K15" i="5"/>
  <c r="I15" i="5"/>
  <c r="E15" i="5"/>
  <c r="D15" i="5"/>
  <c r="P14" i="5"/>
  <c r="M14" i="5"/>
  <c r="J14" i="5"/>
  <c r="H14" i="5"/>
  <c r="G14" i="5"/>
  <c r="K13" i="5"/>
  <c r="M13" i="5" s="1"/>
  <c r="E13" i="5"/>
  <c r="D13" i="5"/>
  <c r="L12" i="5"/>
  <c r="I12" i="5"/>
  <c r="I11" i="5" s="1"/>
  <c r="AU114" i="4"/>
  <c r="AR114" i="4"/>
  <c r="AP114" i="4"/>
  <c r="AL114" i="4"/>
  <c r="AH114" i="4"/>
  <c r="AE114" i="4"/>
  <c r="AC114" i="4"/>
  <c r="Y114" i="4"/>
  <c r="V114" i="4"/>
  <c r="R114" i="4"/>
  <c r="K114" i="4"/>
  <c r="E114" i="4"/>
  <c r="C114" i="4" s="1"/>
  <c r="G114" i="4" s="1"/>
  <c r="AU113" i="4"/>
  <c r="AR113" i="4"/>
  <c r="AP113" i="4"/>
  <c r="AL113" i="4"/>
  <c r="AH113" i="4"/>
  <c r="AE113" i="4"/>
  <c r="AC113" i="4"/>
  <c r="Y113" i="4"/>
  <c r="V113" i="4"/>
  <c r="R113" i="4"/>
  <c r="K113" i="4"/>
  <c r="E113" i="4"/>
  <c r="C113" i="4" s="1"/>
  <c r="G113" i="4" s="1"/>
  <c r="AU112" i="4"/>
  <c r="AR112" i="4"/>
  <c r="AP112" i="4"/>
  <c r="AL112" i="4"/>
  <c r="AH112" i="4"/>
  <c r="AE112" i="4"/>
  <c r="AC112" i="4"/>
  <c r="Y112" i="4"/>
  <c r="V112" i="4"/>
  <c r="R112" i="4"/>
  <c r="K112" i="4"/>
  <c r="E112" i="4"/>
  <c r="C112" i="4" s="1"/>
  <c r="G112" i="4" s="1"/>
  <c r="AU111" i="4"/>
  <c r="AR111" i="4"/>
  <c r="AP111" i="4"/>
  <c r="AL111" i="4"/>
  <c r="AH111" i="4"/>
  <c r="AE111" i="4"/>
  <c r="AC111" i="4"/>
  <c r="Y111" i="4"/>
  <c r="V111" i="4"/>
  <c r="R111" i="4"/>
  <c r="K111" i="4"/>
  <c r="E111" i="4"/>
  <c r="C111" i="4" s="1"/>
  <c r="G111" i="4" s="1"/>
  <c r="AU110" i="4"/>
  <c r="AR110" i="4"/>
  <c r="AP110" i="4"/>
  <c r="AL110" i="4"/>
  <c r="AH110" i="4"/>
  <c r="AE110" i="4"/>
  <c r="AC110" i="4"/>
  <c r="Y110" i="4"/>
  <c r="V110" i="4"/>
  <c r="R110" i="4"/>
  <c r="K110" i="4"/>
  <c r="E110" i="4"/>
  <c r="C110" i="4" s="1"/>
  <c r="G110" i="4" s="1"/>
  <c r="A110" i="4"/>
  <c r="A111" i="4" s="1"/>
  <c r="A112" i="4" s="1"/>
  <c r="AU109" i="4"/>
  <c r="AR109" i="4"/>
  <c r="AP109" i="4"/>
  <c r="AL109" i="4"/>
  <c r="AH109" i="4"/>
  <c r="AE109" i="4"/>
  <c r="AC109" i="4"/>
  <c r="Y109" i="4"/>
  <c r="V109" i="4"/>
  <c r="R109" i="4"/>
  <c r="K109" i="4"/>
  <c r="E109" i="4"/>
  <c r="C109" i="4" s="1"/>
  <c r="G109" i="4" s="1"/>
  <c r="AU108" i="4"/>
  <c r="AR108" i="4"/>
  <c r="AP108" i="4"/>
  <c r="AL108" i="4"/>
  <c r="AH108" i="4"/>
  <c r="AE108" i="4"/>
  <c r="AC108" i="4"/>
  <c r="Y108" i="4"/>
  <c r="V108" i="4"/>
  <c r="R108" i="4"/>
  <c r="K108" i="4"/>
  <c r="E108" i="4"/>
  <c r="C108" i="4" s="1"/>
  <c r="G108" i="4" s="1"/>
  <c r="AU107" i="4"/>
  <c r="AR107" i="4"/>
  <c r="AP107" i="4"/>
  <c r="AL107" i="4"/>
  <c r="AH107" i="4"/>
  <c r="AE107" i="4"/>
  <c r="AC107" i="4"/>
  <c r="Y107" i="4"/>
  <c r="V107" i="4"/>
  <c r="R107" i="4"/>
  <c r="K107" i="4"/>
  <c r="E107" i="4"/>
  <c r="C107" i="4" s="1"/>
  <c r="AT106" i="4"/>
  <c r="AS106" i="4"/>
  <c r="AU106" i="4" s="1"/>
  <c r="AQ106" i="4"/>
  <c r="AO106" i="4"/>
  <c r="AN106" i="4"/>
  <c r="AR106" i="4" s="1"/>
  <c r="AM106" i="4"/>
  <c r="AP106" i="4" s="1"/>
  <c r="AK106" i="4"/>
  <c r="AJ106" i="4"/>
  <c r="AL106" i="4" s="1"/>
  <c r="AI106" i="4"/>
  <c r="AG106" i="4"/>
  <c r="AF106" i="4"/>
  <c r="AH106" i="4" s="1"/>
  <c r="AD106" i="4"/>
  <c r="AB106" i="4"/>
  <c r="AA106" i="4"/>
  <c r="AE106" i="4" s="1"/>
  <c r="Z106" i="4"/>
  <c r="X106" i="4"/>
  <c r="W106" i="4"/>
  <c r="Y106" i="4" s="1"/>
  <c r="U106" i="4"/>
  <c r="T106" i="4"/>
  <c r="V106" i="4" s="1"/>
  <c r="S106" i="4"/>
  <c r="Q106" i="4"/>
  <c r="P106" i="4"/>
  <c r="R106" i="4" s="1"/>
  <c r="O106" i="4"/>
  <c r="J106" i="4"/>
  <c r="I106" i="4"/>
  <c r="K106" i="4" s="1"/>
  <c r="H106" i="4"/>
  <c r="F106" i="4"/>
  <c r="D106" i="4"/>
  <c r="AU105" i="4"/>
  <c r="AR105" i="4"/>
  <c r="AP105" i="4"/>
  <c r="AL105" i="4"/>
  <c r="AH105" i="4"/>
  <c r="AE105" i="4"/>
  <c r="AC105" i="4"/>
  <c r="Y105" i="4"/>
  <c r="V105" i="4"/>
  <c r="R105" i="4"/>
  <c r="K105" i="4"/>
  <c r="F105" i="4"/>
  <c r="E105" i="4"/>
  <c r="C105" i="4" s="1"/>
  <c r="G105" i="4" s="1"/>
  <c r="AU104" i="4"/>
  <c r="AR104" i="4"/>
  <c r="AP104" i="4"/>
  <c r="AL104" i="4"/>
  <c r="AH104" i="4"/>
  <c r="AE104" i="4"/>
  <c r="AC104" i="4"/>
  <c r="Y104" i="4"/>
  <c r="V104" i="4"/>
  <c r="R104" i="4"/>
  <c r="K104" i="4"/>
  <c r="F104" i="4"/>
  <c r="E104" i="4"/>
  <c r="C104" i="4" s="1"/>
  <c r="AU103" i="4"/>
  <c r="AR103" i="4"/>
  <c r="AP103" i="4"/>
  <c r="AL103" i="4"/>
  <c r="AH103" i="4"/>
  <c r="AE103" i="4"/>
  <c r="AC103" i="4"/>
  <c r="Y103" i="4"/>
  <c r="V103" i="4"/>
  <c r="R103" i="4"/>
  <c r="K103" i="4"/>
  <c r="F103" i="4"/>
  <c r="E103" i="4"/>
  <c r="C103" i="4" s="1"/>
  <c r="G103" i="4" s="1"/>
  <c r="AU102" i="4"/>
  <c r="AR102" i="4"/>
  <c r="AP102" i="4"/>
  <c r="AL102" i="4"/>
  <c r="AH102" i="4"/>
  <c r="AE102" i="4"/>
  <c r="AC102" i="4"/>
  <c r="Y102" i="4"/>
  <c r="V102" i="4"/>
  <c r="R102" i="4"/>
  <c r="K102" i="4"/>
  <c r="F102" i="4"/>
  <c r="E102" i="4"/>
  <c r="C102" i="4" s="1"/>
  <c r="G102" i="4" s="1"/>
  <c r="AU101" i="4"/>
  <c r="AR101" i="4"/>
  <c r="AP101" i="4"/>
  <c r="AL101" i="4"/>
  <c r="AH101" i="4"/>
  <c r="AE101" i="4"/>
  <c r="AC101" i="4"/>
  <c r="Y101" i="4"/>
  <c r="V101" i="4"/>
  <c r="R101" i="4"/>
  <c r="K101" i="4"/>
  <c r="F101" i="4"/>
  <c r="E101" i="4"/>
  <c r="C101" i="4" s="1"/>
  <c r="G101" i="4" s="1"/>
  <c r="AU100" i="4"/>
  <c r="AR100" i="4"/>
  <c r="AP100" i="4"/>
  <c r="AL100" i="4"/>
  <c r="AH100" i="4"/>
  <c r="AE100" i="4"/>
  <c r="AC100" i="4"/>
  <c r="Y100" i="4"/>
  <c r="V100" i="4"/>
  <c r="R100" i="4"/>
  <c r="K100" i="4"/>
  <c r="F100" i="4"/>
  <c r="E100" i="4"/>
  <c r="C100" i="4" s="1"/>
  <c r="G100" i="4" s="1"/>
  <c r="AU99" i="4"/>
  <c r="AR99" i="4"/>
  <c r="AP99" i="4"/>
  <c r="AL99" i="4"/>
  <c r="AH99" i="4"/>
  <c r="AE99" i="4"/>
  <c r="AC99" i="4"/>
  <c r="Y99" i="4"/>
  <c r="V99" i="4"/>
  <c r="R99" i="4"/>
  <c r="K99" i="4"/>
  <c r="F99" i="4"/>
  <c r="E99" i="4"/>
  <c r="C99" i="4" s="1"/>
  <c r="G99" i="4" s="1"/>
  <c r="AU98" i="4"/>
  <c r="AR98" i="4"/>
  <c r="AP98" i="4"/>
  <c r="AL98" i="4"/>
  <c r="AH98" i="4"/>
  <c r="AE98" i="4"/>
  <c r="AC98" i="4"/>
  <c r="Y98" i="4"/>
  <c r="V98" i="4"/>
  <c r="R98" i="4"/>
  <c r="K98" i="4"/>
  <c r="F98" i="4"/>
  <c r="E98" i="4"/>
  <c r="C98" i="4" s="1"/>
  <c r="G98" i="4" s="1"/>
  <c r="AU97" i="4"/>
  <c r="AR97" i="4"/>
  <c r="AP97" i="4"/>
  <c r="AL97" i="4"/>
  <c r="AH97" i="4"/>
  <c r="AE97" i="4"/>
  <c r="AC97" i="4"/>
  <c r="Y97" i="4"/>
  <c r="V97" i="4"/>
  <c r="R97" i="4"/>
  <c r="K97" i="4"/>
  <c r="F97" i="4"/>
  <c r="E97" i="4"/>
  <c r="C97" i="4" s="1"/>
  <c r="G97" i="4" s="1"/>
  <c r="AU96" i="4"/>
  <c r="AR96" i="4"/>
  <c r="AP96" i="4"/>
  <c r="AL96" i="4"/>
  <c r="AH96" i="4"/>
  <c r="AE96" i="4"/>
  <c r="AC96" i="4"/>
  <c r="Y96" i="4"/>
  <c r="V96" i="4"/>
  <c r="R96" i="4"/>
  <c r="K96" i="4"/>
  <c r="F96" i="4"/>
  <c r="E96" i="4"/>
  <c r="C96" i="4" s="1"/>
  <c r="G96" i="4" s="1"/>
  <c r="AU95" i="4"/>
  <c r="AR95" i="4"/>
  <c r="AP95" i="4"/>
  <c r="AL95" i="4"/>
  <c r="AH95" i="4"/>
  <c r="AE95" i="4"/>
  <c r="AC95" i="4"/>
  <c r="Y95" i="4"/>
  <c r="V95" i="4"/>
  <c r="R95" i="4"/>
  <c r="K95" i="4"/>
  <c r="F95" i="4"/>
  <c r="E95" i="4"/>
  <c r="C95" i="4" s="1"/>
  <c r="A95" i="4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U94" i="4"/>
  <c r="AR94" i="4"/>
  <c r="AP94" i="4"/>
  <c r="AL94" i="4"/>
  <c r="AH94" i="4"/>
  <c r="AE94" i="4"/>
  <c r="AC94" i="4"/>
  <c r="Y94" i="4"/>
  <c r="V94" i="4"/>
  <c r="R94" i="4"/>
  <c r="K94" i="4"/>
  <c r="F94" i="4"/>
  <c r="E94" i="4"/>
  <c r="AU93" i="4"/>
  <c r="AR93" i="4"/>
  <c r="AP93" i="4"/>
  <c r="AL93" i="4"/>
  <c r="AH93" i="4"/>
  <c r="AE93" i="4"/>
  <c r="AC93" i="4"/>
  <c r="Y93" i="4"/>
  <c r="V93" i="4"/>
  <c r="R93" i="4"/>
  <c r="K93" i="4"/>
  <c r="F93" i="4"/>
  <c r="E93" i="4"/>
  <c r="C93" i="4" s="1"/>
  <c r="AU92" i="4"/>
  <c r="AR92" i="4"/>
  <c r="AP92" i="4"/>
  <c r="AL92" i="4"/>
  <c r="AH92" i="4"/>
  <c r="AE92" i="4"/>
  <c r="AC92" i="4"/>
  <c r="Y92" i="4"/>
  <c r="V92" i="4"/>
  <c r="R92" i="4"/>
  <c r="K92" i="4"/>
  <c r="F92" i="4"/>
  <c r="E92" i="4"/>
  <c r="C92" i="4" s="1"/>
  <c r="G92" i="4" s="1"/>
  <c r="AU91" i="4"/>
  <c r="AT91" i="4"/>
  <c r="AS91" i="4"/>
  <c r="AQ91" i="4"/>
  <c r="AQ12" i="4" s="1"/>
  <c r="AQ11" i="4" s="1"/>
  <c r="AO91" i="4"/>
  <c r="AN91" i="4"/>
  <c r="AR91" i="4" s="1"/>
  <c r="AM91" i="4"/>
  <c r="AP91" i="4" s="1"/>
  <c r="AK91" i="4"/>
  <c r="AJ91" i="4"/>
  <c r="AJ12" i="4" s="1"/>
  <c r="AI91" i="4"/>
  <c r="AG91" i="4"/>
  <c r="AF91" i="4"/>
  <c r="AH91" i="4" s="1"/>
  <c r="AD91" i="4"/>
  <c r="AD12" i="4" s="1"/>
  <c r="AD11" i="4" s="1"/>
  <c r="AB91" i="4"/>
  <c r="AA91" i="4"/>
  <c r="AC91" i="4" s="1"/>
  <c r="Z91" i="4"/>
  <c r="X91" i="4"/>
  <c r="W91" i="4"/>
  <c r="Y91" i="4" s="1"/>
  <c r="U91" i="4"/>
  <c r="U12" i="4" s="1"/>
  <c r="U11" i="4" s="1"/>
  <c r="T91" i="4"/>
  <c r="V91" i="4" s="1"/>
  <c r="S91" i="4"/>
  <c r="Q91" i="4"/>
  <c r="P91" i="4"/>
  <c r="O91" i="4"/>
  <c r="J91" i="4"/>
  <c r="J12" i="4" s="1"/>
  <c r="J11" i="4" s="1"/>
  <c r="I91" i="4"/>
  <c r="K91" i="4" s="1"/>
  <c r="H91" i="4"/>
  <c r="H12" i="4" s="1"/>
  <c r="D91" i="4"/>
  <c r="AS90" i="4"/>
  <c r="AU90" i="4" s="1"/>
  <c r="AR90" i="4"/>
  <c r="AQ90" i="4"/>
  <c r="AP90" i="4"/>
  <c r="AO90" i="4"/>
  <c r="AL90" i="4"/>
  <c r="AK90" i="4"/>
  <c r="AH90" i="4"/>
  <c r="AG90" i="4"/>
  <c r="AD90" i="4"/>
  <c r="AE90" i="4" s="1"/>
  <c r="AB90" i="4"/>
  <c r="AC90" i="4" s="1"/>
  <c r="Y90" i="4"/>
  <c r="X90" i="4"/>
  <c r="V90" i="4"/>
  <c r="U90" i="4"/>
  <c r="Q90" i="4"/>
  <c r="R90" i="4" s="1"/>
  <c r="N90" i="4"/>
  <c r="M90" i="4"/>
  <c r="J90" i="4"/>
  <c r="K90" i="4" s="1"/>
  <c r="F90" i="4"/>
  <c r="E90" i="4"/>
  <c r="C90" i="4" s="1"/>
  <c r="AU89" i="4"/>
  <c r="AS89" i="4"/>
  <c r="AR89" i="4"/>
  <c r="AQ89" i="4"/>
  <c r="AP89" i="4"/>
  <c r="AO89" i="4"/>
  <c r="AL89" i="4"/>
  <c r="AK89" i="4"/>
  <c r="AH89" i="4"/>
  <c r="AG89" i="4"/>
  <c r="AD89" i="4"/>
  <c r="AE89" i="4" s="1"/>
  <c r="AB89" i="4"/>
  <c r="AC89" i="4" s="1"/>
  <c r="Y89" i="4"/>
  <c r="X89" i="4"/>
  <c r="V89" i="4"/>
  <c r="U89" i="4"/>
  <c r="Q89" i="4"/>
  <c r="R89" i="4" s="1"/>
  <c r="N89" i="4"/>
  <c r="M89" i="4"/>
  <c r="J89" i="4"/>
  <c r="K89" i="4" s="1"/>
  <c r="F89" i="4"/>
  <c r="E89" i="4"/>
  <c r="C89" i="4" s="1"/>
  <c r="AS88" i="4"/>
  <c r="AU88" i="4" s="1"/>
  <c r="AR88" i="4"/>
  <c r="AQ88" i="4"/>
  <c r="AP88" i="4"/>
  <c r="AO88" i="4"/>
  <c r="AL88" i="4"/>
  <c r="AK88" i="4"/>
  <c r="AH88" i="4"/>
  <c r="AG88" i="4"/>
  <c r="AD88" i="4"/>
  <c r="AE88" i="4" s="1"/>
  <c r="AB88" i="4"/>
  <c r="AC88" i="4" s="1"/>
  <c r="X88" i="4"/>
  <c r="Y88" i="4" s="1"/>
  <c r="U88" i="4"/>
  <c r="V88" i="4" s="1"/>
  <c r="Q88" i="4"/>
  <c r="R88" i="4" s="1"/>
  <c r="N88" i="4"/>
  <c r="M88" i="4"/>
  <c r="J88" i="4"/>
  <c r="K88" i="4" s="1"/>
  <c r="F88" i="4"/>
  <c r="E88" i="4"/>
  <c r="C88" i="4" s="1"/>
  <c r="AS87" i="4"/>
  <c r="AU87" i="4" s="1"/>
  <c r="AR87" i="4"/>
  <c r="AQ87" i="4"/>
  <c r="AP87" i="4"/>
  <c r="AO87" i="4"/>
  <c r="AL87" i="4"/>
  <c r="AK87" i="4"/>
  <c r="AH87" i="4"/>
  <c r="AG87" i="4"/>
  <c r="AD87" i="4"/>
  <c r="AE87" i="4" s="1"/>
  <c r="AB87" i="4"/>
  <c r="AC87" i="4" s="1"/>
  <c r="Y87" i="4"/>
  <c r="X87" i="4"/>
  <c r="V87" i="4"/>
  <c r="U87" i="4"/>
  <c r="Q87" i="4"/>
  <c r="R87" i="4" s="1"/>
  <c r="N87" i="4"/>
  <c r="M87" i="4"/>
  <c r="J87" i="4"/>
  <c r="K87" i="4" s="1"/>
  <c r="F87" i="4"/>
  <c r="E87" i="4"/>
  <c r="C87" i="4" s="1"/>
  <c r="AS86" i="4"/>
  <c r="AU86" i="4" s="1"/>
  <c r="AR86" i="4"/>
  <c r="AQ86" i="4"/>
  <c r="AP86" i="4"/>
  <c r="AO86" i="4"/>
  <c r="AL86" i="4"/>
  <c r="AK86" i="4"/>
  <c r="AH86" i="4"/>
  <c r="AG86" i="4"/>
  <c r="AD86" i="4"/>
  <c r="AE86" i="4" s="1"/>
  <c r="AB86" i="4"/>
  <c r="AC86" i="4" s="1"/>
  <c r="Y86" i="4"/>
  <c r="X86" i="4"/>
  <c r="V86" i="4"/>
  <c r="U86" i="4"/>
  <c r="Q86" i="4"/>
  <c r="R86" i="4" s="1"/>
  <c r="N86" i="4"/>
  <c r="M86" i="4"/>
  <c r="J86" i="4"/>
  <c r="K86" i="4" s="1"/>
  <c r="F86" i="4"/>
  <c r="G86" i="4" s="1"/>
  <c r="E86" i="4"/>
  <c r="C86" i="4" s="1"/>
  <c r="AS85" i="4"/>
  <c r="AU85" i="4" s="1"/>
  <c r="AR85" i="4"/>
  <c r="AQ85" i="4"/>
  <c r="AP85" i="4"/>
  <c r="AO85" i="4"/>
  <c r="AL85" i="4"/>
  <c r="AK85" i="4"/>
  <c r="AH85" i="4"/>
  <c r="AG85" i="4"/>
  <c r="AE85" i="4"/>
  <c r="AD85" i="4"/>
  <c r="AC85" i="4"/>
  <c r="AB85" i="4"/>
  <c r="Y85" i="4"/>
  <c r="X85" i="4"/>
  <c r="V85" i="4"/>
  <c r="U85" i="4"/>
  <c r="Q85" i="4"/>
  <c r="R85" i="4" s="1"/>
  <c r="N85" i="4"/>
  <c r="M85" i="4"/>
  <c r="J85" i="4"/>
  <c r="K85" i="4" s="1"/>
  <c r="F85" i="4"/>
  <c r="E85" i="4"/>
  <c r="C85" i="4" s="1"/>
  <c r="AS84" i="4"/>
  <c r="AU84" i="4" s="1"/>
  <c r="AR84" i="4"/>
  <c r="AQ84" i="4"/>
  <c r="AP84" i="4"/>
  <c r="AO84" i="4"/>
  <c r="AL84" i="4"/>
  <c r="AK84" i="4"/>
  <c r="AH84" i="4"/>
  <c r="AG84" i="4"/>
  <c r="AD84" i="4"/>
  <c r="AE84" i="4" s="1"/>
  <c r="AB84" i="4"/>
  <c r="AC84" i="4" s="1"/>
  <c r="Y84" i="4"/>
  <c r="X84" i="4"/>
  <c r="V84" i="4"/>
  <c r="U84" i="4"/>
  <c r="Q84" i="4"/>
  <c r="R84" i="4" s="1"/>
  <c r="N84" i="4"/>
  <c r="M84" i="4"/>
  <c r="J84" i="4"/>
  <c r="K84" i="4" s="1"/>
  <c r="F84" i="4"/>
  <c r="G84" i="4" s="1"/>
  <c r="E84" i="4"/>
  <c r="C84" i="4" s="1"/>
  <c r="AS83" i="4"/>
  <c r="AU83" i="4" s="1"/>
  <c r="AR83" i="4"/>
  <c r="AQ83" i="4"/>
  <c r="AP83" i="4"/>
  <c r="AO83" i="4"/>
  <c r="AL83" i="4"/>
  <c r="AK83" i="4"/>
  <c r="AH83" i="4"/>
  <c r="AG83" i="4"/>
  <c r="AD83" i="4"/>
  <c r="AE83" i="4" s="1"/>
  <c r="AB83" i="4"/>
  <c r="AC83" i="4" s="1"/>
  <c r="Y83" i="4"/>
  <c r="X83" i="4"/>
  <c r="V83" i="4"/>
  <c r="U83" i="4"/>
  <c r="Q83" i="4"/>
  <c r="R83" i="4" s="1"/>
  <c r="N83" i="4"/>
  <c r="M83" i="4"/>
  <c r="J83" i="4"/>
  <c r="K83" i="4" s="1"/>
  <c r="F83" i="4"/>
  <c r="E83" i="4"/>
  <c r="C83" i="4" s="1"/>
  <c r="AS82" i="4"/>
  <c r="AR82" i="4"/>
  <c r="AQ82" i="4"/>
  <c r="AP82" i="4"/>
  <c r="AO82" i="4"/>
  <c r="AL82" i="4"/>
  <c r="AK82" i="4"/>
  <c r="AG82" i="4"/>
  <c r="AD82" i="4"/>
  <c r="AE82" i="4" s="1"/>
  <c r="AB82" i="4"/>
  <c r="AC82" i="4" s="1"/>
  <c r="Y82" i="4"/>
  <c r="X82" i="4"/>
  <c r="V82" i="4"/>
  <c r="U82" i="4"/>
  <c r="Q82" i="4"/>
  <c r="R82" i="4" s="1"/>
  <c r="N82" i="4"/>
  <c r="M82" i="4"/>
  <c r="J82" i="4"/>
  <c r="K82" i="4" s="1"/>
  <c r="F82" i="4"/>
  <c r="E82" i="4"/>
  <c r="C82" i="4" s="1"/>
  <c r="AS81" i="4"/>
  <c r="AU81" i="4" s="1"/>
  <c r="AR81" i="4"/>
  <c r="AQ81" i="4"/>
  <c r="AP81" i="4"/>
  <c r="AO81" i="4"/>
  <c r="AL81" i="4"/>
  <c r="AK81" i="4"/>
  <c r="AH81" i="4"/>
  <c r="AG81" i="4"/>
  <c r="AD81" i="4"/>
  <c r="AE81" i="4" s="1"/>
  <c r="AB81" i="4"/>
  <c r="AC81" i="4" s="1"/>
  <c r="Y81" i="4"/>
  <c r="X81" i="4"/>
  <c r="V81" i="4"/>
  <c r="U81" i="4"/>
  <c r="Q81" i="4"/>
  <c r="R81" i="4" s="1"/>
  <c r="N81" i="4"/>
  <c r="M81" i="4"/>
  <c r="J81" i="4"/>
  <c r="K81" i="4" s="1"/>
  <c r="F81" i="4"/>
  <c r="E81" i="4"/>
  <c r="C81" i="4" s="1"/>
  <c r="AS80" i="4"/>
  <c r="AQ80" i="4"/>
  <c r="AR80" i="4" s="1"/>
  <c r="AP80" i="4"/>
  <c r="AO80" i="4"/>
  <c r="AK80" i="4"/>
  <c r="AL80" i="4" s="1"/>
  <c r="AH80" i="4"/>
  <c r="AG80" i="4"/>
  <c r="AD80" i="4"/>
  <c r="AE80" i="4" s="1"/>
  <c r="AB80" i="4"/>
  <c r="AC80" i="4" s="1"/>
  <c r="X80" i="4"/>
  <c r="Y80" i="4" s="1"/>
  <c r="U80" i="4"/>
  <c r="V80" i="4" s="1"/>
  <c r="Q80" i="4"/>
  <c r="R80" i="4" s="1"/>
  <c r="N80" i="4"/>
  <c r="M80" i="4"/>
  <c r="K80" i="4"/>
  <c r="F80" i="4"/>
  <c r="E80" i="4"/>
  <c r="C80" i="4" s="1"/>
  <c r="AS79" i="4"/>
  <c r="AR79" i="4"/>
  <c r="AQ79" i="4"/>
  <c r="AP79" i="4"/>
  <c r="AO79" i="4"/>
  <c r="AL79" i="4"/>
  <c r="AK79" i="4"/>
  <c r="AG79" i="4"/>
  <c r="AD79" i="4"/>
  <c r="AE79" i="4" s="1"/>
  <c r="AB79" i="4"/>
  <c r="AC79" i="4" s="1"/>
  <c r="Y79" i="4"/>
  <c r="X79" i="4"/>
  <c r="V79" i="4"/>
  <c r="U79" i="4"/>
  <c r="Q79" i="4"/>
  <c r="R79" i="4" s="1"/>
  <c r="N79" i="4"/>
  <c r="M79" i="4"/>
  <c r="J79" i="4"/>
  <c r="K79" i="4" s="1"/>
  <c r="F79" i="4"/>
  <c r="E79" i="4"/>
  <c r="C79" i="4" s="1"/>
  <c r="AS78" i="4"/>
  <c r="AR78" i="4"/>
  <c r="AQ78" i="4"/>
  <c r="AP78" i="4"/>
  <c r="AO78" i="4"/>
  <c r="AL78" i="4"/>
  <c r="AK78" i="4"/>
  <c r="AG78" i="4"/>
  <c r="AD78" i="4"/>
  <c r="AE78" i="4" s="1"/>
  <c r="AB78" i="4"/>
  <c r="AC78" i="4" s="1"/>
  <c r="X78" i="4"/>
  <c r="Y78" i="4" s="1"/>
  <c r="U78" i="4"/>
  <c r="V78" i="4" s="1"/>
  <c r="Q78" i="4"/>
  <c r="R78" i="4" s="1"/>
  <c r="N78" i="4"/>
  <c r="M78" i="4"/>
  <c r="J78" i="4"/>
  <c r="K78" i="4" s="1"/>
  <c r="F78" i="4"/>
  <c r="E78" i="4"/>
  <c r="C78" i="4" s="1"/>
  <c r="AS77" i="4"/>
  <c r="AR77" i="4"/>
  <c r="AQ77" i="4"/>
  <c r="AP77" i="4"/>
  <c r="AO77" i="4"/>
  <c r="AL77" i="4"/>
  <c r="AK77" i="4"/>
  <c r="AG77" i="4"/>
  <c r="AD77" i="4"/>
  <c r="AB77" i="4"/>
  <c r="AC77" i="4" s="1"/>
  <c r="Y77" i="4"/>
  <c r="X77" i="4"/>
  <c r="V77" i="4"/>
  <c r="U77" i="4"/>
  <c r="Q77" i="4"/>
  <c r="R77" i="4" s="1"/>
  <c r="N77" i="4"/>
  <c r="M77" i="4"/>
  <c r="J77" i="4"/>
  <c r="F77" i="4"/>
  <c r="E77" i="4"/>
  <c r="C77" i="4" s="1"/>
  <c r="AN76" i="4"/>
  <c r="AM76" i="4"/>
  <c r="AP76" i="4" s="1"/>
  <c r="AJ76" i="4"/>
  <c r="AI76" i="4"/>
  <c r="AF76" i="4"/>
  <c r="AS76" i="4" s="1"/>
  <c r="AA76" i="4"/>
  <c r="Z76" i="4"/>
  <c r="W76" i="4"/>
  <c r="T76" i="4"/>
  <c r="S76" i="4"/>
  <c r="P76" i="4"/>
  <c r="O76" i="4"/>
  <c r="I76" i="4"/>
  <c r="H76" i="4"/>
  <c r="D76" i="4"/>
  <c r="AS75" i="4"/>
  <c r="AU75" i="4" s="1"/>
  <c r="AR75" i="4"/>
  <c r="AQ75" i="4"/>
  <c r="AP75" i="4"/>
  <c r="AO75" i="4"/>
  <c r="AL75" i="4"/>
  <c r="AK75" i="4"/>
  <c r="AH75" i="4"/>
  <c r="AG75" i="4"/>
  <c r="AD75" i="4"/>
  <c r="AE75" i="4" s="1"/>
  <c r="AB75" i="4"/>
  <c r="AC75" i="4" s="1"/>
  <c r="Y75" i="4"/>
  <c r="X75" i="4"/>
  <c r="V75" i="4"/>
  <c r="U75" i="4"/>
  <c r="Q75" i="4"/>
  <c r="R75" i="4" s="1"/>
  <c r="N75" i="4"/>
  <c r="M75" i="4"/>
  <c r="J75" i="4"/>
  <c r="K75" i="4" s="1"/>
  <c r="F75" i="4"/>
  <c r="E75" i="4"/>
  <c r="C75" i="4"/>
  <c r="AU74" i="4"/>
  <c r="AS74" i="4"/>
  <c r="AR74" i="4"/>
  <c r="AQ74" i="4"/>
  <c r="AP74" i="4"/>
  <c r="AO74" i="4"/>
  <c r="AL74" i="4"/>
  <c r="AK74" i="4"/>
  <c r="AH74" i="4"/>
  <c r="AG74" i="4"/>
  <c r="AD74" i="4"/>
  <c r="AE74" i="4" s="1"/>
  <c r="AB74" i="4"/>
  <c r="AC74" i="4" s="1"/>
  <c r="Y74" i="4"/>
  <c r="X74" i="4"/>
  <c r="V74" i="4"/>
  <c r="U74" i="4"/>
  <c r="Q74" i="4"/>
  <c r="R74" i="4" s="1"/>
  <c r="N74" i="4"/>
  <c r="M74" i="4"/>
  <c r="J74" i="4"/>
  <c r="K74" i="4" s="1"/>
  <c r="F74" i="4"/>
  <c r="E74" i="4"/>
  <c r="C74" i="4" s="1"/>
  <c r="AS73" i="4"/>
  <c r="AU73" i="4" s="1"/>
  <c r="AR73" i="4"/>
  <c r="AQ73" i="4"/>
  <c r="AP73" i="4"/>
  <c r="AO73" i="4"/>
  <c r="AL73" i="4"/>
  <c r="AK73" i="4"/>
  <c r="AH73" i="4"/>
  <c r="AG73" i="4"/>
  <c r="AD73" i="4"/>
  <c r="AE73" i="4" s="1"/>
  <c r="AB73" i="4"/>
  <c r="AC73" i="4" s="1"/>
  <c r="Y73" i="4"/>
  <c r="X73" i="4"/>
  <c r="V73" i="4"/>
  <c r="U73" i="4"/>
  <c r="Q73" i="4"/>
  <c r="R73" i="4" s="1"/>
  <c r="N73" i="4"/>
  <c r="M73" i="4"/>
  <c r="J73" i="4"/>
  <c r="K73" i="4" s="1"/>
  <c r="F73" i="4"/>
  <c r="E73" i="4"/>
  <c r="C73" i="4" s="1"/>
  <c r="AS72" i="4"/>
  <c r="AR72" i="4"/>
  <c r="AQ72" i="4"/>
  <c r="AP72" i="4"/>
  <c r="AO72" i="4"/>
  <c r="AL72" i="4"/>
  <c r="AK72" i="4"/>
  <c r="AG72" i="4"/>
  <c r="AH72" i="4" s="1"/>
  <c r="AD72" i="4"/>
  <c r="AE72" i="4" s="1"/>
  <c r="AB72" i="4"/>
  <c r="AC72" i="4" s="1"/>
  <c r="Y72" i="4"/>
  <c r="X72" i="4"/>
  <c r="V72" i="4"/>
  <c r="U72" i="4"/>
  <c r="Q72" i="4"/>
  <c r="R72" i="4" s="1"/>
  <c r="N72" i="4"/>
  <c r="M72" i="4"/>
  <c r="J72" i="4"/>
  <c r="K72" i="4" s="1"/>
  <c r="F72" i="4"/>
  <c r="E72" i="4"/>
  <c r="C72" i="4" s="1"/>
  <c r="AS71" i="4"/>
  <c r="AR71" i="4"/>
  <c r="AQ71" i="4"/>
  <c r="AO71" i="4"/>
  <c r="AP71" i="4" s="1"/>
  <c r="AK71" i="4"/>
  <c r="AL71" i="4" s="1"/>
  <c r="AH71" i="4"/>
  <c r="AG71" i="4"/>
  <c r="AD71" i="4"/>
  <c r="AE71" i="4" s="1"/>
  <c r="AB71" i="4"/>
  <c r="AC71" i="4" s="1"/>
  <c r="X71" i="4"/>
  <c r="Y71" i="4" s="1"/>
  <c r="U71" i="4"/>
  <c r="V71" i="4" s="1"/>
  <c r="Q71" i="4"/>
  <c r="R71" i="4" s="1"/>
  <c r="N71" i="4"/>
  <c r="M71" i="4"/>
  <c r="J71" i="4"/>
  <c r="K71" i="4" s="1"/>
  <c r="F71" i="4"/>
  <c r="E71" i="4"/>
  <c r="C71" i="4" s="1"/>
  <c r="AS70" i="4"/>
  <c r="AU70" i="4" s="1"/>
  <c r="AR70" i="4"/>
  <c r="AQ70" i="4"/>
  <c r="AP70" i="4"/>
  <c r="AO70" i="4"/>
  <c r="AL70" i="4"/>
  <c r="AK70" i="4"/>
  <c r="AH70" i="4"/>
  <c r="AG70" i="4"/>
  <c r="AD70" i="4"/>
  <c r="AE70" i="4" s="1"/>
  <c r="AB70" i="4"/>
  <c r="AC70" i="4" s="1"/>
  <c r="Y70" i="4"/>
  <c r="X70" i="4"/>
  <c r="V70" i="4"/>
  <c r="U70" i="4"/>
  <c r="Q70" i="4"/>
  <c r="R70" i="4" s="1"/>
  <c r="N70" i="4"/>
  <c r="M70" i="4"/>
  <c r="J70" i="4"/>
  <c r="K70" i="4" s="1"/>
  <c r="F70" i="4"/>
  <c r="E70" i="4"/>
  <c r="C70" i="4" s="1"/>
  <c r="AS69" i="4"/>
  <c r="AU69" i="4" s="1"/>
  <c r="AR69" i="4"/>
  <c r="AQ69" i="4"/>
  <c r="AP69" i="4"/>
  <c r="AO69" i="4"/>
  <c r="AL69" i="4"/>
  <c r="AK69" i="4"/>
  <c r="AH69" i="4"/>
  <c r="AG69" i="4"/>
  <c r="AD69" i="4"/>
  <c r="AE69" i="4" s="1"/>
  <c r="AB69" i="4"/>
  <c r="AC69" i="4" s="1"/>
  <c r="Y69" i="4"/>
  <c r="X69" i="4"/>
  <c r="V69" i="4"/>
  <c r="U69" i="4"/>
  <c r="Q69" i="4"/>
  <c r="R69" i="4" s="1"/>
  <c r="N69" i="4"/>
  <c r="M69" i="4"/>
  <c r="J69" i="4"/>
  <c r="K69" i="4" s="1"/>
  <c r="F69" i="4"/>
  <c r="E69" i="4"/>
  <c r="C69" i="4" s="1"/>
  <c r="AS68" i="4"/>
  <c r="AR68" i="4"/>
  <c r="AQ68" i="4"/>
  <c r="AO68" i="4"/>
  <c r="AP68" i="4" s="1"/>
  <c r="AK68" i="4"/>
  <c r="AL68" i="4" s="1"/>
  <c r="AH68" i="4"/>
  <c r="AG68" i="4"/>
  <c r="AD68" i="4"/>
  <c r="AE68" i="4" s="1"/>
  <c r="AB68" i="4"/>
  <c r="AC68" i="4" s="1"/>
  <c r="Y68" i="4"/>
  <c r="X68" i="4"/>
  <c r="V68" i="4"/>
  <c r="U68" i="4"/>
  <c r="Q68" i="4"/>
  <c r="R68" i="4" s="1"/>
  <c r="N68" i="4"/>
  <c r="M68" i="4"/>
  <c r="J68" i="4"/>
  <c r="K68" i="4" s="1"/>
  <c r="F68" i="4"/>
  <c r="E68" i="4"/>
  <c r="C68" i="4" s="1"/>
  <c r="AS67" i="4"/>
  <c r="AU67" i="4" s="1"/>
  <c r="AR67" i="4"/>
  <c r="AQ67" i="4"/>
  <c r="AP67" i="4"/>
  <c r="AO67" i="4"/>
  <c r="AL67" i="4"/>
  <c r="AK67" i="4"/>
  <c r="AH67" i="4"/>
  <c r="AG67" i="4"/>
  <c r="AD67" i="4"/>
  <c r="AE67" i="4" s="1"/>
  <c r="AB67" i="4"/>
  <c r="AC67" i="4" s="1"/>
  <c r="Y67" i="4"/>
  <c r="X67" i="4"/>
  <c r="V67" i="4"/>
  <c r="U67" i="4"/>
  <c r="Q67" i="4"/>
  <c r="R67" i="4" s="1"/>
  <c r="N67" i="4"/>
  <c r="M67" i="4"/>
  <c r="J67" i="4"/>
  <c r="K67" i="4" s="1"/>
  <c r="F67" i="4"/>
  <c r="E67" i="4"/>
  <c r="C67" i="4" s="1"/>
  <c r="AS66" i="4"/>
  <c r="AR66" i="4"/>
  <c r="AQ66" i="4"/>
  <c r="AO66" i="4"/>
  <c r="AP66" i="4" s="1"/>
  <c r="AK66" i="4"/>
  <c r="AL66" i="4" s="1"/>
  <c r="AH66" i="4"/>
  <c r="AG66" i="4"/>
  <c r="AD66" i="4"/>
  <c r="AE66" i="4" s="1"/>
  <c r="AB66" i="4"/>
  <c r="AC66" i="4" s="1"/>
  <c r="Y66" i="4"/>
  <c r="X66" i="4"/>
  <c r="V66" i="4"/>
  <c r="U66" i="4"/>
  <c r="Q66" i="4"/>
  <c r="R66" i="4" s="1"/>
  <c r="N66" i="4"/>
  <c r="M66" i="4"/>
  <c r="J66" i="4"/>
  <c r="K66" i="4" s="1"/>
  <c r="F66" i="4"/>
  <c r="E66" i="4"/>
  <c r="C66" i="4" s="1"/>
  <c r="AS65" i="4"/>
  <c r="AR65" i="4"/>
  <c r="AQ65" i="4"/>
  <c r="AO65" i="4"/>
  <c r="AP65" i="4" s="1"/>
  <c r="AK65" i="4"/>
  <c r="AL65" i="4" s="1"/>
  <c r="AH65" i="4"/>
  <c r="AG65" i="4"/>
  <c r="AD65" i="4"/>
  <c r="AE65" i="4" s="1"/>
  <c r="AB65" i="4"/>
  <c r="AC65" i="4" s="1"/>
  <c r="Y65" i="4"/>
  <c r="X65" i="4"/>
  <c r="V65" i="4"/>
  <c r="U65" i="4"/>
  <c r="Q65" i="4"/>
  <c r="R65" i="4" s="1"/>
  <c r="N65" i="4"/>
  <c r="M65" i="4"/>
  <c r="J65" i="4"/>
  <c r="K65" i="4" s="1"/>
  <c r="F65" i="4"/>
  <c r="E65" i="4"/>
  <c r="C65" i="4" s="1"/>
  <c r="AU64" i="4"/>
  <c r="AS64" i="4"/>
  <c r="AR64" i="4"/>
  <c r="AQ64" i="4"/>
  <c r="AP64" i="4"/>
  <c r="AO64" i="4"/>
  <c r="AL64" i="4"/>
  <c r="AK64" i="4"/>
  <c r="AH64" i="4"/>
  <c r="AG64" i="4"/>
  <c r="AD64" i="4"/>
  <c r="AE64" i="4" s="1"/>
  <c r="AB64" i="4"/>
  <c r="AC64" i="4" s="1"/>
  <c r="Y64" i="4"/>
  <c r="X64" i="4"/>
  <c r="V64" i="4"/>
  <c r="U64" i="4"/>
  <c r="Q64" i="4"/>
  <c r="R64" i="4" s="1"/>
  <c r="N64" i="4"/>
  <c r="M64" i="4"/>
  <c r="J64" i="4"/>
  <c r="K64" i="4" s="1"/>
  <c r="F64" i="4"/>
  <c r="E64" i="4"/>
  <c r="C64" i="4" s="1"/>
  <c r="AS63" i="4"/>
  <c r="AR63" i="4"/>
  <c r="AQ63" i="4"/>
  <c r="AO63" i="4"/>
  <c r="AP63" i="4" s="1"/>
  <c r="AK63" i="4"/>
  <c r="AL63" i="4" s="1"/>
  <c r="AH63" i="4"/>
  <c r="AG63" i="4"/>
  <c r="AD63" i="4"/>
  <c r="AE63" i="4" s="1"/>
  <c r="AB63" i="4"/>
  <c r="AC63" i="4" s="1"/>
  <c r="Y63" i="4"/>
  <c r="X63" i="4"/>
  <c r="V63" i="4"/>
  <c r="U63" i="4"/>
  <c r="Q63" i="4"/>
  <c r="R63" i="4" s="1"/>
  <c r="N63" i="4"/>
  <c r="M63" i="4"/>
  <c r="J63" i="4"/>
  <c r="K63" i="4" s="1"/>
  <c r="F63" i="4"/>
  <c r="E63" i="4"/>
  <c r="C63" i="4" s="1"/>
  <c r="AS62" i="4"/>
  <c r="AR62" i="4"/>
  <c r="AQ62" i="4"/>
  <c r="AO62" i="4"/>
  <c r="AP62" i="4" s="1"/>
  <c r="AK62" i="4"/>
  <c r="AL62" i="4" s="1"/>
  <c r="AH62" i="4"/>
  <c r="AG62" i="4"/>
  <c r="AD62" i="4"/>
  <c r="AE62" i="4" s="1"/>
  <c r="AB62" i="4"/>
  <c r="AC62" i="4" s="1"/>
  <c r="Y62" i="4"/>
  <c r="X62" i="4"/>
  <c r="V62" i="4"/>
  <c r="U62" i="4"/>
  <c r="Q62" i="4"/>
  <c r="R62" i="4" s="1"/>
  <c r="N62" i="4"/>
  <c r="M62" i="4"/>
  <c r="J62" i="4"/>
  <c r="K62" i="4" s="1"/>
  <c r="F62" i="4"/>
  <c r="E62" i="4"/>
  <c r="C62" i="4" s="1"/>
  <c r="AS61" i="4"/>
  <c r="AR61" i="4"/>
  <c r="AQ61" i="4"/>
  <c r="AO61" i="4"/>
  <c r="AP61" i="4" s="1"/>
  <c r="AK61" i="4"/>
  <c r="AL61" i="4" s="1"/>
  <c r="AH61" i="4"/>
  <c r="AG61" i="4"/>
  <c r="AD61" i="4"/>
  <c r="AE61" i="4" s="1"/>
  <c r="AB61" i="4"/>
  <c r="AC61" i="4" s="1"/>
  <c r="Y61" i="4"/>
  <c r="X61" i="4"/>
  <c r="V61" i="4"/>
  <c r="U61" i="4"/>
  <c r="Q61" i="4"/>
  <c r="R61" i="4" s="1"/>
  <c r="N61" i="4"/>
  <c r="M61" i="4"/>
  <c r="J61" i="4"/>
  <c r="K61" i="4" s="1"/>
  <c r="F61" i="4"/>
  <c r="E61" i="4"/>
  <c r="C61" i="4"/>
  <c r="AS60" i="4"/>
  <c r="AU60" i="4" s="1"/>
  <c r="AR60" i="4"/>
  <c r="AQ60" i="4"/>
  <c r="AP60" i="4"/>
  <c r="AO60" i="4"/>
  <c r="AL60" i="4"/>
  <c r="AK60" i="4"/>
  <c r="AH60" i="4"/>
  <c r="AG60" i="4"/>
  <c r="AD60" i="4"/>
  <c r="AE60" i="4" s="1"/>
  <c r="AB60" i="4"/>
  <c r="AC60" i="4" s="1"/>
  <c r="X60" i="4"/>
  <c r="Y60" i="4" s="1"/>
  <c r="U60" i="4"/>
  <c r="V60" i="4" s="1"/>
  <c r="Q60" i="4"/>
  <c r="R60" i="4" s="1"/>
  <c r="N60" i="4"/>
  <c r="M60" i="4"/>
  <c r="J60" i="4"/>
  <c r="K60" i="4" s="1"/>
  <c r="F60" i="4"/>
  <c r="E60" i="4"/>
  <c r="C60" i="4" s="1"/>
  <c r="AS59" i="4"/>
  <c r="AR59" i="4"/>
  <c r="AQ59" i="4"/>
  <c r="AP59" i="4"/>
  <c r="AO59" i="4"/>
  <c r="AL59" i="4"/>
  <c r="AK59" i="4"/>
  <c r="AG59" i="4"/>
  <c r="AD59" i="4"/>
  <c r="AE59" i="4" s="1"/>
  <c r="AB59" i="4"/>
  <c r="AC59" i="4" s="1"/>
  <c r="Y59" i="4"/>
  <c r="X59" i="4"/>
  <c r="V59" i="4"/>
  <c r="U59" i="4"/>
  <c r="Q59" i="4"/>
  <c r="R59" i="4" s="1"/>
  <c r="N59" i="4"/>
  <c r="M59" i="4"/>
  <c r="J59" i="4"/>
  <c r="K59" i="4" s="1"/>
  <c r="F59" i="4"/>
  <c r="E59" i="4"/>
  <c r="C59" i="4" s="1"/>
  <c r="AS58" i="4"/>
  <c r="AR58" i="4"/>
  <c r="AQ58" i="4"/>
  <c r="AO58" i="4"/>
  <c r="AP58" i="4" s="1"/>
  <c r="AK58" i="4"/>
  <c r="AL58" i="4" s="1"/>
  <c r="AG58" i="4"/>
  <c r="AD58" i="4"/>
  <c r="AE58" i="4" s="1"/>
  <c r="AB58" i="4"/>
  <c r="AC58" i="4" s="1"/>
  <c r="Y58" i="4"/>
  <c r="X58" i="4"/>
  <c r="V58" i="4"/>
  <c r="U58" i="4"/>
  <c r="Q58" i="4"/>
  <c r="R58" i="4" s="1"/>
  <c r="N58" i="4"/>
  <c r="M58" i="4"/>
  <c r="J58" i="4"/>
  <c r="K58" i="4" s="1"/>
  <c r="F58" i="4"/>
  <c r="E58" i="4"/>
  <c r="C58" i="4" s="1"/>
  <c r="AS57" i="4"/>
  <c r="AR57" i="4"/>
  <c r="AQ57" i="4"/>
  <c r="AO57" i="4"/>
  <c r="AP57" i="4" s="1"/>
  <c r="AK57" i="4"/>
  <c r="AL57" i="4" s="1"/>
  <c r="AG57" i="4"/>
  <c r="AH57" i="4" s="1"/>
  <c r="AD57" i="4"/>
  <c r="AE57" i="4" s="1"/>
  <c r="AB57" i="4"/>
  <c r="AC57" i="4" s="1"/>
  <c r="X57" i="4"/>
  <c r="U57" i="4"/>
  <c r="V57" i="4" s="1"/>
  <c r="Q57" i="4"/>
  <c r="R57" i="4" s="1"/>
  <c r="N57" i="4"/>
  <c r="M57" i="4"/>
  <c r="J57" i="4"/>
  <c r="K57" i="4" s="1"/>
  <c r="F57" i="4"/>
  <c r="E57" i="4"/>
  <c r="C57" i="4" s="1"/>
  <c r="AS56" i="4"/>
  <c r="AR56" i="4"/>
  <c r="AQ56" i="4"/>
  <c r="AP56" i="4"/>
  <c r="AO56" i="4"/>
  <c r="AK56" i="4"/>
  <c r="AL56" i="4" s="1"/>
  <c r="AH56" i="4"/>
  <c r="AG56" i="4"/>
  <c r="AD56" i="4"/>
  <c r="AE56" i="4" s="1"/>
  <c r="AB56" i="4"/>
  <c r="AC56" i="4" s="1"/>
  <c r="X56" i="4"/>
  <c r="Y56" i="4" s="1"/>
  <c r="U56" i="4"/>
  <c r="V56" i="4" s="1"/>
  <c r="Q56" i="4"/>
  <c r="R56" i="4" s="1"/>
  <c r="N56" i="4"/>
  <c r="M56" i="4"/>
  <c r="J56" i="4"/>
  <c r="K56" i="4" s="1"/>
  <c r="F56" i="4"/>
  <c r="E56" i="4"/>
  <c r="C56" i="4" s="1"/>
  <c r="AS55" i="4"/>
  <c r="AR55" i="4"/>
  <c r="AQ55" i="4"/>
  <c r="AO55" i="4"/>
  <c r="AP55" i="4" s="1"/>
  <c r="AK55" i="4"/>
  <c r="AH55" i="4"/>
  <c r="AG55" i="4"/>
  <c r="AD55" i="4"/>
  <c r="AE55" i="4" s="1"/>
  <c r="AB55" i="4"/>
  <c r="X55" i="4"/>
  <c r="Y55" i="4" s="1"/>
  <c r="U55" i="4"/>
  <c r="Q55" i="4"/>
  <c r="N55" i="4"/>
  <c r="M55" i="4"/>
  <c r="J55" i="4"/>
  <c r="F55" i="4"/>
  <c r="E55" i="4"/>
  <c r="C55" i="4" s="1"/>
  <c r="AN54" i="4"/>
  <c r="AR54" i="4" s="1"/>
  <c r="AM54" i="4"/>
  <c r="AJ54" i="4"/>
  <c r="AI54" i="4"/>
  <c r="AF54" i="4"/>
  <c r="AF10" i="4" s="1"/>
  <c r="AA54" i="4"/>
  <c r="Z54" i="4"/>
  <c r="W54" i="4"/>
  <c r="T54" i="4"/>
  <c r="S54" i="4"/>
  <c r="P54" i="4"/>
  <c r="P10" i="4" s="1"/>
  <c r="O54" i="4"/>
  <c r="I54" i="4"/>
  <c r="H54" i="4"/>
  <c r="D54" i="4"/>
  <c r="AS53" i="4"/>
  <c r="AR53" i="4"/>
  <c r="AQ53" i="4"/>
  <c r="AO53" i="4"/>
  <c r="AP53" i="4" s="1"/>
  <c r="AK53" i="4"/>
  <c r="AL53" i="4" s="1"/>
  <c r="AH53" i="4"/>
  <c r="AG53" i="4"/>
  <c r="AD53" i="4"/>
  <c r="AE53" i="4" s="1"/>
  <c r="AB53" i="4"/>
  <c r="AC53" i="4" s="1"/>
  <c r="X53" i="4"/>
  <c r="Y53" i="4" s="1"/>
  <c r="U53" i="4"/>
  <c r="V53" i="4" s="1"/>
  <c r="Q53" i="4"/>
  <c r="R53" i="4" s="1"/>
  <c r="N53" i="4"/>
  <c r="M53" i="4"/>
  <c r="J53" i="4"/>
  <c r="K53" i="4" s="1"/>
  <c r="F53" i="4"/>
  <c r="E53" i="4"/>
  <c r="C53" i="4" s="1"/>
  <c r="AS52" i="4"/>
  <c r="AU52" i="4" s="1"/>
  <c r="AR52" i="4"/>
  <c r="AQ52" i="4"/>
  <c r="AP52" i="4"/>
  <c r="AO52" i="4"/>
  <c r="AL52" i="4"/>
  <c r="AK52" i="4"/>
  <c r="AH52" i="4"/>
  <c r="AG52" i="4"/>
  <c r="AD52" i="4"/>
  <c r="AE52" i="4" s="1"/>
  <c r="AB52" i="4"/>
  <c r="AC52" i="4" s="1"/>
  <c r="X52" i="4"/>
  <c r="Y52" i="4" s="1"/>
  <c r="U52" i="4"/>
  <c r="V52" i="4" s="1"/>
  <c r="Q52" i="4"/>
  <c r="R52" i="4" s="1"/>
  <c r="N52" i="4"/>
  <c r="M52" i="4"/>
  <c r="J52" i="4"/>
  <c r="K52" i="4" s="1"/>
  <c r="F52" i="4"/>
  <c r="E52" i="4"/>
  <c r="C52" i="4" s="1"/>
  <c r="AS51" i="4"/>
  <c r="AU51" i="4" s="1"/>
  <c r="AR51" i="4"/>
  <c r="AQ51" i="4"/>
  <c r="AP51" i="4"/>
  <c r="AO51" i="4"/>
  <c r="AL51" i="4"/>
  <c r="AK51" i="4"/>
  <c r="AH51" i="4"/>
  <c r="AG51" i="4"/>
  <c r="AD51" i="4"/>
  <c r="AE51" i="4" s="1"/>
  <c r="AB51" i="4"/>
  <c r="AC51" i="4" s="1"/>
  <c r="X51" i="4"/>
  <c r="Y51" i="4" s="1"/>
  <c r="U51" i="4"/>
  <c r="V51" i="4" s="1"/>
  <c r="Q51" i="4"/>
  <c r="R51" i="4" s="1"/>
  <c r="N51" i="4"/>
  <c r="M51" i="4"/>
  <c r="J51" i="4"/>
  <c r="K51" i="4" s="1"/>
  <c r="F51" i="4"/>
  <c r="E51" i="4"/>
  <c r="C51" i="4" s="1"/>
  <c r="AS50" i="4"/>
  <c r="AR50" i="4"/>
  <c r="AQ50" i="4"/>
  <c r="AP50" i="4"/>
  <c r="AO50" i="4"/>
  <c r="AL50" i="4"/>
  <c r="AK50" i="4"/>
  <c r="AG50" i="4"/>
  <c r="AH50" i="4" s="1"/>
  <c r="AD50" i="4"/>
  <c r="AE50" i="4" s="1"/>
  <c r="AB50" i="4"/>
  <c r="AC50" i="4" s="1"/>
  <c r="X50" i="4"/>
  <c r="Y50" i="4" s="1"/>
  <c r="U50" i="4"/>
  <c r="V50" i="4" s="1"/>
  <c r="Q50" i="4"/>
  <c r="R50" i="4" s="1"/>
  <c r="N50" i="4"/>
  <c r="M50" i="4"/>
  <c r="J50" i="4"/>
  <c r="K50" i="4" s="1"/>
  <c r="F50" i="4"/>
  <c r="E50" i="4"/>
  <c r="C50" i="4" s="1"/>
  <c r="AS49" i="4"/>
  <c r="AU49" i="4" s="1"/>
  <c r="AR49" i="4"/>
  <c r="AQ49" i="4"/>
  <c r="AP49" i="4"/>
  <c r="AO49" i="4"/>
  <c r="AL49" i="4"/>
  <c r="AK49" i="4"/>
  <c r="AH49" i="4"/>
  <c r="AG49" i="4"/>
  <c r="AD49" i="4"/>
  <c r="AE49" i="4" s="1"/>
  <c r="AB49" i="4"/>
  <c r="AC49" i="4" s="1"/>
  <c r="X49" i="4"/>
  <c r="Y49" i="4" s="1"/>
  <c r="U49" i="4"/>
  <c r="V49" i="4" s="1"/>
  <c r="Q49" i="4"/>
  <c r="R49" i="4" s="1"/>
  <c r="N49" i="4"/>
  <c r="M49" i="4"/>
  <c r="J49" i="4"/>
  <c r="K49" i="4" s="1"/>
  <c r="F49" i="4"/>
  <c r="E49" i="4"/>
  <c r="C49" i="4" s="1"/>
  <c r="AS48" i="4"/>
  <c r="AU48" i="4" s="1"/>
  <c r="AR48" i="4"/>
  <c r="AQ48" i="4"/>
  <c r="AP48" i="4"/>
  <c r="AO48" i="4"/>
  <c r="AL48" i="4"/>
  <c r="AK48" i="4"/>
  <c r="AH48" i="4"/>
  <c r="AG48" i="4"/>
  <c r="AD48" i="4"/>
  <c r="AE48" i="4" s="1"/>
  <c r="AB48" i="4"/>
  <c r="AC48" i="4" s="1"/>
  <c r="X48" i="4"/>
  <c r="Y48" i="4" s="1"/>
  <c r="U48" i="4"/>
  <c r="V48" i="4" s="1"/>
  <c r="Q48" i="4"/>
  <c r="R48" i="4" s="1"/>
  <c r="N48" i="4"/>
  <c r="M48" i="4"/>
  <c r="J48" i="4"/>
  <c r="K48" i="4" s="1"/>
  <c r="F48" i="4"/>
  <c r="E48" i="4"/>
  <c r="C48" i="4" s="1"/>
  <c r="AS47" i="4"/>
  <c r="AR47" i="4"/>
  <c r="AQ47" i="4"/>
  <c r="AO47" i="4"/>
  <c r="AP47" i="4" s="1"/>
  <c r="AK47" i="4"/>
  <c r="AL47" i="4" s="1"/>
  <c r="AH47" i="4"/>
  <c r="AG47" i="4"/>
  <c r="AD47" i="4"/>
  <c r="AE47" i="4" s="1"/>
  <c r="AB47" i="4"/>
  <c r="AC47" i="4" s="1"/>
  <c r="Y47" i="4"/>
  <c r="X47" i="4"/>
  <c r="V47" i="4"/>
  <c r="U47" i="4"/>
  <c r="Q47" i="4"/>
  <c r="R47" i="4" s="1"/>
  <c r="N47" i="4"/>
  <c r="M47" i="4"/>
  <c r="J47" i="4"/>
  <c r="K47" i="4" s="1"/>
  <c r="F47" i="4"/>
  <c r="E47" i="4"/>
  <c r="C47" i="4" s="1"/>
  <c r="AS46" i="4"/>
  <c r="AU46" i="4" s="1"/>
  <c r="AR46" i="4"/>
  <c r="AQ46" i="4"/>
  <c r="AP46" i="4"/>
  <c r="AO46" i="4"/>
  <c r="AL46" i="4"/>
  <c r="AK46" i="4"/>
  <c r="AH46" i="4"/>
  <c r="AG46" i="4"/>
  <c r="AD46" i="4"/>
  <c r="AE46" i="4" s="1"/>
  <c r="AB46" i="4"/>
  <c r="AC46" i="4" s="1"/>
  <c r="X46" i="4"/>
  <c r="Y46" i="4" s="1"/>
  <c r="U46" i="4"/>
  <c r="V46" i="4" s="1"/>
  <c r="Q46" i="4"/>
  <c r="R46" i="4" s="1"/>
  <c r="N46" i="4"/>
  <c r="M46" i="4"/>
  <c r="J46" i="4"/>
  <c r="K46" i="4" s="1"/>
  <c r="F46" i="4"/>
  <c r="E46" i="4"/>
  <c r="C46" i="4" s="1"/>
  <c r="AS45" i="4"/>
  <c r="AR45" i="4"/>
  <c r="AQ45" i="4"/>
  <c r="AP45" i="4"/>
  <c r="AO45" i="4"/>
  <c r="AL45" i="4"/>
  <c r="AK45" i="4"/>
  <c r="AG45" i="4"/>
  <c r="AD45" i="4"/>
  <c r="AE45" i="4" s="1"/>
  <c r="AB45" i="4"/>
  <c r="AC45" i="4" s="1"/>
  <c r="X45" i="4"/>
  <c r="Y45" i="4" s="1"/>
  <c r="U45" i="4"/>
  <c r="V45" i="4" s="1"/>
  <c r="Q45" i="4"/>
  <c r="R45" i="4" s="1"/>
  <c r="N45" i="4"/>
  <c r="M45" i="4"/>
  <c r="J45" i="4"/>
  <c r="K45" i="4" s="1"/>
  <c r="F45" i="4"/>
  <c r="E45" i="4"/>
  <c r="C45" i="4" s="1"/>
  <c r="AS44" i="4"/>
  <c r="AU44" i="4" s="1"/>
  <c r="AR44" i="4"/>
  <c r="AQ44" i="4"/>
  <c r="AP44" i="4"/>
  <c r="AO44" i="4"/>
  <c r="AL44" i="4"/>
  <c r="AK44" i="4"/>
  <c r="AH44" i="4"/>
  <c r="AG44" i="4"/>
  <c r="AD44" i="4"/>
  <c r="AE44" i="4" s="1"/>
  <c r="AB44" i="4"/>
  <c r="AC44" i="4" s="1"/>
  <c r="Y44" i="4"/>
  <c r="X44" i="4"/>
  <c r="V44" i="4"/>
  <c r="U44" i="4"/>
  <c r="Q44" i="4"/>
  <c r="R44" i="4" s="1"/>
  <c r="N44" i="4"/>
  <c r="M44" i="4"/>
  <c r="J44" i="4"/>
  <c r="K44" i="4" s="1"/>
  <c r="F44" i="4"/>
  <c r="E44" i="4"/>
  <c r="C44" i="4" s="1"/>
  <c r="AS43" i="4"/>
  <c r="AU43" i="4" s="1"/>
  <c r="AR43" i="4"/>
  <c r="AQ43" i="4"/>
  <c r="AP43" i="4"/>
  <c r="AO43" i="4"/>
  <c r="AL43" i="4"/>
  <c r="AK43" i="4"/>
  <c r="AH43" i="4"/>
  <c r="AG43" i="4"/>
  <c r="AD43" i="4"/>
  <c r="AE43" i="4" s="1"/>
  <c r="AB43" i="4"/>
  <c r="AC43" i="4" s="1"/>
  <c r="X43" i="4"/>
  <c r="Y43" i="4" s="1"/>
  <c r="U43" i="4"/>
  <c r="V43" i="4" s="1"/>
  <c r="Q43" i="4"/>
  <c r="R43" i="4" s="1"/>
  <c r="N43" i="4"/>
  <c r="M43" i="4"/>
  <c r="J43" i="4"/>
  <c r="K43" i="4" s="1"/>
  <c r="F43" i="4"/>
  <c r="E43" i="4"/>
  <c r="C43" i="4" s="1"/>
  <c r="AS42" i="4"/>
  <c r="AR42" i="4"/>
  <c r="AQ42" i="4"/>
  <c r="AP42" i="4"/>
  <c r="AO42" i="4"/>
  <c r="AL42" i="4"/>
  <c r="AK42" i="4"/>
  <c r="AG42" i="4"/>
  <c r="AD42" i="4"/>
  <c r="AE42" i="4" s="1"/>
  <c r="AB42" i="4"/>
  <c r="AC42" i="4" s="1"/>
  <c r="X42" i="4"/>
  <c r="Y42" i="4" s="1"/>
  <c r="U42" i="4"/>
  <c r="V42" i="4" s="1"/>
  <c r="Q42" i="4"/>
  <c r="R42" i="4" s="1"/>
  <c r="N42" i="4"/>
  <c r="M42" i="4"/>
  <c r="J42" i="4"/>
  <c r="K42" i="4" s="1"/>
  <c r="F42" i="4"/>
  <c r="E42" i="4"/>
  <c r="C42" i="4" s="1"/>
  <c r="AS41" i="4"/>
  <c r="AU41" i="4" s="1"/>
  <c r="AR41" i="4"/>
  <c r="AQ41" i="4"/>
  <c r="AP41" i="4"/>
  <c r="AO41" i="4"/>
  <c r="AL41" i="4"/>
  <c r="AK41" i="4"/>
  <c r="AH41" i="4"/>
  <c r="AG41" i="4"/>
  <c r="AD41" i="4"/>
  <c r="AE41" i="4" s="1"/>
  <c r="AB41" i="4"/>
  <c r="AC41" i="4" s="1"/>
  <c r="Y41" i="4"/>
  <c r="X41" i="4"/>
  <c r="V41" i="4"/>
  <c r="U41" i="4"/>
  <c r="Q41" i="4"/>
  <c r="R41" i="4" s="1"/>
  <c r="N41" i="4"/>
  <c r="M41" i="4"/>
  <c r="J41" i="4"/>
  <c r="K41" i="4" s="1"/>
  <c r="F41" i="4"/>
  <c r="E41" i="4"/>
  <c r="C41" i="4" s="1"/>
  <c r="AS40" i="4"/>
  <c r="AU40" i="4" s="1"/>
  <c r="AR40" i="4"/>
  <c r="AQ40" i="4"/>
  <c r="AP40" i="4"/>
  <c r="AO40" i="4"/>
  <c r="AL40" i="4"/>
  <c r="AK40" i="4"/>
  <c r="AH40" i="4"/>
  <c r="AG40" i="4"/>
  <c r="AD40" i="4"/>
  <c r="AE40" i="4" s="1"/>
  <c r="AB40" i="4"/>
  <c r="AC40" i="4" s="1"/>
  <c r="X40" i="4"/>
  <c r="Y40" i="4" s="1"/>
  <c r="U40" i="4"/>
  <c r="V40" i="4" s="1"/>
  <c r="Q40" i="4"/>
  <c r="R40" i="4" s="1"/>
  <c r="N40" i="4"/>
  <c r="M40" i="4"/>
  <c r="J40" i="4"/>
  <c r="K40" i="4" s="1"/>
  <c r="F40" i="4"/>
  <c r="E40" i="4"/>
  <c r="C40" i="4" s="1"/>
  <c r="AS39" i="4"/>
  <c r="AU39" i="4" s="1"/>
  <c r="AR39" i="4"/>
  <c r="AQ39" i="4"/>
  <c r="AP39" i="4"/>
  <c r="AO39" i="4"/>
  <c r="AL39" i="4"/>
  <c r="AK39" i="4"/>
  <c r="AH39" i="4"/>
  <c r="AG39" i="4"/>
  <c r="AD39" i="4"/>
  <c r="AE39" i="4" s="1"/>
  <c r="AB39" i="4"/>
  <c r="AC39" i="4" s="1"/>
  <c r="X39" i="4"/>
  <c r="Y39" i="4" s="1"/>
  <c r="U39" i="4"/>
  <c r="V39" i="4" s="1"/>
  <c r="Q39" i="4"/>
  <c r="R39" i="4" s="1"/>
  <c r="N39" i="4"/>
  <c r="M39" i="4"/>
  <c r="J39" i="4"/>
  <c r="K39" i="4" s="1"/>
  <c r="F39" i="4"/>
  <c r="E39" i="4"/>
  <c r="C39" i="4" s="1"/>
  <c r="AS38" i="4"/>
  <c r="AR38" i="4"/>
  <c r="AQ38" i="4"/>
  <c r="AP38" i="4"/>
  <c r="AO38" i="4"/>
  <c r="AL38" i="4"/>
  <c r="AK38" i="4"/>
  <c r="AG38" i="4"/>
  <c r="AD38" i="4"/>
  <c r="AE38" i="4" s="1"/>
  <c r="AB38" i="4"/>
  <c r="AC38" i="4" s="1"/>
  <c r="Y38" i="4"/>
  <c r="X38" i="4"/>
  <c r="V38" i="4"/>
  <c r="U38" i="4"/>
  <c r="Q38" i="4"/>
  <c r="R38" i="4" s="1"/>
  <c r="N38" i="4"/>
  <c r="M38" i="4"/>
  <c r="J38" i="4"/>
  <c r="K38" i="4" s="1"/>
  <c r="F38" i="4"/>
  <c r="E38" i="4"/>
  <c r="C38" i="4" s="1"/>
  <c r="AU37" i="4"/>
  <c r="AS37" i="4"/>
  <c r="AR37" i="4"/>
  <c r="AQ37" i="4"/>
  <c r="AP37" i="4"/>
  <c r="AO37" i="4"/>
  <c r="AL37" i="4"/>
  <c r="AK37" i="4"/>
  <c r="AH37" i="4"/>
  <c r="AG37" i="4"/>
  <c r="AD37" i="4"/>
  <c r="AE37" i="4" s="1"/>
  <c r="AB37" i="4"/>
  <c r="AC37" i="4" s="1"/>
  <c r="X37" i="4"/>
  <c r="Y37" i="4" s="1"/>
  <c r="U37" i="4"/>
  <c r="V37" i="4" s="1"/>
  <c r="Q37" i="4"/>
  <c r="R37" i="4" s="1"/>
  <c r="N37" i="4"/>
  <c r="M37" i="4"/>
  <c r="J37" i="4"/>
  <c r="K37" i="4" s="1"/>
  <c r="F37" i="4"/>
  <c r="E37" i="4"/>
  <c r="C37" i="4" s="1"/>
  <c r="AS36" i="4"/>
  <c r="AU36" i="4" s="1"/>
  <c r="AR36" i="4"/>
  <c r="AQ36" i="4"/>
  <c r="AP36" i="4"/>
  <c r="AO36" i="4"/>
  <c r="AL36" i="4"/>
  <c r="AK36" i="4"/>
  <c r="AH36" i="4"/>
  <c r="AG36" i="4"/>
  <c r="AD36" i="4"/>
  <c r="AE36" i="4" s="1"/>
  <c r="AB36" i="4"/>
  <c r="AC36" i="4" s="1"/>
  <c r="Y36" i="4"/>
  <c r="X36" i="4"/>
  <c r="V36" i="4"/>
  <c r="U36" i="4"/>
  <c r="Q36" i="4"/>
  <c r="R36" i="4" s="1"/>
  <c r="N36" i="4"/>
  <c r="M36" i="4"/>
  <c r="J36" i="4"/>
  <c r="K36" i="4" s="1"/>
  <c r="F36" i="4"/>
  <c r="E36" i="4"/>
  <c r="C36" i="4" s="1"/>
  <c r="AU35" i="4"/>
  <c r="AS35" i="4"/>
  <c r="AR35" i="4"/>
  <c r="AQ35" i="4"/>
  <c r="AP35" i="4"/>
  <c r="AO35" i="4"/>
  <c r="AL35" i="4"/>
  <c r="AK35" i="4"/>
  <c r="AH35" i="4"/>
  <c r="AG35" i="4"/>
  <c r="AD35" i="4"/>
  <c r="AE35" i="4" s="1"/>
  <c r="AB35" i="4"/>
  <c r="AC35" i="4" s="1"/>
  <c r="Y35" i="4"/>
  <c r="X35" i="4"/>
  <c r="V35" i="4"/>
  <c r="U35" i="4"/>
  <c r="Q35" i="4"/>
  <c r="N35" i="4"/>
  <c r="M35" i="4"/>
  <c r="J35" i="4"/>
  <c r="F35" i="4"/>
  <c r="E35" i="4"/>
  <c r="C35" i="4" s="1"/>
  <c r="AS34" i="4"/>
  <c r="AU34" i="4" s="1"/>
  <c r="AR34" i="4"/>
  <c r="AQ34" i="4"/>
  <c r="AP34" i="4"/>
  <c r="AO34" i="4"/>
  <c r="AL34" i="4"/>
  <c r="AK34" i="4"/>
  <c r="AH34" i="4"/>
  <c r="AG34" i="4"/>
  <c r="AD34" i="4"/>
  <c r="AE34" i="4" s="1"/>
  <c r="AB34" i="4"/>
  <c r="AC34" i="4" s="1"/>
  <c r="Y34" i="4"/>
  <c r="X34" i="4"/>
  <c r="V34" i="4"/>
  <c r="U34" i="4"/>
  <c r="Q34" i="4"/>
  <c r="R34" i="4" s="1"/>
  <c r="N34" i="4"/>
  <c r="M34" i="4"/>
  <c r="J34" i="4"/>
  <c r="K34" i="4" s="1"/>
  <c r="F34" i="4"/>
  <c r="E34" i="4"/>
  <c r="C34" i="4" s="1"/>
  <c r="AN33" i="4"/>
  <c r="AR33" i="4" s="1"/>
  <c r="AM33" i="4"/>
  <c r="AJ33" i="4"/>
  <c r="AJ10" i="4" s="1"/>
  <c r="AI33" i="4"/>
  <c r="AF33" i="4"/>
  <c r="AS33" i="4" s="1"/>
  <c r="AA33" i="4"/>
  <c r="Z33" i="4"/>
  <c r="W33" i="4"/>
  <c r="T33" i="4"/>
  <c r="T10" i="4" s="1"/>
  <c r="S33" i="4"/>
  <c r="P33" i="4"/>
  <c r="O33" i="4"/>
  <c r="I33" i="4"/>
  <c r="H33" i="4"/>
  <c r="D33" i="4"/>
  <c r="AS32" i="4"/>
  <c r="AU32" i="4" s="1"/>
  <c r="AR32" i="4"/>
  <c r="AQ32" i="4"/>
  <c r="AP32" i="4"/>
  <c r="AO32" i="4"/>
  <c r="AL32" i="4"/>
  <c r="AK32" i="4"/>
  <c r="AH32" i="4"/>
  <c r="AG32" i="4"/>
  <c r="AD32" i="4"/>
  <c r="AE32" i="4" s="1"/>
  <c r="AB32" i="4"/>
  <c r="AC32" i="4" s="1"/>
  <c r="Y32" i="4"/>
  <c r="X32" i="4"/>
  <c r="V32" i="4"/>
  <c r="U32" i="4"/>
  <c r="Q32" i="4"/>
  <c r="R32" i="4" s="1"/>
  <c r="N32" i="4"/>
  <c r="M32" i="4"/>
  <c r="J32" i="4"/>
  <c r="K32" i="4" s="1"/>
  <c r="F32" i="4"/>
  <c r="E32" i="4"/>
  <c r="C32" i="4" s="1"/>
  <c r="AS31" i="4"/>
  <c r="AU31" i="4" s="1"/>
  <c r="AR31" i="4"/>
  <c r="AQ31" i="4"/>
  <c r="AP31" i="4"/>
  <c r="AO31" i="4"/>
  <c r="AL31" i="4"/>
  <c r="AK31" i="4"/>
  <c r="AH31" i="4"/>
  <c r="AG31" i="4"/>
  <c r="AD31" i="4"/>
  <c r="AE31" i="4" s="1"/>
  <c r="AB31" i="4"/>
  <c r="AC31" i="4" s="1"/>
  <c r="X31" i="4"/>
  <c r="Y31" i="4" s="1"/>
  <c r="U31" i="4"/>
  <c r="V31" i="4" s="1"/>
  <c r="Q31" i="4"/>
  <c r="R31" i="4" s="1"/>
  <c r="N31" i="4"/>
  <c r="M31" i="4"/>
  <c r="J31" i="4"/>
  <c r="K31" i="4" s="1"/>
  <c r="F31" i="4"/>
  <c r="E31" i="4"/>
  <c r="C31" i="4" s="1"/>
  <c r="AU30" i="4"/>
  <c r="AS30" i="4"/>
  <c r="AR30" i="4"/>
  <c r="AQ30" i="4"/>
  <c r="AP30" i="4"/>
  <c r="AO30" i="4"/>
  <c r="AL30" i="4"/>
  <c r="AK30" i="4"/>
  <c r="AH30" i="4"/>
  <c r="AG30" i="4"/>
  <c r="AD30" i="4"/>
  <c r="AE30" i="4" s="1"/>
  <c r="AB30" i="4"/>
  <c r="AC30" i="4" s="1"/>
  <c r="Y30" i="4"/>
  <c r="X30" i="4"/>
  <c r="V30" i="4"/>
  <c r="U30" i="4"/>
  <c r="Q30" i="4"/>
  <c r="R30" i="4" s="1"/>
  <c r="N30" i="4"/>
  <c r="M30" i="4"/>
  <c r="J30" i="4"/>
  <c r="K30" i="4" s="1"/>
  <c r="F30" i="4"/>
  <c r="E30" i="4"/>
  <c r="C30" i="4" s="1"/>
  <c r="AS29" i="4"/>
  <c r="AQ29" i="4"/>
  <c r="AR29" i="4" s="1"/>
  <c r="AO29" i="4"/>
  <c r="AP29" i="4" s="1"/>
  <c r="AK29" i="4"/>
  <c r="AL29" i="4" s="1"/>
  <c r="AH29" i="4"/>
  <c r="AG29" i="4"/>
  <c r="AD29" i="4"/>
  <c r="AE29" i="4" s="1"/>
  <c r="AB29" i="4"/>
  <c r="AC29" i="4" s="1"/>
  <c r="Y29" i="4"/>
  <c r="X29" i="4"/>
  <c r="V29" i="4"/>
  <c r="U29" i="4"/>
  <c r="Q29" i="4"/>
  <c r="R29" i="4" s="1"/>
  <c r="N29" i="4"/>
  <c r="M29" i="4"/>
  <c r="J29" i="4"/>
  <c r="K29" i="4" s="1"/>
  <c r="F29" i="4"/>
  <c r="E29" i="4"/>
  <c r="C29" i="4"/>
  <c r="AS28" i="4"/>
  <c r="AU28" i="4" s="1"/>
  <c r="AR28" i="4"/>
  <c r="AQ28" i="4"/>
  <c r="AP28" i="4"/>
  <c r="AO28" i="4"/>
  <c r="AL28" i="4"/>
  <c r="AK28" i="4"/>
  <c r="AH28" i="4"/>
  <c r="AG28" i="4"/>
  <c r="AD28" i="4"/>
  <c r="AE28" i="4" s="1"/>
  <c r="AB28" i="4"/>
  <c r="AC28" i="4" s="1"/>
  <c r="Y28" i="4"/>
  <c r="X28" i="4"/>
  <c r="V28" i="4"/>
  <c r="U28" i="4"/>
  <c r="Q28" i="4"/>
  <c r="R28" i="4" s="1"/>
  <c r="N28" i="4"/>
  <c r="M28" i="4"/>
  <c r="J28" i="4"/>
  <c r="K28" i="4" s="1"/>
  <c r="F28" i="4"/>
  <c r="E28" i="4"/>
  <c r="C28" i="4" s="1"/>
  <c r="AS27" i="4"/>
  <c r="AU27" i="4" s="1"/>
  <c r="AR27" i="4"/>
  <c r="AQ27" i="4"/>
  <c r="AP27" i="4"/>
  <c r="AO27" i="4"/>
  <c r="AL27" i="4"/>
  <c r="AK27" i="4"/>
  <c r="AH27" i="4"/>
  <c r="AG27" i="4"/>
  <c r="AD27" i="4"/>
  <c r="AE27" i="4" s="1"/>
  <c r="AB27" i="4"/>
  <c r="AC27" i="4" s="1"/>
  <c r="Y27" i="4"/>
  <c r="X27" i="4"/>
  <c r="V27" i="4"/>
  <c r="U27" i="4"/>
  <c r="Q27" i="4"/>
  <c r="R27" i="4" s="1"/>
  <c r="N27" i="4"/>
  <c r="M27" i="4"/>
  <c r="J27" i="4"/>
  <c r="K27" i="4" s="1"/>
  <c r="F27" i="4"/>
  <c r="E27" i="4"/>
  <c r="C27" i="4"/>
  <c r="AS26" i="4"/>
  <c r="AU26" i="4" s="1"/>
  <c r="AR26" i="4"/>
  <c r="AQ26" i="4"/>
  <c r="AP26" i="4"/>
  <c r="AO26" i="4"/>
  <c r="AL26" i="4"/>
  <c r="AK26" i="4"/>
  <c r="AH26" i="4"/>
  <c r="AG26" i="4"/>
  <c r="AD26" i="4"/>
  <c r="AE26" i="4" s="1"/>
  <c r="AB26" i="4"/>
  <c r="AC26" i="4" s="1"/>
  <c r="Y26" i="4"/>
  <c r="X26" i="4"/>
  <c r="V26" i="4"/>
  <c r="U26" i="4"/>
  <c r="Q26" i="4"/>
  <c r="R26" i="4" s="1"/>
  <c r="N26" i="4"/>
  <c r="M26" i="4"/>
  <c r="J26" i="4"/>
  <c r="K26" i="4" s="1"/>
  <c r="F26" i="4"/>
  <c r="E26" i="4"/>
  <c r="C26" i="4" s="1"/>
  <c r="AS25" i="4"/>
  <c r="AR25" i="4"/>
  <c r="AQ25" i="4"/>
  <c r="AP25" i="4"/>
  <c r="AO25" i="4"/>
  <c r="AL25" i="4"/>
  <c r="AK25" i="4"/>
  <c r="AG25" i="4"/>
  <c r="AD25" i="4"/>
  <c r="AE25" i="4" s="1"/>
  <c r="AB25" i="4"/>
  <c r="AC25" i="4" s="1"/>
  <c r="X25" i="4"/>
  <c r="Y25" i="4" s="1"/>
  <c r="U25" i="4"/>
  <c r="V25" i="4" s="1"/>
  <c r="Q25" i="4"/>
  <c r="R25" i="4" s="1"/>
  <c r="N25" i="4"/>
  <c r="M25" i="4"/>
  <c r="J25" i="4"/>
  <c r="K25" i="4" s="1"/>
  <c r="F25" i="4"/>
  <c r="E25" i="4"/>
  <c r="C25" i="4" s="1"/>
  <c r="AS24" i="4"/>
  <c r="AR24" i="4"/>
  <c r="AQ24" i="4"/>
  <c r="AP24" i="4"/>
  <c r="AO24" i="4"/>
  <c r="AL24" i="4"/>
  <c r="AK24" i="4"/>
  <c r="AG24" i="4"/>
  <c r="AH24" i="4" s="1"/>
  <c r="AD24" i="4"/>
  <c r="AE24" i="4" s="1"/>
  <c r="AB24" i="4"/>
  <c r="AC24" i="4" s="1"/>
  <c r="Y24" i="4"/>
  <c r="X24" i="4"/>
  <c r="V24" i="4"/>
  <c r="U24" i="4"/>
  <c r="Q24" i="4"/>
  <c r="R24" i="4" s="1"/>
  <c r="N24" i="4"/>
  <c r="M24" i="4"/>
  <c r="J24" i="4"/>
  <c r="K24" i="4" s="1"/>
  <c r="F24" i="4"/>
  <c r="E24" i="4"/>
  <c r="C24" i="4" s="1"/>
  <c r="AS23" i="4"/>
  <c r="AU23" i="4" s="1"/>
  <c r="AR23" i="4"/>
  <c r="AQ23" i="4"/>
  <c r="AP23" i="4"/>
  <c r="AO23" i="4"/>
  <c r="AL23" i="4"/>
  <c r="AK23" i="4"/>
  <c r="AH23" i="4"/>
  <c r="AG23" i="4"/>
  <c r="AD23" i="4"/>
  <c r="AE23" i="4" s="1"/>
  <c r="AB23" i="4"/>
  <c r="AC23" i="4" s="1"/>
  <c r="Y23" i="4"/>
  <c r="X23" i="4"/>
  <c r="V23" i="4"/>
  <c r="U23" i="4"/>
  <c r="Q23" i="4"/>
  <c r="R23" i="4" s="1"/>
  <c r="N23" i="4"/>
  <c r="M23" i="4"/>
  <c r="J23" i="4"/>
  <c r="K23" i="4" s="1"/>
  <c r="F23" i="4"/>
  <c r="E23" i="4"/>
  <c r="C23" i="4" s="1"/>
  <c r="AS22" i="4"/>
  <c r="AR22" i="4"/>
  <c r="AQ22" i="4"/>
  <c r="AO22" i="4"/>
  <c r="AP22" i="4" s="1"/>
  <c r="AK22" i="4"/>
  <c r="AG22" i="4"/>
  <c r="AH22" i="4" s="1"/>
  <c r="AD22" i="4"/>
  <c r="AE22" i="4" s="1"/>
  <c r="AB22" i="4"/>
  <c r="AC22" i="4" s="1"/>
  <c r="Y22" i="4"/>
  <c r="X22" i="4"/>
  <c r="V22" i="4"/>
  <c r="U22" i="4"/>
  <c r="Q22" i="4"/>
  <c r="R22" i="4" s="1"/>
  <c r="N22" i="4"/>
  <c r="M22" i="4"/>
  <c r="J22" i="4"/>
  <c r="K22" i="4" s="1"/>
  <c r="F22" i="4"/>
  <c r="E22" i="4"/>
  <c r="C22" i="4" s="1"/>
  <c r="AS21" i="4"/>
  <c r="AR21" i="4"/>
  <c r="AQ21" i="4"/>
  <c r="AO21" i="4"/>
  <c r="AP21" i="4" s="1"/>
  <c r="AK21" i="4"/>
  <c r="AL21" i="4" s="1"/>
  <c r="AH21" i="4"/>
  <c r="AG21" i="4"/>
  <c r="AD21" i="4"/>
  <c r="AE21" i="4" s="1"/>
  <c r="AB21" i="4"/>
  <c r="AC21" i="4" s="1"/>
  <c r="Y21" i="4"/>
  <c r="X21" i="4"/>
  <c r="V21" i="4"/>
  <c r="U21" i="4"/>
  <c r="Q21" i="4"/>
  <c r="R21" i="4" s="1"/>
  <c r="N21" i="4"/>
  <c r="M21" i="4"/>
  <c r="J21" i="4"/>
  <c r="K21" i="4" s="1"/>
  <c r="F21" i="4"/>
  <c r="E21" i="4"/>
  <c r="C21" i="4" s="1"/>
  <c r="AU20" i="4"/>
  <c r="AS20" i="4"/>
  <c r="AR20" i="4"/>
  <c r="AQ20" i="4"/>
  <c r="AP20" i="4"/>
  <c r="AO20" i="4"/>
  <c r="AL20" i="4"/>
  <c r="AK20" i="4"/>
  <c r="AH20" i="4"/>
  <c r="AG20" i="4"/>
  <c r="AD20" i="4"/>
  <c r="AE20" i="4" s="1"/>
  <c r="AB20" i="4"/>
  <c r="AC20" i="4" s="1"/>
  <c r="Y20" i="4"/>
  <c r="X20" i="4"/>
  <c r="V20" i="4"/>
  <c r="U20" i="4"/>
  <c r="Q20" i="4"/>
  <c r="R20" i="4" s="1"/>
  <c r="N20" i="4"/>
  <c r="M20" i="4"/>
  <c r="J20" i="4"/>
  <c r="K20" i="4" s="1"/>
  <c r="F20" i="4"/>
  <c r="E20" i="4"/>
  <c r="C20" i="4" s="1"/>
  <c r="AS19" i="4"/>
  <c r="AU19" i="4" s="1"/>
  <c r="AR19" i="4"/>
  <c r="AQ19" i="4"/>
  <c r="AP19" i="4"/>
  <c r="AO19" i="4"/>
  <c r="AL19" i="4"/>
  <c r="AK19" i="4"/>
  <c r="AH19" i="4"/>
  <c r="AG19" i="4"/>
  <c r="AD19" i="4"/>
  <c r="AE19" i="4" s="1"/>
  <c r="AB19" i="4"/>
  <c r="AC19" i="4" s="1"/>
  <c r="Y19" i="4"/>
  <c r="X19" i="4"/>
  <c r="V19" i="4"/>
  <c r="U19" i="4"/>
  <c r="Q19" i="4"/>
  <c r="R19" i="4" s="1"/>
  <c r="N19" i="4"/>
  <c r="M19" i="4"/>
  <c r="J19" i="4"/>
  <c r="K19" i="4" s="1"/>
  <c r="F19" i="4"/>
  <c r="E19" i="4"/>
  <c r="C19" i="4" s="1"/>
  <c r="AS18" i="4"/>
  <c r="AR18" i="4"/>
  <c r="AQ18" i="4"/>
  <c r="AO18" i="4"/>
  <c r="AP18" i="4" s="1"/>
  <c r="AK18" i="4"/>
  <c r="AH18" i="4"/>
  <c r="AG18" i="4"/>
  <c r="AD18" i="4"/>
  <c r="AE18" i="4" s="1"/>
  <c r="AB18" i="4"/>
  <c r="AC18" i="4" s="1"/>
  <c r="X18" i="4"/>
  <c r="Y18" i="4" s="1"/>
  <c r="U18" i="4"/>
  <c r="V18" i="4" s="1"/>
  <c r="Q18" i="4"/>
  <c r="R18" i="4" s="1"/>
  <c r="N18" i="4"/>
  <c r="M18" i="4"/>
  <c r="J18" i="4"/>
  <c r="K18" i="4" s="1"/>
  <c r="F18" i="4"/>
  <c r="E18" i="4"/>
  <c r="C18" i="4" s="1"/>
  <c r="AS17" i="4"/>
  <c r="AR17" i="4"/>
  <c r="AQ17" i="4"/>
  <c r="AP17" i="4"/>
  <c r="AO17" i="4"/>
  <c r="AL17" i="4"/>
  <c r="AK17" i="4"/>
  <c r="AG17" i="4"/>
  <c r="AD17" i="4"/>
  <c r="AE17" i="4" s="1"/>
  <c r="AB17" i="4"/>
  <c r="Y17" i="4"/>
  <c r="X17" i="4"/>
  <c r="V17" i="4"/>
  <c r="U17" i="4"/>
  <c r="Q17" i="4"/>
  <c r="R17" i="4" s="1"/>
  <c r="N17" i="4"/>
  <c r="M17" i="4"/>
  <c r="J17" i="4"/>
  <c r="K17" i="4" s="1"/>
  <c r="F17" i="4"/>
  <c r="E17" i="4"/>
  <c r="AS16" i="4"/>
  <c r="AU16" i="4" s="1"/>
  <c r="AR16" i="4"/>
  <c r="AQ16" i="4"/>
  <c r="AP16" i="4"/>
  <c r="AO16" i="4"/>
  <c r="AL16" i="4"/>
  <c r="AK16" i="4"/>
  <c r="AH16" i="4"/>
  <c r="AG16" i="4"/>
  <c r="AD16" i="4"/>
  <c r="AE16" i="4" s="1"/>
  <c r="AB16" i="4"/>
  <c r="AC16" i="4" s="1"/>
  <c r="Y16" i="4"/>
  <c r="X16" i="4"/>
  <c r="V16" i="4"/>
  <c r="U16" i="4"/>
  <c r="Q16" i="4"/>
  <c r="N16" i="4"/>
  <c r="M16" i="4"/>
  <c r="J16" i="4"/>
  <c r="K16" i="4" s="1"/>
  <c r="F16" i="4"/>
  <c r="E16" i="4"/>
  <c r="C16" i="4" s="1"/>
  <c r="AN15" i="4"/>
  <c r="AM15" i="4"/>
  <c r="AJ15" i="4"/>
  <c r="AI15" i="4"/>
  <c r="AF15" i="4"/>
  <c r="AA15" i="4"/>
  <c r="AA10" i="4" s="1"/>
  <c r="Z15" i="4"/>
  <c r="W15" i="4"/>
  <c r="T15" i="4"/>
  <c r="S15" i="4"/>
  <c r="P15" i="4"/>
  <c r="O15" i="4"/>
  <c r="I15" i="4"/>
  <c r="H15" i="4"/>
  <c r="H10" i="4" s="1"/>
  <c r="D15" i="4"/>
  <c r="AS14" i="4"/>
  <c r="AU14" i="4" s="1"/>
  <c r="AR14" i="4"/>
  <c r="AP14" i="4"/>
  <c r="AL14" i="4"/>
  <c r="AH14" i="4"/>
  <c r="AE14" i="4"/>
  <c r="AC14" i="4"/>
  <c r="Y14" i="4"/>
  <c r="V14" i="4"/>
  <c r="R14" i="4"/>
  <c r="K14" i="4"/>
  <c r="G14" i="4"/>
  <c r="AT13" i="4"/>
  <c r="AQ13" i="4"/>
  <c r="AO13" i="4"/>
  <c r="AN13" i="4"/>
  <c r="AR13" i="4" s="1"/>
  <c r="AM13" i="4"/>
  <c r="AP13" i="4" s="1"/>
  <c r="AK13" i="4"/>
  <c r="AJ13" i="4"/>
  <c r="AL13" i="4" s="1"/>
  <c r="AI13" i="4"/>
  <c r="AG13" i="4"/>
  <c r="AF13" i="4"/>
  <c r="AD13" i="4"/>
  <c r="AB13" i="4"/>
  <c r="AA13" i="4"/>
  <c r="AE13" i="4" s="1"/>
  <c r="Z13" i="4"/>
  <c r="X13" i="4"/>
  <c r="W13" i="4"/>
  <c r="Y13" i="4" s="1"/>
  <c r="U13" i="4"/>
  <c r="T13" i="4"/>
  <c r="S13" i="4"/>
  <c r="S11" i="4" s="1"/>
  <c r="Q13" i="4"/>
  <c r="P13" i="4"/>
  <c r="R13" i="4" s="1"/>
  <c r="O13" i="4"/>
  <c r="J13" i="4"/>
  <c r="I13" i="4"/>
  <c r="K13" i="4" s="1"/>
  <c r="H13" i="4"/>
  <c r="H11" i="4" s="1"/>
  <c r="F13" i="4"/>
  <c r="D13" i="4"/>
  <c r="AT12" i="4"/>
  <c r="AO12" i="4"/>
  <c r="AO11" i="4" s="1"/>
  <c r="AN12" i="4"/>
  <c r="AR12" i="4" s="1"/>
  <c r="AM12" i="4"/>
  <c r="AK12" i="4"/>
  <c r="AI12" i="4"/>
  <c r="AI11" i="4" s="1"/>
  <c r="AG12" i="4"/>
  <c r="AG11" i="4" s="1"/>
  <c r="AF12" i="4"/>
  <c r="AH12" i="4" s="1"/>
  <c r="AB12" i="4"/>
  <c r="AA12" i="4"/>
  <c r="AE12" i="4" s="1"/>
  <c r="Z12" i="4"/>
  <c r="Z11" i="4" s="1"/>
  <c r="X12" i="4"/>
  <c r="X11" i="4" s="1"/>
  <c r="W12" i="4"/>
  <c r="Y12" i="4" s="1"/>
  <c r="T12" i="4"/>
  <c r="V12" i="4" s="1"/>
  <c r="S12" i="4"/>
  <c r="Q12" i="4"/>
  <c r="O12" i="4"/>
  <c r="K12" i="4"/>
  <c r="I12" i="4"/>
  <c r="D12" i="4"/>
  <c r="D11" i="4" s="1"/>
  <c r="AB11" i="4"/>
  <c r="I11" i="4"/>
  <c r="K11" i="4" s="1"/>
  <c r="AN10" i="4"/>
  <c r="AM10" i="4"/>
  <c r="Z10" i="4"/>
  <c r="S10" i="4"/>
  <c r="I10" i="4"/>
  <c r="M114" i="3"/>
  <c r="J114" i="3"/>
  <c r="C114" i="3"/>
  <c r="G114" i="3" s="1"/>
  <c r="M113" i="3"/>
  <c r="J113" i="3"/>
  <c r="C113" i="3"/>
  <c r="G113" i="3" s="1"/>
  <c r="M112" i="3"/>
  <c r="J112" i="3"/>
  <c r="C112" i="3"/>
  <c r="G112" i="3" s="1"/>
  <c r="M111" i="3"/>
  <c r="J111" i="3"/>
  <c r="C111" i="3"/>
  <c r="G111" i="3" s="1"/>
  <c r="M110" i="3"/>
  <c r="J110" i="3"/>
  <c r="C110" i="3"/>
  <c r="G110" i="3" s="1"/>
  <c r="A110" i="3"/>
  <c r="A111" i="3" s="1"/>
  <c r="A112" i="3" s="1"/>
  <c r="M109" i="3"/>
  <c r="J109" i="3"/>
  <c r="C109" i="3"/>
  <c r="G109" i="3" s="1"/>
  <c r="M108" i="3"/>
  <c r="J108" i="3"/>
  <c r="C108" i="3"/>
  <c r="G108" i="3" s="1"/>
  <c r="M107" i="3"/>
  <c r="J107" i="3"/>
  <c r="C107" i="3"/>
  <c r="G107" i="3" s="1"/>
  <c r="L106" i="3"/>
  <c r="K106" i="3"/>
  <c r="M106" i="3" s="1"/>
  <c r="J106" i="3"/>
  <c r="I106" i="3"/>
  <c r="H106" i="3"/>
  <c r="F106" i="3"/>
  <c r="E106" i="3"/>
  <c r="E13" i="3" s="1"/>
  <c r="D106" i="3"/>
  <c r="M105" i="3"/>
  <c r="J105" i="3"/>
  <c r="F105" i="3"/>
  <c r="C105" i="3"/>
  <c r="G105" i="3" s="1"/>
  <c r="M104" i="3"/>
  <c r="J104" i="3"/>
  <c r="G104" i="3"/>
  <c r="F104" i="3"/>
  <c r="C104" i="3"/>
  <c r="M103" i="3"/>
  <c r="J103" i="3"/>
  <c r="F103" i="3"/>
  <c r="C103" i="3"/>
  <c r="G103" i="3" s="1"/>
  <c r="M102" i="3"/>
  <c r="J102" i="3"/>
  <c r="F102" i="3"/>
  <c r="C102" i="3"/>
  <c r="G102" i="3" s="1"/>
  <c r="M101" i="3"/>
  <c r="J101" i="3"/>
  <c r="F101" i="3"/>
  <c r="C101" i="3"/>
  <c r="G101" i="3" s="1"/>
  <c r="M100" i="3"/>
  <c r="J100" i="3"/>
  <c r="F100" i="3"/>
  <c r="C100" i="3"/>
  <c r="G100" i="3" s="1"/>
  <c r="M99" i="3"/>
  <c r="J99" i="3"/>
  <c r="F99" i="3"/>
  <c r="C99" i="3"/>
  <c r="G99" i="3" s="1"/>
  <c r="M98" i="3"/>
  <c r="J98" i="3"/>
  <c r="F98" i="3"/>
  <c r="C98" i="3"/>
  <c r="M97" i="3"/>
  <c r="J97" i="3"/>
  <c r="F97" i="3"/>
  <c r="C97" i="3"/>
  <c r="G97" i="3" s="1"/>
  <c r="M96" i="3"/>
  <c r="J96" i="3"/>
  <c r="G96" i="3"/>
  <c r="F96" i="3"/>
  <c r="C96" i="3"/>
  <c r="M95" i="3"/>
  <c r="J95" i="3"/>
  <c r="F95" i="3"/>
  <c r="C95" i="3"/>
  <c r="G95" i="3" s="1"/>
  <c r="A95" i="3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M94" i="3"/>
  <c r="J94" i="3"/>
  <c r="F94" i="3"/>
  <c r="C94" i="3"/>
  <c r="G94" i="3" s="1"/>
  <c r="M93" i="3"/>
  <c r="J93" i="3"/>
  <c r="F93" i="3"/>
  <c r="C93" i="3"/>
  <c r="G93" i="3" s="1"/>
  <c r="M92" i="3"/>
  <c r="J92" i="3"/>
  <c r="F92" i="3"/>
  <c r="C92" i="3"/>
  <c r="G92" i="3" s="1"/>
  <c r="L91" i="3"/>
  <c r="K91" i="3"/>
  <c r="M91" i="3" s="1"/>
  <c r="I91" i="3"/>
  <c r="H91" i="3"/>
  <c r="J91" i="3" s="1"/>
  <c r="E91" i="3"/>
  <c r="D91" i="3"/>
  <c r="D12" i="3" s="1"/>
  <c r="L90" i="3"/>
  <c r="M90" i="3" s="1"/>
  <c r="I90" i="3"/>
  <c r="J90" i="3" s="1"/>
  <c r="F90" i="3"/>
  <c r="C90" i="3"/>
  <c r="L89" i="3"/>
  <c r="M89" i="3" s="1"/>
  <c r="I89" i="3"/>
  <c r="J89" i="3" s="1"/>
  <c r="F89" i="3"/>
  <c r="C89" i="3"/>
  <c r="L88" i="3"/>
  <c r="M88" i="3" s="1"/>
  <c r="I88" i="3"/>
  <c r="J88" i="3" s="1"/>
  <c r="F88" i="3"/>
  <c r="C88" i="3"/>
  <c r="M87" i="3"/>
  <c r="L87" i="3"/>
  <c r="J87" i="3"/>
  <c r="I87" i="3"/>
  <c r="F87" i="3"/>
  <c r="C87" i="3"/>
  <c r="G87" i="3" s="1"/>
  <c r="M86" i="3"/>
  <c r="L86" i="3"/>
  <c r="J86" i="3"/>
  <c r="I86" i="3"/>
  <c r="F86" i="3"/>
  <c r="C86" i="3"/>
  <c r="G86" i="3" s="1"/>
  <c r="M85" i="3"/>
  <c r="L85" i="3"/>
  <c r="J85" i="3"/>
  <c r="I85" i="3"/>
  <c r="F85" i="3"/>
  <c r="C85" i="3"/>
  <c r="G85" i="3" s="1"/>
  <c r="M84" i="3"/>
  <c r="L84" i="3"/>
  <c r="J84" i="3"/>
  <c r="I84" i="3"/>
  <c r="F84" i="3"/>
  <c r="C84" i="3"/>
  <c r="G84" i="3" s="1"/>
  <c r="L83" i="3"/>
  <c r="M83" i="3" s="1"/>
  <c r="I83" i="3"/>
  <c r="J83" i="3" s="1"/>
  <c r="F83" i="3"/>
  <c r="C83" i="3"/>
  <c r="M82" i="3"/>
  <c r="L82" i="3"/>
  <c r="J82" i="3"/>
  <c r="I82" i="3"/>
  <c r="F82" i="3"/>
  <c r="C82" i="3"/>
  <c r="G82" i="3" s="1"/>
  <c r="M81" i="3"/>
  <c r="L81" i="3"/>
  <c r="J81" i="3"/>
  <c r="I81" i="3"/>
  <c r="F81" i="3"/>
  <c r="C81" i="3"/>
  <c r="G81" i="3" s="1"/>
  <c r="M80" i="3"/>
  <c r="L80" i="3"/>
  <c r="J80" i="3"/>
  <c r="I80" i="3"/>
  <c r="F80" i="3"/>
  <c r="C80" i="3"/>
  <c r="G80" i="3" s="1"/>
  <c r="M79" i="3"/>
  <c r="L79" i="3"/>
  <c r="J79" i="3"/>
  <c r="I79" i="3"/>
  <c r="F79" i="3"/>
  <c r="C79" i="3"/>
  <c r="G79" i="3" s="1"/>
  <c r="L78" i="3"/>
  <c r="M78" i="3" s="1"/>
  <c r="I78" i="3"/>
  <c r="J78" i="3" s="1"/>
  <c r="F78" i="3"/>
  <c r="C78" i="3"/>
  <c r="M77" i="3"/>
  <c r="L77" i="3"/>
  <c r="J77" i="3"/>
  <c r="I77" i="3"/>
  <c r="F77" i="3"/>
  <c r="C77" i="3"/>
  <c r="G77" i="3" s="1"/>
  <c r="K76" i="3"/>
  <c r="H76" i="3"/>
  <c r="E76" i="3"/>
  <c r="D76" i="3"/>
  <c r="M75" i="3"/>
  <c r="L75" i="3"/>
  <c r="J75" i="3"/>
  <c r="I75" i="3"/>
  <c r="G75" i="3"/>
  <c r="F75" i="3"/>
  <c r="C75" i="3"/>
  <c r="L74" i="3"/>
  <c r="M74" i="3" s="1"/>
  <c r="I74" i="3"/>
  <c r="J74" i="3" s="1"/>
  <c r="F74" i="3"/>
  <c r="C74" i="3"/>
  <c r="M73" i="3"/>
  <c r="L73" i="3"/>
  <c r="J73" i="3"/>
  <c r="I73" i="3"/>
  <c r="F73" i="3"/>
  <c r="C73" i="3"/>
  <c r="G73" i="3" s="1"/>
  <c r="L72" i="3"/>
  <c r="M72" i="3" s="1"/>
  <c r="I72" i="3"/>
  <c r="J72" i="3" s="1"/>
  <c r="F72" i="3"/>
  <c r="C72" i="3"/>
  <c r="M71" i="3"/>
  <c r="L71" i="3"/>
  <c r="J71" i="3"/>
  <c r="I71" i="3"/>
  <c r="F71" i="3"/>
  <c r="C71" i="3"/>
  <c r="G71" i="3" s="1"/>
  <c r="L70" i="3"/>
  <c r="M70" i="3" s="1"/>
  <c r="I70" i="3"/>
  <c r="J70" i="3" s="1"/>
  <c r="F70" i="3"/>
  <c r="C70" i="3"/>
  <c r="M69" i="3"/>
  <c r="L69" i="3"/>
  <c r="J69" i="3"/>
  <c r="I69" i="3"/>
  <c r="F69" i="3"/>
  <c r="C69" i="3"/>
  <c r="G69" i="3" s="1"/>
  <c r="M68" i="3"/>
  <c r="L68" i="3"/>
  <c r="J68" i="3"/>
  <c r="I68" i="3"/>
  <c r="F68" i="3"/>
  <c r="C68" i="3"/>
  <c r="G68" i="3" s="1"/>
  <c r="M67" i="3"/>
  <c r="L67" i="3"/>
  <c r="J67" i="3"/>
  <c r="I67" i="3"/>
  <c r="F67" i="3"/>
  <c r="C67" i="3"/>
  <c r="G67" i="3" s="1"/>
  <c r="M66" i="3"/>
  <c r="L66" i="3"/>
  <c r="J66" i="3"/>
  <c r="I66" i="3"/>
  <c r="F66" i="3"/>
  <c r="C66" i="3"/>
  <c r="G66" i="3" s="1"/>
  <c r="M65" i="3"/>
  <c r="L65" i="3"/>
  <c r="J65" i="3"/>
  <c r="I65" i="3"/>
  <c r="F65" i="3"/>
  <c r="C65" i="3"/>
  <c r="G65" i="3" s="1"/>
  <c r="M64" i="3"/>
  <c r="L64" i="3"/>
  <c r="J64" i="3"/>
  <c r="I64" i="3"/>
  <c r="F64" i="3"/>
  <c r="C64" i="3"/>
  <c r="G64" i="3" s="1"/>
  <c r="M63" i="3"/>
  <c r="L63" i="3"/>
  <c r="J63" i="3"/>
  <c r="I63" i="3"/>
  <c r="F63" i="3"/>
  <c r="C63" i="3"/>
  <c r="G63" i="3" s="1"/>
  <c r="M62" i="3"/>
  <c r="L62" i="3"/>
  <c r="J62" i="3"/>
  <c r="I62" i="3"/>
  <c r="G62" i="3"/>
  <c r="F62" i="3"/>
  <c r="C62" i="3"/>
  <c r="M61" i="3"/>
  <c r="L61" i="3"/>
  <c r="J61" i="3"/>
  <c r="I61" i="3"/>
  <c r="F61" i="3"/>
  <c r="C61" i="3"/>
  <c r="G61" i="3" s="1"/>
  <c r="M60" i="3"/>
  <c r="L60" i="3"/>
  <c r="J60" i="3"/>
  <c r="I60" i="3"/>
  <c r="F60" i="3"/>
  <c r="C60" i="3"/>
  <c r="G60" i="3" s="1"/>
  <c r="M59" i="3"/>
  <c r="L59" i="3"/>
  <c r="J59" i="3"/>
  <c r="I59" i="3"/>
  <c r="F59" i="3"/>
  <c r="C59" i="3"/>
  <c r="G59" i="3" s="1"/>
  <c r="L58" i="3"/>
  <c r="M58" i="3" s="1"/>
  <c r="I58" i="3"/>
  <c r="J58" i="3" s="1"/>
  <c r="F58" i="3"/>
  <c r="G58" i="3" s="1"/>
  <c r="C58" i="3"/>
  <c r="L57" i="3"/>
  <c r="M57" i="3" s="1"/>
  <c r="J57" i="3"/>
  <c r="F57" i="3"/>
  <c r="C57" i="3"/>
  <c r="M56" i="3"/>
  <c r="L56" i="3"/>
  <c r="J56" i="3"/>
  <c r="I56" i="3"/>
  <c r="F56" i="3"/>
  <c r="C56" i="3"/>
  <c r="G56" i="3" s="1"/>
  <c r="L55" i="3"/>
  <c r="M55" i="3" s="1"/>
  <c r="I55" i="3"/>
  <c r="J55" i="3" s="1"/>
  <c r="F55" i="3"/>
  <c r="C55" i="3"/>
  <c r="K54" i="3"/>
  <c r="H54" i="3"/>
  <c r="E54" i="3"/>
  <c r="D54" i="3"/>
  <c r="M53" i="3"/>
  <c r="L53" i="3"/>
  <c r="J53" i="3"/>
  <c r="I53" i="3"/>
  <c r="F53" i="3"/>
  <c r="C53" i="3"/>
  <c r="G53" i="3" s="1"/>
  <c r="L52" i="3"/>
  <c r="M52" i="3" s="1"/>
  <c r="I52" i="3"/>
  <c r="J52" i="3" s="1"/>
  <c r="F52" i="3"/>
  <c r="C52" i="3"/>
  <c r="M51" i="3"/>
  <c r="L51" i="3"/>
  <c r="J51" i="3"/>
  <c r="I51" i="3"/>
  <c r="F51" i="3"/>
  <c r="C51" i="3"/>
  <c r="G51" i="3" s="1"/>
  <c r="M50" i="3"/>
  <c r="L50" i="3"/>
  <c r="J50" i="3"/>
  <c r="I50" i="3"/>
  <c r="F50" i="3"/>
  <c r="C50" i="3"/>
  <c r="G50" i="3" s="1"/>
  <c r="L49" i="3"/>
  <c r="M49" i="3" s="1"/>
  <c r="I49" i="3"/>
  <c r="J49" i="3" s="1"/>
  <c r="F49" i="3"/>
  <c r="C49" i="3"/>
  <c r="M48" i="3"/>
  <c r="L48" i="3"/>
  <c r="J48" i="3"/>
  <c r="I48" i="3"/>
  <c r="F48" i="3"/>
  <c r="C48" i="3"/>
  <c r="G48" i="3" s="1"/>
  <c r="M47" i="3"/>
  <c r="L47" i="3"/>
  <c r="J47" i="3"/>
  <c r="I47" i="3"/>
  <c r="F47" i="3"/>
  <c r="C47" i="3"/>
  <c r="G47" i="3" s="1"/>
  <c r="M46" i="3"/>
  <c r="L46" i="3"/>
  <c r="J46" i="3"/>
  <c r="I46" i="3"/>
  <c r="F46" i="3"/>
  <c r="C46" i="3"/>
  <c r="G46" i="3" s="1"/>
  <c r="M45" i="3"/>
  <c r="L45" i="3"/>
  <c r="J45" i="3"/>
  <c r="I45" i="3"/>
  <c r="F45" i="3"/>
  <c r="C45" i="3"/>
  <c r="G45" i="3" s="1"/>
  <c r="M44" i="3"/>
  <c r="L44" i="3"/>
  <c r="J44" i="3"/>
  <c r="I44" i="3"/>
  <c r="F44" i="3"/>
  <c r="C44" i="3"/>
  <c r="G44" i="3" s="1"/>
  <c r="L43" i="3"/>
  <c r="M43" i="3" s="1"/>
  <c r="I43" i="3"/>
  <c r="J43" i="3" s="1"/>
  <c r="F43" i="3"/>
  <c r="C43" i="3"/>
  <c r="M42" i="3"/>
  <c r="L42" i="3"/>
  <c r="J42" i="3"/>
  <c r="I42" i="3"/>
  <c r="F42" i="3"/>
  <c r="C42" i="3"/>
  <c r="G42" i="3" s="1"/>
  <c r="M41" i="3"/>
  <c r="L41" i="3"/>
  <c r="J41" i="3"/>
  <c r="I41" i="3"/>
  <c r="F41" i="3"/>
  <c r="C41" i="3"/>
  <c r="G41" i="3" s="1"/>
  <c r="L40" i="3"/>
  <c r="M40" i="3" s="1"/>
  <c r="I40" i="3"/>
  <c r="J40" i="3" s="1"/>
  <c r="F40" i="3"/>
  <c r="C40" i="3"/>
  <c r="M39" i="3"/>
  <c r="L39" i="3"/>
  <c r="J39" i="3"/>
  <c r="I39" i="3"/>
  <c r="F39" i="3"/>
  <c r="C39" i="3"/>
  <c r="G39" i="3" s="1"/>
  <c r="M38" i="3"/>
  <c r="L38" i="3"/>
  <c r="J38" i="3"/>
  <c r="I38" i="3"/>
  <c r="F38" i="3"/>
  <c r="C38" i="3"/>
  <c r="G38" i="3" s="1"/>
  <c r="M37" i="3"/>
  <c r="L37" i="3"/>
  <c r="J37" i="3"/>
  <c r="I37" i="3"/>
  <c r="F37" i="3"/>
  <c r="C37" i="3"/>
  <c r="G37" i="3" s="1"/>
  <c r="L36" i="3"/>
  <c r="M36" i="3" s="1"/>
  <c r="I36" i="3"/>
  <c r="J36" i="3" s="1"/>
  <c r="F36" i="3"/>
  <c r="C36" i="3"/>
  <c r="M35" i="3"/>
  <c r="L35" i="3"/>
  <c r="J35" i="3"/>
  <c r="I35" i="3"/>
  <c r="F35" i="3"/>
  <c r="C35" i="3"/>
  <c r="G35" i="3" s="1"/>
  <c r="L34" i="3"/>
  <c r="M34" i="3" s="1"/>
  <c r="I34" i="3"/>
  <c r="J34" i="3" s="1"/>
  <c r="F34" i="3"/>
  <c r="C34" i="3"/>
  <c r="C33" i="3" s="1"/>
  <c r="K33" i="3"/>
  <c r="H33" i="3"/>
  <c r="E33" i="3"/>
  <c r="D33" i="3"/>
  <c r="M32" i="3"/>
  <c r="L32" i="3"/>
  <c r="J32" i="3"/>
  <c r="I32" i="3"/>
  <c r="F32" i="3"/>
  <c r="C32" i="3"/>
  <c r="G32" i="3" s="1"/>
  <c r="L31" i="3"/>
  <c r="M31" i="3" s="1"/>
  <c r="I31" i="3"/>
  <c r="J31" i="3" s="1"/>
  <c r="F31" i="3"/>
  <c r="C31" i="3"/>
  <c r="L30" i="3"/>
  <c r="M30" i="3" s="1"/>
  <c r="I30" i="3"/>
  <c r="J30" i="3" s="1"/>
  <c r="F30" i="3"/>
  <c r="C30" i="3"/>
  <c r="L29" i="3"/>
  <c r="M29" i="3" s="1"/>
  <c r="I29" i="3"/>
  <c r="J29" i="3" s="1"/>
  <c r="F29" i="3"/>
  <c r="C29" i="3"/>
  <c r="M28" i="3"/>
  <c r="L28" i="3"/>
  <c r="J28" i="3"/>
  <c r="I28" i="3"/>
  <c r="F28" i="3"/>
  <c r="C28" i="3"/>
  <c r="G28" i="3" s="1"/>
  <c r="L27" i="3"/>
  <c r="M27" i="3" s="1"/>
  <c r="I27" i="3"/>
  <c r="J27" i="3" s="1"/>
  <c r="F27" i="3"/>
  <c r="C27" i="3"/>
  <c r="L26" i="3"/>
  <c r="M26" i="3" s="1"/>
  <c r="I26" i="3"/>
  <c r="J26" i="3" s="1"/>
  <c r="F26" i="3"/>
  <c r="C26" i="3"/>
  <c r="L25" i="3"/>
  <c r="M25" i="3" s="1"/>
  <c r="I25" i="3"/>
  <c r="J25" i="3" s="1"/>
  <c r="F25" i="3"/>
  <c r="C25" i="3"/>
  <c r="M24" i="3"/>
  <c r="L24" i="3"/>
  <c r="J24" i="3"/>
  <c r="I24" i="3"/>
  <c r="F24" i="3"/>
  <c r="C24" i="3"/>
  <c r="G24" i="3" s="1"/>
  <c r="M23" i="3"/>
  <c r="L23" i="3"/>
  <c r="J23" i="3"/>
  <c r="I23" i="3"/>
  <c r="F23" i="3"/>
  <c r="C23" i="3"/>
  <c r="G23" i="3" s="1"/>
  <c r="L22" i="3"/>
  <c r="M22" i="3" s="1"/>
  <c r="I22" i="3"/>
  <c r="J22" i="3" s="1"/>
  <c r="F22" i="3"/>
  <c r="C22" i="3"/>
  <c r="M21" i="3"/>
  <c r="L21" i="3"/>
  <c r="J21" i="3"/>
  <c r="I21" i="3"/>
  <c r="F21" i="3"/>
  <c r="C21" i="3"/>
  <c r="G21" i="3" s="1"/>
  <c r="L20" i="3"/>
  <c r="M20" i="3" s="1"/>
  <c r="I20" i="3"/>
  <c r="J20" i="3" s="1"/>
  <c r="F20" i="3"/>
  <c r="C20" i="3"/>
  <c r="L19" i="3"/>
  <c r="M19" i="3" s="1"/>
  <c r="I19" i="3"/>
  <c r="J19" i="3" s="1"/>
  <c r="F19" i="3"/>
  <c r="C19" i="3"/>
  <c r="M18" i="3"/>
  <c r="L18" i="3"/>
  <c r="J18" i="3"/>
  <c r="I18" i="3"/>
  <c r="G18" i="3"/>
  <c r="F18" i="3"/>
  <c r="C18" i="3"/>
  <c r="M17" i="3"/>
  <c r="L17" i="3"/>
  <c r="J17" i="3"/>
  <c r="I17" i="3"/>
  <c r="F17" i="3"/>
  <c r="C17" i="3"/>
  <c r="G17" i="3" s="1"/>
  <c r="L16" i="3"/>
  <c r="M16" i="3" s="1"/>
  <c r="I16" i="3"/>
  <c r="J16" i="3" s="1"/>
  <c r="F16" i="3"/>
  <c r="C16" i="3"/>
  <c r="K15" i="3"/>
  <c r="H15" i="3"/>
  <c r="E15" i="3"/>
  <c r="D15" i="3"/>
  <c r="D10" i="3" s="1"/>
  <c r="M14" i="3"/>
  <c r="J14" i="3"/>
  <c r="G14" i="3"/>
  <c r="L13" i="3"/>
  <c r="K13" i="3"/>
  <c r="M13" i="3" s="1"/>
  <c r="I13" i="3"/>
  <c r="H13" i="3"/>
  <c r="J13" i="3" s="1"/>
  <c r="F13" i="3"/>
  <c r="D13" i="3"/>
  <c r="L12" i="3"/>
  <c r="I12" i="3"/>
  <c r="H12" i="3"/>
  <c r="J12" i="3" s="1"/>
  <c r="E12" i="3"/>
  <c r="E11" i="3" s="1"/>
  <c r="I11" i="3"/>
  <c r="H10" i="3"/>
  <c r="V114" i="2"/>
  <c r="S114" i="2"/>
  <c r="Q114" i="2"/>
  <c r="O114" i="2"/>
  <c r="M114" i="2"/>
  <c r="J114" i="2"/>
  <c r="C114" i="2"/>
  <c r="G114" i="2" s="1"/>
  <c r="V113" i="2"/>
  <c r="S113" i="2"/>
  <c r="Q113" i="2"/>
  <c r="O113" i="2"/>
  <c r="M113" i="2"/>
  <c r="J113" i="2"/>
  <c r="C113" i="2"/>
  <c r="G113" i="2" s="1"/>
  <c r="V112" i="2"/>
  <c r="S112" i="2"/>
  <c r="Q112" i="2"/>
  <c r="O112" i="2"/>
  <c r="M112" i="2"/>
  <c r="J112" i="2"/>
  <c r="C112" i="2"/>
  <c r="G112" i="2" s="1"/>
  <c r="V111" i="2"/>
  <c r="S111" i="2"/>
  <c r="Q111" i="2"/>
  <c r="O111" i="2"/>
  <c r="M111" i="2"/>
  <c r="J111" i="2"/>
  <c r="C111" i="2"/>
  <c r="G111" i="2" s="1"/>
  <c r="V110" i="2"/>
  <c r="S110" i="2"/>
  <c r="Q110" i="2"/>
  <c r="O110" i="2"/>
  <c r="M110" i="2"/>
  <c r="J110" i="2"/>
  <c r="C110" i="2"/>
  <c r="G110" i="2" s="1"/>
  <c r="A110" i="2"/>
  <c r="A111" i="2" s="1"/>
  <c r="A112" i="2" s="1"/>
  <c r="V109" i="2"/>
  <c r="S109" i="2"/>
  <c r="Q109" i="2"/>
  <c r="O109" i="2"/>
  <c r="M109" i="2"/>
  <c r="J109" i="2"/>
  <c r="C109" i="2"/>
  <c r="G109" i="2" s="1"/>
  <c r="V108" i="2"/>
  <c r="S108" i="2"/>
  <c r="Q108" i="2"/>
  <c r="O108" i="2"/>
  <c r="M108" i="2"/>
  <c r="J108" i="2"/>
  <c r="C108" i="2"/>
  <c r="G108" i="2" s="1"/>
  <c r="V107" i="2"/>
  <c r="S107" i="2"/>
  <c r="Q107" i="2"/>
  <c r="O107" i="2"/>
  <c r="M107" i="2"/>
  <c r="J107" i="2"/>
  <c r="C107" i="2"/>
  <c r="G107" i="2" s="1"/>
  <c r="U106" i="2"/>
  <c r="T106" i="2"/>
  <c r="V106" i="2" s="1"/>
  <c r="R106" i="2"/>
  <c r="P106" i="2"/>
  <c r="N106" i="2"/>
  <c r="L106" i="2"/>
  <c r="K106" i="2"/>
  <c r="Q106" i="2" s="1"/>
  <c r="I106" i="2"/>
  <c r="I13" i="2" s="1"/>
  <c r="I11" i="2" s="1"/>
  <c r="H106" i="2"/>
  <c r="J106" i="2" s="1"/>
  <c r="F106" i="2"/>
  <c r="E106" i="2"/>
  <c r="D106" i="2"/>
  <c r="V105" i="2"/>
  <c r="S105" i="2"/>
  <c r="Q105" i="2"/>
  <c r="O105" i="2"/>
  <c r="M105" i="2"/>
  <c r="J105" i="2"/>
  <c r="F105" i="2"/>
  <c r="C105" i="2"/>
  <c r="G105" i="2" s="1"/>
  <c r="V104" i="2"/>
  <c r="S104" i="2"/>
  <c r="Q104" i="2"/>
  <c r="O104" i="2"/>
  <c r="M104" i="2"/>
  <c r="J104" i="2"/>
  <c r="F104" i="2"/>
  <c r="C104" i="2"/>
  <c r="G104" i="2" s="1"/>
  <c r="V103" i="2"/>
  <c r="S103" i="2"/>
  <c r="Q103" i="2"/>
  <c r="O103" i="2"/>
  <c r="M103" i="2"/>
  <c r="J103" i="2"/>
  <c r="F103" i="2"/>
  <c r="C103" i="2"/>
  <c r="G103" i="2" s="1"/>
  <c r="V102" i="2"/>
  <c r="S102" i="2"/>
  <c r="Q102" i="2"/>
  <c r="O102" i="2"/>
  <c r="M102" i="2"/>
  <c r="J102" i="2"/>
  <c r="F102" i="2"/>
  <c r="C102" i="2"/>
  <c r="G102" i="2" s="1"/>
  <c r="V101" i="2"/>
  <c r="S101" i="2"/>
  <c r="Q101" i="2"/>
  <c r="O101" i="2"/>
  <c r="M101" i="2"/>
  <c r="J101" i="2"/>
  <c r="F101" i="2"/>
  <c r="C101" i="2"/>
  <c r="G101" i="2" s="1"/>
  <c r="V100" i="2"/>
  <c r="S100" i="2"/>
  <c r="Q100" i="2"/>
  <c r="O100" i="2"/>
  <c r="M100" i="2"/>
  <c r="J100" i="2"/>
  <c r="F100" i="2"/>
  <c r="C100" i="2"/>
  <c r="G100" i="2" s="1"/>
  <c r="V99" i="2"/>
  <c r="S99" i="2"/>
  <c r="Q99" i="2"/>
  <c r="O99" i="2"/>
  <c r="M99" i="2"/>
  <c r="J99" i="2"/>
  <c r="F99" i="2"/>
  <c r="C99" i="2"/>
  <c r="G99" i="2" s="1"/>
  <c r="V98" i="2"/>
  <c r="S98" i="2"/>
  <c r="Q98" i="2"/>
  <c r="O98" i="2"/>
  <c r="M98" i="2"/>
  <c r="J98" i="2"/>
  <c r="F98" i="2"/>
  <c r="E98" i="2"/>
  <c r="C98" i="2" s="1"/>
  <c r="V97" i="2"/>
  <c r="S97" i="2"/>
  <c r="Q97" i="2"/>
  <c r="O97" i="2"/>
  <c r="M97" i="2"/>
  <c r="J97" i="2"/>
  <c r="F97" i="2"/>
  <c r="C97" i="2"/>
  <c r="G97" i="2" s="1"/>
  <c r="V96" i="2"/>
  <c r="S96" i="2"/>
  <c r="Q96" i="2"/>
  <c r="O96" i="2"/>
  <c r="M96" i="2"/>
  <c r="J96" i="2"/>
  <c r="F96" i="2"/>
  <c r="C96" i="2"/>
  <c r="G96" i="2" s="1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V95" i="2"/>
  <c r="S95" i="2"/>
  <c r="Q95" i="2"/>
  <c r="O95" i="2"/>
  <c r="M95" i="2"/>
  <c r="J95" i="2"/>
  <c r="F95" i="2"/>
  <c r="C95" i="2"/>
  <c r="G95" i="2" s="1"/>
  <c r="A95" i="2"/>
  <c r="V94" i="2"/>
  <c r="S94" i="2"/>
  <c r="Q94" i="2"/>
  <c r="O94" i="2"/>
  <c r="M94" i="2"/>
  <c r="J94" i="2"/>
  <c r="F94" i="2"/>
  <c r="C94" i="2"/>
  <c r="G94" i="2" s="1"/>
  <c r="V93" i="2"/>
  <c r="S93" i="2"/>
  <c r="Q93" i="2"/>
  <c r="O93" i="2"/>
  <c r="M93" i="2"/>
  <c r="J93" i="2"/>
  <c r="F93" i="2"/>
  <c r="C93" i="2"/>
  <c r="V92" i="2"/>
  <c r="S92" i="2"/>
  <c r="Q92" i="2"/>
  <c r="O92" i="2"/>
  <c r="M92" i="2"/>
  <c r="J92" i="2"/>
  <c r="F92" i="2"/>
  <c r="C92" i="2"/>
  <c r="G92" i="2" s="1"/>
  <c r="U91" i="2"/>
  <c r="T91" i="2"/>
  <c r="V91" i="2" s="1"/>
  <c r="R91" i="2"/>
  <c r="R12" i="2" s="1"/>
  <c r="P91" i="2"/>
  <c r="P12" i="2" s="1"/>
  <c r="N91" i="2"/>
  <c r="N12" i="2" s="1"/>
  <c r="L91" i="2"/>
  <c r="K91" i="2"/>
  <c r="I91" i="2"/>
  <c r="H91" i="2"/>
  <c r="J91" i="2" s="1"/>
  <c r="E91" i="2"/>
  <c r="D91" i="2"/>
  <c r="D12" i="2" s="1"/>
  <c r="D11" i="2" s="1"/>
  <c r="V90" i="2"/>
  <c r="U90" i="2"/>
  <c r="S90" i="2"/>
  <c r="R90" i="2"/>
  <c r="Q90" i="2"/>
  <c r="P90" i="2"/>
  <c r="O90" i="2"/>
  <c r="N90" i="2"/>
  <c r="M90" i="2"/>
  <c r="L90" i="2"/>
  <c r="J90" i="2"/>
  <c r="I90" i="2"/>
  <c r="F90" i="2"/>
  <c r="C90" i="2"/>
  <c r="G90" i="2" s="1"/>
  <c r="V89" i="2"/>
  <c r="U89" i="2"/>
  <c r="S89" i="2"/>
  <c r="R89" i="2"/>
  <c r="Q89" i="2"/>
  <c r="P89" i="2"/>
  <c r="O89" i="2"/>
  <c r="N89" i="2"/>
  <c r="M89" i="2"/>
  <c r="L89" i="2"/>
  <c r="J89" i="2"/>
  <c r="I89" i="2"/>
  <c r="F89" i="2"/>
  <c r="C89" i="2"/>
  <c r="G89" i="2" s="1"/>
  <c r="V88" i="2"/>
  <c r="U88" i="2"/>
  <c r="S88" i="2"/>
  <c r="R88" i="2"/>
  <c r="Q88" i="2"/>
  <c r="P88" i="2"/>
  <c r="O88" i="2"/>
  <c r="N88" i="2"/>
  <c r="M88" i="2"/>
  <c r="L88" i="2"/>
  <c r="J88" i="2"/>
  <c r="I88" i="2"/>
  <c r="F88" i="2"/>
  <c r="C88" i="2"/>
  <c r="G88" i="2" s="1"/>
  <c r="U87" i="2"/>
  <c r="V87" i="2" s="1"/>
  <c r="R87" i="2"/>
  <c r="S87" i="2" s="1"/>
  <c r="P87" i="2"/>
  <c r="Q87" i="2" s="1"/>
  <c r="N87" i="2"/>
  <c r="O87" i="2" s="1"/>
  <c r="L87" i="2"/>
  <c r="M87" i="2" s="1"/>
  <c r="I87" i="2"/>
  <c r="J87" i="2" s="1"/>
  <c r="F87" i="2"/>
  <c r="C87" i="2"/>
  <c r="V86" i="2"/>
  <c r="U86" i="2"/>
  <c r="S86" i="2"/>
  <c r="R86" i="2"/>
  <c r="Q86" i="2"/>
  <c r="P86" i="2"/>
  <c r="O86" i="2"/>
  <c r="N86" i="2"/>
  <c r="M86" i="2"/>
  <c r="L86" i="2"/>
  <c r="J86" i="2"/>
  <c r="I86" i="2"/>
  <c r="F86" i="2"/>
  <c r="C86" i="2"/>
  <c r="G86" i="2" s="1"/>
  <c r="V85" i="2"/>
  <c r="U85" i="2"/>
  <c r="S85" i="2"/>
  <c r="R85" i="2"/>
  <c r="Q85" i="2"/>
  <c r="P85" i="2"/>
  <c r="O85" i="2"/>
  <c r="N85" i="2"/>
  <c r="M85" i="2"/>
  <c r="L85" i="2"/>
  <c r="J85" i="2"/>
  <c r="I85" i="2"/>
  <c r="F85" i="2"/>
  <c r="C85" i="2"/>
  <c r="G85" i="2" s="1"/>
  <c r="U84" i="2"/>
  <c r="V84" i="2" s="1"/>
  <c r="R84" i="2"/>
  <c r="S84" i="2" s="1"/>
  <c r="P84" i="2"/>
  <c r="Q84" i="2" s="1"/>
  <c r="N84" i="2"/>
  <c r="O84" i="2" s="1"/>
  <c r="L84" i="2"/>
  <c r="M84" i="2" s="1"/>
  <c r="I84" i="2"/>
  <c r="J84" i="2" s="1"/>
  <c r="F84" i="2"/>
  <c r="C84" i="2"/>
  <c r="V83" i="2"/>
  <c r="U83" i="2"/>
  <c r="S83" i="2"/>
  <c r="R83" i="2"/>
  <c r="Q83" i="2"/>
  <c r="P83" i="2"/>
  <c r="O83" i="2"/>
  <c r="N83" i="2"/>
  <c r="M83" i="2"/>
  <c r="L83" i="2"/>
  <c r="J83" i="2"/>
  <c r="I83" i="2"/>
  <c r="G83" i="2"/>
  <c r="F83" i="2"/>
  <c r="C83" i="2"/>
  <c r="V82" i="2"/>
  <c r="U82" i="2"/>
  <c r="S82" i="2"/>
  <c r="R82" i="2"/>
  <c r="Q82" i="2"/>
  <c r="P82" i="2"/>
  <c r="O82" i="2"/>
  <c r="N82" i="2"/>
  <c r="M82" i="2"/>
  <c r="L82" i="2"/>
  <c r="J82" i="2"/>
  <c r="I82" i="2"/>
  <c r="F82" i="2"/>
  <c r="C82" i="2"/>
  <c r="G82" i="2" s="1"/>
  <c r="V81" i="2"/>
  <c r="U81" i="2"/>
  <c r="S81" i="2"/>
  <c r="R81" i="2"/>
  <c r="Q81" i="2"/>
  <c r="P81" i="2"/>
  <c r="O81" i="2"/>
  <c r="N81" i="2"/>
  <c r="M81" i="2"/>
  <c r="L81" i="2"/>
  <c r="J81" i="2"/>
  <c r="I81" i="2"/>
  <c r="F81" i="2"/>
  <c r="C81" i="2"/>
  <c r="G81" i="2" s="1"/>
  <c r="U80" i="2"/>
  <c r="V80" i="2" s="1"/>
  <c r="R80" i="2"/>
  <c r="S80" i="2" s="1"/>
  <c r="P80" i="2"/>
  <c r="Q80" i="2" s="1"/>
  <c r="N80" i="2"/>
  <c r="O80" i="2" s="1"/>
  <c r="L80" i="2"/>
  <c r="M80" i="2" s="1"/>
  <c r="I80" i="2"/>
  <c r="J80" i="2" s="1"/>
  <c r="F80" i="2"/>
  <c r="C80" i="2"/>
  <c r="U79" i="2"/>
  <c r="V79" i="2" s="1"/>
  <c r="R79" i="2"/>
  <c r="P79" i="2"/>
  <c r="Q79" i="2" s="1"/>
  <c r="N79" i="2"/>
  <c r="O79" i="2" s="1"/>
  <c r="L79" i="2"/>
  <c r="M79" i="2" s="1"/>
  <c r="J79" i="2"/>
  <c r="F79" i="2"/>
  <c r="C79" i="2"/>
  <c r="R78" i="2"/>
  <c r="S78" i="2" s="1"/>
  <c r="P78" i="2"/>
  <c r="Q78" i="2" s="1"/>
  <c r="N78" i="2"/>
  <c r="O78" i="2" s="1"/>
  <c r="L78" i="2"/>
  <c r="M78" i="2" s="1"/>
  <c r="I78" i="2"/>
  <c r="J78" i="2" s="1"/>
  <c r="F78" i="2"/>
  <c r="C78" i="2"/>
  <c r="V77" i="2"/>
  <c r="U77" i="2"/>
  <c r="S77" i="2"/>
  <c r="R77" i="2"/>
  <c r="Q77" i="2"/>
  <c r="P77" i="2"/>
  <c r="O77" i="2"/>
  <c r="N77" i="2"/>
  <c r="M77" i="2"/>
  <c r="L77" i="2"/>
  <c r="J77" i="2"/>
  <c r="I77" i="2"/>
  <c r="F77" i="2"/>
  <c r="C77" i="2"/>
  <c r="G77" i="2" s="1"/>
  <c r="T76" i="2"/>
  <c r="K76" i="2"/>
  <c r="H76" i="2"/>
  <c r="E76" i="2"/>
  <c r="D76" i="2"/>
  <c r="V75" i="2"/>
  <c r="U75" i="2"/>
  <c r="S75" i="2"/>
  <c r="R75" i="2"/>
  <c r="Q75" i="2"/>
  <c r="P75" i="2"/>
  <c r="O75" i="2"/>
  <c r="N75" i="2"/>
  <c r="M75" i="2"/>
  <c r="L75" i="2"/>
  <c r="J75" i="2"/>
  <c r="I75" i="2"/>
  <c r="F75" i="2"/>
  <c r="C75" i="2"/>
  <c r="G75" i="2" s="1"/>
  <c r="V74" i="2"/>
  <c r="U74" i="2"/>
  <c r="S74" i="2"/>
  <c r="R74" i="2"/>
  <c r="Q74" i="2"/>
  <c r="P74" i="2"/>
  <c r="O74" i="2"/>
  <c r="N74" i="2"/>
  <c r="M74" i="2"/>
  <c r="L74" i="2"/>
  <c r="J74" i="2"/>
  <c r="I74" i="2"/>
  <c r="F74" i="2"/>
  <c r="C74" i="2"/>
  <c r="G74" i="2" s="1"/>
  <c r="V73" i="2"/>
  <c r="U73" i="2"/>
  <c r="S73" i="2"/>
  <c r="R73" i="2"/>
  <c r="Q73" i="2"/>
  <c r="P73" i="2"/>
  <c r="O73" i="2"/>
  <c r="N73" i="2"/>
  <c r="M73" i="2"/>
  <c r="L73" i="2"/>
  <c r="J73" i="2"/>
  <c r="I73" i="2"/>
  <c r="F73" i="2"/>
  <c r="C73" i="2"/>
  <c r="G73" i="2" s="1"/>
  <c r="U72" i="2"/>
  <c r="V72" i="2" s="1"/>
  <c r="R72" i="2"/>
  <c r="S72" i="2" s="1"/>
  <c r="P72" i="2"/>
  <c r="Q72" i="2" s="1"/>
  <c r="N72" i="2"/>
  <c r="O72" i="2" s="1"/>
  <c r="L72" i="2"/>
  <c r="M72" i="2" s="1"/>
  <c r="I72" i="2"/>
  <c r="J72" i="2" s="1"/>
  <c r="F72" i="2"/>
  <c r="C72" i="2"/>
  <c r="V71" i="2"/>
  <c r="U71" i="2"/>
  <c r="S71" i="2"/>
  <c r="R71" i="2"/>
  <c r="Q71" i="2"/>
  <c r="P71" i="2"/>
  <c r="O71" i="2"/>
  <c r="N71" i="2"/>
  <c r="M71" i="2"/>
  <c r="L71" i="2"/>
  <c r="J71" i="2"/>
  <c r="I71" i="2"/>
  <c r="F71" i="2"/>
  <c r="C71" i="2"/>
  <c r="G71" i="2" s="1"/>
  <c r="V70" i="2"/>
  <c r="U70" i="2"/>
  <c r="S70" i="2"/>
  <c r="R70" i="2"/>
  <c r="Q70" i="2"/>
  <c r="P70" i="2"/>
  <c r="O70" i="2"/>
  <c r="N70" i="2"/>
  <c r="M70" i="2"/>
  <c r="L70" i="2"/>
  <c r="J70" i="2"/>
  <c r="I70" i="2"/>
  <c r="F70" i="2"/>
  <c r="C70" i="2"/>
  <c r="G70" i="2" s="1"/>
  <c r="U69" i="2"/>
  <c r="V69" i="2" s="1"/>
  <c r="R69" i="2"/>
  <c r="S69" i="2" s="1"/>
  <c r="P69" i="2"/>
  <c r="Q69" i="2" s="1"/>
  <c r="N69" i="2"/>
  <c r="O69" i="2" s="1"/>
  <c r="L69" i="2"/>
  <c r="M69" i="2" s="1"/>
  <c r="I69" i="2"/>
  <c r="J69" i="2" s="1"/>
  <c r="F69" i="2"/>
  <c r="C69" i="2"/>
  <c r="V68" i="2"/>
  <c r="U68" i="2"/>
  <c r="S68" i="2"/>
  <c r="R68" i="2"/>
  <c r="Q68" i="2"/>
  <c r="P68" i="2"/>
  <c r="O68" i="2"/>
  <c r="N68" i="2"/>
  <c r="M68" i="2"/>
  <c r="L68" i="2"/>
  <c r="J68" i="2"/>
  <c r="I68" i="2"/>
  <c r="F68" i="2"/>
  <c r="C68" i="2"/>
  <c r="G68" i="2" s="1"/>
  <c r="V67" i="2"/>
  <c r="U67" i="2"/>
  <c r="S67" i="2"/>
  <c r="R67" i="2"/>
  <c r="Q67" i="2"/>
  <c r="P67" i="2"/>
  <c r="O67" i="2"/>
  <c r="N67" i="2"/>
  <c r="M67" i="2"/>
  <c r="L67" i="2"/>
  <c r="J67" i="2"/>
  <c r="I67" i="2"/>
  <c r="F67" i="2"/>
  <c r="C67" i="2"/>
  <c r="G67" i="2" s="1"/>
  <c r="V66" i="2"/>
  <c r="U66" i="2"/>
  <c r="S66" i="2"/>
  <c r="R66" i="2"/>
  <c r="Q66" i="2"/>
  <c r="P66" i="2"/>
  <c r="O66" i="2"/>
  <c r="N66" i="2"/>
  <c r="M66" i="2"/>
  <c r="L66" i="2"/>
  <c r="J66" i="2"/>
  <c r="I66" i="2"/>
  <c r="F66" i="2"/>
  <c r="C66" i="2"/>
  <c r="G66" i="2" s="1"/>
  <c r="U65" i="2"/>
  <c r="V65" i="2" s="1"/>
  <c r="R65" i="2"/>
  <c r="S65" i="2" s="1"/>
  <c r="P65" i="2"/>
  <c r="Q65" i="2" s="1"/>
  <c r="N65" i="2"/>
  <c r="O65" i="2" s="1"/>
  <c r="L65" i="2"/>
  <c r="M65" i="2" s="1"/>
  <c r="I65" i="2"/>
  <c r="J65" i="2" s="1"/>
  <c r="F65" i="2"/>
  <c r="C65" i="2"/>
  <c r="V64" i="2"/>
  <c r="U64" i="2"/>
  <c r="S64" i="2"/>
  <c r="R64" i="2"/>
  <c r="Q64" i="2"/>
  <c r="P64" i="2"/>
  <c r="O64" i="2"/>
  <c r="N64" i="2"/>
  <c r="M64" i="2"/>
  <c r="L64" i="2"/>
  <c r="J64" i="2"/>
  <c r="I64" i="2"/>
  <c r="F64" i="2"/>
  <c r="C64" i="2"/>
  <c r="G64" i="2" s="1"/>
  <c r="V63" i="2"/>
  <c r="U63" i="2"/>
  <c r="S63" i="2"/>
  <c r="R63" i="2"/>
  <c r="Q63" i="2"/>
  <c r="P63" i="2"/>
  <c r="O63" i="2"/>
  <c r="N63" i="2"/>
  <c r="M63" i="2"/>
  <c r="L63" i="2"/>
  <c r="J63" i="2"/>
  <c r="I63" i="2"/>
  <c r="F63" i="2"/>
  <c r="C63" i="2"/>
  <c r="G63" i="2" s="1"/>
  <c r="V62" i="2"/>
  <c r="U62" i="2"/>
  <c r="S62" i="2"/>
  <c r="R62" i="2"/>
  <c r="Q62" i="2"/>
  <c r="P62" i="2"/>
  <c r="O62" i="2"/>
  <c r="N62" i="2"/>
  <c r="M62" i="2"/>
  <c r="L62" i="2"/>
  <c r="J62" i="2"/>
  <c r="I62" i="2"/>
  <c r="F62" i="2"/>
  <c r="C62" i="2"/>
  <c r="G62" i="2" s="1"/>
  <c r="V61" i="2"/>
  <c r="U61" i="2"/>
  <c r="S61" i="2"/>
  <c r="R61" i="2"/>
  <c r="Q61" i="2"/>
  <c r="P61" i="2"/>
  <c r="O61" i="2"/>
  <c r="N61" i="2"/>
  <c r="M61" i="2"/>
  <c r="L61" i="2"/>
  <c r="J61" i="2"/>
  <c r="I61" i="2"/>
  <c r="F61" i="2"/>
  <c r="C61" i="2"/>
  <c r="G61" i="2" s="1"/>
  <c r="V60" i="2"/>
  <c r="U60" i="2"/>
  <c r="S60" i="2"/>
  <c r="R60" i="2"/>
  <c r="Q60" i="2"/>
  <c r="P60" i="2"/>
  <c r="O60" i="2"/>
  <c r="N60" i="2"/>
  <c r="M60" i="2"/>
  <c r="L60" i="2"/>
  <c r="J60" i="2"/>
  <c r="I60" i="2"/>
  <c r="F60" i="2"/>
  <c r="C60" i="2"/>
  <c r="G60" i="2" s="1"/>
  <c r="V59" i="2"/>
  <c r="U59" i="2"/>
  <c r="S59" i="2"/>
  <c r="R59" i="2"/>
  <c r="Q59" i="2"/>
  <c r="P59" i="2"/>
  <c r="O59" i="2"/>
  <c r="N59" i="2"/>
  <c r="M59" i="2"/>
  <c r="L59" i="2"/>
  <c r="J59" i="2"/>
  <c r="I59" i="2"/>
  <c r="G59" i="2"/>
  <c r="F59" i="2"/>
  <c r="C59" i="2"/>
  <c r="U58" i="2"/>
  <c r="V58" i="2" s="1"/>
  <c r="R58" i="2"/>
  <c r="S58" i="2" s="1"/>
  <c r="P58" i="2"/>
  <c r="Q58" i="2" s="1"/>
  <c r="N58" i="2"/>
  <c r="O58" i="2" s="1"/>
  <c r="L58" i="2"/>
  <c r="M58" i="2" s="1"/>
  <c r="I58" i="2"/>
  <c r="J58" i="2" s="1"/>
  <c r="F58" i="2"/>
  <c r="C58" i="2"/>
  <c r="U57" i="2"/>
  <c r="V57" i="2" s="1"/>
  <c r="R57" i="2"/>
  <c r="S57" i="2" s="1"/>
  <c r="P57" i="2"/>
  <c r="Q57" i="2" s="1"/>
  <c r="N57" i="2"/>
  <c r="O57" i="2" s="1"/>
  <c r="L57" i="2"/>
  <c r="M57" i="2" s="1"/>
  <c r="I57" i="2"/>
  <c r="F57" i="2"/>
  <c r="C57" i="2"/>
  <c r="V56" i="2"/>
  <c r="U56" i="2"/>
  <c r="S56" i="2"/>
  <c r="R56" i="2"/>
  <c r="Q56" i="2"/>
  <c r="P56" i="2"/>
  <c r="O56" i="2"/>
  <c r="N56" i="2"/>
  <c r="M56" i="2"/>
  <c r="L56" i="2"/>
  <c r="J56" i="2"/>
  <c r="I56" i="2"/>
  <c r="F56" i="2"/>
  <c r="C56" i="2"/>
  <c r="G56" i="2" s="1"/>
  <c r="U55" i="2"/>
  <c r="R55" i="2"/>
  <c r="S55" i="2" s="1"/>
  <c r="P55" i="2"/>
  <c r="Q55" i="2" s="1"/>
  <c r="N55" i="2"/>
  <c r="O55" i="2" s="1"/>
  <c r="L55" i="2"/>
  <c r="M55" i="2" s="1"/>
  <c r="I55" i="2"/>
  <c r="J55" i="2" s="1"/>
  <c r="F55" i="2"/>
  <c r="C55" i="2"/>
  <c r="T54" i="2"/>
  <c r="K54" i="2"/>
  <c r="H54" i="2"/>
  <c r="E54" i="2"/>
  <c r="D54" i="2"/>
  <c r="U53" i="2"/>
  <c r="V53" i="2" s="1"/>
  <c r="R53" i="2"/>
  <c r="S53" i="2" s="1"/>
  <c r="P53" i="2"/>
  <c r="Q53" i="2" s="1"/>
  <c r="N53" i="2"/>
  <c r="O53" i="2" s="1"/>
  <c r="L53" i="2"/>
  <c r="M53" i="2" s="1"/>
  <c r="I53" i="2"/>
  <c r="J53" i="2" s="1"/>
  <c r="F53" i="2"/>
  <c r="C53" i="2"/>
  <c r="V52" i="2"/>
  <c r="U52" i="2"/>
  <c r="S52" i="2"/>
  <c r="R52" i="2"/>
  <c r="Q52" i="2"/>
  <c r="P52" i="2"/>
  <c r="O52" i="2"/>
  <c r="N52" i="2"/>
  <c r="M52" i="2"/>
  <c r="L52" i="2"/>
  <c r="J52" i="2"/>
  <c r="I52" i="2"/>
  <c r="F52" i="2"/>
  <c r="C52" i="2"/>
  <c r="G52" i="2" s="1"/>
  <c r="V51" i="2"/>
  <c r="U51" i="2"/>
  <c r="S51" i="2"/>
  <c r="R51" i="2"/>
  <c r="Q51" i="2"/>
  <c r="P51" i="2"/>
  <c r="O51" i="2"/>
  <c r="N51" i="2"/>
  <c r="M51" i="2"/>
  <c r="L51" i="2"/>
  <c r="J51" i="2"/>
  <c r="I51" i="2"/>
  <c r="F51" i="2"/>
  <c r="C51" i="2"/>
  <c r="G51" i="2" s="1"/>
  <c r="V50" i="2"/>
  <c r="U50" i="2"/>
  <c r="S50" i="2"/>
  <c r="R50" i="2"/>
  <c r="Q50" i="2"/>
  <c r="P50" i="2"/>
  <c r="O50" i="2"/>
  <c r="N50" i="2"/>
  <c r="M50" i="2"/>
  <c r="L50" i="2"/>
  <c r="J50" i="2"/>
  <c r="I50" i="2"/>
  <c r="F50" i="2"/>
  <c r="C50" i="2"/>
  <c r="G50" i="2" s="1"/>
  <c r="U49" i="2"/>
  <c r="V49" i="2" s="1"/>
  <c r="R49" i="2"/>
  <c r="S49" i="2" s="1"/>
  <c r="P49" i="2"/>
  <c r="Q49" i="2" s="1"/>
  <c r="N49" i="2"/>
  <c r="O49" i="2" s="1"/>
  <c r="L49" i="2"/>
  <c r="M49" i="2" s="1"/>
  <c r="I49" i="2"/>
  <c r="J49" i="2" s="1"/>
  <c r="F49" i="2"/>
  <c r="C49" i="2"/>
  <c r="V48" i="2"/>
  <c r="U48" i="2"/>
  <c r="S48" i="2"/>
  <c r="R48" i="2"/>
  <c r="Q48" i="2"/>
  <c r="P48" i="2"/>
  <c r="O48" i="2"/>
  <c r="N48" i="2"/>
  <c r="M48" i="2"/>
  <c r="L48" i="2"/>
  <c r="J48" i="2"/>
  <c r="I48" i="2"/>
  <c r="F48" i="2"/>
  <c r="C48" i="2"/>
  <c r="G48" i="2" s="1"/>
  <c r="U47" i="2"/>
  <c r="V47" i="2" s="1"/>
  <c r="R47" i="2"/>
  <c r="S47" i="2" s="1"/>
  <c r="P47" i="2"/>
  <c r="Q47" i="2" s="1"/>
  <c r="N47" i="2"/>
  <c r="O47" i="2" s="1"/>
  <c r="L47" i="2"/>
  <c r="M47" i="2" s="1"/>
  <c r="I47" i="2"/>
  <c r="J47" i="2" s="1"/>
  <c r="F47" i="2"/>
  <c r="C47" i="2"/>
  <c r="V46" i="2"/>
  <c r="U46" i="2"/>
  <c r="S46" i="2"/>
  <c r="R46" i="2"/>
  <c r="Q46" i="2"/>
  <c r="P46" i="2"/>
  <c r="O46" i="2"/>
  <c r="N46" i="2"/>
  <c r="M46" i="2"/>
  <c r="L46" i="2"/>
  <c r="J46" i="2"/>
  <c r="I46" i="2"/>
  <c r="F46" i="2"/>
  <c r="C46" i="2"/>
  <c r="G46" i="2" s="1"/>
  <c r="U45" i="2"/>
  <c r="V45" i="2" s="1"/>
  <c r="R45" i="2"/>
  <c r="S45" i="2" s="1"/>
  <c r="P45" i="2"/>
  <c r="Q45" i="2" s="1"/>
  <c r="N45" i="2"/>
  <c r="O45" i="2" s="1"/>
  <c r="L45" i="2"/>
  <c r="M45" i="2" s="1"/>
  <c r="I45" i="2"/>
  <c r="J45" i="2" s="1"/>
  <c r="F45" i="2"/>
  <c r="C45" i="2"/>
  <c r="V44" i="2"/>
  <c r="U44" i="2"/>
  <c r="S44" i="2"/>
  <c r="R44" i="2"/>
  <c r="Q44" i="2"/>
  <c r="P44" i="2"/>
  <c r="O44" i="2"/>
  <c r="N44" i="2"/>
  <c r="M44" i="2"/>
  <c r="L44" i="2"/>
  <c r="J44" i="2"/>
  <c r="I44" i="2"/>
  <c r="F44" i="2"/>
  <c r="C44" i="2"/>
  <c r="G44" i="2" s="1"/>
  <c r="U43" i="2"/>
  <c r="V43" i="2" s="1"/>
  <c r="R43" i="2"/>
  <c r="S43" i="2" s="1"/>
  <c r="P43" i="2"/>
  <c r="Q43" i="2" s="1"/>
  <c r="N43" i="2"/>
  <c r="O43" i="2" s="1"/>
  <c r="L43" i="2"/>
  <c r="M43" i="2" s="1"/>
  <c r="I43" i="2"/>
  <c r="J43" i="2" s="1"/>
  <c r="F43" i="2"/>
  <c r="G43" i="2" s="1"/>
  <c r="C43" i="2"/>
  <c r="U42" i="2"/>
  <c r="V42" i="2" s="1"/>
  <c r="R42" i="2"/>
  <c r="S42" i="2" s="1"/>
  <c r="P42" i="2"/>
  <c r="Q42" i="2" s="1"/>
  <c r="N42" i="2"/>
  <c r="O42" i="2" s="1"/>
  <c r="L42" i="2"/>
  <c r="M42" i="2" s="1"/>
  <c r="I42" i="2"/>
  <c r="J42" i="2" s="1"/>
  <c r="F42" i="2"/>
  <c r="G42" i="2" s="1"/>
  <c r="C42" i="2"/>
  <c r="U41" i="2"/>
  <c r="V41" i="2" s="1"/>
  <c r="R41" i="2"/>
  <c r="S41" i="2" s="1"/>
  <c r="P41" i="2"/>
  <c r="Q41" i="2" s="1"/>
  <c r="N41" i="2"/>
  <c r="O41" i="2" s="1"/>
  <c r="L41" i="2"/>
  <c r="M41" i="2" s="1"/>
  <c r="I41" i="2"/>
  <c r="J41" i="2" s="1"/>
  <c r="F41" i="2"/>
  <c r="C41" i="2"/>
  <c r="V40" i="2"/>
  <c r="U40" i="2"/>
  <c r="S40" i="2"/>
  <c r="R40" i="2"/>
  <c r="Q40" i="2"/>
  <c r="P40" i="2"/>
  <c r="O40" i="2"/>
  <c r="N40" i="2"/>
  <c r="M40" i="2"/>
  <c r="L40" i="2"/>
  <c r="J40" i="2"/>
  <c r="I40" i="2"/>
  <c r="F40" i="2"/>
  <c r="C40" i="2"/>
  <c r="G40" i="2" s="1"/>
  <c r="U39" i="2"/>
  <c r="V39" i="2" s="1"/>
  <c r="R39" i="2"/>
  <c r="S39" i="2" s="1"/>
  <c r="P39" i="2"/>
  <c r="Q39" i="2" s="1"/>
  <c r="N39" i="2"/>
  <c r="O39" i="2" s="1"/>
  <c r="L39" i="2"/>
  <c r="M39" i="2" s="1"/>
  <c r="I39" i="2"/>
  <c r="J39" i="2" s="1"/>
  <c r="F39" i="2"/>
  <c r="C39" i="2"/>
  <c r="U38" i="2"/>
  <c r="V38" i="2" s="1"/>
  <c r="R38" i="2"/>
  <c r="S38" i="2" s="1"/>
  <c r="P38" i="2"/>
  <c r="Q38" i="2" s="1"/>
  <c r="O38" i="2"/>
  <c r="M38" i="2"/>
  <c r="I38" i="2"/>
  <c r="J38" i="2" s="1"/>
  <c r="F38" i="2"/>
  <c r="C38" i="2"/>
  <c r="U37" i="2"/>
  <c r="V37" i="2" s="1"/>
  <c r="R37" i="2"/>
  <c r="S37" i="2" s="1"/>
  <c r="P37" i="2"/>
  <c r="Q37" i="2" s="1"/>
  <c r="N37" i="2"/>
  <c r="O37" i="2" s="1"/>
  <c r="L37" i="2"/>
  <c r="M37" i="2" s="1"/>
  <c r="I37" i="2"/>
  <c r="J37" i="2" s="1"/>
  <c r="F37" i="2"/>
  <c r="C37" i="2"/>
  <c r="V36" i="2"/>
  <c r="U36" i="2"/>
  <c r="S36" i="2"/>
  <c r="R36" i="2"/>
  <c r="Q36" i="2"/>
  <c r="P36" i="2"/>
  <c r="O36" i="2"/>
  <c r="N36" i="2"/>
  <c r="M36" i="2"/>
  <c r="L36" i="2"/>
  <c r="J36" i="2"/>
  <c r="I36" i="2"/>
  <c r="F36" i="2"/>
  <c r="C36" i="2"/>
  <c r="G36" i="2" s="1"/>
  <c r="U35" i="2"/>
  <c r="V35" i="2" s="1"/>
  <c r="R35" i="2"/>
  <c r="S35" i="2" s="1"/>
  <c r="P35" i="2"/>
  <c r="Q35" i="2" s="1"/>
  <c r="N35" i="2"/>
  <c r="O35" i="2" s="1"/>
  <c r="L35" i="2"/>
  <c r="M35" i="2" s="1"/>
  <c r="I35" i="2"/>
  <c r="J35" i="2" s="1"/>
  <c r="F35" i="2"/>
  <c r="G35" i="2" s="1"/>
  <c r="C35" i="2"/>
  <c r="V34" i="2"/>
  <c r="U34" i="2"/>
  <c r="S34" i="2"/>
  <c r="R34" i="2"/>
  <c r="Q34" i="2"/>
  <c r="P34" i="2"/>
  <c r="O34" i="2"/>
  <c r="N34" i="2"/>
  <c r="M34" i="2"/>
  <c r="L34" i="2"/>
  <c r="J34" i="2"/>
  <c r="I34" i="2"/>
  <c r="F34" i="2"/>
  <c r="C34" i="2"/>
  <c r="G34" i="2" s="1"/>
  <c r="T33" i="2"/>
  <c r="K33" i="2"/>
  <c r="H33" i="2"/>
  <c r="E33" i="2"/>
  <c r="D33" i="2"/>
  <c r="U32" i="2"/>
  <c r="V32" i="2" s="1"/>
  <c r="R32" i="2"/>
  <c r="S32" i="2" s="1"/>
  <c r="P32" i="2"/>
  <c r="Q32" i="2" s="1"/>
  <c r="N32" i="2"/>
  <c r="O32" i="2" s="1"/>
  <c r="L32" i="2"/>
  <c r="M32" i="2" s="1"/>
  <c r="I32" i="2"/>
  <c r="J32" i="2" s="1"/>
  <c r="F32" i="2"/>
  <c r="C32" i="2"/>
  <c r="U31" i="2"/>
  <c r="V31" i="2" s="1"/>
  <c r="R31" i="2"/>
  <c r="S31" i="2" s="1"/>
  <c r="P31" i="2"/>
  <c r="Q31" i="2" s="1"/>
  <c r="N31" i="2"/>
  <c r="O31" i="2" s="1"/>
  <c r="L31" i="2"/>
  <c r="M31" i="2" s="1"/>
  <c r="I31" i="2"/>
  <c r="J31" i="2" s="1"/>
  <c r="F31" i="2"/>
  <c r="C31" i="2"/>
  <c r="V30" i="2"/>
  <c r="U30" i="2"/>
  <c r="S30" i="2"/>
  <c r="R30" i="2"/>
  <c r="Q30" i="2"/>
  <c r="P30" i="2"/>
  <c r="O30" i="2"/>
  <c r="N30" i="2"/>
  <c r="M30" i="2"/>
  <c r="L30" i="2"/>
  <c r="J30" i="2"/>
  <c r="I30" i="2"/>
  <c r="F30" i="2"/>
  <c r="C30" i="2"/>
  <c r="G30" i="2" s="1"/>
  <c r="V29" i="2"/>
  <c r="U29" i="2"/>
  <c r="S29" i="2"/>
  <c r="R29" i="2"/>
  <c r="Q29" i="2"/>
  <c r="P29" i="2"/>
  <c r="O29" i="2"/>
  <c r="N29" i="2"/>
  <c r="M29" i="2"/>
  <c r="L29" i="2"/>
  <c r="J29" i="2"/>
  <c r="I29" i="2"/>
  <c r="F29" i="2"/>
  <c r="C29" i="2"/>
  <c r="G29" i="2" s="1"/>
  <c r="U28" i="2"/>
  <c r="V28" i="2" s="1"/>
  <c r="R28" i="2"/>
  <c r="S28" i="2" s="1"/>
  <c r="P28" i="2"/>
  <c r="Q28" i="2" s="1"/>
  <c r="N28" i="2"/>
  <c r="O28" i="2" s="1"/>
  <c r="L28" i="2"/>
  <c r="M28" i="2" s="1"/>
  <c r="I28" i="2"/>
  <c r="J28" i="2" s="1"/>
  <c r="F28" i="2"/>
  <c r="C28" i="2"/>
  <c r="V27" i="2"/>
  <c r="U27" i="2"/>
  <c r="S27" i="2"/>
  <c r="R27" i="2"/>
  <c r="Q27" i="2"/>
  <c r="P27" i="2"/>
  <c r="O27" i="2"/>
  <c r="N27" i="2"/>
  <c r="M27" i="2"/>
  <c r="L27" i="2"/>
  <c r="J27" i="2"/>
  <c r="I27" i="2"/>
  <c r="F27" i="2"/>
  <c r="C27" i="2"/>
  <c r="G27" i="2" s="1"/>
  <c r="U26" i="2"/>
  <c r="V26" i="2" s="1"/>
  <c r="R26" i="2"/>
  <c r="S26" i="2" s="1"/>
  <c r="P26" i="2"/>
  <c r="Q26" i="2" s="1"/>
  <c r="N26" i="2"/>
  <c r="O26" i="2" s="1"/>
  <c r="L26" i="2"/>
  <c r="M26" i="2" s="1"/>
  <c r="I26" i="2"/>
  <c r="J26" i="2" s="1"/>
  <c r="F26" i="2"/>
  <c r="C26" i="2"/>
  <c r="V25" i="2"/>
  <c r="U25" i="2"/>
  <c r="S25" i="2"/>
  <c r="R25" i="2"/>
  <c r="Q25" i="2"/>
  <c r="P25" i="2"/>
  <c r="O25" i="2"/>
  <c r="N25" i="2"/>
  <c r="M25" i="2"/>
  <c r="L25" i="2"/>
  <c r="J25" i="2"/>
  <c r="I25" i="2"/>
  <c r="F25" i="2"/>
  <c r="C25" i="2"/>
  <c r="G25" i="2" s="1"/>
  <c r="V24" i="2"/>
  <c r="U24" i="2"/>
  <c r="S24" i="2"/>
  <c r="R24" i="2"/>
  <c r="Q24" i="2"/>
  <c r="P24" i="2"/>
  <c r="O24" i="2"/>
  <c r="N24" i="2"/>
  <c r="M24" i="2"/>
  <c r="L24" i="2"/>
  <c r="J24" i="2"/>
  <c r="I24" i="2"/>
  <c r="F24" i="2"/>
  <c r="C24" i="2"/>
  <c r="G24" i="2" s="1"/>
  <c r="V23" i="2"/>
  <c r="U23" i="2"/>
  <c r="S23" i="2"/>
  <c r="R23" i="2"/>
  <c r="Q23" i="2"/>
  <c r="P23" i="2"/>
  <c r="O23" i="2"/>
  <c r="N23" i="2"/>
  <c r="M23" i="2"/>
  <c r="L23" i="2"/>
  <c r="J23" i="2"/>
  <c r="I23" i="2"/>
  <c r="F23" i="2"/>
  <c r="C23" i="2"/>
  <c r="G23" i="2" s="1"/>
  <c r="U22" i="2"/>
  <c r="V22" i="2" s="1"/>
  <c r="R22" i="2"/>
  <c r="S22" i="2" s="1"/>
  <c r="P22" i="2"/>
  <c r="Q22" i="2" s="1"/>
  <c r="N22" i="2"/>
  <c r="O22" i="2" s="1"/>
  <c r="L22" i="2"/>
  <c r="M22" i="2" s="1"/>
  <c r="I22" i="2"/>
  <c r="J22" i="2" s="1"/>
  <c r="F22" i="2"/>
  <c r="C22" i="2"/>
  <c r="U21" i="2"/>
  <c r="V21" i="2" s="1"/>
  <c r="R21" i="2"/>
  <c r="S21" i="2" s="1"/>
  <c r="P21" i="2"/>
  <c r="Q21" i="2" s="1"/>
  <c r="N21" i="2"/>
  <c r="O21" i="2" s="1"/>
  <c r="L21" i="2"/>
  <c r="M21" i="2" s="1"/>
  <c r="I21" i="2"/>
  <c r="J21" i="2" s="1"/>
  <c r="F21" i="2"/>
  <c r="C21" i="2"/>
  <c r="U20" i="2"/>
  <c r="V20" i="2" s="1"/>
  <c r="R20" i="2"/>
  <c r="S20" i="2" s="1"/>
  <c r="P20" i="2"/>
  <c r="Q20" i="2" s="1"/>
  <c r="N20" i="2"/>
  <c r="O20" i="2" s="1"/>
  <c r="L20" i="2"/>
  <c r="M20" i="2" s="1"/>
  <c r="I20" i="2"/>
  <c r="J20" i="2" s="1"/>
  <c r="F20" i="2"/>
  <c r="C20" i="2"/>
  <c r="U19" i="2"/>
  <c r="V19" i="2" s="1"/>
  <c r="R19" i="2"/>
  <c r="S19" i="2" s="1"/>
  <c r="P19" i="2"/>
  <c r="Q19" i="2" s="1"/>
  <c r="N19" i="2"/>
  <c r="O19" i="2" s="1"/>
  <c r="L19" i="2"/>
  <c r="M19" i="2" s="1"/>
  <c r="I19" i="2"/>
  <c r="J19" i="2" s="1"/>
  <c r="F19" i="2"/>
  <c r="C19" i="2"/>
  <c r="U18" i="2"/>
  <c r="V18" i="2" s="1"/>
  <c r="R18" i="2"/>
  <c r="S18" i="2" s="1"/>
  <c r="P18" i="2"/>
  <c r="Q18" i="2" s="1"/>
  <c r="N18" i="2"/>
  <c r="O18" i="2" s="1"/>
  <c r="L18" i="2"/>
  <c r="M18" i="2" s="1"/>
  <c r="I18" i="2"/>
  <c r="F18" i="2"/>
  <c r="C18" i="2"/>
  <c r="U17" i="2"/>
  <c r="V17" i="2" s="1"/>
  <c r="R17" i="2"/>
  <c r="S17" i="2" s="1"/>
  <c r="P17" i="2"/>
  <c r="Q17" i="2" s="1"/>
  <c r="N17" i="2"/>
  <c r="O17" i="2" s="1"/>
  <c r="L17" i="2"/>
  <c r="M17" i="2" s="1"/>
  <c r="I17" i="2"/>
  <c r="J17" i="2" s="1"/>
  <c r="F17" i="2"/>
  <c r="C17" i="2"/>
  <c r="V16" i="2"/>
  <c r="U16" i="2"/>
  <c r="S16" i="2"/>
  <c r="R16" i="2"/>
  <c r="Q16" i="2"/>
  <c r="P16" i="2"/>
  <c r="O16" i="2"/>
  <c r="N16" i="2"/>
  <c r="M16" i="2"/>
  <c r="L16" i="2"/>
  <c r="J16" i="2"/>
  <c r="I16" i="2"/>
  <c r="G16" i="2"/>
  <c r="F16" i="2"/>
  <c r="T15" i="2"/>
  <c r="K15" i="2"/>
  <c r="H15" i="2"/>
  <c r="E15" i="2"/>
  <c r="E10" i="2" s="1"/>
  <c r="D15" i="2"/>
  <c r="V14" i="2"/>
  <c r="S14" i="2"/>
  <c r="Q14" i="2"/>
  <c r="O14" i="2"/>
  <c r="M14" i="2"/>
  <c r="J14" i="2"/>
  <c r="G14" i="2"/>
  <c r="U13" i="2"/>
  <c r="R13" i="2"/>
  <c r="P13" i="2"/>
  <c r="N13" i="2"/>
  <c r="L13" i="2"/>
  <c r="H13" i="2"/>
  <c r="J13" i="2" s="1"/>
  <c r="F13" i="2"/>
  <c r="E13" i="2"/>
  <c r="D13" i="2"/>
  <c r="U12" i="2"/>
  <c r="T12" i="2"/>
  <c r="V12" i="2" s="1"/>
  <c r="L12" i="2"/>
  <c r="I12" i="2"/>
  <c r="H12" i="2"/>
  <c r="J12" i="2" s="1"/>
  <c r="E12" i="2"/>
  <c r="U11" i="2"/>
  <c r="L11" i="2"/>
  <c r="E11" i="2"/>
  <c r="AB114" i="1"/>
  <c r="M114" i="1"/>
  <c r="K114" i="1"/>
  <c r="F114" i="1"/>
  <c r="C114" i="1"/>
  <c r="G114" i="1" s="1"/>
  <c r="AB113" i="1"/>
  <c r="M113" i="1"/>
  <c r="K113" i="1"/>
  <c r="F113" i="1"/>
  <c r="C113" i="1"/>
  <c r="G113" i="1" s="1"/>
  <c r="AB112" i="1"/>
  <c r="M112" i="1"/>
  <c r="K112" i="1"/>
  <c r="F112" i="1"/>
  <c r="C112" i="1"/>
  <c r="AB111" i="1"/>
  <c r="M111" i="1"/>
  <c r="K111" i="1"/>
  <c r="F111" i="1"/>
  <c r="C111" i="1"/>
  <c r="AB110" i="1"/>
  <c r="M110" i="1"/>
  <c r="K110" i="1"/>
  <c r="F110" i="1"/>
  <c r="C110" i="1"/>
  <c r="G110" i="1" s="1"/>
  <c r="A110" i="1"/>
  <c r="A111" i="1" s="1"/>
  <c r="A112" i="1" s="1"/>
  <c r="AB109" i="1"/>
  <c r="M109" i="1"/>
  <c r="K109" i="1"/>
  <c r="F109" i="1"/>
  <c r="C109" i="1"/>
  <c r="G109" i="1" s="1"/>
  <c r="AB108" i="1"/>
  <c r="M108" i="1"/>
  <c r="K108" i="1"/>
  <c r="F108" i="1"/>
  <c r="C108" i="1"/>
  <c r="G108" i="1" s="1"/>
  <c r="AB107" i="1"/>
  <c r="M107" i="1"/>
  <c r="K107" i="1"/>
  <c r="F107" i="1"/>
  <c r="C107" i="1"/>
  <c r="AA106" i="1"/>
  <c r="AA13" i="1" s="1"/>
  <c r="Z106" i="1"/>
  <c r="AB106" i="1" s="1"/>
  <c r="Y106" i="1"/>
  <c r="Y13" i="1" s="1"/>
  <c r="X106" i="1"/>
  <c r="X13" i="1" s="1"/>
  <c r="W106" i="1"/>
  <c r="V106" i="1"/>
  <c r="U106" i="1"/>
  <c r="U13" i="1" s="1"/>
  <c r="T106" i="1"/>
  <c r="T13" i="1" s="1"/>
  <c r="S106" i="1"/>
  <c r="R106" i="1"/>
  <c r="Q106" i="1"/>
  <c r="Q13" i="1" s="1"/>
  <c r="P106" i="1"/>
  <c r="O106" i="1"/>
  <c r="N106" i="1"/>
  <c r="L106" i="1"/>
  <c r="L13" i="1" s="1"/>
  <c r="J106" i="1"/>
  <c r="J13" i="1" s="1"/>
  <c r="I106" i="1"/>
  <c r="M106" i="1" s="1"/>
  <c r="H106" i="1"/>
  <c r="K106" i="1" s="1"/>
  <c r="E106" i="1"/>
  <c r="D106" i="1"/>
  <c r="AB105" i="1"/>
  <c r="M105" i="1"/>
  <c r="K105" i="1"/>
  <c r="F105" i="1"/>
  <c r="C105" i="1"/>
  <c r="G105" i="1" s="1"/>
  <c r="AB104" i="1"/>
  <c r="M104" i="1"/>
  <c r="K104" i="1"/>
  <c r="F104" i="1"/>
  <c r="C104" i="1"/>
  <c r="G104" i="1" s="1"/>
  <c r="AB103" i="1"/>
  <c r="M103" i="1"/>
  <c r="K103" i="1"/>
  <c r="F103" i="1"/>
  <c r="C103" i="1"/>
  <c r="G103" i="1" s="1"/>
  <c r="AB102" i="1"/>
  <c r="M102" i="1"/>
  <c r="K102" i="1"/>
  <c r="F102" i="1"/>
  <c r="C102" i="1"/>
  <c r="G102" i="1" s="1"/>
  <c r="AB101" i="1"/>
  <c r="M101" i="1"/>
  <c r="K101" i="1"/>
  <c r="F101" i="1"/>
  <c r="C101" i="1"/>
  <c r="G101" i="1" s="1"/>
  <c r="AB100" i="1"/>
  <c r="M100" i="1"/>
  <c r="K100" i="1"/>
  <c r="F100" i="1"/>
  <c r="C100" i="1"/>
  <c r="G100" i="1" s="1"/>
  <c r="AB99" i="1"/>
  <c r="M99" i="1"/>
  <c r="K99" i="1"/>
  <c r="F99" i="1"/>
  <c r="C99" i="1"/>
  <c r="G99" i="1" s="1"/>
  <c r="AB98" i="1"/>
  <c r="M98" i="1"/>
  <c r="K98" i="1"/>
  <c r="F98" i="1"/>
  <c r="C98" i="1"/>
  <c r="AB97" i="1"/>
  <c r="M97" i="1"/>
  <c r="K97" i="1"/>
  <c r="F97" i="1"/>
  <c r="C97" i="1"/>
  <c r="G97" i="1" s="1"/>
  <c r="AB96" i="1"/>
  <c r="M96" i="1"/>
  <c r="K96" i="1"/>
  <c r="F96" i="1"/>
  <c r="C96" i="1"/>
  <c r="G96" i="1" s="1"/>
  <c r="AB95" i="1"/>
  <c r="M95" i="1"/>
  <c r="K95" i="1"/>
  <c r="F95" i="1"/>
  <c r="C95" i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B94" i="1"/>
  <c r="M94" i="1"/>
  <c r="K94" i="1"/>
  <c r="F94" i="1"/>
  <c r="C94" i="1"/>
  <c r="G94" i="1" s="1"/>
  <c r="AB93" i="1"/>
  <c r="M93" i="1"/>
  <c r="K93" i="1"/>
  <c r="F93" i="1"/>
  <c r="C93" i="1"/>
  <c r="G93" i="1" s="1"/>
  <c r="AB92" i="1"/>
  <c r="M92" i="1"/>
  <c r="K92" i="1"/>
  <c r="F92" i="1"/>
  <c r="C92" i="1"/>
  <c r="G92" i="1" s="1"/>
  <c r="AA91" i="1"/>
  <c r="AA12" i="1" s="1"/>
  <c r="Z91" i="1"/>
  <c r="AB91" i="1" s="1"/>
  <c r="Y91" i="1"/>
  <c r="Y12" i="1" s="1"/>
  <c r="Y11" i="1" s="1"/>
  <c r="X91" i="1"/>
  <c r="X12" i="1" s="1"/>
  <c r="W91" i="1"/>
  <c r="V91" i="1"/>
  <c r="U91" i="1"/>
  <c r="T91" i="1"/>
  <c r="S91" i="1"/>
  <c r="R91" i="1"/>
  <c r="Q91" i="1"/>
  <c r="Q12" i="1" s="1"/>
  <c r="P91" i="1"/>
  <c r="P12" i="1" s="1"/>
  <c r="O91" i="1"/>
  <c r="N91" i="1"/>
  <c r="L91" i="1"/>
  <c r="J91" i="1"/>
  <c r="J12" i="1" s="1"/>
  <c r="I91" i="1"/>
  <c r="M91" i="1" s="1"/>
  <c r="H91" i="1"/>
  <c r="K91" i="1" s="1"/>
  <c r="E91" i="1"/>
  <c r="E12" i="1" s="1"/>
  <c r="D91" i="1"/>
  <c r="D12" i="1" s="1"/>
  <c r="AB90" i="1"/>
  <c r="AA90" i="1"/>
  <c r="Y90" i="1"/>
  <c r="X90" i="1"/>
  <c r="U90" i="1"/>
  <c r="T90" i="1"/>
  <c r="Q90" i="1"/>
  <c r="P90" i="1"/>
  <c r="I90" i="1"/>
  <c r="M90" i="1" s="1"/>
  <c r="H90" i="1"/>
  <c r="K90" i="1" s="1"/>
  <c r="F90" i="1"/>
  <c r="C90" i="1"/>
  <c r="G90" i="1" s="1"/>
  <c r="AB89" i="1"/>
  <c r="AA89" i="1"/>
  <c r="Y89" i="1"/>
  <c r="X89" i="1"/>
  <c r="U89" i="1"/>
  <c r="T89" i="1"/>
  <c r="Q89" i="1"/>
  <c r="P89" i="1"/>
  <c r="I89" i="1"/>
  <c r="M89" i="1" s="1"/>
  <c r="H89" i="1"/>
  <c r="K89" i="1" s="1"/>
  <c r="F89" i="1"/>
  <c r="C89" i="1"/>
  <c r="G89" i="1" s="1"/>
  <c r="AB88" i="1"/>
  <c r="AA88" i="1"/>
  <c r="Y88" i="1"/>
  <c r="X88" i="1"/>
  <c r="U88" i="1"/>
  <c r="T88" i="1"/>
  <c r="Q88" i="1"/>
  <c r="P88" i="1"/>
  <c r="I88" i="1"/>
  <c r="M88" i="1" s="1"/>
  <c r="H88" i="1"/>
  <c r="K88" i="1" s="1"/>
  <c r="F88" i="1"/>
  <c r="C88" i="1"/>
  <c r="G88" i="1" s="1"/>
  <c r="AB87" i="1"/>
  <c r="AA87" i="1"/>
  <c r="Y87" i="1"/>
  <c r="X87" i="1"/>
  <c r="U87" i="1"/>
  <c r="T87" i="1"/>
  <c r="Q87" i="1"/>
  <c r="P87" i="1"/>
  <c r="I87" i="1"/>
  <c r="M87" i="1" s="1"/>
  <c r="H87" i="1"/>
  <c r="K87" i="1" s="1"/>
  <c r="F87" i="1"/>
  <c r="C87" i="1"/>
  <c r="G87" i="1" s="1"/>
  <c r="AB86" i="1"/>
  <c r="AA86" i="1"/>
  <c r="Y86" i="1"/>
  <c r="X86" i="1"/>
  <c r="U86" i="1"/>
  <c r="T86" i="1"/>
  <c r="Q86" i="1"/>
  <c r="P86" i="1"/>
  <c r="I86" i="1"/>
  <c r="M86" i="1" s="1"/>
  <c r="H86" i="1"/>
  <c r="K86" i="1" s="1"/>
  <c r="F86" i="1"/>
  <c r="C86" i="1"/>
  <c r="G86" i="1" s="1"/>
  <c r="AB85" i="1"/>
  <c r="AA85" i="1"/>
  <c r="Y85" i="1"/>
  <c r="X85" i="1"/>
  <c r="U85" i="1"/>
  <c r="T85" i="1"/>
  <c r="Q85" i="1"/>
  <c r="P85" i="1"/>
  <c r="I85" i="1"/>
  <c r="M85" i="1" s="1"/>
  <c r="H85" i="1"/>
  <c r="K85" i="1" s="1"/>
  <c r="F85" i="1"/>
  <c r="C85" i="1"/>
  <c r="G85" i="1" s="1"/>
  <c r="AA84" i="1"/>
  <c r="AB84" i="1" s="1"/>
  <c r="Y84" i="1"/>
  <c r="X84" i="1"/>
  <c r="U84" i="1"/>
  <c r="T84" i="1"/>
  <c r="Q84" i="1"/>
  <c r="P84" i="1"/>
  <c r="I84" i="1"/>
  <c r="H84" i="1"/>
  <c r="F84" i="1"/>
  <c r="C84" i="1"/>
  <c r="AB83" i="1"/>
  <c r="AA83" i="1"/>
  <c r="Y83" i="1"/>
  <c r="X83" i="1"/>
  <c r="U83" i="1"/>
  <c r="T83" i="1"/>
  <c r="Q83" i="1"/>
  <c r="P83" i="1"/>
  <c r="I83" i="1"/>
  <c r="M83" i="1" s="1"/>
  <c r="H83" i="1"/>
  <c r="K83" i="1" s="1"/>
  <c r="F83" i="1"/>
  <c r="C83" i="1"/>
  <c r="G83" i="1" s="1"/>
  <c r="AB82" i="1"/>
  <c r="AA82" i="1"/>
  <c r="Y82" i="1"/>
  <c r="X82" i="1"/>
  <c r="U82" i="1"/>
  <c r="T82" i="1"/>
  <c r="Q82" i="1"/>
  <c r="P82" i="1"/>
  <c r="I82" i="1"/>
  <c r="M82" i="1" s="1"/>
  <c r="H82" i="1"/>
  <c r="K82" i="1" s="1"/>
  <c r="F82" i="1"/>
  <c r="C82" i="1"/>
  <c r="G82" i="1" s="1"/>
  <c r="AB81" i="1"/>
  <c r="AA81" i="1"/>
  <c r="Y81" i="1"/>
  <c r="X81" i="1"/>
  <c r="U81" i="1"/>
  <c r="T81" i="1"/>
  <c r="Q81" i="1"/>
  <c r="P81" i="1"/>
  <c r="I81" i="1"/>
  <c r="M81" i="1" s="1"/>
  <c r="H81" i="1"/>
  <c r="K81" i="1" s="1"/>
  <c r="F81" i="1"/>
  <c r="C81" i="1"/>
  <c r="G81" i="1" s="1"/>
  <c r="AB80" i="1"/>
  <c r="AA80" i="1"/>
  <c r="Y80" i="1"/>
  <c r="X80" i="1"/>
  <c r="U80" i="1"/>
  <c r="T80" i="1"/>
  <c r="Q80" i="1"/>
  <c r="P80" i="1"/>
  <c r="I80" i="1"/>
  <c r="M80" i="1" s="1"/>
  <c r="H80" i="1"/>
  <c r="K80" i="1" s="1"/>
  <c r="F80" i="1"/>
  <c r="C80" i="1"/>
  <c r="G80" i="1" s="1"/>
  <c r="AB79" i="1"/>
  <c r="AA79" i="1"/>
  <c r="Y79" i="1"/>
  <c r="X79" i="1"/>
  <c r="U79" i="1"/>
  <c r="T79" i="1"/>
  <c r="Q79" i="1"/>
  <c r="P79" i="1"/>
  <c r="I79" i="1"/>
  <c r="M79" i="1" s="1"/>
  <c r="H79" i="1"/>
  <c r="K79" i="1" s="1"/>
  <c r="F79" i="1"/>
  <c r="C79" i="1"/>
  <c r="G79" i="1" s="1"/>
  <c r="AB78" i="1"/>
  <c r="AA78" i="1"/>
  <c r="Y78" i="1"/>
  <c r="X78" i="1"/>
  <c r="U78" i="1"/>
  <c r="T78" i="1"/>
  <c r="Q78" i="1"/>
  <c r="P78" i="1"/>
  <c r="I78" i="1"/>
  <c r="H78" i="1"/>
  <c r="F78" i="1"/>
  <c r="C78" i="1"/>
  <c r="AB77" i="1"/>
  <c r="AA77" i="1"/>
  <c r="Y77" i="1"/>
  <c r="X77" i="1"/>
  <c r="U77" i="1"/>
  <c r="T77" i="1"/>
  <c r="Q77" i="1"/>
  <c r="P77" i="1"/>
  <c r="I77" i="1"/>
  <c r="H77" i="1"/>
  <c r="F77" i="1"/>
  <c r="C77" i="1"/>
  <c r="Z76" i="1"/>
  <c r="W76" i="1"/>
  <c r="V76" i="1"/>
  <c r="S76" i="1"/>
  <c r="R76" i="1"/>
  <c r="O76" i="1"/>
  <c r="N76" i="1"/>
  <c r="E76" i="1"/>
  <c r="D76" i="1"/>
  <c r="AB75" i="1"/>
  <c r="AA75" i="1"/>
  <c r="Y75" i="1"/>
  <c r="X75" i="1"/>
  <c r="U75" i="1"/>
  <c r="T75" i="1"/>
  <c r="Q75" i="1"/>
  <c r="P75" i="1"/>
  <c r="I75" i="1"/>
  <c r="M75" i="1" s="1"/>
  <c r="H75" i="1"/>
  <c r="K75" i="1" s="1"/>
  <c r="F75" i="1"/>
  <c r="C75" i="1"/>
  <c r="G75" i="1" s="1"/>
  <c r="AB74" i="1"/>
  <c r="AA74" i="1"/>
  <c r="Y74" i="1"/>
  <c r="X74" i="1"/>
  <c r="U74" i="1"/>
  <c r="T74" i="1"/>
  <c r="Q74" i="1"/>
  <c r="P74" i="1"/>
  <c r="I74" i="1"/>
  <c r="H74" i="1"/>
  <c r="F74" i="1"/>
  <c r="C74" i="1"/>
  <c r="AB73" i="1"/>
  <c r="AA73" i="1"/>
  <c r="Y73" i="1"/>
  <c r="X73" i="1"/>
  <c r="U73" i="1"/>
  <c r="T73" i="1"/>
  <c r="Q73" i="1"/>
  <c r="P73" i="1"/>
  <c r="I73" i="1"/>
  <c r="M73" i="1" s="1"/>
  <c r="H73" i="1"/>
  <c r="K73" i="1" s="1"/>
  <c r="F73" i="1"/>
  <c r="C73" i="1"/>
  <c r="G73" i="1" s="1"/>
  <c r="AA72" i="1"/>
  <c r="AB72" i="1" s="1"/>
  <c r="Y72" i="1"/>
  <c r="X72" i="1"/>
  <c r="U72" i="1"/>
  <c r="T72" i="1"/>
  <c r="Q72" i="1"/>
  <c r="P72" i="1"/>
  <c r="I72" i="1"/>
  <c r="H72" i="1"/>
  <c r="F72" i="1"/>
  <c r="C72" i="1"/>
  <c r="G72" i="1" s="1"/>
  <c r="AB71" i="1"/>
  <c r="AA71" i="1"/>
  <c r="Y71" i="1"/>
  <c r="X71" i="1"/>
  <c r="U71" i="1"/>
  <c r="T71" i="1"/>
  <c r="Q71" i="1"/>
  <c r="P71" i="1"/>
  <c r="I71" i="1"/>
  <c r="M71" i="1" s="1"/>
  <c r="H71" i="1"/>
  <c r="K71" i="1" s="1"/>
  <c r="F71" i="1"/>
  <c r="C71" i="1"/>
  <c r="AA70" i="1"/>
  <c r="AB70" i="1" s="1"/>
  <c r="Y70" i="1"/>
  <c r="X70" i="1"/>
  <c r="U70" i="1"/>
  <c r="T70" i="1"/>
  <c r="Q70" i="1"/>
  <c r="P70" i="1"/>
  <c r="I70" i="1"/>
  <c r="H70" i="1"/>
  <c r="F70" i="1"/>
  <c r="C70" i="1"/>
  <c r="AB69" i="1"/>
  <c r="AA69" i="1"/>
  <c r="Y69" i="1"/>
  <c r="X69" i="1"/>
  <c r="U69" i="1"/>
  <c r="T69" i="1"/>
  <c r="Q69" i="1"/>
  <c r="P69" i="1"/>
  <c r="I69" i="1"/>
  <c r="M69" i="1" s="1"/>
  <c r="H69" i="1"/>
  <c r="K69" i="1" s="1"/>
  <c r="F69" i="1"/>
  <c r="C69" i="1"/>
  <c r="G69" i="1" s="1"/>
  <c r="AB68" i="1"/>
  <c r="AA68" i="1"/>
  <c r="Y68" i="1"/>
  <c r="X68" i="1"/>
  <c r="U68" i="1"/>
  <c r="T68" i="1"/>
  <c r="Q68" i="1"/>
  <c r="P68" i="1"/>
  <c r="I68" i="1"/>
  <c r="M68" i="1" s="1"/>
  <c r="H68" i="1"/>
  <c r="K68" i="1" s="1"/>
  <c r="F68" i="1"/>
  <c r="C68" i="1"/>
  <c r="G68" i="1" s="1"/>
  <c r="AB67" i="1"/>
  <c r="AA67" i="1"/>
  <c r="Y67" i="1"/>
  <c r="X67" i="1"/>
  <c r="U67" i="1"/>
  <c r="T67" i="1"/>
  <c r="Q67" i="1"/>
  <c r="P67" i="1"/>
  <c r="I67" i="1"/>
  <c r="M67" i="1" s="1"/>
  <c r="H67" i="1"/>
  <c r="K67" i="1" s="1"/>
  <c r="F67" i="1"/>
  <c r="C67" i="1"/>
  <c r="G67" i="1" s="1"/>
  <c r="AB66" i="1"/>
  <c r="AA66" i="1"/>
  <c r="Y66" i="1"/>
  <c r="X66" i="1"/>
  <c r="U66" i="1"/>
  <c r="T66" i="1"/>
  <c r="Q66" i="1"/>
  <c r="P66" i="1"/>
  <c r="I66" i="1"/>
  <c r="H66" i="1"/>
  <c r="F66" i="1"/>
  <c r="C66" i="1"/>
  <c r="AB65" i="1"/>
  <c r="AA65" i="1"/>
  <c r="Y65" i="1"/>
  <c r="X65" i="1"/>
  <c r="U65" i="1"/>
  <c r="T65" i="1"/>
  <c r="Q65" i="1"/>
  <c r="P65" i="1"/>
  <c r="I65" i="1"/>
  <c r="M65" i="1" s="1"/>
  <c r="H65" i="1"/>
  <c r="K65" i="1" s="1"/>
  <c r="F65" i="1"/>
  <c r="C65" i="1"/>
  <c r="G65" i="1" s="1"/>
  <c r="AB64" i="1"/>
  <c r="AA64" i="1"/>
  <c r="Y64" i="1"/>
  <c r="X64" i="1"/>
  <c r="U64" i="1"/>
  <c r="T64" i="1"/>
  <c r="Q64" i="1"/>
  <c r="P64" i="1"/>
  <c r="I64" i="1"/>
  <c r="M64" i="1" s="1"/>
  <c r="H64" i="1"/>
  <c r="K64" i="1" s="1"/>
  <c r="F64" i="1"/>
  <c r="C64" i="1"/>
  <c r="G64" i="1" s="1"/>
  <c r="AB63" i="1"/>
  <c r="AA63" i="1"/>
  <c r="Y63" i="1"/>
  <c r="X63" i="1"/>
  <c r="U63" i="1"/>
  <c r="T63" i="1"/>
  <c r="Q63" i="1"/>
  <c r="P63" i="1"/>
  <c r="I63" i="1"/>
  <c r="M63" i="1" s="1"/>
  <c r="H63" i="1"/>
  <c r="K63" i="1" s="1"/>
  <c r="F63" i="1"/>
  <c r="C63" i="1"/>
  <c r="G63" i="1" s="1"/>
  <c r="AB62" i="1"/>
  <c r="AA62" i="1"/>
  <c r="Y62" i="1"/>
  <c r="X62" i="1"/>
  <c r="U62" i="1"/>
  <c r="T62" i="1"/>
  <c r="Q62" i="1"/>
  <c r="P62" i="1"/>
  <c r="I62" i="1"/>
  <c r="M62" i="1" s="1"/>
  <c r="H62" i="1"/>
  <c r="K62" i="1" s="1"/>
  <c r="F62" i="1"/>
  <c r="C62" i="1"/>
  <c r="G62" i="1" s="1"/>
  <c r="AB61" i="1"/>
  <c r="AA61" i="1"/>
  <c r="Y61" i="1"/>
  <c r="X61" i="1"/>
  <c r="U61" i="1"/>
  <c r="T61" i="1"/>
  <c r="Q61" i="1"/>
  <c r="P61" i="1"/>
  <c r="I61" i="1"/>
  <c r="M61" i="1" s="1"/>
  <c r="H61" i="1"/>
  <c r="K61" i="1" s="1"/>
  <c r="F61" i="1"/>
  <c r="C61" i="1"/>
  <c r="G61" i="1" s="1"/>
  <c r="AB60" i="1"/>
  <c r="AA60" i="1"/>
  <c r="Y60" i="1"/>
  <c r="X60" i="1"/>
  <c r="U60" i="1"/>
  <c r="T60" i="1"/>
  <c r="Q60" i="1"/>
  <c r="P60" i="1"/>
  <c r="I60" i="1"/>
  <c r="M60" i="1" s="1"/>
  <c r="H60" i="1"/>
  <c r="K60" i="1" s="1"/>
  <c r="F60" i="1"/>
  <c r="C60" i="1"/>
  <c r="G60" i="1" s="1"/>
  <c r="AB59" i="1"/>
  <c r="AA59" i="1"/>
  <c r="Y59" i="1"/>
  <c r="X59" i="1"/>
  <c r="U59" i="1"/>
  <c r="T59" i="1"/>
  <c r="Q59" i="1"/>
  <c r="P59" i="1"/>
  <c r="I59" i="1"/>
  <c r="H59" i="1"/>
  <c r="F59" i="1"/>
  <c r="C59" i="1"/>
  <c r="AB58" i="1"/>
  <c r="AA58" i="1"/>
  <c r="Y58" i="1"/>
  <c r="X58" i="1"/>
  <c r="U58" i="1"/>
  <c r="T58" i="1"/>
  <c r="Q58" i="1"/>
  <c r="P58" i="1"/>
  <c r="I58" i="1"/>
  <c r="M58" i="1" s="1"/>
  <c r="H58" i="1"/>
  <c r="K58" i="1" s="1"/>
  <c r="F58" i="1"/>
  <c r="C58" i="1"/>
  <c r="G58" i="1" s="1"/>
  <c r="AB57" i="1"/>
  <c r="AA57" i="1"/>
  <c r="Y57" i="1"/>
  <c r="X57" i="1"/>
  <c r="U57" i="1"/>
  <c r="T57" i="1"/>
  <c r="Q57" i="1"/>
  <c r="P57" i="1"/>
  <c r="I57" i="1"/>
  <c r="M57" i="1" s="1"/>
  <c r="H57" i="1"/>
  <c r="K57" i="1" s="1"/>
  <c r="F57" i="1"/>
  <c r="C57" i="1"/>
  <c r="G57" i="1" s="1"/>
  <c r="AB56" i="1"/>
  <c r="AA56" i="1"/>
  <c r="Y56" i="1"/>
  <c r="X56" i="1"/>
  <c r="U56" i="1"/>
  <c r="T56" i="1"/>
  <c r="Q56" i="1"/>
  <c r="P56" i="1"/>
  <c r="I56" i="1"/>
  <c r="H56" i="1"/>
  <c r="F56" i="1"/>
  <c r="C56" i="1"/>
  <c r="AB55" i="1"/>
  <c r="AA55" i="1"/>
  <c r="Y55" i="1"/>
  <c r="X55" i="1"/>
  <c r="U55" i="1"/>
  <c r="T55" i="1"/>
  <c r="Q55" i="1"/>
  <c r="P55" i="1"/>
  <c r="I55" i="1"/>
  <c r="M55" i="1" s="1"/>
  <c r="H55" i="1"/>
  <c r="K55" i="1" s="1"/>
  <c r="F55" i="1"/>
  <c r="C55" i="1"/>
  <c r="G55" i="1" s="1"/>
  <c r="Z54" i="1"/>
  <c r="W54" i="1"/>
  <c r="V54" i="1"/>
  <c r="S54" i="1"/>
  <c r="R54" i="1"/>
  <c r="O54" i="1"/>
  <c r="N54" i="1"/>
  <c r="E54" i="1"/>
  <c r="D54" i="1"/>
  <c r="AB53" i="1"/>
  <c r="AA53" i="1"/>
  <c r="Y53" i="1"/>
  <c r="X53" i="1"/>
  <c r="U53" i="1"/>
  <c r="T53" i="1"/>
  <c r="Q53" i="1"/>
  <c r="P53" i="1"/>
  <c r="I53" i="1"/>
  <c r="M53" i="1" s="1"/>
  <c r="H53" i="1"/>
  <c r="K53" i="1" s="1"/>
  <c r="F53" i="1"/>
  <c r="C53" i="1"/>
  <c r="G53" i="1" s="1"/>
  <c r="AA52" i="1"/>
  <c r="AB52" i="1" s="1"/>
  <c r="Y52" i="1"/>
  <c r="X52" i="1"/>
  <c r="U52" i="1"/>
  <c r="T52" i="1"/>
  <c r="Q52" i="1"/>
  <c r="P52" i="1"/>
  <c r="I52" i="1"/>
  <c r="H52" i="1"/>
  <c r="F52" i="1"/>
  <c r="C52" i="1"/>
  <c r="AB51" i="1"/>
  <c r="AA51" i="1"/>
  <c r="Y51" i="1"/>
  <c r="X51" i="1"/>
  <c r="U51" i="1"/>
  <c r="T51" i="1"/>
  <c r="Q51" i="1"/>
  <c r="P51" i="1"/>
  <c r="I51" i="1"/>
  <c r="H51" i="1"/>
  <c r="F51" i="1"/>
  <c r="C51" i="1"/>
  <c r="AA50" i="1"/>
  <c r="AB50" i="1" s="1"/>
  <c r="Y50" i="1"/>
  <c r="X50" i="1"/>
  <c r="U50" i="1"/>
  <c r="T50" i="1"/>
  <c r="Q50" i="1"/>
  <c r="P50" i="1"/>
  <c r="I50" i="1"/>
  <c r="H50" i="1"/>
  <c r="F50" i="1"/>
  <c r="C50" i="1"/>
  <c r="AB49" i="1"/>
  <c r="AA49" i="1"/>
  <c r="Y49" i="1"/>
  <c r="X49" i="1"/>
  <c r="U49" i="1"/>
  <c r="T49" i="1"/>
  <c r="Q49" i="1"/>
  <c r="P49" i="1"/>
  <c r="I49" i="1"/>
  <c r="H49" i="1"/>
  <c r="F49" i="1"/>
  <c r="C49" i="1"/>
  <c r="AB48" i="1"/>
  <c r="AA48" i="1"/>
  <c r="Y48" i="1"/>
  <c r="X48" i="1"/>
  <c r="U48" i="1"/>
  <c r="T48" i="1"/>
  <c r="Q48" i="1"/>
  <c r="P48" i="1"/>
  <c r="I48" i="1"/>
  <c r="M48" i="1" s="1"/>
  <c r="H48" i="1"/>
  <c r="K48" i="1" s="1"/>
  <c r="F48" i="1"/>
  <c r="C48" i="1"/>
  <c r="G48" i="1" s="1"/>
  <c r="AB47" i="1"/>
  <c r="AA47" i="1"/>
  <c r="Y47" i="1"/>
  <c r="X47" i="1"/>
  <c r="U47" i="1"/>
  <c r="T47" i="1"/>
  <c r="Q47" i="1"/>
  <c r="P47" i="1"/>
  <c r="I47" i="1"/>
  <c r="H47" i="1"/>
  <c r="F47" i="1"/>
  <c r="C47" i="1"/>
  <c r="AB46" i="1"/>
  <c r="AA46" i="1"/>
  <c r="Y46" i="1"/>
  <c r="X46" i="1"/>
  <c r="U46" i="1"/>
  <c r="T46" i="1"/>
  <c r="Q46" i="1"/>
  <c r="P46" i="1"/>
  <c r="I46" i="1"/>
  <c r="H46" i="1"/>
  <c r="F46" i="1"/>
  <c r="C46" i="1"/>
  <c r="AB45" i="1"/>
  <c r="AA45" i="1"/>
  <c r="Y45" i="1"/>
  <c r="X45" i="1"/>
  <c r="U45" i="1"/>
  <c r="T45" i="1"/>
  <c r="Q45" i="1"/>
  <c r="P45" i="1"/>
  <c r="I45" i="1"/>
  <c r="M45" i="1" s="1"/>
  <c r="H45" i="1"/>
  <c r="K45" i="1" s="1"/>
  <c r="F45" i="1"/>
  <c r="C45" i="1"/>
  <c r="G45" i="1" s="1"/>
  <c r="AB44" i="1"/>
  <c r="AA44" i="1"/>
  <c r="Y44" i="1"/>
  <c r="X44" i="1"/>
  <c r="U44" i="1"/>
  <c r="T44" i="1"/>
  <c r="Q44" i="1"/>
  <c r="P44" i="1"/>
  <c r="I44" i="1"/>
  <c r="H44" i="1"/>
  <c r="F44" i="1"/>
  <c r="C44" i="1"/>
  <c r="AA43" i="1"/>
  <c r="AB43" i="1" s="1"/>
  <c r="Y43" i="1"/>
  <c r="X43" i="1"/>
  <c r="U43" i="1"/>
  <c r="T43" i="1"/>
  <c r="Q43" i="1"/>
  <c r="P43" i="1"/>
  <c r="I43" i="1"/>
  <c r="H43" i="1"/>
  <c r="F43" i="1"/>
  <c r="C43" i="1"/>
  <c r="AB42" i="1"/>
  <c r="AA42" i="1"/>
  <c r="Y42" i="1"/>
  <c r="X42" i="1"/>
  <c r="U42" i="1"/>
  <c r="T42" i="1"/>
  <c r="Q42" i="1"/>
  <c r="P42" i="1"/>
  <c r="I42" i="1"/>
  <c r="H42" i="1"/>
  <c r="F42" i="1"/>
  <c r="C42" i="1"/>
  <c r="AA41" i="1"/>
  <c r="AB41" i="1" s="1"/>
  <c r="Y41" i="1"/>
  <c r="X41" i="1"/>
  <c r="U41" i="1"/>
  <c r="T41" i="1"/>
  <c r="Q41" i="1"/>
  <c r="P41" i="1"/>
  <c r="I41" i="1"/>
  <c r="H41" i="1"/>
  <c r="F41" i="1"/>
  <c r="C41" i="1"/>
  <c r="AA40" i="1"/>
  <c r="AB40" i="1" s="1"/>
  <c r="Y40" i="1"/>
  <c r="X40" i="1"/>
  <c r="U40" i="1"/>
  <c r="T40" i="1"/>
  <c r="Q40" i="1"/>
  <c r="P40" i="1"/>
  <c r="I40" i="1"/>
  <c r="H40" i="1"/>
  <c r="F40" i="1"/>
  <c r="C40" i="1"/>
  <c r="AB39" i="1"/>
  <c r="AA39" i="1"/>
  <c r="Y39" i="1"/>
  <c r="X39" i="1"/>
  <c r="U39" i="1"/>
  <c r="T39" i="1"/>
  <c r="Q39" i="1"/>
  <c r="P39" i="1"/>
  <c r="I39" i="1"/>
  <c r="M39" i="1" s="1"/>
  <c r="H39" i="1"/>
  <c r="K39" i="1" s="1"/>
  <c r="F39" i="1"/>
  <c r="C39" i="1"/>
  <c r="G39" i="1" s="1"/>
  <c r="AB38" i="1"/>
  <c r="AA38" i="1"/>
  <c r="Y38" i="1"/>
  <c r="X38" i="1"/>
  <c r="U38" i="1"/>
  <c r="T38" i="1"/>
  <c r="Q38" i="1"/>
  <c r="P38" i="1"/>
  <c r="I38" i="1"/>
  <c r="M38" i="1" s="1"/>
  <c r="H38" i="1"/>
  <c r="K38" i="1" s="1"/>
  <c r="F38" i="1"/>
  <c r="C38" i="1"/>
  <c r="G38" i="1" s="1"/>
  <c r="AB37" i="1"/>
  <c r="AA37" i="1"/>
  <c r="Y37" i="1"/>
  <c r="X37" i="1"/>
  <c r="U37" i="1"/>
  <c r="T37" i="1"/>
  <c r="Q37" i="1"/>
  <c r="P37" i="1"/>
  <c r="I37" i="1"/>
  <c r="H37" i="1"/>
  <c r="F37" i="1"/>
  <c r="C37" i="1"/>
  <c r="AB36" i="1"/>
  <c r="AA36" i="1"/>
  <c r="Y36" i="1"/>
  <c r="X36" i="1"/>
  <c r="U36" i="1"/>
  <c r="T36" i="1"/>
  <c r="Q36" i="1"/>
  <c r="P36" i="1"/>
  <c r="I36" i="1"/>
  <c r="M36" i="1" s="1"/>
  <c r="H36" i="1"/>
  <c r="K36" i="1" s="1"/>
  <c r="F36" i="1"/>
  <c r="C36" i="1"/>
  <c r="G36" i="1" s="1"/>
  <c r="AA35" i="1"/>
  <c r="AB35" i="1" s="1"/>
  <c r="Y35" i="1"/>
  <c r="X35" i="1"/>
  <c r="U35" i="1"/>
  <c r="T35" i="1"/>
  <c r="Q35" i="1"/>
  <c r="P35" i="1"/>
  <c r="I35" i="1"/>
  <c r="H35" i="1"/>
  <c r="F35" i="1"/>
  <c r="C35" i="1"/>
  <c r="AB34" i="1"/>
  <c r="AA34" i="1"/>
  <c r="Y34" i="1"/>
  <c r="X34" i="1"/>
  <c r="U34" i="1"/>
  <c r="T34" i="1"/>
  <c r="Q34" i="1"/>
  <c r="P34" i="1"/>
  <c r="I34" i="1"/>
  <c r="M34" i="1" s="1"/>
  <c r="H34" i="1"/>
  <c r="K34" i="1" s="1"/>
  <c r="F34" i="1"/>
  <c r="C34" i="1"/>
  <c r="G34" i="1" s="1"/>
  <c r="Z33" i="1"/>
  <c r="W33" i="1"/>
  <c r="V33" i="1"/>
  <c r="S33" i="1"/>
  <c r="R33" i="1"/>
  <c r="O33" i="1"/>
  <c r="N33" i="1"/>
  <c r="E33" i="1"/>
  <c r="D33" i="1"/>
  <c r="AA32" i="1"/>
  <c r="AB32" i="1" s="1"/>
  <c r="Y32" i="1"/>
  <c r="X32" i="1"/>
  <c r="U32" i="1"/>
  <c r="T32" i="1"/>
  <c r="Q32" i="1"/>
  <c r="P32" i="1"/>
  <c r="I32" i="1"/>
  <c r="H32" i="1"/>
  <c r="F32" i="1"/>
  <c r="C32" i="1"/>
  <c r="AB31" i="1"/>
  <c r="AA31" i="1"/>
  <c r="Y31" i="1"/>
  <c r="X31" i="1"/>
  <c r="U31" i="1"/>
  <c r="T31" i="1"/>
  <c r="Q31" i="1"/>
  <c r="P31" i="1"/>
  <c r="I31" i="1"/>
  <c r="M31" i="1" s="1"/>
  <c r="H31" i="1"/>
  <c r="K31" i="1" s="1"/>
  <c r="F31" i="1"/>
  <c r="C31" i="1"/>
  <c r="G31" i="1" s="1"/>
  <c r="AB30" i="1"/>
  <c r="AA30" i="1"/>
  <c r="Y30" i="1"/>
  <c r="X30" i="1"/>
  <c r="U30" i="1"/>
  <c r="T30" i="1"/>
  <c r="Q30" i="1"/>
  <c r="P30" i="1"/>
  <c r="I30" i="1"/>
  <c r="H30" i="1"/>
  <c r="F30" i="1"/>
  <c r="C30" i="1"/>
  <c r="AA29" i="1"/>
  <c r="AB29" i="1" s="1"/>
  <c r="Y29" i="1"/>
  <c r="X29" i="1"/>
  <c r="U29" i="1"/>
  <c r="T29" i="1"/>
  <c r="Q29" i="1"/>
  <c r="P29" i="1"/>
  <c r="I29" i="1"/>
  <c r="H29" i="1"/>
  <c r="F29" i="1"/>
  <c r="C29" i="1"/>
  <c r="AB28" i="1"/>
  <c r="AA28" i="1"/>
  <c r="Y28" i="1"/>
  <c r="X28" i="1"/>
  <c r="U28" i="1"/>
  <c r="T28" i="1"/>
  <c r="Q28" i="1"/>
  <c r="P28" i="1"/>
  <c r="I28" i="1"/>
  <c r="M28" i="1" s="1"/>
  <c r="H28" i="1"/>
  <c r="K28" i="1" s="1"/>
  <c r="F28" i="1"/>
  <c r="C28" i="1"/>
  <c r="G28" i="1" s="1"/>
  <c r="AB27" i="1"/>
  <c r="AA27" i="1"/>
  <c r="Y27" i="1"/>
  <c r="X27" i="1"/>
  <c r="U27" i="1"/>
  <c r="T27" i="1"/>
  <c r="Q27" i="1"/>
  <c r="P27" i="1"/>
  <c r="I27" i="1"/>
  <c r="M27" i="1" s="1"/>
  <c r="H27" i="1"/>
  <c r="K27" i="1" s="1"/>
  <c r="F27" i="1"/>
  <c r="C27" i="1"/>
  <c r="G27" i="1" s="1"/>
  <c r="AB26" i="1"/>
  <c r="AA26" i="1"/>
  <c r="Y26" i="1"/>
  <c r="X26" i="1"/>
  <c r="U26" i="1"/>
  <c r="T26" i="1"/>
  <c r="Q26" i="1"/>
  <c r="P26" i="1"/>
  <c r="I26" i="1"/>
  <c r="M26" i="1" s="1"/>
  <c r="H26" i="1"/>
  <c r="K26" i="1" s="1"/>
  <c r="F26" i="1"/>
  <c r="C26" i="1"/>
  <c r="G26" i="1" s="1"/>
  <c r="AB25" i="1"/>
  <c r="AA25" i="1"/>
  <c r="Y25" i="1"/>
  <c r="X25" i="1"/>
  <c r="U25" i="1"/>
  <c r="T25" i="1"/>
  <c r="Q25" i="1"/>
  <c r="P25" i="1"/>
  <c r="I25" i="1"/>
  <c r="H25" i="1"/>
  <c r="F25" i="1"/>
  <c r="C25" i="1"/>
  <c r="AB24" i="1"/>
  <c r="AA24" i="1"/>
  <c r="Y24" i="1"/>
  <c r="X24" i="1"/>
  <c r="U24" i="1"/>
  <c r="T24" i="1"/>
  <c r="Q24" i="1"/>
  <c r="P24" i="1"/>
  <c r="I24" i="1"/>
  <c r="H24" i="1"/>
  <c r="F24" i="1"/>
  <c r="C24" i="1"/>
  <c r="AB23" i="1"/>
  <c r="AA23" i="1"/>
  <c r="Y23" i="1"/>
  <c r="X23" i="1"/>
  <c r="U23" i="1"/>
  <c r="T23" i="1"/>
  <c r="Q23" i="1"/>
  <c r="P23" i="1"/>
  <c r="I23" i="1"/>
  <c r="M23" i="1" s="1"/>
  <c r="H23" i="1"/>
  <c r="K23" i="1" s="1"/>
  <c r="F23" i="1"/>
  <c r="C23" i="1"/>
  <c r="G23" i="1" s="1"/>
  <c r="AA22" i="1"/>
  <c r="AB22" i="1" s="1"/>
  <c r="Y22" i="1"/>
  <c r="X22" i="1"/>
  <c r="U22" i="1"/>
  <c r="T22" i="1"/>
  <c r="Q22" i="1"/>
  <c r="P22" i="1"/>
  <c r="I22" i="1"/>
  <c r="H22" i="1"/>
  <c r="F22" i="1"/>
  <c r="C22" i="1"/>
  <c r="AB21" i="1"/>
  <c r="AA21" i="1"/>
  <c r="Y21" i="1"/>
  <c r="X21" i="1"/>
  <c r="U21" i="1"/>
  <c r="T21" i="1"/>
  <c r="Q21" i="1"/>
  <c r="P21" i="1"/>
  <c r="I21" i="1"/>
  <c r="H21" i="1"/>
  <c r="F21" i="1"/>
  <c r="C21" i="1"/>
  <c r="AB20" i="1"/>
  <c r="AA20" i="1"/>
  <c r="Y20" i="1"/>
  <c r="X20" i="1"/>
  <c r="U20" i="1"/>
  <c r="T20" i="1"/>
  <c r="Q20" i="1"/>
  <c r="P20" i="1"/>
  <c r="I20" i="1"/>
  <c r="H20" i="1"/>
  <c r="F20" i="1"/>
  <c r="C20" i="1"/>
  <c r="AB19" i="1"/>
  <c r="AA19" i="1"/>
  <c r="Y19" i="1"/>
  <c r="X19" i="1"/>
  <c r="U19" i="1"/>
  <c r="T19" i="1"/>
  <c r="Q19" i="1"/>
  <c r="P19" i="1"/>
  <c r="I19" i="1"/>
  <c r="M19" i="1" s="1"/>
  <c r="H19" i="1"/>
  <c r="K19" i="1" s="1"/>
  <c r="F19" i="1"/>
  <c r="C19" i="1"/>
  <c r="G19" i="1" s="1"/>
  <c r="AB18" i="1"/>
  <c r="AA18" i="1"/>
  <c r="Y18" i="1"/>
  <c r="X18" i="1"/>
  <c r="U18" i="1"/>
  <c r="T18" i="1"/>
  <c r="Q18" i="1"/>
  <c r="P18" i="1"/>
  <c r="I18" i="1"/>
  <c r="H18" i="1"/>
  <c r="F18" i="1"/>
  <c r="C18" i="1"/>
  <c r="AA17" i="1"/>
  <c r="AB17" i="1" s="1"/>
  <c r="Y17" i="1"/>
  <c r="X17" i="1"/>
  <c r="U17" i="1"/>
  <c r="T17" i="1"/>
  <c r="Q17" i="1"/>
  <c r="P17" i="1"/>
  <c r="I17" i="1"/>
  <c r="H17" i="1"/>
  <c r="F17" i="1"/>
  <c r="C17" i="1"/>
  <c r="AB16" i="1"/>
  <c r="AA16" i="1"/>
  <c r="Y16" i="1"/>
  <c r="X16" i="1"/>
  <c r="U16" i="1"/>
  <c r="T16" i="1"/>
  <c r="Q16" i="1"/>
  <c r="P16" i="1"/>
  <c r="I16" i="1"/>
  <c r="M16" i="1" s="1"/>
  <c r="H16" i="1"/>
  <c r="K16" i="1" s="1"/>
  <c r="F16" i="1"/>
  <c r="C16" i="1"/>
  <c r="G16" i="1" s="1"/>
  <c r="Z15" i="1"/>
  <c r="W15" i="1"/>
  <c r="V15" i="1"/>
  <c r="S15" i="1"/>
  <c r="R15" i="1"/>
  <c r="O15" i="1"/>
  <c r="N15" i="1"/>
  <c r="E15" i="1"/>
  <c r="D15" i="1"/>
  <c r="AB14" i="1"/>
  <c r="K14" i="1"/>
  <c r="I14" i="1"/>
  <c r="M14" i="1" s="1"/>
  <c r="G14" i="1"/>
  <c r="AB13" i="1"/>
  <c r="P13" i="1"/>
  <c r="K13" i="1"/>
  <c r="I13" i="1"/>
  <c r="M13" i="1" s="1"/>
  <c r="E13" i="1"/>
  <c r="D13" i="1"/>
  <c r="AB12" i="1"/>
  <c r="U12" i="1"/>
  <c r="T12" i="1"/>
  <c r="L12" i="1"/>
  <c r="K12" i="1"/>
  <c r="I12" i="1"/>
  <c r="M12" i="1" s="1"/>
  <c r="AB11" i="1"/>
  <c r="K11" i="1"/>
  <c r="I11" i="1"/>
  <c r="M11" i="1" s="1"/>
  <c r="G17" i="14" l="1"/>
  <c r="G16" i="12"/>
  <c r="G16" i="20"/>
  <c r="G16" i="10"/>
  <c r="G61" i="19"/>
  <c r="AL12" i="4"/>
  <c r="AJ11" i="4"/>
  <c r="AL11" i="4" s="1"/>
  <c r="N111" i="18"/>
  <c r="T111" i="18"/>
  <c r="L111" i="18"/>
  <c r="Z111" i="18"/>
  <c r="G19" i="3"/>
  <c r="G74" i="3"/>
  <c r="D10" i="4"/>
  <c r="G51" i="4"/>
  <c r="AI10" i="4"/>
  <c r="AE91" i="4"/>
  <c r="N13" i="5"/>
  <c r="P13" i="5" s="1"/>
  <c r="G44" i="5"/>
  <c r="C76" i="5"/>
  <c r="G85" i="5"/>
  <c r="E11" i="5"/>
  <c r="E11" i="13"/>
  <c r="E9" i="13" s="1"/>
  <c r="L106" i="17"/>
  <c r="I13" i="17"/>
  <c r="E9" i="2"/>
  <c r="AN11" i="4"/>
  <c r="AR11" i="4" s="1"/>
  <c r="Z9" i="4"/>
  <c r="AI9" i="4"/>
  <c r="AL91" i="4"/>
  <c r="C33" i="5"/>
  <c r="G49" i="5"/>
  <c r="G90" i="5"/>
  <c r="G34" i="6"/>
  <c r="L10" i="10"/>
  <c r="T13" i="2"/>
  <c r="G26" i="2"/>
  <c r="G22" i="3"/>
  <c r="D9" i="4"/>
  <c r="AT11" i="4"/>
  <c r="O11" i="4"/>
  <c r="W10" i="4"/>
  <c r="L11" i="5"/>
  <c r="V11" i="6"/>
  <c r="D10" i="8"/>
  <c r="D9" i="8" s="1"/>
  <c r="BJ11" i="13"/>
  <c r="BM11" i="13" s="1"/>
  <c r="BO91" i="13"/>
  <c r="BK12" i="13"/>
  <c r="O11" i="14"/>
  <c r="H13" i="14"/>
  <c r="J13" i="14" s="1"/>
  <c r="J106" i="14"/>
  <c r="G98" i="2"/>
  <c r="K12" i="3"/>
  <c r="M12" i="3" s="1"/>
  <c r="E10" i="3"/>
  <c r="W11" i="4"/>
  <c r="Y11" i="4" s="1"/>
  <c r="G53" i="4"/>
  <c r="I10" i="5"/>
  <c r="G34" i="5"/>
  <c r="G41" i="5"/>
  <c r="G53" i="5"/>
  <c r="G82" i="5"/>
  <c r="E10" i="6"/>
  <c r="X106" i="19"/>
  <c r="V13" i="19"/>
  <c r="X13" i="19" s="1"/>
  <c r="G84" i="2"/>
  <c r="G87" i="2"/>
  <c r="L11" i="3"/>
  <c r="K10" i="3"/>
  <c r="AA11" i="4"/>
  <c r="AE11" i="4" s="1"/>
  <c r="AS15" i="4"/>
  <c r="O10" i="4"/>
  <c r="K10" i="5"/>
  <c r="P91" i="5"/>
  <c r="AO11" i="13"/>
  <c r="AY11" i="13"/>
  <c r="BO106" i="13"/>
  <c r="BK13" i="13"/>
  <c r="BO13" i="13" s="1"/>
  <c r="K13" i="19"/>
  <c r="M13" i="19" s="1"/>
  <c r="X58" i="6"/>
  <c r="X63" i="6"/>
  <c r="D11" i="8"/>
  <c r="O106" i="8"/>
  <c r="G32" i="10"/>
  <c r="C33" i="10"/>
  <c r="G88" i="10"/>
  <c r="H33" i="12"/>
  <c r="G56" i="12"/>
  <c r="K76" i="12"/>
  <c r="N11" i="12"/>
  <c r="I11" i="13"/>
  <c r="M11" i="13" s="1"/>
  <c r="G88" i="13"/>
  <c r="M91" i="13"/>
  <c r="D10" i="14"/>
  <c r="E10" i="15"/>
  <c r="G38" i="15"/>
  <c r="G44" i="15"/>
  <c r="G50" i="15"/>
  <c r="G79" i="15"/>
  <c r="G85" i="15"/>
  <c r="E11" i="15"/>
  <c r="M11" i="16"/>
  <c r="G31" i="16"/>
  <c r="E10" i="17"/>
  <c r="L34" i="18"/>
  <c r="Z109" i="18"/>
  <c r="G37" i="6"/>
  <c r="T76" i="6"/>
  <c r="H10" i="7"/>
  <c r="G22" i="8"/>
  <c r="Z11" i="13"/>
  <c r="AN11" i="13"/>
  <c r="BD11" i="13"/>
  <c r="AF106" i="13"/>
  <c r="AF13" i="13" s="1"/>
  <c r="E11" i="14"/>
  <c r="G40" i="17"/>
  <c r="O106" i="17"/>
  <c r="C106" i="17"/>
  <c r="G18" i="18"/>
  <c r="G24" i="18"/>
  <c r="H33" i="18"/>
  <c r="T61" i="18"/>
  <c r="E10" i="18"/>
  <c r="T78" i="18"/>
  <c r="T90" i="18"/>
  <c r="K11" i="18"/>
  <c r="L96" i="18"/>
  <c r="L102" i="18"/>
  <c r="Z102" i="18"/>
  <c r="G88" i="19"/>
  <c r="S91" i="20"/>
  <c r="X59" i="6"/>
  <c r="G72" i="6"/>
  <c r="O11" i="7"/>
  <c r="O9" i="7" s="1"/>
  <c r="G32" i="7"/>
  <c r="M54" i="7"/>
  <c r="Q58" i="7"/>
  <c r="G18" i="8"/>
  <c r="G30" i="8"/>
  <c r="G45" i="8"/>
  <c r="G62" i="8"/>
  <c r="G66" i="8"/>
  <c r="G81" i="8"/>
  <c r="G96" i="8"/>
  <c r="G99" i="8"/>
  <c r="G101" i="8"/>
  <c r="G103" i="8"/>
  <c r="R106" i="8"/>
  <c r="G47" i="10"/>
  <c r="G85" i="10"/>
  <c r="G23" i="12"/>
  <c r="K54" i="12"/>
  <c r="G59" i="12"/>
  <c r="G71" i="12"/>
  <c r="J98" i="12"/>
  <c r="AJ11" i="13"/>
  <c r="AZ11" i="13"/>
  <c r="G37" i="14"/>
  <c r="G43" i="14"/>
  <c r="G49" i="14"/>
  <c r="G65" i="14"/>
  <c r="G71" i="14"/>
  <c r="H10" i="14"/>
  <c r="G28" i="16"/>
  <c r="Q11" i="17"/>
  <c r="G24" i="17"/>
  <c r="G44" i="17"/>
  <c r="J11" i="17"/>
  <c r="G16" i="18"/>
  <c r="G22" i="18"/>
  <c r="G28" i="18"/>
  <c r="P32" i="18"/>
  <c r="L55" i="18"/>
  <c r="L61" i="18"/>
  <c r="G74" i="18"/>
  <c r="L90" i="18"/>
  <c r="T102" i="18"/>
  <c r="T109" i="18"/>
  <c r="C54" i="6"/>
  <c r="X70" i="6"/>
  <c r="X88" i="6"/>
  <c r="H10" i="8"/>
  <c r="Q11" i="8"/>
  <c r="D10" i="10"/>
  <c r="D9" i="10" s="1"/>
  <c r="F11" i="10"/>
  <c r="O11" i="10"/>
  <c r="G72" i="12"/>
  <c r="R11" i="12"/>
  <c r="G77" i="15"/>
  <c r="G83" i="15"/>
  <c r="G89" i="15"/>
  <c r="L11" i="16"/>
  <c r="O11" i="16" s="1"/>
  <c r="R106" i="17"/>
  <c r="N21" i="18"/>
  <c r="AC11" i="18"/>
  <c r="G72" i="19"/>
  <c r="D10" i="7"/>
  <c r="C54" i="7"/>
  <c r="G58" i="7"/>
  <c r="E11" i="7"/>
  <c r="O13" i="8"/>
  <c r="G26" i="8"/>
  <c r="G41" i="8"/>
  <c r="G53" i="8"/>
  <c r="G70" i="8"/>
  <c r="E10" i="10"/>
  <c r="G67" i="12"/>
  <c r="BI11" i="13"/>
  <c r="BS11" i="13"/>
  <c r="CA11" i="13"/>
  <c r="BH11" i="13"/>
  <c r="CD11" i="13"/>
  <c r="L11" i="14"/>
  <c r="C54" i="16"/>
  <c r="D10" i="17"/>
  <c r="P58" i="18"/>
  <c r="P61" i="18"/>
  <c r="P81" i="18"/>
  <c r="P90" i="18"/>
  <c r="S11" i="18"/>
  <c r="Z96" i="18"/>
  <c r="V102" i="18"/>
  <c r="Z108" i="18"/>
  <c r="R91" i="19"/>
  <c r="R86" i="18"/>
  <c r="L15" i="19"/>
  <c r="D11" i="1"/>
  <c r="E10" i="1"/>
  <c r="H33" i="1"/>
  <c r="G35" i="1"/>
  <c r="G74" i="1"/>
  <c r="G24" i="1"/>
  <c r="G25" i="1"/>
  <c r="G29" i="1"/>
  <c r="I33" i="1"/>
  <c r="W10" i="1"/>
  <c r="W9" i="1" s="1"/>
  <c r="G20" i="1"/>
  <c r="G21" i="1"/>
  <c r="H76" i="1"/>
  <c r="P11" i="1"/>
  <c r="G47" i="1"/>
  <c r="G59" i="1"/>
  <c r="J11" i="1"/>
  <c r="L11" i="1"/>
  <c r="Q11" i="1"/>
  <c r="X11" i="1"/>
  <c r="D10" i="1"/>
  <c r="D9" i="1" s="1"/>
  <c r="G40" i="1"/>
  <c r="G51" i="1"/>
  <c r="G52" i="1"/>
  <c r="G70" i="1"/>
  <c r="G77" i="1"/>
  <c r="T11" i="1"/>
  <c r="H15" i="1"/>
  <c r="C15" i="1"/>
  <c r="G32" i="1"/>
  <c r="G43" i="1"/>
  <c r="M11" i="18"/>
  <c r="V107" i="18"/>
  <c r="W11" i="18"/>
  <c r="AA11" i="18"/>
  <c r="L104" i="18"/>
  <c r="V104" i="18"/>
  <c r="O11" i="18"/>
  <c r="AD11" i="18"/>
  <c r="L107" i="18"/>
  <c r="T56" i="18"/>
  <c r="L58" i="18"/>
  <c r="T58" i="18"/>
  <c r="L60" i="18"/>
  <c r="T60" i="18"/>
  <c r="L62" i="18"/>
  <c r="T62" i="18"/>
  <c r="G67" i="18"/>
  <c r="G69" i="18"/>
  <c r="G71" i="18"/>
  <c r="G73" i="18"/>
  <c r="G75" i="18"/>
  <c r="L81" i="18"/>
  <c r="T81" i="18"/>
  <c r="L85" i="18"/>
  <c r="T85" i="18"/>
  <c r="L89" i="18"/>
  <c r="T89" i="18"/>
  <c r="L100" i="18"/>
  <c r="N104" i="18"/>
  <c r="T107" i="18"/>
  <c r="Z107" i="18"/>
  <c r="L108" i="18"/>
  <c r="V108" i="18"/>
  <c r="V111" i="18"/>
  <c r="D11" i="18"/>
  <c r="N66" i="18"/>
  <c r="N68" i="18"/>
  <c r="N70" i="18"/>
  <c r="N74" i="18"/>
  <c r="N83" i="18"/>
  <c r="V96" i="18"/>
  <c r="N100" i="18"/>
  <c r="P104" i="18"/>
  <c r="P108" i="18"/>
  <c r="V109" i="18"/>
  <c r="N113" i="18"/>
  <c r="S106" i="20"/>
  <c r="Q106" i="20"/>
  <c r="Y91" i="20"/>
  <c r="G78" i="20"/>
  <c r="G58" i="20"/>
  <c r="G39" i="20"/>
  <c r="G38" i="20"/>
  <c r="G82" i="20"/>
  <c r="G73" i="20"/>
  <c r="G20" i="20"/>
  <c r="Z91" i="20"/>
  <c r="Z12" i="20" s="1"/>
  <c r="AA91" i="20"/>
  <c r="G55" i="20"/>
  <c r="G28" i="20"/>
  <c r="AJ91" i="20"/>
  <c r="I10" i="19"/>
  <c r="E11" i="19"/>
  <c r="H10" i="19"/>
  <c r="G41" i="19"/>
  <c r="G45" i="19"/>
  <c r="G52" i="19"/>
  <c r="P13" i="19"/>
  <c r="R13" i="19" s="1"/>
  <c r="K12" i="19"/>
  <c r="M12" i="19" s="1"/>
  <c r="Q12" i="19"/>
  <c r="Q11" i="19" s="1"/>
  <c r="W13" i="19"/>
  <c r="D11" i="19"/>
  <c r="I11" i="19"/>
  <c r="R29" i="18"/>
  <c r="R78" i="18"/>
  <c r="R89" i="18"/>
  <c r="R32" i="18"/>
  <c r="G81" i="20"/>
  <c r="AN67" i="20"/>
  <c r="AO67" i="20" s="1"/>
  <c r="AN30" i="20"/>
  <c r="AO30" i="20" s="1"/>
  <c r="J27" i="20"/>
  <c r="K27" i="20" s="1"/>
  <c r="AN20" i="20"/>
  <c r="AO20" i="20" s="1"/>
  <c r="AN60" i="20"/>
  <c r="AO60" i="20" s="1"/>
  <c r="AA11" i="1"/>
  <c r="R91" i="4"/>
  <c r="P12" i="4"/>
  <c r="U91" i="8"/>
  <c r="O91" i="8"/>
  <c r="R91" i="8"/>
  <c r="H12" i="8"/>
  <c r="AA91" i="19"/>
  <c r="Y12" i="19"/>
  <c r="AA12" i="19" s="1"/>
  <c r="I106" i="20"/>
  <c r="M107" i="20"/>
  <c r="AM106" i="20"/>
  <c r="AM13" i="20" s="1"/>
  <c r="AO13" i="20" s="1"/>
  <c r="E11" i="1"/>
  <c r="E9" i="1" s="1"/>
  <c r="U11" i="1"/>
  <c r="V10" i="1"/>
  <c r="V9" i="1" s="1"/>
  <c r="G66" i="1"/>
  <c r="G98" i="1"/>
  <c r="H11" i="2"/>
  <c r="J11" i="2" s="1"/>
  <c r="AP12" i="4"/>
  <c r="AM11" i="4"/>
  <c r="AP11" i="4" s="1"/>
  <c r="M91" i="5"/>
  <c r="K12" i="5"/>
  <c r="K91" i="12"/>
  <c r="K12" i="12" s="1"/>
  <c r="M92" i="12"/>
  <c r="I54" i="1"/>
  <c r="C76" i="1"/>
  <c r="K13" i="2"/>
  <c r="P11" i="2"/>
  <c r="S9" i="4"/>
  <c r="E15" i="4"/>
  <c r="N10" i="5"/>
  <c r="P10" i="5" s="1"/>
  <c r="P54" i="5"/>
  <c r="T11" i="8"/>
  <c r="P91" i="10"/>
  <c r="L12" i="10"/>
  <c r="H9" i="4"/>
  <c r="G107" i="15"/>
  <c r="C106" i="15"/>
  <c r="C13" i="15" s="1"/>
  <c r="G13" i="15" s="1"/>
  <c r="G44" i="1"/>
  <c r="R10" i="1"/>
  <c r="R9" i="1" s="1"/>
  <c r="G71" i="1"/>
  <c r="G17" i="2"/>
  <c r="G18" i="2"/>
  <c r="S91" i="2"/>
  <c r="K12" i="2"/>
  <c r="M91" i="2"/>
  <c r="Q91" i="2"/>
  <c r="V13" i="4"/>
  <c r="T11" i="4"/>
  <c r="V11" i="4" s="1"/>
  <c r="AH13" i="4"/>
  <c r="AF11" i="4"/>
  <c r="AH11" i="4" s="1"/>
  <c r="N11" i="7"/>
  <c r="G21" i="2"/>
  <c r="G22" i="2"/>
  <c r="G47" i="2"/>
  <c r="E9" i="3"/>
  <c r="G26" i="3"/>
  <c r="G27" i="3"/>
  <c r="G78" i="3"/>
  <c r="G90" i="3"/>
  <c r="G98" i="3"/>
  <c r="G91" i="3" s="1"/>
  <c r="AS12" i="4"/>
  <c r="AU12" i="4" s="1"/>
  <c r="C17" i="4"/>
  <c r="G17" i="4" s="1"/>
  <c r="G19" i="4"/>
  <c r="G21" i="4"/>
  <c r="G25" i="4"/>
  <c r="E33" i="4"/>
  <c r="E54" i="4"/>
  <c r="G88" i="4"/>
  <c r="E10" i="5"/>
  <c r="E9" i="5" s="1"/>
  <c r="J78" i="5"/>
  <c r="H76" i="5"/>
  <c r="J76" i="5" s="1"/>
  <c r="T106" i="7"/>
  <c r="R13" i="7"/>
  <c r="T13" i="7" s="1"/>
  <c r="M11" i="10"/>
  <c r="H12" i="10"/>
  <c r="J91" i="10"/>
  <c r="C54" i="12"/>
  <c r="BC11" i="13"/>
  <c r="G38" i="2"/>
  <c r="G39" i="2"/>
  <c r="R11" i="2"/>
  <c r="C91" i="2"/>
  <c r="D11" i="3"/>
  <c r="D9" i="3" s="1"/>
  <c r="G43" i="3"/>
  <c r="AS10" i="4"/>
  <c r="AK11" i="4"/>
  <c r="G27" i="4"/>
  <c r="G29" i="4"/>
  <c r="G49" i="4"/>
  <c r="O9" i="5"/>
  <c r="H91" i="5"/>
  <c r="J92" i="5"/>
  <c r="C15" i="7"/>
  <c r="G17" i="7"/>
  <c r="L106" i="12"/>
  <c r="L13" i="12" s="1"/>
  <c r="AU91" i="13"/>
  <c r="AR12" i="13"/>
  <c r="BL91" i="13"/>
  <c r="BL12" i="13" s="1"/>
  <c r="BP12" i="13"/>
  <c r="BP11" i="13" s="1"/>
  <c r="D10" i="2"/>
  <c r="D9" i="2" s="1"/>
  <c r="G79" i="2"/>
  <c r="G80" i="2"/>
  <c r="N11" i="2"/>
  <c r="G30" i="3"/>
  <c r="G31" i="3"/>
  <c r="G70" i="3"/>
  <c r="G83" i="3"/>
  <c r="AJ9" i="4"/>
  <c r="Q11" i="4"/>
  <c r="AC12" i="4"/>
  <c r="G23" i="4"/>
  <c r="G31" i="4"/>
  <c r="G19" i="6"/>
  <c r="C15" i="6"/>
  <c r="C33" i="6"/>
  <c r="T91" i="6"/>
  <c r="T12" i="6" s="1"/>
  <c r="X93" i="6"/>
  <c r="P11" i="8"/>
  <c r="E9" i="10"/>
  <c r="S10" i="12"/>
  <c r="C15" i="12"/>
  <c r="G36" i="5"/>
  <c r="G38" i="5"/>
  <c r="G42" i="5"/>
  <c r="G46" i="5"/>
  <c r="G50" i="5"/>
  <c r="G77" i="5"/>
  <c r="G79" i="5"/>
  <c r="G83" i="5"/>
  <c r="G87" i="5"/>
  <c r="G46" i="6"/>
  <c r="G52" i="6"/>
  <c r="U10" i="6"/>
  <c r="G55" i="6"/>
  <c r="X57" i="6"/>
  <c r="G70" i="6"/>
  <c r="X71" i="6"/>
  <c r="G74" i="6"/>
  <c r="X78" i="6"/>
  <c r="X90" i="6"/>
  <c r="G95" i="6"/>
  <c r="G98" i="6"/>
  <c r="M15" i="7"/>
  <c r="G55" i="7"/>
  <c r="G17" i="8"/>
  <c r="G21" i="8"/>
  <c r="G25" i="8"/>
  <c r="G29" i="8"/>
  <c r="E10" i="8"/>
  <c r="G34" i="8"/>
  <c r="G38" i="8"/>
  <c r="G42" i="8"/>
  <c r="G46" i="8"/>
  <c r="G50" i="8"/>
  <c r="G57" i="8"/>
  <c r="G61" i="8"/>
  <c r="G65" i="8"/>
  <c r="G69" i="8"/>
  <c r="G73" i="8"/>
  <c r="G78" i="8"/>
  <c r="G82" i="8"/>
  <c r="G86" i="8"/>
  <c r="G90" i="8"/>
  <c r="C91" i="8"/>
  <c r="G100" i="8"/>
  <c r="G102" i="8"/>
  <c r="G57" i="10"/>
  <c r="G61" i="10"/>
  <c r="G65" i="10"/>
  <c r="G69" i="10"/>
  <c r="J106" i="10"/>
  <c r="G18" i="12"/>
  <c r="G22" i="12"/>
  <c r="G26" i="12"/>
  <c r="G30" i="12"/>
  <c r="G62" i="12"/>
  <c r="G66" i="12"/>
  <c r="G70" i="12"/>
  <c r="G74" i="12"/>
  <c r="O11" i="12"/>
  <c r="H106" i="12"/>
  <c r="J106" i="12" s="1"/>
  <c r="BU11" i="13"/>
  <c r="BY11" i="13" s="1"/>
  <c r="D10" i="13"/>
  <c r="H13" i="15"/>
  <c r="J13" i="15" s="1"/>
  <c r="J106" i="15"/>
  <c r="G106" i="17"/>
  <c r="C13" i="17"/>
  <c r="G13" i="17" s="1"/>
  <c r="G80" i="4"/>
  <c r="G90" i="4"/>
  <c r="G39" i="5"/>
  <c r="G43" i="5"/>
  <c r="G47" i="5"/>
  <c r="G51" i="5"/>
  <c r="G80" i="5"/>
  <c r="G84" i="5"/>
  <c r="G88" i="5"/>
  <c r="G105" i="5"/>
  <c r="G40" i="6"/>
  <c r="G47" i="6"/>
  <c r="G49" i="6"/>
  <c r="G53" i="6"/>
  <c r="T54" i="6"/>
  <c r="G56" i="6"/>
  <c r="G59" i="6"/>
  <c r="X61" i="6"/>
  <c r="G68" i="6"/>
  <c r="X69" i="6"/>
  <c r="X72" i="6"/>
  <c r="X83" i="6"/>
  <c r="O11" i="6"/>
  <c r="I11" i="6"/>
  <c r="H12" i="7"/>
  <c r="L12" i="7" s="1"/>
  <c r="Q16" i="7"/>
  <c r="E10" i="7"/>
  <c r="E9" i="7" s="1"/>
  <c r="R13" i="8"/>
  <c r="N11" i="8"/>
  <c r="G95" i="8"/>
  <c r="G97" i="8"/>
  <c r="K12" i="10"/>
  <c r="G19" i="10"/>
  <c r="G23" i="10"/>
  <c r="G27" i="10"/>
  <c r="G31" i="10"/>
  <c r="G34" i="10"/>
  <c r="G38" i="10"/>
  <c r="G42" i="10"/>
  <c r="G46" i="10"/>
  <c r="G50" i="10"/>
  <c r="G58" i="10"/>
  <c r="G70" i="10"/>
  <c r="G74" i="10"/>
  <c r="G21" i="12"/>
  <c r="G25" i="12"/>
  <c r="G29" i="12"/>
  <c r="E10" i="12"/>
  <c r="E9" i="12" s="1"/>
  <c r="G57" i="12"/>
  <c r="G61" i="12"/>
  <c r="G65" i="12"/>
  <c r="G69" i="12"/>
  <c r="G73" i="12"/>
  <c r="C106" i="12"/>
  <c r="Q11" i="13"/>
  <c r="BO12" i="13"/>
  <c r="BK11" i="13"/>
  <c r="BO11" i="13" s="1"/>
  <c r="AW106" i="13"/>
  <c r="AS13" i="13"/>
  <c r="V106" i="13"/>
  <c r="V13" i="13" s="1"/>
  <c r="AV106" i="13"/>
  <c r="AV13" i="13" s="1"/>
  <c r="D10" i="5"/>
  <c r="D9" i="5" s="1"/>
  <c r="C106" i="5"/>
  <c r="C13" i="5" s="1"/>
  <c r="G13" i="5" s="1"/>
  <c r="D11" i="6"/>
  <c r="D9" i="6" s="1"/>
  <c r="E11" i="6"/>
  <c r="U11" i="6"/>
  <c r="U9" i="6" s="1"/>
  <c r="Z11" i="6"/>
  <c r="N10" i="7"/>
  <c r="K11" i="7"/>
  <c r="C106" i="10"/>
  <c r="R10" i="12"/>
  <c r="AL11" i="13"/>
  <c r="H91" i="16"/>
  <c r="K91" i="16" s="1"/>
  <c r="K101" i="16"/>
  <c r="D11" i="13"/>
  <c r="G16" i="13"/>
  <c r="G17" i="13"/>
  <c r="G20" i="13"/>
  <c r="G21" i="13"/>
  <c r="G32" i="13"/>
  <c r="G34" i="13"/>
  <c r="G39" i="13"/>
  <c r="G43" i="13"/>
  <c r="G44" i="13"/>
  <c r="G57" i="13"/>
  <c r="G58" i="13"/>
  <c r="G69" i="13"/>
  <c r="G70" i="13"/>
  <c r="G81" i="13"/>
  <c r="G84" i="13"/>
  <c r="AG91" i="13"/>
  <c r="L91" i="13"/>
  <c r="L12" i="13" s="1"/>
  <c r="V91" i="13"/>
  <c r="V12" i="13" s="1"/>
  <c r="V11" i="13" s="1"/>
  <c r="AF91" i="13"/>
  <c r="AF12" i="13" s="1"/>
  <c r="AF11" i="13" s="1"/>
  <c r="AV91" i="13"/>
  <c r="AV12" i="13" s="1"/>
  <c r="BN91" i="13"/>
  <c r="BN12" i="13" s="1"/>
  <c r="BM91" i="13"/>
  <c r="BW91" i="13"/>
  <c r="J91" i="13"/>
  <c r="J12" i="13" s="1"/>
  <c r="G18" i="14"/>
  <c r="G26" i="14"/>
  <c r="G62" i="14"/>
  <c r="G70" i="14"/>
  <c r="G78" i="14"/>
  <c r="G82" i="14"/>
  <c r="G85" i="14"/>
  <c r="G86" i="14"/>
  <c r="G90" i="14"/>
  <c r="G56" i="15"/>
  <c r="G58" i="15"/>
  <c r="G60" i="15"/>
  <c r="G62" i="15"/>
  <c r="G64" i="15"/>
  <c r="G66" i="15"/>
  <c r="G68" i="15"/>
  <c r="G70" i="15"/>
  <c r="G72" i="15"/>
  <c r="G74" i="15"/>
  <c r="O13" i="16"/>
  <c r="E10" i="16"/>
  <c r="G24" i="16"/>
  <c r="E11" i="17"/>
  <c r="U91" i="19"/>
  <c r="S12" i="19"/>
  <c r="AO93" i="20"/>
  <c r="AM91" i="20"/>
  <c r="AM12" i="20" s="1"/>
  <c r="AM11" i="20" s="1"/>
  <c r="AO11" i="20" s="1"/>
  <c r="AD106" i="13"/>
  <c r="AD13" i="13" s="1"/>
  <c r="BL106" i="13"/>
  <c r="BL13" i="13" s="1"/>
  <c r="BV106" i="13"/>
  <c r="BV13" i="13" s="1"/>
  <c r="E10" i="14"/>
  <c r="E9" i="14" s="1"/>
  <c r="G57" i="17"/>
  <c r="C54" i="17"/>
  <c r="W11" i="19"/>
  <c r="G24" i="13"/>
  <c r="G25" i="13"/>
  <c r="G28" i="13"/>
  <c r="G29" i="13"/>
  <c r="G38" i="13"/>
  <c r="G47" i="13"/>
  <c r="G48" i="13"/>
  <c r="G52" i="13"/>
  <c r="G53" i="13"/>
  <c r="G65" i="13"/>
  <c r="G66" i="13"/>
  <c r="G74" i="13"/>
  <c r="G80" i="13"/>
  <c r="L106" i="13"/>
  <c r="L13" i="13" s="1"/>
  <c r="G20" i="14"/>
  <c r="G28" i="14"/>
  <c r="G60" i="14"/>
  <c r="G68" i="14"/>
  <c r="G80" i="14"/>
  <c r="G84" i="14"/>
  <c r="G88" i="14"/>
  <c r="D11" i="14"/>
  <c r="J91" i="14"/>
  <c r="N11" i="14"/>
  <c r="H12" i="15"/>
  <c r="D10" i="15"/>
  <c r="G18" i="15"/>
  <c r="G20" i="15"/>
  <c r="G22" i="15"/>
  <c r="G24" i="15"/>
  <c r="G26" i="15"/>
  <c r="G28" i="15"/>
  <c r="G30" i="15"/>
  <c r="G32" i="15"/>
  <c r="N11" i="16"/>
  <c r="G78" i="16"/>
  <c r="C76" i="16"/>
  <c r="G76" i="16" s="1"/>
  <c r="E11" i="16"/>
  <c r="L106" i="19"/>
  <c r="L13" i="19" s="1"/>
  <c r="N13" i="19"/>
  <c r="N11" i="19" s="1"/>
  <c r="AN91" i="20"/>
  <c r="AN12" i="20" s="1"/>
  <c r="E9" i="17"/>
  <c r="G16" i="17"/>
  <c r="G23" i="17"/>
  <c r="G27" i="17"/>
  <c r="G80" i="17"/>
  <c r="Q10" i="19"/>
  <c r="Q9" i="19" s="1"/>
  <c r="G17" i="19"/>
  <c r="G22" i="19"/>
  <c r="G25" i="19"/>
  <c r="G32" i="19"/>
  <c r="G40" i="19"/>
  <c r="G85" i="19"/>
  <c r="AI106" i="20"/>
  <c r="AI13" i="20" s="1"/>
  <c r="H106" i="20"/>
  <c r="K106" i="20" s="1"/>
  <c r="I91" i="20"/>
  <c r="I12" i="20" s="1"/>
  <c r="AM76" i="20"/>
  <c r="H76" i="20"/>
  <c r="G18" i="20"/>
  <c r="G55" i="16"/>
  <c r="I91" i="16"/>
  <c r="I12" i="16" s="1"/>
  <c r="G43" i="17"/>
  <c r="G47" i="17"/>
  <c r="G52" i="17"/>
  <c r="G29" i="19"/>
  <c r="G44" i="19"/>
  <c r="G49" i="19"/>
  <c r="G53" i="19"/>
  <c r="G57" i="19"/>
  <c r="G68" i="19"/>
  <c r="AA106" i="20"/>
  <c r="AI91" i="20"/>
  <c r="AI12" i="20" s="1"/>
  <c r="H91" i="20"/>
  <c r="H12" i="20" s="1"/>
  <c r="G69" i="20"/>
  <c r="G66" i="20"/>
  <c r="AN62" i="20"/>
  <c r="AO62" i="20" s="1"/>
  <c r="L62" i="20"/>
  <c r="M62" i="20" s="1"/>
  <c r="G32" i="20"/>
  <c r="J91" i="16"/>
  <c r="J12" i="16" s="1"/>
  <c r="G71" i="17"/>
  <c r="G28" i="19"/>
  <c r="E10" i="19"/>
  <c r="G48" i="19"/>
  <c r="G65" i="19"/>
  <c r="J91" i="19"/>
  <c r="L91" i="19"/>
  <c r="L12" i="19" s="1"/>
  <c r="AN106" i="20"/>
  <c r="AN13" i="20" s="1"/>
  <c r="Z106" i="20"/>
  <c r="Z13" i="20" s="1"/>
  <c r="AJ106" i="20"/>
  <c r="Y106" i="20"/>
  <c r="G89" i="20"/>
  <c r="AN87" i="20"/>
  <c r="AO87" i="20" s="1"/>
  <c r="I76" i="20"/>
  <c r="C76" i="20"/>
  <c r="G72" i="20"/>
  <c r="G67" i="20"/>
  <c r="G63" i="20"/>
  <c r="G62" i="20"/>
  <c r="G59" i="20"/>
  <c r="G53" i="20"/>
  <c r="G52" i="20"/>
  <c r="G49" i="20"/>
  <c r="G48" i="20"/>
  <c r="G46" i="20"/>
  <c r="G43" i="20"/>
  <c r="G42" i="20"/>
  <c r="G29" i="20"/>
  <c r="G25" i="20"/>
  <c r="N94" i="18"/>
  <c r="Z94" i="18"/>
  <c r="T94" i="18"/>
  <c r="V94" i="18"/>
  <c r="L94" i="18"/>
  <c r="L87" i="20"/>
  <c r="M87" i="20" s="1"/>
  <c r="S87" i="20"/>
  <c r="R18" i="18"/>
  <c r="R22" i="18"/>
  <c r="R26" i="18"/>
  <c r="R30" i="18"/>
  <c r="P94" i="18"/>
  <c r="R97" i="18"/>
  <c r="N98" i="18"/>
  <c r="V98" i="18"/>
  <c r="L98" i="18"/>
  <c r="Z98" i="18"/>
  <c r="T98" i="18"/>
  <c r="J10" i="18"/>
  <c r="G17" i="18"/>
  <c r="G19" i="18"/>
  <c r="G21" i="18"/>
  <c r="G23" i="18"/>
  <c r="G25" i="18"/>
  <c r="G27" i="18"/>
  <c r="L32" i="18"/>
  <c r="T32" i="18"/>
  <c r="T35" i="18"/>
  <c r="N92" i="18"/>
  <c r="Z92" i="18"/>
  <c r="T92" i="18"/>
  <c r="V92" i="18"/>
  <c r="L92" i="18"/>
  <c r="P98" i="18"/>
  <c r="Z112" i="18"/>
  <c r="N112" i="18"/>
  <c r="N16" i="18"/>
  <c r="R17" i="18"/>
  <c r="N20" i="18"/>
  <c r="R21" i="18"/>
  <c r="N24" i="18"/>
  <c r="R25" i="18"/>
  <c r="N28" i="18"/>
  <c r="N30" i="18"/>
  <c r="R31" i="18"/>
  <c r="H91" i="18"/>
  <c r="P92" i="18"/>
  <c r="N93" i="18"/>
  <c r="V93" i="18"/>
  <c r="L93" i="18"/>
  <c r="Z93" i="18"/>
  <c r="T93" i="18"/>
  <c r="U91" i="18"/>
  <c r="U12" i="18" s="1"/>
  <c r="R103" i="18"/>
  <c r="U106" i="18"/>
  <c r="U13" i="18" s="1"/>
  <c r="Z114" i="18"/>
  <c r="N114" i="18"/>
  <c r="AN63" i="20"/>
  <c r="AO63" i="20" s="1"/>
  <c r="T36" i="18"/>
  <c r="P37" i="18"/>
  <c r="L38" i="18"/>
  <c r="T38" i="18"/>
  <c r="P39" i="18"/>
  <c r="L40" i="18"/>
  <c r="T40" i="18"/>
  <c r="P41" i="18"/>
  <c r="L42" i="18"/>
  <c r="T42" i="18"/>
  <c r="P43" i="18"/>
  <c r="L44" i="18"/>
  <c r="T44" i="18"/>
  <c r="P45" i="18"/>
  <c r="L46" i="18"/>
  <c r="T46" i="18"/>
  <c r="P47" i="18"/>
  <c r="L48" i="18"/>
  <c r="T48" i="18"/>
  <c r="P49" i="18"/>
  <c r="L50" i="18"/>
  <c r="T50" i="18"/>
  <c r="P51" i="18"/>
  <c r="L52" i="18"/>
  <c r="T52" i="18"/>
  <c r="P53" i="18"/>
  <c r="R67" i="18"/>
  <c r="R71" i="18"/>
  <c r="Y71" i="18"/>
  <c r="Z71" i="18" s="1"/>
  <c r="N72" i="18"/>
  <c r="R75" i="18"/>
  <c r="R84" i="18"/>
  <c r="T100" i="18"/>
  <c r="Z100" i="18"/>
  <c r="T104" i="18"/>
  <c r="Z104" i="18"/>
  <c r="P107" i="18"/>
  <c r="P109" i="18"/>
  <c r="P111" i="18"/>
  <c r="G23" i="19"/>
  <c r="G90" i="19"/>
  <c r="AN90" i="20"/>
  <c r="AO90" i="20" s="1"/>
  <c r="L80" i="20"/>
  <c r="M80" i="20" s="1"/>
  <c r="J79" i="20"/>
  <c r="K79" i="20" s="1"/>
  <c r="G79" i="20"/>
  <c r="AN74" i="20"/>
  <c r="AO74" i="20" s="1"/>
  <c r="AN73" i="20"/>
  <c r="AO73" i="20" s="1"/>
  <c r="G61" i="20"/>
  <c r="G40" i="20"/>
  <c r="AN35" i="20"/>
  <c r="AO35" i="20" s="1"/>
  <c r="G31" i="20"/>
  <c r="AN29" i="20"/>
  <c r="AO29" i="20" s="1"/>
  <c r="AN27" i="20"/>
  <c r="AO27" i="20" s="1"/>
  <c r="AN24" i="20"/>
  <c r="AO24" i="20" s="1"/>
  <c r="AN17" i="20"/>
  <c r="AO17" i="20" s="1"/>
  <c r="L37" i="18"/>
  <c r="T37" i="18"/>
  <c r="P38" i="18"/>
  <c r="L39" i="18"/>
  <c r="T39" i="18"/>
  <c r="P40" i="18"/>
  <c r="L41" i="18"/>
  <c r="T41" i="18"/>
  <c r="P42" i="18"/>
  <c r="L43" i="18"/>
  <c r="T43" i="18"/>
  <c r="P44" i="18"/>
  <c r="L45" i="18"/>
  <c r="T45" i="18"/>
  <c r="P46" i="18"/>
  <c r="L47" i="18"/>
  <c r="T47" i="18"/>
  <c r="P48" i="18"/>
  <c r="L49" i="18"/>
  <c r="T49" i="18"/>
  <c r="P50" i="18"/>
  <c r="L51" i="18"/>
  <c r="T51" i="18"/>
  <c r="P52" i="18"/>
  <c r="L53" i="18"/>
  <c r="T53" i="18"/>
  <c r="N67" i="18"/>
  <c r="R68" i="18"/>
  <c r="N71" i="18"/>
  <c r="R72" i="18"/>
  <c r="N75" i="18"/>
  <c r="N80" i="18"/>
  <c r="R83" i="18"/>
  <c r="N84" i="18"/>
  <c r="N88" i="18"/>
  <c r="P96" i="18"/>
  <c r="V100" i="18"/>
  <c r="Y106" i="18"/>
  <c r="Y13" i="18" s="1"/>
  <c r="J88" i="20"/>
  <c r="K88" i="20" s="1"/>
  <c r="G88" i="20"/>
  <c r="AN86" i="20"/>
  <c r="AO86" i="20" s="1"/>
  <c r="L63" i="20"/>
  <c r="M63" i="20" s="1"/>
  <c r="AN43" i="20"/>
  <c r="AO43" i="20" s="1"/>
  <c r="AN40" i="20"/>
  <c r="AO40" i="20" s="1"/>
  <c r="J78" i="20"/>
  <c r="K78" i="20" s="1"/>
  <c r="AN68" i="20"/>
  <c r="AO68" i="20" s="1"/>
  <c r="AN52" i="20"/>
  <c r="AO52" i="20" s="1"/>
  <c r="G50" i="20"/>
  <c r="G41" i="20"/>
  <c r="AN31" i="20"/>
  <c r="AO31" i="20" s="1"/>
  <c r="AN28" i="20"/>
  <c r="AO28" i="20" s="1"/>
  <c r="AN23" i="20"/>
  <c r="AO23" i="20" s="1"/>
  <c r="AN19" i="20"/>
  <c r="AO19" i="20" s="1"/>
  <c r="AN18" i="20"/>
  <c r="AO18" i="20" s="1"/>
  <c r="L90" i="20"/>
  <c r="M90" i="20" s="1"/>
  <c r="G84" i="20"/>
  <c r="AN82" i="20"/>
  <c r="AO82" i="20" s="1"/>
  <c r="AN78" i="20"/>
  <c r="AO78" i="20" s="1"/>
  <c r="AN75" i="20"/>
  <c r="L73" i="20"/>
  <c r="M73" i="20" s="1"/>
  <c r="AN72" i="20"/>
  <c r="AO72" i="20" s="1"/>
  <c r="L72" i="20"/>
  <c r="M72" i="20" s="1"/>
  <c r="G71" i="20"/>
  <c r="AN69" i="20"/>
  <c r="AO69" i="20" s="1"/>
  <c r="L69" i="20"/>
  <c r="M69" i="20" s="1"/>
  <c r="AN64" i="20"/>
  <c r="AO64" i="20" s="1"/>
  <c r="G60" i="20"/>
  <c r="G47" i="20"/>
  <c r="L40" i="20"/>
  <c r="M40" i="20" s="1"/>
  <c r="AN38" i="20"/>
  <c r="AO38" i="20" s="1"/>
  <c r="AN32" i="20"/>
  <c r="AO32" i="20" s="1"/>
  <c r="G30" i="20"/>
  <c r="J26" i="20"/>
  <c r="K26" i="20" s="1"/>
  <c r="G26" i="20"/>
  <c r="G17" i="20"/>
  <c r="T38" i="19"/>
  <c r="U38" i="19" s="1"/>
  <c r="AN83" i="20"/>
  <c r="AO83" i="20" s="1"/>
  <c r="L83" i="20"/>
  <c r="M83" i="20" s="1"/>
  <c r="AN70" i="20"/>
  <c r="AO70" i="20" s="1"/>
  <c r="L70" i="20"/>
  <c r="M70" i="20" s="1"/>
  <c r="G57" i="20"/>
  <c r="AN55" i="20"/>
  <c r="AO55" i="20" s="1"/>
  <c r="AN48" i="20"/>
  <c r="AO48" i="20" s="1"/>
  <c r="AN37" i="20"/>
  <c r="AO37" i="20" s="1"/>
  <c r="AN25" i="20"/>
  <c r="AO25" i="20" s="1"/>
  <c r="AN16" i="20"/>
  <c r="AO16" i="20" s="1"/>
  <c r="J89" i="20"/>
  <c r="K89" i="20" s="1"/>
  <c r="L85" i="20"/>
  <c r="M85" i="20" s="1"/>
  <c r="J84" i="20"/>
  <c r="K84" i="20" s="1"/>
  <c r="L81" i="20"/>
  <c r="M81" i="20" s="1"/>
  <c r="U76" i="20"/>
  <c r="AB76" i="20"/>
  <c r="T76" i="20"/>
  <c r="J71" i="20"/>
  <c r="K71" i="20" s="1"/>
  <c r="Q71" i="20"/>
  <c r="J57" i="20"/>
  <c r="K57" i="20" s="1"/>
  <c r="J53" i="20"/>
  <c r="K53" i="20" s="1"/>
  <c r="L52" i="20"/>
  <c r="M52" i="20" s="1"/>
  <c r="L51" i="20"/>
  <c r="M51" i="20" s="1"/>
  <c r="J47" i="20"/>
  <c r="K47" i="20" s="1"/>
  <c r="L45" i="20"/>
  <c r="M45" i="20" s="1"/>
  <c r="J41" i="20"/>
  <c r="K41" i="20" s="1"/>
  <c r="J38" i="20"/>
  <c r="K38" i="20" s="1"/>
  <c r="Q38" i="20"/>
  <c r="J31" i="20"/>
  <c r="K31" i="20" s="1"/>
  <c r="Q31" i="20"/>
  <c r="J18" i="20"/>
  <c r="K18" i="20" s="1"/>
  <c r="AN84" i="20"/>
  <c r="AO84" i="20" s="1"/>
  <c r="AN80" i="20"/>
  <c r="AO80" i="20" s="1"/>
  <c r="Z76" i="20"/>
  <c r="AA76" i="20" s="1"/>
  <c r="AG76" i="20"/>
  <c r="AH76" i="20" s="1"/>
  <c r="AL76" i="20"/>
  <c r="J61" i="20"/>
  <c r="K61" i="20" s="1"/>
  <c r="Q61" i="20"/>
  <c r="AN59" i="20"/>
  <c r="AO59" i="20" s="1"/>
  <c r="L55" i="20"/>
  <c r="M55" i="20" s="1"/>
  <c r="J51" i="20"/>
  <c r="K51" i="20" s="1"/>
  <c r="G51" i="20"/>
  <c r="AN49" i="20"/>
  <c r="AO49" i="20" s="1"/>
  <c r="L42" i="20"/>
  <c r="M42" i="20" s="1"/>
  <c r="AN39" i="20"/>
  <c r="AO39" i="20" s="1"/>
  <c r="L34" i="20"/>
  <c r="M34" i="20" s="1"/>
  <c r="BV69" i="13"/>
  <c r="T71" i="13"/>
  <c r="U71" i="13" s="1"/>
  <c r="AT71" i="13"/>
  <c r="AU71" i="13" s="1"/>
  <c r="BL71" i="13"/>
  <c r="BM71" i="13" s="1"/>
  <c r="V73" i="13"/>
  <c r="AF73" i="13"/>
  <c r="AV73" i="13"/>
  <c r="BN73" i="13"/>
  <c r="T87" i="19"/>
  <c r="U87" i="19" s="1"/>
  <c r="T89" i="19"/>
  <c r="L89" i="20"/>
  <c r="M89" i="20" s="1"/>
  <c r="L88" i="20"/>
  <c r="M88" i="20" s="1"/>
  <c r="J87" i="20"/>
  <c r="K87" i="20" s="1"/>
  <c r="G87" i="20"/>
  <c r="AN85" i="20"/>
  <c r="AO85" i="20" s="1"/>
  <c r="J85" i="20"/>
  <c r="K85" i="20" s="1"/>
  <c r="J83" i="20"/>
  <c r="K83" i="20" s="1"/>
  <c r="G83" i="20"/>
  <c r="AN81" i="20"/>
  <c r="AO81" i="20" s="1"/>
  <c r="J81" i="20"/>
  <c r="K81" i="20" s="1"/>
  <c r="J80" i="20"/>
  <c r="K80" i="20" s="1"/>
  <c r="G80" i="20"/>
  <c r="AK76" i="20"/>
  <c r="AD76" i="20"/>
  <c r="L78" i="20"/>
  <c r="M78" i="20" s="1"/>
  <c r="J77" i="20"/>
  <c r="K77" i="20" s="1"/>
  <c r="J73" i="20"/>
  <c r="K73" i="20" s="1"/>
  <c r="J72" i="20"/>
  <c r="K72" i="20" s="1"/>
  <c r="L68" i="20"/>
  <c r="M68" i="20" s="1"/>
  <c r="AN66" i="20"/>
  <c r="AO66" i="20" s="1"/>
  <c r="L66" i="20"/>
  <c r="M66" i="20" s="1"/>
  <c r="J64" i="20"/>
  <c r="K64" i="20" s="1"/>
  <c r="G64" i="20"/>
  <c r="AN61" i="20"/>
  <c r="AO61" i="20" s="1"/>
  <c r="L58" i="20"/>
  <c r="M58" i="20" s="1"/>
  <c r="J55" i="20"/>
  <c r="K55" i="20" s="1"/>
  <c r="AN53" i="20"/>
  <c r="AO53" i="20" s="1"/>
  <c r="L49" i="20"/>
  <c r="M49" i="20" s="1"/>
  <c r="L44" i="20"/>
  <c r="M44" i="20" s="1"/>
  <c r="S44" i="20"/>
  <c r="AN41" i="20"/>
  <c r="AO41" i="20" s="1"/>
  <c r="L39" i="20"/>
  <c r="M39" i="20" s="1"/>
  <c r="J32" i="20"/>
  <c r="K32" i="20" s="1"/>
  <c r="L20" i="20"/>
  <c r="M20" i="20" s="1"/>
  <c r="J17" i="20"/>
  <c r="K17" i="20" s="1"/>
  <c r="Q17" i="20"/>
  <c r="J91" i="7"/>
  <c r="AN89" i="20"/>
  <c r="AO89" i="20" s="1"/>
  <c r="Q89" i="20"/>
  <c r="AN88" i="20"/>
  <c r="AO88" i="20" s="1"/>
  <c r="L86" i="20"/>
  <c r="M86" i="20" s="1"/>
  <c r="L82" i="20"/>
  <c r="M82" i="20" s="1"/>
  <c r="AS76" i="20"/>
  <c r="AC76" i="20"/>
  <c r="L79" i="20"/>
  <c r="M79" i="20" s="1"/>
  <c r="F76" i="20"/>
  <c r="G76" i="20" s="1"/>
  <c r="Q78" i="20"/>
  <c r="AQ76" i="20"/>
  <c r="AI76" i="20"/>
  <c r="AJ76" i="20" s="1"/>
  <c r="L75" i="20"/>
  <c r="M75" i="20" s="1"/>
  <c r="L74" i="20"/>
  <c r="M74" i="20" s="1"/>
  <c r="L71" i="20"/>
  <c r="M71" i="20" s="1"/>
  <c r="L67" i="20"/>
  <c r="M67" i="20" s="1"/>
  <c r="AN65" i="20"/>
  <c r="AO65" i="20" s="1"/>
  <c r="J63" i="20"/>
  <c r="K63" i="20" s="1"/>
  <c r="J62" i="20"/>
  <c r="K62" i="20" s="1"/>
  <c r="AN58" i="20"/>
  <c r="AO58" i="20" s="1"/>
  <c r="L57" i="20"/>
  <c r="M57" i="20" s="1"/>
  <c r="L53" i="20"/>
  <c r="M53" i="20" s="1"/>
  <c r="J49" i="20"/>
  <c r="K49" i="20" s="1"/>
  <c r="L48" i="20"/>
  <c r="M48" i="20" s="1"/>
  <c r="L47" i="20"/>
  <c r="M47" i="20" s="1"/>
  <c r="J44" i="20"/>
  <c r="K44" i="20" s="1"/>
  <c r="G44" i="20"/>
  <c r="AN42" i="20"/>
  <c r="AO42" i="20" s="1"/>
  <c r="J36" i="20"/>
  <c r="K36" i="20" s="1"/>
  <c r="G36" i="20"/>
  <c r="J24" i="20"/>
  <c r="K24" i="20" s="1"/>
  <c r="Q24" i="20"/>
  <c r="L29" i="20"/>
  <c r="M29" i="20" s="1"/>
  <c r="J28" i="20"/>
  <c r="K28" i="20" s="1"/>
  <c r="G27" i="20"/>
  <c r="L25" i="20"/>
  <c r="M25" i="20" s="1"/>
  <c r="J20" i="20"/>
  <c r="K20" i="20" s="1"/>
  <c r="J19" i="20"/>
  <c r="K19" i="20" s="1"/>
  <c r="L77" i="20"/>
  <c r="M77" i="20" s="1"/>
  <c r="J75" i="20"/>
  <c r="K75" i="20" s="1"/>
  <c r="G75" i="20"/>
  <c r="J74" i="20"/>
  <c r="K74" i="20" s="1"/>
  <c r="G74" i="20"/>
  <c r="AN71" i="20"/>
  <c r="AO71" i="20" s="1"/>
  <c r="J70" i="20"/>
  <c r="K70" i="20" s="1"/>
  <c r="G70" i="20"/>
  <c r="J69" i="20"/>
  <c r="K69" i="20" s="1"/>
  <c r="G65" i="20"/>
  <c r="L64" i="20"/>
  <c r="M64" i="20" s="1"/>
  <c r="L61" i="20"/>
  <c r="M61" i="20" s="1"/>
  <c r="L60" i="20"/>
  <c r="M60" i="20" s="1"/>
  <c r="L59" i="20"/>
  <c r="M59" i="20" s="1"/>
  <c r="AN56" i="20"/>
  <c r="AO56" i="20" s="1"/>
  <c r="L56" i="20"/>
  <c r="M56" i="20" s="1"/>
  <c r="AN51" i="20"/>
  <c r="AO51" i="20" s="1"/>
  <c r="AN50" i="20"/>
  <c r="AO50" i="20" s="1"/>
  <c r="L50" i="20"/>
  <c r="M50" i="20" s="1"/>
  <c r="AN47" i="20"/>
  <c r="AO47" i="20" s="1"/>
  <c r="AN46" i="20"/>
  <c r="AO46" i="20" s="1"/>
  <c r="AN45" i="20"/>
  <c r="AO45" i="20" s="1"/>
  <c r="J45" i="20"/>
  <c r="K45" i="20" s="1"/>
  <c r="G45" i="20"/>
  <c r="L43" i="20"/>
  <c r="M43" i="20" s="1"/>
  <c r="J42" i="20"/>
  <c r="K42" i="20" s="1"/>
  <c r="L38" i="20"/>
  <c r="M38" i="20" s="1"/>
  <c r="J37" i="20"/>
  <c r="K37" i="20" s="1"/>
  <c r="G37" i="20"/>
  <c r="L30" i="20"/>
  <c r="M30" i="20" s="1"/>
  <c r="AN26" i="20"/>
  <c r="AO26" i="20" s="1"/>
  <c r="L24" i="20"/>
  <c r="M24" i="20" s="1"/>
  <c r="J23" i="20"/>
  <c r="K23" i="20" s="1"/>
  <c r="G23" i="20"/>
  <c r="G22" i="20"/>
  <c r="J21" i="20"/>
  <c r="K21" i="20" s="1"/>
  <c r="G21" i="20"/>
  <c r="L17" i="20"/>
  <c r="M17" i="20" s="1"/>
  <c r="L16" i="20"/>
  <c r="M16" i="20" s="1"/>
  <c r="J60" i="20"/>
  <c r="K60" i="20" s="1"/>
  <c r="J59" i="20"/>
  <c r="K59" i="20" s="1"/>
  <c r="J58" i="20"/>
  <c r="K58" i="20" s="1"/>
  <c r="J56" i="20"/>
  <c r="K56" i="20" s="1"/>
  <c r="J52" i="20"/>
  <c r="K52" i="20" s="1"/>
  <c r="J50" i="20"/>
  <c r="K50" i="20" s="1"/>
  <c r="J48" i="20"/>
  <c r="K48" i="20" s="1"/>
  <c r="AN44" i="20"/>
  <c r="AO44" i="20" s="1"/>
  <c r="J40" i="20"/>
  <c r="K40" i="20" s="1"/>
  <c r="AN36" i="20"/>
  <c r="AO36" i="20" s="1"/>
  <c r="L36" i="20"/>
  <c r="M36" i="20" s="1"/>
  <c r="L35" i="20"/>
  <c r="M35" i="20" s="1"/>
  <c r="J34" i="20"/>
  <c r="K34" i="20" s="1"/>
  <c r="L32" i="20"/>
  <c r="M32" i="20" s="1"/>
  <c r="J30" i="20"/>
  <c r="K30" i="20" s="1"/>
  <c r="L28" i="20"/>
  <c r="M28" i="20" s="1"/>
  <c r="L27" i="20"/>
  <c r="M27" i="20" s="1"/>
  <c r="L26" i="20"/>
  <c r="M26" i="20" s="1"/>
  <c r="AN22" i="20"/>
  <c r="AO22" i="20" s="1"/>
  <c r="AN21" i="20"/>
  <c r="AO21" i="20" s="1"/>
  <c r="L19" i="20"/>
  <c r="M19" i="20" s="1"/>
  <c r="L18" i="20"/>
  <c r="M18" i="20" s="1"/>
  <c r="J16" i="20"/>
  <c r="K16" i="20" s="1"/>
  <c r="AI11" i="20"/>
  <c r="I13" i="20"/>
  <c r="M13" i="20" s="1"/>
  <c r="M106" i="20"/>
  <c r="Z11" i="20"/>
  <c r="H13" i="20"/>
  <c r="K13" i="20" s="1"/>
  <c r="M91" i="20"/>
  <c r="C106" i="20"/>
  <c r="AQ11" i="20"/>
  <c r="AO12" i="20"/>
  <c r="AH12" i="20"/>
  <c r="AE11" i="20"/>
  <c r="AH11" i="20" s="1"/>
  <c r="AA12" i="20"/>
  <c r="W11" i="20"/>
  <c r="AA11" i="20" s="1"/>
  <c r="S12" i="20"/>
  <c r="O11" i="20"/>
  <c r="S11" i="20" s="1"/>
  <c r="C91" i="20"/>
  <c r="J90" i="20"/>
  <c r="K90" i="20" s="1"/>
  <c r="J86" i="20"/>
  <c r="K86" i="20" s="1"/>
  <c r="L84" i="20"/>
  <c r="M84" i="20" s="1"/>
  <c r="J82" i="20"/>
  <c r="K82" i="20" s="1"/>
  <c r="Q77" i="20"/>
  <c r="G77" i="20"/>
  <c r="X76" i="20"/>
  <c r="Y76" i="20" s="1"/>
  <c r="P76" i="20"/>
  <c r="Q76" i="20" s="1"/>
  <c r="AM54" i="20"/>
  <c r="AS54" i="20"/>
  <c r="AL54" i="20"/>
  <c r="AG54" i="20"/>
  <c r="AH54" i="20" s="1"/>
  <c r="G30" i="19"/>
  <c r="G58" i="19"/>
  <c r="G59" i="19"/>
  <c r="K107" i="20"/>
  <c r="AH106" i="20"/>
  <c r="K92" i="20"/>
  <c r="AP11" i="20"/>
  <c r="AL11" i="20"/>
  <c r="AH91" i="20"/>
  <c r="AD11" i="20"/>
  <c r="V11" i="20"/>
  <c r="Y11" i="20" s="1"/>
  <c r="Y12" i="20"/>
  <c r="R11" i="20"/>
  <c r="N11" i="20"/>
  <c r="Q11" i="20" s="1"/>
  <c r="Q12" i="20"/>
  <c r="J11" i="20"/>
  <c r="S90" i="20"/>
  <c r="S86" i="20"/>
  <c r="Q84" i="20"/>
  <c r="S82" i="20"/>
  <c r="S78" i="20"/>
  <c r="AN77" i="20"/>
  <c r="AJ77" i="20"/>
  <c r="Q70" i="20"/>
  <c r="S68" i="20"/>
  <c r="J68" i="20"/>
  <c r="K68" i="20" s="1"/>
  <c r="G68" i="20"/>
  <c r="J66" i="20"/>
  <c r="K66" i="20" s="1"/>
  <c r="J65" i="20"/>
  <c r="K65" i="20" s="1"/>
  <c r="X54" i="20"/>
  <c r="Y54" i="20" s="1"/>
  <c r="AK54" i="20"/>
  <c r="AD54" i="20"/>
  <c r="G44" i="10"/>
  <c r="G68" i="10"/>
  <c r="AO106" i="20"/>
  <c r="AS11" i="20"/>
  <c r="AO91" i="20"/>
  <c r="AK11" i="20"/>
  <c r="AG11" i="20"/>
  <c r="AC11" i="20"/>
  <c r="U11" i="20"/>
  <c r="E11" i="20"/>
  <c r="S89" i="20"/>
  <c r="Q87" i="20"/>
  <c r="S85" i="20"/>
  <c r="Q83" i="20"/>
  <c r="S81" i="20"/>
  <c r="AA79" i="20"/>
  <c r="Q79" i="20"/>
  <c r="AH78" i="20"/>
  <c r="S77" i="20"/>
  <c r="R76" i="20"/>
  <c r="S76" i="20" s="1"/>
  <c r="S71" i="20"/>
  <c r="Q69" i="20"/>
  <c r="J67" i="20"/>
  <c r="K67" i="20" s="1"/>
  <c r="AQ54" i="20"/>
  <c r="AC54" i="20"/>
  <c r="U54" i="20"/>
  <c r="I54" i="20"/>
  <c r="G31" i="19"/>
  <c r="G79" i="19"/>
  <c r="T82" i="19"/>
  <c r="U82" i="19" s="1"/>
  <c r="AR11" i="20"/>
  <c r="AJ12" i="20"/>
  <c r="AF11" i="20"/>
  <c r="AJ11" i="20" s="1"/>
  <c r="AB11" i="20"/>
  <c r="X11" i="20"/>
  <c r="T11" i="20"/>
  <c r="P11" i="20"/>
  <c r="L11" i="20"/>
  <c r="D11" i="20"/>
  <c r="AN79" i="20"/>
  <c r="AO79" i="20" s="1"/>
  <c r="L65" i="20"/>
  <c r="M65" i="20" s="1"/>
  <c r="AB54" i="20"/>
  <c r="H54" i="20"/>
  <c r="AI54" i="20"/>
  <c r="AJ54" i="20" s="1"/>
  <c r="C54" i="20"/>
  <c r="T54" i="20"/>
  <c r="Q57" i="20"/>
  <c r="S55" i="20"/>
  <c r="Z54" i="20"/>
  <c r="AA54" i="20" s="1"/>
  <c r="R54" i="20"/>
  <c r="S54" i="20" s="1"/>
  <c r="F54" i="20"/>
  <c r="S53" i="20"/>
  <c r="Q51" i="20"/>
  <c r="S49" i="20"/>
  <c r="Q47" i="20"/>
  <c r="J46" i="20"/>
  <c r="K46" i="20" s="1"/>
  <c r="S45" i="20"/>
  <c r="AL33" i="20"/>
  <c r="AG33" i="20"/>
  <c r="AH33" i="20" s="1"/>
  <c r="I33" i="20"/>
  <c r="C33" i="20"/>
  <c r="Q60" i="20"/>
  <c r="AN57" i="20"/>
  <c r="Q56" i="20"/>
  <c r="G56" i="20"/>
  <c r="AH55" i="20"/>
  <c r="S52" i="20"/>
  <c r="Q50" i="20"/>
  <c r="S48" i="20"/>
  <c r="L46" i="20"/>
  <c r="M46" i="20" s="1"/>
  <c r="T33" i="20"/>
  <c r="AS33" i="20"/>
  <c r="AK33" i="20"/>
  <c r="AD33" i="20"/>
  <c r="Z33" i="20"/>
  <c r="AA33" i="20" s="1"/>
  <c r="H33" i="20"/>
  <c r="Q63" i="20"/>
  <c r="S61" i="20"/>
  <c r="Q59" i="20"/>
  <c r="Y57" i="20"/>
  <c r="S57" i="20"/>
  <c r="AJ56" i="20"/>
  <c r="Q55" i="20"/>
  <c r="P54" i="20"/>
  <c r="Q54" i="20" s="1"/>
  <c r="Q53" i="20"/>
  <c r="S51" i="20"/>
  <c r="Q49" i="20"/>
  <c r="S47" i="20"/>
  <c r="AQ33" i="20"/>
  <c r="AC33" i="20"/>
  <c r="AM33" i="20"/>
  <c r="AI33" i="20"/>
  <c r="AJ33" i="20" s="1"/>
  <c r="AB33" i="20"/>
  <c r="U33" i="20"/>
  <c r="F33" i="20"/>
  <c r="J43" i="20"/>
  <c r="K43" i="20" s="1"/>
  <c r="L41" i="20"/>
  <c r="M41" i="20" s="1"/>
  <c r="J39" i="20"/>
  <c r="K39" i="20" s="1"/>
  <c r="L37" i="20"/>
  <c r="M37" i="20" s="1"/>
  <c r="J35" i="20"/>
  <c r="K35" i="20" s="1"/>
  <c r="X33" i="20"/>
  <c r="Y33" i="20" s="1"/>
  <c r="P33" i="20"/>
  <c r="Q33" i="20" s="1"/>
  <c r="L31" i="20"/>
  <c r="M31" i="20" s="1"/>
  <c r="J29" i="20"/>
  <c r="K29" i="20" s="1"/>
  <c r="J25" i="20"/>
  <c r="K25" i="20" s="1"/>
  <c r="L23" i="20"/>
  <c r="M23" i="20" s="1"/>
  <c r="L21" i="20"/>
  <c r="M21" i="20" s="1"/>
  <c r="AM15" i="20"/>
  <c r="AI15" i="20"/>
  <c r="AC15" i="20"/>
  <c r="U15" i="20"/>
  <c r="I15" i="20"/>
  <c r="AR10" i="20"/>
  <c r="W10" i="20"/>
  <c r="E10" i="20"/>
  <c r="S43" i="20"/>
  <c r="Q41" i="20"/>
  <c r="S39" i="20"/>
  <c r="Q37" i="20"/>
  <c r="AN34" i="20"/>
  <c r="S25" i="20"/>
  <c r="Q23" i="20"/>
  <c r="L22" i="20"/>
  <c r="M22" i="20" s="1"/>
  <c r="AS15" i="20"/>
  <c r="AL15" i="20"/>
  <c r="AB15" i="20"/>
  <c r="T15" i="20"/>
  <c r="H15" i="20"/>
  <c r="AP10" i="20"/>
  <c r="AP9" i="20" s="1"/>
  <c r="V10" i="20"/>
  <c r="D10" i="20"/>
  <c r="Q44" i="20"/>
  <c r="S42" i="20"/>
  <c r="S38" i="20"/>
  <c r="S34" i="20"/>
  <c r="R33" i="20"/>
  <c r="S33" i="20" s="1"/>
  <c r="S32" i="20"/>
  <c r="Q30" i="20"/>
  <c r="S28" i="20"/>
  <c r="Q26" i="20"/>
  <c r="S24" i="20"/>
  <c r="J22" i="20"/>
  <c r="K22" i="20" s="1"/>
  <c r="AQ15" i="20"/>
  <c r="AK15" i="20"/>
  <c r="AG15" i="20"/>
  <c r="AF10" i="20"/>
  <c r="O10" i="20"/>
  <c r="AH34" i="20"/>
  <c r="AD15" i="20"/>
  <c r="X15" i="20"/>
  <c r="C15" i="20"/>
  <c r="AE10" i="20"/>
  <c r="N10" i="20"/>
  <c r="S20" i="20"/>
  <c r="Q18" i="20"/>
  <c r="Y16" i="20"/>
  <c r="S16" i="20"/>
  <c r="Z15" i="20"/>
  <c r="R15" i="20"/>
  <c r="F15" i="20"/>
  <c r="Q20" i="20"/>
  <c r="S18" i="20"/>
  <c r="Q16" i="20"/>
  <c r="P15" i="20"/>
  <c r="BL26" i="13"/>
  <c r="BM26" i="13" s="1"/>
  <c r="G20" i="19"/>
  <c r="T50" i="19"/>
  <c r="U50" i="19" s="1"/>
  <c r="T63" i="19"/>
  <c r="U63" i="19" s="1"/>
  <c r="T68" i="19"/>
  <c r="U68" i="19" s="1"/>
  <c r="G74" i="19"/>
  <c r="V44" i="13"/>
  <c r="W44" i="13" s="1"/>
  <c r="BV73" i="13"/>
  <c r="U22" i="18"/>
  <c r="V22" i="18" s="1"/>
  <c r="M17" i="19"/>
  <c r="M25" i="19"/>
  <c r="T34" i="19"/>
  <c r="U34" i="19" s="1"/>
  <c r="G43" i="19"/>
  <c r="M56" i="19"/>
  <c r="T60" i="19"/>
  <c r="M68" i="19"/>
  <c r="G70" i="19"/>
  <c r="T75" i="19"/>
  <c r="U75" i="19" s="1"/>
  <c r="G49" i="1"/>
  <c r="G50" i="1"/>
  <c r="L30" i="4"/>
  <c r="L34" i="4"/>
  <c r="L56" i="4"/>
  <c r="BV24" i="13"/>
  <c r="AD32" i="13"/>
  <c r="AE32" i="13" s="1"/>
  <c r="BL39" i="13"/>
  <c r="BM39" i="13" s="1"/>
  <c r="AF44" i="13"/>
  <c r="AG44" i="13" s="1"/>
  <c r="BX44" i="13"/>
  <c r="Y24" i="18"/>
  <c r="Z24" i="18" s="1"/>
  <c r="T24" i="19"/>
  <c r="T28" i="19"/>
  <c r="U28" i="19" s="1"/>
  <c r="T56" i="19"/>
  <c r="M61" i="19"/>
  <c r="M72" i="19"/>
  <c r="T73" i="19"/>
  <c r="T77" i="19"/>
  <c r="T80" i="19"/>
  <c r="M88" i="19"/>
  <c r="L21" i="4"/>
  <c r="L37" i="12"/>
  <c r="I37" i="12" s="1"/>
  <c r="J37" i="12" s="1"/>
  <c r="L77" i="12"/>
  <c r="I77" i="12" s="1"/>
  <c r="J77" i="12" s="1"/>
  <c r="AF17" i="13"/>
  <c r="AG17" i="13" s="1"/>
  <c r="BX20" i="13"/>
  <c r="L21" i="13"/>
  <c r="M21" i="13" s="1"/>
  <c r="AF21" i="13"/>
  <c r="AG21" i="13" s="1"/>
  <c r="AV23" i="13"/>
  <c r="AW23" i="13" s="1"/>
  <c r="BV27" i="13"/>
  <c r="AD28" i="13"/>
  <c r="AE28" i="13" s="1"/>
  <c r="BL29" i="13"/>
  <c r="BM29" i="13" s="1"/>
  <c r="T30" i="13"/>
  <c r="U30" i="13" s="1"/>
  <c r="BL30" i="13"/>
  <c r="BM30" i="13" s="1"/>
  <c r="V31" i="13"/>
  <c r="W31" i="13" s="1"/>
  <c r="G59" i="13"/>
  <c r="T16" i="19"/>
  <c r="M18" i="19"/>
  <c r="T36" i="19"/>
  <c r="G42" i="19"/>
  <c r="M45" i="19"/>
  <c r="G47" i="19"/>
  <c r="M49" i="19"/>
  <c r="T59" i="19"/>
  <c r="U59" i="19" s="1"/>
  <c r="G63" i="19"/>
  <c r="Y27" i="18"/>
  <c r="Z27" i="18" s="1"/>
  <c r="M36" i="19"/>
  <c r="T48" i="19"/>
  <c r="U48" i="19" s="1"/>
  <c r="L20" i="4"/>
  <c r="L60" i="4"/>
  <c r="AF86" i="13"/>
  <c r="AG86" i="13" s="1"/>
  <c r="AT88" i="13"/>
  <c r="AU88" i="13" s="1"/>
  <c r="U21" i="18"/>
  <c r="V21" i="18" s="1"/>
  <c r="Y57" i="18"/>
  <c r="Z57" i="18" s="1"/>
  <c r="G58" i="18"/>
  <c r="T19" i="19"/>
  <c r="M26" i="19"/>
  <c r="M28" i="19"/>
  <c r="T58" i="19"/>
  <c r="U58" i="19" s="1"/>
  <c r="T62" i="19"/>
  <c r="T64" i="19"/>
  <c r="T69" i="19"/>
  <c r="T71" i="19"/>
  <c r="M81" i="19"/>
  <c r="T85" i="19"/>
  <c r="U85" i="19" s="1"/>
  <c r="T88" i="19"/>
  <c r="U88" i="19" s="1"/>
  <c r="L71" i="1"/>
  <c r="J86" i="1"/>
  <c r="L18" i="4"/>
  <c r="G82" i="4"/>
  <c r="G83" i="4"/>
  <c r="V45" i="13"/>
  <c r="W45" i="13" s="1"/>
  <c r="BX45" i="13"/>
  <c r="L46" i="13"/>
  <c r="M46" i="13" s="1"/>
  <c r="AF46" i="13"/>
  <c r="AG46" i="13" s="1"/>
  <c r="L48" i="13"/>
  <c r="M48" i="13" s="1"/>
  <c r="BX48" i="13"/>
  <c r="L49" i="13"/>
  <c r="M49" i="13" s="1"/>
  <c r="L50" i="13"/>
  <c r="M50" i="13" s="1"/>
  <c r="L52" i="13"/>
  <c r="M52" i="13" s="1"/>
  <c r="AV56" i="13"/>
  <c r="AW56" i="13" s="1"/>
  <c r="BX62" i="13"/>
  <c r="V74" i="13"/>
  <c r="W74" i="13" s="1"/>
  <c r="AV74" i="13"/>
  <c r="AW74" i="13" s="1"/>
  <c r="BN74" i="13"/>
  <c r="BO74" i="13" s="1"/>
  <c r="AT75" i="13"/>
  <c r="V80" i="13"/>
  <c r="W80" i="13" s="1"/>
  <c r="BL86" i="13"/>
  <c r="BM86" i="13" s="1"/>
  <c r="L87" i="13"/>
  <c r="AF87" i="13"/>
  <c r="BN87" i="13"/>
  <c r="BX89" i="13"/>
  <c r="J24" i="16"/>
  <c r="J39" i="16"/>
  <c r="I42" i="16"/>
  <c r="U18" i="18"/>
  <c r="V18" i="18" s="1"/>
  <c r="Y21" i="18"/>
  <c r="Z21" i="18" s="1"/>
  <c r="U48" i="18"/>
  <c r="V48" i="18" s="1"/>
  <c r="T18" i="19"/>
  <c r="U18" i="19" s="1"/>
  <c r="T20" i="19"/>
  <c r="U20" i="19" s="1"/>
  <c r="M40" i="19"/>
  <c r="T46" i="19"/>
  <c r="U46" i="19" s="1"/>
  <c r="M64" i="19"/>
  <c r="T65" i="19"/>
  <c r="U65" i="19" s="1"/>
  <c r="M85" i="19"/>
  <c r="M23" i="19"/>
  <c r="M84" i="19"/>
  <c r="O54" i="19"/>
  <c r="L55" i="19"/>
  <c r="L54" i="19" s="1"/>
  <c r="F54" i="19"/>
  <c r="M77" i="19"/>
  <c r="M80" i="19"/>
  <c r="L38" i="1"/>
  <c r="J41" i="1"/>
  <c r="K41" i="1" s="1"/>
  <c r="L42" i="1"/>
  <c r="M42" i="1" s="1"/>
  <c r="L46" i="1"/>
  <c r="M46" i="1" s="1"/>
  <c r="L47" i="1"/>
  <c r="M47" i="1" s="1"/>
  <c r="L52" i="1"/>
  <c r="M52" i="1" s="1"/>
  <c r="L53" i="1"/>
  <c r="L57" i="1"/>
  <c r="L58" i="1"/>
  <c r="J60" i="1"/>
  <c r="G29" i="3"/>
  <c r="AT69" i="4"/>
  <c r="AT70" i="4"/>
  <c r="Y90" i="18"/>
  <c r="Z90" i="18" s="1"/>
  <c r="M27" i="19"/>
  <c r="T40" i="19"/>
  <c r="U40" i="19" s="1"/>
  <c r="M44" i="19"/>
  <c r="N54" i="19"/>
  <c r="L45" i="4"/>
  <c r="L58" i="4"/>
  <c r="AT59" i="4"/>
  <c r="AU59" i="4" s="1"/>
  <c r="F76" i="7"/>
  <c r="G59" i="8"/>
  <c r="BV57" i="13"/>
  <c r="J58" i="13"/>
  <c r="K58" i="13" s="1"/>
  <c r="T58" i="13"/>
  <c r="U58" i="13" s="1"/>
  <c r="BL59" i="13"/>
  <c r="BM59" i="13" s="1"/>
  <c r="AD60" i="13"/>
  <c r="BL62" i="13"/>
  <c r="L63" i="13"/>
  <c r="BX63" i="13"/>
  <c r="AV64" i="13"/>
  <c r="BN64" i="13"/>
  <c r="BO64" i="13" s="1"/>
  <c r="M21" i="19"/>
  <c r="M22" i="19"/>
  <c r="T22" i="19"/>
  <c r="U22" i="19" s="1"/>
  <c r="T25" i="19"/>
  <c r="U25" i="19" s="1"/>
  <c r="G27" i="19"/>
  <c r="M29" i="19"/>
  <c r="T30" i="19"/>
  <c r="U30" i="19" s="1"/>
  <c r="X34" i="19"/>
  <c r="F33" i="19"/>
  <c r="G38" i="19"/>
  <c r="G39" i="19"/>
  <c r="M41" i="19"/>
  <c r="T42" i="19"/>
  <c r="U42" i="19" s="1"/>
  <c r="M48" i="19"/>
  <c r="G50" i="19"/>
  <c r="G51" i="19"/>
  <c r="G55" i="19"/>
  <c r="M65" i="19"/>
  <c r="T67" i="19"/>
  <c r="M69" i="19"/>
  <c r="T70" i="19"/>
  <c r="U70" i="19" s="1"/>
  <c r="M73" i="19"/>
  <c r="T78" i="19"/>
  <c r="U78" i="19" s="1"/>
  <c r="T86" i="19"/>
  <c r="G87" i="19"/>
  <c r="M89" i="19"/>
  <c r="G19" i="2"/>
  <c r="L83" i="4"/>
  <c r="X40" i="6"/>
  <c r="AV46" i="13"/>
  <c r="AW46" i="13" s="1"/>
  <c r="V50" i="13"/>
  <c r="W50" i="13" s="1"/>
  <c r="BN56" i="13"/>
  <c r="BO56" i="13" s="1"/>
  <c r="BL88" i="13"/>
  <c r="BM88" i="13" s="1"/>
  <c r="V90" i="13"/>
  <c r="W90" i="13" s="1"/>
  <c r="G30" i="14"/>
  <c r="G38" i="14"/>
  <c r="G46" i="14"/>
  <c r="G59" i="15"/>
  <c r="G63" i="15"/>
  <c r="G67" i="15"/>
  <c r="G71" i="15"/>
  <c r="G75" i="15"/>
  <c r="G80" i="15"/>
  <c r="J17" i="16"/>
  <c r="G17" i="17"/>
  <c r="N15" i="19"/>
  <c r="T26" i="19"/>
  <c r="U26" i="19" s="1"/>
  <c r="M32" i="19"/>
  <c r="G46" i="19"/>
  <c r="M52" i="19"/>
  <c r="M53" i="19"/>
  <c r="M57" i="19"/>
  <c r="T66" i="19"/>
  <c r="T81" i="19"/>
  <c r="G82" i="19"/>
  <c r="G83" i="19"/>
  <c r="R12" i="19"/>
  <c r="P11" i="19"/>
  <c r="R11" i="19" s="1"/>
  <c r="T53" i="19"/>
  <c r="U53" i="19" s="1"/>
  <c r="X53" i="19"/>
  <c r="D9" i="19"/>
  <c r="G16" i="19"/>
  <c r="C15" i="19"/>
  <c r="S15" i="19"/>
  <c r="U16" i="19"/>
  <c r="Z15" i="19"/>
  <c r="AA15" i="19" s="1"/>
  <c r="M20" i="19"/>
  <c r="E9" i="19"/>
  <c r="M34" i="19"/>
  <c r="K33" i="19"/>
  <c r="T37" i="19"/>
  <c r="U37" i="19" s="1"/>
  <c r="X37" i="19"/>
  <c r="W33" i="19"/>
  <c r="K54" i="19"/>
  <c r="Z11" i="19"/>
  <c r="M16" i="19"/>
  <c r="K15" i="19"/>
  <c r="S33" i="19"/>
  <c r="T45" i="19"/>
  <c r="U45" i="19" s="1"/>
  <c r="X45" i="19"/>
  <c r="J10" i="19"/>
  <c r="F15" i="19"/>
  <c r="T17" i="19"/>
  <c r="T21" i="19"/>
  <c r="U21" i="19" s="1"/>
  <c r="T23" i="19"/>
  <c r="U23" i="19" s="1"/>
  <c r="X23" i="19"/>
  <c r="T29" i="19"/>
  <c r="U29" i="19" s="1"/>
  <c r="X29" i="19"/>
  <c r="L37" i="19"/>
  <c r="M37" i="19" s="1"/>
  <c r="O33" i="19"/>
  <c r="T90" i="19"/>
  <c r="U90" i="19" s="1"/>
  <c r="X90" i="19"/>
  <c r="I9" i="19"/>
  <c r="H11" i="19"/>
  <c r="J11" i="19" s="1"/>
  <c r="L11" i="19"/>
  <c r="R15" i="19"/>
  <c r="P10" i="19"/>
  <c r="O15" i="19"/>
  <c r="M24" i="19"/>
  <c r="AA35" i="19"/>
  <c r="T35" i="19"/>
  <c r="U35" i="19" s="1"/>
  <c r="T41" i="19"/>
  <c r="U41" i="19" s="1"/>
  <c r="X41" i="19"/>
  <c r="T49" i="19"/>
  <c r="U49" i="19" s="1"/>
  <c r="X49" i="19"/>
  <c r="M79" i="19"/>
  <c r="G34" i="19"/>
  <c r="C33" i="19"/>
  <c r="Z33" i="19"/>
  <c r="AA33" i="19" s="1"/>
  <c r="M58" i="19"/>
  <c r="M59" i="19"/>
  <c r="M67" i="19"/>
  <c r="M70" i="19"/>
  <c r="M71" i="19"/>
  <c r="T74" i="19"/>
  <c r="U74" i="19" s="1"/>
  <c r="X74" i="19"/>
  <c r="L77" i="19"/>
  <c r="L76" i="19" s="1"/>
  <c r="O76" i="19"/>
  <c r="G78" i="19"/>
  <c r="C76" i="19"/>
  <c r="AA83" i="19"/>
  <c r="T83" i="19"/>
  <c r="U83" i="19" s="1"/>
  <c r="M87" i="19"/>
  <c r="G96" i="19"/>
  <c r="C91" i="19"/>
  <c r="J37" i="1"/>
  <c r="K37" i="1" s="1"/>
  <c r="J38" i="1"/>
  <c r="L41" i="1"/>
  <c r="M41" i="1" s="1"/>
  <c r="G88" i="3"/>
  <c r="AT39" i="4"/>
  <c r="G38" i="7"/>
  <c r="G78" i="7"/>
  <c r="G48" i="8"/>
  <c r="L35" i="12"/>
  <c r="I35" i="12" s="1"/>
  <c r="J35" i="12" s="1"/>
  <c r="AT18" i="13"/>
  <c r="AU18" i="13" s="1"/>
  <c r="J20" i="13"/>
  <c r="K20" i="13" s="1"/>
  <c r="BL25" i="13"/>
  <c r="BM25" i="13" s="1"/>
  <c r="AV27" i="13"/>
  <c r="AW27" i="13" s="1"/>
  <c r="BN27" i="13"/>
  <c r="BO27" i="13" s="1"/>
  <c r="BV32" i="13"/>
  <c r="BV34" i="13"/>
  <c r="T40" i="13"/>
  <c r="U40" i="13" s="1"/>
  <c r="BL40" i="13"/>
  <c r="BM40" i="13" s="1"/>
  <c r="V41" i="13"/>
  <c r="W41" i="13" s="1"/>
  <c r="AV41" i="13"/>
  <c r="AW41" i="13" s="1"/>
  <c r="V42" i="13"/>
  <c r="W42" i="13" s="1"/>
  <c r="V43" i="13"/>
  <c r="W43" i="13" s="1"/>
  <c r="AT53" i="13"/>
  <c r="AU53" i="13" s="1"/>
  <c r="BL53" i="13"/>
  <c r="BM53" i="13" s="1"/>
  <c r="T55" i="13"/>
  <c r="U55" i="13" s="1"/>
  <c r="AD55" i="13"/>
  <c r="AE55" i="13" s="1"/>
  <c r="AT55" i="13"/>
  <c r="BL81" i="13"/>
  <c r="BM81" i="13" s="1"/>
  <c r="Y25" i="18"/>
  <c r="Z25" i="18" s="1"/>
  <c r="Y85" i="18"/>
  <c r="Z85" i="18" s="1"/>
  <c r="K11" i="19"/>
  <c r="M11" i="19" s="1"/>
  <c r="Y11" i="19"/>
  <c r="AA11" i="19" s="1"/>
  <c r="V12" i="19"/>
  <c r="X18" i="19"/>
  <c r="X22" i="19"/>
  <c r="X26" i="19"/>
  <c r="T27" i="19"/>
  <c r="U27" i="19" s="1"/>
  <c r="M30" i="19"/>
  <c r="X30" i="19"/>
  <c r="T31" i="19"/>
  <c r="U31" i="19" s="1"/>
  <c r="T32" i="19"/>
  <c r="U32" i="19" s="1"/>
  <c r="M35" i="19"/>
  <c r="M38" i="19"/>
  <c r="X38" i="19"/>
  <c r="T39" i="19"/>
  <c r="U39" i="19" s="1"/>
  <c r="M42" i="19"/>
  <c r="X42" i="19"/>
  <c r="T43" i="19"/>
  <c r="U43" i="19" s="1"/>
  <c r="M46" i="19"/>
  <c r="T47" i="19"/>
  <c r="U47" i="19" s="1"/>
  <c r="M50" i="19"/>
  <c r="X50" i="19"/>
  <c r="T51" i="19"/>
  <c r="U51" i="19" s="1"/>
  <c r="S54" i="19"/>
  <c r="Z54" i="19"/>
  <c r="AA54" i="19" s="1"/>
  <c r="S76" i="19"/>
  <c r="Z76" i="19"/>
  <c r="AA76" i="19" s="1"/>
  <c r="X82" i="19"/>
  <c r="AA88" i="19"/>
  <c r="M90" i="19"/>
  <c r="J72" i="1"/>
  <c r="K72" i="1" s="1"/>
  <c r="L73" i="1"/>
  <c r="J82" i="1"/>
  <c r="J83" i="1"/>
  <c r="J84" i="1"/>
  <c r="K84" i="1" s="1"/>
  <c r="L85" i="1"/>
  <c r="L88" i="1"/>
  <c r="L90" i="1"/>
  <c r="AT43" i="4"/>
  <c r="L48" i="4"/>
  <c r="L66" i="4"/>
  <c r="L75" i="4"/>
  <c r="L17" i="12"/>
  <c r="I17" i="12" s="1"/>
  <c r="J17" i="12" s="1"/>
  <c r="L46" i="12"/>
  <c r="I46" i="12" s="1"/>
  <c r="J46" i="12" s="1"/>
  <c r="L50" i="12"/>
  <c r="M50" i="12" s="1"/>
  <c r="G90" i="12"/>
  <c r="L90" i="12"/>
  <c r="I90" i="12" s="1"/>
  <c r="J90" i="12" s="1"/>
  <c r="AT16" i="13"/>
  <c r="AU16" i="13" s="1"/>
  <c r="T17" i="13"/>
  <c r="U17" i="13" s="1"/>
  <c r="V19" i="13"/>
  <c r="W19" i="13" s="1"/>
  <c r="AV19" i="13"/>
  <c r="AW19" i="13" s="1"/>
  <c r="BN19" i="13"/>
  <c r="BO19" i="13" s="1"/>
  <c r="L25" i="13"/>
  <c r="M25" i="13" s="1"/>
  <c r="BX39" i="13"/>
  <c r="BN44" i="13"/>
  <c r="BO44" i="13" s="1"/>
  <c r="BV50" i="13"/>
  <c r="BV52" i="13"/>
  <c r="L53" i="13"/>
  <c r="M53" i="13" s="1"/>
  <c r="J64" i="13"/>
  <c r="K64" i="13" s="1"/>
  <c r="J65" i="13"/>
  <c r="K65" i="13" s="1"/>
  <c r="AD65" i="13"/>
  <c r="AE65" i="13" s="1"/>
  <c r="T67" i="13"/>
  <c r="U67" i="13" s="1"/>
  <c r="J68" i="13"/>
  <c r="K68" i="13" s="1"/>
  <c r="BV71" i="13"/>
  <c r="G72" i="13"/>
  <c r="J72" i="13"/>
  <c r="K72" i="13" s="1"/>
  <c r="T72" i="13"/>
  <c r="U72" i="13" s="1"/>
  <c r="BV72" i="13"/>
  <c r="BL73" i="13"/>
  <c r="AD74" i="13"/>
  <c r="AE74" i="13" s="1"/>
  <c r="BN75" i="13"/>
  <c r="AV80" i="13"/>
  <c r="BX87" i="13"/>
  <c r="G59" i="14"/>
  <c r="Y18" i="18"/>
  <c r="Z18" i="18" s="1"/>
  <c r="Y20" i="18"/>
  <c r="Z20" i="18" s="1"/>
  <c r="Y50" i="18"/>
  <c r="Z50" i="18" s="1"/>
  <c r="U53" i="18"/>
  <c r="V53" i="18" s="1"/>
  <c r="Y66" i="18"/>
  <c r="Z66" i="18" s="1"/>
  <c r="Y72" i="18"/>
  <c r="Z72" i="18" s="1"/>
  <c r="U73" i="18"/>
  <c r="V73" i="18" s="1"/>
  <c r="Y74" i="18"/>
  <c r="Z74" i="18" s="1"/>
  <c r="Y10" i="19"/>
  <c r="W15" i="19"/>
  <c r="M31" i="19"/>
  <c r="N33" i="19"/>
  <c r="G35" i="19"/>
  <c r="M39" i="19"/>
  <c r="M43" i="19"/>
  <c r="T44" i="19"/>
  <c r="U44" i="19" s="1"/>
  <c r="M47" i="19"/>
  <c r="M51" i="19"/>
  <c r="T52" i="19"/>
  <c r="U52" i="19" s="1"/>
  <c r="C54" i="19"/>
  <c r="T55" i="19"/>
  <c r="U55" i="19" s="1"/>
  <c r="W54" i="19"/>
  <c r="T57" i="19"/>
  <c r="U57" i="19" s="1"/>
  <c r="X57" i="19"/>
  <c r="T61" i="19"/>
  <c r="U61" i="19" s="1"/>
  <c r="X61" i="19"/>
  <c r="M63" i="19"/>
  <c r="T72" i="19"/>
  <c r="U72" i="19" s="1"/>
  <c r="G75" i="19"/>
  <c r="W76" i="19"/>
  <c r="X76" i="19" s="1"/>
  <c r="M82" i="19"/>
  <c r="M62" i="19"/>
  <c r="M66" i="19"/>
  <c r="M74" i="19"/>
  <c r="N76" i="19"/>
  <c r="F76" i="19"/>
  <c r="T91" i="19"/>
  <c r="T12" i="19" s="1"/>
  <c r="T11" i="19" s="1"/>
  <c r="G107" i="19"/>
  <c r="C106" i="19"/>
  <c r="M75" i="19"/>
  <c r="M78" i="19"/>
  <c r="K76" i="19"/>
  <c r="X78" i="19"/>
  <c r="T79" i="19"/>
  <c r="U79" i="19" s="1"/>
  <c r="M83" i="19"/>
  <c r="T84" i="19"/>
  <c r="U84" i="19" s="1"/>
  <c r="M86" i="19"/>
  <c r="AT22" i="4"/>
  <c r="AU22" i="4" s="1"/>
  <c r="J25" i="1"/>
  <c r="K25" i="1" s="1"/>
  <c r="J27" i="1"/>
  <c r="L32" i="1"/>
  <c r="M32" i="1" s="1"/>
  <c r="AT41" i="4"/>
  <c r="G45" i="4"/>
  <c r="L52" i="4"/>
  <c r="G46" i="1"/>
  <c r="L48" i="1"/>
  <c r="J53" i="1"/>
  <c r="J59" i="1"/>
  <c r="K59" i="1" s="1"/>
  <c r="J66" i="1"/>
  <c r="K66" i="1" s="1"/>
  <c r="L67" i="1"/>
  <c r="J71" i="1"/>
  <c r="J90" i="1"/>
  <c r="G57" i="2"/>
  <c r="G58" i="2"/>
  <c r="G69" i="2"/>
  <c r="L24" i="4"/>
  <c r="L26" i="4"/>
  <c r="L27" i="4"/>
  <c r="AT46" i="4"/>
  <c r="G47" i="4"/>
  <c r="L49" i="4"/>
  <c r="G50" i="4"/>
  <c r="L62" i="4"/>
  <c r="G64" i="4"/>
  <c r="L84" i="4"/>
  <c r="G104" i="4"/>
  <c r="G20" i="5"/>
  <c r="G30" i="5"/>
  <c r="G49" i="10"/>
  <c r="J88" i="16"/>
  <c r="U27" i="18"/>
  <c r="V27" i="18" s="1"/>
  <c r="U59" i="18"/>
  <c r="V59" i="18" s="1"/>
  <c r="Y60" i="18"/>
  <c r="Z60" i="18" s="1"/>
  <c r="G61" i="18"/>
  <c r="Y70" i="18"/>
  <c r="Z70" i="18" s="1"/>
  <c r="R82" i="18"/>
  <c r="BX16" i="13"/>
  <c r="L17" i="13"/>
  <c r="M17" i="13" s="1"/>
  <c r="BV23" i="13"/>
  <c r="J24" i="13"/>
  <c r="K24" i="13" s="1"/>
  <c r="T24" i="13"/>
  <c r="U24" i="13" s="1"/>
  <c r="AT24" i="13"/>
  <c r="AU24" i="13" s="1"/>
  <c r="BL24" i="13"/>
  <c r="BM24" i="13" s="1"/>
  <c r="BX24" i="13"/>
  <c r="J25" i="13"/>
  <c r="K25" i="13" s="1"/>
  <c r="T25" i="13"/>
  <c r="U25" i="13" s="1"/>
  <c r="AD25" i="13"/>
  <c r="AE25" i="13" s="1"/>
  <c r="AT25" i="13"/>
  <c r="AU25" i="13" s="1"/>
  <c r="BX25" i="13"/>
  <c r="BL27" i="13"/>
  <c r="BM27" i="13" s="1"/>
  <c r="BL32" i="13"/>
  <c r="BM32" i="13" s="1"/>
  <c r="AD34" i="13"/>
  <c r="AE34" i="13" s="1"/>
  <c r="AT34" i="13"/>
  <c r="BL34" i="13"/>
  <c r="BM34" i="13" s="1"/>
  <c r="V35" i="13"/>
  <c r="W35" i="13" s="1"/>
  <c r="V37" i="13"/>
  <c r="W37" i="13" s="1"/>
  <c r="AV37" i="13"/>
  <c r="AW37" i="13" s="1"/>
  <c r="BN37" i="13"/>
  <c r="BO37" i="13" s="1"/>
  <c r="L39" i="13"/>
  <c r="M39" i="13" s="1"/>
  <c r="AF39" i="13"/>
  <c r="AG39" i="13" s="1"/>
  <c r="J40" i="13"/>
  <c r="K40" i="13" s="1"/>
  <c r="AD42" i="13"/>
  <c r="AE42" i="13" s="1"/>
  <c r="J43" i="13"/>
  <c r="K43" i="13" s="1"/>
  <c r="T43" i="13"/>
  <c r="U43" i="13" s="1"/>
  <c r="BL43" i="13"/>
  <c r="BM43" i="13" s="1"/>
  <c r="L44" i="13"/>
  <c r="M44" i="13" s="1"/>
  <c r="T44" i="13"/>
  <c r="U44" i="13" s="1"/>
  <c r="BV44" i="13"/>
  <c r="AT45" i="13"/>
  <c r="BL45" i="13"/>
  <c r="BM45" i="13" s="1"/>
  <c r="G46" i="13"/>
  <c r="BV48" i="13"/>
  <c r="AD49" i="13"/>
  <c r="AE49" i="13" s="1"/>
  <c r="AT49" i="13"/>
  <c r="AU49" i="13" s="1"/>
  <c r="BL49" i="13"/>
  <c r="BM49" i="13" s="1"/>
  <c r="BV49" i="13"/>
  <c r="AT50" i="13"/>
  <c r="AU50" i="13" s="1"/>
  <c r="J56" i="13"/>
  <c r="K56" i="13" s="1"/>
  <c r="BN57" i="13"/>
  <c r="BO57" i="13" s="1"/>
  <c r="G64" i="13"/>
  <c r="J79" i="13"/>
  <c r="K79" i="13" s="1"/>
  <c r="AD79" i="13"/>
  <c r="AE79" i="13" s="1"/>
  <c r="L82" i="13"/>
  <c r="M82" i="13" s="1"/>
  <c r="V83" i="13"/>
  <c r="W83" i="13" s="1"/>
  <c r="AV83" i="13"/>
  <c r="AW83" i="13" s="1"/>
  <c r="BN83" i="13"/>
  <c r="BO83" i="13" s="1"/>
  <c r="AV84" i="13"/>
  <c r="AW84" i="13" s="1"/>
  <c r="BN84" i="13"/>
  <c r="BO84" i="13" s="1"/>
  <c r="T86" i="13"/>
  <c r="U86" i="13" s="1"/>
  <c r="BL87" i="13"/>
  <c r="V89" i="13"/>
  <c r="W89" i="13" s="1"/>
  <c r="BN89" i="13"/>
  <c r="BO89" i="13" s="1"/>
  <c r="BV89" i="13"/>
  <c r="J22" i="16"/>
  <c r="I48" i="16"/>
  <c r="G53" i="16"/>
  <c r="I79" i="16"/>
  <c r="L30" i="12"/>
  <c r="I30" i="12" s="1"/>
  <c r="J30" i="12" s="1"/>
  <c r="L31" i="12"/>
  <c r="I31" i="12" s="1"/>
  <c r="J31" i="12" s="1"/>
  <c r="G44" i="12"/>
  <c r="L44" i="12"/>
  <c r="I44" i="12" s="1"/>
  <c r="J44" i="12" s="1"/>
  <c r="G80" i="12"/>
  <c r="L80" i="12"/>
  <c r="M80" i="12" s="1"/>
  <c r="BL22" i="13"/>
  <c r="BM22" i="13" s="1"/>
  <c r="V25" i="13"/>
  <c r="W25" i="13" s="1"/>
  <c r="V26" i="13"/>
  <c r="W26" i="13" s="1"/>
  <c r="AF26" i="13"/>
  <c r="AG26" i="13" s="1"/>
  <c r="V27" i="13"/>
  <c r="W27" i="13" s="1"/>
  <c r="L29" i="13"/>
  <c r="M29" i="13" s="1"/>
  <c r="BX29" i="13"/>
  <c r="BV30" i="13"/>
  <c r="J31" i="13"/>
  <c r="K31" i="13" s="1"/>
  <c r="BX32" i="13"/>
  <c r="AT35" i="13"/>
  <c r="AU35" i="13" s="1"/>
  <c r="T36" i="13"/>
  <c r="U36" i="13" s="1"/>
  <c r="J37" i="13"/>
  <c r="K37" i="13" s="1"/>
  <c r="AD37" i="13"/>
  <c r="AE37" i="13" s="1"/>
  <c r="AT37" i="13"/>
  <c r="AU37" i="13" s="1"/>
  <c r="AV50" i="13"/>
  <c r="AW50" i="13" s="1"/>
  <c r="AV52" i="13"/>
  <c r="AW52" i="13" s="1"/>
  <c r="T53" i="13"/>
  <c r="U53" i="13" s="1"/>
  <c r="AV55" i="13"/>
  <c r="V56" i="13"/>
  <c r="W56" i="13" s="1"/>
  <c r="AD57" i="13"/>
  <c r="AE57" i="13" s="1"/>
  <c r="AT57" i="13"/>
  <c r="AU57" i="13" s="1"/>
  <c r="BL57" i="13"/>
  <c r="BM57" i="13" s="1"/>
  <c r="AF66" i="13"/>
  <c r="AG66" i="13" s="1"/>
  <c r="V68" i="13"/>
  <c r="W68" i="13" s="1"/>
  <c r="AV68" i="13"/>
  <c r="AW68" i="13" s="1"/>
  <c r="BN68" i="13"/>
  <c r="BO68" i="13" s="1"/>
  <c r="BL75" i="13"/>
  <c r="BV75" i="13"/>
  <c r="L77" i="13"/>
  <c r="M77" i="13" s="1"/>
  <c r="AF77" i="13"/>
  <c r="AG77" i="13" s="1"/>
  <c r="V79" i="13"/>
  <c r="W79" i="13" s="1"/>
  <c r="J82" i="13"/>
  <c r="K82" i="13" s="1"/>
  <c r="T82" i="13"/>
  <c r="U82" i="13" s="1"/>
  <c r="T83" i="13"/>
  <c r="U83" i="13" s="1"/>
  <c r="G36" i="14"/>
  <c r="I40" i="14"/>
  <c r="J40" i="14" s="1"/>
  <c r="I42" i="14"/>
  <c r="J42" i="14" s="1"/>
  <c r="I43" i="14"/>
  <c r="J43" i="14" s="1"/>
  <c r="G44" i="14"/>
  <c r="I48" i="14"/>
  <c r="J48" i="14" s="1"/>
  <c r="I50" i="14"/>
  <c r="J50" i="14" s="1"/>
  <c r="G52" i="14"/>
  <c r="G19" i="15"/>
  <c r="I88" i="16"/>
  <c r="Y16" i="18"/>
  <c r="Z16" i="18" s="1"/>
  <c r="Y23" i="18"/>
  <c r="Z23" i="18" s="1"/>
  <c r="Y56" i="18"/>
  <c r="Z56" i="18" s="1"/>
  <c r="G57" i="18"/>
  <c r="Y69" i="18"/>
  <c r="Z69" i="18" s="1"/>
  <c r="G53" i="2"/>
  <c r="AQ54" i="4"/>
  <c r="L17" i="1"/>
  <c r="M17" i="1" s="1"/>
  <c r="L21" i="1"/>
  <c r="M21" i="1" s="1"/>
  <c r="J23" i="1"/>
  <c r="L25" i="1"/>
  <c r="M25" i="1" s="1"/>
  <c r="L29" i="1"/>
  <c r="M29" i="1" s="1"/>
  <c r="J32" i="1"/>
  <c r="K32" i="1" s="1"/>
  <c r="J43" i="1"/>
  <c r="K43" i="1" s="1"/>
  <c r="J46" i="1"/>
  <c r="K46" i="1" s="1"/>
  <c r="L50" i="1"/>
  <c r="M50" i="1" s="1"/>
  <c r="L63" i="1"/>
  <c r="J64" i="1"/>
  <c r="L69" i="1"/>
  <c r="L70" i="1"/>
  <c r="M70" i="1" s="1"/>
  <c r="L80" i="1"/>
  <c r="L82" i="1"/>
  <c r="J88" i="1"/>
  <c r="L33" i="2"/>
  <c r="M33" i="2" s="1"/>
  <c r="J16" i="1"/>
  <c r="J18" i="1"/>
  <c r="K18" i="1" s="1"/>
  <c r="J20" i="1"/>
  <c r="K20" i="1" s="1"/>
  <c r="J22" i="1"/>
  <c r="K22" i="1" s="1"/>
  <c r="G37" i="1"/>
  <c r="G42" i="1"/>
  <c r="J48" i="1"/>
  <c r="L59" i="1"/>
  <c r="M59" i="1" s="1"/>
  <c r="L60" i="1"/>
  <c r="L61" i="1"/>
  <c r="J67" i="1"/>
  <c r="J80" i="1"/>
  <c r="G16" i="3"/>
  <c r="L25" i="4"/>
  <c r="L28" i="4"/>
  <c r="G30" i="4"/>
  <c r="G35" i="4"/>
  <c r="G56" i="4"/>
  <c r="L64" i="4"/>
  <c r="L68" i="4"/>
  <c r="G73" i="4"/>
  <c r="L82" i="4"/>
  <c r="AT84" i="4"/>
  <c r="I15" i="7"/>
  <c r="J15" i="7" s="1"/>
  <c r="P15" i="7"/>
  <c r="Q15" i="7" s="1"/>
  <c r="Q88" i="7"/>
  <c r="G25" i="10"/>
  <c r="G30" i="10"/>
  <c r="L20" i="12"/>
  <c r="I20" i="12" s="1"/>
  <c r="J20" i="12" s="1"/>
  <c r="L21" i="12"/>
  <c r="I21" i="12" s="1"/>
  <c r="J21" i="12" s="1"/>
  <c r="L22" i="12"/>
  <c r="I22" i="12" s="1"/>
  <c r="J22" i="12" s="1"/>
  <c r="L23" i="12"/>
  <c r="L26" i="12"/>
  <c r="I26" i="12" s="1"/>
  <c r="J26" i="12" s="1"/>
  <c r="L27" i="12"/>
  <c r="I27" i="12" s="1"/>
  <c r="J27" i="12" s="1"/>
  <c r="G36" i="12"/>
  <c r="L36" i="12"/>
  <c r="I36" i="12" s="1"/>
  <c r="J36" i="12" s="1"/>
  <c r="G40" i="12"/>
  <c r="L41" i="12"/>
  <c r="L42" i="12"/>
  <c r="L43" i="12"/>
  <c r="L85" i="12"/>
  <c r="I85" i="12" s="1"/>
  <c r="J85" i="12" s="1"/>
  <c r="U37" i="18"/>
  <c r="V37" i="18" s="1"/>
  <c r="AT29" i="4"/>
  <c r="AU29" i="4" s="1"/>
  <c r="AT35" i="4"/>
  <c r="AT48" i="4"/>
  <c r="AT53" i="4"/>
  <c r="AU53" i="4" s="1"/>
  <c r="AT72" i="4"/>
  <c r="AU72" i="4" s="1"/>
  <c r="O54" i="12"/>
  <c r="J16" i="13"/>
  <c r="K16" i="13" s="1"/>
  <c r="AD19" i="13"/>
  <c r="AE19" i="13" s="1"/>
  <c r="AT19" i="13"/>
  <c r="AU19" i="13" s="1"/>
  <c r="AT22" i="13"/>
  <c r="BN23" i="13"/>
  <c r="BO23" i="13" s="1"/>
  <c r="T26" i="13"/>
  <c r="U26" i="13" s="1"/>
  <c r="AT26" i="13"/>
  <c r="AU26" i="13" s="1"/>
  <c r="BV28" i="13"/>
  <c r="V29" i="13"/>
  <c r="W29" i="13" s="1"/>
  <c r="AV30" i="13"/>
  <c r="BN31" i="13"/>
  <c r="BO31" i="13" s="1"/>
  <c r="V32" i="13"/>
  <c r="W32" i="13" s="1"/>
  <c r="J34" i="13"/>
  <c r="K34" i="13" s="1"/>
  <c r="AF35" i="13"/>
  <c r="AG35" i="13" s="1"/>
  <c r="BX35" i="13"/>
  <c r="J39" i="13"/>
  <c r="K39" i="13" s="1"/>
  <c r="T39" i="13"/>
  <c r="U39" i="13" s="1"/>
  <c r="AD39" i="13"/>
  <c r="AE39" i="13" s="1"/>
  <c r="AT39" i="13"/>
  <c r="AU39" i="13" s="1"/>
  <c r="V40" i="13"/>
  <c r="W40" i="13" s="1"/>
  <c r="AF40" i="13"/>
  <c r="AG40" i="13" s="1"/>
  <c r="G49" i="3"/>
  <c r="N15" i="4"/>
  <c r="L22" i="4"/>
  <c r="L32" i="4"/>
  <c r="L36" i="4"/>
  <c r="L46" i="4"/>
  <c r="AT47" i="4"/>
  <c r="AU47" i="4" s="1"/>
  <c r="AH59" i="4"/>
  <c r="L72" i="4"/>
  <c r="AT74" i="4"/>
  <c r="G64" i="5"/>
  <c r="G69" i="5"/>
  <c r="G72" i="5"/>
  <c r="G32" i="6"/>
  <c r="X32" i="6"/>
  <c r="L45" i="12"/>
  <c r="M45" i="12" s="1"/>
  <c r="L49" i="12"/>
  <c r="M49" i="12" s="1"/>
  <c r="G78" i="12"/>
  <c r="L78" i="12"/>
  <c r="I78" i="12" s="1"/>
  <c r="J78" i="12" s="1"/>
  <c r="L79" i="12"/>
  <c r="L83" i="12"/>
  <c r="I83" i="12" s="1"/>
  <c r="J83" i="12" s="1"/>
  <c r="AT17" i="13"/>
  <c r="AU17" i="13" s="1"/>
  <c r="AD18" i="13"/>
  <c r="AE18" i="13" s="1"/>
  <c r="AD20" i="13"/>
  <c r="AE20" i="13" s="1"/>
  <c r="AT20" i="13"/>
  <c r="AU20" i="13" s="1"/>
  <c r="T21" i="13"/>
  <c r="U21" i="13" s="1"/>
  <c r="BL23" i="13"/>
  <c r="BM23" i="13" s="1"/>
  <c r="AD31" i="13"/>
  <c r="AE31" i="13" s="1"/>
  <c r="BV31" i="13"/>
  <c r="AD35" i="13"/>
  <c r="AE35" i="13" s="1"/>
  <c r="BL36" i="13"/>
  <c r="BM36" i="13" s="1"/>
  <c r="J38" i="13"/>
  <c r="K38" i="13" s="1"/>
  <c r="BX38" i="13"/>
  <c r="J45" i="16"/>
  <c r="J48" i="16"/>
  <c r="I85" i="16"/>
  <c r="I87" i="16"/>
  <c r="U25" i="18"/>
  <c r="V25" i="18" s="1"/>
  <c r="U45" i="18"/>
  <c r="V45" i="18" s="1"/>
  <c r="Y65" i="18"/>
  <c r="Z65" i="18" s="1"/>
  <c r="Y84" i="18"/>
  <c r="Z84" i="18" s="1"/>
  <c r="G85" i="18"/>
  <c r="G90" i="18"/>
  <c r="BN41" i="13"/>
  <c r="BO41" i="13" s="1"/>
  <c r="L42" i="13"/>
  <c r="M42" i="13" s="1"/>
  <c r="AV47" i="13"/>
  <c r="AW47" i="13" s="1"/>
  <c r="BN47" i="13"/>
  <c r="BO47" i="13" s="1"/>
  <c r="AV48" i="13"/>
  <c r="AW48" i="13" s="1"/>
  <c r="BN48" i="13"/>
  <c r="BO48" i="13" s="1"/>
  <c r="AD50" i="13"/>
  <c r="AE50" i="13" s="1"/>
  <c r="BL50" i="13"/>
  <c r="BM50" i="13" s="1"/>
  <c r="J52" i="13"/>
  <c r="K52" i="13" s="1"/>
  <c r="T52" i="13"/>
  <c r="U52" i="13" s="1"/>
  <c r="V55" i="13"/>
  <c r="W55" i="13" s="1"/>
  <c r="BL58" i="13"/>
  <c r="BM58" i="13" s="1"/>
  <c r="AV61" i="13"/>
  <c r="BV61" i="13"/>
  <c r="V62" i="13"/>
  <c r="AF62" i="13"/>
  <c r="AV62" i="13"/>
  <c r="BL63" i="13"/>
  <c r="BX66" i="13"/>
  <c r="L67" i="13"/>
  <c r="M67" i="13" s="1"/>
  <c r="BV68" i="13"/>
  <c r="BN69" i="13"/>
  <c r="BX69" i="13"/>
  <c r="L70" i="13"/>
  <c r="M70" i="13" s="1"/>
  <c r="AF70" i="13"/>
  <c r="AG70" i="13" s="1"/>
  <c r="BX70" i="13"/>
  <c r="L71" i="13"/>
  <c r="M71" i="13" s="1"/>
  <c r="J73" i="13"/>
  <c r="T73" i="13"/>
  <c r="AT73" i="13"/>
  <c r="AT77" i="13"/>
  <c r="T78" i="13"/>
  <c r="U78" i="13" s="1"/>
  <c r="AT81" i="13"/>
  <c r="BX81" i="13"/>
  <c r="L83" i="13"/>
  <c r="M83" i="13" s="1"/>
  <c r="J84" i="13"/>
  <c r="K84" i="13" s="1"/>
  <c r="AD84" i="13"/>
  <c r="AE84" i="13" s="1"/>
  <c r="AT84" i="13"/>
  <c r="AU84" i="13" s="1"/>
  <c r="L86" i="13"/>
  <c r="M86" i="13" s="1"/>
  <c r="AD89" i="13"/>
  <c r="AE89" i="13" s="1"/>
  <c r="AD90" i="13"/>
  <c r="AE90" i="13" s="1"/>
  <c r="G67" i="14"/>
  <c r="G75" i="14"/>
  <c r="G23" i="15"/>
  <c r="J18" i="16"/>
  <c r="I20" i="16"/>
  <c r="J29" i="16"/>
  <c r="J30" i="16"/>
  <c r="J37" i="16"/>
  <c r="J38" i="16"/>
  <c r="J46" i="16"/>
  <c r="I47" i="16"/>
  <c r="I52" i="16"/>
  <c r="I78" i="16"/>
  <c r="Y17" i="18"/>
  <c r="Z17" i="18" s="1"/>
  <c r="M15" i="18"/>
  <c r="N15" i="18" s="1"/>
  <c r="U31" i="18"/>
  <c r="V31" i="18" s="1"/>
  <c r="Y32" i="18"/>
  <c r="Z32" i="18" s="1"/>
  <c r="U38" i="18"/>
  <c r="V38" i="18" s="1"/>
  <c r="U41" i="18"/>
  <c r="V41" i="18" s="1"/>
  <c r="U49" i="18"/>
  <c r="V49" i="18" s="1"/>
  <c r="J46" i="13"/>
  <c r="K46" i="13" s="1"/>
  <c r="BL46" i="13"/>
  <c r="BM46" i="13" s="1"/>
  <c r="BV46" i="13"/>
  <c r="AD47" i="13"/>
  <c r="AE47" i="13" s="1"/>
  <c r="AD48" i="13"/>
  <c r="AE48" i="13" s="1"/>
  <c r="AF50" i="13"/>
  <c r="AG50" i="13" s="1"/>
  <c r="V51" i="13"/>
  <c r="W51" i="13" s="1"/>
  <c r="AV51" i="13"/>
  <c r="AW51" i="13" s="1"/>
  <c r="BX57" i="13"/>
  <c r="L58" i="13"/>
  <c r="M58" i="13" s="1"/>
  <c r="AF58" i="13"/>
  <c r="AG58" i="13" s="1"/>
  <c r="BX58" i="13"/>
  <c r="L59" i="13"/>
  <c r="M59" i="13" s="1"/>
  <c r="AV60" i="13"/>
  <c r="AW60" i="13" s="1"/>
  <c r="T61" i="13"/>
  <c r="AD61" i="13"/>
  <c r="AT61" i="13"/>
  <c r="J62" i="13"/>
  <c r="T62" i="13"/>
  <c r="BX65" i="13"/>
  <c r="L66" i="13"/>
  <c r="M66" i="13" s="1"/>
  <c r="BL69" i="13"/>
  <c r="G71" i="13"/>
  <c r="BX71" i="13"/>
  <c r="L72" i="13"/>
  <c r="M72" i="13" s="1"/>
  <c r="BX72" i="13"/>
  <c r="L73" i="13"/>
  <c r="BX75" i="13"/>
  <c r="T77" i="13"/>
  <c r="U77" i="13" s="1"/>
  <c r="BN79" i="13"/>
  <c r="BO79" i="13" s="1"/>
  <c r="T80" i="13"/>
  <c r="U80" i="13" s="1"/>
  <c r="AD80" i="13"/>
  <c r="AE80" i="13" s="1"/>
  <c r="G83" i="13"/>
  <c r="AD83" i="13"/>
  <c r="AE83" i="13" s="1"/>
  <c r="BX83" i="13"/>
  <c r="AD85" i="13"/>
  <c r="BL85" i="13"/>
  <c r="AF88" i="13"/>
  <c r="AG88" i="13" s="1"/>
  <c r="BX88" i="13"/>
  <c r="L89" i="13"/>
  <c r="M89" i="13" s="1"/>
  <c r="BV90" i="13"/>
  <c r="I82" i="14"/>
  <c r="J82" i="14" s="1"/>
  <c r="I90" i="14"/>
  <c r="J90" i="14" s="1"/>
  <c r="G45" i="15"/>
  <c r="I17" i="16"/>
  <c r="G38" i="16"/>
  <c r="I45" i="16"/>
  <c r="K45" i="16" s="1"/>
  <c r="Q54" i="16"/>
  <c r="S54" i="16" s="1"/>
  <c r="F54" i="16"/>
  <c r="G54" i="16" s="1"/>
  <c r="I68" i="16"/>
  <c r="I70" i="16"/>
  <c r="I72" i="16"/>
  <c r="I74" i="16"/>
  <c r="Y22" i="18"/>
  <c r="Z22" i="18" s="1"/>
  <c r="U28" i="18"/>
  <c r="V28" i="18" s="1"/>
  <c r="Y41" i="18"/>
  <c r="Z41" i="18" s="1"/>
  <c r="G42" i="18"/>
  <c r="Y42" i="18"/>
  <c r="Z42" i="18" s="1"/>
  <c r="G43" i="18"/>
  <c r="M33" i="18"/>
  <c r="N33" i="18" s="1"/>
  <c r="U43" i="18"/>
  <c r="V43" i="18" s="1"/>
  <c r="U69" i="18"/>
  <c r="V69" i="18" s="1"/>
  <c r="Y73" i="18"/>
  <c r="Z73" i="18" s="1"/>
  <c r="Y75" i="18"/>
  <c r="Z75" i="18" s="1"/>
  <c r="G89" i="18"/>
  <c r="AK15" i="4"/>
  <c r="AL15" i="4" s="1"/>
  <c r="X33" i="1"/>
  <c r="X15" i="4"/>
  <c r="Y15" i="4" s="1"/>
  <c r="U15" i="4"/>
  <c r="V15" i="4" s="1"/>
  <c r="F33" i="4"/>
  <c r="L89" i="4"/>
  <c r="J29" i="1"/>
  <c r="K29" i="1" s="1"/>
  <c r="L31" i="1"/>
  <c r="L34" i="1"/>
  <c r="J36" i="1"/>
  <c r="L40" i="1"/>
  <c r="M40" i="1" s="1"/>
  <c r="L44" i="1"/>
  <c r="M44" i="1" s="1"/>
  <c r="J45" i="1"/>
  <c r="J47" i="1"/>
  <c r="K47" i="1" s="1"/>
  <c r="J49" i="1"/>
  <c r="K49" i="1" s="1"/>
  <c r="J56" i="1"/>
  <c r="K56" i="1" s="1"/>
  <c r="L65" i="1"/>
  <c r="J68" i="1"/>
  <c r="J70" i="1"/>
  <c r="K70" i="1" s="1"/>
  <c r="J75" i="1"/>
  <c r="L78" i="1"/>
  <c r="M78" i="1" s="1"/>
  <c r="J79" i="1"/>
  <c r="L81" i="1"/>
  <c r="L87" i="1"/>
  <c r="N76" i="2"/>
  <c r="O76" i="2" s="1"/>
  <c r="F76" i="3"/>
  <c r="F15" i="4"/>
  <c r="AT19" i="4"/>
  <c r="AT24" i="4"/>
  <c r="AU24" i="4" s="1"/>
  <c r="AG33" i="4"/>
  <c r="AH33" i="4" s="1"/>
  <c r="AO33" i="4"/>
  <c r="AP33" i="4" s="1"/>
  <c r="G57" i="4"/>
  <c r="AT61" i="4"/>
  <c r="AU61" i="4" s="1"/>
  <c r="AT62" i="4"/>
  <c r="AU62" i="4" s="1"/>
  <c r="G63" i="4"/>
  <c r="AT64" i="4"/>
  <c r="AT66" i="4"/>
  <c r="AU66" i="4" s="1"/>
  <c r="AT67" i="4"/>
  <c r="AT73" i="4"/>
  <c r="U76" i="4"/>
  <c r="V76" i="4" s="1"/>
  <c r="X38" i="6"/>
  <c r="W54" i="6"/>
  <c r="X54" i="6" s="1"/>
  <c r="S76" i="7"/>
  <c r="T76" i="7" s="1"/>
  <c r="G41" i="10"/>
  <c r="G72" i="10"/>
  <c r="L81" i="12"/>
  <c r="G86" i="12"/>
  <c r="L86" i="12"/>
  <c r="I86" i="12" s="1"/>
  <c r="J86" i="12" s="1"/>
  <c r="AH15" i="13"/>
  <c r="AD16" i="13"/>
  <c r="AE16" i="13" s="1"/>
  <c r="AL15" i="13"/>
  <c r="AP15" i="13"/>
  <c r="L19" i="1"/>
  <c r="G107" i="1"/>
  <c r="F106" i="1"/>
  <c r="F13" i="1" s="1"/>
  <c r="L54" i="2"/>
  <c r="M54" i="2" s="1"/>
  <c r="N33" i="4"/>
  <c r="G18" i="1"/>
  <c r="J21" i="1"/>
  <c r="K21" i="1" s="1"/>
  <c r="G22" i="1"/>
  <c r="L23" i="1"/>
  <c r="L27" i="1"/>
  <c r="G30" i="1"/>
  <c r="J30" i="1"/>
  <c r="K30" i="1" s="1"/>
  <c r="L36" i="1"/>
  <c r="J40" i="1"/>
  <c r="K40" i="1" s="1"/>
  <c r="L55" i="1"/>
  <c r="F54" i="1"/>
  <c r="J62" i="1"/>
  <c r="J63" i="1"/>
  <c r="J74" i="1"/>
  <c r="K74" i="1" s="1"/>
  <c r="L75" i="1"/>
  <c r="J78" i="1"/>
  <c r="K78" i="1" s="1"/>
  <c r="AA76" i="1"/>
  <c r="AB76" i="1" s="1"/>
  <c r="L84" i="1"/>
  <c r="M84" i="1" s="1"/>
  <c r="L86" i="1"/>
  <c r="G37" i="2"/>
  <c r="G65" i="2"/>
  <c r="G72" i="2"/>
  <c r="G40" i="3"/>
  <c r="L35" i="4"/>
  <c r="AT37" i="4"/>
  <c r="L42" i="4"/>
  <c r="L47" i="4"/>
  <c r="G59" i="4"/>
  <c r="L74" i="4"/>
  <c r="G81" i="4"/>
  <c r="L81" i="4"/>
  <c r="G22" i="6"/>
  <c r="W33" i="6"/>
  <c r="F33" i="6"/>
  <c r="G33" i="6" s="1"/>
  <c r="X43" i="6"/>
  <c r="G32" i="8"/>
  <c r="G58" i="12"/>
  <c r="F54" i="12"/>
  <c r="G51" i="13"/>
  <c r="J87" i="1"/>
  <c r="L89" i="1"/>
  <c r="G111" i="1"/>
  <c r="R76" i="2"/>
  <c r="S76" i="2" s="1"/>
  <c r="I15" i="3"/>
  <c r="J15" i="3" s="1"/>
  <c r="G20" i="3"/>
  <c r="F54" i="3"/>
  <c r="G28" i="4"/>
  <c r="AT28" i="4"/>
  <c r="AT31" i="4"/>
  <c r="G42" i="4"/>
  <c r="L44" i="4"/>
  <c r="AT60" i="4"/>
  <c r="AT65" i="4"/>
  <c r="AU65" i="4" s="1"/>
  <c r="G69" i="4"/>
  <c r="L71" i="4"/>
  <c r="AT75" i="4"/>
  <c r="F76" i="4"/>
  <c r="AT88" i="4"/>
  <c r="W15" i="6"/>
  <c r="G25" i="6"/>
  <c r="X53" i="6"/>
  <c r="G27" i="8"/>
  <c r="G31" i="8"/>
  <c r="G47" i="8"/>
  <c r="G63" i="8"/>
  <c r="G83" i="8"/>
  <c r="G56" i="10"/>
  <c r="L29" i="12"/>
  <c r="I29" i="12" s="1"/>
  <c r="J29" i="12" s="1"/>
  <c r="L51" i="12"/>
  <c r="I51" i="12" s="1"/>
  <c r="J51" i="12" s="1"/>
  <c r="Q76" i="12"/>
  <c r="G31" i="13"/>
  <c r="U40" i="18"/>
  <c r="V40" i="18" s="1"/>
  <c r="G87" i="8"/>
  <c r="G22" i="10"/>
  <c r="G38" i="12"/>
  <c r="L38" i="12"/>
  <c r="I38" i="12" s="1"/>
  <c r="J38" i="12" s="1"/>
  <c r="G46" i="12"/>
  <c r="L87" i="12"/>
  <c r="T42" i="13"/>
  <c r="U42" i="13" s="1"/>
  <c r="G64" i="10"/>
  <c r="Q33" i="12"/>
  <c r="BV16" i="13"/>
  <c r="T18" i="13"/>
  <c r="U18" i="13" s="1"/>
  <c r="J19" i="13"/>
  <c r="K19" i="13" s="1"/>
  <c r="AF19" i="13"/>
  <c r="AG19" i="13" s="1"/>
  <c r="BX19" i="13"/>
  <c r="L20" i="13"/>
  <c r="M20" i="13" s="1"/>
  <c r="BV20" i="13"/>
  <c r="BX21" i="13"/>
  <c r="L22" i="13"/>
  <c r="M22" i="13" s="1"/>
  <c r="AF22" i="13"/>
  <c r="AG22" i="13" s="1"/>
  <c r="V23" i="13"/>
  <c r="W23" i="13" s="1"/>
  <c r="AD24" i="13"/>
  <c r="AE24" i="13" s="1"/>
  <c r="BN26" i="13"/>
  <c r="BO26" i="13" s="1"/>
  <c r="J27" i="13"/>
  <c r="K27" i="13" s="1"/>
  <c r="L28" i="13"/>
  <c r="M28" i="13" s="1"/>
  <c r="V28" i="13"/>
  <c r="W28" i="13" s="1"/>
  <c r="AF29" i="13"/>
  <c r="AG29" i="13" s="1"/>
  <c r="J30" i="13"/>
  <c r="K30" i="13" s="1"/>
  <c r="AT30" i="13"/>
  <c r="J32" i="13"/>
  <c r="K32" i="13" s="1"/>
  <c r="T32" i="13"/>
  <c r="U32" i="13" s="1"/>
  <c r="T35" i="13"/>
  <c r="U35" i="13" s="1"/>
  <c r="BL35" i="13"/>
  <c r="AF37" i="13"/>
  <c r="AG37" i="13" s="1"/>
  <c r="BX37" i="13"/>
  <c r="L38" i="13"/>
  <c r="M38" i="13" s="1"/>
  <c r="AF38" i="13"/>
  <c r="AG38" i="13" s="1"/>
  <c r="BV38" i="13"/>
  <c r="V39" i="13"/>
  <c r="W39" i="13" s="1"/>
  <c r="AT40" i="13"/>
  <c r="AU40" i="13" s="1"/>
  <c r="BN40" i="13"/>
  <c r="BO40" i="13" s="1"/>
  <c r="J41" i="13"/>
  <c r="K41" i="13" s="1"/>
  <c r="J42" i="13"/>
  <c r="K42" i="13" s="1"/>
  <c r="BX42" i="13"/>
  <c r="BV43" i="13"/>
  <c r="AV44" i="13"/>
  <c r="AW44" i="13" s="1"/>
  <c r="AD46" i="13"/>
  <c r="AE46" i="13" s="1"/>
  <c r="AT46" i="13"/>
  <c r="AU46" i="13" s="1"/>
  <c r="V47" i="13"/>
  <c r="W47" i="13" s="1"/>
  <c r="V49" i="13"/>
  <c r="W49" i="13" s="1"/>
  <c r="BN49" i="13"/>
  <c r="BO49" i="13" s="1"/>
  <c r="J51" i="13"/>
  <c r="K51" i="13" s="1"/>
  <c r="T51" i="13"/>
  <c r="U51" i="13" s="1"/>
  <c r="AD51" i="13"/>
  <c r="AE51" i="13" s="1"/>
  <c r="AT51" i="13"/>
  <c r="AU51" i="13" s="1"/>
  <c r="BV51" i="13"/>
  <c r="G86" i="13"/>
  <c r="K15" i="14"/>
  <c r="I39" i="14"/>
  <c r="J39" i="14" s="1"/>
  <c r="I47" i="14"/>
  <c r="J47" i="14" s="1"/>
  <c r="I59" i="14"/>
  <c r="J59" i="14" s="1"/>
  <c r="J20" i="16"/>
  <c r="J49" i="16"/>
  <c r="G60" i="10"/>
  <c r="L28" i="12"/>
  <c r="I28" i="12" s="1"/>
  <c r="J28" i="12" s="1"/>
  <c r="L32" i="12"/>
  <c r="I32" i="12" s="1"/>
  <c r="J32" i="12" s="1"/>
  <c r="G48" i="12"/>
  <c r="L52" i="12"/>
  <c r="I52" i="12" s="1"/>
  <c r="J52" i="12" s="1"/>
  <c r="L53" i="12"/>
  <c r="G82" i="12"/>
  <c r="L82" i="12"/>
  <c r="I82" i="12" s="1"/>
  <c r="J82" i="12" s="1"/>
  <c r="G88" i="12"/>
  <c r="L88" i="12"/>
  <c r="L89" i="12"/>
  <c r="T16" i="13"/>
  <c r="U16" i="13" s="1"/>
  <c r="BU15" i="13"/>
  <c r="BY15" i="13" s="1"/>
  <c r="V17" i="13"/>
  <c r="W17" i="13" s="1"/>
  <c r="AN15" i="13"/>
  <c r="BX17" i="13"/>
  <c r="BL18" i="13"/>
  <c r="BM18" i="13" s="1"/>
  <c r="AF20" i="13"/>
  <c r="AG20" i="13" s="1"/>
  <c r="AV20" i="13"/>
  <c r="AW20" i="13" s="1"/>
  <c r="BN20" i="13"/>
  <c r="BO20" i="13" s="1"/>
  <c r="V21" i="13"/>
  <c r="W21" i="13" s="1"/>
  <c r="AD21" i="13"/>
  <c r="AE21" i="13" s="1"/>
  <c r="AT21" i="13"/>
  <c r="AU21" i="13" s="1"/>
  <c r="BL21" i="13"/>
  <c r="BM21" i="13" s="1"/>
  <c r="G22" i="13"/>
  <c r="T22" i="13"/>
  <c r="U22" i="13" s="1"/>
  <c r="AD22" i="13"/>
  <c r="AE22" i="13" s="1"/>
  <c r="BN22" i="13"/>
  <c r="BO22" i="13" s="1"/>
  <c r="J23" i="13"/>
  <c r="K23" i="13" s="1"/>
  <c r="L24" i="13"/>
  <c r="M24" i="13" s="1"/>
  <c r="V24" i="13"/>
  <c r="W24" i="13" s="1"/>
  <c r="AF25" i="13"/>
  <c r="AG25" i="13" s="1"/>
  <c r="J26" i="13"/>
  <c r="K26" i="13" s="1"/>
  <c r="J28" i="13"/>
  <c r="K28" i="13" s="1"/>
  <c r="T28" i="13"/>
  <c r="U28" i="13" s="1"/>
  <c r="AT28" i="13"/>
  <c r="AU28" i="13" s="1"/>
  <c r="BL28" i="13"/>
  <c r="BM28" i="13" s="1"/>
  <c r="BX28" i="13"/>
  <c r="J29" i="13"/>
  <c r="K29" i="13" s="1"/>
  <c r="T29" i="13"/>
  <c r="U29" i="13" s="1"/>
  <c r="AD29" i="13"/>
  <c r="AE29" i="13" s="1"/>
  <c r="AT29" i="13"/>
  <c r="AU29" i="13" s="1"/>
  <c r="V30" i="13"/>
  <c r="W30" i="13" s="1"/>
  <c r="AF30" i="13"/>
  <c r="AG30" i="13" s="1"/>
  <c r="L31" i="13"/>
  <c r="M31" i="13" s="1"/>
  <c r="T31" i="13"/>
  <c r="U31" i="13" s="1"/>
  <c r="AV31" i="13"/>
  <c r="AW31" i="13" s="1"/>
  <c r="T34" i="13"/>
  <c r="U34" i="13" s="1"/>
  <c r="L35" i="13"/>
  <c r="M35" i="13" s="1"/>
  <c r="AD36" i="13"/>
  <c r="AE36" i="13" s="1"/>
  <c r="AT36" i="13"/>
  <c r="AU36" i="13" s="1"/>
  <c r="AD38" i="13"/>
  <c r="AE38" i="13" s="1"/>
  <c r="BL41" i="13"/>
  <c r="BM41" i="13" s="1"/>
  <c r="AT42" i="13"/>
  <c r="AU42" i="13" s="1"/>
  <c r="BL42" i="13"/>
  <c r="BM42" i="13" s="1"/>
  <c r="AD43" i="13"/>
  <c r="AE43" i="13" s="1"/>
  <c r="AT44" i="13"/>
  <c r="AU44" i="13" s="1"/>
  <c r="J45" i="13"/>
  <c r="K45" i="13" s="1"/>
  <c r="T45" i="13"/>
  <c r="U45" i="13" s="1"/>
  <c r="AD45" i="13"/>
  <c r="AE45" i="13" s="1"/>
  <c r="V46" i="13"/>
  <c r="W46" i="13" s="1"/>
  <c r="BN46" i="13"/>
  <c r="BO46" i="13" s="1"/>
  <c r="BV47" i="13"/>
  <c r="J48" i="13"/>
  <c r="K48" i="13" s="1"/>
  <c r="AF48" i="13"/>
  <c r="AG48" i="13" s="1"/>
  <c r="T49" i="13"/>
  <c r="U49" i="13" s="1"/>
  <c r="BN50" i="13"/>
  <c r="BO50" i="13" s="1"/>
  <c r="BX50" i="13"/>
  <c r="L51" i="13"/>
  <c r="M51" i="13" s="1"/>
  <c r="BX52" i="13"/>
  <c r="J53" i="13"/>
  <c r="K53" i="13" s="1"/>
  <c r="AV53" i="13"/>
  <c r="AW53" i="13" s="1"/>
  <c r="BL67" i="13"/>
  <c r="BM67" i="13" s="1"/>
  <c r="AT78" i="13"/>
  <c r="AU78" i="13" s="1"/>
  <c r="U24" i="18"/>
  <c r="V24" i="18" s="1"/>
  <c r="Y45" i="18"/>
  <c r="Z45" i="18" s="1"/>
  <c r="G46" i="18"/>
  <c r="Y46" i="18"/>
  <c r="Z46" i="18" s="1"/>
  <c r="G47" i="18"/>
  <c r="U47" i="18"/>
  <c r="V47" i="18" s="1"/>
  <c r="Y80" i="18"/>
  <c r="Z80" i="18" s="1"/>
  <c r="G81" i="18"/>
  <c r="L57" i="13"/>
  <c r="M57" i="13" s="1"/>
  <c r="AV58" i="13"/>
  <c r="AW58" i="13" s="1"/>
  <c r="L60" i="13"/>
  <c r="V60" i="13"/>
  <c r="BN60" i="13"/>
  <c r="L62" i="13"/>
  <c r="AT64" i="13"/>
  <c r="V65" i="13"/>
  <c r="W65" i="13" s="1"/>
  <c r="AV65" i="13"/>
  <c r="AW65" i="13" s="1"/>
  <c r="BN65" i="13"/>
  <c r="BO65" i="13" s="1"/>
  <c r="BN66" i="13"/>
  <c r="BO66" i="13" s="1"/>
  <c r="BV66" i="13"/>
  <c r="J67" i="13"/>
  <c r="K67" i="13" s="1"/>
  <c r="AT67" i="13"/>
  <c r="AU67" i="13" s="1"/>
  <c r="BX67" i="13"/>
  <c r="AT70" i="13"/>
  <c r="AU70" i="13" s="1"/>
  <c r="BL70" i="13"/>
  <c r="BM70" i="13" s="1"/>
  <c r="AD71" i="13"/>
  <c r="AE71" i="13" s="1"/>
  <c r="J74" i="13"/>
  <c r="K74" i="13" s="1"/>
  <c r="AT74" i="13"/>
  <c r="AU74" i="13" s="1"/>
  <c r="BV74" i="13"/>
  <c r="V75" i="13"/>
  <c r="AF75" i="13"/>
  <c r="AV75" i="13"/>
  <c r="BL77" i="13"/>
  <c r="BM77" i="13" s="1"/>
  <c r="AD78" i="13"/>
  <c r="AE78" i="13" s="1"/>
  <c r="BV79" i="13"/>
  <c r="L81" i="13"/>
  <c r="M81" i="13" s="1"/>
  <c r="AF81" i="13"/>
  <c r="AG81" i="13" s="1"/>
  <c r="AV81" i="13"/>
  <c r="G82" i="13"/>
  <c r="AT82" i="13"/>
  <c r="BL82" i="13"/>
  <c r="BM82" i="13" s="1"/>
  <c r="BV82" i="13"/>
  <c r="J83" i="13"/>
  <c r="K83" i="13" s="1"/>
  <c r="AF84" i="13"/>
  <c r="AG84" i="13" s="1"/>
  <c r="J86" i="13"/>
  <c r="K86" i="13" s="1"/>
  <c r="AT86" i="13"/>
  <c r="J87" i="13"/>
  <c r="AD87" i="13"/>
  <c r="G89" i="13"/>
  <c r="I20" i="14"/>
  <c r="J20" i="14" s="1"/>
  <c r="G21" i="14"/>
  <c r="I35" i="16"/>
  <c r="I43" i="16"/>
  <c r="I56" i="16"/>
  <c r="I58" i="16"/>
  <c r="I60" i="16"/>
  <c r="I62" i="16"/>
  <c r="I64" i="16"/>
  <c r="I66" i="16"/>
  <c r="J68" i="16"/>
  <c r="J70" i="16"/>
  <c r="J72" i="16"/>
  <c r="J74" i="16"/>
  <c r="I77" i="16"/>
  <c r="G18" i="17"/>
  <c r="G74" i="17"/>
  <c r="Q33" i="18"/>
  <c r="R33" i="18" s="1"/>
  <c r="U39" i="18"/>
  <c r="V39" i="18" s="1"/>
  <c r="BX53" i="13"/>
  <c r="BL55" i="13"/>
  <c r="BM55" i="13" s="1"/>
  <c r="BV55" i="13"/>
  <c r="G56" i="13"/>
  <c r="J57" i="13"/>
  <c r="K57" i="13" s="1"/>
  <c r="BN58" i="13"/>
  <c r="BO58" i="13" s="1"/>
  <c r="AD59" i="13"/>
  <c r="AE59" i="13" s="1"/>
  <c r="AT59" i="13"/>
  <c r="AU59" i="13" s="1"/>
  <c r="BL60" i="13"/>
  <c r="AT62" i="13"/>
  <c r="BN62" i="13"/>
  <c r="BV62" i="13"/>
  <c r="T63" i="13"/>
  <c r="V64" i="13"/>
  <c r="W64" i="13" s="1"/>
  <c r="BX64" i="13"/>
  <c r="T65" i="13"/>
  <c r="U65" i="13" s="1"/>
  <c r="BV65" i="13"/>
  <c r="V66" i="13"/>
  <c r="W66" i="13" s="1"/>
  <c r="AD66" i="13"/>
  <c r="AE66" i="13" s="1"/>
  <c r="BL66" i="13"/>
  <c r="BM66" i="13" s="1"/>
  <c r="AV67" i="13"/>
  <c r="AW67" i="13" s="1"/>
  <c r="G68" i="13"/>
  <c r="BL68" i="13"/>
  <c r="BM68" i="13" s="1"/>
  <c r="J69" i="13"/>
  <c r="AV70" i="13"/>
  <c r="AW70" i="13" s="1"/>
  <c r="J75" i="13"/>
  <c r="AD77" i="13"/>
  <c r="AE77" i="13" s="1"/>
  <c r="AV77" i="13"/>
  <c r="V78" i="13"/>
  <c r="W78" i="13" s="1"/>
  <c r="BL78" i="13"/>
  <c r="BM78" i="13" s="1"/>
  <c r="G79" i="13"/>
  <c r="AF79" i="13"/>
  <c r="AG79" i="13" s="1"/>
  <c r="AV79" i="13"/>
  <c r="BL80" i="13"/>
  <c r="BM80" i="13" s="1"/>
  <c r="J81" i="13"/>
  <c r="K81" i="13" s="1"/>
  <c r="AF82" i="13"/>
  <c r="AG82" i="13" s="1"/>
  <c r="BN82" i="13"/>
  <c r="BO82" i="13" s="1"/>
  <c r="BV84" i="13"/>
  <c r="L85" i="13"/>
  <c r="AF85" i="13"/>
  <c r="AV85" i="13"/>
  <c r="BX85" i="13"/>
  <c r="BN86" i="13"/>
  <c r="BO86" i="13" s="1"/>
  <c r="AV88" i="13"/>
  <c r="AW88" i="13" s="1"/>
  <c r="G53" i="15"/>
  <c r="I32" i="16"/>
  <c r="I40" i="16"/>
  <c r="I50" i="16"/>
  <c r="K50" i="16" s="1"/>
  <c r="J52" i="16"/>
  <c r="J53" i="16"/>
  <c r="G53" i="17"/>
  <c r="Y19" i="18"/>
  <c r="Z19" i="18" s="1"/>
  <c r="U20" i="18"/>
  <c r="V20" i="18" s="1"/>
  <c r="U26" i="18"/>
  <c r="V26" i="18" s="1"/>
  <c r="U44" i="18"/>
  <c r="V44" i="18" s="1"/>
  <c r="U50" i="18"/>
  <c r="V50" i="18" s="1"/>
  <c r="U52" i="18"/>
  <c r="V52" i="18" s="1"/>
  <c r="Y53" i="18"/>
  <c r="Z53" i="18" s="1"/>
  <c r="Y61" i="18"/>
  <c r="Z61" i="18" s="1"/>
  <c r="G62" i="18"/>
  <c r="U66" i="18"/>
  <c r="V66" i="18" s="1"/>
  <c r="U72" i="18"/>
  <c r="V72" i="18" s="1"/>
  <c r="U74" i="18"/>
  <c r="V74" i="18" s="1"/>
  <c r="U77" i="18"/>
  <c r="V77" i="18" s="1"/>
  <c r="AF89" i="13"/>
  <c r="AG89" i="13" s="1"/>
  <c r="I22" i="14"/>
  <c r="J22" i="14" s="1"/>
  <c r="I30" i="14"/>
  <c r="J30" i="14" s="1"/>
  <c r="I37" i="14"/>
  <c r="J37" i="14" s="1"/>
  <c r="I45" i="14"/>
  <c r="J45" i="14" s="1"/>
  <c r="I53" i="14"/>
  <c r="J53" i="14" s="1"/>
  <c r="K76" i="14"/>
  <c r="O76" i="14"/>
  <c r="I26" i="16"/>
  <c r="I30" i="16"/>
  <c r="N15" i="16"/>
  <c r="J35" i="16"/>
  <c r="I36" i="16"/>
  <c r="R33" i="16"/>
  <c r="J40" i="16"/>
  <c r="J43" i="16"/>
  <c r="I44" i="16"/>
  <c r="J50" i="16"/>
  <c r="I51" i="16"/>
  <c r="J58" i="16"/>
  <c r="J60" i="16"/>
  <c r="J62" i="16"/>
  <c r="J64" i="16"/>
  <c r="J66" i="16"/>
  <c r="J84" i="16"/>
  <c r="I90" i="16"/>
  <c r="J76" i="17"/>
  <c r="L76" i="17" s="1"/>
  <c r="S76" i="17"/>
  <c r="U76" i="17" s="1"/>
  <c r="U19" i="18"/>
  <c r="V19" i="18" s="1"/>
  <c r="U34" i="18"/>
  <c r="V34" i="18" s="1"/>
  <c r="G51" i="18"/>
  <c r="U51" i="18"/>
  <c r="V51" i="18" s="1"/>
  <c r="U58" i="18"/>
  <c r="V58" i="18" s="1"/>
  <c r="U63" i="18"/>
  <c r="V63" i="18" s="1"/>
  <c r="U65" i="18"/>
  <c r="V65" i="18" s="1"/>
  <c r="Y68" i="18"/>
  <c r="Z68" i="18" s="1"/>
  <c r="L88" i="13"/>
  <c r="M88" i="13" s="1"/>
  <c r="T89" i="13"/>
  <c r="U89" i="13" s="1"/>
  <c r="T90" i="13"/>
  <c r="U90" i="13" s="1"/>
  <c r="I68" i="14"/>
  <c r="J68" i="14" s="1"/>
  <c r="G69" i="14"/>
  <c r="G17" i="15"/>
  <c r="G29" i="15"/>
  <c r="J25" i="16"/>
  <c r="I37" i="16"/>
  <c r="I49" i="16"/>
  <c r="I83" i="16"/>
  <c r="I89" i="16"/>
  <c r="Q54" i="17"/>
  <c r="G65" i="17"/>
  <c r="G72" i="17"/>
  <c r="G84" i="17"/>
  <c r="N22" i="18"/>
  <c r="Y26" i="18"/>
  <c r="Z26" i="18" s="1"/>
  <c r="U36" i="18"/>
  <c r="V36" i="18" s="1"/>
  <c r="X33" i="18"/>
  <c r="Y55" i="18"/>
  <c r="Z55" i="18" s="1"/>
  <c r="Y67" i="18"/>
  <c r="Z67" i="18" s="1"/>
  <c r="G68" i="18"/>
  <c r="U68" i="18"/>
  <c r="V68" i="18" s="1"/>
  <c r="U70" i="18"/>
  <c r="V70" i="18" s="1"/>
  <c r="U71" i="18"/>
  <c r="V71" i="18" s="1"/>
  <c r="K35" i="4"/>
  <c r="J33" i="4"/>
  <c r="K33" i="4" s="1"/>
  <c r="U54" i="4"/>
  <c r="V54" i="4" s="1"/>
  <c r="V55" i="4"/>
  <c r="BL56" i="13"/>
  <c r="BM56" i="13" s="1"/>
  <c r="BR54" i="13"/>
  <c r="T59" i="13"/>
  <c r="U59" i="13" s="1"/>
  <c r="Z54" i="13"/>
  <c r="F15" i="2"/>
  <c r="F76" i="2"/>
  <c r="F15" i="3"/>
  <c r="AO15" i="4"/>
  <c r="AP15" i="4" s="1"/>
  <c r="AG15" i="4"/>
  <c r="AH15" i="4" s="1"/>
  <c r="AD33" i="4"/>
  <c r="AE33" i="4" s="1"/>
  <c r="U33" i="4"/>
  <c r="V33" i="4" s="1"/>
  <c r="AK33" i="4"/>
  <c r="L15" i="6"/>
  <c r="M15" i="6" s="1"/>
  <c r="Z76" i="6"/>
  <c r="AA76" i="6" s="1"/>
  <c r="M76" i="10"/>
  <c r="N76" i="10" s="1"/>
  <c r="BP33" i="13"/>
  <c r="S76" i="18"/>
  <c r="P15" i="1"/>
  <c r="J17" i="1"/>
  <c r="K17" i="1" s="1"/>
  <c r="X15" i="1"/>
  <c r="I33" i="2"/>
  <c r="J33" i="2" s="1"/>
  <c r="F91" i="2"/>
  <c r="F33" i="3"/>
  <c r="G33" i="3" s="1"/>
  <c r="L76" i="3"/>
  <c r="M76" i="3" s="1"/>
  <c r="J15" i="4"/>
  <c r="K15" i="4" s="1"/>
  <c r="AB54" i="4"/>
  <c r="AC54" i="4" s="1"/>
  <c r="AT63" i="4"/>
  <c r="AU63" i="4" s="1"/>
  <c r="J76" i="4"/>
  <c r="K76" i="4" s="1"/>
  <c r="AK76" i="4"/>
  <c r="AL76" i="4" s="1"/>
  <c r="AO76" i="4"/>
  <c r="G38" i="6"/>
  <c r="O76" i="6"/>
  <c r="P76" i="6" s="1"/>
  <c r="I54" i="10"/>
  <c r="J54" i="10" s="1"/>
  <c r="J55" i="10"/>
  <c r="F15" i="13"/>
  <c r="Y57" i="4"/>
  <c r="X54" i="4"/>
  <c r="Y54" i="4" s="1"/>
  <c r="U78" i="8"/>
  <c r="S76" i="8"/>
  <c r="U76" i="8" s="1"/>
  <c r="U76" i="2"/>
  <c r="V76" i="2" s="1"/>
  <c r="S79" i="2"/>
  <c r="G55" i="3"/>
  <c r="R16" i="4"/>
  <c r="Q15" i="4"/>
  <c r="M33" i="4"/>
  <c r="AQ33" i="4"/>
  <c r="AT45" i="4"/>
  <c r="AU45" i="4" s="1"/>
  <c r="AH45" i="4"/>
  <c r="O54" i="6"/>
  <c r="P54" i="6" s="1"/>
  <c r="N15" i="8"/>
  <c r="N56" i="10"/>
  <c r="M54" i="10"/>
  <c r="N54" i="10" s="1"/>
  <c r="BB15" i="13"/>
  <c r="X33" i="13"/>
  <c r="AB33" i="13"/>
  <c r="K54" i="18"/>
  <c r="L54" i="18" s="1"/>
  <c r="L56" i="18"/>
  <c r="J26" i="1"/>
  <c r="R15" i="2"/>
  <c r="S15" i="2" s="1"/>
  <c r="F33" i="2"/>
  <c r="P33" i="2"/>
  <c r="Q33" i="2" s="1"/>
  <c r="U33" i="2"/>
  <c r="V33" i="2" s="1"/>
  <c r="G41" i="2"/>
  <c r="N54" i="2"/>
  <c r="O54" i="2" s="1"/>
  <c r="L54" i="3"/>
  <c r="M54" i="3" s="1"/>
  <c r="G72" i="3"/>
  <c r="L16" i="4"/>
  <c r="L17" i="4"/>
  <c r="AB15" i="4"/>
  <c r="AC15" i="4" s="1"/>
  <c r="L38" i="4"/>
  <c r="L40" i="4"/>
  <c r="L50" i="4"/>
  <c r="L51" i="4"/>
  <c r="R55" i="4"/>
  <c r="Q54" i="4"/>
  <c r="R54" i="4" s="1"/>
  <c r="AC55" i="4"/>
  <c r="AL55" i="4"/>
  <c r="AK54" i="4"/>
  <c r="AL54" i="4" s="1"/>
  <c r="L57" i="4"/>
  <c r="AT57" i="4"/>
  <c r="AU57" i="4" s="1"/>
  <c r="G68" i="4"/>
  <c r="L70" i="4"/>
  <c r="AT71" i="4"/>
  <c r="AU71" i="4" s="1"/>
  <c r="L73" i="4"/>
  <c r="K77" i="4"/>
  <c r="L88" i="4"/>
  <c r="O15" i="6"/>
  <c r="P15" i="6" s="1"/>
  <c r="X27" i="6"/>
  <c r="X29" i="6"/>
  <c r="S33" i="7"/>
  <c r="T33" i="7" s="1"/>
  <c r="I33" i="7"/>
  <c r="J33" i="7" s="1"/>
  <c r="P33" i="7"/>
  <c r="F91" i="7"/>
  <c r="F12" i="7" s="1"/>
  <c r="F11" i="7" s="1"/>
  <c r="G43" i="8"/>
  <c r="L56" i="13"/>
  <c r="M56" i="13" s="1"/>
  <c r="O54" i="13"/>
  <c r="CD76" i="13"/>
  <c r="U15" i="1"/>
  <c r="J19" i="1"/>
  <c r="AA15" i="1"/>
  <c r="AB15" i="1" s="1"/>
  <c r="L24" i="1"/>
  <c r="M24" i="1" s="1"/>
  <c r="L28" i="1"/>
  <c r="J34" i="1"/>
  <c r="L39" i="1"/>
  <c r="G41" i="1"/>
  <c r="L45" i="1"/>
  <c r="L51" i="1"/>
  <c r="M51" i="1" s="1"/>
  <c r="J52" i="1"/>
  <c r="K52" i="1" s="1"/>
  <c r="L56" i="1"/>
  <c r="M56" i="1" s="1"/>
  <c r="J58" i="1"/>
  <c r="J61" i="1"/>
  <c r="J65" i="1"/>
  <c r="J73" i="1"/>
  <c r="Y76" i="1"/>
  <c r="J81" i="1"/>
  <c r="G84" i="1"/>
  <c r="J85" i="1"/>
  <c r="J89" i="1"/>
  <c r="G28" i="2"/>
  <c r="G32" i="2"/>
  <c r="G45" i="2"/>
  <c r="G49" i="2"/>
  <c r="L15" i="3"/>
  <c r="G25" i="3"/>
  <c r="I76" i="3"/>
  <c r="J76" i="3" s="1"/>
  <c r="G89" i="3"/>
  <c r="F91" i="3"/>
  <c r="F12" i="3" s="1"/>
  <c r="F11" i="3" s="1"/>
  <c r="M15" i="4"/>
  <c r="L19" i="4"/>
  <c r="G20" i="4"/>
  <c r="AT23" i="4"/>
  <c r="AT25" i="4"/>
  <c r="AU25" i="4" s="1"/>
  <c r="G26" i="4"/>
  <c r="L29" i="4"/>
  <c r="AT30" i="4"/>
  <c r="G32" i="4"/>
  <c r="G36" i="4"/>
  <c r="AT36" i="4"/>
  <c r="AT40" i="4"/>
  <c r="AT51" i="4"/>
  <c r="AT52" i="4"/>
  <c r="AO54" i="4"/>
  <c r="AP54" i="4" s="1"/>
  <c r="AT58" i="4"/>
  <c r="AU58" i="4" s="1"/>
  <c r="G61" i="4"/>
  <c r="G65" i="4"/>
  <c r="G67" i="4"/>
  <c r="AT68" i="4"/>
  <c r="AU68" i="4" s="1"/>
  <c r="L69" i="4"/>
  <c r="G75" i="4"/>
  <c r="L77" i="4"/>
  <c r="G79" i="4"/>
  <c r="L79" i="4"/>
  <c r="G85" i="4"/>
  <c r="L85" i="4"/>
  <c r="L90" i="4"/>
  <c r="G95" i="4"/>
  <c r="G22" i="5"/>
  <c r="G66" i="5"/>
  <c r="G71" i="5"/>
  <c r="G74" i="5"/>
  <c r="F76" i="5"/>
  <c r="G76" i="5" s="1"/>
  <c r="J55" i="6"/>
  <c r="I54" i="6"/>
  <c r="J54" i="6" s="1"/>
  <c r="I76" i="6"/>
  <c r="J76" i="6" s="1"/>
  <c r="K15" i="8"/>
  <c r="L15" i="8" s="1"/>
  <c r="T15" i="8"/>
  <c r="J15" i="8"/>
  <c r="Q54" i="8"/>
  <c r="O54" i="10"/>
  <c r="P54" i="10" s="1"/>
  <c r="L16" i="12"/>
  <c r="I16" i="12" s="1"/>
  <c r="J16" i="12" s="1"/>
  <c r="O15" i="12"/>
  <c r="F15" i="12"/>
  <c r="G17" i="12"/>
  <c r="BD15" i="13"/>
  <c r="BH15" i="13"/>
  <c r="AX15" i="13"/>
  <c r="BF15" i="13"/>
  <c r="BP15" i="13"/>
  <c r="BU33" i="13"/>
  <c r="BY34" i="13"/>
  <c r="BW77" i="13"/>
  <c r="BW76" i="13" s="1"/>
  <c r="BT76" i="13"/>
  <c r="BS76" i="13"/>
  <c r="CA76" i="13"/>
  <c r="BX78" i="13"/>
  <c r="CE76" i="13"/>
  <c r="BG76" i="13"/>
  <c r="T15" i="1"/>
  <c r="L20" i="1"/>
  <c r="M20" i="1" s="1"/>
  <c r="J24" i="1"/>
  <c r="K24" i="1" s="1"/>
  <c r="J28" i="1"/>
  <c r="J31" i="1"/>
  <c r="J35" i="1"/>
  <c r="K35" i="1" s="1"/>
  <c r="J39" i="1"/>
  <c r="J42" i="1"/>
  <c r="K42" i="1" s="1"/>
  <c r="L43" i="1"/>
  <c r="M43" i="1" s="1"/>
  <c r="J44" i="1"/>
  <c r="K44" i="1" s="1"/>
  <c r="J50" i="1"/>
  <c r="K50" i="1" s="1"/>
  <c r="J51" i="1"/>
  <c r="K51" i="1" s="1"/>
  <c r="P54" i="1"/>
  <c r="X54" i="1"/>
  <c r="L62" i="1"/>
  <c r="L66" i="1"/>
  <c r="M66" i="1" s="1"/>
  <c r="J69" i="1"/>
  <c r="L74" i="1"/>
  <c r="M74" i="1" s="1"/>
  <c r="J77" i="1"/>
  <c r="K77" i="1" s="1"/>
  <c r="P76" i="1"/>
  <c r="X76" i="1"/>
  <c r="G95" i="1"/>
  <c r="G31" i="2"/>
  <c r="I76" i="2"/>
  <c r="J76" i="2" s="1"/>
  <c r="G78" i="2"/>
  <c r="I33" i="3"/>
  <c r="J33" i="3" s="1"/>
  <c r="G36" i="3"/>
  <c r="G52" i="3"/>
  <c r="I54" i="3"/>
  <c r="G57" i="3"/>
  <c r="AT16" i="4"/>
  <c r="AQ15" i="4"/>
  <c r="AR15" i="4" s="1"/>
  <c r="AT17" i="4"/>
  <c r="AU17" i="4" s="1"/>
  <c r="G18" i="4"/>
  <c r="AT18" i="4"/>
  <c r="AU18" i="4" s="1"/>
  <c r="AT20" i="4"/>
  <c r="AT21" i="4"/>
  <c r="AU21" i="4" s="1"/>
  <c r="G22" i="4"/>
  <c r="L23" i="4"/>
  <c r="G24" i="4"/>
  <c r="AT26" i="4"/>
  <c r="AT27" i="4"/>
  <c r="L31" i="4"/>
  <c r="AT32" i="4"/>
  <c r="X33" i="4"/>
  <c r="Q33" i="4"/>
  <c r="R33" i="4" s="1"/>
  <c r="G37" i="4"/>
  <c r="L37" i="4"/>
  <c r="G38" i="4"/>
  <c r="AT38" i="4"/>
  <c r="AU38" i="4" s="1"/>
  <c r="G39" i="4"/>
  <c r="L39" i="4"/>
  <c r="G40" i="4"/>
  <c r="G41" i="4"/>
  <c r="L41" i="4"/>
  <c r="AT42" i="4"/>
  <c r="AU42" i="4" s="1"/>
  <c r="G43" i="4"/>
  <c r="L43" i="4"/>
  <c r="G44" i="4"/>
  <c r="AT44" i="4"/>
  <c r="G46" i="4"/>
  <c r="G48" i="4"/>
  <c r="AT49" i="4"/>
  <c r="AT50" i="4"/>
  <c r="AU50" i="4" s="1"/>
  <c r="G52" i="4"/>
  <c r="L53" i="4"/>
  <c r="N54" i="4"/>
  <c r="AG54" i="4"/>
  <c r="AH54" i="4" s="1"/>
  <c r="AT55" i="4"/>
  <c r="AU55" i="4" s="1"/>
  <c r="AT56" i="4"/>
  <c r="AU56" i="4" s="1"/>
  <c r="G70" i="4"/>
  <c r="G71" i="4"/>
  <c r="N76" i="4"/>
  <c r="X76" i="4"/>
  <c r="Y76" i="4" s="1"/>
  <c r="AT77" i="4"/>
  <c r="AU77" i="4" s="1"/>
  <c r="G78" i="4"/>
  <c r="L78" i="4"/>
  <c r="L80" i="4"/>
  <c r="AT85" i="4"/>
  <c r="AT86" i="4"/>
  <c r="R15" i="6"/>
  <c r="S15" i="6" s="1"/>
  <c r="Z15" i="6"/>
  <c r="AA15" i="6" s="1"/>
  <c r="AA16" i="6"/>
  <c r="L33" i="6"/>
  <c r="M33" i="6" s="1"/>
  <c r="R33" i="6"/>
  <c r="S33" i="6" s="1"/>
  <c r="F33" i="7"/>
  <c r="Q55" i="7"/>
  <c r="P54" i="7"/>
  <c r="Q54" i="7" s="1"/>
  <c r="Q99" i="7"/>
  <c r="L16" i="8"/>
  <c r="T33" i="8"/>
  <c r="N54" i="8"/>
  <c r="F54" i="8"/>
  <c r="M54" i="8"/>
  <c r="O54" i="8" s="1"/>
  <c r="G36" i="10"/>
  <c r="L25" i="12"/>
  <c r="I25" i="12" s="1"/>
  <c r="J25" i="12" s="1"/>
  <c r="F33" i="12"/>
  <c r="BZ15" i="13"/>
  <c r="R15" i="13"/>
  <c r="BH33" i="13"/>
  <c r="S33" i="13"/>
  <c r="P33" i="13"/>
  <c r="AN33" i="13"/>
  <c r="AT80" i="4"/>
  <c r="AU80" i="4" s="1"/>
  <c r="AT83" i="4"/>
  <c r="L86" i="4"/>
  <c r="G87" i="4"/>
  <c r="L87" i="4"/>
  <c r="AT87" i="4"/>
  <c r="G89" i="4"/>
  <c r="AT89" i="4"/>
  <c r="AT90" i="4"/>
  <c r="G18" i="5"/>
  <c r="G28" i="5"/>
  <c r="G62" i="5"/>
  <c r="G67" i="5"/>
  <c r="G70" i="5"/>
  <c r="F15" i="6"/>
  <c r="G15" i="6" s="1"/>
  <c r="G18" i="6"/>
  <c r="G31" i="6"/>
  <c r="X36" i="6"/>
  <c r="X42" i="6"/>
  <c r="X45" i="6"/>
  <c r="X51" i="6"/>
  <c r="W91" i="6"/>
  <c r="W12" i="6" s="1"/>
  <c r="Q38" i="7"/>
  <c r="I76" i="7"/>
  <c r="J76" i="7" s="1"/>
  <c r="G90" i="7"/>
  <c r="F15" i="8"/>
  <c r="G19" i="8"/>
  <c r="Q33" i="8"/>
  <c r="G51" i="8"/>
  <c r="J54" i="8"/>
  <c r="G67" i="8"/>
  <c r="G68" i="8"/>
  <c r="G75" i="8"/>
  <c r="T76" i="8"/>
  <c r="F91" i="8"/>
  <c r="F12" i="8" s="1"/>
  <c r="F11" i="8" s="1"/>
  <c r="G21" i="10"/>
  <c r="G29" i="10"/>
  <c r="M33" i="10"/>
  <c r="N33" i="10" s="1"/>
  <c r="G40" i="10"/>
  <c r="G48" i="10"/>
  <c r="G53" i="10"/>
  <c r="G55" i="10"/>
  <c r="G59" i="10"/>
  <c r="G63" i="10"/>
  <c r="G67" i="10"/>
  <c r="G71" i="10"/>
  <c r="F76" i="10"/>
  <c r="G79" i="10"/>
  <c r="G83" i="10"/>
  <c r="G87" i="10"/>
  <c r="BE15" i="13"/>
  <c r="BI15" i="13"/>
  <c r="N33" i="13"/>
  <c r="R33" i="13"/>
  <c r="BD33" i="13"/>
  <c r="F54" i="13"/>
  <c r="BC76" i="13"/>
  <c r="K33" i="14"/>
  <c r="I36" i="14"/>
  <c r="J36" i="14" s="1"/>
  <c r="K33" i="15"/>
  <c r="K54" i="15"/>
  <c r="J16" i="16"/>
  <c r="R15" i="16"/>
  <c r="F91" i="4"/>
  <c r="F12" i="4" s="1"/>
  <c r="F11" i="4" s="1"/>
  <c r="G26" i="5"/>
  <c r="F54" i="5"/>
  <c r="G57" i="5"/>
  <c r="G65" i="5"/>
  <c r="G68" i="5"/>
  <c r="G73" i="5"/>
  <c r="G17" i="6"/>
  <c r="X19" i="6"/>
  <c r="G20" i="6"/>
  <c r="X20" i="6"/>
  <c r="G26" i="6"/>
  <c r="O33" i="6"/>
  <c r="P33" i="6" s="1"/>
  <c r="X35" i="6"/>
  <c r="X41" i="6"/>
  <c r="X44" i="6"/>
  <c r="X46" i="6"/>
  <c r="X48" i="6"/>
  <c r="X52" i="6"/>
  <c r="R54" i="6"/>
  <c r="S54" i="6" s="1"/>
  <c r="L76" i="6"/>
  <c r="M76" i="6" s="1"/>
  <c r="F15" i="7"/>
  <c r="G15" i="7" s="1"/>
  <c r="K15" i="7"/>
  <c r="L15" i="7" s="1"/>
  <c r="S15" i="7"/>
  <c r="T15" i="7" s="1"/>
  <c r="G88" i="7"/>
  <c r="P76" i="7"/>
  <c r="Q90" i="7"/>
  <c r="Q97" i="7"/>
  <c r="G98" i="7"/>
  <c r="G23" i="8"/>
  <c r="G24" i="8"/>
  <c r="N33" i="8"/>
  <c r="F33" i="8"/>
  <c r="G39" i="8"/>
  <c r="G40" i="8"/>
  <c r="G64" i="8"/>
  <c r="G71" i="8"/>
  <c r="G79" i="8"/>
  <c r="G18" i="10"/>
  <c r="G26" i="10"/>
  <c r="G37" i="10"/>
  <c r="G45" i="10"/>
  <c r="G52" i="10"/>
  <c r="G78" i="10"/>
  <c r="G82" i="10"/>
  <c r="G86" i="10"/>
  <c r="G90" i="10"/>
  <c r="L18" i="12"/>
  <c r="I18" i="12" s="1"/>
  <c r="L19" i="12"/>
  <c r="M19" i="12" s="1"/>
  <c r="L24" i="12"/>
  <c r="I24" i="12" s="1"/>
  <c r="J24" i="12" s="1"/>
  <c r="G52" i="12"/>
  <c r="F76" i="12"/>
  <c r="G84" i="12"/>
  <c r="L84" i="12"/>
  <c r="M84" i="12" s="1"/>
  <c r="CD15" i="13"/>
  <c r="BE33" i="13"/>
  <c r="BI33" i="13"/>
  <c r="CD33" i="13"/>
  <c r="N54" i="13"/>
  <c r="AJ76" i="13"/>
  <c r="J16" i="15"/>
  <c r="I15" i="15"/>
  <c r="J15" i="15" s="1"/>
  <c r="BL16" i="13"/>
  <c r="BM16" i="13" s="1"/>
  <c r="AV17" i="13"/>
  <c r="AW17" i="13" s="1"/>
  <c r="BN17" i="13"/>
  <c r="BO17" i="13" s="1"/>
  <c r="J18" i="13"/>
  <c r="K18" i="13" s="1"/>
  <c r="BL19" i="13"/>
  <c r="BM19" i="13" s="1"/>
  <c r="V20" i="13"/>
  <c r="W20" i="13" s="1"/>
  <c r="BL20" i="13"/>
  <c r="BM20" i="13" s="1"/>
  <c r="J21" i="13"/>
  <c r="K21" i="13" s="1"/>
  <c r="AV21" i="13"/>
  <c r="AW21" i="13" s="1"/>
  <c r="BN21" i="13"/>
  <c r="BO21" i="13" s="1"/>
  <c r="BV21" i="13"/>
  <c r="J22" i="13"/>
  <c r="K22" i="13" s="1"/>
  <c r="BX22" i="13"/>
  <c r="L23" i="13"/>
  <c r="M23" i="13" s="1"/>
  <c r="T23" i="13"/>
  <c r="U23" i="13" s="1"/>
  <c r="AD23" i="13"/>
  <c r="AE23" i="13" s="1"/>
  <c r="AF24" i="13"/>
  <c r="AG24" i="13" s="1"/>
  <c r="AV25" i="13"/>
  <c r="AW25" i="13" s="1"/>
  <c r="AD26" i="13"/>
  <c r="AE26" i="13" s="1"/>
  <c r="BX26" i="13"/>
  <c r="L27" i="13"/>
  <c r="M27" i="13" s="1"/>
  <c r="T27" i="13"/>
  <c r="U27" i="13" s="1"/>
  <c r="AD27" i="13"/>
  <c r="AE27" i="13" s="1"/>
  <c r="AF28" i="13"/>
  <c r="AG28" i="13" s="1"/>
  <c r="AV29" i="13"/>
  <c r="AW29" i="13" s="1"/>
  <c r="AD30" i="13"/>
  <c r="AE30" i="13" s="1"/>
  <c r="BN30" i="13"/>
  <c r="BO30" i="13" s="1"/>
  <c r="AF31" i="13"/>
  <c r="AG31" i="13" s="1"/>
  <c r="AT31" i="13"/>
  <c r="AU31" i="13" s="1"/>
  <c r="BX31" i="13"/>
  <c r="AF32" i="13"/>
  <c r="AG32" i="13" s="1"/>
  <c r="AV32" i="13"/>
  <c r="AW32" i="13" s="1"/>
  <c r="AH33" i="13"/>
  <c r="AL33" i="13"/>
  <c r="AP33" i="13"/>
  <c r="J35" i="13"/>
  <c r="K35" i="13" s="1"/>
  <c r="AV35" i="13"/>
  <c r="AW35" i="13" s="1"/>
  <c r="BN35" i="13"/>
  <c r="BO35" i="13" s="1"/>
  <c r="J36" i="13"/>
  <c r="BL37" i="13"/>
  <c r="BM37" i="13" s="1"/>
  <c r="V38" i="13"/>
  <c r="W38" i="13" s="1"/>
  <c r="AV38" i="13"/>
  <c r="BN38" i="13"/>
  <c r="BO38" i="13" s="1"/>
  <c r="AV39" i="13"/>
  <c r="AW39" i="13" s="1"/>
  <c r="AD40" i="13"/>
  <c r="AE40" i="13" s="1"/>
  <c r="BX40" i="13"/>
  <c r="L41" i="13"/>
  <c r="M41" i="13" s="1"/>
  <c r="T41" i="13"/>
  <c r="U41" i="13" s="1"/>
  <c r="AD41" i="13"/>
  <c r="AE41" i="13" s="1"/>
  <c r="BX41" i="13"/>
  <c r="AF42" i="13"/>
  <c r="AG42" i="13" s="1"/>
  <c r="AV43" i="13"/>
  <c r="AW43" i="13" s="1"/>
  <c r="BX43" i="13"/>
  <c r="J44" i="13"/>
  <c r="K44" i="13" s="1"/>
  <c r="AD44" i="13"/>
  <c r="AF45" i="13"/>
  <c r="AG45" i="13" s="1"/>
  <c r="BV45" i="13"/>
  <c r="T46" i="13"/>
  <c r="U46" i="13" s="1"/>
  <c r="V48" i="13"/>
  <c r="W48" i="13" s="1"/>
  <c r="AT48" i="13"/>
  <c r="AU48" i="13" s="1"/>
  <c r="AD52" i="13"/>
  <c r="AE52" i="13" s="1"/>
  <c r="BN52" i="13"/>
  <c r="BO52" i="13" s="1"/>
  <c r="AD53" i="13"/>
  <c r="AE53" i="13" s="1"/>
  <c r="CD54" i="13"/>
  <c r="AT58" i="13"/>
  <c r="AU58" i="13" s="1"/>
  <c r="BF54" i="13"/>
  <c r="J61" i="13"/>
  <c r="BB54" i="13"/>
  <c r="AT63" i="13"/>
  <c r="N76" i="13"/>
  <c r="R76" i="13"/>
  <c r="AV89" i="13"/>
  <c r="I87" i="14"/>
  <c r="J87" i="14" s="1"/>
  <c r="I89" i="14"/>
  <c r="J89" i="14" s="1"/>
  <c r="F33" i="15"/>
  <c r="F76" i="15"/>
  <c r="J21" i="16"/>
  <c r="L39" i="12"/>
  <c r="L40" i="12"/>
  <c r="G42" i="12"/>
  <c r="L47" i="12"/>
  <c r="L48" i="12"/>
  <c r="G50" i="12"/>
  <c r="L56" i="12"/>
  <c r="L57" i="12"/>
  <c r="L58" i="12"/>
  <c r="I58" i="12" s="1"/>
  <c r="J58" i="12" s="1"/>
  <c r="L59" i="12"/>
  <c r="I59" i="12" s="1"/>
  <c r="J59" i="12" s="1"/>
  <c r="L60" i="12"/>
  <c r="I60" i="12" s="1"/>
  <c r="J60" i="12" s="1"/>
  <c r="L61" i="12"/>
  <c r="L62" i="12"/>
  <c r="I62" i="12" s="1"/>
  <c r="J62" i="12" s="1"/>
  <c r="L63" i="12"/>
  <c r="I63" i="12" s="1"/>
  <c r="J63" i="12" s="1"/>
  <c r="L64" i="12"/>
  <c r="L65" i="12"/>
  <c r="L66" i="12"/>
  <c r="I66" i="12" s="1"/>
  <c r="J66" i="12" s="1"/>
  <c r="L67" i="12"/>
  <c r="I67" i="12" s="1"/>
  <c r="J67" i="12" s="1"/>
  <c r="L68" i="12"/>
  <c r="L69" i="12"/>
  <c r="L70" i="12"/>
  <c r="I70" i="12" s="1"/>
  <c r="J70" i="12" s="1"/>
  <c r="L71" i="12"/>
  <c r="I71" i="12" s="1"/>
  <c r="J71" i="12" s="1"/>
  <c r="L72" i="12"/>
  <c r="L73" i="12"/>
  <c r="L74" i="12"/>
  <c r="I74" i="12" s="1"/>
  <c r="J74" i="12" s="1"/>
  <c r="L75" i="12"/>
  <c r="I75" i="12" s="1"/>
  <c r="J75" i="12" s="1"/>
  <c r="G79" i="12"/>
  <c r="G81" i="12"/>
  <c r="G83" i="12"/>
  <c r="G85" i="12"/>
  <c r="G87" i="12"/>
  <c r="G89" i="12"/>
  <c r="AC15" i="13"/>
  <c r="AM15" i="13"/>
  <c r="AQ15" i="13"/>
  <c r="BN18" i="13"/>
  <c r="BO18" i="13" s="1"/>
  <c r="BV18" i="13"/>
  <c r="G19" i="13"/>
  <c r="L19" i="13"/>
  <c r="M19" i="13" s="1"/>
  <c r="T19" i="13"/>
  <c r="U19" i="13" s="1"/>
  <c r="BV19" i="13"/>
  <c r="T20" i="13"/>
  <c r="U20" i="13" s="1"/>
  <c r="V22" i="13"/>
  <c r="W22" i="13" s="1"/>
  <c r="AV22" i="13"/>
  <c r="BV22" i="13"/>
  <c r="G23" i="13"/>
  <c r="AF23" i="13"/>
  <c r="AG23" i="13" s="1"/>
  <c r="AT23" i="13"/>
  <c r="BX23" i="13"/>
  <c r="AV24" i="13"/>
  <c r="AW24" i="13" s="1"/>
  <c r="BN24" i="13"/>
  <c r="BO24" i="13" s="1"/>
  <c r="BN25" i="13"/>
  <c r="BO25" i="13" s="1"/>
  <c r="BV25" i="13"/>
  <c r="G26" i="13"/>
  <c r="L26" i="13"/>
  <c r="M26" i="13" s="1"/>
  <c r="AV26" i="13"/>
  <c r="AW26" i="13" s="1"/>
  <c r="BV26" i="13"/>
  <c r="G27" i="13"/>
  <c r="AF27" i="13"/>
  <c r="AG27" i="13" s="1"/>
  <c r="AT27" i="13"/>
  <c r="AU27" i="13" s="1"/>
  <c r="BX27" i="13"/>
  <c r="AV28" i="13"/>
  <c r="AW28" i="13" s="1"/>
  <c r="BN28" i="13"/>
  <c r="BO28" i="13" s="1"/>
  <c r="BN29" i="13"/>
  <c r="BO29" i="13" s="1"/>
  <c r="BV29" i="13"/>
  <c r="G30" i="13"/>
  <c r="L30" i="13"/>
  <c r="M30" i="13" s="1"/>
  <c r="BX30" i="13"/>
  <c r="BL31" i="13"/>
  <c r="BM31" i="13" s="1"/>
  <c r="L32" i="13"/>
  <c r="M32" i="13" s="1"/>
  <c r="AT32" i="13"/>
  <c r="AU32" i="13" s="1"/>
  <c r="BN32" i="13"/>
  <c r="BO32" i="13" s="1"/>
  <c r="BC33" i="13"/>
  <c r="BG33" i="13"/>
  <c r="AM33" i="13"/>
  <c r="AQ33" i="13"/>
  <c r="BV36" i="13"/>
  <c r="G37" i="13"/>
  <c r="L37" i="13"/>
  <c r="M37" i="13" s="1"/>
  <c r="T37" i="13"/>
  <c r="BV37" i="13"/>
  <c r="T38" i="13"/>
  <c r="U38" i="13" s="1"/>
  <c r="AT38" i="13"/>
  <c r="BL38" i="13"/>
  <c r="BM38" i="13" s="1"/>
  <c r="BN39" i="13"/>
  <c r="BO39" i="13" s="1"/>
  <c r="BV39" i="13"/>
  <c r="G40" i="13"/>
  <c r="L40" i="13"/>
  <c r="M40" i="13" s="1"/>
  <c r="AV40" i="13"/>
  <c r="AW40" i="13" s="1"/>
  <c r="BV40" i="13"/>
  <c r="G41" i="13"/>
  <c r="AF41" i="13"/>
  <c r="AG41" i="13" s="1"/>
  <c r="AT41" i="13"/>
  <c r="AU41" i="13" s="1"/>
  <c r="BV41" i="13"/>
  <c r="G42" i="13"/>
  <c r="AV42" i="13"/>
  <c r="AW42" i="13" s="1"/>
  <c r="BN42" i="13"/>
  <c r="BO42" i="13" s="1"/>
  <c r="BV42" i="13"/>
  <c r="AF43" i="13"/>
  <c r="AG43" i="13" s="1"/>
  <c r="AT43" i="13"/>
  <c r="BN43" i="13"/>
  <c r="BO43" i="13" s="1"/>
  <c r="BL44" i="13"/>
  <c r="BM44" i="13" s="1"/>
  <c r="G45" i="13"/>
  <c r="L45" i="13"/>
  <c r="M45" i="13" s="1"/>
  <c r="L47" i="13"/>
  <c r="M47" i="13" s="1"/>
  <c r="T47" i="13"/>
  <c r="U47" i="13" s="1"/>
  <c r="BL47" i="13"/>
  <c r="BM47" i="13" s="1"/>
  <c r="G49" i="13"/>
  <c r="J49" i="13"/>
  <c r="K49" i="13" s="1"/>
  <c r="BX49" i="13"/>
  <c r="T50" i="13"/>
  <c r="U50" i="13" s="1"/>
  <c r="BN51" i="13"/>
  <c r="BO51" i="13" s="1"/>
  <c r="BV53" i="13"/>
  <c r="J55" i="13"/>
  <c r="K55" i="13" s="1"/>
  <c r="AM54" i="13"/>
  <c r="AQ54" i="13"/>
  <c r="AX54" i="13"/>
  <c r="T56" i="13"/>
  <c r="U56" i="13" s="1"/>
  <c r="AP54" i="13"/>
  <c r="BX56" i="13"/>
  <c r="V57" i="13"/>
  <c r="W57" i="13" s="1"/>
  <c r="BV58" i="13"/>
  <c r="G67" i="13"/>
  <c r="AD69" i="13"/>
  <c r="AB76" i="13"/>
  <c r="T85" i="13"/>
  <c r="I52" i="14"/>
  <c r="J52" i="14" s="1"/>
  <c r="I58" i="14"/>
  <c r="J58" i="14" s="1"/>
  <c r="I82" i="16"/>
  <c r="J59" i="13"/>
  <c r="K59" i="13" s="1"/>
  <c r="BX59" i="13"/>
  <c r="T60" i="13"/>
  <c r="AF60" i="13"/>
  <c r="AT60" i="13"/>
  <c r="AU60" i="13" s="1"/>
  <c r="BV60" i="13"/>
  <c r="BN61" i="13"/>
  <c r="AD62" i="13"/>
  <c r="J63" i="13"/>
  <c r="AF63" i="13"/>
  <c r="BV63" i="13"/>
  <c r="L64" i="13"/>
  <c r="M64" i="13" s="1"/>
  <c r="T64" i="13"/>
  <c r="U64" i="13" s="1"/>
  <c r="AD64" i="13"/>
  <c r="AE64" i="13" s="1"/>
  <c r="BL64" i="13"/>
  <c r="L65" i="13"/>
  <c r="M65" i="13" s="1"/>
  <c r="AT65" i="13"/>
  <c r="AU65" i="13" s="1"/>
  <c r="BL65" i="13"/>
  <c r="BM65" i="13" s="1"/>
  <c r="AT66" i="13"/>
  <c r="AF67" i="13"/>
  <c r="AG67" i="13" s="1"/>
  <c r="BV67" i="13"/>
  <c r="L68" i="13"/>
  <c r="M68" i="13" s="1"/>
  <c r="T68" i="13"/>
  <c r="U68" i="13" s="1"/>
  <c r="AD68" i="13"/>
  <c r="AE68" i="13" s="1"/>
  <c r="BX68" i="13"/>
  <c r="L69" i="13"/>
  <c r="V69" i="13"/>
  <c r="AV69" i="13"/>
  <c r="AW69" i="13" s="1"/>
  <c r="J70" i="13"/>
  <c r="K70" i="13" s="1"/>
  <c r="T70" i="13"/>
  <c r="U70" i="13" s="1"/>
  <c r="BN70" i="13"/>
  <c r="BO70" i="13" s="1"/>
  <c r="BV70" i="13"/>
  <c r="J71" i="13"/>
  <c r="K71" i="13" s="1"/>
  <c r="V72" i="13"/>
  <c r="W72" i="13" s="1"/>
  <c r="AD72" i="13"/>
  <c r="AE72" i="13" s="1"/>
  <c r="T74" i="13"/>
  <c r="U74" i="13" s="1"/>
  <c r="BL74" i="13"/>
  <c r="BM74" i="13" s="1"/>
  <c r="L75" i="13"/>
  <c r="AD75" i="13"/>
  <c r="AH76" i="13"/>
  <c r="AL76" i="13"/>
  <c r="AP76" i="13"/>
  <c r="J78" i="13"/>
  <c r="K78" i="13" s="1"/>
  <c r="AV78" i="13"/>
  <c r="AW78" i="13" s="1"/>
  <c r="BV78" i="13"/>
  <c r="L79" i="13"/>
  <c r="M79" i="13" s="1"/>
  <c r="T79" i="13"/>
  <c r="U79" i="13" s="1"/>
  <c r="AT79" i="13"/>
  <c r="BD76" i="13"/>
  <c r="BX79" i="13"/>
  <c r="J80" i="13"/>
  <c r="K80" i="13" s="1"/>
  <c r="BV80" i="13"/>
  <c r="V81" i="13"/>
  <c r="W81" i="13" s="1"/>
  <c r="AD81" i="13"/>
  <c r="AE81" i="13" s="1"/>
  <c r="BN81" i="13"/>
  <c r="BO81" i="13" s="1"/>
  <c r="BV81" i="13"/>
  <c r="AD82" i="13"/>
  <c r="AE82" i="13" s="1"/>
  <c r="AF83" i="13"/>
  <c r="AG83" i="13" s="1"/>
  <c r="AT83" i="13"/>
  <c r="AU83" i="13" s="1"/>
  <c r="V84" i="13"/>
  <c r="W84" i="13" s="1"/>
  <c r="BN85" i="13"/>
  <c r="BV85" i="13"/>
  <c r="BV86" i="13"/>
  <c r="T87" i="13"/>
  <c r="AV87" i="13"/>
  <c r="AW87" i="13" s="1"/>
  <c r="BV87" i="13"/>
  <c r="J88" i="13"/>
  <c r="K88" i="13" s="1"/>
  <c r="T88" i="13"/>
  <c r="U88" i="13" s="1"/>
  <c r="BV88" i="13"/>
  <c r="BL89" i="13"/>
  <c r="BM89" i="13" s="1"/>
  <c r="J90" i="13"/>
  <c r="K90" i="13" s="1"/>
  <c r="AF90" i="13"/>
  <c r="AG90" i="13" s="1"/>
  <c r="AT90" i="13"/>
  <c r="AU90" i="13" s="1"/>
  <c r="I35" i="14"/>
  <c r="J35" i="14" s="1"/>
  <c r="I51" i="14"/>
  <c r="J51" i="14" s="1"/>
  <c r="I75" i="14"/>
  <c r="J75" i="14" s="1"/>
  <c r="I79" i="14"/>
  <c r="J79" i="14" s="1"/>
  <c r="I81" i="14"/>
  <c r="J81" i="14" s="1"/>
  <c r="M33" i="16"/>
  <c r="O33" i="16" s="1"/>
  <c r="J36" i="16"/>
  <c r="J41" i="16"/>
  <c r="J51" i="16"/>
  <c r="J56" i="16"/>
  <c r="N54" i="16"/>
  <c r="I69" i="16"/>
  <c r="I71" i="16"/>
  <c r="I73" i="16"/>
  <c r="I75" i="16"/>
  <c r="F76" i="16"/>
  <c r="Q15" i="17"/>
  <c r="T34" i="18"/>
  <c r="S33" i="18"/>
  <c r="T33" i="18" s="1"/>
  <c r="P35" i="18"/>
  <c r="O33" i="18"/>
  <c r="P33" i="18" s="1"/>
  <c r="M76" i="18"/>
  <c r="O76" i="18"/>
  <c r="BX46" i="13"/>
  <c r="J47" i="13"/>
  <c r="K47" i="13" s="1"/>
  <c r="AT47" i="13"/>
  <c r="AU47" i="13" s="1"/>
  <c r="BX47" i="13"/>
  <c r="T48" i="13"/>
  <c r="U48" i="13" s="1"/>
  <c r="BL48" i="13"/>
  <c r="BM48" i="13" s="1"/>
  <c r="AF49" i="13"/>
  <c r="AG49" i="13" s="1"/>
  <c r="J50" i="13"/>
  <c r="K50" i="13" s="1"/>
  <c r="BL51" i="13"/>
  <c r="BM51" i="13" s="1"/>
  <c r="V52" i="13"/>
  <c r="W52" i="13" s="1"/>
  <c r="AF52" i="13"/>
  <c r="AG52" i="13" s="1"/>
  <c r="AT52" i="13"/>
  <c r="AU52" i="13" s="1"/>
  <c r="BL52" i="13"/>
  <c r="BM52" i="13" s="1"/>
  <c r="AF53" i="13"/>
  <c r="AG53" i="13" s="1"/>
  <c r="G55" i="13"/>
  <c r="L55" i="13"/>
  <c r="M55" i="13" s="1"/>
  <c r="S54" i="13"/>
  <c r="AF56" i="13"/>
  <c r="AG56" i="13" s="1"/>
  <c r="T57" i="13"/>
  <c r="U57" i="13" s="1"/>
  <c r="V58" i="13"/>
  <c r="W58" i="13" s="1"/>
  <c r="AN54" i="13"/>
  <c r="AF59" i="13"/>
  <c r="AG59" i="13" s="1"/>
  <c r="BN59" i="13"/>
  <c r="BO59" i="13" s="1"/>
  <c r="BV59" i="13"/>
  <c r="G60" i="13"/>
  <c r="J60" i="13"/>
  <c r="R54" i="13"/>
  <c r="BX60" i="13"/>
  <c r="V61" i="13"/>
  <c r="BL61" i="13"/>
  <c r="AD63" i="13"/>
  <c r="AF64" i="13"/>
  <c r="AG64" i="13" s="1"/>
  <c r="BV64" i="13"/>
  <c r="AF65" i="13"/>
  <c r="AG65" i="13" s="1"/>
  <c r="J66" i="13"/>
  <c r="K66" i="13" s="1"/>
  <c r="T66" i="13"/>
  <c r="U66" i="13" s="1"/>
  <c r="AV66" i="13"/>
  <c r="AD67" i="13"/>
  <c r="AE67" i="13" s="1"/>
  <c r="AF68" i="13"/>
  <c r="AG68" i="13" s="1"/>
  <c r="AT68" i="13"/>
  <c r="AU68" i="13" s="1"/>
  <c r="T69" i="13"/>
  <c r="AT69" i="13"/>
  <c r="AU69" i="13" s="1"/>
  <c r="V70" i="13"/>
  <c r="W70" i="13" s="1"/>
  <c r="AD70" i="13"/>
  <c r="AE70" i="13" s="1"/>
  <c r="AF71" i="13"/>
  <c r="AG71" i="13" s="1"/>
  <c r="BN71" i="13"/>
  <c r="BO71" i="13" s="1"/>
  <c r="AT72" i="13"/>
  <c r="AU72" i="13" s="1"/>
  <c r="BL72" i="13"/>
  <c r="BM72" i="13" s="1"/>
  <c r="AD73" i="13"/>
  <c r="BX73" i="13"/>
  <c r="T75" i="13"/>
  <c r="AM76" i="13"/>
  <c r="AQ76" i="13"/>
  <c r="BL79" i="13"/>
  <c r="BM79" i="13" s="1"/>
  <c r="BN80" i="13"/>
  <c r="BO80" i="13" s="1"/>
  <c r="BX82" i="13"/>
  <c r="BL83" i="13"/>
  <c r="BM83" i="13" s="1"/>
  <c r="L84" i="13"/>
  <c r="M84" i="13" s="1"/>
  <c r="T84" i="13"/>
  <c r="U84" i="13" s="1"/>
  <c r="BL84" i="13"/>
  <c r="BM84" i="13" s="1"/>
  <c r="J85" i="13"/>
  <c r="V85" i="13"/>
  <c r="AT85" i="13"/>
  <c r="AD86" i="13"/>
  <c r="AE86" i="13" s="1"/>
  <c r="AV86" i="13"/>
  <c r="V87" i="13"/>
  <c r="AT87" i="13"/>
  <c r="AU87" i="13" s="1"/>
  <c r="AD88" i="13"/>
  <c r="AE88" i="13" s="1"/>
  <c r="AT89" i="13"/>
  <c r="G90" i="13"/>
  <c r="BL90" i="13"/>
  <c r="BM90" i="13" s="1"/>
  <c r="I21" i="14"/>
  <c r="J21" i="14" s="1"/>
  <c r="G22" i="14"/>
  <c r="L33" i="14"/>
  <c r="I44" i="14"/>
  <c r="J44" i="14" s="1"/>
  <c r="I60" i="14"/>
  <c r="J60" i="14" s="1"/>
  <c r="G61" i="14"/>
  <c r="I67" i="14"/>
  <c r="J67" i="14" s="1"/>
  <c r="I74" i="14"/>
  <c r="J74" i="14" s="1"/>
  <c r="Q15" i="16"/>
  <c r="S15" i="16" s="1"/>
  <c r="J26" i="16"/>
  <c r="J32" i="16"/>
  <c r="I39" i="16"/>
  <c r="K39" i="16" s="1"/>
  <c r="O39" i="16"/>
  <c r="R54" i="16"/>
  <c r="I57" i="16"/>
  <c r="I59" i="16"/>
  <c r="I61" i="16"/>
  <c r="I63" i="16"/>
  <c r="I65" i="16"/>
  <c r="I67" i="16"/>
  <c r="G25" i="17"/>
  <c r="W76" i="18"/>
  <c r="AC76" i="18"/>
  <c r="P78" i="18"/>
  <c r="BN90" i="13"/>
  <c r="BO90" i="13" s="1"/>
  <c r="I24" i="14"/>
  <c r="J24" i="14" s="1"/>
  <c r="I26" i="14"/>
  <c r="J26" i="14" s="1"/>
  <c r="G27" i="14"/>
  <c r="I28" i="14"/>
  <c r="J28" i="14" s="1"/>
  <c r="I31" i="14"/>
  <c r="J31" i="14" s="1"/>
  <c r="G32" i="14"/>
  <c r="M33" i="14"/>
  <c r="I38" i="14"/>
  <c r="J38" i="14" s="1"/>
  <c r="I41" i="14"/>
  <c r="J41" i="14" s="1"/>
  <c r="G42" i="14"/>
  <c r="I46" i="14"/>
  <c r="J46" i="14" s="1"/>
  <c r="I49" i="14"/>
  <c r="J49" i="14" s="1"/>
  <c r="G50" i="14"/>
  <c r="I57" i="14"/>
  <c r="J57" i="14" s="1"/>
  <c r="G58" i="14"/>
  <c r="I73" i="14"/>
  <c r="J73" i="14" s="1"/>
  <c r="G74" i="14"/>
  <c r="M76" i="14"/>
  <c r="I86" i="14"/>
  <c r="J86" i="14" s="1"/>
  <c r="G21" i="15"/>
  <c r="G25" i="15"/>
  <c r="G41" i="15"/>
  <c r="G49" i="15"/>
  <c r="G84" i="15"/>
  <c r="G86" i="15"/>
  <c r="G88" i="15"/>
  <c r="I22" i="16"/>
  <c r="I29" i="16"/>
  <c r="I38" i="16"/>
  <c r="K38" i="16" s="1"/>
  <c r="J42" i="16"/>
  <c r="J44" i="16"/>
  <c r="I46" i="16"/>
  <c r="J47" i="16"/>
  <c r="I53" i="16"/>
  <c r="K53" i="16" s="1"/>
  <c r="I81" i="16"/>
  <c r="J82" i="16"/>
  <c r="G21" i="17"/>
  <c r="G22" i="17"/>
  <c r="G30" i="17"/>
  <c r="U16" i="18"/>
  <c r="V16" i="18" s="1"/>
  <c r="U64" i="18"/>
  <c r="V64" i="18" s="1"/>
  <c r="Y86" i="18"/>
  <c r="Z86" i="18" s="1"/>
  <c r="U87" i="18"/>
  <c r="V87" i="18" s="1"/>
  <c r="U90" i="18"/>
  <c r="V90" i="18" s="1"/>
  <c r="G16" i="14"/>
  <c r="I23" i="14"/>
  <c r="J23" i="14" s="1"/>
  <c r="G24" i="14"/>
  <c r="F33" i="14"/>
  <c r="G40" i="14"/>
  <c r="G48" i="14"/>
  <c r="I61" i="14"/>
  <c r="J61" i="14" s="1"/>
  <c r="I63" i="14"/>
  <c r="J63" i="14" s="1"/>
  <c r="G64" i="14"/>
  <c r="I65" i="14"/>
  <c r="J65" i="14" s="1"/>
  <c r="I71" i="14"/>
  <c r="J71" i="14" s="1"/>
  <c r="G72" i="14"/>
  <c r="G81" i="14"/>
  <c r="I83" i="14"/>
  <c r="J83" i="14" s="1"/>
  <c r="I85" i="14"/>
  <c r="J85" i="14" s="1"/>
  <c r="G89" i="14"/>
  <c r="G27" i="15"/>
  <c r="G31" i="15"/>
  <c r="I21" i="16"/>
  <c r="J28" i="16"/>
  <c r="I41" i="16"/>
  <c r="G45" i="16"/>
  <c r="G50" i="16"/>
  <c r="K15" i="17"/>
  <c r="N33" i="17"/>
  <c r="K33" i="17"/>
  <c r="P54" i="17"/>
  <c r="R54" i="17" s="1"/>
  <c r="M54" i="17"/>
  <c r="O54" i="17" s="1"/>
  <c r="S54" i="17"/>
  <c r="U54" i="17" s="1"/>
  <c r="K76" i="17"/>
  <c r="F76" i="17"/>
  <c r="U17" i="18"/>
  <c r="V17" i="18" s="1"/>
  <c r="U23" i="18"/>
  <c r="V23" i="18" s="1"/>
  <c r="Y34" i="18"/>
  <c r="Z34" i="18" s="1"/>
  <c r="G35" i="18"/>
  <c r="AC33" i="18"/>
  <c r="Y38" i="18"/>
  <c r="Z38" i="18" s="1"/>
  <c r="G39" i="18"/>
  <c r="AD33" i="18"/>
  <c r="U55" i="18"/>
  <c r="V55" i="18" s="1"/>
  <c r="U75" i="18"/>
  <c r="V75" i="18" s="1"/>
  <c r="U88" i="18"/>
  <c r="V88" i="18" s="1"/>
  <c r="G46" i="17"/>
  <c r="AD54" i="18"/>
  <c r="Q76" i="18"/>
  <c r="AB76" i="18"/>
  <c r="F76" i="18"/>
  <c r="U84" i="18"/>
  <c r="V84" i="18" s="1"/>
  <c r="R85" i="18"/>
  <c r="G86" i="18"/>
  <c r="U86" i="18"/>
  <c r="V86" i="18" s="1"/>
  <c r="Y89" i="18"/>
  <c r="Z89" i="18" s="1"/>
  <c r="G42" i="17"/>
  <c r="N76" i="17"/>
  <c r="M76" i="17"/>
  <c r="O76" i="17" s="1"/>
  <c r="Q76" i="17"/>
  <c r="G29" i="18"/>
  <c r="Y29" i="18"/>
  <c r="Z29" i="18" s="1"/>
  <c r="G30" i="18"/>
  <c r="Y31" i="18"/>
  <c r="Z31" i="18" s="1"/>
  <c r="U32" i="18"/>
  <c r="V32" i="18" s="1"/>
  <c r="U42" i="18"/>
  <c r="V42" i="18" s="1"/>
  <c r="U46" i="18"/>
  <c r="V46" i="18" s="1"/>
  <c r="U62" i="18"/>
  <c r="V62" i="18" s="1"/>
  <c r="Y63" i="18"/>
  <c r="Z63" i="18" s="1"/>
  <c r="G64" i="18"/>
  <c r="Y64" i="18"/>
  <c r="Z64" i="18" s="1"/>
  <c r="G65" i="18"/>
  <c r="U67" i="18"/>
  <c r="V67" i="18" s="1"/>
  <c r="U79" i="18"/>
  <c r="V79" i="18" s="1"/>
  <c r="U80" i="18"/>
  <c r="V80" i="18" s="1"/>
  <c r="R81" i="18"/>
  <c r="Y81" i="18"/>
  <c r="Z81" i="18" s="1"/>
  <c r="G82" i="18"/>
  <c r="Y87" i="18"/>
  <c r="Z87" i="18" s="1"/>
  <c r="Y88" i="18"/>
  <c r="Z88" i="18" s="1"/>
  <c r="U89" i="18"/>
  <c r="V89" i="18" s="1"/>
  <c r="R90" i="18"/>
  <c r="Z10" i="1"/>
  <c r="C54" i="1"/>
  <c r="G56" i="1"/>
  <c r="L77" i="1"/>
  <c r="M77" i="1" s="1"/>
  <c r="Q76" i="1"/>
  <c r="G78" i="1"/>
  <c r="F76" i="1"/>
  <c r="G55" i="2"/>
  <c r="F54" i="2"/>
  <c r="J57" i="2"/>
  <c r="I54" i="2"/>
  <c r="J54" i="2" s="1"/>
  <c r="S10" i="1"/>
  <c r="S9" i="1" s="1"/>
  <c r="L16" i="1"/>
  <c r="Q15" i="1"/>
  <c r="Y15" i="1"/>
  <c r="G17" i="1"/>
  <c r="F15" i="1"/>
  <c r="G15" i="1" s="1"/>
  <c r="L30" i="1"/>
  <c r="M30" i="1" s="1"/>
  <c r="T33" i="1"/>
  <c r="U33" i="1"/>
  <c r="L37" i="1"/>
  <c r="M37" i="1" s="1"/>
  <c r="L49" i="1"/>
  <c r="M49" i="1" s="1"/>
  <c r="Q54" i="1"/>
  <c r="Y54" i="1"/>
  <c r="L64" i="1"/>
  <c r="L79" i="1"/>
  <c r="F91" i="1"/>
  <c r="F12" i="1" s="1"/>
  <c r="C106" i="1"/>
  <c r="G112" i="1"/>
  <c r="P54" i="2"/>
  <c r="Q54" i="2" s="1"/>
  <c r="G34" i="4"/>
  <c r="C33" i="4"/>
  <c r="L18" i="1"/>
  <c r="M18" i="1" s="1"/>
  <c r="L22" i="1"/>
  <c r="M22" i="1" s="1"/>
  <c r="L26" i="1"/>
  <c r="P33" i="1"/>
  <c r="AA33" i="1"/>
  <c r="AB33" i="1" s="1"/>
  <c r="H54" i="1"/>
  <c r="N10" i="1"/>
  <c r="N9" i="1" s="1"/>
  <c r="J55" i="1"/>
  <c r="AA54" i="1"/>
  <c r="AB54" i="1" s="1"/>
  <c r="U54" i="1"/>
  <c r="J57" i="1"/>
  <c r="T54" i="1"/>
  <c r="L68" i="1"/>
  <c r="L72" i="1"/>
  <c r="M72" i="1" s="1"/>
  <c r="I76" i="1"/>
  <c r="L83" i="1"/>
  <c r="C91" i="1"/>
  <c r="N15" i="2"/>
  <c r="O15" i="2" s="1"/>
  <c r="L15" i="2"/>
  <c r="M15" i="2" s="1"/>
  <c r="P15" i="2"/>
  <c r="U15" i="2"/>
  <c r="I15" i="2"/>
  <c r="C15" i="2"/>
  <c r="G20" i="2"/>
  <c r="H10" i="2"/>
  <c r="T10" i="2"/>
  <c r="V55" i="2"/>
  <c r="U54" i="2"/>
  <c r="V54" i="2" s="1"/>
  <c r="R54" i="2"/>
  <c r="S54" i="2" s="1"/>
  <c r="C12" i="2"/>
  <c r="O10" i="1"/>
  <c r="I15" i="1"/>
  <c r="L35" i="1"/>
  <c r="Q33" i="1"/>
  <c r="Y33" i="1"/>
  <c r="F33" i="1"/>
  <c r="T76" i="1"/>
  <c r="U76" i="1"/>
  <c r="K9" i="3"/>
  <c r="G16" i="4"/>
  <c r="C15" i="4"/>
  <c r="K10" i="2"/>
  <c r="O12" i="2"/>
  <c r="O13" i="2"/>
  <c r="J18" i="2"/>
  <c r="N33" i="2"/>
  <c r="O33" i="2" s="1"/>
  <c r="R33" i="2"/>
  <c r="S33" i="2" s="1"/>
  <c r="C76" i="2"/>
  <c r="C106" i="2"/>
  <c r="O106" i="2"/>
  <c r="S106" i="2"/>
  <c r="H9" i="3"/>
  <c r="L33" i="3"/>
  <c r="M33" i="3" s="1"/>
  <c r="G34" i="3"/>
  <c r="C76" i="3"/>
  <c r="W9" i="4"/>
  <c r="AA9" i="4"/>
  <c r="AM9" i="4"/>
  <c r="AD15" i="4"/>
  <c r="AE15" i="4" s="1"/>
  <c r="AC17" i="4"/>
  <c r="AH17" i="4"/>
  <c r="AL18" i="4"/>
  <c r="AL22" i="4"/>
  <c r="AH25" i="4"/>
  <c r="Q76" i="4"/>
  <c r="R76" i="4" s="1"/>
  <c r="AQ76" i="4"/>
  <c r="AT78" i="4"/>
  <c r="AU78" i="4" s="1"/>
  <c r="AH78" i="4"/>
  <c r="F33" i="5"/>
  <c r="G33" i="5" s="1"/>
  <c r="G35" i="5"/>
  <c r="T15" i="6"/>
  <c r="AA55" i="6"/>
  <c r="Z54" i="6"/>
  <c r="AA54" i="6" s="1"/>
  <c r="Q35" i="7"/>
  <c r="M33" i="7"/>
  <c r="G77" i="7"/>
  <c r="C76" i="7"/>
  <c r="Q108" i="7"/>
  <c r="M106" i="7"/>
  <c r="G16" i="8"/>
  <c r="C15" i="8"/>
  <c r="R16" i="8"/>
  <c r="P15" i="8"/>
  <c r="N76" i="8"/>
  <c r="C33" i="1"/>
  <c r="C33" i="2"/>
  <c r="C54" i="2"/>
  <c r="L76" i="2"/>
  <c r="M76" i="2" s="1"/>
  <c r="P76" i="2"/>
  <c r="Q76" i="2" s="1"/>
  <c r="V78" i="2"/>
  <c r="G93" i="2"/>
  <c r="K11" i="3"/>
  <c r="M11" i="3" s="1"/>
  <c r="C15" i="3"/>
  <c r="C91" i="3"/>
  <c r="C12" i="3" s="1"/>
  <c r="C106" i="3"/>
  <c r="I9" i="4"/>
  <c r="AN9" i="4"/>
  <c r="AC11" i="4"/>
  <c r="AS11" i="4"/>
  <c r="AU11" i="4" s="1"/>
  <c r="AC13" i="4"/>
  <c r="AS13" i="4"/>
  <c r="AU13" i="4" s="1"/>
  <c r="AB33" i="4"/>
  <c r="AC33" i="4" s="1"/>
  <c r="AT34" i="4"/>
  <c r="R35" i="4"/>
  <c r="AH38" i="4"/>
  <c r="AH42" i="4"/>
  <c r="J54" i="4"/>
  <c r="K55" i="4"/>
  <c r="F54" i="4"/>
  <c r="L59" i="4"/>
  <c r="G60" i="4"/>
  <c r="G62" i="4"/>
  <c r="L63" i="4"/>
  <c r="G66" i="4"/>
  <c r="G72" i="4"/>
  <c r="E76" i="4"/>
  <c r="E10" i="4" s="1"/>
  <c r="M76" i="4"/>
  <c r="AT79" i="4"/>
  <c r="AU79" i="4" s="1"/>
  <c r="G93" i="4"/>
  <c r="E106" i="4"/>
  <c r="E13" i="4" s="1"/>
  <c r="I9" i="5"/>
  <c r="L33" i="5"/>
  <c r="M33" i="5" s="1"/>
  <c r="L76" i="5"/>
  <c r="M76" i="5" s="1"/>
  <c r="M77" i="5"/>
  <c r="R11" i="6"/>
  <c r="L54" i="6"/>
  <c r="M55" i="6"/>
  <c r="S54" i="7"/>
  <c r="T54" i="7" s="1"/>
  <c r="M76" i="7"/>
  <c r="R12" i="7"/>
  <c r="T91" i="7"/>
  <c r="P91" i="7"/>
  <c r="P12" i="7" s="1"/>
  <c r="P11" i="7" s="1"/>
  <c r="J106" i="7"/>
  <c r="H13" i="7"/>
  <c r="L106" i="7"/>
  <c r="O91" i="2"/>
  <c r="M106" i="2"/>
  <c r="H11" i="3"/>
  <c r="J11" i="3" s="1"/>
  <c r="C54" i="3"/>
  <c r="AS54" i="4"/>
  <c r="G55" i="4"/>
  <c r="C54" i="4"/>
  <c r="L55" i="4"/>
  <c r="G58" i="4"/>
  <c r="L61" i="4"/>
  <c r="L65" i="4"/>
  <c r="L67" i="4"/>
  <c r="G74" i="4"/>
  <c r="AG76" i="4"/>
  <c r="G77" i="4"/>
  <c r="C76" i="4"/>
  <c r="AE77" i="4"/>
  <c r="AD76" i="4"/>
  <c r="AE76" i="4" s="1"/>
  <c r="AT81" i="4"/>
  <c r="AT82" i="4"/>
  <c r="AU82" i="4" s="1"/>
  <c r="AH82" i="4"/>
  <c r="P12" i="5"/>
  <c r="N11" i="5"/>
  <c r="P11" i="5" s="1"/>
  <c r="F15" i="5"/>
  <c r="H33" i="5"/>
  <c r="J33" i="5" s="1"/>
  <c r="J91" i="5"/>
  <c r="H12" i="5"/>
  <c r="G92" i="5"/>
  <c r="C91" i="5"/>
  <c r="H10" i="6"/>
  <c r="Z33" i="6"/>
  <c r="F54" i="6"/>
  <c r="G54" i="6" s="1"/>
  <c r="L11" i="6"/>
  <c r="K54" i="7"/>
  <c r="L54" i="7" s="1"/>
  <c r="L55" i="7"/>
  <c r="C106" i="7"/>
  <c r="G112" i="7"/>
  <c r="C12" i="8"/>
  <c r="C106" i="8"/>
  <c r="G109" i="8"/>
  <c r="C94" i="4"/>
  <c r="G94" i="4" s="1"/>
  <c r="E91" i="4"/>
  <c r="E12" i="4" s="1"/>
  <c r="G107" i="4"/>
  <c r="C106" i="4"/>
  <c r="G16" i="5"/>
  <c r="C15" i="5"/>
  <c r="M16" i="5"/>
  <c r="L15" i="5"/>
  <c r="H15" i="5"/>
  <c r="J17" i="5"/>
  <c r="G55" i="5"/>
  <c r="C54" i="5"/>
  <c r="M55" i="5"/>
  <c r="L54" i="5"/>
  <c r="M54" i="5" s="1"/>
  <c r="H54" i="5"/>
  <c r="J54" i="5" s="1"/>
  <c r="J56" i="5"/>
  <c r="L12" i="8"/>
  <c r="I11" i="8"/>
  <c r="L11" i="8" s="1"/>
  <c r="U19" i="8"/>
  <c r="S15" i="8"/>
  <c r="L83" i="8"/>
  <c r="K76" i="8"/>
  <c r="L76" i="8" s="1"/>
  <c r="J11" i="8"/>
  <c r="M54" i="4"/>
  <c r="AC106" i="4"/>
  <c r="G32" i="5"/>
  <c r="G59" i="5"/>
  <c r="N10" i="6"/>
  <c r="X34" i="6"/>
  <c r="T33" i="6"/>
  <c r="Q10" i="6"/>
  <c r="W76" i="6"/>
  <c r="G78" i="6"/>
  <c r="G79" i="6"/>
  <c r="G90" i="6"/>
  <c r="C91" i="6"/>
  <c r="F91" i="6"/>
  <c r="F12" i="6" s="1"/>
  <c r="F11" i="6" s="1"/>
  <c r="C106" i="6"/>
  <c r="H11" i="7"/>
  <c r="H9" i="7" s="1"/>
  <c r="R10" i="7"/>
  <c r="G34" i="7"/>
  <c r="C33" i="7"/>
  <c r="Q77" i="7"/>
  <c r="C91" i="7"/>
  <c r="Q15" i="8"/>
  <c r="E9" i="8"/>
  <c r="M33" i="8"/>
  <c r="O33" i="8" s="1"/>
  <c r="J33" i="8"/>
  <c r="U35" i="8"/>
  <c r="S33" i="8"/>
  <c r="U33" i="8" s="1"/>
  <c r="U55" i="8"/>
  <c r="S54" i="8"/>
  <c r="U54" i="8" s="1"/>
  <c r="G60" i="8"/>
  <c r="C76" i="8"/>
  <c r="J76" i="8"/>
  <c r="G84" i="8"/>
  <c r="K11" i="8"/>
  <c r="S11" i="8"/>
  <c r="AD54" i="4"/>
  <c r="AE54" i="4" s="1"/>
  <c r="AH58" i="4"/>
  <c r="G17" i="5"/>
  <c r="G19" i="5"/>
  <c r="G21" i="5"/>
  <c r="G23" i="5"/>
  <c r="G56" i="5"/>
  <c r="G63" i="5"/>
  <c r="K9" i="6"/>
  <c r="I15" i="6"/>
  <c r="J15" i="6" s="1"/>
  <c r="X16" i="6"/>
  <c r="X17" i="6"/>
  <c r="X18" i="6"/>
  <c r="X21" i="6"/>
  <c r="X22" i="6"/>
  <c r="X24" i="6"/>
  <c r="X25" i="6"/>
  <c r="X26" i="6"/>
  <c r="X28" i="6"/>
  <c r="X30" i="6"/>
  <c r="Y10" i="6"/>
  <c r="C76" i="6"/>
  <c r="G77" i="6"/>
  <c r="R76" i="6"/>
  <c r="G84" i="6"/>
  <c r="D11" i="7"/>
  <c r="D9" i="7" s="1"/>
  <c r="Q34" i="7"/>
  <c r="F54" i="7"/>
  <c r="G54" i="7" s="1"/>
  <c r="Q78" i="7"/>
  <c r="O17" i="8"/>
  <c r="M15" i="8"/>
  <c r="G20" i="8"/>
  <c r="G28" i="8"/>
  <c r="P33" i="8"/>
  <c r="R33" i="8" s="1"/>
  <c r="K33" i="8"/>
  <c r="L35" i="8"/>
  <c r="L55" i="8"/>
  <c r="K54" i="8"/>
  <c r="L54" i="8" s="1"/>
  <c r="T54" i="8"/>
  <c r="P76" i="8"/>
  <c r="R76" i="8" s="1"/>
  <c r="F76" i="8"/>
  <c r="Q76" i="8"/>
  <c r="AB76" i="4"/>
  <c r="AC76" i="4" s="1"/>
  <c r="AH77" i="4"/>
  <c r="AH79" i="4"/>
  <c r="G25" i="5"/>
  <c r="G27" i="5"/>
  <c r="G29" i="5"/>
  <c r="G31" i="5"/>
  <c r="G60" i="5"/>
  <c r="F91" i="5"/>
  <c r="F12" i="5" s="1"/>
  <c r="F11" i="5" s="1"/>
  <c r="G106" i="5"/>
  <c r="V10" i="6"/>
  <c r="V9" i="6" s="1"/>
  <c r="I33" i="6"/>
  <c r="J33" i="6" s="1"/>
  <c r="J34" i="6"/>
  <c r="F76" i="6"/>
  <c r="T106" i="6"/>
  <c r="X107" i="6"/>
  <c r="S11" i="7"/>
  <c r="M91" i="7"/>
  <c r="Q92" i="7"/>
  <c r="Q95" i="7"/>
  <c r="I10" i="8"/>
  <c r="G35" i="8"/>
  <c r="C33" i="8"/>
  <c r="G36" i="8"/>
  <c r="G44" i="8"/>
  <c r="G52" i="8"/>
  <c r="G55" i="8"/>
  <c r="C54" i="8"/>
  <c r="G56" i="8"/>
  <c r="R56" i="8"/>
  <c r="P54" i="8"/>
  <c r="R54" i="8" s="1"/>
  <c r="G72" i="8"/>
  <c r="O77" i="8"/>
  <c r="M76" i="8"/>
  <c r="O76" i="8" s="1"/>
  <c r="G80" i="8"/>
  <c r="G88" i="8"/>
  <c r="G92" i="8"/>
  <c r="G17" i="10"/>
  <c r="C15" i="10"/>
  <c r="P18" i="10"/>
  <c r="O15" i="10"/>
  <c r="P15" i="10" s="1"/>
  <c r="F33" i="10"/>
  <c r="G33" i="10" s="1"/>
  <c r="G35" i="10"/>
  <c r="M15" i="10"/>
  <c r="N16" i="10"/>
  <c r="I15" i="10"/>
  <c r="J18" i="10"/>
  <c r="G106" i="10"/>
  <c r="C13" i="10"/>
  <c r="G13" i="10" s="1"/>
  <c r="H106" i="5"/>
  <c r="K33" i="7"/>
  <c r="L33" i="7" s="1"/>
  <c r="I54" i="7"/>
  <c r="J54" i="7" s="1"/>
  <c r="K76" i="7"/>
  <c r="L76" i="7" s="1"/>
  <c r="F15" i="10"/>
  <c r="O33" i="10"/>
  <c r="P33" i="10" s="1"/>
  <c r="F54" i="10"/>
  <c r="P56" i="10"/>
  <c r="C76" i="10"/>
  <c r="O76" i="10"/>
  <c r="P76" i="10" s="1"/>
  <c r="N77" i="10"/>
  <c r="C91" i="10"/>
  <c r="G107" i="10"/>
  <c r="I33" i="10"/>
  <c r="J33" i="10" s="1"/>
  <c r="C54" i="10"/>
  <c r="I76" i="10"/>
  <c r="J76" i="10" s="1"/>
  <c r="P11" i="12"/>
  <c r="P9" i="12" s="1"/>
  <c r="L34" i="12"/>
  <c r="O33" i="12"/>
  <c r="S12" i="12"/>
  <c r="T91" i="12"/>
  <c r="I92" i="12"/>
  <c r="I91" i="12" s="1"/>
  <c r="I12" i="12" s="1"/>
  <c r="L91" i="12"/>
  <c r="L12" i="12" s="1"/>
  <c r="BJ9" i="13"/>
  <c r="AU12" i="13"/>
  <c r="AR11" i="13"/>
  <c r="AU11" i="13" s="1"/>
  <c r="Y15" i="13"/>
  <c r="V16" i="13"/>
  <c r="BQ15" i="13"/>
  <c r="BN16" i="13"/>
  <c r="AD17" i="13"/>
  <c r="AJ15" i="13"/>
  <c r="AV18" i="13"/>
  <c r="AW18" i="13" s="1"/>
  <c r="BA15" i="13"/>
  <c r="L34" i="13"/>
  <c r="Q33" i="13"/>
  <c r="BX34" i="13"/>
  <c r="CC33" i="13"/>
  <c r="F33" i="13"/>
  <c r="G35" i="13"/>
  <c r="AI33" i="13"/>
  <c r="AF36" i="13"/>
  <c r="AG36" i="13" s="1"/>
  <c r="BN36" i="13"/>
  <c r="BO36" i="13" s="1"/>
  <c r="BS33" i="13"/>
  <c r="AF55" i="13"/>
  <c r="AI54" i="13"/>
  <c r="N10" i="12"/>
  <c r="N9" i="12" s="1"/>
  <c r="G34" i="12"/>
  <c r="C33" i="12"/>
  <c r="Q54" i="12"/>
  <c r="L55" i="12"/>
  <c r="M55" i="12" s="1"/>
  <c r="C91" i="12"/>
  <c r="W11" i="13"/>
  <c r="I9" i="13"/>
  <c r="AG11" i="13"/>
  <c r="AE12" i="13"/>
  <c r="K12" i="13"/>
  <c r="H11" i="13"/>
  <c r="U12" i="13"/>
  <c r="BX11" i="13"/>
  <c r="Z15" i="13"/>
  <c r="BL17" i="13"/>
  <c r="BM17" i="13" s="1"/>
  <c r="V18" i="13"/>
  <c r="W18" i="13" s="1"/>
  <c r="AA15" i="13"/>
  <c r="H10" i="13"/>
  <c r="AJ33" i="13"/>
  <c r="BT33" i="13"/>
  <c r="V34" i="13"/>
  <c r="Y33" i="13"/>
  <c r="AC33" i="13"/>
  <c r="AY33" i="13"/>
  <c r="AV34" i="13"/>
  <c r="BW33" i="13"/>
  <c r="BV35" i="13"/>
  <c r="CB33" i="13"/>
  <c r="C33" i="13"/>
  <c r="G36" i="13"/>
  <c r="O33" i="13"/>
  <c r="L36" i="13"/>
  <c r="M36" i="13" s="1"/>
  <c r="BX36" i="13"/>
  <c r="CA33" i="13"/>
  <c r="CE33" i="13"/>
  <c r="BZ54" i="13"/>
  <c r="BV56" i="13"/>
  <c r="I18" i="14"/>
  <c r="J18" i="14" s="1"/>
  <c r="L15" i="14"/>
  <c r="G19" i="14"/>
  <c r="C15" i="14"/>
  <c r="D9" i="12"/>
  <c r="H13" i="12"/>
  <c r="J13" i="12" s="1"/>
  <c r="H15" i="12"/>
  <c r="Q15" i="12"/>
  <c r="J92" i="12"/>
  <c r="H91" i="12"/>
  <c r="P11" i="13"/>
  <c r="N15" i="13"/>
  <c r="AF16" i="13"/>
  <c r="AK15" i="13"/>
  <c r="AO15" i="13"/>
  <c r="BY16" i="13"/>
  <c r="CC15" i="13"/>
  <c r="J17" i="13"/>
  <c r="P15" i="13"/>
  <c r="BW17" i="13"/>
  <c r="BT15" i="13"/>
  <c r="AF18" i="13"/>
  <c r="AG18" i="13" s="1"/>
  <c r="AI15" i="13"/>
  <c r="BS15" i="13"/>
  <c r="AZ33" i="13"/>
  <c r="BZ33" i="13"/>
  <c r="BN34" i="13"/>
  <c r="BQ33" i="13"/>
  <c r="AV36" i="13"/>
  <c r="AW36" i="13" s="1"/>
  <c r="BA33" i="13"/>
  <c r="CB54" i="13"/>
  <c r="AD56" i="13"/>
  <c r="AH54" i="13"/>
  <c r="AL54" i="13"/>
  <c r="AI76" i="13"/>
  <c r="AF78" i="13"/>
  <c r="AG78" i="13" s="1"/>
  <c r="T14" i="12"/>
  <c r="N14" i="12" s="1"/>
  <c r="H14" i="12" s="1"/>
  <c r="J14" i="12" s="1"/>
  <c r="L14" i="12"/>
  <c r="K15" i="12"/>
  <c r="G35" i="12"/>
  <c r="G37" i="12"/>
  <c r="G39" i="12"/>
  <c r="G41" i="12"/>
  <c r="G43" i="12"/>
  <c r="G45" i="12"/>
  <c r="G47" i="12"/>
  <c r="G49" i="12"/>
  <c r="G51" i="12"/>
  <c r="G53" i="12"/>
  <c r="G77" i="12"/>
  <c r="C76" i="12"/>
  <c r="I106" i="12"/>
  <c r="I13" i="12" s="1"/>
  <c r="K106" i="12"/>
  <c r="M109" i="12"/>
  <c r="X11" i="13"/>
  <c r="AB11" i="13"/>
  <c r="BW12" i="13"/>
  <c r="BT11" i="13"/>
  <c r="BW11" i="13" s="1"/>
  <c r="AE13" i="13"/>
  <c r="K13" i="13"/>
  <c r="U13" i="13"/>
  <c r="BR15" i="13"/>
  <c r="L16" i="13"/>
  <c r="Q15" i="13"/>
  <c r="AV16" i="13"/>
  <c r="AY15" i="13"/>
  <c r="BC15" i="13"/>
  <c r="BG15" i="13"/>
  <c r="X15" i="13"/>
  <c r="AB15" i="13"/>
  <c r="BV17" i="13"/>
  <c r="CB15" i="13"/>
  <c r="G18" i="13"/>
  <c r="C15" i="13"/>
  <c r="L18" i="13"/>
  <c r="M18" i="13" s="1"/>
  <c r="O15" i="13"/>
  <c r="S15" i="13"/>
  <c r="BX18" i="13"/>
  <c r="CA15" i="13"/>
  <c r="CE15" i="13"/>
  <c r="D9" i="13"/>
  <c r="AR10" i="13"/>
  <c r="AF34" i="13"/>
  <c r="AK33" i="13"/>
  <c r="AO33" i="13"/>
  <c r="AX33" i="13"/>
  <c r="BB33" i="13"/>
  <c r="BF33" i="13"/>
  <c r="V36" i="13"/>
  <c r="W36" i="13" s="1"/>
  <c r="AA33" i="13"/>
  <c r="AD58" i="13"/>
  <c r="AE58" i="13" s="1"/>
  <c r="AJ54" i="13"/>
  <c r="M12" i="13"/>
  <c r="AG12" i="13"/>
  <c r="M13" i="13"/>
  <c r="AG13" i="13"/>
  <c r="AC54" i="13"/>
  <c r="BS54" i="13"/>
  <c r="AT56" i="13"/>
  <c r="AZ54" i="13"/>
  <c r="BD54" i="13"/>
  <c r="BH54" i="13"/>
  <c r="AN76" i="13"/>
  <c r="T81" i="13"/>
  <c r="U81" i="13" s="1"/>
  <c r="X76" i="13"/>
  <c r="BV83" i="13"/>
  <c r="BZ76" i="13"/>
  <c r="C91" i="13"/>
  <c r="G92" i="13"/>
  <c r="T91" i="13"/>
  <c r="T12" i="13" s="1"/>
  <c r="AT91" i="13"/>
  <c r="AT12" i="13" s="1"/>
  <c r="I55" i="14"/>
  <c r="L54" i="14"/>
  <c r="G56" i="14"/>
  <c r="C54" i="14"/>
  <c r="J12" i="15"/>
  <c r="I24" i="16"/>
  <c r="K24" i="16" s="1"/>
  <c r="O24" i="16"/>
  <c r="O76" i="12"/>
  <c r="G107" i="12"/>
  <c r="AZ15" i="13"/>
  <c r="Z33" i="13"/>
  <c r="BR33" i="13"/>
  <c r="L43" i="13"/>
  <c r="M43" i="13" s="1"/>
  <c r="BN45" i="13"/>
  <c r="BO45" i="13" s="1"/>
  <c r="AV49" i="13"/>
  <c r="AW49" i="13" s="1"/>
  <c r="AF51" i="13"/>
  <c r="AG51" i="13" s="1"/>
  <c r="BN53" i="13"/>
  <c r="BO53" i="13" s="1"/>
  <c r="AK54" i="13"/>
  <c r="AO54" i="13"/>
  <c r="CA54" i="13"/>
  <c r="BX55" i="13"/>
  <c r="CE54" i="13"/>
  <c r="AV57" i="13"/>
  <c r="AW57" i="13" s="1"/>
  <c r="AY54" i="13"/>
  <c r="BC54" i="13"/>
  <c r="BG54" i="13"/>
  <c r="CC54" i="13"/>
  <c r="BP54" i="13"/>
  <c r="BW58" i="13"/>
  <c r="BW54" i="13" s="1"/>
  <c r="BT54" i="13"/>
  <c r="AV59" i="13"/>
  <c r="AW59" i="13" s="1"/>
  <c r="L61" i="13"/>
  <c r="BX61" i="13"/>
  <c r="V63" i="13"/>
  <c r="BN63" i="13"/>
  <c r="V67" i="13"/>
  <c r="W67" i="13" s="1"/>
  <c r="AF69" i="13"/>
  <c r="AV71" i="13"/>
  <c r="AW71" i="13" s="1"/>
  <c r="Z76" i="13"/>
  <c r="L78" i="13"/>
  <c r="M78" i="13" s="1"/>
  <c r="O76" i="13"/>
  <c r="S76" i="13"/>
  <c r="F15" i="14"/>
  <c r="N54" i="14"/>
  <c r="G37" i="15"/>
  <c r="C33" i="15"/>
  <c r="K76" i="15"/>
  <c r="M15" i="16"/>
  <c r="G34" i="16"/>
  <c r="C33" i="16"/>
  <c r="AV45" i="13"/>
  <c r="AF47" i="13"/>
  <c r="AG47" i="13" s="1"/>
  <c r="G50" i="13"/>
  <c r="BX51" i="13"/>
  <c r="V53" i="13"/>
  <c r="W53" i="13" s="1"/>
  <c r="C54" i="13"/>
  <c r="Q54" i="13"/>
  <c r="AA54" i="13"/>
  <c r="BA54" i="13"/>
  <c r="BE54" i="13"/>
  <c r="BI54" i="13"/>
  <c r="BN55" i="13"/>
  <c r="BU54" i="13"/>
  <c r="AF57" i="13"/>
  <c r="AG57" i="13" s="1"/>
  <c r="X54" i="13"/>
  <c r="AB54" i="13"/>
  <c r="V59" i="13"/>
  <c r="W59" i="13" s="1"/>
  <c r="AF61" i="13"/>
  <c r="AV63" i="13"/>
  <c r="BN67" i="13"/>
  <c r="BO67" i="13" s="1"/>
  <c r="V71" i="13"/>
  <c r="W71" i="13" s="1"/>
  <c r="AF72" i="13"/>
  <c r="AG72" i="13" s="1"/>
  <c r="AY76" i="13"/>
  <c r="J77" i="13"/>
  <c r="P76" i="13"/>
  <c r="BX77" i="13"/>
  <c r="CC76" i="13"/>
  <c r="AA76" i="13"/>
  <c r="AT80" i="13"/>
  <c r="AZ76" i="13"/>
  <c r="BH76" i="13"/>
  <c r="D9" i="14"/>
  <c r="E9" i="15"/>
  <c r="F54" i="15"/>
  <c r="I84" i="16"/>
  <c r="Q76" i="16"/>
  <c r="Q76" i="13"/>
  <c r="AK76" i="13"/>
  <c r="AO76" i="13"/>
  <c r="AD91" i="13"/>
  <c r="AD12" i="13" s="1"/>
  <c r="AD11" i="13" s="1"/>
  <c r="N15" i="14"/>
  <c r="G34" i="14"/>
  <c r="C33" i="14"/>
  <c r="F54" i="14"/>
  <c r="N76" i="14"/>
  <c r="I77" i="14"/>
  <c r="C54" i="15"/>
  <c r="G55" i="15"/>
  <c r="J56" i="15"/>
  <c r="I54" i="15"/>
  <c r="J54" i="15" s="1"/>
  <c r="G78" i="15"/>
  <c r="C76" i="15"/>
  <c r="C91" i="15"/>
  <c r="I19" i="16"/>
  <c r="I23" i="16"/>
  <c r="G93" i="16"/>
  <c r="C91" i="16"/>
  <c r="O16" i="17"/>
  <c r="M15" i="17"/>
  <c r="G34" i="17"/>
  <c r="C33" i="17"/>
  <c r="R34" i="17"/>
  <c r="P33" i="17"/>
  <c r="R33" i="17" s="1"/>
  <c r="P54" i="13"/>
  <c r="BY55" i="13"/>
  <c r="BN72" i="13"/>
  <c r="BO72" i="13" s="1"/>
  <c r="BX74" i="13"/>
  <c r="BP76" i="13"/>
  <c r="F76" i="13"/>
  <c r="G76" i="13" s="1"/>
  <c r="BN77" i="13"/>
  <c r="BQ76" i="13"/>
  <c r="BU76" i="13"/>
  <c r="BA76" i="13"/>
  <c r="BE76" i="13"/>
  <c r="BI76" i="13"/>
  <c r="BN78" i="13"/>
  <c r="BO78" i="13" s="1"/>
  <c r="L80" i="13"/>
  <c r="M80" i="13" s="1"/>
  <c r="AF80" i="13"/>
  <c r="AG80" i="13" s="1"/>
  <c r="BX80" i="13"/>
  <c r="V82" i="13"/>
  <c r="W82" i="13" s="1"/>
  <c r="AV90" i="13"/>
  <c r="AW90" i="13" s="1"/>
  <c r="BV91" i="13"/>
  <c r="BV12" i="13" s="1"/>
  <c r="AE106" i="13"/>
  <c r="K106" i="13"/>
  <c r="I29" i="14"/>
  <c r="J29" i="14" s="1"/>
  <c r="I66" i="14"/>
  <c r="J66" i="14" s="1"/>
  <c r="I78" i="14"/>
  <c r="J78" i="14" s="1"/>
  <c r="F15" i="15"/>
  <c r="K15" i="15"/>
  <c r="J34" i="15"/>
  <c r="I33" i="15"/>
  <c r="J33" i="15" s="1"/>
  <c r="I76" i="15"/>
  <c r="J76" i="15" s="1"/>
  <c r="G92" i="15"/>
  <c r="K12" i="16"/>
  <c r="F15" i="16"/>
  <c r="I16" i="16"/>
  <c r="O16" i="16"/>
  <c r="S25" i="16"/>
  <c r="I25" i="16"/>
  <c r="K25" i="16" s="1"/>
  <c r="I34" i="16"/>
  <c r="Q33" i="16"/>
  <c r="M54" i="16"/>
  <c r="O54" i="16" s="1"/>
  <c r="O55" i="16"/>
  <c r="I55" i="16"/>
  <c r="J57" i="16"/>
  <c r="J59" i="16"/>
  <c r="J61" i="16"/>
  <c r="J63" i="16"/>
  <c r="J65" i="16"/>
  <c r="J67" i="16"/>
  <c r="J69" i="16"/>
  <c r="J71" i="16"/>
  <c r="J73" i="16"/>
  <c r="J75" i="16"/>
  <c r="M76" i="16"/>
  <c r="G114" i="16"/>
  <c r="C106" i="16"/>
  <c r="Y54" i="13"/>
  <c r="BQ54" i="13"/>
  <c r="AV72" i="13"/>
  <c r="AW72" i="13" s="1"/>
  <c r="L74" i="13"/>
  <c r="M74" i="13" s="1"/>
  <c r="AF74" i="13"/>
  <c r="AG74" i="13" s="1"/>
  <c r="G77" i="13"/>
  <c r="V77" i="13"/>
  <c r="Y76" i="13"/>
  <c r="AC76" i="13"/>
  <c r="AX76" i="13"/>
  <c r="BB76" i="13"/>
  <c r="BF76" i="13"/>
  <c r="BR76" i="13"/>
  <c r="CB76" i="13"/>
  <c r="BV77" i="13"/>
  <c r="G78" i="13"/>
  <c r="AV82" i="13"/>
  <c r="BX84" i="13"/>
  <c r="V86" i="13"/>
  <c r="W86" i="13" s="1"/>
  <c r="J89" i="13"/>
  <c r="K89" i="13" s="1"/>
  <c r="W106" i="13"/>
  <c r="AG106" i="13"/>
  <c r="U106" i="13"/>
  <c r="J106" i="13"/>
  <c r="J13" i="13" s="1"/>
  <c r="J11" i="13" s="1"/>
  <c r="T106" i="13"/>
  <c r="T13" i="13" s="1"/>
  <c r="AT106" i="13"/>
  <c r="AT13" i="13" s="1"/>
  <c r="BN106" i="13"/>
  <c r="BN13" i="13" s="1"/>
  <c r="BN11" i="13" s="1"/>
  <c r="I16" i="14"/>
  <c r="O15" i="14"/>
  <c r="G29" i="14"/>
  <c r="I32" i="14"/>
  <c r="J32" i="14" s="1"/>
  <c r="O33" i="14"/>
  <c r="I34" i="14"/>
  <c r="K54" i="14"/>
  <c r="O54" i="14"/>
  <c r="G66" i="14"/>
  <c r="I69" i="14"/>
  <c r="J69" i="14" s="1"/>
  <c r="G77" i="14"/>
  <c r="C76" i="14"/>
  <c r="I80" i="14"/>
  <c r="J80" i="14" s="1"/>
  <c r="L76" i="14"/>
  <c r="I84" i="14"/>
  <c r="J84" i="14" s="1"/>
  <c r="I88" i="14"/>
  <c r="J88" i="14" s="1"/>
  <c r="I91" i="14"/>
  <c r="I12" i="14" s="1"/>
  <c r="G108" i="14"/>
  <c r="C106" i="14"/>
  <c r="H10" i="15"/>
  <c r="G16" i="15"/>
  <c r="G57" i="15"/>
  <c r="G61" i="15"/>
  <c r="G65" i="15"/>
  <c r="G69" i="15"/>
  <c r="G73" i="15"/>
  <c r="G82" i="15"/>
  <c r="G90" i="15"/>
  <c r="D11" i="15"/>
  <c r="D9" i="15" s="1"/>
  <c r="I11" i="15"/>
  <c r="G16" i="16"/>
  <c r="G18" i="16"/>
  <c r="C15" i="16"/>
  <c r="O18" i="16"/>
  <c r="I18" i="16"/>
  <c r="K18" i="16" s="1"/>
  <c r="I27" i="16"/>
  <c r="J55" i="16"/>
  <c r="R76" i="16"/>
  <c r="J78" i="16"/>
  <c r="N76" i="16"/>
  <c r="I80" i="16"/>
  <c r="P15" i="17"/>
  <c r="R15" i="17" s="1"/>
  <c r="S33" i="17"/>
  <c r="U33" i="17" s="1"/>
  <c r="O15" i="18"/>
  <c r="P29" i="18"/>
  <c r="AB33" i="18"/>
  <c r="I28" i="16"/>
  <c r="K28" i="16" s="1"/>
  <c r="L10" i="16"/>
  <c r="F33" i="16"/>
  <c r="J77" i="16"/>
  <c r="J81" i="16"/>
  <c r="F33" i="17"/>
  <c r="AC15" i="18"/>
  <c r="T20" i="18"/>
  <c r="P20" i="18"/>
  <c r="L20" i="18"/>
  <c r="R20" i="18"/>
  <c r="T28" i="18"/>
  <c r="P28" i="18"/>
  <c r="L28" i="18"/>
  <c r="R28" i="18"/>
  <c r="T87" i="18"/>
  <c r="P87" i="18"/>
  <c r="L87" i="18"/>
  <c r="R87" i="18"/>
  <c r="N87" i="18"/>
  <c r="R91" i="18"/>
  <c r="N91" i="18"/>
  <c r="V91" i="18"/>
  <c r="P91" i="18"/>
  <c r="T91" i="18"/>
  <c r="Z91" i="18"/>
  <c r="L91" i="18"/>
  <c r="G112" i="18"/>
  <c r="C106" i="18"/>
  <c r="BX86" i="13"/>
  <c r="V88" i="13"/>
  <c r="W88" i="13" s="1"/>
  <c r="BX90" i="13"/>
  <c r="AE91" i="13"/>
  <c r="K91" i="13"/>
  <c r="U91" i="13"/>
  <c r="C106" i="13"/>
  <c r="BW106" i="13"/>
  <c r="I19" i="14"/>
  <c r="J19" i="14" s="1"/>
  <c r="I27" i="14"/>
  <c r="J27" i="14" s="1"/>
  <c r="M54" i="14"/>
  <c r="I56" i="14"/>
  <c r="J56" i="14" s="1"/>
  <c r="I64" i="14"/>
  <c r="J64" i="14" s="1"/>
  <c r="I72" i="14"/>
  <c r="J72" i="14" s="1"/>
  <c r="F76" i="14"/>
  <c r="H15" i="16"/>
  <c r="J19" i="16"/>
  <c r="J23" i="16"/>
  <c r="J27" i="16"/>
  <c r="J31" i="16"/>
  <c r="N33" i="16"/>
  <c r="J80" i="16"/>
  <c r="I86" i="16"/>
  <c r="J87" i="16"/>
  <c r="J90" i="16"/>
  <c r="T11" i="17"/>
  <c r="O13" i="17"/>
  <c r="R13" i="17"/>
  <c r="I10" i="17"/>
  <c r="L16" i="17"/>
  <c r="J15" i="17"/>
  <c r="F54" i="17"/>
  <c r="G54" i="17" s="1"/>
  <c r="T54" i="17"/>
  <c r="K54" i="17"/>
  <c r="G78" i="17"/>
  <c r="C76" i="17"/>
  <c r="U11" i="18"/>
  <c r="AD15" i="18"/>
  <c r="Y37" i="18"/>
  <c r="Z37" i="18" s="1"/>
  <c r="AA33" i="18"/>
  <c r="G38" i="18"/>
  <c r="C33" i="18"/>
  <c r="X54" i="18"/>
  <c r="BN88" i="13"/>
  <c r="BO88" i="13" s="1"/>
  <c r="L90" i="13"/>
  <c r="M90" i="13" s="1"/>
  <c r="G107" i="13"/>
  <c r="M11" i="14"/>
  <c r="M15" i="14"/>
  <c r="I17" i="14"/>
  <c r="J17" i="14" s="1"/>
  <c r="I25" i="14"/>
  <c r="J25" i="14" s="1"/>
  <c r="N33" i="14"/>
  <c r="I62" i="14"/>
  <c r="J62" i="14" s="1"/>
  <c r="I70" i="14"/>
  <c r="J70" i="14" s="1"/>
  <c r="G79" i="14"/>
  <c r="G83" i="14"/>
  <c r="G87" i="14"/>
  <c r="C91" i="14"/>
  <c r="I106" i="14"/>
  <c r="I13" i="14" s="1"/>
  <c r="K11" i="15"/>
  <c r="C15" i="15"/>
  <c r="G35" i="15"/>
  <c r="G39" i="15"/>
  <c r="G43" i="15"/>
  <c r="G47" i="15"/>
  <c r="G51" i="15"/>
  <c r="P13" i="16"/>
  <c r="O28" i="16"/>
  <c r="I31" i="16"/>
  <c r="K31" i="16" s="1"/>
  <c r="D10" i="16"/>
  <c r="D9" i="16" s="1"/>
  <c r="J34" i="16"/>
  <c r="G39" i="16"/>
  <c r="J79" i="16"/>
  <c r="J83" i="16"/>
  <c r="J86" i="16"/>
  <c r="J106" i="16"/>
  <c r="J13" i="16" s="1"/>
  <c r="J11" i="16" s="1"/>
  <c r="H10" i="17"/>
  <c r="C15" i="17"/>
  <c r="T15" i="17"/>
  <c r="T33" i="17"/>
  <c r="J33" i="17"/>
  <c r="L33" i="17" s="1"/>
  <c r="T23" i="18"/>
  <c r="P23" i="18"/>
  <c r="L23" i="18"/>
  <c r="N23" i="18"/>
  <c r="R23" i="18"/>
  <c r="G32" i="18"/>
  <c r="C15" i="18"/>
  <c r="F33" i="18"/>
  <c r="U35" i="18"/>
  <c r="V35" i="18" s="1"/>
  <c r="W33" i="18"/>
  <c r="M33" i="17"/>
  <c r="O33" i="17" s="1"/>
  <c r="Q33" i="17"/>
  <c r="O91" i="17"/>
  <c r="H12" i="17"/>
  <c r="U91" i="17"/>
  <c r="Q15" i="18"/>
  <c r="N18" i="18"/>
  <c r="T19" i="18"/>
  <c r="P19" i="18"/>
  <c r="L19" i="18"/>
  <c r="N19" i="18"/>
  <c r="R19" i="18"/>
  <c r="N26" i="18"/>
  <c r="T27" i="18"/>
  <c r="P27" i="18"/>
  <c r="L27" i="18"/>
  <c r="N27" i="18"/>
  <c r="R27" i="18"/>
  <c r="K33" i="18"/>
  <c r="L33" i="18" s="1"/>
  <c r="G56" i="18"/>
  <c r="C54" i="18"/>
  <c r="T79" i="18"/>
  <c r="P79" i="18"/>
  <c r="L79" i="18"/>
  <c r="R79" i="18"/>
  <c r="N79" i="18"/>
  <c r="J85" i="16"/>
  <c r="J89" i="16"/>
  <c r="I106" i="16"/>
  <c r="I13" i="16" s="1"/>
  <c r="I11" i="16" s="1"/>
  <c r="P11" i="17"/>
  <c r="N15" i="17"/>
  <c r="S15" i="17"/>
  <c r="F15" i="17"/>
  <c r="G38" i="17"/>
  <c r="D11" i="17"/>
  <c r="D9" i="17" s="1"/>
  <c r="R91" i="17"/>
  <c r="G92" i="17"/>
  <c r="C91" i="17"/>
  <c r="D9" i="18"/>
  <c r="T16" i="18"/>
  <c r="P16" i="18"/>
  <c r="L16" i="18"/>
  <c r="R16" i="18"/>
  <c r="T24" i="18"/>
  <c r="P24" i="18"/>
  <c r="L24" i="18"/>
  <c r="R24" i="18"/>
  <c r="K15" i="18"/>
  <c r="L29" i="18"/>
  <c r="G34" i="18"/>
  <c r="L35" i="18"/>
  <c r="Y49" i="18"/>
  <c r="Z49" i="18" s="1"/>
  <c r="G50" i="18"/>
  <c r="AA54" i="18"/>
  <c r="S54" i="18"/>
  <c r="T54" i="18" s="1"/>
  <c r="T55" i="18"/>
  <c r="U61" i="18"/>
  <c r="N64" i="18"/>
  <c r="M54" i="18"/>
  <c r="N54" i="18" s="1"/>
  <c r="AD76" i="18"/>
  <c r="K76" i="18"/>
  <c r="L78" i="18"/>
  <c r="P76" i="17"/>
  <c r="R76" i="17" s="1"/>
  <c r="T76" i="17"/>
  <c r="X11" i="18"/>
  <c r="AB11" i="18"/>
  <c r="T17" i="18"/>
  <c r="P17" i="18"/>
  <c r="L17" i="18"/>
  <c r="T21" i="18"/>
  <c r="P21" i="18"/>
  <c r="L21" i="18"/>
  <c r="T25" i="18"/>
  <c r="P25" i="18"/>
  <c r="L25" i="18"/>
  <c r="Y28" i="18"/>
  <c r="Z28" i="18" s="1"/>
  <c r="AA15" i="18"/>
  <c r="X15" i="18"/>
  <c r="T30" i="18"/>
  <c r="P30" i="18"/>
  <c r="L30" i="18"/>
  <c r="U30" i="18"/>
  <c r="V30" i="18" s="1"/>
  <c r="W15" i="18"/>
  <c r="T31" i="18"/>
  <c r="P31" i="18"/>
  <c r="L31" i="18"/>
  <c r="Y35" i="18"/>
  <c r="Z35" i="18" s="1"/>
  <c r="G36" i="18"/>
  <c r="Y39" i="18"/>
  <c r="Z39" i="18" s="1"/>
  <c r="G40" i="18"/>
  <c r="Y43" i="18"/>
  <c r="Z43" i="18" s="1"/>
  <c r="G44" i="18"/>
  <c r="Y47" i="18"/>
  <c r="Z47" i="18" s="1"/>
  <c r="G48" i="18"/>
  <c r="Y51" i="18"/>
  <c r="Z51" i="18" s="1"/>
  <c r="G52" i="18"/>
  <c r="AB54" i="18"/>
  <c r="U57" i="18"/>
  <c r="V57" i="18" s="1"/>
  <c r="Y77" i="18"/>
  <c r="AA76" i="18"/>
  <c r="G78" i="18"/>
  <c r="C76" i="18"/>
  <c r="X76" i="18"/>
  <c r="J54" i="17"/>
  <c r="L54" i="17" s="1"/>
  <c r="N54" i="17"/>
  <c r="E11" i="18"/>
  <c r="E9" i="18" s="1"/>
  <c r="T18" i="18"/>
  <c r="P18" i="18"/>
  <c r="L18" i="18"/>
  <c r="T22" i="18"/>
  <c r="P22" i="18"/>
  <c r="L22" i="18"/>
  <c r="T26" i="18"/>
  <c r="P26" i="18"/>
  <c r="L26" i="18"/>
  <c r="AB15" i="18"/>
  <c r="F15" i="18"/>
  <c r="S15" i="18"/>
  <c r="Y36" i="18"/>
  <c r="Z36" i="18" s="1"/>
  <c r="G37" i="18"/>
  <c r="Y40" i="18"/>
  <c r="Z40" i="18" s="1"/>
  <c r="G41" i="18"/>
  <c r="Y44" i="18"/>
  <c r="Z44" i="18" s="1"/>
  <c r="G45" i="18"/>
  <c r="Y48" i="18"/>
  <c r="Z48" i="18" s="1"/>
  <c r="G49" i="18"/>
  <c r="Y52" i="18"/>
  <c r="Z52" i="18" s="1"/>
  <c r="G53" i="18"/>
  <c r="F54" i="18"/>
  <c r="O54" i="18"/>
  <c r="P54" i="18" s="1"/>
  <c r="P55" i="18"/>
  <c r="Y59" i="18"/>
  <c r="Z59" i="18" s="1"/>
  <c r="G60" i="18"/>
  <c r="AC54" i="18"/>
  <c r="C91" i="18"/>
  <c r="G95" i="18"/>
  <c r="N32" i="18"/>
  <c r="Q54" i="18"/>
  <c r="R54" i="18" s="1"/>
  <c r="T66" i="18"/>
  <c r="P66" i="18"/>
  <c r="L66" i="18"/>
  <c r="R66" i="18"/>
  <c r="T70" i="18"/>
  <c r="P70" i="18"/>
  <c r="L70" i="18"/>
  <c r="R70" i="18"/>
  <c r="T74" i="18"/>
  <c r="P74" i="18"/>
  <c r="L74" i="18"/>
  <c r="R74" i="18"/>
  <c r="T77" i="18"/>
  <c r="P77" i="18"/>
  <c r="L77" i="18"/>
  <c r="H76" i="18"/>
  <c r="N77" i="18"/>
  <c r="R77" i="18"/>
  <c r="N29" i="18"/>
  <c r="U29" i="18"/>
  <c r="V29" i="18" s="1"/>
  <c r="Y30" i="18"/>
  <c r="Z30" i="18" s="1"/>
  <c r="G31" i="18"/>
  <c r="W54" i="18"/>
  <c r="G55" i="18"/>
  <c r="U56" i="18"/>
  <c r="V56" i="18" s="1"/>
  <c r="Y58" i="18"/>
  <c r="G59" i="18"/>
  <c r="U60" i="18"/>
  <c r="V60" i="18" s="1"/>
  <c r="Y62" i="18"/>
  <c r="Z62" i="18" s="1"/>
  <c r="G63" i="18"/>
  <c r="R64" i="18"/>
  <c r="T65" i="18"/>
  <c r="P65" i="18"/>
  <c r="L65" i="18"/>
  <c r="N65" i="18"/>
  <c r="R65" i="18"/>
  <c r="T69" i="18"/>
  <c r="P69" i="18"/>
  <c r="L69" i="18"/>
  <c r="N69" i="18"/>
  <c r="R69" i="18"/>
  <c r="T73" i="18"/>
  <c r="P73" i="18"/>
  <c r="L73" i="18"/>
  <c r="N73" i="18"/>
  <c r="R73" i="18"/>
  <c r="T80" i="18"/>
  <c r="P80" i="18"/>
  <c r="L80" i="18"/>
  <c r="R80" i="18"/>
  <c r="T88" i="18"/>
  <c r="P88" i="18"/>
  <c r="L88" i="18"/>
  <c r="R88" i="18"/>
  <c r="V105" i="18"/>
  <c r="P105" i="18"/>
  <c r="Z105" i="18"/>
  <c r="T105" i="18"/>
  <c r="L105" i="18"/>
  <c r="R105" i="18"/>
  <c r="N105" i="18"/>
  <c r="T67" i="18"/>
  <c r="P67" i="18"/>
  <c r="L67" i="18"/>
  <c r="T71" i="18"/>
  <c r="P71" i="18"/>
  <c r="L71" i="18"/>
  <c r="T75" i="18"/>
  <c r="P75" i="18"/>
  <c r="L75" i="18"/>
  <c r="N34" i="18"/>
  <c r="R34" i="18"/>
  <c r="N35" i="18"/>
  <c r="R35" i="18"/>
  <c r="N36" i="18"/>
  <c r="R36" i="18"/>
  <c r="N37" i="18"/>
  <c r="R37" i="18"/>
  <c r="N38" i="18"/>
  <c r="R38" i="18"/>
  <c r="N39" i="18"/>
  <c r="R39" i="18"/>
  <c r="N40" i="18"/>
  <c r="R40" i="18"/>
  <c r="N41" i="18"/>
  <c r="R41" i="18"/>
  <c r="N42" i="18"/>
  <c r="R42" i="18"/>
  <c r="N43" i="18"/>
  <c r="R43" i="18"/>
  <c r="N44" i="18"/>
  <c r="R44" i="18"/>
  <c r="N45" i="18"/>
  <c r="R45" i="18"/>
  <c r="N46" i="18"/>
  <c r="R46" i="18"/>
  <c r="N47" i="18"/>
  <c r="R47" i="18"/>
  <c r="N48" i="18"/>
  <c r="R48" i="18"/>
  <c r="N49" i="18"/>
  <c r="R49" i="18"/>
  <c r="N50" i="18"/>
  <c r="R50" i="18"/>
  <c r="N51" i="18"/>
  <c r="R51" i="18"/>
  <c r="N52" i="18"/>
  <c r="R52" i="18"/>
  <c r="N53" i="18"/>
  <c r="R53" i="18"/>
  <c r="N55" i="18"/>
  <c r="R55" i="18"/>
  <c r="N56" i="18"/>
  <c r="R56" i="18"/>
  <c r="N57" i="18"/>
  <c r="R57" i="18"/>
  <c r="N58" i="18"/>
  <c r="R58" i="18"/>
  <c r="N59" i="18"/>
  <c r="R59" i="18"/>
  <c r="N60" i="18"/>
  <c r="R60" i="18"/>
  <c r="N61" i="18"/>
  <c r="R61" i="18"/>
  <c r="N62" i="18"/>
  <c r="R62" i="18"/>
  <c r="N63" i="18"/>
  <c r="R63" i="18"/>
  <c r="T64" i="18"/>
  <c r="P64" i="18"/>
  <c r="L64" i="18"/>
  <c r="T68" i="18"/>
  <c r="P68" i="18"/>
  <c r="L68" i="18"/>
  <c r="T72" i="18"/>
  <c r="P72" i="18"/>
  <c r="L72" i="18"/>
  <c r="T83" i="18"/>
  <c r="P83" i="18"/>
  <c r="L83" i="18"/>
  <c r="U83" i="18"/>
  <c r="V83" i="18" s="1"/>
  <c r="T84" i="18"/>
  <c r="P84" i="18"/>
  <c r="L84" i="18"/>
  <c r="Z99" i="18"/>
  <c r="T99" i="18"/>
  <c r="L99" i="18"/>
  <c r="V99" i="18"/>
  <c r="P99" i="18"/>
  <c r="R99" i="18"/>
  <c r="Y78" i="18"/>
  <c r="Z78" i="18" s="1"/>
  <c r="G79" i="18"/>
  <c r="N81" i="18"/>
  <c r="U81" i="18"/>
  <c r="V81" i="18" s="1"/>
  <c r="Y82" i="18"/>
  <c r="Z82" i="18" s="1"/>
  <c r="G83" i="18"/>
  <c r="N85" i="18"/>
  <c r="U85" i="18"/>
  <c r="V85" i="18" s="1"/>
  <c r="G87" i="18"/>
  <c r="N89" i="18"/>
  <c r="Z95" i="18"/>
  <c r="T95" i="18"/>
  <c r="L95" i="18"/>
  <c r="V95" i="18"/>
  <c r="P95" i="18"/>
  <c r="Y91" i="18"/>
  <c r="Y12" i="18" s="1"/>
  <c r="Y11" i="18" s="1"/>
  <c r="V101" i="18"/>
  <c r="P101" i="18"/>
  <c r="Z101" i="18"/>
  <c r="T101" i="18"/>
  <c r="L101" i="18"/>
  <c r="V110" i="18"/>
  <c r="P110" i="18"/>
  <c r="H106" i="18"/>
  <c r="N110" i="18"/>
  <c r="Z110" i="18"/>
  <c r="T110" i="18"/>
  <c r="L110" i="18"/>
  <c r="N78" i="18"/>
  <c r="U78" i="18"/>
  <c r="Y79" i="18"/>
  <c r="Z79" i="18" s="1"/>
  <c r="G80" i="18"/>
  <c r="N82" i="18"/>
  <c r="U82" i="18"/>
  <c r="V82" i="18" s="1"/>
  <c r="Y83" i="18"/>
  <c r="Z83" i="18" s="1"/>
  <c r="G84" i="18"/>
  <c r="N86" i="18"/>
  <c r="G88" i="18"/>
  <c r="N90" i="18"/>
  <c r="N95" i="18"/>
  <c r="V97" i="18"/>
  <c r="P97" i="18"/>
  <c r="Z97" i="18"/>
  <c r="T97" i="18"/>
  <c r="L97" i="18"/>
  <c r="N101" i="18"/>
  <c r="Z103" i="18"/>
  <c r="T103" i="18"/>
  <c r="L103" i="18"/>
  <c r="V103" i="18"/>
  <c r="P103" i="18"/>
  <c r="R110" i="18"/>
  <c r="R92" i="18"/>
  <c r="R93" i="18"/>
  <c r="R94" i="18"/>
  <c r="N96" i="18"/>
  <c r="R98" i="18"/>
  <c r="R102" i="18"/>
  <c r="N107" i="18"/>
  <c r="N108" i="18"/>
  <c r="N109" i="18"/>
  <c r="R111" i="18"/>
  <c r="P112" i="18"/>
  <c r="V112" i="18"/>
  <c r="P113" i="18"/>
  <c r="V113" i="18"/>
  <c r="P114" i="18"/>
  <c r="V114" i="18"/>
  <c r="R112" i="18"/>
  <c r="R113" i="18"/>
  <c r="R114" i="18"/>
  <c r="L112" i="18"/>
  <c r="T112" i="18"/>
  <c r="L113" i="18"/>
  <c r="T113" i="18"/>
  <c r="L114" i="18"/>
  <c r="T114" i="18"/>
  <c r="O9" i="4" l="1"/>
  <c r="E9" i="6"/>
  <c r="H11" i="14"/>
  <c r="E11" i="4"/>
  <c r="E9" i="4" s="1"/>
  <c r="N9" i="7"/>
  <c r="AF9" i="4"/>
  <c r="AS9" i="4" s="1"/>
  <c r="L13" i="17"/>
  <c r="I11" i="17"/>
  <c r="L11" i="17" s="1"/>
  <c r="E9" i="20"/>
  <c r="V13" i="2"/>
  <c r="T11" i="2"/>
  <c r="V11" i="2" s="1"/>
  <c r="L33" i="19"/>
  <c r="L10" i="19" s="1"/>
  <c r="M55" i="19"/>
  <c r="G76" i="1"/>
  <c r="K91" i="20"/>
  <c r="AN11" i="20"/>
  <c r="M26" i="12"/>
  <c r="M20" i="12"/>
  <c r="M36" i="12"/>
  <c r="I45" i="12"/>
  <c r="J45" i="12" s="1"/>
  <c r="G76" i="15"/>
  <c r="M90" i="12"/>
  <c r="M32" i="12"/>
  <c r="M86" i="12"/>
  <c r="M78" i="12"/>
  <c r="M46" i="12"/>
  <c r="G54" i="19"/>
  <c r="M70" i="12"/>
  <c r="Q33" i="7"/>
  <c r="G76" i="7"/>
  <c r="M27" i="12"/>
  <c r="F10" i="20"/>
  <c r="F9" i="20" s="1"/>
  <c r="T10" i="20"/>
  <c r="T9" i="20" s="1"/>
  <c r="W10" i="6"/>
  <c r="M76" i="19"/>
  <c r="M30" i="12"/>
  <c r="M59" i="12"/>
  <c r="M24" i="12"/>
  <c r="G76" i="2"/>
  <c r="M52" i="12"/>
  <c r="AC10" i="20"/>
  <c r="AC9" i="20" s="1"/>
  <c r="G54" i="5"/>
  <c r="F11" i="1"/>
  <c r="M38" i="12"/>
  <c r="AD10" i="20"/>
  <c r="AD9" i="20" s="1"/>
  <c r="AS10" i="20"/>
  <c r="AS9" i="20" s="1"/>
  <c r="M58" i="12"/>
  <c r="G91" i="8"/>
  <c r="M74" i="12"/>
  <c r="M82" i="12"/>
  <c r="H11" i="15"/>
  <c r="J11" i="15" s="1"/>
  <c r="J12" i="7"/>
  <c r="AQ10" i="20"/>
  <c r="AQ9" i="20" s="1"/>
  <c r="AN54" i="20"/>
  <c r="AO54" i="20" s="1"/>
  <c r="U12" i="19"/>
  <c r="S11" i="19"/>
  <c r="U11" i="19" s="1"/>
  <c r="E9" i="16"/>
  <c r="L11" i="13"/>
  <c r="K11" i="10"/>
  <c r="N12" i="10"/>
  <c r="BL11" i="13"/>
  <c r="S12" i="2"/>
  <c r="K11" i="2"/>
  <c r="M12" i="2"/>
  <c r="Q12" i="2"/>
  <c r="M12" i="5"/>
  <c r="K11" i="5"/>
  <c r="P12" i="10"/>
  <c r="L11" i="10"/>
  <c r="P11" i="4"/>
  <c r="R12" i="4"/>
  <c r="G106" i="15"/>
  <c r="M91" i="12"/>
  <c r="L11" i="12"/>
  <c r="M85" i="12"/>
  <c r="L15" i="20"/>
  <c r="M15" i="20" s="1"/>
  <c r="D9" i="20"/>
  <c r="AR9" i="20"/>
  <c r="AV11" i="13"/>
  <c r="T10" i="12"/>
  <c r="R9" i="12"/>
  <c r="AW13" i="13"/>
  <c r="AS11" i="13"/>
  <c r="J12" i="10"/>
  <c r="H11" i="10"/>
  <c r="T9" i="4"/>
  <c r="S13" i="2"/>
  <c r="Q13" i="2"/>
  <c r="M13" i="2"/>
  <c r="O12" i="8"/>
  <c r="R12" i="8"/>
  <c r="H11" i="8"/>
  <c r="U12" i="8"/>
  <c r="BV11" i="13"/>
  <c r="X33" i="6"/>
  <c r="M44" i="12"/>
  <c r="G54" i="12"/>
  <c r="M35" i="12"/>
  <c r="AG10" i="20"/>
  <c r="AG9" i="20" s="1"/>
  <c r="AB10" i="20"/>
  <c r="AB9" i="20" s="1"/>
  <c r="G106" i="12"/>
  <c r="C13" i="12"/>
  <c r="G13" i="12" s="1"/>
  <c r="BK9" i="13"/>
  <c r="AN15" i="20"/>
  <c r="AO15" i="20" s="1"/>
  <c r="H10" i="18"/>
  <c r="J9" i="18"/>
  <c r="H9" i="18" s="1"/>
  <c r="J15" i="20"/>
  <c r="K15" i="20" s="1"/>
  <c r="J33" i="20"/>
  <c r="K33" i="20" s="1"/>
  <c r="AH15" i="20"/>
  <c r="AK10" i="20"/>
  <c r="AK9" i="20" s="1"/>
  <c r="AL10" i="20"/>
  <c r="AL9" i="20" s="1"/>
  <c r="U10" i="20"/>
  <c r="U9" i="20" s="1"/>
  <c r="S15" i="20"/>
  <c r="R10" i="20"/>
  <c r="R9" i="20" s="1"/>
  <c r="AE9" i="20"/>
  <c r="X10" i="20"/>
  <c r="X9" i="20" s="1"/>
  <c r="Y15" i="20"/>
  <c r="AJ15" i="20"/>
  <c r="AI10" i="20"/>
  <c r="AI9" i="20" s="1"/>
  <c r="G54" i="20"/>
  <c r="AO57" i="20"/>
  <c r="C13" i="20"/>
  <c r="G13" i="20" s="1"/>
  <c r="G106" i="20"/>
  <c r="I11" i="20"/>
  <c r="M11" i="20" s="1"/>
  <c r="M12" i="20"/>
  <c r="L76" i="20"/>
  <c r="M76" i="20" s="1"/>
  <c r="AA15" i="20"/>
  <c r="Z10" i="20"/>
  <c r="Z9" i="20" s="1"/>
  <c r="G15" i="20"/>
  <c r="C10" i="20"/>
  <c r="O9" i="20"/>
  <c r="V9" i="20"/>
  <c r="AN33" i="20"/>
  <c r="AO33" i="20" s="1"/>
  <c r="AO34" i="20"/>
  <c r="I10" i="20"/>
  <c r="AM10" i="20"/>
  <c r="G33" i="20"/>
  <c r="AN76" i="20"/>
  <c r="AO76" i="20" s="1"/>
  <c r="AO77" i="20"/>
  <c r="J76" i="20"/>
  <c r="K76" i="20" s="1"/>
  <c r="P10" i="20"/>
  <c r="P9" i="20" s="1"/>
  <c r="Q15" i="20"/>
  <c r="AF9" i="20"/>
  <c r="L33" i="20"/>
  <c r="M33" i="20" s="1"/>
  <c r="L54" i="20"/>
  <c r="M54" i="20" s="1"/>
  <c r="C12" i="20"/>
  <c r="G91" i="20"/>
  <c r="K12" i="20"/>
  <c r="H11" i="20"/>
  <c r="K11" i="20" s="1"/>
  <c r="G54" i="4"/>
  <c r="N9" i="20"/>
  <c r="H10" i="20"/>
  <c r="W9" i="20"/>
  <c r="J54" i="20"/>
  <c r="K54" i="20" s="1"/>
  <c r="N10" i="16"/>
  <c r="N9" i="16" s="1"/>
  <c r="M77" i="12"/>
  <c r="M37" i="12"/>
  <c r="G76" i="18"/>
  <c r="M54" i="19"/>
  <c r="M83" i="12"/>
  <c r="I50" i="12"/>
  <c r="J50" i="12" s="1"/>
  <c r="G76" i="12"/>
  <c r="M66" i="12"/>
  <c r="O10" i="19"/>
  <c r="O9" i="19" s="1"/>
  <c r="M62" i="12"/>
  <c r="M60" i="12"/>
  <c r="F10" i="3"/>
  <c r="F9" i="3" s="1"/>
  <c r="M29" i="12"/>
  <c r="G33" i="19"/>
  <c r="G33" i="8"/>
  <c r="T76" i="19"/>
  <c r="U76" i="19" s="1"/>
  <c r="W10" i="19"/>
  <c r="X15" i="19"/>
  <c r="G76" i="19"/>
  <c r="M71" i="12"/>
  <c r="M63" i="12"/>
  <c r="I80" i="12"/>
  <c r="J80" i="12" s="1"/>
  <c r="G33" i="12"/>
  <c r="M10" i="4"/>
  <c r="N10" i="8"/>
  <c r="N9" i="8" s="1"/>
  <c r="Y9" i="19"/>
  <c r="V11" i="19"/>
  <c r="X12" i="19"/>
  <c r="P9" i="19"/>
  <c r="R9" i="19" s="1"/>
  <c r="R10" i="19"/>
  <c r="G106" i="19"/>
  <c r="C13" i="19"/>
  <c r="G13" i="19" s="1"/>
  <c r="F10" i="19"/>
  <c r="F9" i="19" s="1"/>
  <c r="S10" i="19"/>
  <c r="K10" i="14"/>
  <c r="K9" i="14" s="1"/>
  <c r="M28" i="12"/>
  <c r="G54" i="8"/>
  <c r="P10" i="1"/>
  <c r="P9" i="1" s="1"/>
  <c r="M25" i="12"/>
  <c r="M51" i="12"/>
  <c r="M21" i="12"/>
  <c r="I49" i="12"/>
  <c r="J49" i="12" s="1"/>
  <c r="G91" i="19"/>
  <c r="C12" i="19"/>
  <c r="U17" i="19"/>
  <c r="T15" i="19"/>
  <c r="U15" i="19" s="1"/>
  <c r="H9" i="19"/>
  <c r="J9" i="19" s="1"/>
  <c r="T33" i="19"/>
  <c r="U33" i="19" s="1"/>
  <c r="X33" i="19"/>
  <c r="Z10" i="19"/>
  <c r="Z9" i="19" s="1"/>
  <c r="C10" i="19"/>
  <c r="G15" i="19"/>
  <c r="G33" i="14"/>
  <c r="M67" i="12"/>
  <c r="AH10" i="13"/>
  <c r="AH9" i="13" s="1"/>
  <c r="M31" i="12"/>
  <c r="I84" i="12"/>
  <c r="J84" i="12" s="1"/>
  <c r="M22" i="12"/>
  <c r="X91" i="6"/>
  <c r="F10" i="8"/>
  <c r="F9" i="8" s="1"/>
  <c r="G76" i="4"/>
  <c r="G33" i="1"/>
  <c r="G76" i="3"/>
  <c r="M17" i="12"/>
  <c r="X54" i="19"/>
  <c r="T54" i="19"/>
  <c r="U54" i="19" s="1"/>
  <c r="N10" i="19"/>
  <c r="N9" i="19" s="1"/>
  <c r="M15" i="19"/>
  <c r="K10" i="19"/>
  <c r="G54" i="1"/>
  <c r="F10" i="12"/>
  <c r="F9" i="12" s="1"/>
  <c r="G15" i="12"/>
  <c r="F12" i="2"/>
  <c r="F11" i="2" s="1"/>
  <c r="G91" i="2"/>
  <c r="AL33" i="4"/>
  <c r="AK10" i="4"/>
  <c r="AK9" i="4" s="1"/>
  <c r="AL9" i="4" s="1"/>
  <c r="M88" i="12"/>
  <c r="I88" i="12"/>
  <c r="J88" i="12" s="1"/>
  <c r="L76" i="12"/>
  <c r="M76" i="12" s="1"/>
  <c r="BM35" i="13"/>
  <c r="BL33" i="13"/>
  <c r="BM33" i="13" s="1"/>
  <c r="I23" i="12"/>
  <c r="J23" i="12" s="1"/>
  <c r="M23" i="12"/>
  <c r="J54" i="3"/>
  <c r="I10" i="3"/>
  <c r="I9" i="3" s="1"/>
  <c r="J9" i="3" s="1"/>
  <c r="AD76" i="13"/>
  <c r="AE76" i="13" s="1"/>
  <c r="AL10" i="13"/>
  <c r="AL9" i="13" s="1"/>
  <c r="U10" i="4"/>
  <c r="U9" i="4" s="1"/>
  <c r="AM10" i="13"/>
  <c r="AM9" i="13" s="1"/>
  <c r="I72" i="12"/>
  <c r="J72" i="12" s="1"/>
  <c r="M72" i="12"/>
  <c r="I68" i="12"/>
  <c r="J68" i="12" s="1"/>
  <c r="M68" i="12"/>
  <c r="I64" i="12"/>
  <c r="J64" i="12" s="1"/>
  <c r="M64" i="12"/>
  <c r="I56" i="12"/>
  <c r="J56" i="12" s="1"/>
  <c r="M56" i="12"/>
  <c r="Q12" i="16"/>
  <c r="Q11" i="16" s="1"/>
  <c r="Q9" i="16" s="1"/>
  <c r="AQ10" i="4"/>
  <c r="AR10" i="4" s="1"/>
  <c r="G54" i="3"/>
  <c r="F10" i="4"/>
  <c r="F9" i="4" s="1"/>
  <c r="G33" i="4"/>
  <c r="L76" i="4"/>
  <c r="Q10" i="17"/>
  <c r="Q9" i="17" s="1"/>
  <c r="K10" i="17"/>
  <c r="K9" i="17" s="1"/>
  <c r="R10" i="16"/>
  <c r="R9" i="16" s="1"/>
  <c r="BD10" i="13"/>
  <c r="BD9" i="13" s="1"/>
  <c r="N10" i="13"/>
  <c r="N9" i="13" s="1"/>
  <c r="BV33" i="13"/>
  <c r="AR76" i="4"/>
  <c r="AV76" i="13"/>
  <c r="AW76" i="13" s="1"/>
  <c r="G54" i="15"/>
  <c r="G54" i="13"/>
  <c r="M16" i="12"/>
  <c r="T15" i="13"/>
  <c r="U15" i="13" s="1"/>
  <c r="F10" i="6"/>
  <c r="F9" i="6" s="1"/>
  <c r="R10" i="6"/>
  <c r="R9" i="6" s="1"/>
  <c r="J33" i="1"/>
  <c r="K33" i="1" s="1"/>
  <c r="X10" i="1"/>
  <c r="X9" i="1" s="1"/>
  <c r="I43" i="12"/>
  <c r="J43" i="12" s="1"/>
  <c r="M43" i="12"/>
  <c r="L54" i="13"/>
  <c r="M54" i="13" s="1"/>
  <c r="M18" i="12"/>
  <c r="O10" i="6"/>
  <c r="O9" i="6" s="1"/>
  <c r="AO10" i="4"/>
  <c r="AP10" i="4" s="1"/>
  <c r="N10" i="4"/>
  <c r="M42" i="12"/>
  <c r="I42" i="12"/>
  <c r="J42" i="12" s="1"/>
  <c r="J15" i="16"/>
  <c r="S10" i="7"/>
  <c r="S9" i="7" s="1"/>
  <c r="M41" i="12"/>
  <c r="I41" i="12"/>
  <c r="J41" i="12" s="1"/>
  <c r="I79" i="12"/>
  <c r="J79" i="12" s="1"/>
  <c r="M79" i="12"/>
  <c r="J54" i="13"/>
  <c r="K54" i="13" s="1"/>
  <c r="AP10" i="13"/>
  <c r="AP9" i="13" s="1"/>
  <c r="L33" i="4"/>
  <c r="J15" i="1"/>
  <c r="K15" i="1" s="1"/>
  <c r="BP10" i="13"/>
  <c r="BP9" i="13" s="1"/>
  <c r="I53" i="12"/>
  <c r="J53" i="12" s="1"/>
  <c r="M53" i="12"/>
  <c r="I87" i="12"/>
  <c r="J87" i="12" s="1"/>
  <c r="M87" i="12"/>
  <c r="T10" i="1"/>
  <c r="T9" i="1" s="1"/>
  <c r="L10" i="3"/>
  <c r="L9" i="3" s="1"/>
  <c r="M9" i="3" s="1"/>
  <c r="J76" i="1"/>
  <c r="K76" i="1" s="1"/>
  <c r="J10" i="8"/>
  <c r="J9" i="8" s="1"/>
  <c r="I81" i="12"/>
  <c r="J81" i="12" s="1"/>
  <c r="M81" i="12"/>
  <c r="I89" i="12"/>
  <c r="J89" i="12" s="1"/>
  <c r="M89" i="12"/>
  <c r="J18" i="12"/>
  <c r="BM64" i="13"/>
  <c r="BL54" i="13"/>
  <c r="BM54" i="13" s="1"/>
  <c r="AQ10" i="13"/>
  <c r="AQ9" i="13" s="1"/>
  <c r="AU23" i="13"/>
  <c r="AT15" i="13"/>
  <c r="AU15" i="13" s="1"/>
  <c r="I73" i="12"/>
  <c r="J73" i="12" s="1"/>
  <c r="M73" i="12"/>
  <c r="I65" i="12"/>
  <c r="J65" i="12" s="1"/>
  <c r="M65" i="12"/>
  <c r="I57" i="12"/>
  <c r="J57" i="12" s="1"/>
  <c r="M57" i="12"/>
  <c r="Y33" i="4"/>
  <c r="X10" i="4"/>
  <c r="Y10" i="4" s="1"/>
  <c r="AT76" i="13"/>
  <c r="AU76" i="13" s="1"/>
  <c r="W11" i="6"/>
  <c r="X12" i="6"/>
  <c r="R10" i="13"/>
  <c r="R9" i="13" s="1"/>
  <c r="AU43" i="13"/>
  <c r="AT33" i="13"/>
  <c r="AU33" i="13" s="1"/>
  <c r="U37" i="13"/>
  <c r="T33" i="13"/>
  <c r="U33" i="13" s="1"/>
  <c r="I61" i="12"/>
  <c r="J61" i="12" s="1"/>
  <c r="M61" i="12"/>
  <c r="AE44" i="13"/>
  <c r="AD33" i="13"/>
  <c r="AE33" i="13" s="1"/>
  <c r="K36" i="13"/>
  <c r="J33" i="13"/>
  <c r="K33" i="13" s="1"/>
  <c r="BL76" i="13"/>
  <c r="BM76" i="13" s="1"/>
  <c r="L15" i="4"/>
  <c r="R15" i="4"/>
  <c r="Q10" i="4"/>
  <c r="Q9" i="4" s="1"/>
  <c r="I69" i="12"/>
  <c r="J69" i="12" s="1"/>
  <c r="M69" i="12"/>
  <c r="M47" i="12"/>
  <c r="I47" i="12"/>
  <c r="J47" i="12" s="1"/>
  <c r="S10" i="17"/>
  <c r="S9" i="17" s="1"/>
  <c r="U15" i="17"/>
  <c r="F10" i="15"/>
  <c r="F9" i="15" s="1"/>
  <c r="T54" i="13"/>
  <c r="U54" i="13" s="1"/>
  <c r="G33" i="15"/>
  <c r="M15" i="3"/>
  <c r="I19" i="12"/>
  <c r="J19" i="12" s="1"/>
  <c r="L15" i="12"/>
  <c r="M15" i="12" s="1"/>
  <c r="AB10" i="18"/>
  <c r="AB9" i="18" s="1"/>
  <c r="M10" i="18"/>
  <c r="M9" i="18" s="1"/>
  <c r="N9" i="18" s="1"/>
  <c r="J54" i="16"/>
  <c r="O10" i="14"/>
  <c r="O9" i="14" s="1"/>
  <c r="AV54" i="13"/>
  <c r="AW54" i="13" s="1"/>
  <c r="BI10" i="13"/>
  <c r="BI9" i="13" s="1"/>
  <c r="Q10" i="12"/>
  <c r="Q9" i="12" s="1"/>
  <c r="AC10" i="13"/>
  <c r="AC9" i="13" s="1"/>
  <c r="AA10" i="13"/>
  <c r="AA9" i="13" s="1"/>
  <c r="O10" i="12"/>
  <c r="O9" i="12" s="1"/>
  <c r="G54" i="10"/>
  <c r="Q10" i="8"/>
  <c r="Q9" i="8" s="1"/>
  <c r="S10" i="8"/>
  <c r="Q76" i="7"/>
  <c r="AT76" i="4"/>
  <c r="AU76" i="4" s="1"/>
  <c r="J54" i="1"/>
  <c r="K54" i="1" s="1"/>
  <c r="Y10" i="1"/>
  <c r="Y9" i="1" s="1"/>
  <c r="F10" i="2"/>
  <c r="Y54" i="18"/>
  <c r="Z54" i="18" s="1"/>
  <c r="X10" i="18"/>
  <c r="X9" i="18" s="1"/>
  <c r="U33" i="18"/>
  <c r="V33" i="18" s="1"/>
  <c r="M10" i="14"/>
  <c r="M9" i="14" s="1"/>
  <c r="G76" i="17"/>
  <c r="BE10" i="13"/>
  <c r="BE9" i="13" s="1"/>
  <c r="BH10" i="13"/>
  <c r="BH9" i="13" s="1"/>
  <c r="BV15" i="13"/>
  <c r="G76" i="10"/>
  <c r="T10" i="8"/>
  <c r="T9" i="8" s="1"/>
  <c r="AT33" i="4"/>
  <c r="AU33" i="4" s="1"/>
  <c r="G33" i="2"/>
  <c r="R10" i="2"/>
  <c r="R9" i="2" s="1"/>
  <c r="M40" i="12"/>
  <c r="I40" i="12"/>
  <c r="J40" i="12" s="1"/>
  <c r="AT15" i="4"/>
  <c r="AU15" i="4" s="1"/>
  <c r="U76" i="18"/>
  <c r="V76" i="18" s="1"/>
  <c r="V78" i="18"/>
  <c r="Y33" i="18"/>
  <c r="Z33" i="18" s="1"/>
  <c r="U54" i="18"/>
  <c r="V54" i="18" s="1"/>
  <c r="J33" i="16"/>
  <c r="G76" i="14"/>
  <c r="I33" i="16"/>
  <c r="K33" i="16" s="1"/>
  <c r="BU10" i="13"/>
  <c r="BY10" i="13" s="1"/>
  <c r="F10" i="14"/>
  <c r="F9" i="14" s="1"/>
  <c r="AN10" i="13"/>
  <c r="AN9" i="13" s="1"/>
  <c r="BF10" i="13"/>
  <c r="BF9" i="13" s="1"/>
  <c r="BX15" i="13"/>
  <c r="BX10" i="13" s="1"/>
  <c r="BX9" i="13" s="1"/>
  <c r="AB10" i="13"/>
  <c r="AB9" i="13" s="1"/>
  <c r="AY10" i="13"/>
  <c r="AY9" i="13" s="1"/>
  <c r="BV54" i="13"/>
  <c r="G33" i="13"/>
  <c r="AV33" i="13"/>
  <c r="AW33" i="13" s="1"/>
  <c r="F10" i="5"/>
  <c r="F9" i="5" s="1"/>
  <c r="AG10" i="4"/>
  <c r="AG9" i="4" s="1"/>
  <c r="AH9" i="4" s="1"/>
  <c r="L54" i="1"/>
  <c r="M54" i="1" s="1"/>
  <c r="U10" i="1"/>
  <c r="U9" i="1" s="1"/>
  <c r="M48" i="12"/>
  <c r="I48" i="12"/>
  <c r="J48" i="12" s="1"/>
  <c r="I39" i="12"/>
  <c r="J39" i="12" s="1"/>
  <c r="M39" i="12"/>
  <c r="CD10" i="13"/>
  <c r="CD9" i="13" s="1"/>
  <c r="AT54" i="4"/>
  <c r="AU54" i="4" s="1"/>
  <c r="P10" i="7"/>
  <c r="P9" i="7" s="1"/>
  <c r="M75" i="12"/>
  <c r="T15" i="18"/>
  <c r="S10" i="18"/>
  <c r="G91" i="17"/>
  <c r="C12" i="17"/>
  <c r="C10" i="18"/>
  <c r="G15" i="18"/>
  <c r="T10" i="17"/>
  <c r="T9" i="17" s="1"/>
  <c r="G15" i="15"/>
  <c r="C10" i="15"/>
  <c r="Y15" i="18"/>
  <c r="I76" i="16"/>
  <c r="G15" i="16"/>
  <c r="C10" i="16"/>
  <c r="J34" i="14"/>
  <c r="I33" i="14"/>
  <c r="J33" i="14" s="1"/>
  <c r="K55" i="16"/>
  <c r="I54" i="16"/>
  <c r="K54" i="16" s="1"/>
  <c r="BO77" i="13"/>
  <c r="BN76" i="13"/>
  <c r="BO76" i="13" s="1"/>
  <c r="M10" i="17"/>
  <c r="M9" i="17" s="1"/>
  <c r="G91" i="15"/>
  <c r="C12" i="15"/>
  <c r="J77" i="14"/>
  <c r="I76" i="14"/>
  <c r="J76" i="14" s="1"/>
  <c r="V54" i="13"/>
  <c r="W54" i="13" s="1"/>
  <c r="T11" i="13"/>
  <c r="AU56" i="13"/>
  <c r="AT54" i="13"/>
  <c r="AU54" i="13" s="1"/>
  <c r="G15" i="13"/>
  <c r="C10" i="13"/>
  <c r="BR10" i="13"/>
  <c r="BR9" i="13" s="1"/>
  <c r="AI10" i="13"/>
  <c r="AI9" i="13" s="1"/>
  <c r="H10" i="12"/>
  <c r="G15" i="14"/>
  <c r="C10" i="14"/>
  <c r="W34" i="13"/>
  <c r="V33" i="13"/>
  <c r="W33" i="13" s="1"/>
  <c r="C10" i="12"/>
  <c r="AG55" i="13"/>
  <c r="AF54" i="13"/>
  <c r="AG54" i="13" s="1"/>
  <c r="BQ10" i="13"/>
  <c r="BQ9" i="13" s="1"/>
  <c r="W16" i="13"/>
  <c r="V15" i="13"/>
  <c r="G15" i="10"/>
  <c r="C10" i="10"/>
  <c r="Q91" i="7"/>
  <c r="M12" i="7"/>
  <c r="X106" i="6"/>
  <c r="T13" i="6"/>
  <c r="M10" i="8"/>
  <c r="O15" i="8"/>
  <c r="G76" i="6"/>
  <c r="G91" i="7"/>
  <c r="C12" i="7"/>
  <c r="Q9" i="6"/>
  <c r="G106" i="4"/>
  <c r="C13" i="4"/>
  <c r="G13" i="4" s="1"/>
  <c r="G12" i="8"/>
  <c r="C13" i="7"/>
  <c r="G13" i="7" s="1"/>
  <c r="G106" i="7"/>
  <c r="H9" i="6"/>
  <c r="J12" i="5"/>
  <c r="AH76" i="4"/>
  <c r="C10" i="3"/>
  <c r="G15" i="3"/>
  <c r="Q106" i="7"/>
  <c r="M13" i="7"/>
  <c r="Q13" i="7" s="1"/>
  <c r="F10" i="7"/>
  <c r="F9" i="7" s="1"/>
  <c r="K9" i="2"/>
  <c r="G15" i="4"/>
  <c r="C10" i="4"/>
  <c r="P10" i="2"/>
  <c r="P9" i="2" s="1"/>
  <c r="C12" i="1"/>
  <c r="G91" i="1"/>
  <c r="C10" i="1"/>
  <c r="V61" i="18"/>
  <c r="T76" i="18"/>
  <c r="P76" i="18"/>
  <c r="L76" i="18"/>
  <c r="N76" i="18"/>
  <c r="R76" i="18"/>
  <c r="F10" i="18"/>
  <c r="F9" i="18" s="1"/>
  <c r="Z58" i="18"/>
  <c r="F10" i="17"/>
  <c r="F9" i="17" s="1"/>
  <c r="U12" i="17"/>
  <c r="H11" i="17"/>
  <c r="H9" i="17" s="1"/>
  <c r="O12" i="17"/>
  <c r="R12" i="17"/>
  <c r="I9" i="17"/>
  <c r="J76" i="16"/>
  <c r="U15" i="18"/>
  <c r="I11" i="14"/>
  <c r="I15" i="14"/>
  <c r="J16" i="14"/>
  <c r="K16" i="16"/>
  <c r="I15" i="16"/>
  <c r="K15" i="16" s="1"/>
  <c r="K10" i="15"/>
  <c r="K9" i="15" s="1"/>
  <c r="G33" i="17"/>
  <c r="K77" i="13"/>
  <c r="J76" i="13"/>
  <c r="K76" i="13" s="1"/>
  <c r="BO55" i="13"/>
  <c r="BN54" i="13"/>
  <c r="BO54" i="13" s="1"/>
  <c r="G33" i="16"/>
  <c r="AF76" i="13"/>
  <c r="AG76" i="13" s="1"/>
  <c r="BB10" i="13"/>
  <c r="BB9" i="13" s="1"/>
  <c r="S10" i="13"/>
  <c r="S9" i="13" s="1"/>
  <c r="X10" i="13"/>
  <c r="X9" i="13" s="1"/>
  <c r="AW16" i="13"/>
  <c r="AV15" i="13"/>
  <c r="M106" i="12"/>
  <c r="K13" i="12"/>
  <c r="M13" i="12" s="1"/>
  <c r="L76" i="13"/>
  <c r="M76" i="13" s="1"/>
  <c r="AE56" i="13"/>
  <c r="AD54" i="13"/>
  <c r="AE54" i="13" s="1"/>
  <c r="BZ10" i="13"/>
  <c r="BZ9" i="13" s="1"/>
  <c r="BS10" i="13"/>
  <c r="BS9" i="13" s="1"/>
  <c r="P10" i="13"/>
  <c r="P9" i="13" s="1"/>
  <c r="AO10" i="13"/>
  <c r="AO9" i="13" s="1"/>
  <c r="H9" i="13"/>
  <c r="AE11" i="13"/>
  <c r="K11" i="13"/>
  <c r="U11" i="13"/>
  <c r="C12" i="12"/>
  <c r="G91" i="12"/>
  <c r="Y10" i="13"/>
  <c r="Y9" i="13" s="1"/>
  <c r="I11" i="12"/>
  <c r="L33" i="12"/>
  <c r="M33" i="12" s="1"/>
  <c r="M34" i="12"/>
  <c r="I34" i="12"/>
  <c r="J106" i="5"/>
  <c r="H13" i="5"/>
  <c r="J13" i="5" s="1"/>
  <c r="M10" i="10"/>
  <c r="N15" i="10"/>
  <c r="S76" i="6"/>
  <c r="I10" i="7"/>
  <c r="Y9" i="6"/>
  <c r="G76" i="8"/>
  <c r="G106" i="6"/>
  <c r="C13" i="6"/>
  <c r="G13" i="6" s="1"/>
  <c r="N9" i="6"/>
  <c r="G15" i="5"/>
  <c r="C10" i="5"/>
  <c r="L54" i="4"/>
  <c r="C13" i="3"/>
  <c r="G13" i="3" s="1"/>
  <c r="G106" i="3"/>
  <c r="G15" i="8"/>
  <c r="C10" i="8"/>
  <c r="L33" i="1"/>
  <c r="M33" i="1" s="1"/>
  <c r="G15" i="2"/>
  <c r="C10" i="2"/>
  <c r="L10" i="2"/>
  <c r="L9" i="2" s="1"/>
  <c r="AB10" i="4"/>
  <c r="Q10" i="1"/>
  <c r="Q9" i="1" s="1"/>
  <c r="L76" i="1"/>
  <c r="M76" i="1" s="1"/>
  <c r="AA10" i="1"/>
  <c r="AA9" i="1" s="1"/>
  <c r="L15" i="18"/>
  <c r="K10" i="18"/>
  <c r="G15" i="17"/>
  <c r="C10" i="17"/>
  <c r="P11" i="16"/>
  <c r="S13" i="16"/>
  <c r="H13" i="16"/>
  <c r="K13" i="16" s="1"/>
  <c r="J10" i="17"/>
  <c r="J9" i="17" s="1"/>
  <c r="L15" i="17"/>
  <c r="G106" i="13"/>
  <c r="C13" i="13"/>
  <c r="G13" i="13" s="1"/>
  <c r="G106" i="18"/>
  <c r="C13" i="18"/>
  <c r="G13" i="18" s="1"/>
  <c r="AC10" i="18"/>
  <c r="AC9" i="18" s="1"/>
  <c r="O15" i="17"/>
  <c r="H9" i="15"/>
  <c r="BV76" i="13"/>
  <c r="W77" i="13"/>
  <c r="V76" i="13"/>
  <c r="W76" i="13" s="1"/>
  <c r="F10" i="16"/>
  <c r="F9" i="16" s="1"/>
  <c r="G91" i="16"/>
  <c r="C12" i="16"/>
  <c r="N10" i="14"/>
  <c r="N9" i="14" s="1"/>
  <c r="AZ10" i="13"/>
  <c r="AZ9" i="13" s="1"/>
  <c r="I54" i="14"/>
  <c r="J54" i="14" s="1"/>
  <c r="J55" i="14"/>
  <c r="G91" i="13"/>
  <c r="C12" i="13"/>
  <c r="AX10" i="13"/>
  <c r="AX9" i="13" s="1"/>
  <c r="AG34" i="13"/>
  <c r="AF33" i="13"/>
  <c r="AG33" i="13" s="1"/>
  <c r="CE10" i="13"/>
  <c r="CE9" i="13" s="1"/>
  <c r="O10" i="13"/>
  <c r="O9" i="13" s="1"/>
  <c r="CB10" i="13"/>
  <c r="CB9" i="13" s="1"/>
  <c r="BG10" i="13"/>
  <c r="BG9" i="13" s="1"/>
  <c r="Q10" i="13"/>
  <c r="Q9" i="13" s="1"/>
  <c r="K10" i="12"/>
  <c r="BT10" i="13"/>
  <c r="BW15" i="13"/>
  <c r="K17" i="13"/>
  <c r="J15" i="13"/>
  <c r="AK10" i="13"/>
  <c r="AK9" i="13" s="1"/>
  <c r="M12" i="12"/>
  <c r="L10" i="14"/>
  <c r="L9" i="14" s="1"/>
  <c r="Z10" i="13"/>
  <c r="Z9" i="13" s="1"/>
  <c r="I55" i="12"/>
  <c r="L54" i="12"/>
  <c r="M54" i="12" s="1"/>
  <c r="I10" i="15"/>
  <c r="I9" i="15" s="1"/>
  <c r="AJ10" i="13"/>
  <c r="AJ9" i="13" s="1"/>
  <c r="F10" i="10"/>
  <c r="F9" i="10" s="1"/>
  <c r="O10" i="10"/>
  <c r="I9" i="8"/>
  <c r="K10" i="8"/>
  <c r="K9" i="8" s="1"/>
  <c r="L33" i="8"/>
  <c r="I10" i="6"/>
  <c r="I9" i="6" s="1"/>
  <c r="H10" i="5"/>
  <c r="J15" i="5"/>
  <c r="G106" i="8"/>
  <c r="C13" i="8"/>
  <c r="G13" i="8" s="1"/>
  <c r="G91" i="5"/>
  <c r="C12" i="5"/>
  <c r="N9" i="5"/>
  <c r="P9" i="5" s="1"/>
  <c r="G12" i="3"/>
  <c r="Q15" i="2"/>
  <c r="X76" i="6"/>
  <c r="G106" i="2"/>
  <c r="C13" i="2"/>
  <c r="G13" i="2" s="1"/>
  <c r="I10" i="2"/>
  <c r="I9" i="2" s="1"/>
  <c r="J15" i="2"/>
  <c r="N10" i="2"/>
  <c r="N9" i="2" s="1"/>
  <c r="H10" i="1"/>
  <c r="G106" i="1"/>
  <c r="C13" i="1"/>
  <c r="G13" i="1" s="1"/>
  <c r="F10" i="1"/>
  <c r="L15" i="1"/>
  <c r="Z9" i="1"/>
  <c r="M35" i="1"/>
  <c r="R106" i="18"/>
  <c r="N106" i="18"/>
  <c r="V106" i="18"/>
  <c r="T106" i="18"/>
  <c r="Z106" i="18"/>
  <c r="L106" i="18"/>
  <c r="P106" i="18"/>
  <c r="G91" i="18"/>
  <c r="C12" i="18"/>
  <c r="Y76" i="18"/>
  <c r="Z76" i="18" s="1"/>
  <c r="Z77" i="18"/>
  <c r="W10" i="18"/>
  <c r="W9" i="18" s="1"/>
  <c r="AA10" i="18"/>
  <c r="AA9" i="18" s="1"/>
  <c r="N10" i="17"/>
  <c r="N9" i="17" s="1"/>
  <c r="G54" i="18"/>
  <c r="Q10" i="18"/>
  <c r="R15" i="18"/>
  <c r="G91" i="14"/>
  <c r="C12" i="14"/>
  <c r="G33" i="18"/>
  <c r="AD10" i="18"/>
  <c r="AD9" i="18" s="1"/>
  <c r="H10" i="16"/>
  <c r="L9" i="16"/>
  <c r="P15" i="18"/>
  <c r="O10" i="18"/>
  <c r="P10" i="17"/>
  <c r="P9" i="17" s="1"/>
  <c r="C13" i="14"/>
  <c r="G13" i="14" s="1"/>
  <c r="G106" i="14"/>
  <c r="G106" i="16"/>
  <c r="C13" i="16"/>
  <c r="G13" i="16" s="1"/>
  <c r="O15" i="16"/>
  <c r="M10" i="16"/>
  <c r="O10" i="16" s="1"/>
  <c r="T76" i="13"/>
  <c r="U76" i="13" s="1"/>
  <c r="G54" i="14"/>
  <c r="AT11" i="13"/>
  <c r="AR9" i="13"/>
  <c r="CA10" i="13"/>
  <c r="CA9" i="13" s="1"/>
  <c r="BC10" i="13"/>
  <c r="BC9" i="13" s="1"/>
  <c r="L15" i="13"/>
  <c r="M16" i="13"/>
  <c r="BO34" i="13"/>
  <c r="BN33" i="13"/>
  <c r="BO33" i="13" s="1"/>
  <c r="CC10" i="13"/>
  <c r="CC9" i="13" s="1"/>
  <c r="AF15" i="13"/>
  <c r="AG16" i="13"/>
  <c r="J91" i="12"/>
  <c r="H12" i="12"/>
  <c r="BL15" i="13"/>
  <c r="F10" i="13"/>
  <c r="F9" i="13" s="1"/>
  <c r="L33" i="13"/>
  <c r="M33" i="13" s="1"/>
  <c r="M34" i="13"/>
  <c r="BA10" i="13"/>
  <c r="BA9" i="13" s="1"/>
  <c r="AE17" i="13"/>
  <c r="AD15" i="13"/>
  <c r="BO16" i="13"/>
  <c r="BN15" i="13"/>
  <c r="T12" i="12"/>
  <c r="S11" i="12"/>
  <c r="G91" i="10"/>
  <c r="C12" i="10"/>
  <c r="I10" i="10"/>
  <c r="J15" i="10"/>
  <c r="M10" i="7"/>
  <c r="G33" i="7"/>
  <c r="C10" i="7"/>
  <c r="L11" i="7"/>
  <c r="J11" i="7"/>
  <c r="C12" i="6"/>
  <c r="G91" i="6"/>
  <c r="C10" i="6"/>
  <c r="L10" i="5"/>
  <c r="M15" i="5"/>
  <c r="Z10" i="6"/>
  <c r="Z9" i="6" s="1"/>
  <c r="AA33" i="6"/>
  <c r="L13" i="7"/>
  <c r="J13" i="7"/>
  <c r="T12" i="7"/>
  <c r="R11" i="7"/>
  <c r="T11" i="7" s="1"/>
  <c r="L10" i="6"/>
  <c r="M54" i="6"/>
  <c r="C91" i="4"/>
  <c r="K54" i="4"/>
  <c r="J10" i="4"/>
  <c r="G54" i="2"/>
  <c r="P10" i="8"/>
  <c r="R15" i="8"/>
  <c r="U15" i="8"/>
  <c r="K10" i="7"/>
  <c r="T10" i="6"/>
  <c r="X15" i="6"/>
  <c r="AD10" i="4"/>
  <c r="I10" i="1"/>
  <c r="O9" i="1"/>
  <c r="I9" i="1" s="1"/>
  <c r="H9" i="2"/>
  <c r="U10" i="2"/>
  <c r="U9" i="2" s="1"/>
  <c r="V15" i="2"/>
  <c r="T9" i="2" l="1"/>
  <c r="C11" i="3"/>
  <c r="G11" i="3" s="1"/>
  <c r="V9" i="4"/>
  <c r="J11" i="14"/>
  <c r="H9" i="14"/>
  <c r="K11" i="12"/>
  <c r="M11" i="12" s="1"/>
  <c r="M33" i="19"/>
  <c r="AH9" i="20"/>
  <c r="W9" i="6"/>
  <c r="AB9" i="1"/>
  <c r="S10" i="2"/>
  <c r="R10" i="4"/>
  <c r="AJ10" i="20"/>
  <c r="F9" i="1"/>
  <c r="AO9" i="4"/>
  <c r="AP9" i="4" s="1"/>
  <c r="S10" i="20"/>
  <c r="AB10" i="1"/>
  <c r="N10" i="18"/>
  <c r="Q10" i="20"/>
  <c r="S9" i="20"/>
  <c r="AH10" i="20"/>
  <c r="J10" i="3"/>
  <c r="S9" i="6"/>
  <c r="AQ9" i="4"/>
  <c r="AR9" i="4" s="1"/>
  <c r="BU9" i="13"/>
  <c r="BY9" i="13" s="1"/>
  <c r="S10" i="6"/>
  <c r="AS9" i="13"/>
  <c r="AW11" i="13"/>
  <c r="P11" i="10"/>
  <c r="L9" i="10"/>
  <c r="S12" i="16"/>
  <c r="J11" i="10"/>
  <c r="H9" i="10"/>
  <c r="R11" i="4"/>
  <c r="P9" i="4"/>
  <c r="R9" i="4"/>
  <c r="G12" i="2"/>
  <c r="AA10" i="20"/>
  <c r="Q9" i="20"/>
  <c r="O11" i="8"/>
  <c r="R11" i="8"/>
  <c r="U11" i="8"/>
  <c r="H9" i="8"/>
  <c r="M11" i="5"/>
  <c r="K9" i="5"/>
  <c r="S11" i="2"/>
  <c r="Q11" i="2"/>
  <c r="M11" i="2"/>
  <c r="O11" i="2"/>
  <c r="N11" i="10"/>
  <c r="K9" i="10"/>
  <c r="AA9" i="20"/>
  <c r="Y9" i="20"/>
  <c r="AJ9" i="20"/>
  <c r="Y10" i="20"/>
  <c r="AN10" i="20"/>
  <c r="AN9" i="20" s="1"/>
  <c r="J10" i="20"/>
  <c r="J9" i="20" s="1"/>
  <c r="G10" i="20"/>
  <c r="I9" i="20"/>
  <c r="L10" i="20"/>
  <c r="L9" i="20" s="1"/>
  <c r="H9" i="20"/>
  <c r="AM9" i="20"/>
  <c r="T10" i="7"/>
  <c r="G12" i="20"/>
  <c r="C11" i="20"/>
  <c r="G11" i="20" s="1"/>
  <c r="P9" i="6"/>
  <c r="L9" i="19"/>
  <c r="AL10" i="4"/>
  <c r="L10" i="4"/>
  <c r="C11" i="19"/>
  <c r="G11" i="19" s="1"/>
  <c r="G12" i="19"/>
  <c r="S9" i="19"/>
  <c r="X11" i="19"/>
  <c r="V9" i="19"/>
  <c r="K9" i="19"/>
  <c r="V10" i="4"/>
  <c r="AH10" i="4"/>
  <c r="AA9" i="19"/>
  <c r="G10" i="19"/>
  <c r="C9" i="19"/>
  <c r="G9" i="19" s="1"/>
  <c r="T10" i="19"/>
  <c r="T9" i="19" s="1"/>
  <c r="AA10" i="19"/>
  <c r="W9" i="19"/>
  <c r="X10" i="19"/>
  <c r="X9" i="4"/>
  <c r="Y9" i="4" s="1"/>
  <c r="U10" i="17"/>
  <c r="J9" i="2"/>
  <c r="M10" i="3"/>
  <c r="AT10" i="4"/>
  <c r="AU10" i="4" s="1"/>
  <c r="F9" i="2"/>
  <c r="J10" i="2"/>
  <c r="P10" i="6"/>
  <c r="I76" i="12"/>
  <c r="J76" i="12" s="1"/>
  <c r="BV10" i="13"/>
  <c r="BV9" i="13" s="1"/>
  <c r="L10" i="8"/>
  <c r="L9" i="8"/>
  <c r="J10" i="1"/>
  <c r="J9" i="1" s="1"/>
  <c r="I15" i="12"/>
  <c r="J15" i="12" s="1"/>
  <c r="AT10" i="13"/>
  <c r="AU10" i="13" s="1"/>
  <c r="O10" i="17"/>
  <c r="L10" i="1"/>
  <c r="L9" i="1" s="1"/>
  <c r="M9" i="1" s="1"/>
  <c r="J10" i="16"/>
  <c r="J9" i="16" s="1"/>
  <c r="S9" i="8"/>
  <c r="U9" i="8" s="1"/>
  <c r="U10" i="8"/>
  <c r="M10" i="5"/>
  <c r="L9" i="5"/>
  <c r="M9" i="5" s="1"/>
  <c r="C11" i="6"/>
  <c r="G11" i="6" s="1"/>
  <c r="G12" i="6"/>
  <c r="Q10" i="7"/>
  <c r="I9" i="10"/>
  <c r="J9" i="10" s="1"/>
  <c r="J10" i="10"/>
  <c r="G12" i="14"/>
  <c r="C11" i="14"/>
  <c r="G11" i="14" s="1"/>
  <c r="R10" i="17"/>
  <c r="H9" i="1"/>
  <c r="J10" i="5"/>
  <c r="K15" i="13"/>
  <c r="J10" i="13"/>
  <c r="G12" i="13"/>
  <c r="C11" i="13"/>
  <c r="G11" i="13" s="1"/>
  <c r="J9" i="15"/>
  <c r="P9" i="16"/>
  <c r="S9" i="16" s="1"/>
  <c r="S11" i="16"/>
  <c r="H11" i="16"/>
  <c r="K11" i="16" s="1"/>
  <c r="V10" i="2"/>
  <c r="AA9" i="6"/>
  <c r="Q10" i="2"/>
  <c r="H11" i="5"/>
  <c r="J11" i="5" s="1"/>
  <c r="C11" i="7"/>
  <c r="G11" i="7" s="1"/>
  <c r="G12" i="7"/>
  <c r="X13" i="6"/>
  <c r="T11" i="6"/>
  <c r="X11" i="6" s="1"/>
  <c r="W15" i="13"/>
  <c r="V10" i="13"/>
  <c r="G10" i="13"/>
  <c r="C11" i="17"/>
  <c r="G11" i="17" s="1"/>
  <c r="G12" i="17"/>
  <c r="X10" i="6"/>
  <c r="P9" i="8"/>
  <c r="R9" i="8" s="1"/>
  <c r="R10" i="8"/>
  <c r="J9" i="4"/>
  <c r="K9" i="4" s="1"/>
  <c r="K10" i="4"/>
  <c r="L9" i="6"/>
  <c r="M9" i="6" s="1"/>
  <c r="M10" i="6"/>
  <c r="C9" i="6"/>
  <c r="G9" i="6" s="1"/>
  <c r="G10" i="6"/>
  <c r="BN10" i="13"/>
  <c r="BO15" i="13"/>
  <c r="L10" i="13"/>
  <c r="M15" i="13"/>
  <c r="O9" i="18"/>
  <c r="P9" i="18" s="1"/>
  <c r="P10" i="18"/>
  <c r="O9" i="10"/>
  <c r="P10" i="10"/>
  <c r="I54" i="12"/>
  <c r="J54" i="12" s="1"/>
  <c r="J55" i="12"/>
  <c r="J10" i="15"/>
  <c r="G10" i="17"/>
  <c r="C9" i="17"/>
  <c r="G9" i="17" s="1"/>
  <c r="AC10" i="4"/>
  <c r="AB9" i="4"/>
  <c r="AC9" i="4" s="1"/>
  <c r="G10" i="2"/>
  <c r="AA10" i="6"/>
  <c r="AV10" i="13"/>
  <c r="AW15" i="13"/>
  <c r="I10" i="14"/>
  <c r="J15" i="14"/>
  <c r="L10" i="17"/>
  <c r="C11" i="2"/>
  <c r="G11" i="2" s="1"/>
  <c r="G10" i="4"/>
  <c r="S9" i="2"/>
  <c r="O9" i="2"/>
  <c r="M9" i="2"/>
  <c r="Q9" i="2"/>
  <c r="C9" i="3"/>
  <c r="G9" i="3" s="1"/>
  <c r="G10" i="3"/>
  <c r="M9" i="8"/>
  <c r="O9" i="8" s="1"/>
  <c r="O10" i="8"/>
  <c r="G10" i="12"/>
  <c r="C9" i="14"/>
  <c r="G9" i="14" s="1"/>
  <c r="G10" i="14"/>
  <c r="C11" i="15"/>
  <c r="G11" i="15" s="1"/>
  <c r="G12" i="15"/>
  <c r="K9" i="7"/>
  <c r="L9" i="7" s="1"/>
  <c r="L10" i="7"/>
  <c r="C11" i="10"/>
  <c r="G11" i="10" s="1"/>
  <c r="G12" i="10"/>
  <c r="AF10" i="13"/>
  <c r="AG15" i="13"/>
  <c r="M9" i="16"/>
  <c r="I9" i="16" s="1"/>
  <c r="I10" i="16"/>
  <c r="K10" i="16" s="1"/>
  <c r="G12" i="18"/>
  <c r="C11" i="18"/>
  <c r="G11" i="18" s="1"/>
  <c r="M15" i="1"/>
  <c r="G12" i="16"/>
  <c r="C11" i="16"/>
  <c r="G11" i="16" s="1"/>
  <c r="G10" i="8"/>
  <c r="I9" i="7"/>
  <c r="J9" i="7" s="1"/>
  <c r="J10" i="7"/>
  <c r="M9" i="10"/>
  <c r="N9" i="10" s="1"/>
  <c r="N10" i="10"/>
  <c r="L9" i="17"/>
  <c r="O11" i="17"/>
  <c r="U11" i="17"/>
  <c r="R11" i="17"/>
  <c r="O10" i="2"/>
  <c r="J9" i="6"/>
  <c r="Q12" i="7"/>
  <c r="M11" i="7"/>
  <c r="Q11" i="7" s="1"/>
  <c r="T10" i="13"/>
  <c r="G10" i="16"/>
  <c r="Y10" i="18"/>
  <c r="Z15" i="18"/>
  <c r="S9" i="18"/>
  <c r="T9" i="18" s="1"/>
  <c r="T10" i="18"/>
  <c r="AD9" i="4"/>
  <c r="AE9" i="4" s="1"/>
  <c r="AE10" i="4"/>
  <c r="G91" i="4"/>
  <c r="C12" i="4"/>
  <c r="C9" i="7"/>
  <c r="G9" i="7" s="1"/>
  <c r="G10" i="7"/>
  <c r="S9" i="12"/>
  <c r="T9" i="12" s="1"/>
  <c r="T11" i="12"/>
  <c r="AE15" i="13"/>
  <c r="AD10" i="13"/>
  <c r="BL10" i="13"/>
  <c r="BM15" i="13"/>
  <c r="J12" i="12"/>
  <c r="H11" i="12"/>
  <c r="J11" i="12" s="1"/>
  <c r="R9" i="17"/>
  <c r="U9" i="17"/>
  <c r="O9" i="17"/>
  <c r="Q9" i="18"/>
  <c r="R9" i="18" s="1"/>
  <c r="R10" i="18"/>
  <c r="C11" i="5"/>
  <c r="G11" i="5" s="1"/>
  <c r="G12" i="5"/>
  <c r="R9" i="7"/>
  <c r="T9" i="7" s="1"/>
  <c r="L10" i="12"/>
  <c r="L9" i="12" s="1"/>
  <c r="BW10" i="13"/>
  <c r="BT9" i="13"/>
  <c r="BW9" i="13" s="1"/>
  <c r="K9" i="18"/>
  <c r="L9" i="18" s="1"/>
  <c r="L10" i="18"/>
  <c r="V9" i="2"/>
  <c r="G10" i="5"/>
  <c r="J34" i="12"/>
  <c r="I33" i="12"/>
  <c r="G12" i="12"/>
  <c r="C11" i="12"/>
  <c r="G11" i="12" s="1"/>
  <c r="U10" i="18"/>
  <c r="V15" i="18"/>
  <c r="G10" i="1"/>
  <c r="C11" i="1"/>
  <c r="G11" i="1" s="1"/>
  <c r="G12" i="1"/>
  <c r="M10" i="2"/>
  <c r="J10" i="6"/>
  <c r="C11" i="8"/>
  <c r="G11" i="8" s="1"/>
  <c r="G10" i="10"/>
  <c r="G10" i="15"/>
  <c r="C9" i="15"/>
  <c r="G9" i="15" s="1"/>
  <c r="G10" i="18"/>
  <c r="C9" i="18" l="1"/>
  <c r="G9" i="18" s="1"/>
  <c r="H9" i="16"/>
  <c r="C9" i="16"/>
  <c r="G9" i="16" s="1"/>
  <c r="K9" i="12"/>
  <c r="P9" i="10"/>
  <c r="C9" i="13"/>
  <c r="G9" i="13" s="1"/>
  <c r="C9" i="10"/>
  <c r="G9" i="10" s="1"/>
  <c r="M10" i="19"/>
  <c r="M9" i="19"/>
  <c r="AT9" i="4"/>
  <c r="AU9" i="4" s="1"/>
  <c r="T9" i="6"/>
  <c r="X9" i="6" s="1"/>
  <c r="AO10" i="20"/>
  <c r="K9" i="20"/>
  <c r="AO9" i="20"/>
  <c r="K10" i="20"/>
  <c r="M9" i="20"/>
  <c r="C9" i="20"/>
  <c r="G9" i="20" s="1"/>
  <c r="M10" i="20"/>
  <c r="K9" i="1"/>
  <c r="K10" i="1"/>
  <c r="U10" i="19"/>
  <c r="X9" i="19"/>
  <c r="U9" i="19"/>
  <c r="AT9" i="13"/>
  <c r="AU9" i="13" s="1"/>
  <c r="K9" i="16"/>
  <c r="O9" i="16"/>
  <c r="M10" i="1"/>
  <c r="U9" i="18"/>
  <c r="V9" i="18" s="1"/>
  <c r="V10" i="18"/>
  <c r="C11" i="4"/>
  <c r="G12" i="4"/>
  <c r="C9" i="8"/>
  <c r="G9" i="8" s="1"/>
  <c r="M10" i="12"/>
  <c r="AF9" i="13"/>
  <c r="AG9" i="13" s="1"/>
  <c r="AG10" i="13"/>
  <c r="C9" i="12"/>
  <c r="G9" i="12" s="1"/>
  <c r="C9" i="2"/>
  <c r="G9" i="2" s="1"/>
  <c r="BN9" i="13"/>
  <c r="BO9" i="13" s="1"/>
  <c r="BO10" i="13"/>
  <c r="BL9" i="13"/>
  <c r="BM9" i="13" s="1"/>
  <c r="BM10" i="13"/>
  <c r="T9" i="13"/>
  <c r="U9" i="13" s="1"/>
  <c r="U10" i="13"/>
  <c r="I9" i="14"/>
  <c r="J9" i="14" s="1"/>
  <c r="J10" i="14"/>
  <c r="V9" i="13"/>
  <c r="W9" i="13" s="1"/>
  <c r="W10" i="13"/>
  <c r="C9" i="1"/>
  <c r="G9" i="1" s="1"/>
  <c r="C9" i="5"/>
  <c r="G9" i="5" s="1"/>
  <c r="AD9" i="13"/>
  <c r="AE9" i="13" s="1"/>
  <c r="AE10" i="13"/>
  <c r="Y9" i="18"/>
  <c r="Z9" i="18" s="1"/>
  <c r="Z10" i="18"/>
  <c r="L9" i="13"/>
  <c r="M9" i="13" s="1"/>
  <c r="M10" i="13"/>
  <c r="H9" i="5"/>
  <c r="J9" i="5" s="1"/>
  <c r="M9" i="7"/>
  <c r="Q9" i="7" s="1"/>
  <c r="J33" i="12"/>
  <c r="I10" i="12"/>
  <c r="M9" i="12"/>
  <c r="AV9" i="13"/>
  <c r="AW9" i="13" s="1"/>
  <c r="AW10" i="13"/>
  <c r="H9" i="12"/>
  <c r="J9" i="13"/>
  <c r="K9" i="13" s="1"/>
  <c r="K10" i="13"/>
  <c r="G11" i="4" l="1"/>
  <c r="C9" i="4"/>
  <c r="G9" i="4" s="1"/>
  <c r="I9" i="12"/>
  <c r="J9" i="12" s="1"/>
  <c r="J1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theme="1"/>
            <rFont val="Arial"/>
            <family val="2"/>
          </rPr>
          <t>สจก.เก็บเงิน จ. ไว้อีกจำนวน 2,010,000 เพราะรอเป้าหมายงานก่อน 
รวมแล้วเท่ากับ 29,992,352 ตามยอด จ.
	-guiz
----
สจก.เก็บเงิน จ. ไว้อีกจำนวน 2,010,000 เพราะรอเป้าหมายงานก่อน 
รวมแล้วเท่ากับ 29,992,352 ตามยอด จ.
	-guiz
----
สจก.เก็บเงิน จ. ไว้อีกจำนวน 2,010,000 เพราะรอเป้าหมายงานก่อน 
รวมแล้วเท่ากับ 29,992,352 ตามยอด จ.
	-guiz
----
สจก.เก็บเงิน จ. ไว้อีกจำนวน 2,010,000 เพราะรอเป้าหมายงานก่อน 
รวมแล้วเท่ากับ 29,992,352 ตามยอด จ.
	-guiz
----
สจก.เก็บเงิน จ. ไว้อีกจำนวน 2,010,000 เพราะรอเป้าหมายงานก่อน 
รวมแล้วเท่ากับ 29,992,352 ตามยอด จ.
	-guiz
----
ผลรวมเกิน สจก. มา 1 ไร่
เช็ครายจังหวัดแล้วปริมาณเท่า สจก.หมด
	-guiz
----
ผลรวมเกิน สจก. มา 1 ไร่
เช็ครายจังหวัดแล้วปริมาณเท่า สจก.หมด
	-guiz
----
สจก.เก็บเงิน จ. ไว้อีกจำนวน 2,010,000 เพราะรอเป้าหมายงานก่อน 
รวมแล้วเท่ากับ 29,992,352 ตามยอด จ.
	-guiz
----
ผลรวมเกิน สจก. มา 1 ไร่
เช็ครายจังหวัดแล้วปริมาณเท่า สจก.หมด
	-guiz
----
สจก.เก็บเงิน จ. ไว้อีกจำนวน 2,010,000 เพราะรอเป้าหมายงานก่อน 
รวมแล้วเท่ากับ 29,992,352 ตามยอด จ.
	-guiz
----
สจก.เก็บเงิน จ. ไว้ 2,010,000 รวมแล้วเท่ากับ 40,611,302 (ยอดตามกองทุน)
	-guiz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00000000-0006-0000-0C00-00000A000000}">
      <text>
        <r>
          <rPr>
            <sz val="11"/>
            <color theme="1"/>
            <rFont val="Arial"/>
            <family val="2"/>
          </rPr>
          <t>สจก.เก็บเงิน จ. ไว้ 2,010,000 รวมแล้วเท่ากับ 40,611,302 (ยอดตามกองทุน)
	-guiz</t>
        </r>
      </text>
    </comment>
    <comment ref="E10" authorId="0" shapeId="0" xr:uid="{00000000-0006-0000-0C00-000006000000}">
      <text>
        <r>
          <rPr>
            <sz val="11"/>
            <color theme="1"/>
            <rFont val="Arial"/>
            <family val="2"/>
          </rPr>
          <t>สจก.เก็บเงิน จ. ไว้อีกจำนวน 2,010,000 เพราะรอเป้าหมายงานก่อน 
รวมแล้วเท่ากับ 29,992,352 ตามยอด จ.
	-guiz</t>
        </r>
      </text>
    </comment>
    <comment ref="H10" authorId="0" shapeId="0" xr:uid="{00000000-0006-0000-0C00-000002000000}">
      <text>
        <r>
          <rPr>
            <sz val="11"/>
            <color theme="1"/>
            <rFont val="Arial"/>
            <family val="2"/>
          </rPr>
          <t>สจก.เก็บเงิน จ. ไว้อีกจำนวน 2,010,000 เพราะรอเป้าหมายงานก่อน 
รวมแล้วเท่ากับ 29,992,352 ตามยอด จ.
	-guiz</t>
        </r>
      </text>
    </comment>
    <comment ref="I10" authorId="0" shapeId="0" xr:uid="{00000000-0006-0000-0C00-000008000000}">
      <text>
        <r>
          <rPr>
            <sz val="11"/>
            <color theme="1"/>
            <rFont val="Arial"/>
            <family val="2"/>
          </rPr>
          <t>สจก.เก็บเงิน จ. ไว้อีกจำนวน 2,010,000 เพราะรอเป้าหมายงานก่อน 
รวมแล้วเท่ากับ 29,992,352 ตามยอด จ.
	-guiz</t>
        </r>
      </text>
    </comment>
    <comment ref="AR10" authorId="0" shapeId="0" xr:uid="{00000000-0006-0000-0C00-00000B000000}">
      <text>
        <r>
          <rPr>
            <sz val="11"/>
            <color theme="1"/>
            <rFont val="Arial"/>
            <family val="2"/>
          </rPr>
          <t>สจก.เก็บเงิน จ. ไว้อีกจำนวน 2,010,000 เพราะรอเป้าหมายงานก่อน 
รวมแล้วเท่ากับ 29,992,352 ตามยอด จ.
	-guiz</t>
        </r>
      </text>
    </comment>
    <comment ref="AS10" authorId="0" shapeId="0" xr:uid="{00000000-0006-0000-0C00-000004000000}">
      <text>
        <r>
          <rPr>
            <sz val="11"/>
            <color theme="1"/>
            <rFont val="Arial"/>
            <family val="2"/>
          </rPr>
          <t>สจก.เก็บเงิน จ. ไว้อีกจำนวน 2,010,000 เพราะรอเป้าหมายงานก่อน 
รวมแล้วเท่ากับ 29,992,352 ตามยอด จ.
	-guiz</t>
        </r>
      </text>
    </comment>
    <comment ref="BJ10" authorId="0" shapeId="0" xr:uid="{00000000-0006-0000-0C00-000003000000}">
      <text>
        <r>
          <rPr>
            <sz val="11"/>
            <color theme="1"/>
            <rFont val="Arial"/>
            <family val="2"/>
          </rPr>
          <t>สจก.เก็บเงิน จ. ไว้อีกจำนวน 2,010,000 เพราะรอเป้าหมายงานก่อน 
รวมแล้วเท่ากับ 29,992,352 ตามยอด จ.
	-guiz</t>
        </r>
      </text>
    </comment>
    <comment ref="BK10" authorId="0" shapeId="0" xr:uid="{00000000-0006-0000-0C00-000001000000}">
      <text>
        <r>
          <rPr>
            <sz val="11"/>
            <color theme="1"/>
            <rFont val="Arial"/>
            <family val="2"/>
          </rPr>
          <t>สจก.เก็บเงิน จ. ไว้อีกจำนวน 2,010,000 เพราะรอเป้าหมายงานก่อน 
รวมแล้วเท่ากับ 29,992,352 ตามยอด จ.
	-guiz</t>
        </r>
      </text>
    </comment>
    <comment ref="AS33" authorId="0" shapeId="0" xr:uid="{00000000-0006-0000-0C00-000005000000}">
      <text>
        <r>
          <rPr>
            <sz val="11"/>
            <color theme="1"/>
            <rFont val="Arial"/>
            <family val="2"/>
          </rPr>
          <t>ผลรวมเกิน สจก. มา 1 ไร่
เช็ครายจังหวัดแล้วปริมาณเท่า สจก.หมด
	-guiz</t>
        </r>
      </text>
    </comment>
    <comment ref="AT33" authorId="0" shapeId="0" xr:uid="{00000000-0006-0000-0C00-000007000000}">
      <text>
        <r>
          <rPr>
            <sz val="11"/>
            <color theme="1"/>
            <rFont val="Arial"/>
            <family val="2"/>
          </rPr>
          <t>ผลรวมเกิน สจก. มา 1 ไร่
เช็ครายจังหวัดแล้วปริมาณเท่า สจก.หมด
	-guiz</t>
        </r>
      </text>
    </comment>
    <comment ref="AV33" authorId="0" shapeId="0" xr:uid="{00000000-0006-0000-0C00-000009000000}">
      <text>
        <r>
          <rPr>
            <sz val="11"/>
            <color theme="1"/>
            <rFont val="Arial"/>
            <family val="2"/>
          </rPr>
          <t>ผลรวมเกิน สจก. มา 1 ไร่
เช็ครายจังหวัดแล้วปริมาณเท่า สจก.หมด
	-guiz</t>
        </r>
      </text>
    </comment>
  </commentList>
</comments>
</file>

<file path=xl/sharedStrings.xml><?xml version="1.0" encoding="utf-8"?>
<sst xmlns="http://schemas.openxmlformats.org/spreadsheetml/2006/main" count="2856" uniqueCount="337">
  <si>
    <t xml:space="preserve">            โครงการ</t>
  </si>
  <si>
    <t>แผนงานยุทธศาสตร์การเกษตรสร้างมูลค่า</t>
  </si>
  <si>
    <t xml:space="preserve">โครงการระบบส่งเสริมเกษตรแบบแปลงใหญ่ </t>
  </si>
  <si>
    <t xml:space="preserve">กิจกรรมส่งเสริมเกษตรแบบแปลงใหญ่  </t>
  </si>
  <si>
    <t>งบประมาณ (งบดำเนินงาน)</t>
  </si>
  <si>
    <t>อบรมเกษตรกร 
 เป้าหมาย 40 แปลง / 1,909 ราย</t>
  </si>
  <si>
    <t>แผนงบประมาณ (บาท)</t>
  </si>
  <si>
    <t>ผลการเบิกจ่าย</t>
  </si>
  <si>
    <t xml:space="preserve">รวม
</t>
  </si>
  <si>
    <t>แปลงใหญ่ปีที่ 1 
(2565) : เป้าหมาย 13 แปลง/ 605 ราย</t>
  </si>
  <si>
    <t>แปลงใหญ่ปีที่ 2
(2564) : เป้าหมาย 14 แปลง / 683 ราย</t>
  </si>
  <si>
    <t>แปลงใหญ่ปีที่ 3 
(2563) : เป้าหมาย 13 แปลง / 621 ราย</t>
  </si>
  <si>
    <t>รวม</t>
  </si>
  <si>
    <t>ค่าบริหาร
สำนักงาน</t>
  </si>
  <si>
    <t>เนื้องาน</t>
  </si>
  <si>
    <t>(รวม)</t>
  </si>
  <si>
    <t>แผนงาน</t>
  </si>
  <si>
    <t>ผลงาน</t>
  </si>
  <si>
    <t>บาท</t>
  </si>
  <si>
    <t>ร้อยละ</t>
  </si>
  <si>
    <t>แปลง</t>
  </si>
  <si>
    <t>ราย</t>
  </si>
  <si>
    <t>(ราย)</t>
  </si>
  <si>
    <t>ร้อยละ 
(ราย)</t>
  </si>
  <si>
    <t>รวมทั้งสิ้น (1 + 2 + 3)</t>
  </si>
  <si>
    <t>1. รวม ส.ป.ก.จังหวัด</t>
  </si>
  <si>
    <t>2. รวมส่วนกลาง (2.1+2.2)</t>
  </si>
  <si>
    <t xml:space="preserve">   2.1 สำนัก/กอง/ศูนย์</t>
  </si>
  <si>
    <t xml:space="preserve">   2.2 สำรองนโยบาย (รวมฝึกอบรมสัมมนาบริหาร)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</si>
  <si>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</si>
  <si>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</si>
  <si>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</si>
  <si>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</si>
  <si>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</si>
  <si>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</si>
  <si>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</si>
  <si>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</si>
  <si>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</si>
  <si>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</si>
  <si>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</si>
  <si>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</si>
  <si>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</si>
  <si>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</si>
  <si>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</si>
  <si>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</si>
  <si>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</si>
  <si>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</si>
  <si>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</si>
  <si>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</si>
  <si>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</si>
  <si>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</si>
  <si>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</si>
  <si>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</si>
  <si>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</si>
  <si>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</si>
  <si>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</si>
  <si>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</si>
  <si>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</si>
  <si>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</si>
  <si>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</si>
  <si>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</si>
  <si>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</si>
  <si>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</si>
  <si>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</si>
  <si>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</si>
  <si>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</si>
  <si>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</si>
  <si>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</si>
  <si>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</si>
  <si>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</si>
  <si>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</si>
  <si>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</si>
  <si>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</si>
  <si>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</si>
  <si>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</si>
  <si>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</si>
  <si>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</si>
  <si>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</si>
  <si>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</si>
  <si>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</si>
  <si>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</si>
  <si>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</si>
  <si>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</si>
  <si>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</si>
  <si>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</si>
  <si>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</si>
  <si>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</si>
  <si>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</si>
  <si>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</si>
  <si>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</si>
  <si>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</si>
  <si>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</si>
  <si>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</si>
  <si>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</si>
  <si>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</si>
  <si>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</si>
  <si>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</si>
  <si>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</si>
  <si>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</si>
  <si>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</si>
  <si>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</si>
  <si>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</si>
  <si>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</si>
  <si>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</si>
  <si>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</si>
  <si>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</si>
  <si>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</si>
  <si>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</si>
  <si>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</si>
  <si>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</si>
  <si>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</si>
  <si>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</si>
  <si>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</si>
  <si>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</si>
  <si>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</si>
  <si>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</si>
  <si>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</si>
  <si>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</si>
  <si>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</si>
  <si>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</si>
  <si>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</si>
  <si>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</si>
  <si>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</si>
  <si>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</si>
  <si>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</si>
  <si>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</si>
  <si>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</si>
  <si>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งบประชาสัมพันธ์</t>
  </si>
  <si>
    <t>อบรม นบต. นบก. นบส. พระปกเกล้า และอื่นๆ</t>
  </si>
  <si>
    <t>อบรมบุคลากร สพท.</t>
  </si>
  <si>
    <t>โครงการส่งเสริมการผลิตสินค้าเกษตรเศรษฐกิจชีวภาพตามความต้องการของตลาด (พืชสมุนไพร แมลงเศรษฐกิจ และไม้มีค่า)</t>
  </si>
  <si>
    <t xml:space="preserve">กิจกรรมส่งเสริมการแปรรูปสมุนไพรด้วยโรงอบพลังงานแสงอาทิตย์ต้นทุนต่ำในเขตปฏิรูปที่ดินงบประมาณ  </t>
  </si>
  <si>
    <t>จัดทำโรงอบ (งบลงทุน) 
เป้าหมาย 40 แห่ง</t>
  </si>
  <si>
    <t xml:space="preserve">หลักสูตรที่ 1 
</t>
  </si>
  <si>
    <t xml:space="preserve">หลักสูตรที่ 2 
</t>
  </si>
  <si>
    <t xml:space="preserve">หลักสูตรที่ 3 
</t>
  </si>
  <si>
    <t>(จังหวัด)</t>
  </si>
  <si>
    <t>จังหวัด</t>
  </si>
  <si>
    <t>(แห่ง)</t>
  </si>
  <si>
    <t>แห่ง</t>
  </si>
  <si>
    <t xml:space="preserve">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</si>
  <si>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</si>
  <si>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t>อบรมเกษตรกร 
เป้าหมาย 500 ราย</t>
  </si>
  <si>
    <t>ขอรับการรับรองมาตรฐานสินค้า 
เป้าหมาย  500 ราย</t>
  </si>
  <si>
    <t>แผนงานยุทธศาสตร์เสริมสร้างพลังทางสังคม</t>
  </si>
  <si>
    <t xml:space="preserve"> โครงการส่งเสริมการดำเนินงานอันเนื่องมาจากพระราชดำริ</t>
  </si>
  <si>
    <t xml:space="preserve">กิจกรรมพัฒนาตามแนวทางพระราชดำริ </t>
  </si>
  <si>
    <t>1) คลินิกเกษตร 
เป้าหมาย 288 ครั้ง</t>
  </si>
  <si>
    <t>2) อพ.สธ. 
เป้าหมาย 203 โรงเรียน</t>
  </si>
  <si>
    <t>3)  โครงการเพิ่มศักยภาพระบบงานเกษตรฯ 
เป้าหมาย 58 โรงเรียน</t>
  </si>
  <si>
    <t>4) การส่งเสริมการปลูกหญ้าแฝก 
เป้าหมาย 2,857,800 กล้า</t>
  </si>
  <si>
    <t>(5) โครงการอันเนื่องมาจากพระราชดำริพัฒนาความรู้ 12 โครงการ 
เป้าหมาย 960 ราย</t>
  </si>
  <si>
    <t>แผนงบ
ประมาณ</t>
  </si>
  <si>
    <t>ออกหน่วยบริการ
คลินิกเกษตรเคลื่อนที่</t>
  </si>
  <si>
    <t>เกษตรกรใช้บริการคลินิก</t>
  </si>
  <si>
    <t>จัดฝึกอบรม</t>
  </si>
  <si>
    <t>สนับสนุนปัจจัยการผลิต</t>
  </si>
  <si>
    <t>ฝึกอบรมเด็กและเยาวชน</t>
  </si>
  <si>
    <t xml:space="preserve"> การส่งเสริมการปลูกหญ้าแฝก</t>
  </si>
  <si>
    <t>ฝึกอบรม</t>
  </si>
  <si>
    <t>อบรมเกษตรกร</t>
  </si>
  <si>
    <t>บริการเบ็ดเสร็จ</t>
  </si>
  <si>
    <t>บริการต่อเนื่อง</t>
  </si>
  <si>
    <t>ประสานขอรับพันธุ์</t>
  </si>
  <si>
    <t>ปลูกหญ้าแฝก</t>
  </si>
  <si>
    <t>(บาท)</t>
  </si>
  <si>
    <t>(ครั้ง)</t>
  </si>
  <si>
    <t>ครั้ง</t>
  </si>
  <si>
    <t>(โรงเรียน)</t>
  </si>
  <si>
    <t>โรงเรียน</t>
  </si>
  <si>
    <t>(กล้า)</t>
  </si>
  <si>
    <t>กล้า</t>
  </si>
  <si>
    <t xml:space="preserve">แผนงานยุทธศาสตร์เสริมสร้างพลังทางสังคม </t>
  </si>
  <si>
    <t>โครงการส่งเสริมการดำเนินงานอันเนื่องมาจากพระราชดำริ</t>
  </si>
  <si>
    <t xml:space="preserve"> กิจกรรมพัฒนาและส่งเสริมศิลปหัตถกรรม</t>
  </si>
  <si>
    <t>การฝึกอบรมเกษตรกร เป้าหมาย 1,000 ราย</t>
  </si>
  <si>
    <t xml:space="preserve">รวม 
</t>
  </si>
  <si>
    <t>ฝึกอบรมโดย : ส.ป.ก.จังหวัด เป้าหมาย 800 ราย</t>
  </si>
  <si>
    <t>แผนงานบูรณาการพัฒนาและส่งเสริมเศรษฐกิจฐานราก</t>
  </si>
  <si>
    <t>โครงการพัฒนาเกษตรกรปราดเปรื่อง (Smart Farmer)</t>
  </si>
  <si>
    <t>โครงการพัฒนาเกษตรกรปราดเปรื่องในเขตปฏิรูปที่ดิน (Smart Farmer)</t>
  </si>
  <si>
    <t xml:space="preserve"> กิจกรรมสร้างและพัฒนาเกษตรกรรุ่นใหม่  </t>
  </si>
  <si>
    <t xml:space="preserve">กิจกรรมพัฒนาเกษตรกรปราดเปรื่องในเขตปฏิรูปที่ดิน (Smart Farmer) </t>
  </si>
  <si>
    <t xml:space="preserve"> แผนงานบูรณาการพัฒนาและส่งเสริมเศรษฐกิจฐานราก</t>
  </si>
  <si>
    <t>โครงการส่งเสริมและพัฒนาอาชีพเพื่อแก้ไขปัญหาที่ดินทำกินของเกษตรกร</t>
  </si>
  <si>
    <t xml:space="preserve">กิจกรรมยกระดับรายได้เกษตรกรในเขตปฏิรูปที่ดินเพื่อลดความเหลื่อมล้ำ  </t>
  </si>
  <si>
    <t xml:space="preserve">กิจกรรมบริหารจัดการพื้นที่ที่ดินแปลงรวม  </t>
  </si>
  <si>
    <t>(พื้นที่)</t>
  </si>
  <si>
    <t>พื้นที่</t>
  </si>
  <si>
    <t>โครงการบริหารจัดการที่ดินทำกินแก่เกษตรกรรายย่อยและผู้ด้อยโอกาส</t>
  </si>
  <si>
    <t xml:space="preserve">กิจกรรมจัดที่ดิน </t>
  </si>
  <si>
    <t>จัดที่ดิน แปลงเกษตรกรรม เป้าหมาย 23,500 ราย</t>
  </si>
  <si>
    <t>ผลการดำเนินงาน</t>
  </si>
  <si>
    <t>จัดที่ดิน</t>
  </si>
  <si>
    <t>รังวัด</t>
  </si>
  <si>
    <t>สอบสิทธิ</t>
  </si>
  <si>
    <t>คปจ.</t>
  </si>
  <si>
    <t>มอบ ส.ป.ก.4-01</t>
  </si>
  <si>
    <t>(ไร่)</t>
  </si>
  <si>
    <t>ไร่</t>
  </si>
  <si>
    <t>ร้อยละ 
(ไร่)</t>
  </si>
  <si>
    <t>1. โครงการส่งเสริมเกษตรอินทรีย์ในเขตปฏิรูปที่ดิน</t>
  </si>
  <si>
    <t>งบประมาณ (บาท)</t>
  </si>
  <si>
    <t xml:space="preserve">อบรมเกษตรกร เป้าหมาย 2,805 ราย </t>
  </si>
  <si>
    <t>สนับสนุนปัจจัยการผลิต 
เป้าหมาย 8,480 ไร่ (พื้นที่ขั้นที่ 1 + พื้นที่ขั้นที่ 2-3)</t>
  </si>
  <si>
    <t xml:space="preserve">พื้นที่ใหม่ (ขั้นที่ 1)
</t>
  </si>
  <si>
    <t xml:space="preserve">พื้นที่เดิม (ขั้นที่ 2-3)
</t>
  </si>
  <si>
    <t>ส.ป.ก.จังหวัด
สำนัก/กอง/ศูนย์</t>
  </si>
  <si>
    <t xml:space="preserve">   2.3. ค่าใช้จ่ายบุคลากรภาครัฐ (ถ้ามี)</t>
  </si>
  <si>
    <t>2. โครงการส่งเสริมระบบวนเกษตรในเขตปฏิรูปที่ดิน</t>
  </si>
  <si>
    <t>อบรมเกษตรกร
 เป้าหมาย 4,500 ราย</t>
  </si>
  <si>
    <t>สนับสนุนปัจจัยการผลิต 
เป้าหมาย 4,500 ราย / 45,000 ไร่</t>
  </si>
  <si>
    <t>3. โครงการส่งเสริมและพัฒนาเกษตรทฤษฎีใหม่ในเขตปฏิรูปที่ดิน</t>
  </si>
  <si>
    <t xml:space="preserve">อบรมเกษตรกร เป้าหมาย : พื้นที่ 10,800 ไร่ เกษตรกร 3,600 ราย </t>
  </si>
  <si>
    <t>สนับสนุนวัสดุการเกษตร</t>
  </si>
  <si>
    <t>รวม (ขั้นที่ 1+ขั้นที่ 2+ขั้นที่ 3)</t>
  </si>
  <si>
    <t>ขั้นที่ 1 (จังหวัดกำหนด) 
เป้าหมายหลักสูตรละ 843 ราย (อบรมรายละ 2 หลักสูตร)</t>
  </si>
  <si>
    <t>ขั้นที่ 2 (50% ของผลปี 2564) 
เป้าหมายหลักสูตรละ 1,949 ราย (อบรมรายละ 3 หลักสูตร)</t>
  </si>
  <si>
    <t>ขั้นที่ 3 (ขั้นที่ 2 ปี 2564) 
เป้าหมายหลักสูตรละ 808 ราย (อบรมรายละ 2 หลักสูตร)</t>
  </si>
  <si>
    <t>ขั้นที่ 1</t>
  </si>
  <si>
    <t>ขั้นที่ 2</t>
  </si>
  <si>
    <t>รวม
(ดำเนินการแล้วเสร็จทั้ง 2 หลักสูตร)</t>
  </si>
  <si>
    <t xml:space="preserve">"สร้างแรงบันดาลใจในการเปลี่ยนเป็นเกษตรทฤษฎีใหม่" </t>
  </si>
  <si>
    <t xml:space="preserve">"การเปลี่ยนแปลงวิธีทำเกษตรแบบเดิมสู่เกษตรทฤษฎีใหม่" </t>
  </si>
  <si>
    <t>รวม
(ดำเนินการแล้วเสร็จทั้ง 3 หลักสูตร)</t>
  </si>
  <si>
    <t>การส่งเสริมการรวมกลุ่ม</t>
  </si>
  <si>
    <t>การเพิ่มมูลค่าผลผลิตและการแปรรูปในรูปแบบกลุ่ม</t>
  </si>
  <si>
    <t xml:space="preserve">การบริหารจัดการตลาด </t>
  </si>
  <si>
    <t xml:space="preserve">มาตรฐาน
การผลิต  </t>
  </si>
  <si>
    <t xml:space="preserve">การพัฒนาบรรจุภัณฑ์  </t>
  </si>
  <si>
    <t>4. โครงการพัฒนาธุรกิจชุมชนในเขตปฏิรูปที่ดิน</t>
  </si>
  <si>
    <t>อบรมเกษตรกร 
เป้าหมาย 2,000 ราย</t>
  </si>
  <si>
    <t>อบรมโดย ส.ป.ก. จังหวัด 
เป้าหมาย 1,784 ราย</t>
  </si>
  <si>
    <t>รวม
(หลักสูตร 1 + หลักสูตร 2)</t>
  </si>
  <si>
    <t xml:space="preserve">1.หลักสูตรการแปรรูปและการพัฒนาสินค้า การตลาดและการบริหารจัดการธุรกิจ   </t>
  </si>
  <si>
    <t>2.หลักสูตรการสร้างความเข้มแข็งและพัฒธุรกิจของสหกรณ์การเกษตรในเขตปฏิรูปที่ดิน</t>
  </si>
  <si>
    <t>5. โครงการตรวจสอบที่ดินในเขตปฏิรูปที่ดิน (ตรวจสอบการถือครอง (กรณีแผนงานปกติ)</t>
  </si>
  <si>
    <t>5. โครงการตรวจสอบที่ดินในเขตปฏิรูปที่ดิน (กรณีผิดปกติ)</t>
  </si>
  <si>
    <t>5. โครงการตรวจสอบที่ดินในเขตปฏิรูปที่ดิน (ตรวจสอบการใช้ที่ดินผิดวัตถุประสงค์ โดยแผนที่ภาพถ่ายทางอากาศ/ดาวเทียม)</t>
  </si>
  <si>
    <t>ตรวจสอบการถือครอง (กรณีแผนงานปกติ)</t>
  </si>
  <si>
    <t>ตรวจสอบการถือครอง (กรณีผิดปกติ)</t>
  </si>
  <si>
    <t>ตรวจสอบการใช้ที่ดินผิดวัตถุประสงค์ โดยแผนที่ภาพถ่ายทางอากาศ/ดาวเทียม</t>
  </si>
  <si>
    <t>1) ผลการลงพื้นที่หาข้อมูลเบื้องต้นจากผู้ที่น่าเชื่อถือได้</t>
  </si>
  <si>
    <t>2. ผลการพิจารณาของคณะอนุกรรมการฯ</t>
  </si>
  <si>
    <t>3. สรุปผลการตรวจสอบการถือครอง</t>
  </si>
  <si>
    <t>สรุปผลการตรวจสอบ</t>
  </si>
  <si>
    <t xml:space="preserve">ตรวจสอบโดย สผส. </t>
  </si>
  <si>
    <t>ตรวจสอบโดย ส.ป.ก.จังหวัด</t>
  </si>
  <si>
    <t>ผลการตวจสอบ</t>
  </si>
  <si>
    <t>สรุป =1+2+3</t>
  </si>
  <si>
    <t>1.เกษตรกรมีชีวิตอยู่</t>
  </si>
  <si>
    <t>2.เกษตรกรเสียชีวิต</t>
  </si>
  <si>
    <t>3.กรณีอื่นๆ
 ( เช่น พื้นที่นอกเขตฯ 
ฐานข้อมู,คลาดเคลื่อน)</t>
  </si>
  <si>
    <t>ผลการตรวจสอบ</t>
  </si>
  <si>
    <t>ส่งข้อมูลกรณีใช้ที่ผิดวัตถุประสงค์ (2)
 ให้ ส.ป.ก.จังหวัด</t>
  </si>
  <si>
    <t>ใช้ประโยชน์ด้วยตนเอง</t>
  </si>
  <si>
    <t>ไม่ใช้ประโยชน์ในที่ดิน
 (รวมไม่ทราบข้อมูล)</t>
  </si>
  <si>
    <t>เสียชีวิต</t>
  </si>
  <si>
    <t>ไม่ใช้ประโยชน์ในที่ดิน 
(รวมไม่ทราบข้อมูล)</t>
  </si>
  <si>
    <t>เสียชีวิตทายาททำประโยชน์</t>
  </si>
  <si>
    <t>ไม่มาให้ข้อเท็จจริง</t>
  </si>
  <si>
    <t xml:space="preserve"> คปจ.สั่งให้สิ้นสิทธิ์</t>
  </si>
  <si>
    <t>เสียชีวิต
 ทายาททำประโยชน์</t>
  </si>
  <si>
    <t xml:space="preserve"> เสียชีวิต 
บุคคลอื่นทำประโยชน์</t>
  </si>
  <si>
    <t>รวม (1+2)</t>
  </si>
  <si>
    <t>1.ใช้ที่ดินตามวัตถุประสงค์</t>
  </si>
  <si>
    <t>2.ใช้ที่ดินผิดวัตถุประสงค์</t>
  </si>
  <si>
    <t>ใช้ที่ดินตามวัตถุประสงค์</t>
  </si>
  <si>
    <t>ใช้ที่ดินผิดวัตถุประสงค์</t>
  </si>
  <si>
    <t>อื่น ๆ</t>
  </si>
  <si>
    <t>8. โครงการศูนย์บริการประชาชนในเขตปฏิรูปที่ดินเพื่อเกษตรกรรม</t>
  </si>
  <si>
    <t>เป้าหมายผู้มารับบริการ 
เป้าหมาย 136,000 ราย</t>
  </si>
  <si>
    <t>แผนงาน
(ราย)</t>
  </si>
  <si>
    <t>ศูนย์บริการประชาชน
เคลื่อนที่</t>
  </si>
  <si>
    <t>ผู้มารับบริการศูนย์บริการประชาชน (Service Center)</t>
  </si>
  <si>
    <t>ผู้รับบริการจากระบบออนไลน์</t>
  </si>
  <si>
    <t>ออกรับบริการร่วมกับหน่วยงานภายนอกอื่น ๆ</t>
  </si>
  <si>
    <t>6. โครงการพัฒนาผู้แทนเกษตรกร</t>
  </si>
  <si>
    <t xml:space="preserve">อบรมเกษตรกร 
เป้าหมาย 1,584 ราย </t>
  </si>
  <si>
    <t>7. โครงการสำรวจรังวัดปรับปรุงแผนที่แปลงที่ดินตามมาตรฐาน RTK GNSS Network ในเขตปฏิรูปที่ดิน</t>
  </si>
  <si>
    <t>ปรับปรุงแผนที่แปลงที่ดินตามมาตรฐาน RTK GNSS Network ในเขตปฏิรูปที่ดิน
เป้าหมาย 200,000 ไร่</t>
  </si>
  <si>
    <t>ดำเนินการ โดย ส.ป.ก.จังหวัด
เป้าหมาย 53,000 ไร่</t>
  </si>
  <si>
    <t>ดำเนินการโดย สผส. 
เป้าหมาย 147,000 ไร่</t>
  </si>
  <si>
    <t xml:space="preserve">ร้อยละ </t>
  </si>
  <si>
    <t>9. โครงการจัดที่ดินชุมชนแปลงที่อยู่อาศัยของเกษตรกรในเขตปฏิรูปที่ดิน)</t>
  </si>
  <si>
    <t>จัดที่ดินชุมชน  แปลงที่อยุ่อาศัย 
เป้าหมาย 5,813  ราย</t>
  </si>
  <si>
    <t>(แปลง)</t>
  </si>
  <si>
    <t>ร้อยละ
 (แปลง)</t>
  </si>
  <si>
    <t>ร้อยละ
 (ราย)</t>
  </si>
  <si>
    <t>10. โครงการจัดหาที่ดินเอกชนเพื่อนำมาดำเนินการปฏิรูปที่ดินเพื่อเกษตรกรรม</t>
  </si>
  <si>
    <t xml:space="preserve">แผนงาน </t>
  </si>
  <si>
    <t>2. จัดซื้อที่ดินงานต่อเนื่อง (ระหว่างปี พ.ศ. 2560 - 2564)
 เป้าหมาย 6,649 ไร่</t>
  </si>
  <si>
    <t>การจัดหาที่ดินฯ 
ปี 2565</t>
  </si>
  <si>
    <t>จัดซื้ที่ดินต่อเนื่องฯ</t>
  </si>
  <si>
    <t>รับคำเสนอขาย</t>
  </si>
  <si>
    <t>ตรวจสอบความถูกต้องหนังสือแสดงสิทธิฯ</t>
  </si>
  <si>
    <t>ตรวจสอบสภาพพื้นที่ แปลงที่ดิน การทำประโยชน์</t>
  </si>
  <si>
    <t xml:space="preserve"> ต่อรองราคาที่ดิน</t>
  </si>
  <si>
    <t>คณะอนุฯ พิจารณาความเหมาะสมของที่ดิน</t>
  </si>
  <si>
    <t xml:space="preserve">
นำเสนอ คปจ.
</t>
  </si>
  <si>
    <t>ประกาศเขตปฏิรูปที่ดินแล้ว</t>
  </si>
  <si>
    <t xml:space="preserve">รวม
</t>
  </si>
  <si>
    <t xml:space="preserve">
ราคาไม่เกิน 1.5 เท่า</t>
  </si>
  <si>
    <t>รังวัดสอบเขต</t>
  </si>
  <si>
    <t>จดทะเบียนสิทธิและนิติกรรม และชำระมูลค่าที่ดิน</t>
  </si>
  <si>
    <t>2. จัดฝึกอบรมโดยใช้กระบวนการโรงเรียน (โดย ส.ป.ก.จังหวัด)</t>
  </si>
  <si>
    <t>ร้อยละ (ราย)</t>
  </si>
  <si>
    <t>การอบรมเกษตรกร : เป้าหมาย 150 ราย (ผู้เข้าร่วมโครงการอบรมคนละ 3 หลักสูตร ตั้งแต่หลักสูตรที่ 1-3)</t>
  </si>
  <si>
    <t>ฝึกอบรมโดย : ศพส. เป้าหมาย 200 ราย</t>
  </si>
  <si>
    <t>พัฒนาพื้นที่/จัดตั้งศูนย์ต้นแบบ/องค์ความรู้ เป้าหมาย 30 แห่ง</t>
  </si>
  <si>
    <t>สนับสนุนปัจจัยการผลิต เป้าหมาย 700 ราย</t>
  </si>
  <si>
    <t>คัดเลือกเกษตรกรต้นแบบ เป้าหมายจังหวัดละ 1 ราย เป้าหมาย 30 ราย</t>
  </si>
  <si>
    <t>พัฒนาเกษตรกร (อบรมขยายผลองค์ความรู้) เป้าหมาย 700 ราย</t>
  </si>
  <si>
    <t>ฝึกอบรมเชิงปฏิบัติการ /สนับสนุนปัจจัยการผลิต เป้าหมาย 300 ราย</t>
  </si>
  <si>
    <t>ประสาน/สำรวจพื้นที่/ประสานหน่วยงานที่เกี่ยวข้อง เป้าหมาย 31 พื้นที่</t>
  </si>
  <si>
    <t>สนับสนุนปัจจัยการผลิต เป้าหมาย 300 ราย</t>
  </si>
  <si>
    <t>3. หลักสูตรการเพิ่มช่องทางบริหารจัดการตลาดสินค้าเกษตรอินทรีย์โดยตรงถึงผู้บริโภค (โดย สพท.)</t>
  </si>
  <si>
    <t>ครั้งที่ 1: กลุ่ม/พื้นที่เดิม</t>
  </si>
  <si>
    <t>ครั้งที่ 2 : กลุ่ม/พื้นที่ใหม่</t>
  </si>
  <si>
    <t>ค่าบริหารสำนักงาน</t>
  </si>
  <si>
    <t>โครงการ</t>
  </si>
  <si>
    <r>
      <rPr>
        <b/>
        <sz val="16"/>
        <color rgb="FF000000"/>
        <rFont val="TH SarabunPSK"/>
        <family val="2"/>
      </rPr>
      <t xml:space="preserve">หมายเหตุ : </t>
    </r>
    <r>
      <rPr>
        <sz val="16"/>
        <color rgb="FF000000"/>
        <rFont val="TH SarabunPSK"/>
        <family val="2"/>
      </rPr>
      <t>ผลการเบิกจ่ายของ  ส.ป.ก.จังหวัด ข้อมูลมาจาก ส.ป.ก.จังหวัด รายงานใน Google Sheet / ผลการเบิกจ่ายของ ส.ป.ก. ส่วนกลาง ข้อมูลมาจาก  กลุ่มงบประมาณ สำนักบริหารกลาง</t>
    </r>
  </si>
  <si>
    <r>
      <rPr>
        <b/>
        <sz val="16"/>
        <color rgb="FF000000"/>
        <rFont val="TH SarabunPSK"/>
        <family val="2"/>
      </rPr>
      <t xml:space="preserve">หมายเหตุ : </t>
    </r>
    <r>
      <rPr>
        <sz val="16"/>
        <color rgb="FF000000"/>
        <rFont val="TH SarabunPSK"/>
        <family val="2"/>
      </rPr>
      <t>ผลการเบิกจ่ายของ  ส.ป.ก.จังหวัด และ ส.ป.ก. ส่วนกลางข้อมูลมาจาก ส.ป.ก.จังหวัด รายงานใน Google Sheet</t>
    </r>
  </si>
  <si>
    <t>แผนงาน งบประมาณ  และผลการดำเนินงาน รายกิจกรรม ตามแผนงานประจำปีงบประมาณ 2565 (ข้อมูล ณ 30 พ.ย. 64)</t>
  </si>
  <si>
    <t>แผนงาน งบประมาณ  และผลการดำเนินงาน รายกิจกรรม กิจกรรมที่ได้รับงบประมาณกองทุนการปฏิรูปที่ดินเพื่อเกษตรกรรม ประจำปีงบประมาณ 2565 (ข้อมูล ณ 30 พ.ย. 64)</t>
  </si>
  <si>
    <t>ฝึกอบรมเชิงปฏิบัติการ 
เป้าหมาย 300 ราย</t>
  </si>
  <si>
    <t xml:space="preserve">หลักสูตรสำหรับการพัฒนาผู้แทนเกษตรกรในระดับพื้นที่ โดย : ส.ป.ก.จังหวัด </t>
  </si>
  <si>
    <t xml:space="preserve">หลักสูตรสำหรับการพัฒนาภาวะผู้นำแก่ผู้นำเกษตรกร โดย สพท. </t>
  </si>
  <si>
    <t>1.หลักสูตรสร้างและพัฒนากลไกเพื่อขับเคลื่อนงานเกษตรอินทรีย์
 (โดย สพท.) เป้าหมาย : 120 ราย</t>
  </si>
  <si>
    <t xml:space="preserve">รวมอบรม (หญ้าแฝก+พัฒนาองค์ความรู้ 12 โครงการ)
 เป้าหมาย 1,200 ราย
</t>
  </si>
  <si>
    <t>การเตรียมการ (การจัดทำฐานข้อมูลสมุนไพรและแผนการผลิตคามความต้องการตลาด) 
เป้าหมาย 32 จังหวัด</t>
  </si>
  <si>
    <t>ปฏิบัติตามระเบียบ (ผลจากการลงพื้นที่/ยุตติเรื่อง)</t>
  </si>
  <si>
    <t>ไม่ปฏิบัติตามระเบียบ (หลังจากทำหนังสือแจ้งเตือน/แจ้งสิทธิ)</t>
  </si>
  <si>
    <t>1. การจัดหาที่ดินเพื่อการจัดซื้อที่ดินเอกชน ปี 2565
 เป้าหมาย 6,700 ไร่</t>
  </si>
  <si>
    <t xml:space="preserve"> พัฒนาเกษตรกร (ฝึกอบรมและขยายผลองค์ความรู้ฯ) 
เป้าหมาย 800 ราย</t>
  </si>
  <si>
    <t>หลักสูตร การพัฒนาช่องทางด้านการตลาดสินค้าเกษตร
ออนไลน์ โดย สพท.
เป้าหมาย 216 ราย</t>
  </si>
  <si>
    <t>สนับสนุนปัจจัยการผลิต 
(เฉพาะแปลงใหญ่ปี 65) 
เป้าหมาย 605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</si>
</sst>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_-;\-* #,##0_-;_-* &quot;-&quot;_-;_-@"/>
    <numFmt numFmtId="166" formatCode="_-* #,##0.00_-;\-* #,##0.00_-;_-* &quot;-&quot;??_-;_-@"/>
    <numFmt numFmtId="167" formatCode="_-* #,##0_-;\-* #,##0_-;_-* &quot;-&quot;??_-;_-@"/>
    <numFmt numFmtId="168" formatCode="_(* #,##0_);_(* \(#,##0\);_(* &quot;-&quot;??_);_(@_)"/>
    <numFmt numFmtId="169" formatCode="_-* #,##0.00_-;\-* #,##0.00_-;_-* &quot;-&quot;_-;_-@"/>
    <numFmt numFmtId="170" formatCode="_-* #,##0.0_-;\-* #,##0.0_-;_-* &quot;-&quot;??_-;_-@"/>
    <numFmt numFmtId="171" formatCode="_-* #,##0.00_-;\-* #,##0.00_-;_-* &quot;-&quot;????_-;_-@"/>
  </numFmts>
  <fonts count="20" x14ac:knownFonts="1">
    <font>
      <sz val="11"/>
      <color theme="1"/>
      <name val="Arial"/>
    </font>
    <font>
      <sz val="11"/>
      <color theme="1"/>
      <name val="Arial"/>
      <family val="2"/>
    </font>
    <font>
      <b/>
      <sz val="12"/>
      <color theme="1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0"/>
      <color theme="1"/>
      <name val="TH SarabunPSK"/>
      <family val="2"/>
    </font>
    <font>
      <b/>
      <sz val="8"/>
      <color theme="1"/>
      <name val="TH SarabunPSK"/>
      <family val="2"/>
    </font>
    <font>
      <sz val="8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rgb="FFA8D08D"/>
        <bgColor rgb="FFA8D08D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FFC9DB"/>
        <bgColor rgb="FFFFFF00"/>
      </patternFill>
    </fill>
    <fill>
      <patternFill patternType="solid">
        <fgColor theme="5" tint="0.79998168889431442"/>
        <bgColor rgb="FFF4B083"/>
      </patternFill>
    </fill>
  </fills>
  <borders count="1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16"/>
  </cellStyleXfs>
  <cellXfs count="922">
    <xf numFmtId="0" fontId="0" fillId="0" borderId="0" xfId="0" applyFont="1" applyAlignment="1"/>
    <xf numFmtId="0" fontId="2" fillId="0" borderId="56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165" fontId="4" fillId="0" borderId="0" xfId="0" applyNumberFormat="1" applyFont="1"/>
    <xf numFmtId="166" fontId="4" fillId="0" borderId="0" xfId="0" applyNumberFormat="1" applyFont="1" applyAlignment="1">
      <alignment horizontal="right" vertical="center"/>
    </xf>
    <xf numFmtId="0" fontId="5" fillId="0" borderId="0" xfId="0" applyFont="1" applyAlignment="1"/>
    <xf numFmtId="165" fontId="4" fillId="2" borderId="16" xfId="0" applyNumberFormat="1" applyFont="1" applyFill="1" applyBorder="1" applyAlignment="1">
      <alignment vertical="center" shrinkToFit="1"/>
    </xf>
    <xf numFmtId="165" fontId="4" fillId="2" borderId="17" xfId="0" applyNumberFormat="1" applyFont="1" applyFill="1" applyBorder="1" applyAlignment="1">
      <alignment vertical="center" shrinkToFit="1"/>
    </xf>
    <xf numFmtId="165" fontId="4" fillId="8" borderId="30" xfId="0" applyNumberFormat="1" applyFont="1" applyFill="1" applyBorder="1" applyAlignment="1">
      <alignment horizontal="center" vertical="center" shrinkToFit="1"/>
    </xf>
    <xf numFmtId="165" fontId="4" fillId="11" borderId="30" xfId="0" applyNumberFormat="1" applyFont="1" applyFill="1" applyBorder="1" applyAlignment="1">
      <alignment horizontal="center" vertical="center" shrinkToFit="1"/>
    </xf>
    <xf numFmtId="165" fontId="4" fillId="12" borderId="30" xfId="0" applyNumberFormat="1" applyFont="1" applyFill="1" applyBorder="1" applyAlignment="1">
      <alignment horizontal="center" vertical="center" wrapText="1"/>
    </xf>
    <xf numFmtId="165" fontId="4" fillId="8" borderId="35" xfId="0" applyNumberFormat="1" applyFont="1" applyFill="1" applyBorder="1" applyAlignment="1">
      <alignment horizontal="center" vertical="center" shrinkToFit="1"/>
    </xf>
    <xf numFmtId="165" fontId="4" fillId="11" borderId="35" xfId="0" applyNumberFormat="1" applyFont="1" applyFill="1" applyBorder="1" applyAlignment="1">
      <alignment horizontal="center" vertical="center" shrinkToFit="1"/>
    </xf>
    <xf numFmtId="165" fontId="4" fillId="13" borderId="37" xfId="0" applyNumberFormat="1" applyFont="1" applyFill="1" applyBorder="1" applyAlignment="1">
      <alignment horizontal="center" vertical="center" shrinkToFit="1"/>
    </xf>
    <xf numFmtId="166" fontId="4" fillId="13" borderId="37" xfId="0" applyNumberFormat="1" applyFont="1" applyFill="1" applyBorder="1" applyAlignment="1">
      <alignment horizontal="center" vertical="center" shrinkToFit="1"/>
    </xf>
    <xf numFmtId="165" fontId="4" fillId="12" borderId="35" xfId="0" applyNumberFormat="1" applyFont="1" applyFill="1" applyBorder="1" applyAlignment="1">
      <alignment horizontal="center" vertical="center" wrapText="1"/>
    </xf>
    <xf numFmtId="165" fontId="4" fillId="2" borderId="37" xfId="0" applyNumberFormat="1" applyFont="1" applyFill="1" applyBorder="1" applyAlignment="1">
      <alignment horizontal="center" vertical="center" wrapText="1"/>
    </xf>
    <xf numFmtId="166" fontId="4" fillId="2" borderId="37" xfId="0" applyNumberFormat="1" applyFont="1" applyFill="1" applyBorder="1" applyAlignment="1">
      <alignment horizontal="center" vertical="center" wrapText="1"/>
    </xf>
    <xf numFmtId="165" fontId="4" fillId="8" borderId="40" xfId="0" applyNumberFormat="1" applyFont="1" applyFill="1" applyBorder="1" applyAlignment="1">
      <alignment horizontal="center" vertical="center" shrinkToFit="1"/>
    </xf>
    <xf numFmtId="165" fontId="4" fillId="10" borderId="40" xfId="0" applyNumberFormat="1" applyFont="1" applyFill="1" applyBorder="1" applyAlignment="1">
      <alignment horizontal="center" vertical="center" shrinkToFit="1"/>
    </xf>
    <xf numFmtId="165" fontId="4" fillId="11" borderId="40" xfId="0" applyNumberFormat="1" applyFont="1" applyFill="1" applyBorder="1" applyAlignment="1">
      <alignment horizontal="center" vertical="center" shrinkToFit="1"/>
    </xf>
    <xf numFmtId="165" fontId="4" fillId="13" borderId="40" xfId="0" applyNumberFormat="1" applyFont="1" applyFill="1" applyBorder="1" applyAlignment="1">
      <alignment horizontal="center" vertical="center" shrinkToFit="1"/>
    </xf>
    <xf numFmtId="166" fontId="4" fillId="13" borderId="40" xfId="0" applyNumberFormat="1" applyFont="1" applyFill="1" applyBorder="1" applyAlignment="1">
      <alignment horizontal="right" vertical="center" shrinkToFit="1"/>
    </xf>
    <xf numFmtId="165" fontId="4" fillId="12" borderId="40" xfId="0" applyNumberFormat="1" applyFont="1" applyFill="1" applyBorder="1" applyAlignment="1">
      <alignment horizontal="center" vertical="center" shrinkToFit="1"/>
    </xf>
    <xf numFmtId="165" fontId="4" fillId="2" borderId="40" xfId="0" applyNumberFormat="1" applyFont="1" applyFill="1" applyBorder="1" applyAlignment="1">
      <alignment horizontal="center" vertical="center" shrinkToFit="1"/>
    </xf>
    <xf numFmtId="166" fontId="4" fillId="2" borderId="40" xfId="0" applyNumberFormat="1" applyFont="1" applyFill="1" applyBorder="1" applyAlignment="1">
      <alignment horizontal="right" vertical="center" shrinkToFit="1"/>
    </xf>
    <xf numFmtId="0" fontId="4" fillId="9" borderId="41" xfId="0" applyFont="1" applyFill="1" applyBorder="1" applyAlignment="1">
      <alignment horizontal="left" vertical="center"/>
    </xf>
    <xf numFmtId="0" fontId="4" fillId="9" borderId="42" xfId="0" applyFont="1" applyFill="1" applyBorder="1" applyAlignment="1">
      <alignment horizontal="left" vertical="center"/>
    </xf>
    <xf numFmtId="165" fontId="4" fillId="9" borderId="43" xfId="0" applyNumberFormat="1" applyFont="1" applyFill="1" applyBorder="1" applyAlignment="1">
      <alignment vertical="center" shrinkToFit="1"/>
    </xf>
    <xf numFmtId="166" fontId="4" fillId="9" borderId="43" xfId="0" applyNumberFormat="1" applyFont="1" applyFill="1" applyBorder="1" applyAlignment="1">
      <alignment horizontal="right" vertical="center" shrinkToFit="1"/>
    </xf>
    <xf numFmtId="165" fontId="4" fillId="9" borderId="44" xfId="0" applyNumberFormat="1" applyFont="1" applyFill="1" applyBorder="1" applyAlignment="1">
      <alignment vertical="center" shrinkToFit="1"/>
    </xf>
    <xf numFmtId="166" fontId="4" fillId="9" borderId="44" xfId="0" applyNumberFormat="1" applyFont="1" applyFill="1" applyBorder="1" applyAlignment="1">
      <alignment horizontal="right" vertical="center" shrinkToFit="1"/>
    </xf>
    <xf numFmtId="0" fontId="4" fillId="14" borderId="45" xfId="0" applyFont="1" applyFill="1" applyBorder="1" applyAlignment="1">
      <alignment horizontal="left" vertical="center"/>
    </xf>
    <xf numFmtId="0" fontId="4" fillId="14" borderId="46" xfId="0" applyFont="1" applyFill="1" applyBorder="1" applyAlignment="1">
      <alignment horizontal="left" vertical="center"/>
    </xf>
    <xf numFmtId="165" fontId="4" fillId="14" borderId="47" xfId="0" applyNumberFormat="1" applyFont="1" applyFill="1" applyBorder="1" applyAlignment="1">
      <alignment vertical="center" shrinkToFit="1"/>
    </xf>
    <xf numFmtId="166" fontId="4" fillId="14" borderId="47" xfId="0" applyNumberFormat="1" applyFont="1" applyFill="1" applyBorder="1" applyAlignment="1">
      <alignment horizontal="right" vertical="center" shrinkToFit="1"/>
    </xf>
    <xf numFmtId="165" fontId="4" fillId="14" borderId="48" xfId="0" applyNumberFormat="1" applyFont="1" applyFill="1" applyBorder="1" applyAlignment="1">
      <alignment vertical="center" shrinkToFit="1"/>
    </xf>
    <xf numFmtId="166" fontId="4" fillId="14" borderId="48" xfId="0" applyNumberFormat="1" applyFont="1" applyFill="1" applyBorder="1" applyAlignment="1">
      <alignment horizontal="right" vertical="center" shrinkToFit="1"/>
    </xf>
    <xf numFmtId="0" fontId="4" fillId="15" borderId="45" xfId="0" applyFont="1" applyFill="1" applyBorder="1" applyAlignment="1">
      <alignment horizontal="left" vertical="center"/>
    </xf>
    <xf numFmtId="0" fontId="4" fillId="15" borderId="48" xfId="0" applyFont="1" applyFill="1" applyBorder="1" applyAlignment="1">
      <alignment horizontal="left" vertical="center"/>
    </xf>
    <xf numFmtId="165" fontId="4" fillId="15" borderId="49" xfId="0" applyNumberFormat="1" applyFont="1" applyFill="1" applyBorder="1" applyAlignment="1">
      <alignment vertical="center" shrinkToFit="1"/>
    </xf>
    <xf numFmtId="166" fontId="4" fillId="15" borderId="49" xfId="0" applyNumberFormat="1" applyFont="1" applyFill="1" applyBorder="1" applyAlignment="1">
      <alignment horizontal="right" vertical="center" shrinkToFit="1"/>
    </xf>
    <xf numFmtId="165" fontId="4" fillId="9" borderId="30" xfId="0" applyNumberFormat="1" applyFont="1" applyFill="1" applyBorder="1" applyAlignment="1">
      <alignment vertical="center" shrinkToFit="1"/>
    </xf>
    <xf numFmtId="166" fontId="4" fillId="9" borderId="30" xfId="0" applyNumberFormat="1" applyFont="1" applyFill="1" applyBorder="1" applyAlignment="1">
      <alignment horizontal="right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left" vertical="center" shrinkToFit="1"/>
    </xf>
    <xf numFmtId="165" fontId="4" fillId="8" borderId="53" xfId="0" applyNumberFormat="1" applyFont="1" applyFill="1" applyBorder="1" applyAlignment="1">
      <alignment vertical="center" shrinkToFit="1"/>
    </xf>
    <xf numFmtId="165" fontId="4" fillId="0" borderId="53" xfId="0" applyNumberFormat="1" applyFont="1" applyBorder="1" applyAlignment="1">
      <alignment vertical="center" shrinkToFit="1"/>
    </xf>
    <xf numFmtId="165" fontId="4" fillId="16" borderId="53" xfId="0" applyNumberFormat="1" applyFont="1" applyFill="1" applyBorder="1" applyAlignment="1">
      <alignment vertical="center" shrinkToFit="1"/>
    </xf>
    <xf numFmtId="166" fontId="4" fillId="0" borderId="53" xfId="0" applyNumberFormat="1" applyFont="1" applyBorder="1" applyAlignment="1">
      <alignment horizontal="right" vertical="center" shrinkToFit="1"/>
    </xf>
    <xf numFmtId="166" fontId="4" fillId="16" borderId="53" xfId="0" applyNumberFormat="1" applyFont="1" applyFill="1" applyBorder="1" applyAlignment="1">
      <alignment horizontal="right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left" vertical="center" shrinkToFit="1"/>
    </xf>
    <xf numFmtId="165" fontId="4" fillId="8" borderId="56" xfId="0" applyNumberFormat="1" applyFont="1" applyFill="1" applyBorder="1" applyAlignment="1">
      <alignment vertical="center" shrinkToFit="1"/>
    </xf>
    <xf numFmtId="165" fontId="4" fillId="0" borderId="56" xfId="0" applyNumberFormat="1" applyFont="1" applyBorder="1" applyAlignment="1">
      <alignment vertical="center" shrinkToFit="1"/>
    </xf>
    <xf numFmtId="166" fontId="4" fillId="0" borderId="56" xfId="0" applyNumberFormat="1" applyFont="1" applyBorder="1" applyAlignment="1">
      <alignment horizontal="right" vertical="center" shrinkToFit="1"/>
    </xf>
    <xf numFmtId="165" fontId="4" fillId="16" borderId="56" xfId="0" applyNumberFormat="1" applyFont="1" applyFill="1" applyBorder="1" applyAlignment="1">
      <alignment vertical="center" shrinkToFit="1"/>
    </xf>
    <xf numFmtId="166" fontId="4" fillId="16" borderId="56" xfId="0" applyNumberFormat="1" applyFont="1" applyFill="1" applyBorder="1" applyAlignment="1">
      <alignment horizontal="right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left" vertical="center" shrinkToFit="1"/>
    </xf>
    <xf numFmtId="165" fontId="4" fillId="8" borderId="59" xfId="0" applyNumberFormat="1" applyFont="1" applyFill="1" applyBorder="1" applyAlignment="1">
      <alignment vertical="center" shrinkToFit="1"/>
    </xf>
    <xf numFmtId="165" fontId="4" fillId="0" borderId="59" xfId="0" applyNumberFormat="1" applyFont="1" applyBorder="1" applyAlignment="1">
      <alignment vertical="center" shrinkToFit="1"/>
    </xf>
    <xf numFmtId="166" fontId="4" fillId="0" borderId="59" xfId="0" applyNumberFormat="1" applyFont="1" applyBorder="1" applyAlignment="1">
      <alignment horizontal="right" vertical="center" shrinkToFit="1"/>
    </xf>
    <xf numFmtId="165" fontId="4" fillId="16" borderId="59" xfId="0" applyNumberFormat="1" applyFont="1" applyFill="1" applyBorder="1" applyAlignment="1">
      <alignment vertical="center" shrinkToFit="1"/>
    </xf>
    <xf numFmtId="166" fontId="4" fillId="16" borderId="59" xfId="0" applyNumberFormat="1" applyFont="1" applyFill="1" applyBorder="1" applyAlignment="1">
      <alignment horizontal="right" vertical="center" shrinkToFit="1"/>
    </xf>
    <xf numFmtId="165" fontId="4" fillId="9" borderId="47" xfId="0" applyNumberFormat="1" applyFont="1" applyFill="1" applyBorder="1" applyAlignment="1">
      <alignment vertical="center" shrinkToFit="1"/>
    </xf>
    <xf numFmtId="166" fontId="4" fillId="9" borderId="47" xfId="0" applyNumberFormat="1" applyFont="1" applyFill="1" applyBorder="1" applyAlignment="1">
      <alignment horizontal="right" vertical="center" shrinkToFi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left" vertical="center"/>
    </xf>
    <xf numFmtId="165" fontId="4" fillId="8" borderId="63" xfId="0" applyNumberFormat="1" applyFont="1" applyFill="1" applyBorder="1" applyAlignment="1">
      <alignment vertical="center" shrinkToFit="1"/>
    </xf>
    <xf numFmtId="165" fontId="4" fillId="0" borderId="63" xfId="0" applyNumberFormat="1" applyFont="1" applyBorder="1" applyAlignment="1">
      <alignment vertical="center" shrinkToFit="1"/>
    </xf>
    <xf numFmtId="166" fontId="4" fillId="0" borderId="63" xfId="0" applyNumberFormat="1" applyFont="1" applyBorder="1" applyAlignment="1">
      <alignment horizontal="right" vertical="center" shrinkToFit="1"/>
    </xf>
    <xf numFmtId="0" fontId="5" fillId="0" borderId="0" xfId="0" applyFont="1"/>
    <xf numFmtId="166" fontId="5" fillId="0" borderId="0" xfId="0" applyNumberFormat="1" applyFont="1" applyAlignment="1">
      <alignment horizontal="right" vertical="center"/>
    </xf>
    <xf numFmtId="166" fontId="4" fillId="0" borderId="0" xfId="0" applyNumberFormat="1" applyFont="1"/>
    <xf numFmtId="165" fontId="4" fillId="12" borderId="68" xfId="0" applyNumberFormat="1" applyFont="1" applyFill="1" applyBorder="1" applyAlignment="1">
      <alignment horizontal="center" vertical="center" wrapText="1"/>
    </xf>
    <xf numFmtId="165" fontId="4" fillId="2" borderId="35" xfId="0" applyNumberFormat="1" applyFont="1" applyFill="1" applyBorder="1" applyAlignment="1">
      <alignment horizontal="center" vertical="center" wrapText="1"/>
    </xf>
    <xf numFmtId="166" fontId="4" fillId="2" borderId="35" xfId="0" applyNumberFormat="1" applyFont="1" applyFill="1" applyBorder="1" applyAlignment="1">
      <alignment horizontal="center" vertical="center" wrapText="1"/>
    </xf>
    <xf numFmtId="165" fontId="4" fillId="8" borderId="69" xfId="0" applyNumberFormat="1" applyFont="1" applyFill="1" applyBorder="1" applyAlignment="1">
      <alignment horizontal="center" vertical="center" shrinkToFit="1"/>
    </xf>
    <xf numFmtId="166" fontId="4" fillId="13" borderId="40" xfId="0" applyNumberFormat="1" applyFont="1" applyFill="1" applyBorder="1" applyAlignment="1">
      <alignment horizontal="center" vertical="center" shrinkToFit="1"/>
    </xf>
    <xf numFmtId="166" fontId="4" fillId="2" borderId="40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166" fontId="4" fillId="9" borderId="43" xfId="0" applyNumberFormat="1" applyFont="1" applyFill="1" applyBorder="1" applyAlignment="1">
      <alignment vertical="center" shrinkToFit="1"/>
    </xf>
    <xf numFmtId="166" fontId="4" fillId="14" borderId="47" xfId="0" applyNumberFormat="1" applyFont="1" applyFill="1" applyBorder="1" applyAlignment="1">
      <alignment vertical="center" shrinkToFit="1"/>
    </xf>
    <xf numFmtId="165" fontId="4" fillId="15" borderId="30" xfId="0" applyNumberFormat="1" applyFont="1" applyFill="1" applyBorder="1" applyAlignment="1">
      <alignment vertical="center" shrinkToFit="1"/>
    </xf>
    <xf numFmtId="166" fontId="4" fillId="15" borderId="49" xfId="0" applyNumberFormat="1" applyFont="1" applyFill="1" applyBorder="1" applyAlignment="1">
      <alignment vertical="center" shrinkToFit="1"/>
    </xf>
    <xf numFmtId="166" fontId="4" fillId="15" borderId="30" xfId="0" applyNumberFormat="1" applyFont="1" applyFill="1" applyBorder="1" applyAlignment="1">
      <alignment horizontal="right" vertical="center" shrinkToFit="1"/>
    </xf>
    <xf numFmtId="166" fontId="4" fillId="15" borderId="30" xfId="0" applyNumberFormat="1" applyFont="1" applyFill="1" applyBorder="1" applyAlignment="1">
      <alignment vertical="center" shrinkToFit="1"/>
    </xf>
    <xf numFmtId="166" fontId="4" fillId="9" borderId="30" xfId="0" applyNumberFormat="1" applyFont="1" applyFill="1" applyBorder="1" applyAlignment="1">
      <alignment vertical="center" shrinkToFit="1"/>
    </xf>
    <xf numFmtId="166" fontId="4" fillId="0" borderId="53" xfId="0" applyNumberFormat="1" applyFont="1" applyBorder="1" applyAlignment="1">
      <alignment vertical="center" shrinkToFit="1"/>
    </xf>
    <xf numFmtId="166" fontId="4" fillId="0" borderId="56" xfId="0" applyNumberFormat="1" applyFont="1" applyBorder="1" applyAlignment="1">
      <alignment vertical="center" shrinkToFit="1"/>
    </xf>
    <xf numFmtId="166" fontId="4" fillId="0" borderId="59" xfId="0" applyNumberFormat="1" applyFont="1" applyBorder="1" applyAlignment="1">
      <alignment vertical="center" shrinkToFit="1"/>
    </xf>
    <xf numFmtId="166" fontId="4" fillId="9" borderId="47" xfId="0" applyNumberFormat="1" applyFont="1" applyFill="1" applyBorder="1" applyAlignment="1">
      <alignment vertical="center" shrinkToFit="1"/>
    </xf>
    <xf numFmtId="165" fontId="4" fillId="0" borderId="70" xfId="0" applyNumberFormat="1" applyFont="1" applyBorder="1" applyAlignment="1">
      <alignment vertical="center" shrinkToFit="1"/>
    </xf>
    <xf numFmtId="166" fontId="4" fillId="0" borderId="70" xfId="0" applyNumberFormat="1" applyFont="1" applyBorder="1" applyAlignment="1">
      <alignment horizontal="right" vertical="center" shrinkToFit="1"/>
    </xf>
    <xf numFmtId="166" fontId="4" fillId="0" borderId="63" xfId="0" applyNumberFormat="1" applyFont="1" applyBorder="1" applyAlignment="1">
      <alignment vertical="center" shrinkToFit="1"/>
    </xf>
    <xf numFmtId="166" fontId="5" fillId="0" borderId="0" xfId="0" applyNumberFormat="1" applyFont="1"/>
    <xf numFmtId="165" fontId="4" fillId="0" borderId="72" xfId="0" applyNumberFormat="1" applyFont="1" applyBorder="1"/>
    <xf numFmtId="166" fontId="4" fillId="0" borderId="72" xfId="0" applyNumberFormat="1" applyFont="1" applyBorder="1"/>
    <xf numFmtId="165" fontId="4" fillId="2" borderId="21" xfId="0" applyNumberFormat="1" applyFont="1" applyFill="1" applyBorder="1" applyAlignment="1">
      <alignment horizontal="center" vertical="center" shrinkToFit="1"/>
    </xf>
    <xf numFmtId="165" fontId="4" fillId="18" borderId="35" xfId="0" applyNumberFormat="1" applyFont="1" applyFill="1" applyBorder="1" applyAlignment="1">
      <alignment horizontal="center" vertical="center" shrinkToFit="1"/>
    </xf>
    <xf numFmtId="165" fontId="4" fillId="2" borderId="37" xfId="0" applyNumberFormat="1" applyFont="1" applyFill="1" applyBorder="1" applyAlignment="1">
      <alignment horizontal="center" vertical="center" shrinkToFit="1"/>
    </xf>
    <xf numFmtId="165" fontId="4" fillId="18" borderId="40" xfId="0" applyNumberFormat="1" applyFont="1" applyFill="1" applyBorder="1" applyAlignment="1">
      <alignment horizontal="center" vertical="center" shrinkToFit="1"/>
    </xf>
    <xf numFmtId="165" fontId="4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right"/>
    </xf>
    <xf numFmtId="165" fontId="4" fillId="8" borderId="40" xfId="0" applyNumberFormat="1" applyFont="1" applyFill="1" applyBorder="1" applyAlignment="1">
      <alignment horizontal="right" vertical="center" shrinkToFit="1"/>
    </xf>
    <xf numFmtId="165" fontId="4" fillId="11" borderId="40" xfId="0" applyNumberFormat="1" applyFont="1" applyFill="1" applyBorder="1" applyAlignment="1">
      <alignment horizontal="right" vertical="center" shrinkToFit="1"/>
    </xf>
    <xf numFmtId="167" fontId="4" fillId="12" borderId="40" xfId="0" applyNumberFormat="1" applyFont="1" applyFill="1" applyBorder="1" applyAlignment="1">
      <alignment horizontal="right" vertical="center" shrinkToFit="1"/>
    </xf>
    <xf numFmtId="165" fontId="4" fillId="9" borderId="43" xfId="0" applyNumberFormat="1" applyFont="1" applyFill="1" applyBorder="1" applyAlignment="1">
      <alignment horizontal="right" vertical="center" shrinkToFit="1"/>
    </xf>
    <xf numFmtId="167" fontId="4" fillId="9" borderId="43" xfId="0" applyNumberFormat="1" applyFont="1" applyFill="1" applyBorder="1" applyAlignment="1">
      <alignment horizontal="right" vertical="center" shrinkToFit="1"/>
    </xf>
    <xf numFmtId="165" fontId="4" fillId="14" borderId="47" xfId="0" applyNumberFormat="1" applyFont="1" applyFill="1" applyBorder="1" applyAlignment="1">
      <alignment horizontal="right" vertical="center" shrinkToFit="1"/>
    </xf>
    <xf numFmtId="167" fontId="4" fillId="14" borderId="47" xfId="0" applyNumberFormat="1" applyFont="1" applyFill="1" applyBorder="1" applyAlignment="1">
      <alignment horizontal="right" vertical="center" shrinkToFit="1"/>
    </xf>
    <xf numFmtId="165" fontId="4" fillId="15" borderId="30" xfId="0" applyNumberFormat="1" applyFont="1" applyFill="1" applyBorder="1" applyAlignment="1">
      <alignment horizontal="right" vertical="center" shrinkToFit="1"/>
    </xf>
    <xf numFmtId="167" fontId="4" fillId="15" borderId="30" xfId="0" applyNumberFormat="1" applyFont="1" applyFill="1" applyBorder="1" applyAlignment="1">
      <alignment horizontal="right" vertical="center" shrinkToFit="1"/>
    </xf>
    <xf numFmtId="165" fontId="4" fillId="9" borderId="30" xfId="0" applyNumberFormat="1" applyFont="1" applyFill="1" applyBorder="1" applyAlignment="1">
      <alignment horizontal="right" vertical="center" shrinkToFit="1"/>
    </xf>
    <xf numFmtId="167" fontId="4" fillId="9" borderId="30" xfId="0" applyNumberFormat="1" applyFont="1" applyFill="1" applyBorder="1" applyAlignment="1">
      <alignment horizontal="right" vertical="center" shrinkToFit="1"/>
    </xf>
    <xf numFmtId="165" fontId="4" fillId="8" borderId="53" xfId="0" applyNumberFormat="1" applyFont="1" applyFill="1" applyBorder="1" applyAlignment="1">
      <alignment horizontal="right" vertical="center" shrinkToFit="1"/>
    </xf>
    <xf numFmtId="165" fontId="4" fillId="0" borderId="53" xfId="0" applyNumberFormat="1" applyFont="1" applyBorder="1" applyAlignment="1">
      <alignment horizontal="right" vertical="center" shrinkToFit="1"/>
    </xf>
    <xf numFmtId="167" fontId="4" fillId="0" borderId="53" xfId="0" applyNumberFormat="1" applyFont="1" applyBorder="1" applyAlignment="1">
      <alignment horizontal="right" vertical="center" shrinkToFit="1"/>
    </xf>
    <xf numFmtId="167" fontId="4" fillId="0" borderId="82" xfId="0" applyNumberFormat="1" applyFont="1" applyBorder="1" applyAlignment="1">
      <alignment horizontal="right" vertical="center" wrapText="1"/>
    </xf>
    <xf numFmtId="165" fontId="4" fillId="8" borderId="56" xfId="0" applyNumberFormat="1" applyFont="1" applyFill="1" applyBorder="1" applyAlignment="1">
      <alignment horizontal="right" vertical="center" shrinkToFit="1"/>
    </xf>
    <xf numFmtId="165" fontId="4" fillId="0" borderId="56" xfId="0" applyNumberFormat="1" applyFont="1" applyBorder="1" applyAlignment="1">
      <alignment horizontal="right" vertical="center" shrinkToFit="1"/>
    </xf>
    <xf numFmtId="167" fontId="4" fillId="0" borderId="56" xfId="0" applyNumberFormat="1" applyFont="1" applyBorder="1" applyAlignment="1">
      <alignment horizontal="right" vertical="center" shrinkToFit="1"/>
    </xf>
    <xf numFmtId="167" fontId="4" fillId="0" borderId="83" xfId="0" applyNumberFormat="1" applyFont="1" applyBorder="1" applyAlignment="1">
      <alignment horizontal="right" vertical="center" wrapText="1"/>
    </xf>
    <xf numFmtId="167" fontId="4" fillId="0" borderId="56" xfId="0" applyNumberFormat="1" applyFont="1" applyBorder="1" applyAlignment="1">
      <alignment horizontal="right" vertical="center" wrapText="1"/>
    </xf>
    <xf numFmtId="165" fontId="4" fillId="8" borderId="59" xfId="0" applyNumberFormat="1" applyFont="1" applyFill="1" applyBorder="1" applyAlignment="1">
      <alignment horizontal="right" vertical="center" shrinkToFit="1"/>
    </xf>
    <xf numFmtId="165" fontId="4" fillId="0" borderId="59" xfId="0" applyNumberFormat="1" applyFont="1" applyBorder="1" applyAlignment="1">
      <alignment horizontal="right" vertical="center" shrinkToFit="1"/>
    </xf>
    <xf numFmtId="167" fontId="4" fillId="0" borderId="59" xfId="0" applyNumberFormat="1" applyFont="1" applyBorder="1" applyAlignment="1">
      <alignment horizontal="right" vertical="center" shrinkToFit="1"/>
    </xf>
    <xf numFmtId="167" fontId="4" fillId="0" borderId="59" xfId="0" applyNumberFormat="1" applyFont="1" applyBorder="1" applyAlignment="1">
      <alignment horizontal="right" vertical="center" wrapText="1"/>
    </xf>
    <xf numFmtId="165" fontId="4" fillId="9" borderId="47" xfId="0" applyNumberFormat="1" applyFont="1" applyFill="1" applyBorder="1" applyAlignment="1">
      <alignment horizontal="right" vertical="center" shrinkToFit="1"/>
    </xf>
    <xf numFmtId="167" fontId="4" fillId="9" borderId="47" xfId="0" applyNumberFormat="1" applyFont="1" applyFill="1" applyBorder="1" applyAlignment="1">
      <alignment horizontal="right" vertical="center" shrinkToFit="1"/>
    </xf>
    <xf numFmtId="167" fontId="4" fillId="0" borderId="53" xfId="0" applyNumberFormat="1" applyFont="1" applyBorder="1" applyAlignment="1">
      <alignment horizontal="right" vertical="center" wrapText="1"/>
    </xf>
    <xf numFmtId="165" fontId="4" fillId="8" borderId="63" xfId="0" applyNumberFormat="1" applyFont="1" applyFill="1" applyBorder="1" applyAlignment="1">
      <alignment horizontal="right" vertical="center" shrinkToFit="1"/>
    </xf>
    <xf numFmtId="165" fontId="4" fillId="0" borderId="63" xfId="0" applyNumberFormat="1" applyFont="1" applyBorder="1" applyAlignment="1">
      <alignment horizontal="right" vertical="center" shrinkToFit="1"/>
    </xf>
    <xf numFmtId="167" fontId="4" fillId="0" borderId="63" xfId="0" applyNumberFormat="1" applyFont="1" applyBorder="1" applyAlignment="1">
      <alignment horizontal="right" vertical="center" shrinkToFit="1"/>
    </xf>
    <xf numFmtId="165" fontId="4" fillId="10" borderId="40" xfId="0" applyNumberFormat="1" applyFont="1" applyFill="1" applyBorder="1" applyAlignment="1">
      <alignment horizontal="right" vertical="center" shrinkToFit="1"/>
    </xf>
    <xf numFmtId="167" fontId="4" fillId="0" borderId="0" xfId="0" applyNumberFormat="1" applyFont="1"/>
    <xf numFmtId="167" fontId="4" fillId="12" borderId="84" xfId="0" applyNumberFormat="1" applyFont="1" applyFill="1" applyBorder="1" applyAlignment="1">
      <alignment horizontal="center" vertical="center" wrapText="1"/>
    </xf>
    <xf numFmtId="165" fontId="4" fillId="12" borderId="17" xfId="0" applyNumberFormat="1" applyFont="1" applyFill="1" applyBorder="1" applyAlignment="1">
      <alignment horizontal="center" vertical="center" shrinkToFit="1"/>
    </xf>
    <xf numFmtId="165" fontId="4" fillId="12" borderId="88" xfId="0" applyNumberFormat="1" applyFont="1" applyFill="1" applyBorder="1" applyAlignment="1">
      <alignment horizontal="center" vertical="center" shrinkToFit="1"/>
    </xf>
    <xf numFmtId="165" fontId="4" fillId="12" borderId="35" xfId="0" applyNumberFormat="1" applyFont="1" applyFill="1" applyBorder="1" applyAlignment="1">
      <alignment horizontal="center" vertical="center" shrinkToFit="1"/>
    </xf>
    <xf numFmtId="165" fontId="4" fillId="8" borderId="98" xfId="1" applyNumberFormat="1" applyFont="1" applyFill="1" applyBorder="1" applyAlignment="1">
      <alignment horizontal="center" vertical="center" shrinkToFit="1"/>
    </xf>
    <xf numFmtId="165" fontId="4" fillId="11" borderId="31" xfId="1" applyNumberFormat="1" applyFont="1" applyFill="1" applyBorder="1" applyAlignment="1">
      <alignment horizontal="center" vertical="center" shrinkToFit="1"/>
    </xf>
    <xf numFmtId="165" fontId="4" fillId="8" borderId="99" xfId="1" applyNumberFormat="1" applyFont="1" applyFill="1" applyBorder="1" applyAlignment="1">
      <alignment horizontal="center" vertical="center" shrinkToFit="1"/>
    </xf>
    <xf numFmtId="165" fontId="4" fillId="11" borderId="36" xfId="1" applyNumberFormat="1" applyFont="1" applyFill="1" applyBorder="1" applyAlignment="1">
      <alignment horizontal="center" vertical="center" shrinkToFit="1"/>
    </xf>
    <xf numFmtId="165" fontId="4" fillId="13" borderId="37" xfId="1" applyNumberFormat="1" applyFont="1" applyFill="1" applyBorder="1" applyAlignment="1">
      <alignment horizontal="center" vertical="center" shrinkToFit="1"/>
    </xf>
    <xf numFmtId="166" fontId="4" fillId="13" borderId="37" xfId="1" applyNumberFormat="1" applyFont="1" applyFill="1" applyBorder="1" applyAlignment="1">
      <alignment horizontal="center" vertical="center" shrinkToFit="1"/>
    </xf>
    <xf numFmtId="165" fontId="4" fillId="12" borderId="36" xfId="1" applyNumberFormat="1" applyFont="1" applyFill="1" applyBorder="1" applyAlignment="1">
      <alignment horizontal="center" vertical="center" wrapText="1"/>
    </xf>
    <xf numFmtId="165" fontId="4" fillId="2" borderId="37" xfId="1" applyNumberFormat="1" applyFont="1" applyFill="1" applyBorder="1" applyAlignment="1">
      <alignment horizontal="center" vertical="center" wrapText="1"/>
    </xf>
    <xf numFmtId="166" fontId="4" fillId="2" borderId="37" xfId="1" applyNumberFormat="1" applyFont="1" applyFill="1" applyBorder="1" applyAlignment="1">
      <alignment horizontal="center" vertical="center" wrapText="1"/>
    </xf>
    <xf numFmtId="165" fontId="4" fillId="12" borderId="36" xfId="1" applyNumberFormat="1" applyFont="1" applyFill="1" applyBorder="1" applyAlignment="1">
      <alignment horizontal="center" vertical="center" shrinkToFit="1"/>
    </xf>
    <xf numFmtId="165" fontId="4" fillId="2" borderId="36" xfId="1" applyNumberFormat="1" applyFont="1" applyFill="1" applyBorder="1" applyAlignment="1">
      <alignment horizontal="center" vertical="center" wrapText="1"/>
    </xf>
    <xf numFmtId="166" fontId="4" fillId="2" borderId="36" xfId="1" applyNumberFormat="1" applyFont="1" applyFill="1" applyBorder="1" applyAlignment="1">
      <alignment horizontal="center" vertical="center" wrapText="1"/>
    </xf>
    <xf numFmtId="165" fontId="4" fillId="2" borderId="89" xfId="1" applyNumberFormat="1" applyFont="1" applyFill="1" applyBorder="1" applyAlignment="1">
      <alignment horizontal="center" vertical="center" wrapText="1"/>
    </xf>
    <xf numFmtId="169" fontId="4" fillId="16" borderId="116" xfId="1" applyNumberFormat="1" applyFont="1" applyFill="1" applyAlignment="1">
      <alignment horizontal="center" vertical="center" shrinkToFit="1"/>
    </xf>
    <xf numFmtId="165" fontId="4" fillId="13" borderId="102" xfId="1" applyNumberFormat="1" applyFont="1" applyFill="1" applyBorder="1" applyAlignment="1">
      <alignment horizontal="center" vertical="center" shrinkToFit="1"/>
    </xf>
    <xf numFmtId="166" fontId="4" fillId="13" borderId="102" xfId="1" applyNumberFormat="1" applyFont="1" applyFill="1" applyBorder="1" applyAlignment="1">
      <alignment horizontal="center" vertical="center" shrinkToFit="1"/>
    </xf>
    <xf numFmtId="165" fontId="4" fillId="12" borderId="102" xfId="1" applyNumberFormat="1" applyFont="1" applyFill="1" applyBorder="1" applyAlignment="1">
      <alignment horizontal="center" vertical="center" shrinkToFit="1"/>
    </xf>
    <xf numFmtId="166" fontId="4" fillId="2" borderId="139" xfId="1" applyNumberFormat="1" applyFont="1" applyFill="1" applyBorder="1" applyAlignment="1">
      <alignment horizontal="center" vertical="center" shrinkToFit="1"/>
    </xf>
    <xf numFmtId="165" fontId="4" fillId="12" borderId="139" xfId="1" applyNumberFormat="1" applyFont="1" applyFill="1" applyBorder="1" applyAlignment="1">
      <alignment horizontal="center" vertical="center" shrinkToFit="1"/>
    </xf>
    <xf numFmtId="165" fontId="4" fillId="2" borderId="139" xfId="1" applyNumberFormat="1" applyFont="1" applyFill="1" applyBorder="1" applyAlignment="1">
      <alignment horizontal="center" vertical="center" shrinkToFit="1"/>
    </xf>
    <xf numFmtId="166" fontId="4" fillId="2" borderId="102" xfId="1" applyNumberFormat="1" applyFont="1" applyFill="1" applyBorder="1" applyAlignment="1">
      <alignment horizontal="center" vertical="center" shrinkToFit="1"/>
    </xf>
    <xf numFmtId="0" fontId="4" fillId="9" borderId="95" xfId="1" applyFont="1" applyFill="1" applyBorder="1" applyAlignment="1">
      <alignment horizontal="left" vertical="center"/>
    </xf>
    <xf numFmtId="0" fontId="4" fillId="9" borderId="129" xfId="1" applyFont="1" applyFill="1" applyBorder="1" applyAlignment="1">
      <alignment horizontal="left" vertical="center"/>
    </xf>
    <xf numFmtId="165" fontId="4" fillId="9" borderId="103" xfId="1" applyNumberFormat="1" applyFont="1" applyFill="1" applyBorder="1" applyAlignment="1">
      <alignment vertical="center" shrinkToFit="1"/>
    </xf>
    <xf numFmtId="165" fontId="4" fillId="9" borderId="139" xfId="1" applyNumberFormat="1" applyFont="1" applyFill="1" applyBorder="1" applyAlignment="1">
      <alignment vertical="center" shrinkToFit="1"/>
    </xf>
    <xf numFmtId="166" fontId="4" fillId="9" borderId="139" xfId="1" applyNumberFormat="1" applyFont="1" applyFill="1" applyBorder="1" applyAlignment="1">
      <alignment vertical="center" shrinkToFit="1"/>
    </xf>
    <xf numFmtId="166" fontId="4" fillId="9" borderId="47" xfId="1" applyNumberFormat="1" applyFont="1" applyFill="1" applyBorder="1" applyAlignment="1">
      <alignment vertical="center" shrinkToFit="1"/>
    </xf>
    <xf numFmtId="165" fontId="4" fillId="9" borderId="47" xfId="1" applyNumberFormat="1" applyFont="1" applyFill="1" applyBorder="1" applyAlignment="1">
      <alignment vertical="center" shrinkToFit="1"/>
    </xf>
    <xf numFmtId="169" fontId="5" fillId="16" borderId="116" xfId="1" applyNumberFormat="1" applyFont="1" applyFill="1" applyAlignment="1">
      <alignment vertical="center" shrinkToFit="1"/>
    </xf>
    <xf numFmtId="0" fontId="4" fillId="14" borderId="50" xfId="1" applyFont="1" applyFill="1" applyBorder="1" applyAlignment="1">
      <alignment horizontal="left" vertical="center"/>
    </xf>
    <xf numFmtId="0" fontId="4" fillId="14" borderId="46" xfId="1" applyFont="1" applyFill="1" applyBorder="1" applyAlignment="1">
      <alignment horizontal="left" vertical="center"/>
    </xf>
    <xf numFmtId="165" fontId="4" fillId="14" borderId="104" xfId="1" applyNumberFormat="1" applyFont="1" applyFill="1" applyBorder="1" applyAlignment="1">
      <alignment vertical="center" shrinkToFit="1"/>
    </xf>
    <xf numFmtId="165" fontId="4" fillId="14" borderId="47" xfId="1" applyNumberFormat="1" applyFont="1" applyFill="1" applyBorder="1" applyAlignment="1">
      <alignment vertical="center" shrinkToFit="1"/>
    </xf>
    <xf numFmtId="166" fontId="4" fillId="14" borderId="47" xfId="1" applyNumberFormat="1" applyFont="1" applyFill="1" applyBorder="1" applyAlignment="1">
      <alignment vertical="center" shrinkToFit="1"/>
    </xf>
    <xf numFmtId="169" fontId="4" fillId="16" borderId="116" xfId="1" applyNumberFormat="1" applyFont="1" applyFill="1" applyAlignment="1">
      <alignment vertical="center" shrinkToFit="1"/>
    </xf>
    <xf numFmtId="0" fontId="4" fillId="15" borderId="50" xfId="1" applyFont="1" applyFill="1" applyBorder="1" applyAlignment="1">
      <alignment horizontal="left" vertical="center"/>
    </xf>
    <xf numFmtId="0" fontId="4" fillId="15" borderId="46" xfId="1" applyFont="1" applyFill="1" applyBorder="1" applyAlignment="1">
      <alignment horizontal="left" vertical="center"/>
    </xf>
    <xf numFmtId="165" fontId="4" fillId="15" borderId="98" xfId="1" applyNumberFormat="1" applyFont="1" applyFill="1" applyBorder="1" applyAlignment="1">
      <alignment vertical="center" shrinkToFit="1"/>
    </xf>
    <xf numFmtId="165" fontId="4" fillId="15" borderId="31" xfId="1" applyNumberFormat="1" applyFont="1" applyFill="1" applyBorder="1" applyAlignment="1">
      <alignment vertical="center" shrinkToFit="1"/>
    </xf>
    <xf numFmtId="166" fontId="4" fillId="15" borderId="31" xfId="1" applyNumberFormat="1" applyFont="1" applyFill="1" applyBorder="1" applyAlignment="1">
      <alignment vertical="center" shrinkToFit="1"/>
    </xf>
    <xf numFmtId="165" fontId="4" fillId="9" borderId="104" xfId="1" applyNumberFormat="1" applyFont="1" applyFill="1" applyBorder="1" applyAlignment="1">
      <alignment vertical="center" shrinkToFit="1"/>
    </xf>
    <xf numFmtId="0" fontId="5" fillId="0" borderId="52" xfId="1" applyFont="1" applyBorder="1" applyAlignment="1">
      <alignment horizontal="left" vertical="center" shrinkToFit="1"/>
    </xf>
    <xf numFmtId="166" fontId="4" fillId="0" borderId="53" xfId="1" applyNumberFormat="1" applyFont="1" applyBorder="1" applyAlignment="1">
      <alignment vertical="center" shrinkToFit="1"/>
    </xf>
    <xf numFmtId="165" fontId="4" fillId="0" borderId="53" xfId="1" applyNumberFormat="1" applyFont="1" applyBorder="1" applyAlignment="1">
      <alignment vertical="center" shrinkToFit="1"/>
    </xf>
    <xf numFmtId="0" fontId="5" fillId="0" borderId="55" xfId="1" applyFont="1" applyBorder="1" applyAlignment="1">
      <alignment horizontal="left" vertical="center" shrinkToFit="1"/>
    </xf>
    <xf numFmtId="0" fontId="5" fillId="0" borderId="58" xfId="1" applyFont="1" applyBorder="1" applyAlignment="1">
      <alignment horizontal="left" vertical="center" shrinkToFit="1"/>
    </xf>
    <xf numFmtId="0" fontId="4" fillId="16" borderId="116" xfId="1" applyFont="1" applyFill="1" applyAlignment="1">
      <alignment horizontal="left"/>
    </xf>
    <xf numFmtId="0" fontId="4" fillId="16" borderId="116" xfId="1" applyFont="1" applyFill="1"/>
    <xf numFmtId="165" fontId="4" fillId="16" borderId="116" xfId="1" applyNumberFormat="1" applyFont="1" applyFill="1"/>
    <xf numFmtId="166" fontId="4" fillId="16" borderId="116" xfId="1" applyNumberFormat="1" applyFont="1" applyFill="1"/>
    <xf numFmtId="0" fontId="4" fillId="16" borderId="116" xfId="1" applyFont="1" applyFill="1" applyAlignment="1">
      <alignment horizontal="center"/>
    </xf>
    <xf numFmtId="166" fontId="4" fillId="16" borderId="116" xfId="1" applyNumberFormat="1" applyFont="1" applyFill="1" applyAlignment="1">
      <alignment horizontal="center"/>
    </xf>
    <xf numFmtId="169" fontId="4" fillId="16" borderId="116" xfId="1" applyNumberFormat="1" applyFont="1" applyFill="1"/>
    <xf numFmtId="0" fontId="5" fillId="0" borderId="116" xfId="1" applyFont="1"/>
    <xf numFmtId="169" fontId="4" fillId="16" borderId="116" xfId="1" applyNumberFormat="1" applyFont="1" applyFill="1" applyAlignment="1">
      <alignment horizontal="center" vertical="center"/>
    </xf>
    <xf numFmtId="169" fontId="4" fillId="16" borderId="116" xfId="1" applyNumberFormat="1" applyFont="1" applyFill="1" applyAlignment="1">
      <alignment horizontal="center" vertical="top" shrinkToFit="1"/>
    </xf>
    <xf numFmtId="167" fontId="4" fillId="12" borderId="31" xfId="1" applyNumberFormat="1" applyFont="1" applyFill="1" applyBorder="1" applyAlignment="1">
      <alignment horizontal="center" vertical="center" shrinkToFit="1"/>
    </xf>
    <xf numFmtId="167" fontId="4" fillId="12" borderId="139" xfId="1" applyNumberFormat="1" applyFont="1" applyFill="1" applyBorder="1" applyAlignment="1">
      <alignment horizontal="center" vertical="center" shrinkToFit="1"/>
    </xf>
    <xf numFmtId="165" fontId="4" fillId="2" borderId="47" xfId="1" applyNumberFormat="1" applyFont="1" applyFill="1" applyBorder="1" applyAlignment="1">
      <alignment horizontal="center" vertical="center" shrinkToFit="1"/>
    </xf>
    <xf numFmtId="165" fontId="4" fillId="8" borderId="101" xfId="1" applyNumberFormat="1" applyFont="1" applyFill="1" applyBorder="1" applyAlignment="1">
      <alignment horizontal="center" vertical="center" shrinkToFit="1"/>
    </xf>
    <xf numFmtId="165" fontId="4" fillId="10" borderId="102" xfId="1" applyNumberFormat="1" applyFont="1" applyFill="1" applyBorder="1" applyAlignment="1">
      <alignment horizontal="center" vertical="center" shrinkToFit="1"/>
    </xf>
    <xf numFmtId="165" fontId="4" fillId="11" borderId="102" xfId="1" applyNumberFormat="1" applyFont="1" applyFill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165" fontId="4" fillId="8" borderId="51" xfId="1" applyNumberFormat="1" applyFont="1" applyFill="1" applyBorder="1" applyAlignment="1">
      <alignment vertical="center" shrinkToFit="1"/>
    </xf>
    <xf numFmtId="165" fontId="4" fillId="16" borderId="53" xfId="1" applyNumberFormat="1" applyFont="1" applyFill="1" applyBorder="1" applyAlignment="1">
      <alignment vertical="center" shrinkToFit="1"/>
    </xf>
    <xf numFmtId="166" fontId="4" fillId="16" borderId="53" xfId="1" applyNumberFormat="1" applyFont="1" applyFill="1" applyBorder="1" applyAlignment="1">
      <alignment vertical="center" shrinkToFit="1"/>
    </xf>
    <xf numFmtId="0" fontId="5" fillId="0" borderId="56" xfId="1" applyFont="1" applyBorder="1" applyAlignment="1">
      <alignment horizontal="center" vertical="center" shrinkToFit="1"/>
    </xf>
    <xf numFmtId="165" fontId="4" fillId="8" borderId="54" xfId="1" applyNumberFormat="1" applyFont="1" applyFill="1" applyBorder="1" applyAlignment="1">
      <alignment vertical="center" shrinkToFit="1"/>
    </xf>
    <xf numFmtId="165" fontId="4" fillId="0" borderId="56" xfId="1" applyNumberFormat="1" applyFont="1" applyBorder="1" applyAlignment="1">
      <alignment vertical="center" shrinkToFit="1"/>
    </xf>
    <xf numFmtId="166" fontId="4" fillId="0" borderId="56" xfId="1" applyNumberFormat="1" applyFont="1" applyBorder="1" applyAlignment="1">
      <alignment vertical="center" shrinkToFit="1"/>
    </xf>
    <xf numFmtId="165" fontId="4" fillId="16" borderId="56" xfId="1" applyNumberFormat="1" applyFont="1" applyFill="1" applyBorder="1" applyAlignment="1">
      <alignment vertical="center" shrinkToFit="1"/>
    </xf>
    <xf numFmtId="166" fontId="4" fillId="16" borderId="56" xfId="1" applyNumberFormat="1" applyFont="1" applyFill="1" applyBorder="1" applyAlignment="1">
      <alignment vertical="center" shrinkToFit="1"/>
    </xf>
    <xf numFmtId="0" fontId="5" fillId="0" borderId="59" xfId="1" applyFont="1" applyBorder="1" applyAlignment="1">
      <alignment horizontal="center" vertical="center" shrinkToFit="1"/>
    </xf>
    <xf numFmtId="165" fontId="4" fillId="0" borderId="59" xfId="1" applyNumberFormat="1" applyFont="1" applyBorder="1" applyAlignment="1">
      <alignment vertical="center" shrinkToFit="1"/>
    </xf>
    <xf numFmtId="166" fontId="4" fillId="0" borderId="59" xfId="1" applyNumberFormat="1" applyFont="1" applyBorder="1" applyAlignment="1">
      <alignment vertical="center" shrinkToFit="1"/>
    </xf>
    <xf numFmtId="165" fontId="4" fillId="16" borderId="59" xfId="1" applyNumberFormat="1" applyFont="1" applyFill="1" applyBorder="1" applyAlignment="1">
      <alignment vertical="center" shrinkToFit="1"/>
    </xf>
    <xf numFmtId="166" fontId="4" fillId="16" borderId="59" xfId="1" applyNumberFormat="1" applyFont="1" applyFill="1" applyBorder="1" applyAlignment="1">
      <alignment vertical="center" shrinkToFit="1"/>
    </xf>
    <xf numFmtId="0" fontId="4" fillId="0" borderId="53" xfId="1" applyFont="1" applyBorder="1" applyAlignment="1">
      <alignment horizontal="center" vertical="center"/>
    </xf>
    <xf numFmtId="0" fontId="4" fillId="0" borderId="52" xfId="1" applyFont="1" applyBorder="1" applyAlignment="1">
      <alignment horizontal="left" vertical="center"/>
    </xf>
    <xf numFmtId="0" fontId="4" fillId="0" borderId="56" xfId="1" applyFont="1" applyBorder="1" applyAlignment="1">
      <alignment horizontal="center" vertical="center"/>
    </xf>
    <xf numFmtId="0" fontId="4" fillId="0" borderId="55" xfId="1" applyFont="1" applyBorder="1" applyAlignment="1">
      <alignment horizontal="left" vertical="center"/>
    </xf>
    <xf numFmtId="0" fontId="4" fillId="0" borderId="59" xfId="1" applyFont="1" applyBorder="1" applyAlignment="1">
      <alignment horizontal="center" vertical="center"/>
    </xf>
    <xf numFmtId="0" fontId="4" fillId="0" borderId="58" xfId="1" applyFont="1" applyBorder="1" applyAlignment="1">
      <alignment horizontal="left" vertical="center"/>
    </xf>
    <xf numFmtId="165" fontId="4" fillId="8" borderId="62" xfId="1" applyNumberFormat="1" applyFont="1" applyFill="1" applyBorder="1" applyAlignment="1">
      <alignment vertical="center" shrinkToFit="1"/>
    </xf>
    <xf numFmtId="165" fontId="4" fillId="0" borderId="63" xfId="1" applyNumberFormat="1" applyFont="1" applyBorder="1" applyAlignment="1">
      <alignment vertical="center" shrinkToFit="1"/>
    </xf>
    <xf numFmtId="166" fontId="4" fillId="0" borderId="63" xfId="1" applyNumberFormat="1" applyFont="1" applyBorder="1" applyAlignment="1">
      <alignment vertical="center" shrinkToFit="1"/>
    </xf>
    <xf numFmtId="165" fontId="4" fillId="16" borderId="63" xfId="1" applyNumberFormat="1" applyFont="1" applyFill="1" applyBorder="1" applyAlignment="1">
      <alignment vertical="center" shrinkToFit="1"/>
    </xf>
    <xf numFmtId="166" fontId="4" fillId="16" borderId="63" xfId="1" applyNumberFormat="1" applyFont="1" applyFill="1" applyBorder="1" applyAlignment="1">
      <alignment vertical="center" shrinkToFit="1"/>
    </xf>
    <xf numFmtId="165" fontId="4" fillId="8" borderId="99" xfId="0" applyNumberFormat="1" applyFont="1" applyFill="1" applyBorder="1" applyAlignment="1">
      <alignment horizontal="center" vertical="center" shrinkToFit="1"/>
    </xf>
    <xf numFmtId="165" fontId="4" fillId="12" borderId="37" xfId="0" applyNumberFormat="1" applyFont="1" applyFill="1" applyBorder="1" applyAlignment="1">
      <alignment horizontal="center" vertical="center" shrinkToFit="1"/>
    </xf>
    <xf numFmtId="166" fontId="4" fillId="2" borderId="8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5" fontId="4" fillId="13" borderId="102" xfId="0" applyNumberFormat="1" applyFont="1" applyFill="1" applyBorder="1" applyAlignment="1">
      <alignment horizontal="center" vertical="center" shrinkToFit="1"/>
    </xf>
    <xf numFmtId="166" fontId="4" fillId="13" borderId="102" xfId="0" applyNumberFormat="1" applyFont="1" applyFill="1" applyBorder="1" applyAlignment="1">
      <alignment horizontal="center" vertical="center" shrinkToFit="1"/>
    </xf>
    <xf numFmtId="165" fontId="4" fillId="12" borderId="43" xfId="0" applyNumberFormat="1" applyFont="1" applyFill="1" applyBorder="1" applyAlignment="1">
      <alignment horizontal="center" vertical="center" shrinkToFit="1"/>
    </xf>
    <xf numFmtId="165" fontId="4" fillId="2" borderId="43" xfId="0" applyNumberFormat="1" applyFont="1" applyFill="1" applyBorder="1" applyAlignment="1">
      <alignment horizontal="center" vertical="center" shrinkToFit="1"/>
    </xf>
    <xf numFmtId="166" fontId="4" fillId="2" borderId="102" xfId="0" applyNumberFormat="1" applyFont="1" applyFill="1" applyBorder="1" applyAlignment="1">
      <alignment horizontal="center" vertical="center" shrinkToFit="1"/>
    </xf>
    <xf numFmtId="165" fontId="4" fillId="2" borderId="102" xfId="0" applyNumberFormat="1" applyFont="1" applyFill="1" applyBorder="1" applyAlignment="1">
      <alignment horizontal="center" vertical="center" shrinkToFit="1"/>
    </xf>
    <xf numFmtId="165" fontId="4" fillId="9" borderId="103" xfId="0" applyNumberFormat="1" applyFont="1" applyFill="1" applyBorder="1" applyAlignment="1">
      <alignment vertical="center" shrinkToFit="1"/>
    </xf>
    <xf numFmtId="166" fontId="4" fillId="9" borderId="109" xfId="0" applyNumberFormat="1" applyFont="1" applyFill="1" applyBorder="1" applyAlignment="1">
      <alignment vertical="center" shrinkToFit="1"/>
    </xf>
    <xf numFmtId="165" fontId="4" fillId="14" borderId="104" xfId="0" applyNumberFormat="1" applyFont="1" applyFill="1" applyBorder="1" applyAlignment="1">
      <alignment vertical="center" shrinkToFit="1"/>
    </xf>
    <xf numFmtId="166" fontId="4" fillId="14" borderId="110" xfId="0" applyNumberFormat="1" applyFont="1" applyFill="1" applyBorder="1" applyAlignment="1">
      <alignment vertical="center" shrinkToFit="1"/>
    </xf>
    <xf numFmtId="0" fontId="4" fillId="15" borderId="46" xfId="0" applyFont="1" applyFill="1" applyBorder="1" applyAlignment="1">
      <alignment horizontal="left" vertical="center"/>
    </xf>
    <xf numFmtId="165" fontId="4" fillId="15" borderId="98" xfId="0" applyNumberFormat="1" applyFont="1" applyFill="1" applyBorder="1" applyAlignment="1">
      <alignment vertical="center" shrinkToFit="1"/>
    </xf>
    <xf numFmtId="166" fontId="4" fillId="15" borderId="111" xfId="0" applyNumberFormat="1" applyFont="1" applyFill="1" applyBorder="1" applyAlignment="1">
      <alignment vertical="center" shrinkToFit="1"/>
    </xf>
    <xf numFmtId="165" fontId="4" fillId="9" borderId="104" xfId="0" applyNumberFormat="1" applyFont="1" applyFill="1" applyBorder="1" applyAlignment="1">
      <alignment vertical="center" shrinkToFit="1"/>
    </xf>
    <xf numFmtId="166" fontId="4" fillId="9" borderId="110" xfId="0" applyNumberFormat="1" applyFont="1" applyFill="1" applyBorder="1" applyAlignment="1">
      <alignment vertical="center" shrinkToFit="1"/>
    </xf>
    <xf numFmtId="0" fontId="4" fillId="16" borderId="17" xfId="0" applyFont="1" applyFill="1" applyBorder="1" applyAlignment="1">
      <alignment horizontal="left"/>
    </xf>
    <xf numFmtId="0" fontId="4" fillId="16" borderId="17" xfId="0" applyFont="1" applyFill="1" applyBorder="1"/>
    <xf numFmtId="165" fontId="4" fillId="16" borderId="17" xfId="0" applyNumberFormat="1" applyFont="1" applyFill="1" applyBorder="1"/>
    <xf numFmtId="166" fontId="4" fillId="16" borderId="17" xfId="0" applyNumberFormat="1" applyFont="1" applyFill="1" applyBorder="1"/>
    <xf numFmtId="0" fontId="5" fillId="16" borderId="17" xfId="0" applyFont="1" applyFill="1" applyBorder="1"/>
    <xf numFmtId="0" fontId="5" fillId="0" borderId="0" xfId="0" applyFont="1" applyAlignment="1">
      <alignment wrapText="1"/>
    </xf>
    <xf numFmtId="165" fontId="4" fillId="8" borderId="98" xfId="0" applyNumberFormat="1" applyFont="1" applyFill="1" applyBorder="1" applyAlignment="1">
      <alignment horizontal="center" vertical="center" shrinkToFit="1"/>
    </xf>
    <xf numFmtId="167" fontId="4" fillId="12" borderId="30" xfId="0" applyNumberFormat="1" applyFont="1" applyFill="1" applyBorder="1" applyAlignment="1">
      <alignment horizontal="center" vertical="center" shrinkToFit="1"/>
    </xf>
    <xf numFmtId="165" fontId="4" fillId="8" borderId="101" xfId="0" applyNumberFormat="1" applyFont="1" applyFill="1" applyBorder="1" applyAlignment="1">
      <alignment horizontal="center" vertical="center" shrinkToFit="1"/>
    </xf>
    <xf numFmtId="165" fontId="4" fillId="10" borderId="102" xfId="0" applyNumberFormat="1" applyFont="1" applyFill="1" applyBorder="1" applyAlignment="1">
      <alignment horizontal="center" vertical="center" shrinkToFit="1"/>
    </xf>
    <xf numFmtId="165" fontId="4" fillId="11" borderId="102" xfId="0" applyNumberFormat="1" applyFont="1" applyFill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left" vertical="center" shrinkToFit="1"/>
    </xf>
    <xf numFmtId="165" fontId="4" fillId="8" borderId="51" xfId="0" applyNumberFormat="1" applyFont="1" applyFill="1" applyBorder="1" applyAlignment="1">
      <alignment vertical="center" shrinkToFit="1"/>
    </xf>
    <xf numFmtId="166" fontId="4" fillId="16" borderId="53" xfId="0" applyNumberFormat="1" applyFont="1" applyFill="1" applyBorder="1" applyAlignment="1">
      <alignment vertical="center" shrinkToFit="1"/>
    </xf>
    <xf numFmtId="166" fontId="4" fillId="0" borderId="112" xfId="0" applyNumberFormat="1" applyFont="1" applyBorder="1" applyAlignment="1">
      <alignment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left" vertical="center" shrinkToFit="1"/>
    </xf>
    <xf numFmtId="165" fontId="4" fillId="8" borderId="54" xfId="0" applyNumberFormat="1" applyFont="1" applyFill="1" applyBorder="1" applyAlignment="1">
      <alignment vertical="center" shrinkToFit="1"/>
    </xf>
    <xf numFmtId="166" fontId="4" fillId="16" borderId="56" xfId="0" applyNumberFormat="1" applyFont="1" applyFill="1" applyBorder="1" applyAlignment="1">
      <alignment vertical="center" shrinkToFit="1"/>
    </xf>
    <xf numFmtId="166" fontId="4" fillId="0" borderId="113" xfId="0" applyNumberFormat="1" applyFont="1" applyBorder="1" applyAlignment="1">
      <alignment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left" vertical="center" shrinkToFit="1"/>
    </xf>
    <xf numFmtId="165" fontId="4" fillId="8" borderId="57" xfId="0" applyNumberFormat="1" applyFont="1" applyFill="1" applyBorder="1" applyAlignment="1">
      <alignment vertical="center" shrinkToFit="1"/>
    </xf>
    <xf numFmtId="166" fontId="4" fillId="16" borderId="59" xfId="0" applyNumberFormat="1" applyFont="1" applyFill="1" applyBorder="1" applyAlignment="1">
      <alignment vertical="center" shrinkToFit="1"/>
    </xf>
    <xf numFmtId="166" fontId="4" fillId="0" borderId="114" xfId="0" applyNumberFormat="1" applyFont="1" applyBorder="1" applyAlignment="1">
      <alignment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165" fontId="4" fillId="8" borderId="62" xfId="0" applyNumberFormat="1" applyFont="1" applyFill="1" applyBorder="1" applyAlignment="1">
      <alignment vertical="center" shrinkToFit="1"/>
    </xf>
    <xf numFmtId="166" fontId="4" fillId="16" borderId="63" xfId="0" applyNumberFormat="1" applyFont="1" applyFill="1" applyBorder="1" applyAlignment="1">
      <alignment vertical="center" shrinkToFit="1"/>
    </xf>
    <xf numFmtId="166" fontId="4" fillId="0" borderId="115" xfId="0" applyNumberFormat="1" applyFont="1" applyBorder="1" applyAlignment="1">
      <alignment vertical="center" shrinkToFit="1"/>
    </xf>
    <xf numFmtId="165" fontId="5" fillId="0" borderId="0" xfId="0" applyNumberFormat="1" applyFont="1"/>
    <xf numFmtId="165" fontId="4" fillId="2" borderId="36" xfId="1" applyNumberFormat="1" applyFont="1" applyFill="1" applyBorder="1" applyAlignment="1">
      <alignment horizontal="center" vertical="center" shrinkToFit="1"/>
    </xf>
    <xf numFmtId="166" fontId="4" fillId="2" borderId="36" xfId="1" applyNumberFormat="1" applyFont="1" applyFill="1" applyBorder="1" applyAlignment="1">
      <alignment horizontal="center" vertical="center" shrinkToFit="1"/>
    </xf>
    <xf numFmtId="165" fontId="4" fillId="2" borderId="37" xfId="1" applyNumberFormat="1" applyFont="1" applyFill="1" applyBorder="1" applyAlignment="1">
      <alignment horizontal="center" vertical="center" shrinkToFit="1"/>
    </xf>
    <xf numFmtId="165" fontId="4" fillId="2" borderId="122" xfId="1" applyNumberFormat="1" applyFont="1" applyFill="1" applyBorder="1" applyAlignment="1">
      <alignment horizontal="center" vertical="center" shrinkToFit="1"/>
    </xf>
    <xf numFmtId="165" fontId="4" fillId="12" borderId="140" xfId="1" applyNumberFormat="1" applyFont="1" applyFill="1" applyBorder="1" applyAlignment="1">
      <alignment horizontal="center" vertical="center" shrinkToFit="1"/>
    </xf>
    <xf numFmtId="165" fontId="4" fillId="2" borderId="143" xfId="1" applyNumberFormat="1" applyFont="1" applyFill="1" applyBorder="1" applyAlignment="1">
      <alignment horizontal="center" vertical="center" shrinkToFit="1"/>
    </xf>
    <xf numFmtId="165" fontId="4" fillId="2" borderId="89" xfId="1" applyNumberFormat="1" applyFont="1" applyFill="1" applyBorder="1" applyAlignment="1">
      <alignment horizontal="center" vertical="center" shrinkToFit="1"/>
    </xf>
    <xf numFmtId="165" fontId="4" fillId="9" borderId="144" xfId="1" applyNumberFormat="1" applyFont="1" applyFill="1" applyBorder="1" applyAlignment="1">
      <alignment vertical="center" shrinkToFit="1"/>
    </xf>
    <xf numFmtId="165" fontId="4" fillId="14" borderId="48" xfId="1" applyNumberFormat="1" applyFont="1" applyFill="1" applyBorder="1" applyAlignment="1">
      <alignment vertical="center" shrinkToFit="1"/>
    </xf>
    <xf numFmtId="165" fontId="4" fillId="15" borderId="117" xfId="1" applyNumberFormat="1" applyFont="1" applyFill="1" applyBorder="1" applyAlignment="1">
      <alignment vertical="center" shrinkToFit="1"/>
    </xf>
    <xf numFmtId="165" fontId="4" fillId="9" borderId="48" xfId="1" applyNumberFormat="1" applyFont="1" applyFill="1" applyBorder="1" applyAlignment="1">
      <alignment vertical="center" shrinkToFit="1"/>
    </xf>
    <xf numFmtId="165" fontId="8" fillId="16" borderId="56" xfId="1" applyNumberFormat="1" applyFont="1" applyFill="1" applyBorder="1" applyAlignment="1">
      <alignment vertical="center" shrinkToFit="1"/>
    </xf>
    <xf numFmtId="165" fontId="8" fillId="16" borderId="59" xfId="1" applyNumberFormat="1" applyFont="1" applyFill="1" applyBorder="1" applyAlignment="1">
      <alignment vertical="center" shrinkToFit="1"/>
    </xf>
    <xf numFmtId="165" fontId="4" fillId="2" borderId="48" xfId="1" applyNumberFormat="1" applyFont="1" applyFill="1" applyBorder="1" applyAlignment="1">
      <alignment horizontal="center" vertical="top" wrapText="1"/>
    </xf>
    <xf numFmtId="165" fontId="4" fillId="12" borderId="31" xfId="1" applyNumberFormat="1" applyFont="1" applyFill="1" applyBorder="1" applyAlignment="1">
      <alignment vertical="center" shrinkToFit="1"/>
    </xf>
    <xf numFmtId="165" fontId="4" fillId="12" borderId="140" xfId="1" applyNumberFormat="1" applyFont="1" applyFill="1" applyBorder="1" applyAlignment="1">
      <alignment vertical="center" shrinkToFit="1"/>
    </xf>
    <xf numFmtId="165" fontId="4" fillId="2" borderId="140" xfId="1" applyNumberFormat="1" applyFont="1" applyFill="1" applyBorder="1" applyAlignment="1">
      <alignment vertical="center" shrinkToFit="1"/>
    </xf>
    <xf numFmtId="165" fontId="4" fillId="2" borderId="120" xfId="1" applyNumberFormat="1" applyFont="1" applyFill="1" applyBorder="1" applyAlignment="1">
      <alignment vertical="center" shrinkToFit="1"/>
    </xf>
    <xf numFmtId="165" fontId="4" fillId="8" borderId="123" xfId="1" applyNumberFormat="1" applyFont="1" applyFill="1" applyBorder="1" applyAlignment="1">
      <alignment horizontal="center" vertical="center" shrinkToFit="1"/>
    </xf>
    <xf numFmtId="165" fontId="4" fillId="8" borderId="124" xfId="1" applyNumberFormat="1" applyFont="1" applyFill="1" applyBorder="1" applyAlignment="1">
      <alignment vertical="center" shrinkToFit="1"/>
    </xf>
    <xf numFmtId="165" fontId="8" fillId="16" borderId="53" xfId="1" applyNumberFormat="1" applyFont="1" applyFill="1" applyBorder="1" applyAlignment="1">
      <alignment vertical="center" shrinkToFit="1"/>
    </xf>
    <xf numFmtId="165" fontId="4" fillId="16" borderId="112" xfId="1" applyNumberFormat="1" applyFont="1" applyFill="1" applyBorder="1" applyAlignment="1">
      <alignment vertical="center" shrinkToFit="1"/>
    </xf>
    <xf numFmtId="165" fontId="4" fillId="8" borderId="125" xfId="1" applyNumberFormat="1" applyFont="1" applyFill="1" applyBorder="1" applyAlignment="1">
      <alignment vertical="center" shrinkToFit="1"/>
    </xf>
    <xf numFmtId="165" fontId="4" fillId="16" borderId="113" xfId="1" applyNumberFormat="1" applyFont="1" applyFill="1" applyBorder="1" applyAlignment="1">
      <alignment vertical="center" shrinkToFit="1"/>
    </xf>
    <xf numFmtId="165" fontId="4" fillId="8" borderId="130" xfId="1" applyNumberFormat="1" applyFont="1" applyFill="1" applyBorder="1" applyAlignment="1">
      <alignment vertical="center" shrinkToFit="1"/>
    </xf>
    <xf numFmtId="165" fontId="4" fillId="16" borderId="114" xfId="1" applyNumberFormat="1" applyFont="1" applyFill="1" applyBorder="1" applyAlignment="1">
      <alignment vertical="center" shrinkToFit="1"/>
    </xf>
    <xf numFmtId="167" fontId="4" fillId="9" borderId="47" xfId="1" applyNumberFormat="1" applyFont="1" applyFill="1" applyBorder="1" applyAlignment="1">
      <alignment vertical="center" shrinkToFit="1"/>
    </xf>
    <xf numFmtId="165" fontId="4" fillId="8" borderId="131" xfId="1" applyNumberFormat="1" applyFont="1" applyFill="1" applyBorder="1" applyAlignment="1">
      <alignment vertical="center" shrinkToFit="1"/>
    </xf>
    <xf numFmtId="165" fontId="4" fillId="16" borderId="115" xfId="1" applyNumberFormat="1" applyFont="1" applyFill="1" applyBorder="1" applyAlignment="1">
      <alignment vertical="center" shrinkToFit="1"/>
    </xf>
    <xf numFmtId="167" fontId="4" fillId="16" borderId="17" xfId="0" applyNumberFormat="1" applyFont="1" applyFill="1" applyBorder="1"/>
    <xf numFmtId="167" fontId="4" fillId="16" borderId="17" xfId="0" applyNumberFormat="1" applyFont="1" applyFill="1" applyBorder="1" applyAlignment="1">
      <alignment horizontal="right"/>
    </xf>
    <xf numFmtId="165" fontId="4" fillId="16" borderId="17" xfId="0" applyNumberFormat="1" applyFont="1" applyFill="1" applyBorder="1" applyAlignment="1">
      <alignment horizontal="right"/>
    </xf>
    <xf numFmtId="0" fontId="4" fillId="16" borderId="17" xfId="0" applyFont="1" applyFill="1" applyBorder="1" applyAlignment="1">
      <alignment horizontal="right"/>
    </xf>
    <xf numFmtId="165" fontId="4" fillId="8" borderId="117" xfId="0" applyNumberFormat="1" applyFont="1" applyFill="1" applyBorder="1" applyAlignment="1">
      <alignment horizontal="center" vertical="center" shrinkToFit="1"/>
    </xf>
    <xf numFmtId="165" fontId="4" fillId="8" borderId="121" xfId="0" applyNumberFormat="1" applyFont="1" applyFill="1" applyBorder="1" applyAlignment="1">
      <alignment horizontal="center" vertical="center" shrinkToFit="1"/>
    </xf>
    <xf numFmtId="165" fontId="4" fillId="13" borderId="122" xfId="0" applyNumberFormat="1" applyFont="1" applyFill="1" applyBorder="1" applyAlignment="1">
      <alignment horizontal="center" vertical="center" shrinkToFit="1"/>
    </xf>
    <xf numFmtId="165" fontId="4" fillId="8" borderId="102" xfId="0" applyNumberFormat="1" applyFont="1" applyFill="1" applyBorder="1" applyAlignment="1">
      <alignment horizontal="center" vertical="center" shrinkToFit="1"/>
    </xf>
    <xf numFmtId="165" fontId="4" fillId="13" borderId="43" xfId="0" applyNumberFormat="1" applyFont="1" applyFill="1" applyBorder="1" applyAlignment="1">
      <alignment horizontal="center" vertical="center" shrinkToFit="1"/>
    </xf>
    <xf numFmtId="166" fontId="4" fillId="13" borderId="43" xfId="0" applyNumberFormat="1" applyFont="1" applyFill="1" applyBorder="1" applyAlignment="1">
      <alignment horizontal="center" vertical="center" shrinkToFit="1"/>
    </xf>
    <xf numFmtId="167" fontId="4" fillId="12" borderId="43" xfId="0" applyNumberFormat="1" applyFont="1" applyFill="1" applyBorder="1" applyAlignment="1">
      <alignment horizontal="right" vertical="center" shrinkToFit="1"/>
    </xf>
    <xf numFmtId="165" fontId="4" fillId="2" borderId="43" xfId="0" applyNumberFormat="1" applyFont="1" applyFill="1" applyBorder="1" applyAlignment="1">
      <alignment horizontal="right" vertical="center" shrinkToFit="1"/>
    </xf>
    <xf numFmtId="166" fontId="4" fillId="2" borderId="43" xfId="0" applyNumberFormat="1" applyFont="1" applyFill="1" applyBorder="1" applyAlignment="1">
      <alignment horizontal="right" vertical="center" shrinkToFit="1"/>
    </xf>
    <xf numFmtId="165" fontId="4" fillId="2" borderId="102" xfId="0" applyNumberFormat="1" applyFont="1" applyFill="1" applyBorder="1" applyAlignment="1">
      <alignment horizontal="right" vertical="center" shrinkToFit="1"/>
    </xf>
    <xf numFmtId="166" fontId="4" fillId="2" borderId="102" xfId="0" applyNumberFormat="1" applyFont="1" applyFill="1" applyBorder="1" applyAlignment="1">
      <alignment horizontal="right" vertical="center" shrinkToFit="1"/>
    </xf>
    <xf numFmtId="166" fontId="4" fillId="9" borderId="44" xfId="0" applyNumberFormat="1" applyFont="1" applyFill="1" applyBorder="1" applyAlignment="1">
      <alignment vertical="center" shrinkToFit="1"/>
    </xf>
    <xf numFmtId="167" fontId="4" fillId="9" borderId="47" xfId="0" applyNumberFormat="1" applyFont="1" applyFill="1" applyBorder="1" applyAlignment="1">
      <alignment vertical="center" shrinkToFit="1"/>
    </xf>
    <xf numFmtId="166" fontId="4" fillId="14" borderId="48" xfId="0" applyNumberFormat="1" applyFont="1" applyFill="1" applyBorder="1" applyAlignment="1">
      <alignment vertical="center" shrinkToFit="1"/>
    </xf>
    <xf numFmtId="167" fontId="4" fillId="14" borderId="47" xfId="0" applyNumberFormat="1" applyFont="1" applyFill="1" applyBorder="1" applyAlignment="1">
      <alignment vertical="center" shrinkToFit="1"/>
    </xf>
    <xf numFmtId="166" fontId="4" fillId="15" borderId="117" xfId="0" applyNumberFormat="1" applyFont="1" applyFill="1" applyBorder="1" applyAlignment="1">
      <alignment vertical="center" shrinkToFit="1"/>
    </xf>
    <xf numFmtId="167" fontId="4" fillId="15" borderId="30" xfId="0" applyNumberFormat="1" applyFont="1" applyFill="1" applyBorder="1" applyAlignment="1">
      <alignment vertical="center" shrinkToFit="1"/>
    </xf>
    <xf numFmtId="166" fontId="4" fillId="9" borderId="48" xfId="0" applyNumberFormat="1" applyFont="1" applyFill="1" applyBorder="1" applyAlignment="1">
      <alignment vertical="center" shrinkToFit="1"/>
    </xf>
    <xf numFmtId="166" fontId="4" fillId="8" borderId="124" xfId="0" applyNumberFormat="1" applyFont="1" applyFill="1" applyBorder="1" applyAlignment="1">
      <alignment vertical="center" shrinkToFit="1"/>
    </xf>
    <xf numFmtId="167" fontId="4" fillId="16" borderId="53" xfId="0" applyNumberFormat="1" applyFont="1" applyFill="1" applyBorder="1" applyAlignment="1">
      <alignment vertical="center" shrinkToFit="1"/>
    </xf>
    <xf numFmtId="166" fontId="4" fillId="16" borderId="124" xfId="0" applyNumberFormat="1" applyFont="1" applyFill="1" applyBorder="1" applyAlignment="1">
      <alignment vertical="center" shrinkToFit="1"/>
    </xf>
    <xf numFmtId="167" fontId="4" fillId="16" borderId="124" xfId="0" applyNumberFormat="1" applyFont="1" applyFill="1" applyBorder="1" applyAlignment="1">
      <alignment vertical="center" shrinkToFit="1"/>
    </xf>
    <xf numFmtId="167" fontId="5" fillId="16" borderId="82" xfId="0" applyNumberFormat="1" applyFont="1" applyFill="1" applyBorder="1" applyAlignment="1">
      <alignment horizontal="right" wrapText="1"/>
    </xf>
    <xf numFmtId="166" fontId="4" fillId="8" borderId="125" xfId="0" applyNumberFormat="1" applyFont="1" applyFill="1" applyBorder="1" applyAlignment="1">
      <alignment vertical="center" shrinkToFit="1"/>
    </xf>
    <xf numFmtId="167" fontId="4" fillId="16" borderId="56" xfId="0" applyNumberFormat="1" applyFont="1" applyFill="1" applyBorder="1" applyAlignment="1">
      <alignment vertical="center" shrinkToFit="1"/>
    </xf>
    <xf numFmtId="166" fontId="4" fillId="16" borderId="125" xfId="0" applyNumberFormat="1" applyFont="1" applyFill="1" applyBorder="1" applyAlignment="1">
      <alignment vertical="center" shrinkToFit="1"/>
    </xf>
    <xf numFmtId="167" fontId="4" fillId="16" borderId="125" xfId="0" applyNumberFormat="1" applyFont="1" applyFill="1" applyBorder="1" applyAlignment="1">
      <alignment vertical="center" shrinkToFit="1"/>
    </xf>
    <xf numFmtId="167" fontId="5" fillId="16" borderId="83" xfId="0" applyNumberFormat="1" applyFont="1" applyFill="1" applyBorder="1" applyAlignment="1">
      <alignment horizontal="right" wrapText="1"/>
    </xf>
    <xf numFmtId="167" fontId="5" fillId="16" borderId="56" xfId="0" applyNumberFormat="1" applyFont="1" applyFill="1" applyBorder="1" applyAlignment="1">
      <alignment horizontal="right" wrapText="1"/>
    </xf>
    <xf numFmtId="167" fontId="4" fillId="16" borderId="56" xfId="0" applyNumberFormat="1" applyFont="1" applyFill="1" applyBorder="1" applyAlignment="1">
      <alignment horizontal="right" vertical="center" shrinkToFit="1"/>
    </xf>
    <xf numFmtId="166" fontId="4" fillId="8" borderId="126" xfId="0" applyNumberFormat="1" applyFont="1" applyFill="1" applyBorder="1" applyAlignment="1">
      <alignment vertical="center" shrinkToFit="1"/>
    </xf>
    <xf numFmtId="167" fontId="4" fillId="16" borderId="59" xfId="0" applyNumberFormat="1" applyFont="1" applyFill="1" applyBorder="1" applyAlignment="1">
      <alignment vertical="center" shrinkToFit="1"/>
    </xf>
    <xf numFmtId="166" fontId="4" fillId="16" borderId="126" xfId="0" applyNumberFormat="1" applyFont="1" applyFill="1" applyBorder="1" applyAlignment="1">
      <alignment vertical="center" shrinkToFit="1"/>
    </xf>
    <xf numFmtId="167" fontId="4" fillId="16" borderId="126" xfId="0" applyNumberFormat="1" applyFont="1" applyFill="1" applyBorder="1" applyAlignment="1">
      <alignment vertical="center" shrinkToFit="1"/>
    </xf>
    <xf numFmtId="167" fontId="5" fillId="16" borderId="59" xfId="0" applyNumberFormat="1" applyFont="1" applyFill="1" applyBorder="1" applyAlignment="1">
      <alignment horizontal="right" wrapText="1"/>
    </xf>
    <xf numFmtId="167" fontId="4" fillId="16" borderId="53" xfId="0" applyNumberFormat="1" applyFont="1" applyFill="1" applyBorder="1" applyAlignment="1">
      <alignment horizontal="right" wrapText="1"/>
    </xf>
    <xf numFmtId="167" fontId="4" fillId="16" borderId="56" xfId="0" applyNumberFormat="1" applyFont="1" applyFill="1" applyBorder="1" applyAlignment="1">
      <alignment horizontal="right" wrapText="1"/>
    </xf>
    <xf numFmtId="167" fontId="4" fillId="16" borderId="59" xfId="0" applyNumberFormat="1" applyFont="1" applyFill="1" applyBorder="1" applyAlignment="1">
      <alignment horizontal="right" wrapText="1"/>
    </xf>
    <xf numFmtId="167" fontId="5" fillId="16" borderId="53" xfId="0" applyNumberFormat="1" applyFont="1" applyFill="1" applyBorder="1" applyAlignment="1">
      <alignment horizontal="right" wrapText="1"/>
    </xf>
    <xf numFmtId="167" fontId="5" fillId="16" borderId="53" xfId="0" applyNumberFormat="1" applyFont="1" applyFill="1" applyBorder="1" applyAlignment="1">
      <alignment vertical="center" shrinkToFit="1"/>
    </xf>
    <xf numFmtId="167" fontId="5" fillId="16" borderId="56" xfId="0" applyNumberFormat="1" applyFont="1" applyFill="1" applyBorder="1" applyAlignment="1">
      <alignment vertical="center" shrinkToFit="1"/>
    </xf>
    <xf numFmtId="167" fontId="5" fillId="16" borderId="56" xfId="0" applyNumberFormat="1" applyFont="1" applyFill="1" applyBorder="1" applyAlignment="1">
      <alignment horizontal="right" vertical="center" shrinkToFit="1"/>
    </xf>
    <xf numFmtId="167" fontId="5" fillId="16" borderId="59" xfId="0" applyNumberFormat="1" applyFont="1" applyFill="1" applyBorder="1" applyAlignment="1">
      <alignment horizontal="right" vertical="center" shrinkToFit="1"/>
    </xf>
    <xf numFmtId="167" fontId="5" fillId="16" borderId="59" xfId="0" applyNumberFormat="1" applyFont="1" applyFill="1" applyBorder="1" applyAlignment="1">
      <alignment vertical="center" shrinkToFit="1"/>
    </xf>
    <xf numFmtId="167" fontId="4" fillId="0" borderId="53" xfId="0" applyNumberFormat="1" applyFont="1" applyBorder="1" applyAlignment="1">
      <alignment vertical="center" shrinkToFit="1"/>
    </xf>
    <xf numFmtId="166" fontId="4" fillId="0" borderId="82" xfId="0" applyNumberFormat="1" applyFont="1" applyBorder="1" applyAlignment="1">
      <alignment vertical="center" shrinkToFit="1"/>
    </xf>
    <xf numFmtId="167" fontId="4" fillId="0" borderId="82" xfId="0" applyNumberFormat="1" applyFont="1" applyBorder="1" applyAlignment="1">
      <alignment vertical="center" shrinkToFit="1"/>
    </xf>
    <xf numFmtId="167" fontId="4" fillId="0" borderId="56" xfId="0" applyNumberFormat="1" applyFont="1" applyBorder="1" applyAlignment="1">
      <alignment vertical="center" shrinkToFit="1"/>
    </xf>
    <xf numFmtId="166" fontId="4" fillId="0" borderId="83" xfId="0" applyNumberFormat="1" applyFont="1" applyBorder="1" applyAlignment="1">
      <alignment vertical="center" shrinkToFit="1"/>
    </xf>
    <xf numFmtId="167" fontId="4" fillId="0" borderId="83" xfId="0" applyNumberFormat="1" applyFont="1" applyBorder="1" applyAlignment="1">
      <alignment vertical="center" shrinkToFit="1"/>
    </xf>
    <xf numFmtId="167" fontId="4" fillId="0" borderId="59" xfId="0" applyNumberFormat="1" applyFont="1" applyBorder="1" applyAlignment="1">
      <alignment vertical="center" shrinkToFit="1"/>
    </xf>
    <xf numFmtId="166" fontId="4" fillId="0" borderId="130" xfId="0" applyNumberFormat="1" applyFont="1" applyBorder="1" applyAlignment="1">
      <alignment vertical="center" shrinkToFit="1"/>
    </xf>
    <xf numFmtId="167" fontId="4" fillId="0" borderId="130" xfId="0" applyNumberFormat="1" applyFont="1" applyBorder="1" applyAlignment="1">
      <alignment vertical="center" shrinkToFit="1"/>
    </xf>
    <xf numFmtId="167" fontId="4" fillId="0" borderId="63" xfId="0" applyNumberFormat="1" applyFont="1" applyBorder="1" applyAlignment="1">
      <alignment vertical="center" shrinkToFit="1"/>
    </xf>
    <xf numFmtId="166" fontId="4" fillId="0" borderId="131" xfId="0" applyNumberFormat="1" applyFont="1" applyBorder="1" applyAlignment="1">
      <alignment vertical="center" shrinkToFit="1"/>
    </xf>
    <xf numFmtId="167" fontId="4" fillId="0" borderId="131" xfId="0" applyNumberFormat="1" applyFont="1" applyBorder="1" applyAlignment="1">
      <alignment vertical="center" shrinkToFit="1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70" fontId="4" fillId="0" borderId="0" xfId="0" applyNumberFormat="1" applyFont="1"/>
    <xf numFmtId="164" fontId="4" fillId="0" borderId="0" xfId="0" applyNumberFormat="1" applyFont="1"/>
    <xf numFmtId="165" fontId="4" fillId="7" borderId="37" xfId="0" applyNumberFormat="1" applyFont="1" applyFill="1" applyBorder="1" applyAlignment="1">
      <alignment horizontal="center" vertical="center" shrinkToFit="1"/>
    </xf>
    <xf numFmtId="166" fontId="4" fillId="7" borderId="37" xfId="0" applyNumberFormat="1" applyFont="1" applyFill="1" applyBorder="1" applyAlignment="1">
      <alignment horizontal="center" vertical="center" shrinkToFit="1"/>
    </xf>
    <xf numFmtId="166" fontId="4" fillId="2" borderId="37" xfId="0" applyNumberFormat="1" applyFont="1" applyFill="1" applyBorder="1" applyAlignment="1">
      <alignment horizontal="center" vertical="center" shrinkToFit="1"/>
    </xf>
    <xf numFmtId="165" fontId="4" fillId="2" borderId="122" xfId="0" applyNumberFormat="1" applyFont="1" applyFill="1" applyBorder="1" applyAlignment="1">
      <alignment horizontal="center" vertical="center" shrinkToFit="1"/>
    </xf>
    <xf numFmtId="165" fontId="4" fillId="7" borderId="43" xfId="0" applyNumberFormat="1" applyFont="1" applyFill="1" applyBorder="1" applyAlignment="1">
      <alignment horizontal="center" vertical="center" shrinkToFit="1"/>
    </xf>
    <xf numFmtId="166" fontId="4" fillId="7" borderId="43" xfId="0" applyNumberFormat="1" applyFont="1" applyFill="1" applyBorder="1" applyAlignment="1">
      <alignment horizontal="center" vertical="center" shrinkToFit="1"/>
    </xf>
    <xf numFmtId="165" fontId="4" fillId="18" borderId="43" xfId="0" applyNumberFormat="1" applyFont="1" applyFill="1" applyBorder="1" applyAlignment="1">
      <alignment horizontal="center" vertical="center" shrinkToFit="1"/>
    </xf>
    <xf numFmtId="166" fontId="4" fillId="2" borderId="43" xfId="0" applyNumberFormat="1" applyFont="1" applyFill="1" applyBorder="1" applyAlignment="1">
      <alignment horizontal="center" vertical="center" shrinkToFit="1"/>
    </xf>
    <xf numFmtId="165" fontId="5" fillId="9" borderId="47" xfId="0" applyNumberFormat="1" applyFont="1" applyFill="1" applyBorder="1" applyAlignment="1">
      <alignment vertical="center" shrinkToFit="1"/>
    </xf>
    <xf numFmtId="166" fontId="5" fillId="9" borderId="47" xfId="0" applyNumberFormat="1" applyFont="1" applyFill="1" applyBorder="1" applyAlignment="1">
      <alignment vertical="center" shrinkToFit="1"/>
    </xf>
    <xf numFmtId="165" fontId="4" fillId="15" borderId="117" xfId="0" applyNumberFormat="1" applyFont="1" applyFill="1" applyBorder="1" applyAlignment="1">
      <alignment vertical="center" shrinkToFit="1"/>
    </xf>
    <xf numFmtId="165" fontId="4" fillId="9" borderId="48" xfId="0" applyNumberFormat="1" applyFont="1" applyFill="1" applyBorder="1" applyAlignment="1">
      <alignment vertical="center" shrinkToFit="1"/>
    </xf>
    <xf numFmtId="169" fontId="4" fillId="9" borderId="47" xfId="0" applyNumberFormat="1" applyFont="1" applyFill="1" applyBorder="1" applyAlignment="1">
      <alignment vertical="center" shrinkToFit="1"/>
    </xf>
    <xf numFmtId="165" fontId="4" fillId="8" borderId="124" xfId="0" applyNumberFormat="1" applyFont="1" applyFill="1" applyBorder="1" applyAlignment="1">
      <alignment vertical="center" shrinkToFit="1"/>
    </xf>
    <xf numFmtId="169" fontId="4" fillId="0" borderId="53" xfId="0" applyNumberFormat="1" applyFont="1" applyBorder="1" applyAlignment="1">
      <alignment vertical="center" shrinkToFit="1"/>
    </xf>
    <xf numFmtId="165" fontId="4" fillId="23" borderId="53" xfId="0" applyNumberFormat="1" applyFont="1" applyFill="1" applyBorder="1" applyAlignment="1">
      <alignment vertical="center" shrinkToFit="1"/>
    </xf>
    <xf numFmtId="166" fontId="4" fillId="23" borderId="53" xfId="0" applyNumberFormat="1" applyFont="1" applyFill="1" applyBorder="1" applyAlignment="1">
      <alignment vertical="center" shrinkToFit="1"/>
    </xf>
    <xf numFmtId="165" fontId="4" fillId="8" borderId="125" xfId="0" applyNumberFormat="1" applyFont="1" applyFill="1" applyBorder="1" applyAlignment="1">
      <alignment vertical="center" shrinkToFit="1"/>
    </xf>
    <xf numFmtId="169" fontId="4" fillId="0" borderId="56" xfId="0" applyNumberFormat="1" applyFont="1" applyBorder="1" applyAlignment="1">
      <alignment vertical="center" shrinkToFit="1"/>
    </xf>
    <xf numFmtId="165" fontId="4" fillId="23" borderId="56" xfId="0" applyNumberFormat="1" applyFont="1" applyFill="1" applyBorder="1" applyAlignment="1">
      <alignment vertical="center" shrinkToFit="1"/>
    </xf>
    <xf numFmtId="166" fontId="4" fillId="23" borderId="56" xfId="0" applyNumberFormat="1" applyFont="1" applyFill="1" applyBorder="1" applyAlignment="1">
      <alignment vertical="center" shrinkToFit="1"/>
    </xf>
    <xf numFmtId="165" fontId="4" fillId="8" borderId="126" xfId="0" applyNumberFormat="1" applyFont="1" applyFill="1" applyBorder="1" applyAlignment="1">
      <alignment vertical="center" shrinkToFit="1"/>
    </xf>
    <xf numFmtId="169" fontId="4" fillId="0" borderId="59" xfId="0" applyNumberFormat="1" applyFont="1" applyBorder="1" applyAlignment="1">
      <alignment vertical="center" shrinkToFit="1"/>
    </xf>
    <xf numFmtId="165" fontId="4" fillId="23" borderId="59" xfId="0" applyNumberFormat="1" applyFont="1" applyFill="1" applyBorder="1" applyAlignment="1">
      <alignment vertical="center" shrinkToFit="1"/>
    </xf>
    <xf numFmtId="166" fontId="4" fillId="23" borderId="59" xfId="0" applyNumberFormat="1" applyFont="1" applyFill="1" applyBorder="1" applyAlignment="1">
      <alignment vertical="center" shrinkToFit="1"/>
    </xf>
    <xf numFmtId="165" fontId="4" fillId="7" borderId="37" xfId="0" applyNumberFormat="1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165" fontId="4" fillId="2" borderId="121" xfId="0" applyNumberFormat="1" applyFont="1" applyFill="1" applyBorder="1" applyAlignment="1">
      <alignment horizontal="center" vertical="center" shrinkToFit="1"/>
    </xf>
    <xf numFmtId="165" fontId="4" fillId="2" borderId="35" xfId="0" applyNumberFormat="1" applyFont="1" applyFill="1" applyBorder="1" applyAlignment="1">
      <alignment horizontal="center" vertical="center" shrinkToFit="1"/>
    </xf>
    <xf numFmtId="165" fontId="4" fillId="2" borderId="44" xfId="0" applyNumberFormat="1" applyFont="1" applyFill="1" applyBorder="1" applyAlignment="1">
      <alignment horizontal="center" vertical="center" shrinkToFit="1"/>
    </xf>
    <xf numFmtId="165" fontId="4" fillId="2" borderId="109" xfId="0" applyNumberFormat="1" applyFont="1" applyFill="1" applyBorder="1" applyAlignment="1">
      <alignment horizontal="center" vertical="center" shrinkToFit="1"/>
    </xf>
    <xf numFmtId="165" fontId="4" fillId="9" borderId="110" xfId="0" applyNumberFormat="1" applyFont="1" applyFill="1" applyBorder="1" applyAlignment="1">
      <alignment vertical="center" shrinkToFit="1"/>
    </xf>
    <xf numFmtId="165" fontId="4" fillId="14" borderId="110" xfId="0" applyNumberFormat="1" applyFont="1" applyFill="1" applyBorder="1" applyAlignment="1">
      <alignment vertical="center" shrinkToFit="1"/>
    </xf>
    <xf numFmtId="165" fontId="4" fillId="15" borderId="111" xfId="0" applyNumberFormat="1" applyFont="1" applyFill="1" applyBorder="1" applyAlignment="1">
      <alignment vertical="center" shrinkToFit="1"/>
    </xf>
    <xf numFmtId="165" fontId="4" fillId="2" borderId="47" xfId="0" applyNumberFormat="1" applyFont="1" applyFill="1" applyBorder="1" applyAlignment="1">
      <alignment horizontal="center" vertical="top" wrapText="1"/>
    </xf>
    <xf numFmtId="165" fontId="4" fillId="2" borderId="137" xfId="0" applyNumberFormat="1" applyFont="1" applyFill="1" applyBorder="1" applyAlignment="1">
      <alignment horizontal="center" vertical="top" wrapText="1"/>
    </xf>
    <xf numFmtId="165" fontId="4" fillId="0" borderId="82" xfId="0" applyNumberFormat="1" applyFont="1" applyBorder="1" applyAlignment="1">
      <alignment vertical="center" shrinkToFit="1"/>
    </xf>
    <xf numFmtId="165" fontId="4" fillId="0" borderId="112" xfId="0" applyNumberFormat="1" applyFont="1" applyBorder="1" applyAlignment="1">
      <alignment vertical="center" shrinkToFit="1"/>
    </xf>
    <xf numFmtId="165" fontId="4" fillId="0" borderId="83" xfId="0" applyNumberFormat="1" applyFont="1" applyBorder="1" applyAlignment="1">
      <alignment vertical="center" shrinkToFit="1"/>
    </xf>
    <xf numFmtId="165" fontId="4" fillId="0" borderId="113" xfId="0" applyNumberFormat="1" applyFont="1" applyBorder="1" applyAlignment="1">
      <alignment vertical="center" shrinkToFit="1"/>
    </xf>
    <xf numFmtId="165" fontId="4" fillId="0" borderId="130" xfId="0" applyNumberFormat="1" applyFont="1" applyBorder="1" applyAlignment="1">
      <alignment vertical="center" shrinkToFit="1"/>
    </xf>
    <xf numFmtId="165" fontId="4" fillId="0" borderId="114" xfId="0" applyNumberFormat="1" applyFont="1" applyBorder="1" applyAlignment="1">
      <alignment vertical="center" shrinkToFit="1"/>
    </xf>
    <xf numFmtId="165" fontId="4" fillId="0" borderId="131" xfId="0" applyNumberFormat="1" applyFont="1" applyBorder="1" applyAlignment="1">
      <alignment vertical="center" shrinkToFit="1"/>
    </xf>
    <xf numFmtId="165" fontId="4" fillId="0" borderId="115" xfId="0" applyNumberFormat="1" applyFont="1" applyBorder="1" applyAlignment="1">
      <alignment vertical="center" shrinkToFit="1"/>
    </xf>
    <xf numFmtId="165" fontId="4" fillId="8" borderId="142" xfId="0" applyNumberFormat="1" applyFont="1" applyFill="1" applyBorder="1" applyAlignment="1">
      <alignment horizontal="center" vertical="center" shrinkToFit="1"/>
    </xf>
    <xf numFmtId="165" fontId="4" fillId="11" borderId="143" xfId="0" applyNumberFormat="1" applyFont="1" applyFill="1" applyBorder="1" applyAlignment="1">
      <alignment horizontal="center" vertical="center" shrinkToFit="1"/>
    </xf>
    <xf numFmtId="165" fontId="4" fillId="2" borderId="36" xfId="0" applyNumberFormat="1" applyFont="1" applyFill="1" applyBorder="1" applyAlignment="1">
      <alignment horizontal="center" vertical="center" shrinkToFit="1"/>
    </xf>
    <xf numFmtId="166" fontId="4" fillId="2" borderId="36" xfId="0" applyNumberFormat="1" applyFont="1" applyFill="1" applyBorder="1" applyAlignment="1">
      <alignment horizontal="center" vertical="center" shrinkToFit="1"/>
    </xf>
    <xf numFmtId="165" fontId="9" fillId="16" borderId="17" xfId="0" applyNumberFormat="1" applyFont="1" applyFill="1" applyBorder="1"/>
    <xf numFmtId="165" fontId="4" fillId="10" borderId="139" xfId="0" applyNumberFormat="1" applyFont="1" applyFill="1" applyBorder="1" applyAlignment="1">
      <alignment horizontal="center" vertical="center" shrinkToFit="1"/>
    </xf>
    <xf numFmtId="165" fontId="4" fillId="23" borderId="63" xfId="0" applyNumberFormat="1" applyFont="1" applyFill="1" applyBorder="1" applyAlignment="1">
      <alignment vertical="center" shrinkToFit="1"/>
    </xf>
    <xf numFmtId="166" fontId="4" fillId="23" borderId="63" xfId="0" applyNumberFormat="1" applyFont="1" applyFill="1" applyBorder="1" applyAlignment="1">
      <alignment vertical="center" shrinkToFit="1"/>
    </xf>
    <xf numFmtId="165" fontId="9" fillId="0" borderId="0" xfId="0" applyNumberFormat="1" applyFont="1"/>
    <xf numFmtId="165" fontId="10" fillId="0" borderId="0" xfId="0" applyNumberFormat="1" applyFont="1"/>
    <xf numFmtId="165" fontId="4" fillId="2" borderId="88" xfId="0" applyNumberFormat="1" applyFont="1" applyFill="1" applyBorder="1" applyAlignment="1">
      <alignment horizontal="center" vertical="center" wrapText="1"/>
    </xf>
    <xf numFmtId="166" fontId="4" fillId="2" borderId="88" xfId="0" applyNumberFormat="1" applyFont="1" applyFill="1" applyBorder="1" applyAlignment="1">
      <alignment horizontal="center" vertical="center" wrapText="1"/>
    </xf>
    <xf numFmtId="0" fontId="4" fillId="2" borderId="88" xfId="0" applyFont="1" applyFill="1" applyBorder="1" applyAlignment="1">
      <alignment horizontal="center" vertical="center" wrapText="1"/>
    </xf>
    <xf numFmtId="166" fontId="4" fillId="2" borderId="109" xfId="0" applyNumberFormat="1" applyFont="1" applyFill="1" applyBorder="1" applyAlignment="1">
      <alignment horizontal="center" vertical="center" shrinkToFit="1"/>
    </xf>
    <xf numFmtId="167" fontId="4" fillId="2" borderId="89" xfId="0" applyNumberFormat="1" applyFont="1" applyFill="1" applyBorder="1" applyAlignment="1">
      <alignment horizontal="center" vertical="center" shrinkToFit="1"/>
    </xf>
    <xf numFmtId="165" fontId="4" fillId="12" borderId="102" xfId="0" applyNumberFormat="1" applyFont="1" applyFill="1" applyBorder="1" applyAlignment="1">
      <alignment horizontal="center" vertical="center" shrinkToFit="1"/>
    </xf>
    <xf numFmtId="165" fontId="5" fillId="9" borderId="47" xfId="0" applyNumberFormat="1" applyFont="1" applyFill="1" applyBorder="1" applyAlignment="1">
      <alignment horizontal="center" vertical="center" shrinkToFit="1"/>
    </xf>
    <xf numFmtId="165" fontId="5" fillId="9" borderId="110" xfId="0" applyNumberFormat="1" applyFont="1" applyFill="1" applyBorder="1" applyAlignment="1">
      <alignment vertical="center" shrinkToFit="1"/>
    </xf>
    <xf numFmtId="165" fontId="4" fillId="14" borderId="47" xfId="0" applyNumberFormat="1" applyFont="1" applyFill="1" applyBorder="1" applyAlignment="1">
      <alignment horizontal="center" vertical="center" shrinkToFit="1"/>
    </xf>
    <xf numFmtId="165" fontId="4" fillId="9" borderId="47" xfId="0" applyNumberFormat="1" applyFont="1" applyFill="1" applyBorder="1" applyAlignment="1">
      <alignment horizontal="center" vertical="center" shrinkToFit="1"/>
    </xf>
    <xf numFmtId="0" fontId="4" fillId="16" borderId="17" xfId="0" applyFont="1" applyFill="1" applyBorder="1" applyAlignment="1">
      <alignment horizontal="center"/>
    </xf>
    <xf numFmtId="167" fontId="4" fillId="2" borderId="68" xfId="0" applyNumberFormat="1" applyFont="1" applyFill="1" applyBorder="1" applyAlignment="1">
      <alignment horizontal="center" vertical="top" wrapText="1"/>
    </xf>
    <xf numFmtId="167" fontId="4" fillId="2" borderId="111" xfId="0" applyNumberFormat="1" applyFont="1" applyFill="1" applyBorder="1" applyAlignment="1">
      <alignment horizontal="center" vertical="top" wrapText="1"/>
    </xf>
    <xf numFmtId="165" fontId="4" fillId="0" borderId="53" xfId="0" applyNumberFormat="1" applyFont="1" applyBorder="1" applyAlignment="1">
      <alignment horizontal="center" vertical="center" shrinkToFit="1"/>
    </xf>
    <xf numFmtId="165" fontId="4" fillId="0" borderId="56" xfId="0" applyNumberFormat="1" applyFont="1" applyBorder="1" applyAlignment="1">
      <alignment horizontal="center" vertical="center" shrinkToFit="1"/>
    </xf>
    <xf numFmtId="165" fontId="4" fillId="0" borderId="59" xfId="0" applyNumberFormat="1" applyFont="1" applyBorder="1" applyAlignment="1">
      <alignment horizontal="center" vertical="center" shrinkToFit="1"/>
    </xf>
    <xf numFmtId="165" fontId="4" fillId="0" borderId="63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165" fontId="4" fillId="12" borderId="30" xfId="0" applyNumberFormat="1" applyFont="1" applyFill="1" applyBorder="1" applyAlignment="1">
      <alignment horizontal="center" vertical="center"/>
    </xf>
    <xf numFmtId="166" fontId="11" fillId="2" borderId="37" xfId="0" applyNumberFormat="1" applyFont="1" applyFill="1" applyBorder="1" applyAlignment="1">
      <alignment horizontal="center" vertical="center" wrapText="1"/>
    </xf>
    <xf numFmtId="0" fontId="11" fillId="0" borderId="55" xfId="0" applyFont="1" applyBorder="1" applyAlignment="1">
      <alignment horizontal="left" vertical="center"/>
    </xf>
    <xf numFmtId="165" fontId="4" fillId="24" borderId="56" xfId="0" applyNumberFormat="1" applyFont="1" applyFill="1" applyBorder="1" applyAlignment="1">
      <alignment vertical="center" shrinkToFit="1"/>
    </xf>
    <xf numFmtId="0" fontId="4" fillId="0" borderId="56" xfId="0" applyFont="1" applyBorder="1" applyAlignment="1">
      <alignment horizontal="left" vertical="center" shrinkToFit="1"/>
    </xf>
    <xf numFmtId="165" fontId="11" fillId="2" borderId="35" xfId="0" applyNumberFormat="1" applyFont="1" applyFill="1" applyBorder="1" applyAlignment="1">
      <alignment horizontal="center" vertical="center" wrapText="1"/>
    </xf>
    <xf numFmtId="165" fontId="11" fillId="2" borderId="89" xfId="0" applyNumberFormat="1" applyFont="1" applyFill="1" applyBorder="1" applyAlignment="1">
      <alignment horizontal="center" vertical="center" wrapText="1"/>
    </xf>
    <xf numFmtId="165" fontId="4" fillId="25" borderId="102" xfId="1" applyNumberFormat="1" applyFont="1" applyFill="1" applyBorder="1" applyAlignment="1">
      <alignment horizontal="center" vertical="center" shrinkToFit="1"/>
    </xf>
    <xf numFmtId="167" fontId="11" fillId="7" borderId="119" xfId="1" applyNumberFormat="1" applyFont="1" applyFill="1" applyBorder="1" applyAlignment="1">
      <alignment horizontal="center" vertical="center" wrapText="1" shrinkToFit="1"/>
    </xf>
    <xf numFmtId="167" fontId="11" fillId="7" borderId="119" xfId="1" applyNumberFormat="1" applyFont="1" applyFill="1" applyBorder="1" applyAlignment="1">
      <alignment horizontal="center" vertical="center" wrapText="1"/>
    </xf>
    <xf numFmtId="0" fontId="11" fillId="2" borderId="88" xfId="0" applyFont="1" applyFill="1" applyBorder="1" applyAlignment="1">
      <alignment horizontal="center" vertical="center" wrapText="1"/>
    </xf>
    <xf numFmtId="0" fontId="11" fillId="2" borderId="89" xfId="0" applyFont="1" applyFill="1" applyBorder="1" applyAlignment="1">
      <alignment horizontal="center" vertical="center" wrapText="1"/>
    </xf>
    <xf numFmtId="0" fontId="16" fillId="0" borderId="145" xfId="0" applyFont="1" applyBorder="1" applyAlignment="1">
      <alignment horizontal="left"/>
    </xf>
    <xf numFmtId="0" fontId="16" fillId="0" borderId="145" xfId="0" applyFont="1" applyBorder="1" applyAlignment="1">
      <alignment horizontal="right"/>
    </xf>
    <xf numFmtId="166" fontId="16" fillId="0" borderId="145" xfId="0" applyNumberFormat="1" applyFont="1" applyBorder="1" applyAlignment="1">
      <alignment horizontal="right"/>
    </xf>
    <xf numFmtId="171" fontId="16" fillId="0" borderId="145" xfId="0" applyNumberFormat="1" applyFont="1" applyBorder="1" applyAlignment="1">
      <alignment horizontal="right"/>
    </xf>
    <xf numFmtId="171" fontId="16" fillId="0" borderId="146" xfId="0" applyNumberFormat="1" applyFont="1" applyBorder="1"/>
    <xf numFmtId="166" fontId="16" fillId="0" borderId="0" xfId="0" applyNumberFormat="1" applyFont="1"/>
    <xf numFmtId="0" fontId="17" fillId="0" borderId="0" xfId="0" applyFont="1"/>
    <xf numFmtId="171" fontId="16" fillId="0" borderId="145" xfId="0" applyNumberFormat="1" applyFont="1" applyBorder="1"/>
    <xf numFmtId="0" fontId="16" fillId="0" borderId="0" xfId="0" applyFont="1" applyAlignment="1">
      <alignment horizontal="left"/>
    </xf>
    <xf numFmtId="0" fontId="16" fillId="0" borderId="145" xfId="0" quotePrefix="1" applyFont="1" applyBorder="1" applyAlignment="1">
      <alignment horizontal="left"/>
    </xf>
    <xf numFmtId="165" fontId="4" fillId="12" borderId="35" xfId="0" applyNumberFormat="1" applyFont="1" applyFill="1" applyBorder="1" applyAlignment="1">
      <alignment horizontal="center" vertical="top"/>
    </xf>
    <xf numFmtId="165" fontId="4" fillId="2" borderId="35" xfId="0" applyNumberFormat="1" applyFont="1" applyFill="1" applyBorder="1" applyAlignment="1">
      <alignment horizontal="center" vertical="top"/>
    </xf>
    <xf numFmtId="167" fontId="4" fillId="12" borderId="31" xfId="0" applyNumberFormat="1" applyFont="1" applyFill="1" applyBorder="1" applyAlignment="1">
      <alignment horizontal="center" vertical="center" shrinkToFit="1"/>
    </xf>
    <xf numFmtId="0" fontId="5" fillId="0" borderId="0" xfId="0" applyFont="1" applyAlignment="1"/>
    <xf numFmtId="165" fontId="4" fillId="9" borderId="139" xfId="0" applyNumberFormat="1" applyFont="1" applyFill="1" applyBorder="1" applyAlignment="1">
      <alignment vertical="center" shrinkToFit="1"/>
    </xf>
    <xf numFmtId="166" fontId="4" fillId="9" borderId="139" xfId="0" applyNumberFormat="1" applyFont="1" applyFill="1" applyBorder="1" applyAlignment="1">
      <alignment vertical="center" shrinkToFit="1"/>
    </xf>
    <xf numFmtId="0" fontId="4" fillId="0" borderId="147" xfId="0" applyFont="1" applyBorder="1" applyAlignment="1">
      <alignment horizontal="center" vertical="center" shrinkToFit="1"/>
    </xf>
    <xf numFmtId="0" fontId="4" fillId="0" borderId="148" xfId="0" applyFont="1" applyBorder="1" applyAlignment="1">
      <alignment horizontal="left" vertical="center" shrinkToFit="1"/>
    </xf>
    <xf numFmtId="165" fontId="4" fillId="8" borderId="149" xfId="0" applyNumberFormat="1" applyFont="1" applyFill="1" applyBorder="1" applyAlignment="1">
      <alignment vertical="center" shrinkToFit="1"/>
    </xf>
    <xf numFmtId="165" fontId="4" fillId="0" borderId="149" xfId="0" applyNumberFormat="1" applyFont="1" applyBorder="1" applyAlignment="1">
      <alignment vertical="center" shrinkToFit="1"/>
    </xf>
    <xf numFmtId="166" fontId="4" fillId="0" borderId="149" xfId="0" applyNumberFormat="1" applyFont="1" applyBorder="1" applyAlignment="1">
      <alignment vertical="center" shrinkToFit="1"/>
    </xf>
    <xf numFmtId="165" fontId="4" fillId="14" borderId="139" xfId="0" applyNumberFormat="1" applyFont="1" applyFill="1" applyBorder="1" applyAlignment="1">
      <alignment vertical="center" shrinkToFit="1"/>
    </xf>
    <xf numFmtId="166" fontId="4" fillId="14" borderId="139" xfId="0" applyNumberFormat="1" applyFont="1" applyFill="1" applyBorder="1" applyAlignment="1">
      <alignment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148" xfId="0" applyFont="1" applyBorder="1" applyAlignment="1">
      <alignment horizontal="left" vertical="center" shrinkToFit="1"/>
    </xf>
    <xf numFmtId="165" fontId="4" fillId="8" borderId="147" xfId="0" applyNumberFormat="1" applyFont="1" applyFill="1" applyBorder="1" applyAlignment="1">
      <alignment vertical="center" shrinkToFit="1"/>
    </xf>
    <xf numFmtId="0" fontId="4" fillId="0" borderId="63" xfId="0" applyFont="1" applyBorder="1" applyAlignment="1">
      <alignment horizontal="center" vertical="center"/>
    </xf>
    <xf numFmtId="0" fontId="4" fillId="0" borderId="135" xfId="0" applyFont="1" applyBorder="1" applyAlignment="1">
      <alignment horizontal="left" vertical="center"/>
    </xf>
    <xf numFmtId="165" fontId="4" fillId="8" borderId="128" xfId="0" applyNumberFormat="1" applyFont="1" applyFill="1" applyBorder="1" applyAlignment="1">
      <alignment horizontal="center" vertical="center" shrinkToFit="1"/>
    </xf>
    <xf numFmtId="165" fontId="4" fillId="11" borderId="117" xfId="0" applyNumberFormat="1" applyFont="1" applyFill="1" applyBorder="1" applyAlignment="1">
      <alignment horizontal="center" vertical="center" shrinkToFit="1"/>
    </xf>
    <xf numFmtId="165" fontId="4" fillId="12" borderId="36" xfId="0" applyNumberFormat="1" applyFont="1" applyFill="1" applyBorder="1" applyAlignment="1">
      <alignment horizontal="center" vertical="center" shrinkToFit="1"/>
    </xf>
    <xf numFmtId="165" fontId="4" fillId="2" borderId="89" xfId="0" applyNumberFormat="1" applyFont="1" applyFill="1" applyBorder="1" applyAlignment="1">
      <alignment horizontal="center" vertical="center" shrinkToFit="1"/>
    </xf>
    <xf numFmtId="165" fontId="4" fillId="12" borderId="139" xfId="0" applyNumberFormat="1" applyFont="1" applyFill="1" applyBorder="1" applyAlignment="1">
      <alignment horizontal="center" vertical="center" shrinkToFit="1"/>
    </xf>
    <xf numFmtId="165" fontId="4" fillId="2" borderId="139" xfId="0" applyNumberFormat="1" applyFont="1" applyFill="1" applyBorder="1" applyAlignment="1">
      <alignment horizontal="center" vertical="center" shrinkToFit="1"/>
    </xf>
    <xf numFmtId="166" fontId="4" fillId="2" borderId="139" xfId="0" applyNumberFormat="1" applyFont="1" applyFill="1" applyBorder="1" applyAlignment="1">
      <alignment horizontal="center" vertical="center" shrinkToFit="1"/>
    </xf>
    <xf numFmtId="0" fontId="4" fillId="9" borderId="95" xfId="0" applyFont="1" applyFill="1" applyBorder="1" applyAlignment="1">
      <alignment horizontal="left" vertical="center"/>
    </xf>
    <xf numFmtId="0" fontId="4" fillId="9" borderId="129" xfId="0" applyFont="1" applyFill="1" applyBorder="1" applyAlignment="1">
      <alignment horizontal="left" vertical="center"/>
    </xf>
    <xf numFmtId="0" fontId="4" fillId="14" borderId="50" xfId="0" applyFont="1" applyFill="1" applyBorder="1" applyAlignment="1">
      <alignment horizontal="left" vertical="center"/>
    </xf>
    <xf numFmtId="0" fontId="4" fillId="15" borderId="50" xfId="0" applyFont="1" applyFill="1" applyBorder="1" applyAlignment="1">
      <alignment horizontal="left" vertical="center"/>
    </xf>
    <xf numFmtId="165" fontId="4" fillId="15" borderId="31" xfId="0" applyNumberFormat="1" applyFont="1" applyFill="1" applyBorder="1" applyAlignment="1">
      <alignment vertical="center" shrinkToFit="1"/>
    </xf>
    <xf numFmtId="166" fontId="4" fillId="15" borderId="31" xfId="0" applyNumberFormat="1" applyFont="1" applyFill="1" applyBorder="1" applyAlignment="1">
      <alignment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165" fontId="4" fillId="11" borderId="31" xfId="0" applyNumberFormat="1" applyFont="1" applyFill="1" applyBorder="1" applyAlignment="1">
      <alignment horizontal="center" vertical="center" shrinkToFit="1"/>
    </xf>
    <xf numFmtId="165" fontId="4" fillId="11" borderId="36" xfId="0" applyNumberFormat="1" applyFont="1" applyFill="1" applyBorder="1" applyAlignment="1">
      <alignment horizontal="center" vertical="center" shrinkToFit="1"/>
    </xf>
    <xf numFmtId="165" fontId="4" fillId="2" borderId="150" xfId="0" applyNumberFormat="1" applyFont="1" applyFill="1" applyBorder="1" applyAlignment="1">
      <alignment horizontal="center" vertical="center" shrinkToFit="1"/>
    </xf>
    <xf numFmtId="165" fontId="4" fillId="8" borderId="31" xfId="0" applyNumberFormat="1" applyFont="1" applyFill="1" applyBorder="1" applyAlignment="1">
      <alignment horizontal="center" vertical="center" shrinkToFit="1"/>
    </xf>
    <xf numFmtId="165" fontId="4" fillId="8" borderId="36" xfId="0" applyNumberFormat="1" applyFont="1" applyFill="1" applyBorder="1" applyAlignment="1">
      <alignment horizontal="center" vertical="center" shrinkToFit="1"/>
    </xf>
    <xf numFmtId="165" fontId="4" fillId="7" borderId="154" xfId="0" applyNumberFormat="1" applyFont="1" applyFill="1" applyBorder="1" applyAlignment="1">
      <alignment horizontal="center" vertical="center" shrinkToFit="1"/>
    </xf>
    <xf numFmtId="165" fontId="4" fillId="12" borderId="154" xfId="0" applyNumberFormat="1" applyFont="1" applyFill="1" applyBorder="1" applyAlignment="1">
      <alignment horizontal="center" vertical="center" shrinkToFit="1"/>
    </xf>
    <xf numFmtId="165" fontId="4" fillId="8" borderId="157" xfId="0" applyNumberFormat="1" applyFont="1" applyFill="1" applyBorder="1" applyAlignment="1">
      <alignment horizontal="center" vertical="center" shrinkToFit="1"/>
    </xf>
    <xf numFmtId="165" fontId="4" fillId="2" borderId="129" xfId="0" applyNumberFormat="1" applyFont="1" applyFill="1" applyBorder="1" applyAlignment="1">
      <alignment horizontal="center" vertical="center" wrapText="1"/>
    </xf>
    <xf numFmtId="165" fontId="4" fillId="8" borderId="158" xfId="0" applyNumberFormat="1" applyFont="1" applyFill="1" applyBorder="1" applyAlignment="1">
      <alignment horizontal="center" vertical="center" shrinkToFit="1"/>
    </xf>
    <xf numFmtId="165" fontId="4" fillId="2" borderId="36" xfId="0" applyNumberFormat="1" applyFont="1" applyFill="1" applyBorder="1" applyAlignment="1">
      <alignment horizontal="center" vertical="center" wrapText="1"/>
    </xf>
    <xf numFmtId="166" fontId="4" fillId="2" borderId="36" xfId="0" applyNumberFormat="1" applyFont="1" applyFill="1" applyBorder="1" applyAlignment="1">
      <alignment horizontal="center" vertical="center" wrapText="1"/>
    </xf>
    <xf numFmtId="165" fontId="4" fillId="2" borderId="142" xfId="0" applyNumberFormat="1" applyFont="1" applyFill="1" applyBorder="1" applyAlignment="1">
      <alignment horizontal="center" vertical="center" shrinkToFit="1"/>
    </xf>
    <xf numFmtId="165" fontId="4" fillId="8" borderId="157" xfId="1" applyNumberFormat="1" applyFont="1" applyFill="1" applyBorder="1" applyAlignment="1">
      <alignment horizontal="center" vertical="center" shrinkToFit="1"/>
    </xf>
    <xf numFmtId="165" fontId="4" fillId="8" borderId="158" xfId="1" applyNumberFormat="1" applyFont="1" applyFill="1" applyBorder="1" applyAlignment="1">
      <alignment horizontal="center" vertical="center" shrinkToFit="1"/>
    </xf>
    <xf numFmtId="165" fontId="7" fillId="2" borderId="48" xfId="1" applyNumberFormat="1" applyFont="1" applyFill="1" applyBorder="1" applyAlignment="1">
      <alignment horizontal="center" vertical="top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2" fillId="2" borderId="119" xfId="1" applyNumberFormat="1" applyFont="1" applyFill="1" applyBorder="1" applyAlignment="1">
      <alignment horizontal="center" vertical="top" wrapText="1"/>
    </xf>
    <xf numFmtId="167" fontId="11" fillId="2" borderId="118" xfId="1" applyNumberFormat="1" applyFont="1" applyFill="1" applyBorder="1" applyAlignment="1">
      <alignment horizontal="center" vertical="top" wrapText="1"/>
    </xf>
    <xf numFmtId="167" fontId="11" fillId="2" borderId="139" xfId="1" applyNumberFormat="1" applyFont="1" applyFill="1" applyBorder="1" applyAlignment="1">
      <alignment horizontal="center" vertical="top" wrapText="1"/>
    </xf>
    <xf numFmtId="165" fontId="4" fillId="12" borderId="68" xfId="0" applyNumberFormat="1" applyFont="1" applyFill="1" applyBorder="1" applyAlignment="1">
      <alignment horizontal="center" vertical="center"/>
    </xf>
    <xf numFmtId="165" fontId="4" fillId="12" borderId="68" xfId="0" applyNumberFormat="1" applyFont="1" applyFill="1" applyBorder="1" applyAlignment="1">
      <alignment horizontal="center" vertical="top"/>
    </xf>
    <xf numFmtId="0" fontId="4" fillId="0" borderId="63" xfId="1" applyFont="1" applyBorder="1" applyAlignment="1">
      <alignment horizontal="center" vertical="center"/>
    </xf>
    <xf numFmtId="0" fontId="4" fillId="0" borderId="135" xfId="1" applyFont="1" applyBorder="1" applyAlignment="1">
      <alignment horizontal="left" vertical="center"/>
    </xf>
    <xf numFmtId="0" fontId="5" fillId="0" borderId="148" xfId="1" applyFont="1" applyBorder="1" applyAlignment="1">
      <alignment horizontal="left" vertical="center" shrinkToFit="1"/>
    </xf>
    <xf numFmtId="165" fontId="4" fillId="8" borderId="147" xfId="1" applyNumberFormat="1" applyFont="1" applyFill="1" applyBorder="1" applyAlignment="1">
      <alignment vertical="center" shrinkToFit="1"/>
    </xf>
    <xf numFmtId="165" fontId="4" fillId="0" borderId="149" xfId="1" applyNumberFormat="1" applyFont="1" applyBorder="1" applyAlignment="1">
      <alignment vertical="center" shrinkToFit="1"/>
    </xf>
    <xf numFmtId="166" fontId="4" fillId="0" borderId="149" xfId="1" applyNumberFormat="1" applyFont="1" applyBorder="1" applyAlignment="1">
      <alignment vertical="center" shrinkToFit="1"/>
    </xf>
    <xf numFmtId="165" fontId="4" fillId="16" borderId="149" xfId="1" applyNumberFormat="1" applyFont="1" applyFill="1" applyBorder="1" applyAlignment="1">
      <alignment vertical="center" shrinkToFit="1"/>
    </xf>
    <xf numFmtId="166" fontId="4" fillId="16" borderId="149" xfId="1" applyNumberFormat="1" applyFont="1" applyFill="1" applyBorder="1" applyAlignment="1">
      <alignment vertical="center" shrinkToFit="1"/>
    </xf>
    <xf numFmtId="165" fontId="4" fillId="14" borderId="103" xfId="1" applyNumberFormat="1" applyFont="1" applyFill="1" applyBorder="1" applyAlignment="1">
      <alignment vertical="center" shrinkToFit="1"/>
    </xf>
    <xf numFmtId="165" fontId="4" fillId="14" borderId="139" xfId="1" applyNumberFormat="1" applyFont="1" applyFill="1" applyBorder="1" applyAlignment="1">
      <alignment vertical="center" shrinkToFit="1"/>
    </xf>
    <xf numFmtId="166" fontId="4" fillId="14" borderId="139" xfId="1" applyNumberFormat="1" applyFont="1" applyFill="1" applyBorder="1" applyAlignment="1">
      <alignment vertical="center" shrinkToFit="1"/>
    </xf>
    <xf numFmtId="0" fontId="4" fillId="0" borderId="148" xfId="1" applyFont="1" applyBorder="1" applyAlignment="1">
      <alignment horizontal="left" vertical="center"/>
    </xf>
    <xf numFmtId="0" fontId="5" fillId="0" borderId="51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5" fillId="0" borderId="147" xfId="1" applyFont="1" applyBorder="1" applyAlignment="1">
      <alignment horizontal="center" vertical="center" shrinkToFit="1"/>
    </xf>
    <xf numFmtId="0" fontId="4" fillId="0" borderId="51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147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166" fontId="4" fillId="8" borderId="131" xfId="0" applyNumberFormat="1" applyFont="1" applyFill="1" applyBorder="1" applyAlignment="1">
      <alignment vertical="center" shrinkToFit="1"/>
    </xf>
    <xf numFmtId="165" fontId="4" fillId="8" borderId="131" xfId="0" applyNumberFormat="1" applyFont="1" applyFill="1" applyBorder="1" applyAlignment="1">
      <alignment vertical="center" shrinkToFit="1"/>
    </xf>
    <xf numFmtId="165" fontId="4" fillId="12" borderId="116" xfId="0" applyNumberFormat="1" applyFont="1" applyFill="1" applyBorder="1" applyAlignment="1">
      <alignment horizontal="center" vertical="center" shrinkToFit="1"/>
    </xf>
    <xf numFmtId="165" fontId="4" fillId="12" borderId="140" xfId="0" applyNumberFormat="1" applyFont="1" applyFill="1" applyBorder="1" applyAlignment="1">
      <alignment horizontal="center" vertical="center" wrapText="1"/>
    </xf>
    <xf numFmtId="165" fontId="4" fillId="12" borderId="36" xfId="0" applyNumberFormat="1" applyFont="1" applyFill="1" applyBorder="1" applyAlignment="1">
      <alignment horizontal="center" vertical="center" wrapText="1"/>
    </xf>
    <xf numFmtId="167" fontId="4" fillId="2" borderId="31" xfId="0" applyNumberFormat="1" applyFont="1" applyFill="1" applyBorder="1" applyAlignment="1">
      <alignment horizontal="center" vertical="top" wrapText="1"/>
    </xf>
    <xf numFmtId="165" fontId="4" fillId="12" borderId="143" xfId="0" applyNumberFormat="1" applyFont="1" applyFill="1" applyBorder="1" applyAlignment="1">
      <alignment horizontal="center" vertical="center" shrinkToFit="1"/>
    </xf>
    <xf numFmtId="167" fontId="4" fillId="2" borderId="143" xfId="0" applyNumberFormat="1" applyFont="1" applyFill="1" applyBorder="1" applyAlignment="1">
      <alignment horizontal="center" vertical="center" shrinkToFit="1"/>
    </xf>
    <xf numFmtId="166" fontId="4" fillId="2" borderId="143" xfId="0" applyNumberFormat="1" applyFont="1" applyFill="1" applyBorder="1" applyAlignment="1">
      <alignment horizontal="center" vertical="center" shrinkToFit="1"/>
    </xf>
    <xf numFmtId="165" fontId="4" fillId="2" borderId="159" xfId="0" applyNumberFormat="1" applyFont="1" applyFill="1" applyBorder="1" applyAlignment="1">
      <alignment horizontal="center" vertical="center" shrinkToFit="1"/>
    </xf>
    <xf numFmtId="165" fontId="5" fillId="9" borderId="139" xfId="0" applyNumberFormat="1" applyFont="1" applyFill="1" applyBorder="1" applyAlignment="1">
      <alignment vertical="center" shrinkToFit="1"/>
    </xf>
    <xf numFmtId="165" fontId="5" fillId="9" borderId="109" xfId="0" applyNumberFormat="1" applyFont="1" applyFill="1" applyBorder="1" applyAlignment="1">
      <alignment vertical="center" shrinkToFit="1"/>
    </xf>
    <xf numFmtId="0" fontId="4" fillId="8" borderId="38" xfId="0" applyFont="1" applyFill="1" applyBorder="1" applyAlignment="1">
      <alignment horizontal="center" vertical="center"/>
    </xf>
    <xf numFmtId="0" fontId="6" fillId="0" borderId="39" xfId="0" applyFont="1" applyBorder="1"/>
    <xf numFmtId="0" fontId="4" fillId="9" borderId="50" xfId="0" applyFont="1" applyFill="1" applyBorder="1" applyAlignment="1">
      <alignment horizontal="left" vertical="center"/>
    </xf>
    <xf numFmtId="0" fontId="6" fillId="0" borderId="10" xfId="0" applyFont="1" applyBorder="1"/>
    <xf numFmtId="0" fontId="4" fillId="9" borderId="60" xfId="0" applyFont="1" applyFill="1" applyBorder="1" applyAlignment="1">
      <alignment horizontal="left" vertical="center"/>
    </xf>
    <xf numFmtId="0" fontId="6" fillId="0" borderId="61" xfId="0" applyFont="1" applyBorder="1"/>
    <xf numFmtId="49" fontId="4" fillId="9" borderId="60" xfId="0" applyNumberFormat="1" applyFont="1" applyFill="1" applyBorder="1" applyAlignment="1">
      <alignment horizontal="left" vertical="center"/>
    </xf>
    <xf numFmtId="0" fontId="6" fillId="0" borderId="18" xfId="0" applyFont="1" applyBorder="1"/>
    <xf numFmtId="165" fontId="4" fillId="14" borderId="50" xfId="0" applyNumberFormat="1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center" vertical="center" shrinkToFit="1"/>
    </xf>
    <xf numFmtId="165" fontId="4" fillId="2" borderId="133" xfId="0" applyNumberFormat="1" applyFont="1" applyFill="1" applyBorder="1" applyAlignment="1">
      <alignment horizontal="center" vertical="center" shrinkToFit="1"/>
    </xf>
    <xf numFmtId="165" fontId="4" fillId="2" borderId="22" xfId="0" applyNumberFormat="1" applyFont="1" applyFill="1" applyBorder="1" applyAlignment="1">
      <alignment horizontal="center" vertical="center" shrinkToFit="1"/>
    </xf>
    <xf numFmtId="165" fontId="4" fillId="2" borderId="134" xfId="0" applyNumberFormat="1" applyFont="1" applyFill="1" applyBorder="1" applyAlignment="1">
      <alignment horizontal="center" vertical="center" shrinkToFit="1"/>
    </xf>
    <xf numFmtId="167" fontId="4" fillId="3" borderId="3" xfId="0" applyNumberFormat="1" applyFont="1" applyFill="1" applyBorder="1" applyAlignment="1">
      <alignment horizontal="center" vertical="top"/>
    </xf>
    <xf numFmtId="0" fontId="6" fillId="0" borderId="4" xfId="0" applyFont="1" applyBorder="1"/>
    <xf numFmtId="0" fontId="6" fillId="0" borderId="5" xfId="0" applyFont="1" applyBorder="1"/>
    <xf numFmtId="167" fontId="4" fillId="4" borderId="8" xfId="0" applyNumberFormat="1" applyFont="1" applyFill="1" applyBorder="1" applyAlignment="1">
      <alignment horizontal="center" vertical="top" shrinkToFit="1"/>
    </xf>
    <xf numFmtId="0" fontId="6" fillId="0" borderId="9" xfId="0" applyFont="1" applyBorder="1"/>
    <xf numFmtId="167" fontId="4" fillId="5" borderId="13" xfId="0" applyNumberFormat="1" applyFont="1" applyFill="1" applyBorder="1" applyAlignment="1">
      <alignment horizontal="center" vertical="top" shrinkToFit="1"/>
    </xf>
    <xf numFmtId="0" fontId="6" fillId="0" borderId="14" xfId="0" applyFont="1" applyBorder="1"/>
    <xf numFmtId="0" fontId="6" fillId="0" borderId="15" xfId="0" applyFont="1" applyBorder="1"/>
    <xf numFmtId="167" fontId="4" fillId="7" borderId="8" xfId="0" applyNumberFormat="1" applyFont="1" applyFill="1" applyBorder="1" applyAlignment="1">
      <alignment horizontal="center" vertical="top" wrapText="1"/>
    </xf>
    <xf numFmtId="165" fontId="7" fillId="7" borderId="19" xfId="0" applyNumberFormat="1" applyFont="1" applyFill="1" applyBorder="1" applyAlignment="1">
      <alignment horizontal="center" vertical="top" wrapText="1" shrinkToFit="1"/>
    </xf>
    <xf numFmtId="0" fontId="3" fillId="0" borderId="20" xfId="0" applyFont="1" applyBorder="1" applyAlignment="1">
      <alignment wrapText="1" shrinkToFit="1"/>
    </xf>
    <xf numFmtId="0" fontId="3" fillId="0" borderId="21" xfId="0" applyFont="1" applyBorder="1" applyAlignment="1">
      <alignment wrapText="1" shrinkToFit="1"/>
    </xf>
    <xf numFmtId="0" fontId="3" fillId="0" borderId="27" xfId="0" applyFont="1" applyBorder="1" applyAlignment="1">
      <alignment wrapText="1" shrinkToFit="1"/>
    </xf>
    <xf numFmtId="0" fontId="3" fillId="0" borderId="28" xfId="0" applyFont="1" applyBorder="1" applyAlignment="1">
      <alignment wrapText="1" shrinkToFit="1"/>
    </xf>
    <xf numFmtId="0" fontId="3" fillId="0" borderId="29" xfId="0" applyFont="1" applyBorder="1" applyAlignment="1">
      <alignment wrapText="1" shrinkToFit="1"/>
    </xf>
    <xf numFmtId="167" fontId="4" fillId="7" borderId="24" xfId="0" applyNumberFormat="1" applyFont="1" applyFill="1" applyBorder="1" applyAlignment="1">
      <alignment horizontal="center" vertical="top" wrapText="1"/>
    </xf>
    <xf numFmtId="0" fontId="6" fillId="0" borderId="25" xfId="0" applyFont="1" applyBorder="1"/>
    <xf numFmtId="0" fontId="6" fillId="0" borderId="26" xfId="0" applyFont="1" applyBorder="1"/>
    <xf numFmtId="165" fontId="4" fillId="2" borderId="22" xfId="0" applyNumberFormat="1" applyFont="1" applyFill="1" applyBorder="1" applyAlignment="1">
      <alignment horizontal="center" vertical="center" wrapText="1" shrinkToFit="1"/>
    </xf>
    <xf numFmtId="165" fontId="4" fillId="2" borderId="134" xfId="0" applyNumberFormat="1" applyFont="1" applyFill="1" applyBorder="1" applyAlignment="1">
      <alignment horizontal="center" vertical="center" wrapText="1" shrinkToFit="1"/>
    </xf>
    <xf numFmtId="165" fontId="4" fillId="2" borderId="33" xfId="0" applyNumberFormat="1" applyFont="1" applyFill="1" applyBorder="1" applyAlignment="1">
      <alignment horizontal="center" vertical="center" wrapText="1" shrinkToFit="1"/>
    </xf>
    <xf numFmtId="165" fontId="4" fillId="2" borderId="143" xfId="0" applyNumberFormat="1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/>
    </xf>
    <xf numFmtId="167" fontId="4" fillId="6" borderId="8" xfId="0" applyNumberFormat="1" applyFont="1" applyFill="1" applyBorder="1" applyAlignment="1">
      <alignment horizontal="center" vertical="top" shrinkToFit="1"/>
    </xf>
    <xf numFmtId="165" fontId="4" fillId="8" borderId="8" xfId="0" applyNumberFormat="1" applyFont="1" applyFill="1" applyBorder="1" applyAlignment="1">
      <alignment horizontal="center" vertical="center" shrinkToFit="1"/>
    </xf>
    <xf numFmtId="165" fontId="4" fillId="9" borderId="13" xfId="0" applyNumberFormat="1" applyFont="1" applyFill="1" applyBorder="1" applyAlignment="1">
      <alignment horizontal="center" vertical="center" shrinkToFit="1"/>
    </xf>
    <xf numFmtId="167" fontId="4" fillId="7" borderId="13" xfId="0" applyNumberFormat="1" applyFont="1" applyFill="1" applyBorder="1" applyAlignment="1">
      <alignment horizontal="center" vertical="top" wrapText="1"/>
    </xf>
    <xf numFmtId="165" fontId="4" fillId="10" borderId="31" xfId="0" applyNumberFormat="1" applyFont="1" applyFill="1" applyBorder="1" applyAlignment="1">
      <alignment horizontal="center" vertical="top" wrapText="1" shrinkToFit="1"/>
    </xf>
    <xf numFmtId="0" fontId="6" fillId="0" borderId="36" xfId="0" applyFont="1" applyBorder="1" applyAlignment="1">
      <alignment wrapText="1"/>
    </xf>
    <xf numFmtId="165" fontId="4" fillId="9" borderId="24" xfId="0" applyNumberFormat="1" applyFont="1" applyFill="1" applyBorder="1" applyAlignment="1">
      <alignment horizontal="center" vertical="center" shrinkToFit="1"/>
    </xf>
    <xf numFmtId="165" fontId="4" fillId="12" borderId="8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/>
    </xf>
    <xf numFmtId="165" fontId="4" fillId="7" borderId="8" xfId="0" applyNumberFormat="1" applyFont="1" applyFill="1" applyBorder="1" applyAlignment="1">
      <alignment horizontal="center" vertical="top" shrinkToFit="1"/>
    </xf>
    <xf numFmtId="165" fontId="4" fillId="7" borderId="8" xfId="0" applyNumberFormat="1" applyFont="1" applyFill="1" applyBorder="1" applyAlignment="1">
      <alignment horizontal="center" shrinkToFit="1"/>
    </xf>
    <xf numFmtId="165" fontId="4" fillId="2" borderId="8" xfId="0" applyNumberFormat="1" applyFont="1" applyFill="1" applyBorder="1" applyAlignment="1">
      <alignment horizontal="center" vertical="center" wrapText="1"/>
    </xf>
    <xf numFmtId="167" fontId="4" fillId="3" borderId="3" xfId="0" applyNumberFormat="1" applyFont="1" applyFill="1" applyBorder="1" applyAlignment="1">
      <alignment horizontal="center" vertical="top" shrinkToFit="1"/>
    </xf>
    <xf numFmtId="167" fontId="4" fillId="5" borderId="8" xfId="0" applyNumberFormat="1" applyFont="1" applyFill="1" applyBorder="1" applyAlignment="1">
      <alignment horizontal="center" vertical="top" shrinkToFit="1"/>
    </xf>
    <xf numFmtId="165" fontId="7" fillId="7" borderId="64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65" xfId="0" applyFont="1" applyBorder="1" applyAlignment="1">
      <alignment wrapText="1"/>
    </xf>
    <xf numFmtId="0" fontId="3" fillId="0" borderId="66" xfId="0" applyFont="1" applyBorder="1" applyAlignment="1">
      <alignment wrapText="1"/>
    </xf>
    <xf numFmtId="0" fontId="3" fillId="0" borderId="67" xfId="0" applyFont="1" applyBorder="1" applyAlignment="1">
      <alignment wrapText="1"/>
    </xf>
    <xf numFmtId="165" fontId="4" fillId="7" borderId="13" xfId="0" applyNumberFormat="1" applyFont="1" applyFill="1" applyBorder="1" applyAlignment="1">
      <alignment horizontal="center" vertical="top" wrapText="1"/>
    </xf>
    <xf numFmtId="165" fontId="4" fillId="7" borderId="19" xfId="0" applyNumberFormat="1" applyFont="1" applyFill="1" applyBorder="1" applyAlignment="1">
      <alignment horizontal="center" vertical="top" wrapText="1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2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2" xfId="0" applyFont="1" applyBorder="1"/>
    <xf numFmtId="167" fontId="4" fillId="7" borderId="64" xfId="0" applyNumberFormat="1" applyFont="1" applyFill="1" applyBorder="1" applyAlignment="1">
      <alignment horizontal="center" vertical="top" shrinkToFit="1"/>
    </xf>
    <xf numFmtId="0" fontId="6" fillId="0" borderId="20" xfId="0" applyFont="1" applyBorder="1"/>
    <xf numFmtId="0" fontId="6" fillId="0" borderId="21" xfId="0" applyFont="1" applyBorder="1"/>
    <xf numFmtId="0" fontId="6" fillId="0" borderId="65" xfId="0" applyFont="1" applyBorder="1"/>
    <xf numFmtId="0" fontId="6" fillId="0" borderId="66" xfId="0" applyFont="1" applyBorder="1"/>
    <xf numFmtId="0" fontId="6" fillId="0" borderId="67" xfId="0" applyFont="1" applyBorder="1"/>
    <xf numFmtId="167" fontId="4" fillId="7" borderId="64" xfId="0" applyNumberFormat="1" applyFont="1" applyFill="1" applyBorder="1" applyAlignment="1">
      <alignment horizontal="center" vertical="top" wrapText="1"/>
    </xf>
    <xf numFmtId="0" fontId="6" fillId="0" borderId="71" xfId="0" applyFont="1" applyBorder="1"/>
    <xf numFmtId="0" fontId="6" fillId="0" borderId="28" xfId="0" applyFont="1" applyBorder="1"/>
    <xf numFmtId="0" fontId="6" fillId="0" borderId="29" xfId="0" applyFont="1" applyBorder="1"/>
    <xf numFmtId="167" fontId="4" fillId="9" borderId="3" xfId="0" applyNumberFormat="1" applyFont="1" applyFill="1" applyBorder="1" applyAlignment="1">
      <alignment horizontal="center" vertical="top" shrinkToFit="1"/>
    </xf>
    <xf numFmtId="0" fontId="6" fillId="0" borderId="73" xfId="0" applyFont="1" applyBorder="1"/>
    <xf numFmtId="167" fontId="4" fillId="9" borderId="74" xfId="0" applyNumberFormat="1" applyFont="1" applyFill="1" applyBorder="1" applyAlignment="1">
      <alignment horizontal="center" vertical="top" shrinkToFit="1"/>
    </xf>
    <xf numFmtId="167" fontId="4" fillId="13" borderId="8" xfId="0" applyNumberFormat="1" applyFont="1" applyFill="1" applyBorder="1" applyAlignment="1">
      <alignment horizontal="center" vertical="top" shrinkToFit="1"/>
    </xf>
    <xf numFmtId="167" fontId="4" fillId="13" borderId="32" xfId="0" applyNumberFormat="1" applyFont="1" applyFill="1" applyBorder="1" applyAlignment="1">
      <alignment horizontal="center" vertical="top" shrinkToFit="1"/>
    </xf>
    <xf numFmtId="167" fontId="4" fillId="17" borderId="8" xfId="0" applyNumberFormat="1" applyFont="1" applyFill="1" applyBorder="1" applyAlignment="1">
      <alignment horizontal="center" vertical="top" wrapText="1"/>
    </xf>
    <xf numFmtId="167" fontId="4" fillId="17" borderId="75" xfId="0" applyNumberFormat="1" applyFont="1" applyFill="1" applyBorder="1" applyAlignment="1">
      <alignment horizontal="center" vertical="top" wrapText="1"/>
    </xf>
    <xf numFmtId="165" fontId="4" fillId="18" borderId="76" xfId="0" applyNumberFormat="1" applyFont="1" applyFill="1" applyBorder="1" applyAlignment="1">
      <alignment horizontal="center" vertical="center" wrapText="1" shrinkToFit="1"/>
    </xf>
    <xf numFmtId="0" fontId="6" fillId="0" borderId="80" xfId="0" applyFont="1" applyBorder="1" applyAlignment="1">
      <alignment wrapText="1"/>
    </xf>
    <xf numFmtId="167" fontId="4" fillId="7" borderId="8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5" fontId="4" fillId="7" borderId="20" xfId="0" applyNumberFormat="1" applyFont="1" applyFill="1" applyBorder="1" applyAlignment="1">
      <alignment horizontal="center" vertical="center" shrinkToFit="1"/>
    </xf>
    <xf numFmtId="165" fontId="4" fillId="2" borderId="21" xfId="0" applyNumberFormat="1" applyFont="1" applyFill="1" applyBorder="1" applyAlignment="1">
      <alignment horizontal="center" vertical="center" wrapText="1"/>
    </xf>
    <xf numFmtId="0" fontId="6" fillId="0" borderId="81" xfId="0" applyFont="1" applyBorder="1"/>
    <xf numFmtId="0" fontId="6" fillId="0" borderId="81" xfId="0" applyFont="1" applyBorder="1" applyAlignment="1">
      <alignment vertical="center" wrapText="1"/>
    </xf>
    <xf numFmtId="167" fontId="4" fillId="7" borderId="77" xfId="0" applyNumberFormat="1" applyFont="1" applyFill="1" applyBorder="1" applyAlignment="1">
      <alignment horizontal="center" vertical="top"/>
    </xf>
    <xf numFmtId="0" fontId="6" fillId="0" borderId="78" xfId="0" applyFont="1" applyBorder="1"/>
    <xf numFmtId="0" fontId="6" fillId="0" borderId="79" xfId="0" applyFont="1" applyBorder="1"/>
    <xf numFmtId="167" fontId="2" fillId="7" borderId="64" xfId="0" applyNumberFormat="1" applyFont="1" applyFill="1" applyBorder="1" applyAlignment="1">
      <alignment horizontal="center" vertical="top" wrapText="1"/>
    </xf>
    <xf numFmtId="0" fontId="14" fillId="0" borderId="20" xfId="0" applyFont="1" applyBorder="1"/>
    <xf numFmtId="0" fontId="14" fillId="0" borderId="21" xfId="0" applyFont="1" applyBorder="1"/>
    <xf numFmtId="0" fontId="14" fillId="0" borderId="71" xfId="0" applyFont="1" applyBorder="1"/>
    <xf numFmtId="0" fontId="14" fillId="0" borderId="28" xfId="0" applyFont="1" applyBorder="1"/>
    <xf numFmtId="0" fontId="14" fillId="0" borderId="29" xfId="0" applyFont="1" applyBorder="1"/>
    <xf numFmtId="167" fontId="4" fillId="2" borderId="8" xfId="0" applyNumberFormat="1" applyFont="1" applyFill="1" applyBorder="1" applyAlignment="1">
      <alignment horizontal="center" vertical="top" wrapText="1"/>
    </xf>
    <xf numFmtId="165" fontId="4" fillId="14" borderId="95" xfId="0" applyNumberFormat="1" applyFont="1" applyFill="1" applyBorder="1" applyAlignment="1">
      <alignment horizontal="left" vertical="center"/>
    </xf>
    <xf numFmtId="0" fontId="6" fillId="0" borderId="129" xfId="0" applyFont="1" applyBorder="1"/>
    <xf numFmtId="0" fontId="4" fillId="9" borderId="95" xfId="0" applyFont="1" applyFill="1" applyBorder="1" applyAlignment="1">
      <alignment horizontal="left" vertical="center"/>
    </xf>
    <xf numFmtId="165" fontId="4" fillId="13" borderId="8" xfId="0" applyNumberFormat="1" applyFont="1" applyFill="1" applyBorder="1" applyAlignment="1">
      <alignment horizontal="center" vertical="center" shrinkToFit="1"/>
    </xf>
    <xf numFmtId="167" fontId="4" fillId="17" borderId="8" xfId="0" applyNumberFormat="1" applyFont="1" applyFill="1" applyBorder="1" applyAlignment="1">
      <alignment horizontal="center" vertical="top" shrinkToFit="1"/>
    </xf>
    <xf numFmtId="0" fontId="4" fillId="7" borderId="8" xfId="0" quotePrefix="1" applyFont="1" applyFill="1" applyBorder="1" applyAlignment="1">
      <alignment horizontal="center" vertical="center" shrinkToFit="1"/>
    </xf>
    <xf numFmtId="166" fontId="4" fillId="7" borderId="8" xfId="0" applyNumberFormat="1" applyFont="1" applyFill="1" applyBorder="1" applyAlignment="1">
      <alignment horizontal="center" vertical="center" wrapText="1"/>
    </xf>
    <xf numFmtId="166" fontId="4" fillId="7" borderId="8" xfId="0" applyNumberFormat="1" applyFont="1" applyFill="1" applyBorder="1" applyAlignment="1">
      <alignment horizontal="center" vertical="center" shrinkToFit="1"/>
    </xf>
    <xf numFmtId="165" fontId="4" fillId="7" borderId="64" xfId="0" applyNumberFormat="1" applyFont="1" applyFill="1" applyBorder="1" applyAlignment="1">
      <alignment horizontal="center" vertical="top" wrapText="1"/>
    </xf>
    <xf numFmtId="167" fontId="4" fillId="19" borderId="3" xfId="0" applyNumberFormat="1" applyFont="1" applyFill="1" applyBorder="1" applyAlignment="1">
      <alignment horizontal="center" vertical="top"/>
    </xf>
    <xf numFmtId="167" fontId="4" fillId="20" borderId="8" xfId="0" applyNumberFormat="1" applyFont="1" applyFill="1" applyBorder="1" applyAlignment="1">
      <alignment horizontal="center" vertical="top"/>
    </xf>
    <xf numFmtId="167" fontId="4" fillId="20" borderId="8" xfId="0" applyNumberFormat="1" applyFont="1" applyFill="1" applyBorder="1" applyAlignment="1">
      <alignment horizontal="center" vertical="center"/>
    </xf>
    <xf numFmtId="167" fontId="4" fillId="21" borderId="8" xfId="0" applyNumberFormat="1" applyFont="1" applyFill="1" applyBorder="1" applyAlignment="1">
      <alignment horizontal="center" vertical="top"/>
    </xf>
    <xf numFmtId="167" fontId="4" fillId="21" borderId="8" xfId="0" applyNumberFormat="1" applyFont="1" applyFill="1" applyBorder="1" applyAlignment="1">
      <alignment horizontal="center" vertical="center"/>
    </xf>
    <xf numFmtId="165" fontId="4" fillId="10" borderId="31" xfId="0" applyNumberFormat="1" applyFont="1" applyFill="1" applyBorder="1" applyAlignment="1">
      <alignment horizontal="center" vertical="top" shrinkToFit="1"/>
    </xf>
    <xf numFmtId="0" fontId="6" fillId="0" borderId="36" xfId="0" applyFont="1" applyBorder="1"/>
    <xf numFmtId="167" fontId="4" fillId="6" borderId="32" xfId="0" applyNumberFormat="1" applyFont="1" applyFill="1" applyBorder="1" applyAlignment="1">
      <alignment horizontal="center" vertical="top" shrinkToFit="1"/>
    </xf>
    <xf numFmtId="167" fontId="4" fillId="7" borderId="64" xfId="0" applyNumberFormat="1" applyFont="1" applyFill="1" applyBorder="1" applyAlignment="1">
      <alignment horizontal="center" vertical="center" wrapText="1"/>
    </xf>
    <xf numFmtId="165" fontId="4" fillId="8" borderId="32" xfId="0" applyNumberFormat="1" applyFont="1" applyFill="1" applyBorder="1" applyAlignment="1">
      <alignment horizontal="center" vertical="center" shrinkToFit="1"/>
    </xf>
    <xf numFmtId="165" fontId="4" fillId="2" borderId="24" xfId="0" applyNumberFormat="1" applyFont="1" applyFill="1" applyBorder="1" applyAlignment="1">
      <alignment horizontal="center" vertical="center" wrapText="1"/>
    </xf>
    <xf numFmtId="168" fontId="4" fillId="21" borderId="8" xfId="0" applyNumberFormat="1" applyFont="1" applyFill="1" applyBorder="1" applyAlignment="1">
      <alignment horizontal="center" vertical="top"/>
    </xf>
    <xf numFmtId="167" fontId="2" fillId="7" borderId="8" xfId="0" applyNumberFormat="1" applyFont="1" applyFill="1" applyBorder="1" applyAlignment="1">
      <alignment horizontal="center" vertical="top" wrapText="1"/>
    </xf>
    <xf numFmtId="0" fontId="14" fillId="0" borderId="10" xfId="0" applyFont="1" applyBorder="1" applyAlignment="1">
      <alignment vertical="top"/>
    </xf>
    <xf numFmtId="167" fontId="4" fillId="12" borderId="76" xfId="0" applyNumberFormat="1" applyFont="1" applyFill="1" applyBorder="1" applyAlignment="1">
      <alignment horizontal="center" vertical="center" wrapText="1"/>
    </xf>
    <xf numFmtId="0" fontId="6" fillId="0" borderId="80" xfId="0" applyFont="1" applyBorder="1"/>
    <xf numFmtId="167" fontId="7" fillId="7" borderId="8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vertical="top"/>
    </xf>
    <xf numFmtId="165" fontId="4" fillId="12" borderId="8" xfId="0" applyNumberFormat="1" applyFont="1" applyFill="1" applyBorder="1" applyAlignment="1">
      <alignment horizontal="center" vertical="center" shrinkToFit="1"/>
    </xf>
    <xf numFmtId="165" fontId="4" fillId="7" borderId="8" xfId="0" applyNumberFormat="1" applyFont="1" applyFill="1" applyBorder="1" applyAlignment="1">
      <alignment horizontal="center" vertical="top" wrapText="1"/>
    </xf>
    <xf numFmtId="0" fontId="6" fillId="0" borderId="86" xfId="0" applyFont="1" applyBorder="1"/>
    <xf numFmtId="0" fontId="6" fillId="0" borderId="85" xfId="0" applyFont="1" applyBorder="1"/>
    <xf numFmtId="0" fontId="6" fillId="0" borderId="87" xfId="0" applyFont="1" applyBorder="1"/>
    <xf numFmtId="165" fontId="4" fillId="7" borderId="68" xfId="1" applyNumberFormat="1" applyFont="1" applyFill="1" applyBorder="1" applyAlignment="1">
      <alignment horizontal="center" vertical="top" shrinkToFit="1"/>
    </xf>
    <xf numFmtId="0" fontId="6" fillId="0" borderId="128" xfId="1" applyFont="1" applyBorder="1"/>
    <xf numFmtId="0" fontId="6" fillId="0" borderId="97" xfId="1" applyFont="1" applyBorder="1"/>
    <xf numFmtId="165" fontId="4" fillId="8" borderId="1" xfId="1" applyNumberFormat="1" applyFont="1" applyFill="1" applyBorder="1" applyAlignment="1">
      <alignment horizontal="center" vertical="center" shrinkToFit="1"/>
    </xf>
    <xf numFmtId="0" fontId="6" fillId="0" borderId="127" xfId="1" applyFont="1" applyBorder="1"/>
    <xf numFmtId="0" fontId="6" fillId="0" borderId="22" xfId="1" applyFont="1" applyBorder="1"/>
    <xf numFmtId="0" fontId="6" fillId="0" borderId="116" xfId="1" applyFont="1" applyBorder="1"/>
    <xf numFmtId="0" fontId="4" fillId="17" borderId="1" xfId="1" applyFont="1" applyFill="1" applyBorder="1" applyAlignment="1">
      <alignment horizontal="center" vertical="center"/>
    </xf>
    <xf numFmtId="0" fontId="6" fillId="0" borderId="91" xfId="1" applyFont="1" applyBorder="1"/>
    <xf numFmtId="0" fontId="6" fillId="0" borderId="108" xfId="1" applyFont="1" applyBorder="1"/>
    <xf numFmtId="167" fontId="4" fillId="22" borderId="93" xfId="1" applyNumberFormat="1" applyFont="1" applyFill="1" applyBorder="1" applyAlignment="1">
      <alignment horizontal="center" vertical="center" shrinkToFit="1"/>
    </xf>
    <xf numFmtId="0" fontId="6" fillId="0" borderId="117" xfId="1" applyFont="1" applyBorder="1"/>
    <xf numFmtId="0" fontId="6" fillId="0" borderId="95" xfId="1" applyFont="1" applyBorder="1"/>
    <xf numFmtId="0" fontId="6" fillId="0" borderId="129" xfId="1" applyFont="1" applyBorder="1"/>
    <xf numFmtId="0" fontId="6" fillId="0" borderId="144" xfId="1" applyFont="1" applyBorder="1"/>
    <xf numFmtId="165" fontId="4" fillId="7" borderId="119" xfId="1" applyNumberFormat="1" applyFont="1" applyFill="1" applyBorder="1" applyAlignment="1">
      <alignment horizontal="center" vertical="center" shrinkToFit="1"/>
    </xf>
    <xf numFmtId="0" fontId="6" fillId="0" borderId="46" xfId="1" applyFont="1" applyBorder="1"/>
    <xf numFmtId="0" fontId="6" fillId="0" borderId="48" xfId="1" applyFont="1" applyBorder="1"/>
    <xf numFmtId="165" fontId="4" fillId="7" borderId="68" xfId="1" applyNumberFormat="1" applyFont="1" applyFill="1" applyBorder="1" applyAlignment="1">
      <alignment horizontal="center" vertical="center" shrinkToFit="1"/>
    </xf>
    <xf numFmtId="0" fontId="6" fillId="0" borderId="118" xfId="1" applyFont="1" applyBorder="1"/>
    <xf numFmtId="0" fontId="6" fillId="0" borderId="96" xfId="1" applyFont="1" applyBorder="1"/>
    <xf numFmtId="165" fontId="7" fillId="7" borderId="68" xfId="1" applyNumberFormat="1" applyFont="1" applyFill="1" applyBorder="1" applyAlignment="1">
      <alignment horizontal="center" vertical="center" wrapText="1"/>
    </xf>
    <xf numFmtId="0" fontId="3" fillId="0" borderId="128" xfId="1" applyFont="1" applyBorder="1"/>
    <xf numFmtId="0" fontId="3" fillId="0" borderId="117" xfId="1" applyFont="1" applyBorder="1"/>
    <xf numFmtId="0" fontId="3" fillId="0" borderId="118" xfId="1" applyFont="1" applyBorder="1"/>
    <xf numFmtId="0" fontId="3" fillId="0" borderId="129" xfId="1" applyFont="1" applyBorder="1"/>
    <xf numFmtId="0" fontId="3" fillId="0" borderId="144" xfId="1" applyFont="1" applyBorder="1"/>
    <xf numFmtId="167" fontId="4" fillId="7" borderId="119" xfId="1" applyNumberFormat="1" applyFont="1" applyFill="1" applyBorder="1" applyAlignment="1">
      <alignment horizontal="center" vertical="center" shrinkToFit="1"/>
    </xf>
    <xf numFmtId="167" fontId="7" fillId="7" borderId="68" xfId="1" applyNumberFormat="1" applyFont="1" applyFill="1" applyBorder="1" applyAlignment="1">
      <alignment horizontal="center" vertical="center" wrapText="1"/>
    </xf>
    <xf numFmtId="0" fontId="3" fillId="0" borderId="138" xfId="1" applyFont="1" applyBorder="1"/>
    <xf numFmtId="0" fontId="3" fillId="0" borderId="116" xfId="1" applyFont="1" applyBorder="1"/>
    <xf numFmtId="0" fontId="3" fillId="0" borderId="134" xfId="1" applyFont="1" applyBorder="1"/>
    <xf numFmtId="165" fontId="4" fillId="8" borderId="50" xfId="1" applyNumberFormat="1" applyFont="1" applyFill="1" applyBorder="1" applyAlignment="1">
      <alignment horizontal="center" vertical="center" shrinkToFit="1"/>
    </xf>
    <xf numFmtId="165" fontId="4" fillId="9" borderId="68" xfId="1" applyNumberFormat="1" applyFont="1" applyFill="1" applyBorder="1" applyAlignment="1">
      <alignment horizontal="center" vertical="center" shrinkToFit="1"/>
    </xf>
    <xf numFmtId="165" fontId="4" fillId="7" borderId="119" xfId="1" applyNumberFormat="1" applyFont="1" applyFill="1" applyBorder="1" applyAlignment="1">
      <alignment horizontal="center" vertical="top" shrinkToFit="1"/>
    </xf>
    <xf numFmtId="0" fontId="4" fillId="2" borderId="119" xfId="1" applyFont="1" applyFill="1" applyBorder="1" applyAlignment="1">
      <alignment horizontal="center" vertical="center"/>
    </xf>
    <xf numFmtId="0" fontId="6" fillId="0" borderId="137" xfId="1" applyFont="1" applyBorder="1"/>
    <xf numFmtId="165" fontId="4" fillId="8" borderId="100" xfId="1" applyNumberFormat="1" applyFont="1" applyFill="1" applyBorder="1" applyAlignment="1">
      <alignment horizontal="center" vertical="center" shrinkToFit="1"/>
    </xf>
    <xf numFmtId="0" fontId="6" fillId="0" borderId="74" xfId="1" applyFont="1" applyBorder="1"/>
    <xf numFmtId="0" fontId="4" fillId="9" borderId="50" xfId="1" applyFont="1" applyFill="1" applyBorder="1" applyAlignment="1">
      <alignment horizontal="left" vertical="center"/>
    </xf>
    <xf numFmtId="0" fontId="4" fillId="9" borderId="95" xfId="1" applyFont="1" applyFill="1" applyBorder="1" applyAlignment="1">
      <alignment horizontal="left" vertical="center"/>
    </xf>
    <xf numFmtId="165" fontId="4" fillId="8" borderId="22" xfId="1" applyNumberFormat="1" applyFont="1" applyFill="1" applyBorder="1" applyAlignment="1">
      <alignment horizontal="center" vertical="center" wrapText="1" shrinkToFit="1"/>
    </xf>
    <xf numFmtId="0" fontId="6" fillId="0" borderId="33" xfId="1" applyFont="1" applyBorder="1"/>
    <xf numFmtId="0" fontId="6" fillId="0" borderId="142" xfId="1" applyFont="1" applyBorder="1"/>
    <xf numFmtId="165" fontId="4" fillId="10" borderId="31" xfId="1" applyNumberFormat="1" applyFont="1" applyFill="1" applyBorder="1" applyAlignment="1">
      <alignment horizontal="center" vertical="top" wrapText="1" shrinkToFit="1"/>
    </xf>
    <xf numFmtId="0" fontId="6" fillId="0" borderId="36" xfId="1" applyFont="1" applyBorder="1" applyAlignment="1">
      <alignment wrapText="1"/>
    </xf>
    <xf numFmtId="165" fontId="4" fillId="9" borderId="118" xfId="1" applyNumberFormat="1" applyFont="1" applyFill="1" applyBorder="1" applyAlignment="1">
      <alignment horizontal="center" vertical="center" shrinkToFit="1"/>
    </xf>
    <xf numFmtId="0" fontId="4" fillId="2" borderId="119" xfId="1" applyFont="1" applyFill="1" applyBorder="1" applyAlignment="1">
      <alignment horizontal="center"/>
    </xf>
    <xf numFmtId="167" fontId="4" fillId="2" borderId="118" xfId="1" applyNumberFormat="1" applyFont="1" applyFill="1" applyBorder="1" applyAlignment="1">
      <alignment horizontal="center" vertical="center" shrinkToFit="1"/>
    </xf>
    <xf numFmtId="167" fontId="4" fillId="2" borderId="119" xfId="1" applyNumberFormat="1" applyFont="1" applyFill="1" applyBorder="1" applyAlignment="1">
      <alignment horizontal="center" vertical="center" shrinkToFit="1"/>
    </xf>
    <xf numFmtId="49" fontId="4" fillId="9" borderId="95" xfId="1" applyNumberFormat="1" applyFont="1" applyFill="1" applyBorder="1" applyAlignment="1">
      <alignment horizontal="left" vertical="center"/>
    </xf>
    <xf numFmtId="165" fontId="4" fillId="14" borderId="95" xfId="1" applyNumberFormat="1" applyFont="1" applyFill="1" applyBorder="1" applyAlignment="1">
      <alignment horizontal="left" vertical="center"/>
    </xf>
    <xf numFmtId="165" fontId="4" fillId="8" borderId="1" xfId="0" applyNumberFormat="1" applyFont="1" applyFill="1" applyBorder="1" applyAlignment="1">
      <alignment horizontal="center" vertical="center" shrinkToFit="1"/>
    </xf>
    <xf numFmtId="0" fontId="4" fillId="9" borderId="1" xfId="0" applyFont="1" applyFill="1" applyBorder="1" applyAlignment="1">
      <alignment horizontal="center" vertical="center"/>
    </xf>
    <xf numFmtId="0" fontId="6" fillId="0" borderId="90" xfId="0" applyFont="1" applyBorder="1"/>
    <xf numFmtId="0" fontId="6" fillId="0" borderId="91" xfId="0" applyFont="1" applyBorder="1"/>
    <xf numFmtId="0" fontId="6" fillId="0" borderId="95" xfId="0" applyFont="1" applyBorder="1"/>
    <xf numFmtId="0" fontId="6" fillId="0" borderId="96" xfId="0" applyFont="1" applyBorder="1"/>
    <xf numFmtId="167" fontId="4" fillId="22" borderId="93" xfId="0" applyNumberFormat="1" applyFont="1" applyFill="1" applyBorder="1" applyAlignment="1">
      <alignment horizontal="center" vertical="center" shrinkToFit="1"/>
    </xf>
    <xf numFmtId="165" fontId="4" fillId="7" borderId="19" xfId="0" applyNumberFormat="1" applyFont="1" applyFill="1" applyBorder="1" applyAlignment="1">
      <alignment horizontal="center" vertical="center" shrinkToFit="1"/>
    </xf>
    <xf numFmtId="0" fontId="6" fillId="0" borderId="105" xfId="0" applyFont="1" applyBorder="1"/>
    <xf numFmtId="0" fontId="5" fillId="0" borderId="0" xfId="0" applyFont="1" applyAlignment="1"/>
    <xf numFmtId="0" fontId="6" fillId="0" borderId="106" xfId="0" applyFont="1" applyBorder="1"/>
    <xf numFmtId="0" fontId="6" fillId="0" borderId="27" xfId="0" applyFont="1" applyBorder="1"/>
    <xf numFmtId="165" fontId="4" fillId="7" borderId="64" xfId="0" applyNumberFormat="1" applyFont="1" applyFill="1" applyBorder="1" applyAlignment="1">
      <alignment horizontal="center" vertical="center" shrinkToFit="1"/>
    </xf>
    <xf numFmtId="0" fontId="6" fillId="0" borderId="94" xfId="0" applyFont="1" applyBorder="1"/>
    <xf numFmtId="0" fontId="6" fillId="0" borderId="107" xfId="0" applyFont="1" applyBorder="1"/>
    <xf numFmtId="0" fontId="6" fillId="0" borderId="108" xfId="0" applyFont="1" applyBorder="1"/>
    <xf numFmtId="165" fontId="4" fillId="8" borderId="50" xfId="0" applyNumberFormat="1" applyFont="1" applyFill="1" applyBorder="1" applyAlignment="1">
      <alignment horizontal="center" vertical="center" shrinkToFit="1"/>
    </xf>
    <xf numFmtId="167" fontId="4" fillId="12" borderId="8" xfId="0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165" fontId="4" fillId="8" borderId="100" xfId="0" applyNumberFormat="1" applyFont="1" applyFill="1" applyBorder="1" applyAlignment="1">
      <alignment horizontal="center" vertical="center" shrinkToFit="1"/>
    </xf>
    <xf numFmtId="165" fontId="4" fillId="14" borderId="8" xfId="0" applyNumberFormat="1" applyFont="1" applyFill="1" applyBorder="1" applyAlignment="1">
      <alignment horizontal="left" vertical="center"/>
    </xf>
    <xf numFmtId="165" fontId="4" fillId="8" borderId="22" xfId="0" applyNumberFormat="1" applyFont="1" applyFill="1" applyBorder="1" applyAlignment="1">
      <alignment horizontal="center" vertical="center" wrapText="1" shrinkToFit="1"/>
    </xf>
    <xf numFmtId="0" fontId="6" fillId="0" borderId="23" xfId="0" applyFont="1" applyBorder="1"/>
    <xf numFmtId="0" fontId="6" fillId="0" borderId="33" xfId="0" applyFont="1" applyBorder="1"/>
    <xf numFmtId="0" fontId="6" fillId="0" borderId="34" xfId="0" applyFont="1" applyBorder="1"/>
    <xf numFmtId="0" fontId="4" fillId="9" borderId="8" xfId="0" applyFont="1" applyFill="1" applyBorder="1" applyAlignment="1">
      <alignment horizontal="left" vertical="center"/>
    </xf>
    <xf numFmtId="0" fontId="4" fillId="9" borderId="24" xfId="0" applyFont="1" applyFill="1" applyBorder="1" applyAlignment="1">
      <alignment horizontal="left" vertical="center"/>
    </xf>
    <xf numFmtId="49" fontId="4" fillId="9" borderId="24" xfId="0" applyNumberFormat="1" applyFont="1" applyFill="1" applyBorder="1" applyAlignment="1">
      <alignment horizontal="left" vertical="center"/>
    </xf>
    <xf numFmtId="0" fontId="4" fillId="17" borderId="151" xfId="1" applyFont="1" applyFill="1" applyBorder="1" applyAlignment="1">
      <alignment horizontal="center" vertical="center"/>
    </xf>
    <xf numFmtId="0" fontId="4" fillId="17" borderId="127" xfId="1" applyFont="1" applyFill="1" applyBorder="1" applyAlignment="1">
      <alignment horizontal="center" vertical="center"/>
    </xf>
    <xf numFmtId="0" fontId="4" fillId="17" borderId="152" xfId="1" applyFont="1" applyFill="1" applyBorder="1" applyAlignment="1">
      <alignment horizontal="center" vertical="center"/>
    </xf>
    <xf numFmtId="0" fontId="4" fillId="17" borderId="129" xfId="1" applyFont="1" applyFill="1" applyBorder="1" applyAlignment="1">
      <alignment horizontal="center" vertical="center"/>
    </xf>
    <xf numFmtId="0" fontId="4" fillId="17" borderId="95" xfId="1" applyFont="1" applyFill="1" applyBorder="1" applyAlignment="1">
      <alignment horizontal="center" vertical="center"/>
    </xf>
    <xf numFmtId="0" fontId="4" fillId="7" borderId="119" xfId="1" applyFont="1" applyFill="1" applyBorder="1" applyAlignment="1">
      <alignment horizontal="center" vertical="center"/>
    </xf>
    <xf numFmtId="0" fontId="4" fillId="7" borderId="46" xfId="1" applyFont="1" applyFill="1" applyBorder="1" applyAlignment="1">
      <alignment horizontal="center" vertical="center"/>
    </xf>
    <xf numFmtId="0" fontId="4" fillId="7" borderId="48" xfId="1" applyFont="1" applyFill="1" applyBorder="1" applyAlignment="1">
      <alignment horizontal="center" vertical="center"/>
    </xf>
    <xf numFmtId="165" fontId="4" fillId="2" borderId="119" xfId="1" applyNumberFormat="1" applyFont="1" applyFill="1" applyBorder="1" applyAlignment="1">
      <alignment horizontal="center" vertical="center" shrinkToFit="1"/>
    </xf>
    <xf numFmtId="0" fontId="6" fillId="0" borderId="116" xfId="1" applyFont="1"/>
    <xf numFmtId="167" fontId="4" fillId="22" borderId="156" xfId="1" applyNumberFormat="1" applyFont="1" applyFill="1" applyBorder="1" applyAlignment="1">
      <alignment horizontal="center" vertical="center" shrinkToFit="1"/>
    </xf>
    <xf numFmtId="0" fontId="6" fillId="0" borderId="134" xfId="1" applyFont="1" applyBorder="1"/>
    <xf numFmtId="0" fontId="6" fillId="0" borderId="152" xfId="1" applyFont="1" applyBorder="1"/>
    <xf numFmtId="167" fontId="4" fillId="7" borderId="68" xfId="1" applyNumberFormat="1" applyFont="1" applyFill="1" applyBorder="1" applyAlignment="1">
      <alignment horizontal="center" vertical="center" shrinkToFit="1"/>
    </xf>
    <xf numFmtId="167" fontId="4" fillId="7" borderId="128" xfId="1" applyNumberFormat="1" applyFont="1" applyFill="1" applyBorder="1" applyAlignment="1">
      <alignment horizontal="center" vertical="center" shrinkToFit="1"/>
    </xf>
    <xf numFmtId="167" fontId="4" fillId="7" borderId="118" xfId="1" applyNumberFormat="1" applyFont="1" applyFill="1" applyBorder="1" applyAlignment="1">
      <alignment horizontal="center" vertical="center" shrinkToFit="1"/>
    </xf>
    <xf numFmtId="167" fontId="4" fillId="12" borderId="68" xfId="1" applyNumberFormat="1" applyFont="1" applyFill="1" applyBorder="1" applyAlignment="1">
      <alignment horizontal="center" vertical="center" shrinkToFit="1"/>
    </xf>
    <xf numFmtId="167" fontId="4" fillId="2" borderId="119" xfId="1" applyNumberFormat="1" applyFont="1" applyFill="1" applyBorder="1" applyAlignment="1">
      <alignment horizontal="center" vertical="top" shrinkToFit="1"/>
    </xf>
    <xf numFmtId="167" fontId="4" fillId="2" borderId="119" xfId="1" applyNumberFormat="1" applyFont="1" applyFill="1" applyBorder="1" applyAlignment="1">
      <alignment horizontal="center" vertical="top" wrapText="1" shrinkToFit="1"/>
    </xf>
    <xf numFmtId="0" fontId="6" fillId="0" borderId="46" xfId="1" applyFont="1" applyBorder="1" applyAlignment="1">
      <alignment vertical="top"/>
    </xf>
    <xf numFmtId="0" fontId="6" fillId="0" borderId="48" xfId="1" applyFont="1" applyBorder="1" applyAlignment="1">
      <alignment vertical="top"/>
    </xf>
    <xf numFmtId="165" fontId="4" fillId="8" borderId="153" xfId="1" applyNumberFormat="1" applyFont="1" applyFill="1" applyBorder="1" applyAlignment="1">
      <alignment horizontal="center" vertical="center" shrinkToFit="1"/>
    </xf>
    <xf numFmtId="165" fontId="4" fillId="2" borderId="46" xfId="1" applyNumberFormat="1" applyFont="1" applyFill="1" applyBorder="1" applyAlignment="1">
      <alignment horizontal="center" vertical="center" shrinkToFit="1"/>
    </xf>
    <xf numFmtId="167" fontId="4" fillId="7" borderId="118" xfId="1" applyNumberFormat="1" applyFont="1" applyFill="1" applyBorder="1" applyAlignment="1">
      <alignment horizontal="center" vertical="top" shrinkToFit="1"/>
    </xf>
    <xf numFmtId="165" fontId="4" fillId="14" borderId="119" xfId="1" applyNumberFormat="1" applyFont="1" applyFill="1" applyBorder="1" applyAlignment="1">
      <alignment horizontal="left" vertical="center"/>
    </xf>
    <xf numFmtId="167" fontId="4" fillId="12" borderId="119" xfId="1" applyNumberFormat="1" applyFont="1" applyFill="1" applyBorder="1" applyAlignment="1">
      <alignment horizontal="center" vertical="top" shrinkToFit="1"/>
    </xf>
    <xf numFmtId="0" fontId="4" fillId="9" borderId="119" xfId="1" applyFont="1" applyFill="1" applyBorder="1" applyAlignment="1">
      <alignment horizontal="left" vertical="center"/>
    </xf>
    <xf numFmtId="0" fontId="4" fillId="9" borderId="118" xfId="1" applyFont="1" applyFill="1" applyBorder="1" applyAlignment="1">
      <alignment horizontal="left" vertical="center"/>
    </xf>
    <xf numFmtId="49" fontId="4" fillId="9" borderId="118" xfId="1" applyNumberFormat="1" applyFont="1" applyFill="1" applyBorder="1" applyAlignment="1">
      <alignment horizontal="left" vertical="center"/>
    </xf>
    <xf numFmtId="165" fontId="19" fillId="10" borderId="31" xfId="1" applyNumberFormat="1" applyFont="1" applyFill="1" applyBorder="1" applyAlignment="1">
      <alignment horizontal="center" vertical="top" wrapText="1" shrinkToFit="1"/>
    </xf>
    <xf numFmtId="165" fontId="19" fillId="10" borderId="36" xfId="1" applyNumberFormat="1" applyFont="1" applyFill="1" applyBorder="1" applyAlignment="1">
      <alignment horizontal="center" vertical="top" wrapText="1" shrinkToFit="1"/>
    </xf>
    <xf numFmtId="0" fontId="4" fillId="2" borderId="119" xfId="0" applyFont="1" applyFill="1" applyBorder="1" applyAlignment="1">
      <alignment horizontal="center" vertical="center"/>
    </xf>
    <xf numFmtId="0" fontId="6" fillId="0" borderId="48" xfId="0" applyFont="1" applyBorder="1"/>
    <xf numFmtId="0" fontId="4" fillId="9" borderId="151" xfId="0" applyFont="1" applyFill="1" applyBorder="1" applyAlignment="1">
      <alignment horizontal="center" vertical="center"/>
    </xf>
    <xf numFmtId="0" fontId="6" fillId="0" borderId="127" xfId="0" applyFont="1" applyBorder="1"/>
    <xf numFmtId="0" fontId="6" fillId="0" borderId="152" xfId="0" applyFont="1" applyBorder="1"/>
    <xf numFmtId="167" fontId="4" fillId="22" borderId="155" xfId="0" applyNumberFormat="1" applyFont="1" applyFill="1" applyBorder="1" applyAlignment="1">
      <alignment horizontal="center" vertical="center" shrinkToFit="1"/>
    </xf>
    <xf numFmtId="0" fontId="6" fillId="0" borderId="128" xfId="0" applyFont="1" applyBorder="1"/>
    <xf numFmtId="167" fontId="4" fillId="7" borderId="119" xfId="0" applyNumberFormat="1" applyFont="1" applyFill="1" applyBorder="1" applyAlignment="1">
      <alignment horizontal="center" vertical="center" shrinkToFit="1"/>
    </xf>
    <xf numFmtId="0" fontId="6" fillId="0" borderId="46" xfId="0" applyFont="1" applyBorder="1"/>
    <xf numFmtId="0" fontId="6" fillId="0" borderId="137" xfId="0" applyFont="1" applyBorder="1"/>
    <xf numFmtId="165" fontId="4" fillId="7" borderId="68" xfId="0" applyNumberFormat="1" applyFont="1" applyFill="1" applyBorder="1" applyAlignment="1">
      <alignment horizontal="center" vertical="center" wrapText="1"/>
    </xf>
    <xf numFmtId="0" fontId="6" fillId="0" borderId="117" xfId="0" applyFont="1" applyBorder="1"/>
    <xf numFmtId="0" fontId="6" fillId="0" borderId="118" xfId="0" applyFont="1" applyBorder="1"/>
    <xf numFmtId="0" fontId="6" fillId="0" borderId="144" xfId="0" applyFont="1" applyBorder="1"/>
    <xf numFmtId="165" fontId="4" fillId="7" borderId="118" xfId="0" applyNumberFormat="1" applyFont="1" applyFill="1" applyBorder="1" applyAlignment="1">
      <alignment horizontal="center" vertical="top" wrapText="1"/>
    </xf>
    <xf numFmtId="165" fontId="11" fillId="7" borderId="68" xfId="0" applyNumberFormat="1" applyFont="1" applyFill="1" applyBorder="1" applyAlignment="1">
      <alignment horizontal="center" vertical="top" wrapText="1"/>
    </xf>
    <xf numFmtId="0" fontId="15" fillId="0" borderId="128" xfId="0" applyFont="1" applyBorder="1"/>
    <xf numFmtId="0" fontId="15" fillId="0" borderId="97" xfId="0" applyFont="1" applyBorder="1"/>
    <xf numFmtId="0" fontId="15" fillId="0" borderId="118" xfId="0" applyFont="1" applyBorder="1"/>
    <xf numFmtId="0" fontId="15" fillId="0" borderId="129" xfId="0" applyFont="1" applyBorder="1"/>
    <xf numFmtId="0" fontId="15" fillId="0" borderId="96" xfId="0" applyFont="1" applyBorder="1"/>
    <xf numFmtId="165" fontId="12" fillId="7" borderId="119" xfId="0" applyNumberFormat="1" applyFont="1" applyFill="1" applyBorder="1" applyAlignment="1">
      <alignment horizontal="center" vertical="top" wrapText="1"/>
    </xf>
    <xf numFmtId="0" fontId="13" fillId="0" borderId="48" xfId="0" applyFont="1" applyBorder="1"/>
    <xf numFmtId="165" fontId="4" fillId="8" borderId="153" xfId="0" applyNumberFormat="1" applyFont="1" applyFill="1" applyBorder="1" applyAlignment="1">
      <alignment horizontal="center" vertical="center" shrinkToFit="1"/>
    </xf>
    <xf numFmtId="165" fontId="4" fillId="9" borderId="68" xfId="0" applyNumberFormat="1" applyFont="1" applyFill="1" applyBorder="1" applyAlignment="1">
      <alignment horizontal="center" vertical="center" shrinkToFit="1"/>
    </xf>
    <xf numFmtId="0" fontId="4" fillId="7" borderId="119" xfId="0" applyFont="1" applyFill="1" applyBorder="1" applyAlignment="1">
      <alignment horizontal="center" vertical="top" wrapText="1"/>
    </xf>
    <xf numFmtId="0" fontId="4" fillId="2" borderId="118" xfId="0" applyFont="1" applyFill="1" applyBorder="1" applyAlignment="1">
      <alignment horizontal="center" vertical="center"/>
    </xf>
    <xf numFmtId="165" fontId="4" fillId="9" borderId="118" xfId="0" applyNumberFormat="1" applyFont="1" applyFill="1" applyBorder="1" applyAlignment="1">
      <alignment horizontal="center" vertical="center" shrinkToFit="1"/>
    </xf>
    <xf numFmtId="0" fontId="4" fillId="17" borderId="132" xfId="0" applyFont="1" applyFill="1" applyBorder="1" applyAlignment="1">
      <alignment horizontal="center" vertical="center"/>
    </xf>
    <xf numFmtId="0" fontId="4" fillId="17" borderId="127" xfId="0" applyFont="1" applyFill="1" applyBorder="1" applyAlignment="1">
      <alignment horizontal="center" vertical="center"/>
    </xf>
    <xf numFmtId="0" fontId="4" fillId="17" borderId="118" xfId="0" applyFont="1" applyFill="1" applyBorder="1" applyAlignment="1">
      <alignment horizontal="center" vertical="center"/>
    </xf>
    <xf numFmtId="0" fontId="4" fillId="17" borderId="129" xfId="0" applyFont="1" applyFill="1" applyBorder="1" applyAlignment="1">
      <alignment horizontal="center" vertical="center"/>
    </xf>
    <xf numFmtId="167" fontId="4" fillId="7" borderId="46" xfId="0" applyNumberFormat="1" applyFont="1" applyFill="1" applyBorder="1" applyAlignment="1">
      <alignment horizontal="center" vertical="center" shrinkToFit="1"/>
    </xf>
    <xf numFmtId="0" fontId="4" fillId="17" borderId="151" xfId="0" applyFont="1" applyFill="1" applyBorder="1" applyAlignment="1">
      <alignment horizontal="center" vertical="center"/>
    </xf>
    <xf numFmtId="0" fontId="4" fillId="17" borderId="152" xfId="0" applyFont="1" applyFill="1" applyBorder="1" applyAlignment="1">
      <alignment horizontal="center" vertical="center"/>
    </xf>
    <xf numFmtId="167" fontId="4" fillId="7" borderId="153" xfId="0" applyNumberFormat="1" applyFont="1" applyFill="1" applyBorder="1" applyAlignment="1">
      <alignment horizontal="center" vertical="center" shrinkToFit="1"/>
    </xf>
    <xf numFmtId="167" fontId="4" fillId="2" borderId="119" xfId="0" applyNumberFormat="1" applyFont="1" applyFill="1" applyBorder="1" applyAlignment="1">
      <alignment horizontal="center" vertical="center" shrinkToFit="1"/>
    </xf>
    <xf numFmtId="167" fontId="4" fillId="2" borderId="153" xfId="0" applyNumberFormat="1" applyFont="1" applyFill="1" applyBorder="1" applyAlignment="1">
      <alignment horizontal="center" vertical="center" shrinkToFit="1"/>
    </xf>
    <xf numFmtId="167" fontId="4" fillId="2" borderId="119" xfId="0" applyNumberFormat="1" applyFont="1" applyFill="1" applyBorder="1" applyAlignment="1">
      <alignment horizontal="center" vertical="top" wrapText="1"/>
    </xf>
    <xf numFmtId="167" fontId="4" fillId="2" borderId="119" xfId="0" applyNumberFormat="1" applyFont="1" applyFill="1" applyBorder="1" applyAlignment="1">
      <alignment horizontal="center" vertical="top" shrinkToFit="1"/>
    </xf>
    <xf numFmtId="167" fontId="4" fillId="7" borderId="153" xfId="0" applyNumberFormat="1" applyFont="1" applyFill="1" applyBorder="1" applyAlignment="1">
      <alignment horizontal="center" vertical="top" shrinkToFit="1"/>
    </xf>
    <xf numFmtId="167" fontId="4" fillId="22" borderId="138" xfId="0" applyNumberFormat="1" applyFont="1" applyFill="1" applyBorder="1" applyAlignment="1">
      <alignment horizontal="center" vertical="center" shrinkToFit="1"/>
    </xf>
    <xf numFmtId="0" fontId="6" fillId="0" borderId="116" xfId="0" applyFont="1" applyBorder="1"/>
    <xf numFmtId="0" fontId="6" fillId="0" borderId="134" xfId="0" applyFont="1" applyBorder="1"/>
    <xf numFmtId="165" fontId="4" fillId="8" borderId="119" xfId="0" applyNumberFormat="1" applyFont="1" applyFill="1" applyBorder="1" applyAlignment="1">
      <alignment horizontal="center" vertical="center" shrinkToFit="1"/>
    </xf>
    <xf numFmtId="167" fontId="4" fillId="7" borderId="119" xfId="0" applyNumberFormat="1" applyFont="1" applyFill="1" applyBorder="1" applyAlignment="1">
      <alignment horizontal="center" vertical="top" shrinkToFit="1"/>
    </xf>
    <xf numFmtId="167" fontId="4" fillId="12" borderId="128" xfId="0" applyNumberFormat="1" applyFont="1" applyFill="1" applyBorder="1" applyAlignment="1">
      <alignment horizontal="center" vertical="center" shrinkToFit="1"/>
    </xf>
    <xf numFmtId="167" fontId="4" fillId="2" borderId="68" xfId="0" applyNumberFormat="1" applyFont="1" applyFill="1" applyBorder="1" applyAlignment="1">
      <alignment horizontal="center" vertical="top" wrapText="1"/>
    </xf>
    <xf numFmtId="167" fontId="4" fillId="12" borderId="155" xfId="0" applyNumberFormat="1" applyFont="1" applyFill="1" applyBorder="1" applyAlignment="1">
      <alignment horizontal="center" vertical="center" shrinkToFit="1"/>
    </xf>
    <xf numFmtId="0" fontId="6" fillId="0" borderId="156" xfId="0" applyFont="1" applyBorder="1"/>
    <xf numFmtId="0" fontId="4" fillId="7" borderId="155" xfId="0" applyFont="1" applyFill="1" applyBorder="1" applyAlignment="1">
      <alignment horizontal="center" vertical="center"/>
    </xf>
    <xf numFmtId="167" fontId="4" fillId="7" borderId="68" xfId="0" applyNumberFormat="1" applyFont="1" applyFill="1" applyBorder="1" applyAlignment="1">
      <alignment horizontal="center" vertical="center" shrinkToFit="1"/>
    </xf>
    <xf numFmtId="167" fontId="4" fillId="2" borderId="68" xfId="0" applyNumberFormat="1" applyFont="1" applyFill="1" applyBorder="1" applyAlignment="1">
      <alignment horizontal="center" vertical="top" wrapText="1" shrinkToFit="1"/>
    </xf>
    <xf numFmtId="167" fontId="4" fillId="2" borderId="68" xfId="0" applyNumberFormat="1" applyFont="1" applyFill="1" applyBorder="1" applyAlignment="1">
      <alignment horizontal="center" vertical="center" wrapText="1"/>
    </xf>
    <xf numFmtId="0" fontId="4" fillId="2" borderId="68" xfId="0" quotePrefix="1" applyFont="1" applyFill="1" applyBorder="1" applyAlignment="1">
      <alignment horizontal="center" vertical="center" wrapText="1"/>
    </xf>
    <xf numFmtId="0" fontId="6" fillId="0" borderId="97" xfId="0" applyFont="1" applyBorder="1"/>
    <xf numFmtId="167" fontId="2" fillId="2" borderId="68" xfId="0" applyNumberFormat="1" applyFont="1" applyFill="1" applyBorder="1" applyAlignment="1">
      <alignment horizontal="center" vertical="top" wrapText="1" shrinkToFit="1"/>
    </xf>
    <xf numFmtId="0" fontId="14" fillId="0" borderId="128" xfId="0" applyFont="1" applyBorder="1" applyAlignment="1">
      <alignment wrapText="1"/>
    </xf>
    <xf numFmtId="0" fontId="14" fillId="0" borderId="118" xfId="0" applyFont="1" applyBorder="1" applyAlignment="1">
      <alignment wrapText="1"/>
    </xf>
    <xf numFmtId="0" fontId="14" fillId="0" borderId="129" xfId="0" applyFont="1" applyBorder="1" applyAlignment="1">
      <alignment wrapText="1"/>
    </xf>
    <xf numFmtId="0" fontId="2" fillId="2" borderId="128" xfId="0" quotePrefix="1" applyFont="1" applyFill="1" applyBorder="1" applyAlignment="1">
      <alignment horizontal="center" vertical="center" wrapText="1"/>
    </xf>
    <xf numFmtId="0" fontId="14" fillId="0" borderId="117" xfId="0" applyFont="1" applyBorder="1"/>
    <xf numFmtId="0" fontId="14" fillId="0" borderId="129" xfId="0" applyFont="1" applyBorder="1"/>
    <xf numFmtId="0" fontId="14" fillId="0" borderId="144" xfId="0" applyFont="1" applyBorder="1"/>
    <xf numFmtId="167" fontId="2" fillId="2" borderId="138" xfId="0" applyNumberFormat="1" applyFont="1" applyFill="1" applyBorder="1" applyAlignment="1">
      <alignment horizontal="center" vertical="center" wrapText="1"/>
    </xf>
    <xf numFmtId="0" fontId="14" fillId="0" borderId="134" xfId="0" applyFont="1" applyBorder="1" applyAlignment="1">
      <alignment wrapText="1"/>
    </xf>
    <xf numFmtId="167" fontId="4" fillId="2" borderId="138" xfId="0" applyNumberFormat="1" applyFont="1" applyFill="1" applyBorder="1" applyAlignment="1">
      <alignment horizontal="center" vertical="center" wrapText="1"/>
    </xf>
    <xf numFmtId="0" fontId="6" fillId="0" borderId="22" xfId="0" applyFont="1" applyBorder="1"/>
    <xf numFmtId="167" fontId="4" fillId="12" borderId="31" xfId="0" applyNumberFormat="1" applyFont="1" applyFill="1" applyBorder="1" applyAlignment="1">
      <alignment horizontal="center" vertical="center" shrinkToFit="1"/>
    </xf>
    <xf numFmtId="0" fontId="6" fillId="0" borderId="140" xfId="0" applyFont="1" applyBorder="1"/>
    <xf numFmtId="165" fontId="4" fillId="7" borderId="138" xfId="0" applyNumberFormat="1" applyFont="1" applyFill="1" applyBorder="1" applyAlignment="1">
      <alignment horizontal="center" vertical="top" wrapText="1"/>
    </xf>
    <xf numFmtId="165" fontId="4" fillId="7" borderId="120" xfId="0" applyNumberFormat="1" applyFont="1" applyFill="1" applyBorder="1" applyAlignment="1">
      <alignment horizontal="center" vertical="top" wrapText="1"/>
    </xf>
    <xf numFmtId="0" fontId="6" fillId="0" borderId="109" xfId="0" applyFont="1" applyBorder="1"/>
    <xf numFmtId="0" fontId="6" fillId="0" borderId="141" xfId="0" applyFont="1" applyBorder="1"/>
    <xf numFmtId="165" fontId="4" fillId="10" borderId="140" xfId="0" applyNumberFormat="1" applyFont="1" applyFill="1" applyBorder="1" applyAlignment="1">
      <alignment horizontal="center" vertical="top" shrinkToFit="1"/>
    </xf>
    <xf numFmtId="165" fontId="4" fillId="8" borderId="95" xfId="0" applyNumberFormat="1" applyFont="1" applyFill="1" applyBorder="1" applyAlignment="1">
      <alignment horizontal="center" vertical="center" shrinkToFit="1"/>
    </xf>
    <xf numFmtId="49" fontId="4" fillId="9" borderId="95" xfId="0" applyNumberFormat="1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center" vertical="center"/>
    </xf>
    <xf numFmtId="167" fontId="4" fillId="7" borderId="64" xfId="0" applyNumberFormat="1" applyFont="1" applyFill="1" applyBorder="1" applyAlignment="1">
      <alignment horizontal="center" vertical="center" shrinkToFit="1"/>
    </xf>
    <xf numFmtId="0" fontId="6" fillId="0" borderId="92" xfId="0" applyFont="1" applyBorder="1"/>
    <xf numFmtId="167" fontId="4" fillId="7" borderId="8" xfId="0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top" wrapText="1"/>
    </xf>
    <xf numFmtId="0" fontId="4" fillId="9" borderId="127" xfId="0" applyFont="1" applyFill="1" applyBorder="1" applyAlignment="1">
      <alignment horizontal="center" vertical="center" wrapText="1"/>
    </xf>
    <xf numFmtId="167" fontId="4" fillId="22" borderId="19" xfId="0" applyNumberFormat="1" applyFont="1" applyFill="1" applyBorder="1" applyAlignment="1">
      <alignment horizontal="center" vertical="center" shrinkToFit="1"/>
    </xf>
    <xf numFmtId="0" fontId="6" fillId="0" borderId="136" xfId="0" applyFont="1" applyBorder="1"/>
    <xf numFmtId="165" fontId="4" fillId="2" borderId="119" xfId="0" applyNumberFormat="1" applyFont="1" applyFill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center" vertical="center" wrapText="1"/>
    </xf>
    <xf numFmtId="0" fontId="6" fillId="0" borderId="138" xfId="0" applyFont="1" applyBorder="1"/>
    <xf numFmtId="167" fontId="4" fillId="12" borderId="119" xfId="0" applyNumberFormat="1" applyFont="1" applyFill="1" applyBorder="1" applyAlignment="1">
      <alignment horizontal="center" vertical="center" shrinkToFit="1"/>
    </xf>
    <xf numFmtId="0" fontId="4" fillId="9" borderId="118" xfId="0" applyFont="1" applyFill="1" applyBorder="1" applyAlignment="1">
      <alignment horizontal="left" vertical="center"/>
    </xf>
    <xf numFmtId="167" fontId="11" fillId="2" borderId="138" xfId="0" applyNumberFormat="1" applyFont="1" applyFill="1" applyBorder="1" applyAlignment="1">
      <alignment horizontal="center" vertical="center" wrapText="1"/>
    </xf>
    <xf numFmtId="0" fontId="15" fillId="0" borderId="134" xfId="0" applyFont="1" applyBorder="1"/>
    <xf numFmtId="0" fontId="15" fillId="0" borderId="144" xfId="0" applyFont="1" applyBorder="1"/>
    <xf numFmtId="167" fontId="11" fillId="2" borderId="138" xfId="0" applyNumberFormat="1" applyFont="1" applyFill="1" applyBorder="1" applyAlignment="1">
      <alignment horizontal="center" vertical="center" shrinkToFit="1"/>
    </xf>
    <xf numFmtId="167" fontId="4" fillId="2" borderId="118" xfId="0" applyNumberFormat="1" applyFont="1" applyFill="1" applyBorder="1" applyAlignment="1">
      <alignment horizontal="center" vertical="top" shrinkToFit="1"/>
    </xf>
    <xf numFmtId="167" fontId="4" fillId="12" borderId="68" xfId="0" applyNumberFormat="1" applyFont="1" applyFill="1" applyBorder="1" applyAlignment="1">
      <alignment horizontal="center" vertical="center" shrinkToFit="1"/>
    </xf>
    <xf numFmtId="167" fontId="4" fillId="7" borderId="119" xfId="0" applyNumberFormat="1" applyFont="1" applyFill="1" applyBorder="1" applyAlignment="1">
      <alignment horizontal="center" vertical="center" wrapText="1" shrinkToFit="1"/>
    </xf>
    <xf numFmtId="167" fontId="7" fillId="7" borderId="119" xfId="0" applyNumberFormat="1" applyFont="1" applyFill="1" applyBorder="1" applyAlignment="1">
      <alignment horizontal="center" vertical="top" wrapText="1" shrinkToFit="1"/>
    </xf>
    <xf numFmtId="0" fontId="3" fillId="0" borderId="46" xfId="0" applyFont="1" applyBorder="1"/>
    <xf numFmtId="0" fontId="3" fillId="0" borderId="137" xfId="0" applyFont="1" applyBorder="1"/>
    <xf numFmtId="167" fontId="11" fillId="2" borderId="119" xfId="0" applyNumberFormat="1" applyFont="1" applyFill="1" applyBorder="1" applyAlignment="1">
      <alignment horizontal="center" vertical="center" shrinkToFit="1"/>
    </xf>
    <xf numFmtId="0" fontId="15" fillId="0" borderId="137" xfId="0" applyFont="1" applyBorder="1"/>
    <xf numFmtId="167" fontId="4" fillId="12" borderId="31" xfId="0" applyNumberFormat="1" applyFont="1" applyFill="1" applyBorder="1" applyAlignment="1">
      <alignment horizontal="center" vertical="top" shrinkToFit="1"/>
    </xf>
    <xf numFmtId="0" fontId="6" fillId="0" borderId="139" xfId="0" applyFont="1" applyBorder="1"/>
    <xf numFmtId="167" fontId="7" fillId="12" borderId="31" xfId="0" applyNumberFormat="1" applyFont="1" applyFill="1" applyBorder="1" applyAlignment="1">
      <alignment horizontal="center" vertical="top" wrapText="1"/>
    </xf>
    <xf numFmtId="0" fontId="3" fillId="0" borderId="139" xfId="0" applyFont="1" applyBorder="1"/>
    <xf numFmtId="167" fontId="4" fillId="12" borderId="117" xfId="0" applyNumberFormat="1" applyFont="1" applyFill="1" applyBorder="1" applyAlignment="1">
      <alignment horizontal="center" vertical="top" wrapText="1" shrinkToFit="1"/>
    </xf>
    <xf numFmtId="0" fontId="6" fillId="0" borderId="144" xfId="0" applyFont="1" applyBorder="1" applyAlignment="1">
      <alignment wrapText="1"/>
    </xf>
    <xf numFmtId="167" fontId="4" fillId="2" borderId="138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 xr:uid="{D80827BC-27CF-4825-AB9D-B835DE91D66F}"/>
  </cellStyles>
  <dxfs count="0"/>
  <tableStyles count="0" defaultTableStyle="TableStyleMedium2" defaultPivotStyle="PivotStyleLight16"/>
  <colors>
    <mruColors>
      <color rgb="FFFFC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1</xdr:col>
      <xdr:colOff>2096836</xdr:colOff>
      <xdr:row>7</xdr:row>
      <xdr:rowOff>285750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C0874B-CB4E-41CF-8D82-10DD0DB8951E}"/>
            </a:ext>
          </a:extLst>
        </xdr:cNvPr>
        <xdr:cNvCxnSpPr/>
      </xdr:nvCxnSpPr>
      <xdr:spPr>
        <a:xfrm>
          <a:off x="19050" y="304800"/>
          <a:ext cx="2411161" cy="2114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285750</xdr:rowOff>
    </xdr:from>
    <xdr:to>
      <xdr:col>1</xdr:col>
      <xdr:colOff>2077786</xdr:colOff>
      <xdr:row>7</xdr:row>
      <xdr:rowOff>288925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86E9368-4303-4ECA-B141-D3BCADC7BC9A}"/>
            </a:ext>
          </a:extLst>
        </xdr:cNvPr>
        <xdr:cNvCxnSpPr/>
      </xdr:nvCxnSpPr>
      <xdr:spPr>
        <a:xfrm>
          <a:off x="0" y="285750"/>
          <a:ext cx="2411161" cy="2114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2</xdr:col>
      <xdr:colOff>14036</xdr:colOff>
      <xdr:row>8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BFC182F-A8A6-42B3-9409-81AD6F1E7796}"/>
            </a:ext>
          </a:extLst>
        </xdr:cNvPr>
        <xdr:cNvCxnSpPr/>
      </xdr:nvCxnSpPr>
      <xdr:spPr>
        <a:xfrm>
          <a:off x="47625" y="301625"/>
          <a:ext cx="2411161" cy="2114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17318</xdr:colOff>
      <xdr:row>7</xdr:row>
      <xdr:rowOff>277091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F60F17F-C280-4340-AF7D-F8A294D2C0A8}"/>
            </a:ext>
          </a:extLst>
        </xdr:cNvPr>
        <xdr:cNvCxnSpPr/>
      </xdr:nvCxnSpPr>
      <xdr:spPr>
        <a:xfrm>
          <a:off x="0" y="311727"/>
          <a:ext cx="2459182" cy="23725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2077786</xdr:colOff>
      <xdr:row>7</xdr:row>
      <xdr:rowOff>285750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3E09DB3-2269-49E7-BEA7-5B94A7CD1921}"/>
            </a:ext>
          </a:extLst>
        </xdr:cNvPr>
        <xdr:cNvCxnSpPr/>
      </xdr:nvCxnSpPr>
      <xdr:spPr>
        <a:xfrm>
          <a:off x="0" y="304800"/>
          <a:ext cx="2411161" cy="2114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1</xdr:row>
      <xdr:rowOff>7326</xdr:rowOff>
    </xdr:from>
    <xdr:to>
      <xdr:col>1</xdr:col>
      <xdr:colOff>2101502</xdr:colOff>
      <xdr:row>7</xdr:row>
      <xdr:rowOff>293077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05FE79D-B239-412A-AC8A-87389AD01414}"/>
            </a:ext>
          </a:extLst>
        </xdr:cNvPr>
        <xdr:cNvCxnSpPr/>
      </xdr:nvCxnSpPr>
      <xdr:spPr>
        <a:xfrm>
          <a:off x="7327" y="315057"/>
          <a:ext cx="2431213" cy="21321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2103783</xdr:colOff>
      <xdr:row>7</xdr:row>
      <xdr:rowOff>298174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5F01B6D-3ADC-4849-B82C-7F76E80D448B}"/>
            </a:ext>
          </a:extLst>
        </xdr:cNvPr>
        <xdr:cNvCxnSpPr/>
      </xdr:nvCxnSpPr>
      <xdr:spPr>
        <a:xfrm>
          <a:off x="0" y="306457"/>
          <a:ext cx="2435087" cy="22694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7</xdr:row>
      <xdr:rowOff>389282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0F213CE-38AB-4E36-BC6A-405C1FCD6DF2}"/>
            </a:ext>
          </a:extLst>
        </xdr:cNvPr>
        <xdr:cNvCxnSpPr/>
      </xdr:nvCxnSpPr>
      <xdr:spPr>
        <a:xfrm>
          <a:off x="0" y="306457"/>
          <a:ext cx="2443370" cy="22280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2079857</xdr:colOff>
      <xdr:row>7</xdr:row>
      <xdr:rowOff>275811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67676E7-4E5D-4166-9B12-26C9E0C9F250}"/>
            </a:ext>
          </a:extLst>
        </xdr:cNvPr>
        <xdr:cNvCxnSpPr/>
      </xdr:nvCxnSpPr>
      <xdr:spPr>
        <a:xfrm>
          <a:off x="0" y="306457"/>
          <a:ext cx="2411161" cy="2114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2103783</xdr:colOff>
      <xdr:row>8</xdr:row>
      <xdr:rowOff>8283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29DF196-1E33-4B32-8B0A-C8FF8C31D6A0}"/>
            </a:ext>
          </a:extLst>
        </xdr:cNvPr>
        <xdr:cNvCxnSpPr/>
      </xdr:nvCxnSpPr>
      <xdr:spPr>
        <a:xfrm>
          <a:off x="0" y="306457"/>
          <a:ext cx="2435087" cy="21534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7</xdr:row>
      <xdr:rowOff>271096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7166D1D-8B88-48A5-9B62-B302C596FBC7}"/>
            </a:ext>
          </a:extLst>
        </xdr:cNvPr>
        <xdr:cNvCxnSpPr/>
      </xdr:nvCxnSpPr>
      <xdr:spPr>
        <a:xfrm>
          <a:off x="0" y="307731"/>
          <a:ext cx="2454519" cy="256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302172</xdr:rowOff>
    </xdr:from>
    <xdr:to>
      <xdr:col>1</xdr:col>
      <xdr:colOff>2076144</xdr:colOff>
      <xdr:row>7</xdr:row>
      <xdr:rowOff>301515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130A1C1-C9B6-4487-9B27-6891AF5AC5DB}"/>
            </a:ext>
          </a:extLst>
        </xdr:cNvPr>
        <xdr:cNvCxnSpPr/>
      </xdr:nvCxnSpPr>
      <xdr:spPr>
        <a:xfrm>
          <a:off x="0" y="302172"/>
          <a:ext cx="2411161" cy="2114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1805609</xdr:colOff>
      <xdr:row>7</xdr:row>
      <xdr:rowOff>289892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179ACD4-EE44-4C69-98C6-0EF0FC63A605}"/>
            </a:ext>
          </a:extLst>
        </xdr:cNvPr>
        <xdr:cNvCxnSpPr/>
      </xdr:nvCxnSpPr>
      <xdr:spPr>
        <a:xfrm>
          <a:off x="0" y="306457"/>
          <a:ext cx="2136913" cy="23439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300404</xdr:rowOff>
    </xdr:from>
    <xdr:to>
      <xdr:col>1</xdr:col>
      <xdr:colOff>2110154</xdr:colOff>
      <xdr:row>7</xdr:row>
      <xdr:rowOff>293077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81237BD-3250-453E-93B5-E59D9DFA9FE8}"/>
            </a:ext>
          </a:extLst>
        </xdr:cNvPr>
        <xdr:cNvCxnSpPr/>
      </xdr:nvCxnSpPr>
      <xdr:spPr>
        <a:xfrm>
          <a:off x="0" y="300404"/>
          <a:ext cx="2447192" cy="21467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303609</xdr:rowOff>
    </xdr:from>
    <xdr:to>
      <xdr:col>1</xdr:col>
      <xdr:colOff>2077786</xdr:colOff>
      <xdr:row>7</xdr:row>
      <xdr:rowOff>292893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E83E7CF-7CB2-4E22-8EF1-CCC0DFE7DA30}"/>
            </a:ext>
          </a:extLst>
        </xdr:cNvPr>
        <xdr:cNvCxnSpPr/>
      </xdr:nvCxnSpPr>
      <xdr:spPr>
        <a:xfrm>
          <a:off x="0" y="303609"/>
          <a:ext cx="2411161" cy="2114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2105526</xdr:colOff>
      <xdr:row>7</xdr:row>
      <xdr:rowOff>295777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B777103-CC05-47D9-A64D-6D3F22355950}"/>
            </a:ext>
          </a:extLst>
        </xdr:cNvPr>
        <xdr:cNvCxnSpPr/>
      </xdr:nvCxnSpPr>
      <xdr:spPr>
        <a:xfrm>
          <a:off x="0" y="305803"/>
          <a:ext cx="2441408" cy="21305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303609</xdr:rowOff>
    </xdr:from>
    <xdr:to>
      <xdr:col>1</xdr:col>
      <xdr:colOff>2101453</xdr:colOff>
      <xdr:row>7</xdr:row>
      <xdr:rowOff>434578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C91FEB4-EF56-4438-B9C0-5E092AAF63CD}"/>
            </a:ext>
          </a:extLst>
        </xdr:cNvPr>
        <xdr:cNvCxnSpPr/>
      </xdr:nvCxnSpPr>
      <xdr:spPr>
        <a:xfrm>
          <a:off x="0" y="303609"/>
          <a:ext cx="2434828" cy="22562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302172</xdr:rowOff>
    </xdr:from>
    <xdr:to>
      <xdr:col>2</xdr:col>
      <xdr:colOff>6569</xdr:colOff>
      <xdr:row>7</xdr:row>
      <xdr:rowOff>282465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E2E2200-BBAC-43C3-98BB-05FC65584B68}"/>
            </a:ext>
          </a:extLst>
        </xdr:cNvPr>
        <xdr:cNvCxnSpPr/>
      </xdr:nvCxnSpPr>
      <xdr:spPr>
        <a:xfrm>
          <a:off x="0" y="302172"/>
          <a:ext cx="2456793" cy="23057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EAADB"/>
  </sheetPr>
  <dimension ref="A1:AB991"/>
  <sheetViews>
    <sheetView view="pageBreakPreview" zoomScaleNormal="100" zoomScaleSheetLayoutView="100" workbookViewId="0">
      <pane xSplit="2" ySplit="9" topLeftCell="C10" activePane="bottomRight" state="frozen"/>
      <selection activeCell="D126" sqref="D126"/>
      <selection pane="topRight" activeCell="D126" sqref="D126"/>
      <selection pane="bottomLeft" activeCell="D126" sqref="D126"/>
      <selection pane="bottomRight" activeCell="H15" sqref="H15"/>
    </sheetView>
  </sheetViews>
  <sheetFormatPr defaultColWidth="12.625" defaultRowHeight="24" customHeight="1" x14ac:dyDescent="0.5"/>
  <cols>
    <col min="1" max="1" width="4.375" style="6" customWidth="1"/>
    <col min="2" max="2" width="27.75" style="6" customWidth="1"/>
    <col min="3" max="6" width="10.75" style="6" customWidth="1"/>
    <col min="7" max="28" width="6.75" style="6" customWidth="1"/>
    <col min="29" max="16384" width="12.625" style="6"/>
  </cols>
  <sheetData>
    <row r="1" spans="1:28" ht="24" customHeight="1" thickBot="1" x14ac:dyDescent="0.55000000000000004">
      <c r="A1" s="2" t="s">
        <v>323</v>
      </c>
      <c r="B1" s="3"/>
      <c r="C1" s="4"/>
      <c r="D1" s="4"/>
      <c r="E1" s="4"/>
      <c r="F1" s="4"/>
      <c r="G1" s="5"/>
      <c r="H1" s="3"/>
      <c r="I1" s="3"/>
      <c r="J1" s="3"/>
      <c r="K1" s="5"/>
      <c r="L1" s="3"/>
      <c r="M1" s="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5"/>
    </row>
    <row r="2" spans="1:28" ht="24" customHeight="1" x14ac:dyDescent="0.5">
      <c r="A2" s="573" t="s">
        <v>320</v>
      </c>
      <c r="B2" s="574"/>
      <c r="C2" s="577" t="s">
        <v>1</v>
      </c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9"/>
    </row>
    <row r="3" spans="1:28" ht="24" customHeight="1" x14ac:dyDescent="0.5">
      <c r="A3" s="575"/>
      <c r="B3" s="576"/>
      <c r="C3" s="580" t="s">
        <v>2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67"/>
    </row>
    <row r="4" spans="1:28" ht="24" customHeight="1" x14ac:dyDescent="0.5">
      <c r="A4" s="575"/>
      <c r="B4" s="576"/>
      <c r="C4" s="582" t="s">
        <v>3</v>
      </c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3"/>
      <c r="AA4" s="583"/>
      <c r="AB4" s="584"/>
    </row>
    <row r="5" spans="1:28" ht="24" customHeight="1" x14ac:dyDescent="0.5">
      <c r="A5" s="7"/>
      <c r="B5" s="8"/>
      <c r="C5" s="600" t="s">
        <v>4</v>
      </c>
      <c r="D5" s="581"/>
      <c r="E5" s="581"/>
      <c r="F5" s="581"/>
      <c r="G5" s="571"/>
      <c r="H5" s="585" t="s">
        <v>5</v>
      </c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67"/>
      <c r="Z5" s="586" t="s">
        <v>336</v>
      </c>
      <c r="AA5" s="587"/>
      <c r="AB5" s="588"/>
    </row>
    <row r="6" spans="1:28" ht="24" customHeight="1" x14ac:dyDescent="0.5">
      <c r="A6" s="595" t="s">
        <v>207</v>
      </c>
      <c r="B6" s="596"/>
      <c r="C6" s="601" t="s">
        <v>6</v>
      </c>
      <c r="D6" s="581"/>
      <c r="E6" s="567"/>
      <c r="F6" s="602" t="s">
        <v>7</v>
      </c>
      <c r="G6" s="584"/>
      <c r="H6" s="592" t="s">
        <v>8</v>
      </c>
      <c r="I6" s="593"/>
      <c r="J6" s="593"/>
      <c r="K6" s="593"/>
      <c r="L6" s="593"/>
      <c r="M6" s="594"/>
      <c r="N6" s="592" t="s">
        <v>9</v>
      </c>
      <c r="O6" s="593"/>
      <c r="P6" s="593"/>
      <c r="Q6" s="594"/>
      <c r="R6" s="592" t="s">
        <v>10</v>
      </c>
      <c r="S6" s="593"/>
      <c r="T6" s="593"/>
      <c r="U6" s="594"/>
      <c r="V6" s="603" t="s">
        <v>11</v>
      </c>
      <c r="W6" s="583"/>
      <c r="X6" s="583"/>
      <c r="Y6" s="584"/>
      <c r="Z6" s="589"/>
      <c r="AA6" s="590"/>
      <c r="AB6" s="591"/>
    </row>
    <row r="7" spans="1:28" ht="24" customHeight="1" x14ac:dyDescent="0.5">
      <c r="A7" s="595"/>
      <c r="B7" s="596"/>
      <c r="C7" s="9" t="s">
        <v>12</v>
      </c>
      <c r="D7" s="604" t="s">
        <v>13</v>
      </c>
      <c r="E7" s="10" t="s">
        <v>14</v>
      </c>
      <c r="F7" s="606" t="s">
        <v>15</v>
      </c>
      <c r="G7" s="594"/>
      <c r="H7" s="607" t="s">
        <v>16</v>
      </c>
      <c r="I7" s="567"/>
      <c r="J7" s="608" t="s">
        <v>17</v>
      </c>
      <c r="K7" s="581"/>
      <c r="L7" s="581"/>
      <c r="M7" s="567"/>
      <c r="N7" s="607" t="s">
        <v>16</v>
      </c>
      <c r="O7" s="567"/>
      <c r="P7" s="599" t="s">
        <v>17</v>
      </c>
      <c r="Q7" s="567"/>
      <c r="R7" s="607" t="s">
        <v>16</v>
      </c>
      <c r="S7" s="567"/>
      <c r="T7" s="599" t="s">
        <v>17</v>
      </c>
      <c r="U7" s="567"/>
      <c r="V7" s="607" t="s">
        <v>16</v>
      </c>
      <c r="W7" s="567"/>
      <c r="X7" s="599" t="s">
        <v>17</v>
      </c>
      <c r="Y7" s="567"/>
      <c r="Z7" s="455" t="s">
        <v>16</v>
      </c>
      <c r="AA7" s="599" t="s">
        <v>17</v>
      </c>
      <c r="AB7" s="567"/>
    </row>
    <row r="8" spans="1:28" ht="24" customHeight="1" thickBot="1" x14ac:dyDescent="0.55000000000000004">
      <c r="A8" s="597"/>
      <c r="B8" s="598"/>
      <c r="C8" s="12"/>
      <c r="D8" s="605"/>
      <c r="E8" s="13"/>
      <c r="F8" s="14" t="s">
        <v>18</v>
      </c>
      <c r="G8" s="15" t="s">
        <v>19</v>
      </c>
      <c r="H8" s="16" t="s">
        <v>20</v>
      </c>
      <c r="I8" s="16" t="s">
        <v>21</v>
      </c>
      <c r="J8" s="17" t="s">
        <v>20</v>
      </c>
      <c r="K8" s="18" t="s">
        <v>19</v>
      </c>
      <c r="L8" s="17" t="s">
        <v>21</v>
      </c>
      <c r="M8" s="18" t="s">
        <v>19</v>
      </c>
      <c r="N8" s="16" t="s">
        <v>20</v>
      </c>
      <c r="O8" s="16" t="s">
        <v>21</v>
      </c>
      <c r="P8" s="17" t="s">
        <v>20</v>
      </c>
      <c r="Q8" s="17" t="s">
        <v>21</v>
      </c>
      <c r="R8" s="16" t="s">
        <v>20</v>
      </c>
      <c r="S8" s="16" t="s">
        <v>21</v>
      </c>
      <c r="T8" s="17" t="s">
        <v>20</v>
      </c>
      <c r="U8" s="17" t="s">
        <v>21</v>
      </c>
      <c r="V8" s="16" t="s">
        <v>20</v>
      </c>
      <c r="W8" s="16" t="s">
        <v>21</v>
      </c>
      <c r="X8" s="17" t="s">
        <v>20</v>
      </c>
      <c r="Y8" s="17" t="s">
        <v>21</v>
      </c>
      <c r="Z8" s="16" t="s">
        <v>22</v>
      </c>
      <c r="AA8" s="17" t="s">
        <v>21</v>
      </c>
      <c r="AB8" s="456" t="s">
        <v>306</v>
      </c>
    </row>
    <row r="9" spans="1:28" ht="24" customHeight="1" thickBot="1" x14ac:dyDescent="0.55000000000000004">
      <c r="A9" s="564" t="s">
        <v>24</v>
      </c>
      <c r="B9" s="565"/>
      <c r="C9" s="19">
        <f t="shared" ref="C9:D9" si="0">C10+C11+C14</f>
        <v>35572700</v>
      </c>
      <c r="D9" s="20">
        <f t="shared" si="0"/>
        <v>12875500</v>
      </c>
      <c r="E9" s="21">
        <f>E10+E11</f>
        <v>22697200</v>
      </c>
      <c r="F9" s="22">
        <f ca="1">F10+F11+F14</f>
        <v>954435.55</v>
      </c>
      <c r="G9" s="23">
        <f t="shared" ref="G9:G114" ca="1" si="1">IF(C9&gt;0,F9*100/C9,0)</f>
        <v>2.6830562481903257</v>
      </c>
      <c r="H9" s="24">
        <f>H10</f>
        <v>40</v>
      </c>
      <c r="I9" s="24">
        <f t="shared" ref="I9:I90" si="2">+O9+S9+W9</f>
        <v>1909</v>
      </c>
      <c r="J9" s="25">
        <f ca="1">J10+J11+J14</f>
        <v>3</v>
      </c>
      <c r="K9" s="26">
        <f t="shared" ref="K9:K114" ca="1" si="3">IF(H9&gt;0,J9*100/H9,0)</f>
        <v>7.5</v>
      </c>
      <c r="L9" s="25">
        <f ca="1">L10+L11+L14</f>
        <v>50</v>
      </c>
      <c r="M9" s="26">
        <f t="shared" ref="M9:M114" ca="1" si="4">IF(I9&gt;0,L9*100/I9,0)</f>
        <v>2.6191723415400734</v>
      </c>
      <c r="N9" s="24">
        <f t="shared" ref="N9:O9" si="5">N10</f>
        <v>13</v>
      </c>
      <c r="O9" s="24">
        <f t="shared" si="5"/>
        <v>605</v>
      </c>
      <c r="P9" s="25">
        <f t="shared" ref="P9:Q9" ca="1" si="6">P10+P11+P14</f>
        <v>1</v>
      </c>
      <c r="Q9" s="25">
        <f t="shared" ca="1" si="6"/>
        <v>30</v>
      </c>
      <c r="R9" s="24">
        <f t="shared" ref="R9:S9" si="7">R10</f>
        <v>14</v>
      </c>
      <c r="S9" s="24">
        <f t="shared" si="7"/>
        <v>683</v>
      </c>
      <c r="T9" s="25">
        <f t="shared" ref="T9:U9" ca="1" si="8">T10+T11+T14</f>
        <v>1</v>
      </c>
      <c r="U9" s="25">
        <f t="shared" ca="1" si="8"/>
        <v>0</v>
      </c>
      <c r="V9" s="24">
        <f t="shared" ref="V9:W9" si="9">V10</f>
        <v>13</v>
      </c>
      <c r="W9" s="24">
        <f t="shared" si="9"/>
        <v>621</v>
      </c>
      <c r="X9" s="25">
        <f t="shared" ref="X9:Y9" ca="1" si="10">X10+X11+X14</f>
        <v>1</v>
      </c>
      <c r="Y9" s="25">
        <f t="shared" ca="1" si="10"/>
        <v>20</v>
      </c>
      <c r="Z9" s="24">
        <f>Z10</f>
        <v>605</v>
      </c>
      <c r="AA9" s="25">
        <f ca="1">AA10+AA11+AA14</f>
        <v>0</v>
      </c>
      <c r="AB9" s="26">
        <f t="shared" ref="AB9:AB114" ca="1" si="11">IF(Z9&gt;0,AA9*100/Z9,0)</f>
        <v>0</v>
      </c>
    </row>
    <row r="10" spans="1:28" ht="24" customHeight="1" x14ac:dyDescent="0.5">
      <c r="A10" s="27" t="s">
        <v>25</v>
      </c>
      <c r="B10" s="28"/>
      <c r="C10" s="29">
        <f t="shared" ref="C10:F10" si="12">+C15+C33+C54+C76</f>
        <v>25184100</v>
      </c>
      <c r="D10" s="29">
        <f t="shared" si="12"/>
        <v>7328300</v>
      </c>
      <c r="E10" s="29">
        <f t="shared" si="12"/>
        <v>17855800</v>
      </c>
      <c r="F10" s="29">
        <f t="shared" ca="1" si="12"/>
        <v>404157.55</v>
      </c>
      <c r="G10" s="30">
        <f t="shared" ca="1" si="1"/>
        <v>1.6048123617679408</v>
      </c>
      <c r="H10" s="29">
        <f>+H15+H33+H54+H76</f>
        <v>40</v>
      </c>
      <c r="I10" s="29">
        <f t="shared" si="2"/>
        <v>1909</v>
      </c>
      <c r="J10" s="29">
        <f ca="1">+J15+J33+J54+J76</f>
        <v>3</v>
      </c>
      <c r="K10" s="30">
        <f t="shared" ca="1" si="3"/>
        <v>7.5</v>
      </c>
      <c r="L10" s="29">
        <f ca="1">+L15+L33+L54+L76</f>
        <v>50</v>
      </c>
      <c r="M10" s="30">
        <f t="shared" ca="1" si="4"/>
        <v>2.6191723415400734</v>
      </c>
      <c r="N10" s="29">
        <f t="shared" ref="N10:AA10" si="13">+N15+N33+N54+N76</f>
        <v>13</v>
      </c>
      <c r="O10" s="29">
        <f t="shared" si="13"/>
        <v>605</v>
      </c>
      <c r="P10" s="29">
        <f t="shared" ca="1" si="13"/>
        <v>1</v>
      </c>
      <c r="Q10" s="29">
        <f t="shared" ca="1" si="13"/>
        <v>30</v>
      </c>
      <c r="R10" s="29">
        <f t="shared" si="13"/>
        <v>14</v>
      </c>
      <c r="S10" s="29">
        <f t="shared" si="13"/>
        <v>683</v>
      </c>
      <c r="T10" s="29">
        <f t="shared" ca="1" si="13"/>
        <v>1</v>
      </c>
      <c r="U10" s="29">
        <f t="shared" ca="1" si="13"/>
        <v>0</v>
      </c>
      <c r="V10" s="29">
        <f t="shared" si="13"/>
        <v>13</v>
      </c>
      <c r="W10" s="29">
        <f t="shared" si="13"/>
        <v>621</v>
      </c>
      <c r="X10" s="29">
        <f t="shared" ca="1" si="13"/>
        <v>1</v>
      </c>
      <c r="Y10" s="29">
        <f t="shared" ca="1" si="13"/>
        <v>20</v>
      </c>
      <c r="Z10" s="29">
        <f t="shared" si="13"/>
        <v>605</v>
      </c>
      <c r="AA10" s="31">
        <f t="shared" ca="1" si="13"/>
        <v>0</v>
      </c>
      <c r="AB10" s="32">
        <f t="shared" ca="1" si="11"/>
        <v>0</v>
      </c>
    </row>
    <row r="11" spans="1:28" ht="24" customHeight="1" x14ac:dyDescent="0.5">
      <c r="A11" s="33" t="s">
        <v>26</v>
      </c>
      <c r="B11" s="34"/>
      <c r="C11" s="35">
        <f t="shared" ref="C11:F11" si="14">+C12+C13</f>
        <v>10388600</v>
      </c>
      <c r="D11" s="35">
        <f t="shared" si="14"/>
        <v>5547200</v>
      </c>
      <c r="E11" s="35">
        <f t="shared" si="14"/>
        <v>4841400</v>
      </c>
      <c r="F11" s="35">
        <f t="shared" ca="1" si="14"/>
        <v>550278</v>
      </c>
      <c r="G11" s="36">
        <f t="shared" ca="1" si="1"/>
        <v>5.2969408775003366</v>
      </c>
      <c r="H11" s="35">
        <v>0</v>
      </c>
      <c r="I11" s="35">
        <f t="shared" si="2"/>
        <v>0</v>
      </c>
      <c r="J11" s="35">
        <f>+J12+J13</f>
        <v>0</v>
      </c>
      <c r="K11" s="36">
        <f t="shared" si="3"/>
        <v>0</v>
      </c>
      <c r="L11" s="35">
        <f>+L12+L13</f>
        <v>0</v>
      </c>
      <c r="M11" s="36">
        <f t="shared" si="4"/>
        <v>0</v>
      </c>
      <c r="N11" s="35">
        <v>0</v>
      </c>
      <c r="O11" s="35">
        <v>0</v>
      </c>
      <c r="P11" s="35">
        <f t="shared" ref="P11:Q11" si="15">+P12+P13</f>
        <v>0</v>
      </c>
      <c r="Q11" s="35">
        <f t="shared" si="15"/>
        <v>0</v>
      </c>
      <c r="R11" s="35">
        <v>0</v>
      </c>
      <c r="S11" s="35">
        <v>0</v>
      </c>
      <c r="T11" s="35">
        <f t="shared" ref="T11:U11" si="16">+T12+T13</f>
        <v>0</v>
      </c>
      <c r="U11" s="35">
        <f t="shared" si="16"/>
        <v>0</v>
      </c>
      <c r="V11" s="35">
        <v>0</v>
      </c>
      <c r="W11" s="35">
        <v>0</v>
      </c>
      <c r="X11" s="35">
        <f t="shared" ref="X11:Y11" si="17">+X12+X13</f>
        <v>0</v>
      </c>
      <c r="Y11" s="35">
        <f t="shared" si="17"/>
        <v>0</v>
      </c>
      <c r="Z11" s="35">
        <v>0</v>
      </c>
      <c r="AA11" s="37">
        <f>+AA12+AA13</f>
        <v>0</v>
      </c>
      <c r="AB11" s="38">
        <f t="shared" si="11"/>
        <v>0</v>
      </c>
    </row>
    <row r="12" spans="1:28" ht="24" customHeight="1" x14ac:dyDescent="0.5">
      <c r="A12" s="33" t="s">
        <v>27</v>
      </c>
      <c r="B12" s="34"/>
      <c r="C12" s="35">
        <f t="shared" ref="C12:F12" si="18">+C91</f>
        <v>8851600</v>
      </c>
      <c r="D12" s="35">
        <f t="shared" si="18"/>
        <v>4010200</v>
      </c>
      <c r="E12" s="35">
        <f t="shared" si="18"/>
        <v>4841400</v>
      </c>
      <c r="F12" s="35">
        <f t="shared" ca="1" si="18"/>
        <v>550278</v>
      </c>
      <c r="G12" s="36">
        <f t="shared" ca="1" si="1"/>
        <v>6.2167065841203852</v>
      </c>
      <c r="H12" s="35">
        <v>0</v>
      </c>
      <c r="I12" s="35">
        <f t="shared" si="2"/>
        <v>0</v>
      </c>
      <c r="J12" s="35">
        <f>+J91</f>
        <v>0</v>
      </c>
      <c r="K12" s="36">
        <f t="shared" si="3"/>
        <v>0</v>
      </c>
      <c r="L12" s="35">
        <f>+L91</f>
        <v>0</v>
      </c>
      <c r="M12" s="36">
        <f t="shared" si="4"/>
        <v>0</v>
      </c>
      <c r="N12" s="35">
        <v>0</v>
      </c>
      <c r="O12" s="35">
        <v>0</v>
      </c>
      <c r="P12" s="35">
        <f t="shared" ref="P12:Q12" si="19">+P91</f>
        <v>0</v>
      </c>
      <c r="Q12" s="35">
        <f t="shared" si="19"/>
        <v>0</v>
      </c>
      <c r="R12" s="35">
        <v>0</v>
      </c>
      <c r="S12" s="35">
        <v>0</v>
      </c>
      <c r="T12" s="35">
        <f t="shared" ref="T12:U12" si="20">+T91</f>
        <v>0</v>
      </c>
      <c r="U12" s="35">
        <f t="shared" si="20"/>
        <v>0</v>
      </c>
      <c r="V12" s="35">
        <v>0</v>
      </c>
      <c r="W12" s="35">
        <v>0</v>
      </c>
      <c r="X12" s="35">
        <f t="shared" ref="X12:Y12" si="21">+X91</f>
        <v>0</v>
      </c>
      <c r="Y12" s="35">
        <f t="shared" si="21"/>
        <v>0</v>
      </c>
      <c r="Z12" s="35">
        <v>0</v>
      </c>
      <c r="AA12" s="37">
        <f>+AA91</f>
        <v>0</v>
      </c>
      <c r="AB12" s="38">
        <f t="shared" si="11"/>
        <v>0</v>
      </c>
    </row>
    <row r="13" spans="1:28" ht="24" customHeight="1" x14ac:dyDescent="0.5">
      <c r="A13" s="33" t="s">
        <v>28</v>
      </c>
      <c r="B13" s="34"/>
      <c r="C13" s="35">
        <f t="shared" ref="C13:F13" si="22">+C106</f>
        <v>1537000</v>
      </c>
      <c r="D13" s="35">
        <f t="shared" si="22"/>
        <v>1537000</v>
      </c>
      <c r="E13" s="35">
        <f t="shared" si="22"/>
        <v>0</v>
      </c>
      <c r="F13" s="35">
        <f t="shared" ca="1" si="22"/>
        <v>0</v>
      </c>
      <c r="G13" s="36">
        <f t="shared" ca="1" si="1"/>
        <v>0</v>
      </c>
      <c r="H13" s="35">
        <v>0</v>
      </c>
      <c r="I13" s="35">
        <f t="shared" si="2"/>
        <v>0</v>
      </c>
      <c r="J13" s="35">
        <f>+J106</f>
        <v>0</v>
      </c>
      <c r="K13" s="36">
        <f t="shared" si="3"/>
        <v>0</v>
      </c>
      <c r="L13" s="35">
        <f>+L106</f>
        <v>0</v>
      </c>
      <c r="M13" s="36">
        <f t="shared" si="4"/>
        <v>0</v>
      </c>
      <c r="N13" s="35">
        <v>0</v>
      </c>
      <c r="O13" s="35">
        <v>0</v>
      </c>
      <c r="P13" s="35">
        <f t="shared" ref="P13:Q13" si="23">+P106</f>
        <v>0</v>
      </c>
      <c r="Q13" s="35">
        <f t="shared" si="23"/>
        <v>0</v>
      </c>
      <c r="R13" s="35">
        <v>0</v>
      </c>
      <c r="S13" s="35">
        <v>0</v>
      </c>
      <c r="T13" s="35">
        <f t="shared" ref="T13:U13" si="24">+T106</f>
        <v>0</v>
      </c>
      <c r="U13" s="35">
        <f t="shared" si="24"/>
        <v>0</v>
      </c>
      <c r="V13" s="35">
        <v>0</v>
      </c>
      <c r="W13" s="35">
        <v>0</v>
      </c>
      <c r="X13" s="35">
        <f t="shared" ref="X13:Y13" si="25">+X106</f>
        <v>0</v>
      </c>
      <c r="Y13" s="35">
        <f t="shared" si="25"/>
        <v>0</v>
      </c>
      <c r="Z13" s="35">
        <v>0</v>
      </c>
      <c r="AA13" s="37">
        <f>+AA106</f>
        <v>0</v>
      </c>
      <c r="AB13" s="38">
        <f t="shared" si="11"/>
        <v>0</v>
      </c>
    </row>
    <row r="14" spans="1:28" ht="24" customHeight="1" x14ac:dyDescent="0.5">
      <c r="A14" s="39" t="s">
        <v>29</v>
      </c>
      <c r="B14" s="40"/>
      <c r="C14" s="41">
        <v>0</v>
      </c>
      <c r="D14" s="41">
        <v>0</v>
      </c>
      <c r="E14" s="41">
        <v>0</v>
      </c>
      <c r="F14" s="41">
        <v>0</v>
      </c>
      <c r="G14" s="42">
        <f t="shared" si="1"/>
        <v>0</v>
      </c>
      <c r="H14" s="41">
        <v>0</v>
      </c>
      <c r="I14" s="41">
        <f t="shared" si="2"/>
        <v>0</v>
      </c>
      <c r="J14" s="41">
        <v>0</v>
      </c>
      <c r="K14" s="42">
        <f t="shared" si="3"/>
        <v>0</v>
      </c>
      <c r="L14" s="41">
        <v>0</v>
      </c>
      <c r="M14" s="42">
        <f t="shared" si="4"/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2">
        <f t="shared" si="11"/>
        <v>0</v>
      </c>
    </row>
    <row r="15" spans="1:28" ht="24" customHeight="1" x14ac:dyDescent="0.5">
      <c r="A15" s="566" t="s">
        <v>30</v>
      </c>
      <c r="B15" s="567"/>
      <c r="C15" s="43">
        <f t="shared" ref="C15:F15" si="26">SUM(C16:C32)</f>
        <v>7166900</v>
      </c>
      <c r="D15" s="43">
        <f t="shared" si="26"/>
        <v>1246700</v>
      </c>
      <c r="E15" s="43">
        <f t="shared" si="26"/>
        <v>5920200</v>
      </c>
      <c r="F15" s="43">
        <f t="shared" ca="1" si="26"/>
        <v>127017.67</v>
      </c>
      <c r="G15" s="44">
        <f t="shared" ca="1" si="1"/>
        <v>1.7722818791946309</v>
      </c>
      <c r="H15" s="43">
        <f t="shared" ref="H15:H90" si="27">SUM(N15+R15+V15)</f>
        <v>13</v>
      </c>
      <c r="I15" s="43">
        <f t="shared" si="2"/>
        <v>646</v>
      </c>
      <c r="J15" s="43">
        <f ca="1">SUM(J16:J32)</f>
        <v>2</v>
      </c>
      <c r="K15" s="44">
        <f t="shared" ca="1" si="3"/>
        <v>15.384615384615385</v>
      </c>
      <c r="L15" s="43">
        <f ca="1">SUM(L16:L32)</f>
        <v>50</v>
      </c>
      <c r="M15" s="44">
        <f t="shared" ca="1" si="4"/>
        <v>7.7399380804953557</v>
      </c>
      <c r="N15" s="43">
        <f t="shared" ref="N15:AA15" si="28">SUM(N16:N32)</f>
        <v>4</v>
      </c>
      <c r="O15" s="43">
        <f t="shared" si="28"/>
        <v>155</v>
      </c>
      <c r="P15" s="43">
        <f t="shared" ca="1" si="28"/>
        <v>1</v>
      </c>
      <c r="Q15" s="43">
        <f t="shared" ca="1" si="28"/>
        <v>30</v>
      </c>
      <c r="R15" s="43">
        <f t="shared" si="28"/>
        <v>3</v>
      </c>
      <c r="S15" s="43">
        <f t="shared" si="28"/>
        <v>150</v>
      </c>
      <c r="T15" s="43">
        <f t="shared" ca="1" si="28"/>
        <v>0</v>
      </c>
      <c r="U15" s="43">
        <f t="shared" ca="1" si="28"/>
        <v>0</v>
      </c>
      <c r="V15" s="43">
        <f t="shared" si="28"/>
        <v>6</v>
      </c>
      <c r="W15" s="43">
        <f t="shared" si="28"/>
        <v>341</v>
      </c>
      <c r="X15" s="43">
        <f t="shared" ca="1" si="28"/>
        <v>1</v>
      </c>
      <c r="Y15" s="43">
        <f t="shared" ca="1" si="28"/>
        <v>20</v>
      </c>
      <c r="Z15" s="43">
        <f t="shared" si="28"/>
        <v>155</v>
      </c>
      <c r="AA15" s="43">
        <f t="shared" ca="1" si="28"/>
        <v>0</v>
      </c>
      <c r="AB15" s="44">
        <f t="shared" ca="1" si="11"/>
        <v>0</v>
      </c>
    </row>
    <row r="16" spans="1:28" ht="24" customHeight="1" x14ac:dyDescent="0.5">
      <c r="A16" s="45">
        <v>1</v>
      </c>
      <c r="B16" s="46" t="s">
        <v>31</v>
      </c>
      <c r="C16" s="47">
        <f t="shared" ref="C16:C32" si="29">+D16+E16</f>
        <v>0</v>
      </c>
      <c r="D16" s="48">
        <v>0</v>
      </c>
      <c r="E16" s="48">
        <v>0</v>
      </c>
      <c r="F16" s="49">
        <f ca="1">IFERROR(__xludf.DUMMYFUNCTION("IMPORTRANGE(""https://docs.google.com/spreadsheets/d/11923uPwbBZFjjGgGUA6NLw09EwE0CqkOc4q9oUmW1yo/edit?usp=sharing"",""กำแพงเพชร!M12"")"),0)</f>
        <v>0</v>
      </c>
      <c r="G16" s="50">
        <f t="shared" si="1"/>
        <v>0</v>
      </c>
      <c r="H16" s="49">
        <f t="shared" si="27"/>
        <v>0</v>
      </c>
      <c r="I16" s="49">
        <f t="shared" si="2"/>
        <v>0</v>
      </c>
      <c r="J16" s="49">
        <f t="shared" ref="J16:J32" ca="1" si="30">P16+T16+X16</f>
        <v>0</v>
      </c>
      <c r="K16" s="51">
        <f t="shared" si="3"/>
        <v>0</v>
      </c>
      <c r="L16" s="49">
        <f t="shared" ref="L16:L32" ca="1" si="31">Q16+U16+Y16</f>
        <v>0</v>
      </c>
      <c r="M16" s="51">
        <f t="shared" si="4"/>
        <v>0</v>
      </c>
      <c r="N16" s="48">
        <v>0</v>
      </c>
      <c r="O16" s="48">
        <v>0</v>
      </c>
      <c r="P16" s="49">
        <f ca="1">IFERROR(__xludf.DUMMYFUNCTION("IMPORTRANGE(""https://docs.google.com/spreadsheets/d/11923uPwbBZFjjGgGUA6NLw09EwE0CqkOc4q9oUmW1yo/edit?usp=sharing"",""กำแพงเพชร!J22"")"),0)</f>
        <v>0</v>
      </c>
      <c r="Q16" s="49">
        <f ca="1">IFERROR(__xludf.DUMMYFUNCTION("IMPORTRANGE(""https://docs.google.com/spreadsheets/d/11923uPwbBZFjjGgGUA6NLw09EwE0CqkOc4q9oUmW1yo/edit?usp=sharing"",""กำแพงเพชร!J23"")"),0)</f>
        <v>0</v>
      </c>
      <c r="R16" s="48">
        <v>0</v>
      </c>
      <c r="S16" s="48">
        <v>0</v>
      </c>
      <c r="T16" s="49">
        <f ca="1">IFERROR(__xludf.DUMMYFUNCTION("IMPORTRANGE(""https://docs.google.com/spreadsheets/d/11923uPwbBZFjjGgGUA6NLw09EwE0CqkOc4q9oUmW1yo/edit?usp=sharing"",""กำแพงเพชร!J24"")"),0)</f>
        <v>0</v>
      </c>
      <c r="U16" s="49">
        <f ca="1">IFERROR(__xludf.DUMMYFUNCTION("IMPORTRANGE(""https://docs.google.com/spreadsheets/d/11923uPwbBZFjjGgGUA6NLw09EwE0CqkOc4q9oUmW1yo/edit?usp=sharing"",""กำแพงเพชร!J25"")"),0)</f>
        <v>0</v>
      </c>
      <c r="V16" s="48">
        <v>0</v>
      </c>
      <c r="W16" s="48">
        <v>0</v>
      </c>
      <c r="X16" s="49">
        <f ca="1">IFERROR(__xludf.DUMMYFUNCTION("IMPORTRANGE(""https://docs.google.com/spreadsheets/d/11923uPwbBZFjjGgGUA6NLw09EwE0CqkOc4q9oUmW1yo/edit?usp=sharing"",""กำแพงเพชร!J26"")"),0)</f>
        <v>0</v>
      </c>
      <c r="Y16" s="49">
        <f ca="1">IFERROR(__xludf.DUMMYFUNCTION("IMPORTRANGE(""https://docs.google.com/spreadsheets/d/11923uPwbBZFjjGgGUA6NLw09EwE0CqkOc4q9oUmW1yo/edit?usp=sharing"",""กำแพงเพชร!J27"")"),0)</f>
        <v>0</v>
      </c>
      <c r="Z16" s="48">
        <v>0</v>
      </c>
      <c r="AA16" s="49">
        <f ca="1">IFERROR(__xludf.DUMMYFUNCTION("IMPORTRANGE(""https://docs.google.com/spreadsheets/d/11923uPwbBZFjjGgGUA6NLw09EwE0CqkOc4q9oUmW1yo/edit?usp=sharing"",""กำแพงเพชร!J28"")"),0)</f>
        <v>0</v>
      </c>
      <c r="AB16" s="50">
        <f t="shared" si="11"/>
        <v>0</v>
      </c>
    </row>
    <row r="17" spans="1:28" ht="24" customHeight="1" x14ac:dyDescent="0.5">
      <c r="A17" s="52">
        <v>2</v>
      </c>
      <c r="B17" s="53" t="s">
        <v>32</v>
      </c>
      <c r="C17" s="54">
        <f t="shared" si="29"/>
        <v>548000</v>
      </c>
      <c r="D17" s="55">
        <v>0</v>
      </c>
      <c r="E17" s="55">
        <v>548000</v>
      </c>
      <c r="F17" s="55">
        <f ca="1">IFERROR(__xludf.DUMMYFUNCTION("IMPORTRANGE(""https://docs.google.com/spreadsheets/d/11923uPwbBZFjjGgGUA6NLw09EwE0CqkOc4q9oUmW1yo/edit?usp=sharing"",""เชียงราย!M12"")"),0)</f>
        <v>0</v>
      </c>
      <c r="G17" s="56">
        <f t="shared" ca="1" si="1"/>
        <v>0</v>
      </c>
      <c r="H17" s="57">
        <f t="shared" si="27"/>
        <v>1</v>
      </c>
      <c r="I17" s="57">
        <f t="shared" si="2"/>
        <v>60</v>
      </c>
      <c r="J17" s="57">
        <f t="shared" ca="1" si="30"/>
        <v>0</v>
      </c>
      <c r="K17" s="58">
        <f t="shared" ca="1" si="3"/>
        <v>0</v>
      </c>
      <c r="L17" s="57">
        <f t="shared" ca="1" si="31"/>
        <v>0</v>
      </c>
      <c r="M17" s="58">
        <f t="shared" ca="1" si="4"/>
        <v>0</v>
      </c>
      <c r="N17" s="57">
        <v>1</v>
      </c>
      <c r="O17" s="57">
        <v>60</v>
      </c>
      <c r="P17" s="57">
        <f ca="1">IFERROR(__xludf.DUMMYFUNCTION("IMPORTRANGE(""https://docs.google.com/spreadsheets/d/11923uPwbBZFjjGgGUA6NLw09EwE0CqkOc4q9oUmW1yo/edit?usp=sharing"",""เชียงราย!J22"")"),0)</f>
        <v>0</v>
      </c>
      <c r="Q17" s="57">
        <f ca="1">IFERROR(__xludf.DUMMYFUNCTION("IMPORTRANGE(""https://docs.google.com/spreadsheets/d/11923uPwbBZFjjGgGUA6NLw09EwE0CqkOc4q9oUmW1yo/edit?usp=sharing"",""เชียงราย!J23"")"),0)</f>
        <v>0</v>
      </c>
      <c r="R17" s="57">
        <v>0</v>
      </c>
      <c r="S17" s="57">
        <v>0</v>
      </c>
      <c r="T17" s="57">
        <f ca="1">IFERROR(__xludf.DUMMYFUNCTION("IMPORTRANGE(""https://docs.google.com/spreadsheets/d/11923uPwbBZFjjGgGUA6NLw09EwE0CqkOc4q9oUmW1yo/edit?usp=sharing"",""เชียงราย!J24"")"),0)</f>
        <v>0</v>
      </c>
      <c r="U17" s="57">
        <f ca="1">IFERROR(__xludf.DUMMYFUNCTION("IMPORTRANGE(""https://docs.google.com/spreadsheets/d/11923uPwbBZFjjGgGUA6NLw09EwE0CqkOc4q9oUmW1yo/edit?usp=sharing"",""เชียงราย!J25"")"),0)</f>
        <v>0</v>
      </c>
      <c r="V17" s="57">
        <v>0</v>
      </c>
      <c r="W17" s="57">
        <v>0</v>
      </c>
      <c r="X17" s="57">
        <f ca="1">IFERROR(__xludf.DUMMYFUNCTION("IMPORTRANGE(""https://docs.google.com/spreadsheets/d/11923uPwbBZFjjGgGUA6NLw09EwE0CqkOc4q9oUmW1yo/edit?usp=sharing"",""เชียงราย!J26"")"),0)</f>
        <v>0</v>
      </c>
      <c r="Y17" s="57">
        <f ca="1">IFERROR(__xludf.DUMMYFUNCTION("IMPORTRANGE(""https://docs.google.com/spreadsheets/d/11923uPwbBZFjjGgGUA6NLw09EwE0CqkOc4q9oUmW1yo/edit?usp=sharing"",""เชียงราย!J27"")"),0)</f>
        <v>0</v>
      </c>
      <c r="Z17" s="57">
        <v>60</v>
      </c>
      <c r="AA17" s="57">
        <f ca="1">IFERROR(__xludf.DUMMYFUNCTION("IMPORTRANGE(""https://docs.google.com/spreadsheets/d/11923uPwbBZFjjGgGUA6NLw09EwE0CqkOc4q9oUmW1yo/edit?usp=sharing"",""เชียงราย!J28"")"),0)</f>
        <v>0</v>
      </c>
      <c r="AB17" s="58">
        <f t="shared" ca="1" si="11"/>
        <v>0</v>
      </c>
    </row>
    <row r="18" spans="1:28" ht="24" customHeight="1" x14ac:dyDescent="0.5">
      <c r="A18" s="52">
        <v>3</v>
      </c>
      <c r="B18" s="53" t="s">
        <v>33</v>
      </c>
      <c r="C18" s="54">
        <f t="shared" si="29"/>
        <v>486000</v>
      </c>
      <c r="D18" s="55">
        <v>0</v>
      </c>
      <c r="E18" s="55">
        <v>486000</v>
      </c>
      <c r="F18" s="55">
        <f ca="1">IFERROR(__xludf.DUMMYFUNCTION("IMPORTRANGE(""https://docs.google.com/spreadsheets/d/11923uPwbBZFjjGgGUA6NLw09EwE0CqkOc4q9oUmW1yo/edit?usp=sharing"",""เชียงใหม่!M12"")"),31723.81)</f>
        <v>31723.81</v>
      </c>
      <c r="G18" s="56">
        <f t="shared" ca="1" si="1"/>
        <v>6.5275329218106997</v>
      </c>
      <c r="H18" s="57">
        <f t="shared" si="27"/>
        <v>1</v>
      </c>
      <c r="I18" s="57">
        <f t="shared" si="2"/>
        <v>50</v>
      </c>
      <c r="J18" s="57">
        <f t="shared" ca="1" si="30"/>
        <v>0</v>
      </c>
      <c r="K18" s="58">
        <f t="shared" ca="1" si="3"/>
        <v>0</v>
      </c>
      <c r="L18" s="57">
        <f t="shared" ca="1" si="31"/>
        <v>0</v>
      </c>
      <c r="M18" s="58">
        <f t="shared" ca="1" si="4"/>
        <v>0</v>
      </c>
      <c r="N18" s="55">
        <v>0</v>
      </c>
      <c r="O18" s="55">
        <v>0</v>
      </c>
      <c r="P18" s="57">
        <f ca="1">IFERROR(__xludf.DUMMYFUNCTION("IMPORTRANGE(""https://docs.google.com/spreadsheets/d/11923uPwbBZFjjGgGUA6NLw09EwE0CqkOc4q9oUmW1yo/edit?usp=sharing"",""เชียงใหม่!J22"")"),0)</f>
        <v>0</v>
      </c>
      <c r="Q18" s="57">
        <f ca="1">IFERROR(__xludf.DUMMYFUNCTION("IMPORTRANGE(""https://docs.google.com/spreadsheets/d/11923uPwbBZFjjGgGUA6NLw09EwE0CqkOc4q9oUmW1yo/edit?usp=sharing"",""เชียงใหม่!J23"")"),0)</f>
        <v>0</v>
      </c>
      <c r="R18" s="55">
        <v>0</v>
      </c>
      <c r="S18" s="55">
        <v>0</v>
      </c>
      <c r="T18" s="57">
        <f ca="1">IFERROR(__xludf.DUMMYFUNCTION("IMPORTRANGE(""https://docs.google.com/spreadsheets/d/11923uPwbBZFjjGgGUA6NLw09EwE0CqkOc4q9oUmW1yo/edit?usp=sharing"",""เชียงใหม่!J24"")"),0)</f>
        <v>0</v>
      </c>
      <c r="U18" s="57">
        <f ca="1">IFERROR(__xludf.DUMMYFUNCTION("IMPORTRANGE(""https://docs.google.com/spreadsheets/d/11923uPwbBZFjjGgGUA6NLw09EwE0CqkOc4q9oUmW1yo/edit?usp=sharing"",""เชียงใหม่!J25"")"),0)</f>
        <v>0</v>
      </c>
      <c r="V18" s="55">
        <v>1</v>
      </c>
      <c r="W18" s="55">
        <v>50</v>
      </c>
      <c r="X18" s="57">
        <f ca="1">IFERROR(__xludf.DUMMYFUNCTION("IMPORTRANGE(""https://docs.google.com/spreadsheets/d/11923uPwbBZFjjGgGUA6NLw09EwE0CqkOc4q9oUmW1yo/edit?usp=sharing"",""เชียงใหม่!J26"")"),0)</f>
        <v>0</v>
      </c>
      <c r="Y18" s="57">
        <f ca="1">IFERROR(__xludf.DUMMYFUNCTION("IMPORTRANGE(""https://docs.google.com/spreadsheets/d/11923uPwbBZFjjGgGUA6NLw09EwE0CqkOc4q9oUmW1yo/edit?usp=sharing"",""เชียงใหม่!J27"")"),0)</f>
        <v>0</v>
      </c>
      <c r="Z18" s="55">
        <v>0</v>
      </c>
      <c r="AA18" s="57">
        <f ca="1">IFERROR(__xludf.DUMMYFUNCTION("IMPORTRANGE(""https://docs.google.com/spreadsheets/d/11923uPwbBZFjjGgGUA6NLw09EwE0CqkOc4q9oUmW1yo/edit?usp=sharing"",""เชียงใหม่!J28"")"),0)</f>
        <v>0</v>
      </c>
      <c r="AB18" s="56">
        <f t="shared" si="11"/>
        <v>0</v>
      </c>
    </row>
    <row r="19" spans="1:28" ht="24" customHeight="1" x14ac:dyDescent="0.5">
      <c r="A19" s="52">
        <v>4</v>
      </c>
      <c r="B19" s="53" t="s">
        <v>34</v>
      </c>
      <c r="C19" s="54">
        <f t="shared" si="29"/>
        <v>0</v>
      </c>
      <c r="D19" s="55">
        <v>0</v>
      </c>
      <c r="E19" s="55">
        <v>0</v>
      </c>
      <c r="F19" s="55">
        <f ca="1">IFERROR(__xludf.DUMMYFUNCTION("IMPORTRANGE(""https://docs.google.com/spreadsheets/d/11923uPwbBZFjjGgGUA6NLw09EwE0CqkOc4q9oUmW1yo/edit?usp=sharing"",""ตาก!M12"")"),0)</f>
        <v>0</v>
      </c>
      <c r="G19" s="56">
        <f t="shared" si="1"/>
        <v>0</v>
      </c>
      <c r="H19" s="57">
        <f t="shared" si="27"/>
        <v>0</v>
      </c>
      <c r="I19" s="57">
        <f t="shared" si="2"/>
        <v>0</v>
      </c>
      <c r="J19" s="57">
        <f t="shared" ca="1" si="30"/>
        <v>0</v>
      </c>
      <c r="K19" s="58">
        <f t="shared" si="3"/>
        <v>0</v>
      </c>
      <c r="L19" s="57">
        <f t="shared" ca="1" si="31"/>
        <v>0</v>
      </c>
      <c r="M19" s="58">
        <f t="shared" si="4"/>
        <v>0</v>
      </c>
      <c r="N19" s="55">
        <v>0</v>
      </c>
      <c r="O19" s="55">
        <v>0</v>
      </c>
      <c r="P19" s="57">
        <f ca="1">IFERROR(__xludf.DUMMYFUNCTION("IMPORTRANGE(""https://docs.google.com/spreadsheets/d/11923uPwbBZFjjGgGUA6NLw09EwE0CqkOc4q9oUmW1yo/edit?usp=sharing"",""ตาก!J22"")"),0)</f>
        <v>0</v>
      </c>
      <c r="Q19" s="57">
        <f ca="1">IFERROR(__xludf.DUMMYFUNCTION("IMPORTRANGE(""https://docs.google.com/spreadsheets/d/11923uPwbBZFjjGgGUA6NLw09EwE0CqkOc4q9oUmW1yo/edit?usp=sharing"",""ตาก!J23"")"),0)</f>
        <v>0</v>
      </c>
      <c r="R19" s="55">
        <v>0</v>
      </c>
      <c r="S19" s="55">
        <v>0</v>
      </c>
      <c r="T19" s="57">
        <f ca="1">IFERROR(__xludf.DUMMYFUNCTION("IMPORTRANGE(""https://docs.google.com/spreadsheets/d/11923uPwbBZFjjGgGUA6NLw09EwE0CqkOc4q9oUmW1yo/edit?usp=sharing"",""ตาก!J24"")"),0)</f>
        <v>0</v>
      </c>
      <c r="U19" s="57">
        <f ca="1">IFERROR(__xludf.DUMMYFUNCTION("IMPORTRANGE(""https://docs.google.com/spreadsheets/d/11923uPwbBZFjjGgGUA6NLw09EwE0CqkOc4q9oUmW1yo/edit?usp=sharing"",""ตาก!J25"")"),0)</f>
        <v>0</v>
      </c>
      <c r="V19" s="55">
        <v>0</v>
      </c>
      <c r="W19" s="55">
        <v>0</v>
      </c>
      <c r="X19" s="57">
        <f ca="1">IFERROR(__xludf.DUMMYFUNCTION("IMPORTRANGE(""https://docs.google.com/spreadsheets/d/11923uPwbBZFjjGgGUA6NLw09EwE0CqkOc4q9oUmW1yo/edit?usp=sharing"",""ตาก!J26"")"),0)</f>
        <v>0</v>
      </c>
      <c r="Y19" s="57">
        <f ca="1">IFERROR(__xludf.DUMMYFUNCTION("IMPORTRANGE(""https://docs.google.com/spreadsheets/d/11923uPwbBZFjjGgGUA6NLw09EwE0CqkOc4q9oUmW1yo/edit?usp=sharing"",""ตาก!J27"")"),0)</f>
        <v>0</v>
      </c>
      <c r="Z19" s="55">
        <v>0</v>
      </c>
      <c r="AA19" s="57">
        <f ca="1">IFERROR(__xludf.DUMMYFUNCTION("IMPORTRANGE(""https://docs.google.com/spreadsheets/d/11923uPwbBZFjjGgGUA6NLw09EwE0CqkOc4q9oUmW1yo/edit?usp=sharing"",""ตาก!J28"")"),0)</f>
        <v>0</v>
      </c>
      <c r="AB19" s="56">
        <f t="shared" si="11"/>
        <v>0</v>
      </c>
    </row>
    <row r="20" spans="1:28" ht="24" customHeight="1" x14ac:dyDescent="0.5">
      <c r="A20" s="52">
        <v>5</v>
      </c>
      <c r="B20" s="53" t="s">
        <v>35</v>
      </c>
      <c r="C20" s="54">
        <f t="shared" si="29"/>
        <v>745500</v>
      </c>
      <c r="D20" s="55">
        <v>311500</v>
      </c>
      <c r="E20" s="55">
        <v>434000</v>
      </c>
      <c r="F20" s="55">
        <f ca="1">IFERROR(__xludf.DUMMYFUNCTION("IMPORTRANGE(""https://docs.google.com/spreadsheets/d/11923uPwbBZFjjGgGUA6NLw09EwE0CqkOc4q9oUmW1yo/edit?usp=sharing"",""นครสวรรค์!M12"")"),0)</f>
        <v>0</v>
      </c>
      <c r="G20" s="56">
        <f t="shared" ca="1" si="1"/>
        <v>0</v>
      </c>
      <c r="H20" s="57">
        <f t="shared" si="27"/>
        <v>1</v>
      </c>
      <c r="I20" s="57">
        <f t="shared" si="2"/>
        <v>40</v>
      </c>
      <c r="J20" s="57">
        <f t="shared" ca="1" si="30"/>
        <v>0</v>
      </c>
      <c r="K20" s="58">
        <f t="shared" ca="1" si="3"/>
        <v>0</v>
      </c>
      <c r="L20" s="57">
        <f t="shared" ca="1" si="31"/>
        <v>0</v>
      </c>
      <c r="M20" s="58">
        <f t="shared" ca="1" si="4"/>
        <v>0</v>
      </c>
      <c r="N20" s="55">
        <v>0</v>
      </c>
      <c r="O20" s="55">
        <v>0</v>
      </c>
      <c r="P20" s="57">
        <f ca="1">IFERROR(__xludf.DUMMYFUNCTION("IMPORTRANGE(""https://docs.google.com/spreadsheets/d/11923uPwbBZFjjGgGUA6NLw09EwE0CqkOc4q9oUmW1yo/edit?usp=sharing"",""นครสวรรค์!J22"")"),0)</f>
        <v>0</v>
      </c>
      <c r="Q20" s="57">
        <f ca="1">IFERROR(__xludf.DUMMYFUNCTION("IMPORTRANGE(""https://docs.google.com/spreadsheets/d/11923uPwbBZFjjGgGUA6NLw09EwE0CqkOc4q9oUmW1yo/edit?usp=sharing"",""นครสวรรค์!J23"")"),0)</f>
        <v>0</v>
      </c>
      <c r="R20" s="55">
        <v>1</v>
      </c>
      <c r="S20" s="55">
        <v>40</v>
      </c>
      <c r="T20" s="57">
        <f ca="1">IFERROR(__xludf.DUMMYFUNCTION("IMPORTRANGE(""https://docs.google.com/spreadsheets/d/11923uPwbBZFjjGgGUA6NLw09EwE0CqkOc4q9oUmW1yo/edit?usp=sharing"",""นครสวรรค์!J24"")"),0)</f>
        <v>0</v>
      </c>
      <c r="U20" s="57">
        <f ca="1">IFERROR(__xludf.DUMMYFUNCTION("IMPORTRANGE(""https://docs.google.com/spreadsheets/d/11923uPwbBZFjjGgGUA6NLw09EwE0CqkOc4q9oUmW1yo/edit?usp=sharing"",""นครสวรรค์!J25"")"),0)</f>
        <v>0</v>
      </c>
      <c r="V20" s="55">
        <v>0</v>
      </c>
      <c r="W20" s="55">
        <v>0</v>
      </c>
      <c r="X20" s="57">
        <f ca="1">IFERROR(__xludf.DUMMYFUNCTION("IMPORTRANGE(""https://docs.google.com/spreadsheets/d/11923uPwbBZFjjGgGUA6NLw09EwE0CqkOc4q9oUmW1yo/edit?usp=sharing"",""นครสวรรค์!J26"")"),0)</f>
        <v>0</v>
      </c>
      <c r="Y20" s="57">
        <f ca="1">IFERROR(__xludf.DUMMYFUNCTION("IMPORTRANGE(""https://docs.google.com/spreadsheets/d/11923uPwbBZFjjGgGUA6NLw09EwE0CqkOc4q9oUmW1yo/edit?usp=sharing"",""นครสวรรค์!J27"")"),0)</f>
        <v>0</v>
      </c>
      <c r="Z20" s="55">
        <v>0</v>
      </c>
      <c r="AA20" s="57">
        <f ca="1">IFERROR(__xludf.DUMMYFUNCTION("IMPORTRANGE(""https://docs.google.com/spreadsheets/d/11923uPwbBZFjjGgGUA6NLw09EwE0CqkOc4q9oUmW1yo/edit?usp=sharing"",""นครสวรรค์!J28"")"),0)</f>
        <v>0</v>
      </c>
      <c r="AB20" s="56">
        <f t="shared" si="11"/>
        <v>0</v>
      </c>
    </row>
    <row r="21" spans="1:28" ht="24" customHeight="1" x14ac:dyDescent="0.5">
      <c r="A21" s="52">
        <v>6</v>
      </c>
      <c r="B21" s="53" t="s">
        <v>36</v>
      </c>
      <c r="C21" s="54">
        <f t="shared" si="29"/>
        <v>553600</v>
      </c>
      <c r="D21" s="55">
        <v>0</v>
      </c>
      <c r="E21" s="55">
        <v>553600</v>
      </c>
      <c r="F21" s="55">
        <f ca="1">IFERROR(__xludf.DUMMYFUNCTION("IMPORTRANGE(""https://docs.google.com/spreadsheets/d/11923uPwbBZFjjGgGUA6NLw09EwE0CqkOc4q9oUmW1yo/edit?usp=sharing"",""น่าน!M12"")"),1600)</f>
        <v>1600</v>
      </c>
      <c r="G21" s="56">
        <f t="shared" ca="1" si="1"/>
        <v>0.28901734104046245</v>
      </c>
      <c r="H21" s="57">
        <f t="shared" si="27"/>
        <v>1</v>
      </c>
      <c r="I21" s="57">
        <f t="shared" si="2"/>
        <v>63</v>
      </c>
      <c r="J21" s="57">
        <f t="shared" ca="1" si="30"/>
        <v>0</v>
      </c>
      <c r="K21" s="58">
        <f t="shared" ca="1" si="3"/>
        <v>0</v>
      </c>
      <c r="L21" s="57">
        <f t="shared" ca="1" si="31"/>
        <v>0</v>
      </c>
      <c r="M21" s="58">
        <f t="shared" ca="1" si="4"/>
        <v>0</v>
      </c>
      <c r="N21" s="55">
        <v>0</v>
      </c>
      <c r="O21" s="55">
        <v>0</v>
      </c>
      <c r="P21" s="57">
        <f ca="1">IFERROR(__xludf.DUMMYFUNCTION("IMPORTRANGE(""https://docs.google.com/spreadsheets/d/11923uPwbBZFjjGgGUA6NLw09EwE0CqkOc4q9oUmW1yo/edit?usp=sharing"",""น่าน!J22"")"),0)</f>
        <v>0</v>
      </c>
      <c r="Q21" s="57">
        <f ca="1">IFERROR(__xludf.DUMMYFUNCTION("IMPORTRANGE(""https://docs.google.com/spreadsheets/d/11923uPwbBZFjjGgGUA6NLw09EwE0CqkOc4q9oUmW1yo/edit?usp=sharing"",""น่าน!J23"")"),0)</f>
        <v>0</v>
      </c>
      <c r="R21" s="55">
        <v>0</v>
      </c>
      <c r="S21" s="55">
        <v>0</v>
      </c>
      <c r="T21" s="57">
        <f ca="1">IFERROR(__xludf.DUMMYFUNCTION("IMPORTRANGE(""https://docs.google.com/spreadsheets/d/11923uPwbBZFjjGgGUA6NLw09EwE0CqkOc4q9oUmW1yo/edit?usp=sharing"",""น่าน!J24"")"),0)</f>
        <v>0</v>
      </c>
      <c r="U21" s="57">
        <f ca="1">IFERROR(__xludf.DUMMYFUNCTION("IMPORTRANGE(""https://docs.google.com/spreadsheets/d/11923uPwbBZFjjGgGUA6NLw09EwE0CqkOc4q9oUmW1yo/edit?usp=sharing"",""น่าน!J25"")"),0)</f>
        <v>0</v>
      </c>
      <c r="V21" s="55">
        <v>1</v>
      </c>
      <c r="W21" s="55">
        <v>63</v>
      </c>
      <c r="X21" s="57">
        <f ca="1">IFERROR(__xludf.DUMMYFUNCTION("IMPORTRANGE(""https://docs.google.com/spreadsheets/d/11923uPwbBZFjjGgGUA6NLw09EwE0CqkOc4q9oUmW1yo/edit?usp=sharing"",""น่าน!J26"")"),0)</f>
        <v>0</v>
      </c>
      <c r="Y21" s="57">
        <f ca="1">IFERROR(__xludf.DUMMYFUNCTION("IMPORTRANGE(""https://docs.google.com/spreadsheets/d/11923uPwbBZFjjGgGUA6NLw09EwE0CqkOc4q9oUmW1yo/edit?usp=sharing"",""น่าน!J27"")"),0)</f>
        <v>0</v>
      </c>
      <c r="Z21" s="55">
        <v>0</v>
      </c>
      <c r="AA21" s="57">
        <f ca="1">IFERROR(__xludf.DUMMYFUNCTION("IMPORTRANGE(""https://docs.google.com/spreadsheets/d/11923uPwbBZFjjGgGUA6NLw09EwE0CqkOc4q9oUmW1yo/edit?usp=sharing"",""น่าน!J28"")"),0)</f>
        <v>0</v>
      </c>
      <c r="AB21" s="56">
        <f t="shared" si="11"/>
        <v>0</v>
      </c>
    </row>
    <row r="22" spans="1:28" ht="24" customHeight="1" x14ac:dyDescent="0.5">
      <c r="A22" s="52">
        <v>7</v>
      </c>
      <c r="B22" s="53" t="s">
        <v>37</v>
      </c>
      <c r="C22" s="54">
        <f t="shared" si="29"/>
        <v>382000</v>
      </c>
      <c r="D22" s="55">
        <v>0</v>
      </c>
      <c r="E22" s="55">
        <v>382000</v>
      </c>
      <c r="F22" s="55">
        <f ca="1">IFERROR(__xludf.DUMMYFUNCTION("IMPORTRANGE(""https://docs.google.com/spreadsheets/d/11923uPwbBZFjjGgGUA6NLw09EwE0CqkOc4q9oUmW1yo/edit?usp=sharing"",""พะเยา!M12"")"),0)</f>
        <v>0</v>
      </c>
      <c r="G22" s="56">
        <f t="shared" ca="1" si="1"/>
        <v>0</v>
      </c>
      <c r="H22" s="57">
        <f t="shared" si="27"/>
        <v>1</v>
      </c>
      <c r="I22" s="57">
        <f t="shared" si="2"/>
        <v>30</v>
      </c>
      <c r="J22" s="57">
        <f t="shared" ca="1" si="30"/>
        <v>0</v>
      </c>
      <c r="K22" s="58">
        <f t="shared" ca="1" si="3"/>
        <v>0</v>
      </c>
      <c r="L22" s="57">
        <f t="shared" ca="1" si="31"/>
        <v>0</v>
      </c>
      <c r="M22" s="58">
        <f t="shared" ca="1" si="4"/>
        <v>0</v>
      </c>
      <c r="N22" s="55">
        <v>1</v>
      </c>
      <c r="O22" s="55">
        <v>30</v>
      </c>
      <c r="P22" s="57">
        <f ca="1">IFERROR(__xludf.DUMMYFUNCTION("IMPORTRANGE(""https://docs.google.com/spreadsheets/d/11923uPwbBZFjjGgGUA6NLw09EwE0CqkOc4q9oUmW1yo/edit?usp=sharing"",""พะเยา!J22"")"),0)</f>
        <v>0</v>
      </c>
      <c r="Q22" s="57">
        <f ca="1">IFERROR(__xludf.DUMMYFUNCTION("IMPORTRANGE(""https://docs.google.com/spreadsheets/d/11923uPwbBZFjjGgGUA6NLw09EwE0CqkOc4q9oUmW1yo/edit?usp=sharing"",""พะเยา!J23"")"),0)</f>
        <v>0</v>
      </c>
      <c r="R22" s="55">
        <v>0</v>
      </c>
      <c r="S22" s="55">
        <v>0</v>
      </c>
      <c r="T22" s="57">
        <f ca="1">IFERROR(__xludf.DUMMYFUNCTION("IMPORTRANGE(""https://docs.google.com/spreadsheets/d/11923uPwbBZFjjGgGUA6NLw09EwE0CqkOc4q9oUmW1yo/edit?usp=sharing"",""พะเยา!J24"")"),0)</f>
        <v>0</v>
      </c>
      <c r="U22" s="57">
        <f ca="1">IFERROR(__xludf.DUMMYFUNCTION("IMPORTRANGE(""https://docs.google.com/spreadsheets/d/11923uPwbBZFjjGgGUA6NLw09EwE0CqkOc4q9oUmW1yo/edit?usp=sharing"",""พะเยา!J25"")"),0)</f>
        <v>0</v>
      </c>
      <c r="V22" s="55">
        <v>0</v>
      </c>
      <c r="W22" s="55">
        <v>0</v>
      </c>
      <c r="X22" s="57">
        <f ca="1">IFERROR(__xludf.DUMMYFUNCTION("IMPORTRANGE(""https://docs.google.com/spreadsheets/d/11923uPwbBZFjjGgGUA6NLw09EwE0CqkOc4q9oUmW1yo/edit?usp=sharing"",""พะเยา!J26"")"),0)</f>
        <v>0</v>
      </c>
      <c r="Y22" s="57">
        <f ca="1">IFERROR(__xludf.DUMMYFUNCTION("IMPORTRANGE(""https://docs.google.com/spreadsheets/d/11923uPwbBZFjjGgGUA6NLw09EwE0CqkOc4q9oUmW1yo/edit?usp=sharing"",""พะเยา!J27"")"),0)</f>
        <v>0</v>
      </c>
      <c r="Z22" s="55">
        <v>30</v>
      </c>
      <c r="AA22" s="57">
        <f ca="1">IFERROR(__xludf.DUMMYFUNCTION("IMPORTRANGE(""https://docs.google.com/spreadsheets/d/11923uPwbBZFjjGgGUA6NLw09EwE0CqkOc4q9oUmW1yo/edit?usp=sharing"",""พะเยา!J28"")"),0)</f>
        <v>0</v>
      </c>
      <c r="AB22" s="56">
        <f t="shared" ca="1" si="11"/>
        <v>0</v>
      </c>
    </row>
    <row r="23" spans="1:28" ht="24" customHeight="1" x14ac:dyDescent="0.5">
      <c r="A23" s="52">
        <v>8</v>
      </c>
      <c r="B23" s="53" t="s">
        <v>38</v>
      </c>
      <c r="C23" s="54">
        <f t="shared" si="29"/>
        <v>0</v>
      </c>
      <c r="D23" s="55">
        <v>0</v>
      </c>
      <c r="E23" s="55">
        <v>0</v>
      </c>
      <c r="F23" s="55">
        <f ca="1">IFERROR(__xludf.DUMMYFUNCTION("IMPORTRANGE(""https://docs.google.com/spreadsheets/d/11923uPwbBZFjjGgGUA6NLw09EwE0CqkOc4q9oUmW1yo/edit?usp=sharing"",""พิจิตร!M12"")"),0)</f>
        <v>0</v>
      </c>
      <c r="G23" s="56">
        <f t="shared" si="1"/>
        <v>0</v>
      </c>
      <c r="H23" s="57">
        <f t="shared" si="27"/>
        <v>0</v>
      </c>
      <c r="I23" s="57">
        <f t="shared" si="2"/>
        <v>0</v>
      </c>
      <c r="J23" s="57">
        <f t="shared" ca="1" si="30"/>
        <v>0</v>
      </c>
      <c r="K23" s="58">
        <f t="shared" si="3"/>
        <v>0</v>
      </c>
      <c r="L23" s="57">
        <f t="shared" ca="1" si="31"/>
        <v>0</v>
      </c>
      <c r="M23" s="58">
        <f t="shared" si="4"/>
        <v>0</v>
      </c>
      <c r="N23" s="55">
        <v>0</v>
      </c>
      <c r="O23" s="55">
        <v>0</v>
      </c>
      <c r="P23" s="57">
        <f ca="1">IFERROR(__xludf.DUMMYFUNCTION("IMPORTRANGE(""https://docs.google.com/spreadsheets/d/11923uPwbBZFjjGgGUA6NLw09EwE0CqkOc4q9oUmW1yo/edit?usp=sharing"",""พิจิตร!J22"")"),0)</f>
        <v>0</v>
      </c>
      <c r="Q23" s="57">
        <f ca="1">IFERROR(__xludf.DUMMYFUNCTION("IMPORTRANGE(""https://docs.google.com/spreadsheets/d/11923uPwbBZFjjGgGUA6NLw09EwE0CqkOc4q9oUmW1yo/edit?usp=sharing"",""พิจิตร!J23"")"),0)</f>
        <v>0</v>
      </c>
      <c r="R23" s="55">
        <v>0</v>
      </c>
      <c r="S23" s="55">
        <v>0</v>
      </c>
      <c r="T23" s="57">
        <f ca="1">IFERROR(__xludf.DUMMYFUNCTION("IMPORTRANGE(""https://docs.google.com/spreadsheets/d/11923uPwbBZFjjGgGUA6NLw09EwE0CqkOc4q9oUmW1yo/edit?usp=sharing"",""พิจิตร!J24"")"),0)</f>
        <v>0</v>
      </c>
      <c r="U23" s="57">
        <f ca="1">IFERROR(__xludf.DUMMYFUNCTION("IMPORTRANGE(""https://docs.google.com/spreadsheets/d/11923uPwbBZFjjGgGUA6NLw09EwE0CqkOc4q9oUmW1yo/edit?usp=sharing"",""พิจิตร!J25"")"),0)</f>
        <v>0</v>
      </c>
      <c r="V23" s="55">
        <v>0</v>
      </c>
      <c r="W23" s="55">
        <v>0</v>
      </c>
      <c r="X23" s="57">
        <f ca="1">IFERROR(__xludf.DUMMYFUNCTION("IMPORTRANGE(""https://docs.google.com/spreadsheets/d/11923uPwbBZFjjGgGUA6NLw09EwE0CqkOc4q9oUmW1yo/edit?usp=sharing"",""พิจิตร!J26"")"),0)</f>
        <v>0</v>
      </c>
      <c r="Y23" s="57">
        <f ca="1">IFERROR(__xludf.DUMMYFUNCTION("IMPORTRANGE(""https://docs.google.com/spreadsheets/d/11923uPwbBZFjjGgGUA6NLw09EwE0CqkOc4q9oUmW1yo/edit?usp=sharing"",""พิจิตร!J27"")"),0)</f>
        <v>0</v>
      </c>
      <c r="Z23" s="55">
        <v>0</v>
      </c>
      <c r="AA23" s="57">
        <f ca="1">IFERROR(__xludf.DUMMYFUNCTION("IMPORTRANGE(""https://docs.google.com/spreadsheets/d/11923uPwbBZFjjGgGUA6NLw09EwE0CqkOc4q9oUmW1yo/edit?usp=sharing"",""พิจิตร!J28"")"),0)</f>
        <v>0</v>
      </c>
      <c r="AB23" s="56">
        <f t="shared" si="11"/>
        <v>0</v>
      </c>
    </row>
    <row r="24" spans="1:28" ht="24" customHeight="1" x14ac:dyDescent="0.5">
      <c r="A24" s="52">
        <v>9</v>
      </c>
      <c r="B24" s="53" t="s">
        <v>39</v>
      </c>
      <c r="C24" s="54">
        <f t="shared" si="29"/>
        <v>1646600</v>
      </c>
      <c r="D24" s="55">
        <v>192000</v>
      </c>
      <c r="E24" s="55">
        <v>1454600</v>
      </c>
      <c r="F24" s="55">
        <f ca="1">IFERROR(__xludf.DUMMYFUNCTION("IMPORTRANGE(""https://docs.google.com/spreadsheets/d/11923uPwbBZFjjGgGUA6NLw09EwE0CqkOc4q9oUmW1yo/edit?usp=sharing"",""พิษณุโลก!M12"")"),21266.86)</f>
        <v>21266.86</v>
      </c>
      <c r="G24" s="56">
        <f t="shared" ca="1" si="1"/>
        <v>1.2915620065589699</v>
      </c>
      <c r="H24" s="57">
        <f t="shared" si="27"/>
        <v>3</v>
      </c>
      <c r="I24" s="57">
        <f t="shared" si="2"/>
        <v>188</v>
      </c>
      <c r="J24" s="57">
        <f t="shared" ca="1" si="30"/>
        <v>0</v>
      </c>
      <c r="K24" s="58">
        <f t="shared" ca="1" si="3"/>
        <v>0</v>
      </c>
      <c r="L24" s="57">
        <f t="shared" ca="1" si="31"/>
        <v>0</v>
      </c>
      <c r="M24" s="58">
        <f t="shared" ca="1" si="4"/>
        <v>0</v>
      </c>
      <c r="N24" s="55">
        <v>0</v>
      </c>
      <c r="O24" s="55">
        <v>0</v>
      </c>
      <c r="P24" s="57">
        <f ca="1">IFERROR(__xludf.DUMMYFUNCTION("IMPORTRANGE(""https://docs.google.com/spreadsheets/d/11923uPwbBZFjjGgGUA6NLw09EwE0CqkOc4q9oUmW1yo/edit?usp=sharing"",""พิษณุโลก!J22"")"),0)</f>
        <v>0</v>
      </c>
      <c r="Q24" s="57">
        <f ca="1">IFERROR(__xludf.DUMMYFUNCTION("IMPORTRANGE(""https://docs.google.com/spreadsheets/d/11923uPwbBZFjjGgGUA6NLw09EwE0CqkOc4q9oUmW1yo/edit?usp=sharing"",""พิษณุโลก!J23"")"),0)</f>
        <v>0</v>
      </c>
      <c r="R24" s="55">
        <v>0</v>
      </c>
      <c r="S24" s="55">
        <v>0</v>
      </c>
      <c r="T24" s="57">
        <f ca="1">IFERROR(__xludf.DUMMYFUNCTION("IMPORTRANGE(""https://docs.google.com/spreadsheets/d/11923uPwbBZFjjGgGUA6NLw09EwE0CqkOc4q9oUmW1yo/edit?usp=sharing"",""พิษณุโลก!J24"")"),0)</f>
        <v>0</v>
      </c>
      <c r="U24" s="57">
        <f ca="1">IFERROR(__xludf.DUMMYFUNCTION("IMPORTRANGE(""https://docs.google.com/spreadsheets/d/11923uPwbBZFjjGgGUA6NLw09EwE0CqkOc4q9oUmW1yo/edit?usp=sharing"",""พิษณุโลก!J25"")"),0)</f>
        <v>0</v>
      </c>
      <c r="V24" s="55">
        <v>3</v>
      </c>
      <c r="W24" s="55">
        <v>188</v>
      </c>
      <c r="X24" s="57">
        <f ca="1">IFERROR(__xludf.DUMMYFUNCTION("IMPORTRANGE(""https://docs.google.com/spreadsheets/d/11923uPwbBZFjjGgGUA6NLw09EwE0CqkOc4q9oUmW1yo/edit?usp=sharing"",""พิษณุโลก!J26"")"),0)</f>
        <v>0</v>
      </c>
      <c r="Y24" s="57">
        <f ca="1">IFERROR(__xludf.DUMMYFUNCTION("IMPORTRANGE(""https://docs.google.com/spreadsheets/d/11923uPwbBZFjjGgGUA6NLw09EwE0CqkOc4q9oUmW1yo/edit?usp=sharing"",""พิษณุโลก!J27"")"),0)</f>
        <v>0</v>
      </c>
      <c r="Z24" s="55">
        <v>0</v>
      </c>
      <c r="AA24" s="57">
        <f ca="1">IFERROR(__xludf.DUMMYFUNCTION("IMPORTRANGE(""https://docs.google.com/spreadsheets/d/11923uPwbBZFjjGgGUA6NLw09EwE0CqkOc4q9oUmW1yo/edit?usp=sharing"",""พิษณุโลก!J28"")"),0)</f>
        <v>0</v>
      </c>
      <c r="AB24" s="56">
        <f t="shared" si="11"/>
        <v>0</v>
      </c>
    </row>
    <row r="25" spans="1:28" ht="24" customHeight="1" x14ac:dyDescent="0.5">
      <c r="A25" s="52">
        <v>10</v>
      </c>
      <c r="B25" s="53" t="s">
        <v>40</v>
      </c>
      <c r="C25" s="54">
        <f t="shared" si="29"/>
        <v>577500</v>
      </c>
      <c r="D25" s="55">
        <v>179500</v>
      </c>
      <c r="E25" s="55">
        <v>398000</v>
      </c>
      <c r="F25" s="55">
        <f ca="1">IFERROR(__xludf.DUMMYFUNCTION("IMPORTRANGE(""https://docs.google.com/spreadsheets/d/11923uPwbBZFjjGgGUA6NLw09EwE0CqkOc4q9oUmW1yo/edit?usp=sharing"",""เพชรบูรณ์!M12"")"),30809)</f>
        <v>30809</v>
      </c>
      <c r="G25" s="56">
        <f t="shared" ca="1" si="1"/>
        <v>5.3348917748917746</v>
      </c>
      <c r="H25" s="57">
        <f t="shared" si="27"/>
        <v>1</v>
      </c>
      <c r="I25" s="57">
        <f t="shared" si="2"/>
        <v>35</v>
      </c>
      <c r="J25" s="57">
        <f t="shared" ca="1" si="30"/>
        <v>0</v>
      </c>
      <c r="K25" s="58">
        <f t="shared" ca="1" si="3"/>
        <v>0</v>
      </c>
      <c r="L25" s="57">
        <f t="shared" ca="1" si="31"/>
        <v>0</v>
      </c>
      <c r="M25" s="58">
        <f t="shared" ca="1" si="4"/>
        <v>0</v>
      </c>
      <c r="N25" s="55">
        <v>0</v>
      </c>
      <c r="O25" s="55">
        <v>0</v>
      </c>
      <c r="P25" s="57">
        <f ca="1">IFERROR(__xludf.DUMMYFUNCTION("IMPORTRANGE(""https://docs.google.com/spreadsheets/d/11923uPwbBZFjjGgGUA6NLw09EwE0CqkOc4q9oUmW1yo/edit?usp=sharing"",""เพชรบูรณ์!J22"")"),0)</f>
        <v>0</v>
      </c>
      <c r="Q25" s="57">
        <f ca="1">IFERROR(__xludf.DUMMYFUNCTION("IMPORTRANGE(""https://docs.google.com/spreadsheets/d/11923uPwbBZFjjGgGUA6NLw09EwE0CqkOc4q9oUmW1yo/edit?usp=sharing"",""เพชรบูรณ์!J23"")"),0)</f>
        <v>0</v>
      </c>
      <c r="R25" s="55">
        <v>1</v>
      </c>
      <c r="S25" s="55">
        <v>35</v>
      </c>
      <c r="T25" s="57">
        <f ca="1">IFERROR(__xludf.DUMMYFUNCTION("IMPORTRANGE(""https://docs.google.com/spreadsheets/d/11923uPwbBZFjjGgGUA6NLw09EwE0CqkOc4q9oUmW1yo/edit?usp=sharing"",""เพชรบูรณ์!J24"")"),0)</f>
        <v>0</v>
      </c>
      <c r="U25" s="57">
        <f ca="1">IFERROR(__xludf.DUMMYFUNCTION("IMPORTRANGE(""https://docs.google.com/spreadsheets/d/11923uPwbBZFjjGgGUA6NLw09EwE0CqkOc4q9oUmW1yo/edit?usp=sharing"",""เพชรบูรณ์!J25"")"),0)</f>
        <v>0</v>
      </c>
      <c r="V25" s="55">
        <v>0</v>
      </c>
      <c r="W25" s="55">
        <v>0</v>
      </c>
      <c r="X25" s="57">
        <f ca="1">IFERROR(__xludf.DUMMYFUNCTION("IMPORTRANGE(""https://docs.google.com/spreadsheets/d/11923uPwbBZFjjGgGUA6NLw09EwE0CqkOc4q9oUmW1yo/edit?usp=sharing"",""เพชรบูรณ์!J26"")"),0)</f>
        <v>0</v>
      </c>
      <c r="Y25" s="57">
        <f ca="1">IFERROR(__xludf.DUMMYFUNCTION("IMPORTRANGE(""https://docs.google.com/spreadsheets/d/11923uPwbBZFjjGgGUA6NLw09EwE0CqkOc4q9oUmW1yo/edit?usp=sharing"",""เพชรบูรณ์!J27"")"),0)</f>
        <v>0</v>
      </c>
      <c r="Z25" s="55">
        <v>0</v>
      </c>
      <c r="AA25" s="57">
        <f ca="1">IFERROR(__xludf.DUMMYFUNCTION("IMPORTRANGE(""https://docs.google.com/spreadsheets/d/11923uPwbBZFjjGgGUA6NLw09EwE0CqkOc4q9oUmW1yo/edit?usp=sharing"",""เพชรบูรณ์!J28"")"),0)</f>
        <v>0</v>
      </c>
      <c r="AB25" s="56">
        <f t="shared" si="11"/>
        <v>0</v>
      </c>
    </row>
    <row r="26" spans="1:28" ht="24" customHeight="1" x14ac:dyDescent="0.5">
      <c r="A26" s="52">
        <v>11</v>
      </c>
      <c r="B26" s="53" t="s">
        <v>41</v>
      </c>
      <c r="C26" s="54">
        <f t="shared" si="29"/>
        <v>0</v>
      </c>
      <c r="D26" s="55">
        <v>0</v>
      </c>
      <c r="E26" s="55">
        <v>0</v>
      </c>
      <c r="F26" s="55">
        <f ca="1">IFERROR(__xludf.DUMMYFUNCTION("IMPORTRANGE(""https://docs.google.com/spreadsheets/d/11923uPwbBZFjjGgGUA6NLw09EwE0CqkOc4q9oUmW1yo/edit?usp=sharing"",""แพร่!M12"")"),0)</f>
        <v>0</v>
      </c>
      <c r="G26" s="56">
        <f t="shared" si="1"/>
        <v>0</v>
      </c>
      <c r="H26" s="57">
        <f t="shared" si="27"/>
        <v>0</v>
      </c>
      <c r="I26" s="57">
        <f t="shared" si="2"/>
        <v>0</v>
      </c>
      <c r="J26" s="57">
        <f t="shared" ca="1" si="30"/>
        <v>0</v>
      </c>
      <c r="K26" s="58">
        <f t="shared" si="3"/>
        <v>0</v>
      </c>
      <c r="L26" s="57">
        <f t="shared" ca="1" si="31"/>
        <v>0</v>
      </c>
      <c r="M26" s="58">
        <f t="shared" si="4"/>
        <v>0</v>
      </c>
      <c r="N26" s="55">
        <v>0</v>
      </c>
      <c r="O26" s="55">
        <v>0</v>
      </c>
      <c r="P26" s="57">
        <f ca="1">IFERROR(__xludf.DUMMYFUNCTION("IMPORTRANGE(""https://docs.google.com/spreadsheets/d/11923uPwbBZFjjGgGUA6NLw09EwE0CqkOc4q9oUmW1yo/edit?usp=sharing"",""แพร่!J22"")"),0)</f>
        <v>0</v>
      </c>
      <c r="Q26" s="57">
        <f ca="1">IFERROR(__xludf.DUMMYFUNCTION("IMPORTRANGE(""https://docs.google.com/spreadsheets/d/11923uPwbBZFjjGgGUA6NLw09EwE0CqkOc4q9oUmW1yo/edit?usp=sharing"",""แพร่!J23"")"),0)</f>
        <v>0</v>
      </c>
      <c r="R26" s="55">
        <v>0</v>
      </c>
      <c r="S26" s="55">
        <v>0</v>
      </c>
      <c r="T26" s="57">
        <f ca="1">IFERROR(__xludf.DUMMYFUNCTION("IMPORTRANGE(""https://docs.google.com/spreadsheets/d/11923uPwbBZFjjGgGUA6NLw09EwE0CqkOc4q9oUmW1yo/edit?usp=sharing"",""แพร่!J24"")"),0)</f>
        <v>0</v>
      </c>
      <c r="U26" s="57">
        <f ca="1">IFERROR(__xludf.DUMMYFUNCTION("IMPORTRANGE(""https://docs.google.com/spreadsheets/d/11923uPwbBZFjjGgGUA6NLw09EwE0CqkOc4q9oUmW1yo/edit?usp=sharing"",""แพร่!J25"")"),0)</f>
        <v>0</v>
      </c>
      <c r="V26" s="55">
        <v>0</v>
      </c>
      <c r="W26" s="55">
        <v>0</v>
      </c>
      <c r="X26" s="57">
        <f ca="1">IFERROR(__xludf.DUMMYFUNCTION("IMPORTRANGE(""https://docs.google.com/spreadsheets/d/11923uPwbBZFjjGgGUA6NLw09EwE0CqkOc4q9oUmW1yo/edit?usp=sharing"",""แพร่!J26"")"),0)</f>
        <v>0</v>
      </c>
      <c r="Y26" s="57">
        <f ca="1">IFERROR(__xludf.DUMMYFUNCTION("IMPORTRANGE(""https://docs.google.com/spreadsheets/d/11923uPwbBZFjjGgGUA6NLw09EwE0CqkOc4q9oUmW1yo/edit?usp=sharing"",""แพร่!J27"")"),0)</f>
        <v>0</v>
      </c>
      <c r="Z26" s="55">
        <v>0</v>
      </c>
      <c r="AA26" s="57">
        <f ca="1">IFERROR(__xludf.DUMMYFUNCTION("IMPORTRANGE(""https://docs.google.com/spreadsheets/d/11923uPwbBZFjjGgGUA6NLw09EwE0CqkOc4q9oUmW1yo/edit?usp=sharing"",""แพร่!J28"")"),0)</f>
        <v>0</v>
      </c>
      <c r="AB26" s="56">
        <f t="shared" si="11"/>
        <v>0</v>
      </c>
    </row>
    <row r="27" spans="1:28" ht="24" customHeight="1" x14ac:dyDescent="0.5">
      <c r="A27" s="52">
        <v>12</v>
      </c>
      <c r="B27" s="53" t="s">
        <v>42</v>
      </c>
      <c r="C27" s="54">
        <f t="shared" si="29"/>
        <v>0</v>
      </c>
      <c r="D27" s="55">
        <v>0</v>
      </c>
      <c r="E27" s="55">
        <v>0</v>
      </c>
      <c r="F27" s="55">
        <f ca="1">IFERROR(__xludf.DUMMYFUNCTION("IMPORTRANGE(""https://docs.google.com/spreadsheets/d/11923uPwbBZFjjGgGUA6NLw09EwE0CqkOc4q9oUmW1yo/edit?usp=sharing"",""แม่ฮ่องสอน!M12"")"),0)</f>
        <v>0</v>
      </c>
      <c r="G27" s="56">
        <f t="shared" si="1"/>
        <v>0</v>
      </c>
      <c r="H27" s="57">
        <f t="shared" si="27"/>
        <v>0</v>
      </c>
      <c r="I27" s="57">
        <f t="shared" si="2"/>
        <v>0</v>
      </c>
      <c r="J27" s="57">
        <f t="shared" ca="1" si="30"/>
        <v>0</v>
      </c>
      <c r="K27" s="58">
        <f t="shared" si="3"/>
        <v>0</v>
      </c>
      <c r="L27" s="57">
        <f t="shared" ca="1" si="31"/>
        <v>0</v>
      </c>
      <c r="M27" s="58">
        <f t="shared" si="4"/>
        <v>0</v>
      </c>
      <c r="N27" s="55">
        <v>0</v>
      </c>
      <c r="O27" s="55">
        <v>0</v>
      </c>
      <c r="P27" s="57">
        <f ca="1">IFERROR(__xludf.DUMMYFUNCTION("IMPORTRANGE(""https://docs.google.com/spreadsheets/d/11923uPwbBZFjjGgGUA6NLw09EwE0CqkOc4q9oUmW1yo/edit?usp=sharing"",""แม่ฮ่องสอน!J22"")"),0)</f>
        <v>0</v>
      </c>
      <c r="Q27" s="57">
        <f ca="1">IFERROR(__xludf.DUMMYFUNCTION("IMPORTRANGE(""https://docs.google.com/spreadsheets/d/11923uPwbBZFjjGgGUA6NLw09EwE0CqkOc4q9oUmW1yo/edit?usp=sharing"",""แม่ฮ่องสอน!J23"")"),0)</f>
        <v>0</v>
      </c>
      <c r="R27" s="55">
        <v>0</v>
      </c>
      <c r="S27" s="55">
        <v>0</v>
      </c>
      <c r="T27" s="57">
        <f ca="1">IFERROR(__xludf.DUMMYFUNCTION("IMPORTRANGE(""https://docs.google.com/spreadsheets/d/11923uPwbBZFjjGgGUA6NLw09EwE0CqkOc4q9oUmW1yo/edit?usp=sharing"",""แม่ฮ่องสอน!J24"")"),0)</f>
        <v>0</v>
      </c>
      <c r="U27" s="57">
        <f ca="1">IFERROR(__xludf.DUMMYFUNCTION("IMPORTRANGE(""https://docs.google.com/spreadsheets/d/11923uPwbBZFjjGgGUA6NLw09EwE0CqkOc4q9oUmW1yo/edit?usp=sharing"",""แม่ฮ่องสอน!J25"")"),0)</f>
        <v>0</v>
      </c>
      <c r="V27" s="55">
        <v>0</v>
      </c>
      <c r="W27" s="55">
        <v>0</v>
      </c>
      <c r="X27" s="57">
        <f ca="1">IFERROR(__xludf.DUMMYFUNCTION("IMPORTRANGE(""https://docs.google.com/spreadsheets/d/11923uPwbBZFjjGgGUA6NLw09EwE0CqkOc4q9oUmW1yo/edit?usp=sharing"",""แม่ฮ่องสอน!J26"")"),0)</f>
        <v>0</v>
      </c>
      <c r="Y27" s="57">
        <f ca="1">IFERROR(__xludf.DUMMYFUNCTION("IMPORTRANGE(""https://docs.google.com/spreadsheets/d/11923uPwbBZFjjGgGUA6NLw09EwE0CqkOc4q9oUmW1yo/edit?usp=sharing"",""แม่ฮ่องสอน!J27"")"),0)</f>
        <v>0</v>
      </c>
      <c r="Z27" s="55">
        <v>0</v>
      </c>
      <c r="AA27" s="57">
        <f ca="1">IFERROR(__xludf.DUMMYFUNCTION("IMPORTRANGE(""https://docs.google.com/spreadsheets/d/11923uPwbBZFjjGgGUA6NLw09EwE0CqkOc4q9oUmW1yo/edit?usp=sharing"",""แม่ฮ่องสอน!J28"")"),0)</f>
        <v>0</v>
      </c>
      <c r="AB27" s="56">
        <f t="shared" si="11"/>
        <v>0</v>
      </c>
    </row>
    <row r="28" spans="1:28" ht="24" customHeight="1" x14ac:dyDescent="0.5">
      <c r="A28" s="52">
        <v>13</v>
      </c>
      <c r="B28" s="53" t="s">
        <v>43</v>
      </c>
      <c r="C28" s="54">
        <f t="shared" si="29"/>
        <v>0</v>
      </c>
      <c r="D28" s="55">
        <v>0</v>
      </c>
      <c r="E28" s="55">
        <v>0</v>
      </c>
      <c r="F28" s="55">
        <f ca="1">IFERROR(__xludf.DUMMYFUNCTION("IMPORTRANGE(""https://docs.google.com/spreadsheets/d/11923uPwbBZFjjGgGUA6NLw09EwE0CqkOc4q9oUmW1yo/edit?usp=sharing"",""ลำปาง!M12"")"),0)</f>
        <v>0</v>
      </c>
      <c r="G28" s="56">
        <f t="shared" si="1"/>
        <v>0</v>
      </c>
      <c r="H28" s="57">
        <f t="shared" si="27"/>
        <v>0</v>
      </c>
      <c r="I28" s="57">
        <f t="shared" si="2"/>
        <v>0</v>
      </c>
      <c r="J28" s="57">
        <f t="shared" ca="1" si="30"/>
        <v>0</v>
      </c>
      <c r="K28" s="58">
        <f t="shared" si="3"/>
        <v>0</v>
      </c>
      <c r="L28" s="57">
        <f t="shared" ca="1" si="31"/>
        <v>0</v>
      </c>
      <c r="M28" s="58">
        <f t="shared" si="4"/>
        <v>0</v>
      </c>
      <c r="N28" s="55">
        <v>0</v>
      </c>
      <c r="O28" s="55">
        <v>0</v>
      </c>
      <c r="P28" s="57">
        <f ca="1">IFERROR(__xludf.DUMMYFUNCTION("IMPORTRANGE(""https://docs.google.com/spreadsheets/d/11923uPwbBZFjjGgGUA6NLw09EwE0CqkOc4q9oUmW1yo/edit?usp=sharing"",""ลำปาง!J22"")"),0)</f>
        <v>0</v>
      </c>
      <c r="Q28" s="57">
        <f ca="1">IFERROR(__xludf.DUMMYFUNCTION("IMPORTRANGE(""https://docs.google.com/spreadsheets/d/11923uPwbBZFjjGgGUA6NLw09EwE0CqkOc4q9oUmW1yo/edit?usp=sharing"",""ลำปาง!J23"")"),0)</f>
        <v>0</v>
      </c>
      <c r="R28" s="55">
        <v>0</v>
      </c>
      <c r="S28" s="55">
        <v>0</v>
      </c>
      <c r="T28" s="57">
        <f ca="1">IFERROR(__xludf.DUMMYFUNCTION("IMPORTRANGE(""https://docs.google.com/spreadsheets/d/11923uPwbBZFjjGgGUA6NLw09EwE0CqkOc4q9oUmW1yo/edit?usp=sharing"",""ลำปาง!J24"")"),0)</f>
        <v>0</v>
      </c>
      <c r="U28" s="57">
        <f ca="1">IFERROR(__xludf.DUMMYFUNCTION("IMPORTRANGE(""https://docs.google.com/spreadsheets/d/11923uPwbBZFjjGgGUA6NLw09EwE0CqkOc4q9oUmW1yo/edit?usp=sharing"",""ลำปาง!J25"")"),0)</f>
        <v>0</v>
      </c>
      <c r="V28" s="55">
        <v>0</v>
      </c>
      <c r="W28" s="55">
        <v>0</v>
      </c>
      <c r="X28" s="57">
        <f ca="1">IFERROR(__xludf.DUMMYFUNCTION("IMPORTRANGE(""https://docs.google.com/spreadsheets/d/11923uPwbBZFjjGgGUA6NLw09EwE0CqkOc4q9oUmW1yo/edit?usp=sharing"",""ลำปาง!J26"")"),0)</f>
        <v>0</v>
      </c>
      <c r="Y28" s="57">
        <f ca="1">IFERROR(__xludf.DUMMYFUNCTION("IMPORTRANGE(""https://docs.google.com/spreadsheets/d/11923uPwbBZFjjGgGUA6NLw09EwE0CqkOc4q9oUmW1yo/edit?usp=sharing"",""ลำปาง!J27"")"),0)</f>
        <v>0</v>
      </c>
      <c r="Z28" s="55">
        <v>0</v>
      </c>
      <c r="AA28" s="57">
        <f ca="1">IFERROR(__xludf.DUMMYFUNCTION("IMPORTRANGE(""https://docs.google.com/spreadsheets/d/11923uPwbBZFjjGgGUA6NLw09EwE0CqkOc4q9oUmW1yo/edit?usp=sharing"",""ลำปาง!J28"")"),0)</f>
        <v>0</v>
      </c>
      <c r="AB28" s="56">
        <f t="shared" si="11"/>
        <v>0</v>
      </c>
    </row>
    <row r="29" spans="1:28" ht="24" customHeight="1" x14ac:dyDescent="0.5">
      <c r="A29" s="52">
        <v>14</v>
      </c>
      <c r="B29" s="53" t="s">
        <v>44</v>
      </c>
      <c r="C29" s="54">
        <f t="shared" si="29"/>
        <v>591400</v>
      </c>
      <c r="D29" s="55">
        <v>193400</v>
      </c>
      <c r="E29" s="55">
        <v>398000</v>
      </c>
      <c r="F29" s="55">
        <f ca="1">IFERROR(__xludf.DUMMYFUNCTION("IMPORTRANGE(""https://docs.google.com/spreadsheets/d/11923uPwbBZFjjGgGUA6NLw09EwE0CqkOc4q9oUmW1yo/edit?usp=sharing"",""ลำพูน!M12"")"),0)</f>
        <v>0</v>
      </c>
      <c r="G29" s="56">
        <f t="shared" ca="1" si="1"/>
        <v>0</v>
      </c>
      <c r="H29" s="57">
        <f t="shared" si="27"/>
        <v>1</v>
      </c>
      <c r="I29" s="57">
        <f t="shared" si="2"/>
        <v>35</v>
      </c>
      <c r="J29" s="57">
        <f t="shared" ca="1" si="30"/>
        <v>0</v>
      </c>
      <c r="K29" s="58">
        <f t="shared" ca="1" si="3"/>
        <v>0</v>
      </c>
      <c r="L29" s="57">
        <f t="shared" ca="1" si="31"/>
        <v>0</v>
      </c>
      <c r="M29" s="58">
        <f t="shared" ca="1" si="4"/>
        <v>0</v>
      </c>
      <c r="N29" s="55">
        <v>1</v>
      </c>
      <c r="O29" s="55">
        <v>35</v>
      </c>
      <c r="P29" s="57">
        <f ca="1">IFERROR(__xludf.DUMMYFUNCTION("IMPORTRANGE(""https://docs.google.com/spreadsheets/d/11923uPwbBZFjjGgGUA6NLw09EwE0CqkOc4q9oUmW1yo/edit?usp=sharing"",""ลำพูน!J22"")"),0)</f>
        <v>0</v>
      </c>
      <c r="Q29" s="57">
        <f ca="1">IFERROR(__xludf.DUMMYFUNCTION("IMPORTRANGE(""https://docs.google.com/spreadsheets/d/11923uPwbBZFjjGgGUA6NLw09EwE0CqkOc4q9oUmW1yo/edit?usp=sharing"",""ลำพูน!J23"")"),0)</f>
        <v>0</v>
      </c>
      <c r="R29" s="55">
        <v>0</v>
      </c>
      <c r="S29" s="55">
        <v>0</v>
      </c>
      <c r="T29" s="57">
        <f ca="1">IFERROR(__xludf.DUMMYFUNCTION("IMPORTRANGE(""https://docs.google.com/spreadsheets/d/11923uPwbBZFjjGgGUA6NLw09EwE0CqkOc4q9oUmW1yo/edit?usp=sharing"",""ลำพูน!J24"")"),0)</f>
        <v>0</v>
      </c>
      <c r="U29" s="57">
        <f ca="1">IFERROR(__xludf.DUMMYFUNCTION("IMPORTRANGE(""https://docs.google.com/spreadsheets/d/11923uPwbBZFjjGgGUA6NLw09EwE0CqkOc4q9oUmW1yo/edit?usp=sharing"",""ลำพูน!J25"")"),0)</f>
        <v>0</v>
      </c>
      <c r="V29" s="55">
        <v>0</v>
      </c>
      <c r="W29" s="55">
        <v>0</v>
      </c>
      <c r="X29" s="57">
        <f ca="1">IFERROR(__xludf.DUMMYFUNCTION("IMPORTRANGE(""https://docs.google.com/spreadsheets/d/11923uPwbBZFjjGgGUA6NLw09EwE0CqkOc4q9oUmW1yo/edit?usp=sharing"",""ลำพูน!J26"")"),0)</f>
        <v>0</v>
      </c>
      <c r="Y29" s="57">
        <f ca="1">IFERROR(__xludf.DUMMYFUNCTION("IMPORTRANGE(""https://docs.google.com/spreadsheets/d/11923uPwbBZFjjGgGUA6NLw09EwE0CqkOc4q9oUmW1yo/edit?usp=sharing"",""ลำพูน!J27"")"),0)</f>
        <v>0</v>
      </c>
      <c r="Z29" s="55">
        <v>35</v>
      </c>
      <c r="AA29" s="57">
        <f ca="1">IFERROR(__xludf.DUMMYFUNCTION("IMPORTRANGE(""https://docs.google.com/spreadsheets/d/11923uPwbBZFjjGgGUA6NLw09EwE0CqkOc4q9oUmW1yo/edit?usp=sharing"",""ลำพูน!J28"")"),0)</f>
        <v>0</v>
      </c>
      <c r="AB29" s="56">
        <f t="shared" ca="1" si="11"/>
        <v>0</v>
      </c>
    </row>
    <row r="30" spans="1:28" ht="24" customHeight="1" x14ac:dyDescent="0.5">
      <c r="A30" s="52">
        <v>15</v>
      </c>
      <c r="B30" s="53" t="s">
        <v>45</v>
      </c>
      <c r="C30" s="54">
        <f t="shared" si="29"/>
        <v>806800</v>
      </c>
      <c r="D30" s="55">
        <v>190800</v>
      </c>
      <c r="E30" s="55">
        <v>616000</v>
      </c>
      <c r="F30" s="55">
        <f ca="1">IFERROR(__xludf.DUMMYFUNCTION("IMPORTRANGE(""https://docs.google.com/spreadsheets/d/11923uPwbBZFjjGgGUA6NLw09EwE0CqkOc4q9oUmW1yo/edit?usp=sharing"",""สุโขทัย!M12"")"),15728)</f>
        <v>15728</v>
      </c>
      <c r="G30" s="56">
        <f t="shared" ca="1" si="1"/>
        <v>1.9494298463063957</v>
      </c>
      <c r="H30" s="57">
        <f t="shared" si="27"/>
        <v>1</v>
      </c>
      <c r="I30" s="57">
        <f t="shared" si="2"/>
        <v>75</v>
      </c>
      <c r="J30" s="57">
        <f t="shared" ca="1" si="30"/>
        <v>0</v>
      </c>
      <c r="K30" s="58">
        <f t="shared" ca="1" si="3"/>
        <v>0</v>
      </c>
      <c r="L30" s="57">
        <f t="shared" ca="1" si="31"/>
        <v>0</v>
      </c>
      <c r="M30" s="58">
        <f t="shared" ca="1" si="4"/>
        <v>0</v>
      </c>
      <c r="N30" s="55">
        <v>0</v>
      </c>
      <c r="O30" s="55">
        <v>0</v>
      </c>
      <c r="P30" s="57">
        <f ca="1">IFERROR(__xludf.DUMMYFUNCTION("IMPORTRANGE(""https://docs.google.com/spreadsheets/d/11923uPwbBZFjjGgGUA6NLw09EwE0CqkOc4q9oUmW1yo/edit?usp=sharing"",""สุโขทัย!J22"")"),0)</f>
        <v>0</v>
      </c>
      <c r="Q30" s="57">
        <f ca="1">IFERROR(__xludf.DUMMYFUNCTION("IMPORTRANGE(""https://docs.google.com/spreadsheets/d/11923uPwbBZFjjGgGUA6NLw09EwE0CqkOc4q9oUmW1yo/edit?usp=sharing"",""สุโขทัย!J23"")"),0)</f>
        <v>0</v>
      </c>
      <c r="R30" s="55">
        <v>1</v>
      </c>
      <c r="S30" s="55">
        <v>75</v>
      </c>
      <c r="T30" s="57">
        <f ca="1">IFERROR(__xludf.DUMMYFUNCTION("IMPORTRANGE(""https://docs.google.com/spreadsheets/d/11923uPwbBZFjjGgGUA6NLw09EwE0CqkOc4q9oUmW1yo/edit?usp=sharing"",""สุโขทัย!J24"")"),0)</f>
        <v>0</v>
      </c>
      <c r="U30" s="57">
        <f ca="1">IFERROR(__xludf.DUMMYFUNCTION("IMPORTRANGE(""https://docs.google.com/spreadsheets/d/11923uPwbBZFjjGgGUA6NLw09EwE0CqkOc4q9oUmW1yo/edit?usp=sharing"",""สุโขทัย!J25"")"),0)</f>
        <v>0</v>
      </c>
      <c r="V30" s="55">
        <v>0</v>
      </c>
      <c r="W30" s="55">
        <v>0</v>
      </c>
      <c r="X30" s="57">
        <f ca="1">IFERROR(__xludf.DUMMYFUNCTION("IMPORTRANGE(""https://docs.google.com/spreadsheets/d/11923uPwbBZFjjGgGUA6NLw09EwE0CqkOc4q9oUmW1yo/edit?usp=sharing"",""สุโขทัย!J26"")"),0)</f>
        <v>0</v>
      </c>
      <c r="Y30" s="57">
        <f ca="1">IFERROR(__xludf.DUMMYFUNCTION("IMPORTRANGE(""https://docs.google.com/spreadsheets/d/11923uPwbBZFjjGgGUA6NLw09EwE0CqkOc4q9oUmW1yo/edit?usp=sharing"",""สุโขทัย!J27"")"),0)</f>
        <v>0</v>
      </c>
      <c r="Z30" s="55">
        <v>0</v>
      </c>
      <c r="AA30" s="57">
        <f ca="1">IFERROR(__xludf.DUMMYFUNCTION("IMPORTRANGE(""https://docs.google.com/spreadsheets/d/11923uPwbBZFjjGgGUA6NLw09EwE0CqkOc4q9oUmW1yo/edit?usp=sharing"",""สุโขทัย!J28"")"),0)</f>
        <v>0</v>
      </c>
      <c r="AB30" s="56">
        <f t="shared" si="11"/>
        <v>0</v>
      </c>
    </row>
    <row r="31" spans="1:28" ht="24" customHeight="1" x14ac:dyDescent="0.5">
      <c r="A31" s="52">
        <v>16</v>
      </c>
      <c r="B31" s="53" t="s">
        <v>46</v>
      </c>
      <c r="C31" s="54">
        <f t="shared" si="29"/>
        <v>0</v>
      </c>
      <c r="D31" s="55">
        <v>0</v>
      </c>
      <c r="E31" s="55">
        <v>0</v>
      </c>
      <c r="F31" s="55">
        <f ca="1">IFERROR(__xludf.DUMMYFUNCTION("IMPORTRANGE(""https://docs.google.com/spreadsheets/d/11923uPwbBZFjjGgGUA6NLw09EwE0CqkOc4q9oUmW1yo/edit?usp=sharing"",""อุตรดิตถ์!M12"")"),0)</f>
        <v>0</v>
      </c>
      <c r="G31" s="56">
        <f t="shared" si="1"/>
        <v>0</v>
      </c>
      <c r="H31" s="57">
        <f t="shared" si="27"/>
        <v>0</v>
      </c>
      <c r="I31" s="57">
        <f t="shared" si="2"/>
        <v>0</v>
      </c>
      <c r="J31" s="57">
        <f t="shared" ca="1" si="30"/>
        <v>0</v>
      </c>
      <c r="K31" s="58">
        <f t="shared" si="3"/>
        <v>0</v>
      </c>
      <c r="L31" s="57">
        <f t="shared" ca="1" si="31"/>
        <v>0</v>
      </c>
      <c r="M31" s="58">
        <f t="shared" si="4"/>
        <v>0</v>
      </c>
      <c r="N31" s="55">
        <v>0</v>
      </c>
      <c r="O31" s="55">
        <v>0</v>
      </c>
      <c r="P31" s="57">
        <f ca="1">IFERROR(__xludf.DUMMYFUNCTION("IMPORTRANGE(""https://docs.google.com/spreadsheets/d/11923uPwbBZFjjGgGUA6NLw09EwE0CqkOc4q9oUmW1yo/edit?usp=sharing"",""อุตรดิตถ์!J22"")"),0)</f>
        <v>0</v>
      </c>
      <c r="Q31" s="57">
        <f ca="1">IFERROR(__xludf.DUMMYFUNCTION("IMPORTRANGE(""https://docs.google.com/spreadsheets/d/11923uPwbBZFjjGgGUA6NLw09EwE0CqkOc4q9oUmW1yo/edit?usp=sharing"",""อุตรดิตถ์!J23"")"),0)</f>
        <v>0</v>
      </c>
      <c r="R31" s="55">
        <v>0</v>
      </c>
      <c r="S31" s="55">
        <v>0</v>
      </c>
      <c r="T31" s="57">
        <f ca="1">IFERROR(__xludf.DUMMYFUNCTION("IMPORTRANGE(""https://docs.google.com/spreadsheets/d/11923uPwbBZFjjGgGUA6NLw09EwE0CqkOc4q9oUmW1yo/edit?usp=sharing"",""อุตรดิตถ์!J24"")"),0)</f>
        <v>0</v>
      </c>
      <c r="U31" s="57">
        <f ca="1">IFERROR(__xludf.DUMMYFUNCTION("IMPORTRANGE(""https://docs.google.com/spreadsheets/d/11923uPwbBZFjjGgGUA6NLw09EwE0CqkOc4q9oUmW1yo/edit?usp=sharing"",""อุตรดิตถ์!J25"")"),0)</f>
        <v>0</v>
      </c>
      <c r="V31" s="55">
        <v>0</v>
      </c>
      <c r="W31" s="55">
        <v>0</v>
      </c>
      <c r="X31" s="57">
        <f ca="1">IFERROR(__xludf.DUMMYFUNCTION("IMPORTRANGE(""https://docs.google.com/spreadsheets/d/11923uPwbBZFjjGgGUA6NLw09EwE0CqkOc4q9oUmW1yo/edit?usp=sharing"",""อุตรดิตถ์!J26"")"),0)</f>
        <v>0</v>
      </c>
      <c r="Y31" s="57">
        <f ca="1">IFERROR(__xludf.DUMMYFUNCTION("IMPORTRANGE(""https://docs.google.com/spreadsheets/d/11923uPwbBZFjjGgGUA6NLw09EwE0CqkOc4q9oUmW1yo/edit?usp=sharing"",""อุตรดิตถ์!J27"")"),0)</f>
        <v>0</v>
      </c>
      <c r="Z31" s="55">
        <v>0</v>
      </c>
      <c r="AA31" s="57">
        <f ca="1">IFERROR(__xludf.DUMMYFUNCTION("IMPORTRANGE(""https://docs.google.com/spreadsheets/d/11923uPwbBZFjjGgGUA6NLw09EwE0CqkOc4q9oUmW1yo/edit?usp=sharing"",""อุตรดิตถ์!J28"")"),0)</f>
        <v>0</v>
      </c>
      <c r="AB31" s="56">
        <f t="shared" si="11"/>
        <v>0</v>
      </c>
    </row>
    <row r="32" spans="1:28" ht="24" customHeight="1" x14ac:dyDescent="0.5">
      <c r="A32" s="59">
        <v>17</v>
      </c>
      <c r="B32" s="60" t="s">
        <v>47</v>
      </c>
      <c r="C32" s="61">
        <f t="shared" si="29"/>
        <v>829500</v>
      </c>
      <c r="D32" s="62">
        <v>179500</v>
      </c>
      <c r="E32" s="62">
        <v>650000</v>
      </c>
      <c r="F32" s="62">
        <f ca="1">IFERROR(__xludf.DUMMYFUNCTION("IMPORTRANGE(""https://docs.google.com/spreadsheets/d/11923uPwbBZFjjGgGUA6NLw09EwE0CqkOc4q9oUmW1yo/edit?usp=sharing"",""อุทัยธานี!M12"")"),25890)</f>
        <v>25890</v>
      </c>
      <c r="G32" s="63">
        <f t="shared" ca="1" si="1"/>
        <v>3.1211573236889691</v>
      </c>
      <c r="H32" s="64">
        <f t="shared" si="27"/>
        <v>2</v>
      </c>
      <c r="I32" s="64">
        <f t="shared" si="2"/>
        <v>70</v>
      </c>
      <c r="J32" s="64">
        <f t="shared" ca="1" si="30"/>
        <v>2</v>
      </c>
      <c r="K32" s="65">
        <f t="shared" ca="1" si="3"/>
        <v>100</v>
      </c>
      <c r="L32" s="64">
        <f t="shared" ca="1" si="31"/>
        <v>50</v>
      </c>
      <c r="M32" s="65">
        <f t="shared" ca="1" si="4"/>
        <v>71.428571428571431</v>
      </c>
      <c r="N32" s="62">
        <v>1</v>
      </c>
      <c r="O32" s="62">
        <v>30</v>
      </c>
      <c r="P32" s="64">
        <f ca="1">IFERROR(__xludf.DUMMYFUNCTION("IMPORTRANGE(""https://docs.google.com/spreadsheets/d/11923uPwbBZFjjGgGUA6NLw09EwE0CqkOc4q9oUmW1yo/edit?usp=sharing"",""อุทัยธานี!J22"")"),1)</f>
        <v>1</v>
      </c>
      <c r="Q32" s="64">
        <f ca="1">IFERROR(__xludf.DUMMYFUNCTION("IMPORTRANGE(""https://docs.google.com/spreadsheets/d/11923uPwbBZFjjGgGUA6NLw09EwE0CqkOc4q9oUmW1yo/edit?usp=sharing"",""อุทัยธานี!J23"")"),30)</f>
        <v>30</v>
      </c>
      <c r="R32" s="62">
        <v>0</v>
      </c>
      <c r="S32" s="62">
        <v>0</v>
      </c>
      <c r="T32" s="64">
        <f ca="1">IFERROR(__xludf.DUMMYFUNCTION("IMPORTRANGE(""https://docs.google.com/spreadsheets/d/11923uPwbBZFjjGgGUA6NLw09EwE0CqkOc4q9oUmW1yo/edit?usp=sharing"",""อุทัยธานี!J24"")"),0)</f>
        <v>0</v>
      </c>
      <c r="U32" s="64">
        <f ca="1">IFERROR(__xludf.DUMMYFUNCTION("IMPORTRANGE(""https://docs.google.com/spreadsheets/d/11923uPwbBZFjjGgGUA6NLw09EwE0CqkOc4q9oUmW1yo/edit?usp=sharing"",""อุทัยธานี!J25"")"),0)</f>
        <v>0</v>
      </c>
      <c r="V32" s="62">
        <v>1</v>
      </c>
      <c r="W32" s="62">
        <v>40</v>
      </c>
      <c r="X32" s="64">
        <f ca="1">IFERROR(__xludf.DUMMYFUNCTION("IMPORTRANGE(""https://docs.google.com/spreadsheets/d/11923uPwbBZFjjGgGUA6NLw09EwE0CqkOc4q9oUmW1yo/edit?usp=sharing"",""อุทัยธานี!J26"")"),1)</f>
        <v>1</v>
      </c>
      <c r="Y32" s="64">
        <f ca="1">IFERROR(__xludf.DUMMYFUNCTION("IMPORTRANGE(""https://docs.google.com/spreadsheets/d/11923uPwbBZFjjGgGUA6NLw09EwE0CqkOc4q9oUmW1yo/edit?usp=sharing"",""อุทัยธานี!J27"")"),20)</f>
        <v>20</v>
      </c>
      <c r="Z32" s="62">
        <v>30</v>
      </c>
      <c r="AA32" s="64">
        <f ca="1">IFERROR(__xludf.DUMMYFUNCTION("IMPORTRANGE(""https://docs.google.com/spreadsheets/d/11923uPwbBZFjjGgGUA6NLw09EwE0CqkOc4q9oUmW1yo/edit?usp=sharing"",""อุทัยธานี!J28"")"),0)</f>
        <v>0</v>
      </c>
      <c r="AB32" s="63">
        <f t="shared" ca="1" si="11"/>
        <v>0</v>
      </c>
    </row>
    <row r="33" spans="1:28" ht="24" customHeight="1" x14ac:dyDescent="0.5">
      <c r="A33" s="568" t="s">
        <v>48</v>
      </c>
      <c r="B33" s="569"/>
      <c r="C33" s="66">
        <f t="shared" ref="C33:F33" si="32">SUM(C34:C53)</f>
        <v>10695900</v>
      </c>
      <c r="D33" s="66">
        <f t="shared" si="32"/>
        <v>4014300</v>
      </c>
      <c r="E33" s="66">
        <f t="shared" si="32"/>
        <v>6681600</v>
      </c>
      <c r="F33" s="66">
        <f t="shared" ca="1" si="32"/>
        <v>124662.06</v>
      </c>
      <c r="G33" s="67">
        <f t="shared" ca="1" si="1"/>
        <v>1.1655125795865706</v>
      </c>
      <c r="H33" s="66">
        <f t="shared" si="27"/>
        <v>15</v>
      </c>
      <c r="I33" s="66">
        <f t="shared" si="2"/>
        <v>693</v>
      </c>
      <c r="J33" s="66">
        <f ca="1">SUM(J34:J53)</f>
        <v>0</v>
      </c>
      <c r="K33" s="67">
        <f t="shared" ca="1" si="3"/>
        <v>0</v>
      </c>
      <c r="L33" s="66">
        <f ca="1">SUM(L34:L53)</f>
        <v>0</v>
      </c>
      <c r="M33" s="67">
        <f t="shared" ca="1" si="4"/>
        <v>0</v>
      </c>
      <c r="N33" s="66">
        <f t="shared" ref="N33:AA33" si="33">SUM(N34:N53)</f>
        <v>6</v>
      </c>
      <c r="O33" s="66">
        <f t="shared" si="33"/>
        <v>270</v>
      </c>
      <c r="P33" s="66">
        <f t="shared" ca="1" si="33"/>
        <v>0</v>
      </c>
      <c r="Q33" s="66">
        <f t="shared" ca="1" si="33"/>
        <v>0</v>
      </c>
      <c r="R33" s="66">
        <f t="shared" si="33"/>
        <v>8</v>
      </c>
      <c r="S33" s="66">
        <f t="shared" si="33"/>
        <v>373</v>
      </c>
      <c r="T33" s="66">
        <f t="shared" ca="1" si="33"/>
        <v>0</v>
      </c>
      <c r="U33" s="66">
        <f t="shared" ca="1" si="33"/>
        <v>0</v>
      </c>
      <c r="V33" s="66">
        <f t="shared" si="33"/>
        <v>1</v>
      </c>
      <c r="W33" s="66">
        <f t="shared" si="33"/>
        <v>50</v>
      </c>
      <c r="X33" s="66">
        <f t="shared" ca="1" si="33"/>
        <v>0</v>
      </c>
      <c r="Y33" s="66">
        <f t="shared" ca="1" si="33"/>
        <v>0</v>
      </c>
      <c r="Z33" s="66">
        <f t="shared" si="33"/>
        <v>270</v>
      </c>
      <c r="AA33" s="66">
        <f t="shared" ca="1" si="33"/>
        <v>0</v>
      </c>
      <c r="AB33" s="67">
        <f t="shared" ca="1" si="11"/>
        <v>0</v>
      </c>
    </row>
    <row r="34" spans="1:28" ht="24" customHeight="1" x14ac:dyDescent="0.5">
      <c r="A34" s="45">
        <v>1</v>
      </c>
      <c r="B34" s="46" t="s">
        <v>49</v>
      </c>
      <c r="C34" s="47">
        <f t="shared" ref="C34:C53" si="34">+D34+E34</f>
        <v>0</v>
      </c>
      <c r="D34" s="48">
        <v>0</v>
      </c>
      <c r="E34" s="48">
        <v>0</v>
      </c>
      <c r="F34" s="49">
        <f ca="1">IFERROR(__xludf.DUMMYFUNCTION("IMPORTRANGE(""https://docs.google.com/spreadsheets/d/1XL5vhW3sbDhbH9Cz0tuDiY8C3ctxq1tqvaCgkFb8cCA/edit?usp=sharing"",""กาฬสินธุ์!M12"")"),0)</f>
        <v>0</v>
      </c>
      <c r="G34" s="50">
        <f t="shared" si="1"/>
        <v>0</v>
      </c>
      <c r="H34" s="49">
        <f t="shared" si="27"/>
        <v>0</v>
      </c>
      <c r="I34" s="49">
        <f t="shared" si="2"/>
        <v>0</v>
      </c>
      <c r="J34" s="49">
        <f t="shared" ref="J34:J53" ca="1" si="35">P34+T34+X34</f>
        <v>0</v>
      </c>
      <c r="K34" s="51">
        <f t="shared" si="3"/>
        <v>0</v>
      </c>
      <c r="L34" s="49">
        <f t="shared" ref="L34:L53" ca="1" si="36">Q34+U34+Y34</f>
        <v>0</v>
      </c>
      <c r="M34" s="51">
        <f t="shared" si="4"/>
        <v>0</v>
      </c>
      <c r="N34" s="48">
        <v>0</v>
      </c>
      <c r="O34" s="48">
        <v>0</v>
      </c>
      <c r="P34" s="49">
        <f ca="1">IFERROR(__xludf.DUMMYFUNCTION("IMPORTRANGE(""https://docs.google.com/spreadsheets/d/1XL5vhW3sbDhbH9Cz0tuDiY8C3ctxq1tqvaCgkFb8cCA/edit?usp=sharing"",""กาฬสินธุ์!J22"")"),0)</f>
        <v>0</v>
      </c>
      <c r="Q34" s="49">
        <f ca="1">IFERROR(__xludf.DUMMYFUNCTION("IMPORTRANGE(""https://docs.google.com/spreadsheets/d/1XL5vhW3sbDhbH9Cz0tuDiY8C3ctxq1tqvaCgkFb8cCA/edit?usp=sharing"",""กาฬสินธุ์!J23"")"),0)</f>
        <v>0</v>
      </c>
      <c r="R34" s="48">
        <v>0</v>
      </c>
      <c r="S34" s="48">
        <v>0</v>
      </c>
      <c r="T34" s="49">
        <f ca="1">IFERROR(__xludf.DUMMYFUNCTION("IMPORTRANGE(""https://docs.google.com/spreadsheets/d/1XL5vhW3sbDhbH9Cz0tuDiY8C3ctxq1tqvaCgkFb8cCA/edit?usp=sharing"",""กาฬสินธุ์!J24"")"),0)</f>
        <v>0</v>
      </c>
      <c r="U34" s="49">
        <f ca="1">IFERROR(__xludf.DUMMYFUNCTION("IMPORTRANGE(""https://docs.google.com/spreadsheets/d/1XL5vhW3sbDhbH9Cz0tuDiY8C3ctxq1tqvaCgkFb8cCA/edit?usp=sharing"",""กาฬสินธุ์!J25"")"),0)</f>
        <v>0</v>
      </c>
      <c r="V34" s="48">
        <v>0</v>
      </c>
      <c r="W34" s="48">
        <v>0</v>
      </c>
      <c r="X34" s="49">
        <f ca="1">IFERROR(__xludf.DUMMYFUNCTION("IMPORTRANGE(""https://docs.google.com/spreadsheets/d/1XL5vhW3sbDhbH9Cz0tuDiY8C3ctxq1tqvaCgkFb8cCA/edit?usp=sharing"",""กาฬสินธุ์!J26"")"),0)</f>
        <v>0</v>
      </c>
      <c r="Y34" s="49">
        <f ca="1">IFERROR(__xludf.DUMMYFUNCTION("IMPORTRANGE(""https://docs.google.com/spreadsheets/d/1XL5vhW3sbDhbH9Cz0tuDiY8C3ctxq1tqvaCgkFb8cCA/edit?usp=sharing"",""กาฬสินธุ์!J27"")"),0)</f>
        <v>0</v>
      </c>
      <c r="Z34" s="48">
        <v>0</v>
      </c>
      <c r="AA34" s="49">
        <f ca="1">IFERROR(__xludf.DUMMYFUNCTION("IMPORTRANGE(""https://docs.google.com/spreadsheets/d/1XL5vhW3sbDhbH9Cz0tuDiY8C3ctxq1tqvaCgkFb8cCA/edit?usp=sharing"",""กาฬสินธุ์!J28"")"),0)</f>
        <v>0</v>
      </c>
      <c r="AB34" s="50">
        <f t="shared" si="11"/>
        <v>0</v>
      </c>
    </row>
    <row r="35" spans="1:28" ht="24" customHeight="1" x14ac:dyDescent="0.5">
      <c r="A35" s="52">
        <v>2</v>
      </c>
      <c r="B35" s="53" t="s">
        <v>50</v>
      </c>
      <c r="C35" s="54">
        <f t="shared" si="34"/>
        <v>912300</v>
      </c>
      <c r="D35" s="55">
        <v>470300</v>
      </c>
      <c r="E35" s="55">
        <v>442000</v>
      </c>
      <c r="F35" s="55">
        <f ca="1">IFERROR(__xludf.DUMMYFUNCTION("IMPORTRANGE(""https://docs.google.com/spreadsheets/d/1XL5vhW3sbDhbH9Cz0tuDiY8C3ctxq1tqvaCgkFb8cCA/edit?usp=sharing"",""ขอนแก่น!M12"")"),0)</f>
        <v>0</v>
      </c>
      <c r="G35" s="56">
        <f t="shared" ca="1" si="1"/>
        <v>0</v>
      </c>
      <c r="H35" s="57">
        <f t="shared" si="27"/>
        <v>1</v>
      </c>
      <c r="I35" s="57">
        <f t="shared" si="2"/>
        <v>30</v>
      </c>
      <c r="J35" s="57">
        <f t="shared" ca="1" si="35"/>
        <v>0</v>
      </c>
      <c r="K35" s="58">
        <f t="shared" ca="1" si="3"/>
        <v>0</v>
      </c>
      <c r="L35" s="57">
        <f t="shared" ca="1" si="36"/>
        <v>0</v>
      </c>
      <c r="M35" s="58">
        <f t="shared" ca="1" si="4"/>
        <v>0</v>
      </c>
      <c r="N35" s="55">
        <v>1</v>
      </c>
      <c r="O35" s="55">
        <v>30</v>
      </c>
      <c r="P35" s="57">
        <f ca="1">IFERROR(__xludf.DUMMYFUNCTION("IMPORTRANGE(""https://docs.google.com/spreadsheets/d/1XL5vhW3sbDhbH9Cz0tuDiY8C3ctxq1tqvaCgkFb8cCA/edit?usp=sharing"",""ขอนแก่น!J22"")"),0)</f>
        <v>0</v>
      </c>
      <c r="Q35" s="57">
        <f ca="1">IFERROR(__xludf.DUMMYFUNCTION("IMPORTRANGE(""https://docs.google.com/spreadsheets/d/1XL5vhW3sbDhbH9Cz0tuDiY8C3ctxq1tqvaCgkFb8cCA/edit?usp=sharing"",""ขอนแก่น!J23"")"),0)</f>
        <v>0</v>
      </c>
      <c r="R35" s="55">
        <v>0</v>
      </c>
      <c r="S35" s="55">
        <v>0</v>
      </c>
      <c r="T35" s="57">
        <f ca="1">IFERROR(__xludf.DUMMYFUNCTION("IMPORTRANGE(""https://docs.google.com/spreadsheets/d/1XL5vhW3sbDhbH9Cz0tuDiY8C3ctxq1tqvaCgkFb8cCA/edit?usp=sharing"",""ขอนแก่น!J24"")"),0)</f>
        <v>0</v>
      </c>
      <c r="U35" s="57">
        <f ca="1">IFERROR(__xludf.DUMMYFUNCTION("IMPORTRANGE(""https://docs.google.com/spreadsheets/d/1XL5vhW3sbDhbH9Cz0tuDiY8C3ctxq1tqvaCgkFb8cCA/edit?usp=sharing"",""ขอนแก่น!J25"")"),0)</f>
        <v>0</v>
      </c>
      <c r="V35" s="55">
        <v>0</v>
      </c>
      <c r="W35" s="55">
        <v>0</v>
      </c>
      <c r="X35" s="57">
        <f ca="1">IFERROR(__xludf.DUMMYFUNCTION("IMPORTRANGE(""https://docs.google.com/spreadsheets/d/1XL5vhW3sbDhbH9Cz0tuDiY8C3ctxq1tqvaCgkFb8cCA/edit?usp=sharing"",""ขอนแก่น!J26"")"),0)</f>
        <v>0</v>
      </c>
      <c r="Y35" s="57">
        <f ca="1">IFERROR(__xludf.DUMMYFUNCTION("IMPORTRANGE(""https://docs.google.com/spreadsheets/d/1XL5vhW3sbDhbH9Cz0tuDiY8C3ctxq1tqvaCgkFb8cCA/edit?usp=sharing"",""ขอนแก่น!J27"")"),0)</f>
        <v>0</v>
      </c>
      <c r="Z35" s="55">
        <v>30</v>
      </c>
      <c r="AA35" s="57">
        <f ca="1">IFERROR(__xludf.DUMMYFUNCTION("IMPORTRANGE(""https://docs.google.com/spreadsheets/d/1XL5vhW3sbDhbH9Cz0tuDiY8C3ctxq1tqvaCgkFb8cCA/edit?usp=sharing"",""ขอนแก่น!J28"")"),0)</f>
        <v>0</v>
      </c>
      <c r="AB35" s="56">
        <f t="shared" ca="1" si="11"/>
        <v>0</v>
      </c>
    </row>
    <row r="36" spans="1:28" ht="24" customHeight="1" x14ac:dyDescent="0.5">
      <c r="A36" s="52">
        <v>3</v>
      </c>
      <c r="B36" s="53" t="s">
        <v>51</v>
      </c>
      <c r="C36" s="54">
        <f t="shared" si="34"/>
        <v>0</v>
      </c>
      <c r="D36" s="55">
        <v>0</v>
      </c>
      <c r="E36" s="55">
        <v>0</v>
      </c>
      <c r="F36" s="55">
        <f ca="1">IFERROR(__xludf.DUMMYFUNCTION("IMPORTRANGE(""https://docs.google.com/spreadsheets/d/1XL5vhW3sbDhbH9Cz0tuDiY8C3ctxq1tqvaCgkFb8cCA/edit?usp=sharing"",""ชัยภูมิ!M12"")"),0)</f>
        <v>0</v>
      </c>
      <c r="G36" s="56">
        <f t="shared" si="1"/>
        <v>0</v>
      </c>
      <c r="H36" s="57">
        <f t="shared" si="27"/>
        <v>0</v>
      </c>
      <c r="I36" s="57">
        <f t="shared" si="2"/>
        <v>0</v>
      </c>
      <c r="J36" s="57">
        <f t="shared" ca="1" si="35"/>
        <v>0</v>
      </c>
      <c r="K36" s="58">
        <f t="shared" si="3"/>
        <v>0</v>
      </c>
      <c r="L36" s="57">
        <f t="shared" ca="1" si="36"/>
        <v>0</v>
      </c>
      <c r="M36" s="58">
        <f t="shared" si="4"/>
        <v>0</v>
      </c>
      <c r="N36" s="55">
        <v>0</v>
      </c>
      <c r="O36" s="55">
        <v>0</v>
      </c>
      <c r="P36" s="57">
        <f ca="1">IFERROR(__xludf.DUMMYFUNCTION("IMPORTRANGE(""https://docs.google.com/spreadsheets/d/1XL5vhW3sbDhbH9Cz0tuDiY8C3ctxq1tqvaCgkFb8cCA/edit?usp=sharing"",""ชัยภูมิ!J22"")"),0)</f>
        <v>0</v>
      </c>
      <c r="Q36" s="57">
        <f ca="1">IFERROR(__xludf.DUMMYFUNCTION("IMPORTRANGE(""https://docs.google.com/spreadsheets/d/1XL5vhW3sbDhbH9Cz0tuDiY8C3ctxq1tqvaCgkFb8cCA/edit?usp=sharing"",""ชัยภูมิ!J23"")"),0)</f>
        <v>0</v>
      </c>
      <c r="R36" s="55">
        <v>0</v>
      </c>
      <c r="S36" s="55">
        <v>0</v>
      </c>
      <c r="T36" s="57">
        <f ca="1">IFERROR(__xludf.DUMMYFUNCTION("IMPORTRANGE(""https://docs.google.com/spreadsheets/d/1XL5vhW3sbDhbH9Cz0tuDiY8C3ctxq1tqvaCgkFb8cCA/edit?usp=sharing"",""ชัยภูมิ!J24"")"),0)</f>
        <v>0</v>
      </c>
      <c r="U36" s="57">
        <f ca="1">IFERROR(__xludf.DUMMYFUNCTION("IMPORTRANGE(""https://docs.google.com/spreadsheets/d/1XL5vhW3sbDhbH9Cz0tuDiY8C3ctxq1tqvaCgkFb8cCA/edit?usp=sharing"",""ชัยภูมิ!J25"")"),0)</f>
        <v>0</v>
      </c>
      <c r="V36" s="55">
        <v>0</v>
      </c>
      <c r="W36" s="55">
        <v>0</v>
      </c>
      <c r="X36" s="57">
        <f ca="1">IFERROR(__xludf.DUMMYFUNCTION("IMPORTRANGE(""https://docs.google.com/spreadsheets/d/1XL5vhW3sbDhbH9Cz0tuDiY8C3ctxq1tqvaCgkFb8cCA/edit?usp=sharing"",""ชัยภูมิ!J26"")"),0)</f>
        <v>0</v>
      </c>
      <c r="Y36" s="57">
        <f ca="1">IFERROR(__xludf.DUMMYFUNCTION("IMPORTRANGE(""https://docs.google.com/spreadsheets/d/1XL5vhW3sbDhbH9Cz0tuDiY8C3ctxq1tqvaCgkFb8cCA/edit?usp=sharing"",""ชัยภูมิ!J27"")"),0)</f>
        <v>0</v>
      </c>
      <c r="Z36" s="55">
        <v>0</v>
      </c>
      <c r="AA36" s="57">
        <f ca="1">IFERROR(__xludf.DUMMYFUNCTION("IMPORTRANGE(""https://docs.google.com/spreadsheets/d/1XL5vhW3sbDhbH9Cz0tuDiY8C3ctxq1tqvaCgkFb8cCA/edit?usp=sharing"",""ชัยภูมิ!J28"")"),0)</f>
        <v>0</v>
      </c>
      <c r="AB36" s="56">
        <f t="shared" si="11"/>
        <v>0</v>
      </c>
    </row>
    <row r="37" spans="1:28" ht="24" customHeight="1" x14ac:dyDescent="0.5">
      <c r="A37" s="52">
        <v>4</v>
      </c>
      <c r="B37" s="53" t="s">
        <v>52</v>
      </c>
      <c r="C37" s="54">
        <f t="shared" si="34"/>
        <v>674200</v>
      </c>
      <c r="D37" s="55">
        <v>188200</v>
      </c>
      <c r="E37" s="55">
        <v>486000</v>
      </c>
      <c r="F37" s="55">
        <f ca="1">IFERROR(__xludf.DUMMYFUNCTION("IMPORTRANGE(""https://docs.google.com/spreadsheets/d/1XL5vhW3sbDhbH9Cz0tuDiY8C3ctxq1tqvaCgkFb8cCA/edit?usp=sharing"",""นครพนม!M12"")"),14280)</f>
        <v>14280</v>
      </c>
      <c r="G37" s="56">
        <f t="shared" ca="1" si="1"/>
        <v>2.1180658558291308</v>
      </c>
      <c r="H37" s="57">
        <f t="shared" si="27"/>
        <v>1</v>
      </c>
      <c r="I37" s="57">
        <f t="shared" si="2"/>
        <v>50</v>
      </c>
      <c r="J37" s="57">
        <f t="shared" ca="1" si="35"/>
        <v>0</v>
      </c>
      <c r="K37" s="58">
        <f t="shared" ca="1" si="3"/>
        <v>0</v>
      </c>
      <c r="L37" s="57">
        <f t="shared" ca="1" si="36"/>
        <v>0</v>
      </c>
      <c r="M37" s="58">
        <f t="shared" ca="1" si="4"/>
        <v>0</v>
      </c>
      <c r="N37" s="55">
        <v>0</v>
      </c>
      <c r="O37" s="55">
        <v>0</v>
      </c>
      <c r="P37" s="57">
        <f ca="1">IFERROR(__xludf.DUMMYFUNCTION("IMPORTRANGE(""https://docs.google.com/spreadsheets/d/1XL5vhW3sbDhbH9Cz0tuDiY8C3ctxq1tqvaCgkFb8cCA/edit?usp=sharing"",""นครพนม!J22"")"),0)</f>
        <v>0</v>
      </c>
      <c r="Q37" s="57">
        <f ca="1">IFERROR(__xludf.DUMMYFUNCTION("IMPORTRANGE(""https://docs.google.com/spreadsheets/d/1XL5vhW3sbDhbH9Cz0tuDiY8C3ctxq1tqvaCgkFb8cCA/edit?usp=sharing"",""นครพนม!J23"")"),0)</f>
        <v>0</v>
      </c>
      <c r="R37" s="55">
        <v>1</v>
      </c>
      <c r="S37" s="55">
        <v>50</v>
      </c>
      <c r="T37" s="57">
        <f ca="1">IFERROR(__xludf.DUMMYFUNCTION("IMPORTRANGE(""https://docs.google.com/spreadsheets/d/1XL5vhW3sbDhbH9Cz0tuDiY8C3ctxq1tqvaCgkFb8cCA/edit?usp=sharing"",""นครพนม!J24"")"),0)</f>
        <v>0</v>
      </c>
      <c r="U37" s="57">
        <f ca="1">IFERROR(__xludf.DUMMYFUNCTION("IMPORTRANGE(""https://docs.google.com/spreadsheets/d/1XL5vhW3sbDhbH9Cz0tuDiY8C3ctxq1tqvaCgkFb8cCA/edit?usp=sharing"",""นครพนม!J25"")"),0)</f>
        <v>0</v>
      </c>
      <c r="V37" s="55">
        <v>0</v>
      </c>
      <c r="W37" s="55">
        <v>0</v>
      </c>
      <c r="X37" s="57">
        <f ca="1">IFERROR(__xludf.DUMMYFUNCTION("IMPORTRANGE(""https://docs.google.com/spreadsheets/d/1XL5vhW3sbDhbH9Cz0tuDiY8C3ctxq1tqvaCgkFb8cCA/edit?usp=sharing"",""นครพนม!J26"")"),0)</f>
        <v>0</v>
      </c>
      <c r="Y37" s="57">
        <f ca="1">IFERROR(__xludf.DUMMYFUNCTION("IMPORTRANGE(""https://docs.google.com/spreadsheets/d/1XL5vhW3sbDhbH9Cz0tuDiY8C3ctxq1tqvaCgkFb8cCA/edit?usp=sharing"",""นครพนม!J27"")"),0)</f>
        <v>0</v>
      </c>
      <c r="Z37" s="55">
        <v>0</v>
      </c>
      <c r="AA37" s="57">
        <f ca="1">IFERROR(__xludf.DUMMYFUNCTION("IMPORTRANGE(""https://docs.google.com/spreadsheets/d/1XL5vhW3sbDhbH9Cz0tuDiY8C3ctxq1tqvaCgkFb8cCA/edit?usp=sharing"",""นครพนม!J28"")"),0)</f>
        <v>0</v>
      </c>
      <c r="AB37" s="56">
        <f t="shared" si="11"/>
        <v>0</v>
      </c>
    </row>
    <row r="38" spans="1:28" ht="24" customHeight="1" x14ac:dyDescent="0.5">
      <c r="A38" s="52">
        <v>5</v>
      </c>
      <c r="B38" s="53" t="s">
        <v>53</v>
      </c>
      <c r="C38" s="54">
        <f t="shared" si="34"/>
        <v>0</v>
      </c>
      <c r="D38" s="55">
        <v>0</v>
      </c>
      <c r="E38" s="55">
        <v>0</v>
      </c>
      <c r="F38" s="55">
        <f ca="1">IFERROR(__xludf.DUMMYFUNCTION("IMPORTRANGE(""https://docs.google.com/spreadsheets/d/1XL5vhW3sbDhbH9Cz0tuDiY8C3ctxq1tqvaCgkFb8cCA/edit?usp=sharing"",""นครราชสีมา!M12"")"),0)</f>
        <v>0</v>
      </c>
      <c r="G38" s="56">
        <f t="shared" si="1"/>
        <v>0</v>
      </c>
      <c r="H38" s="57">
        <f t="shared" si="27"/>
        <v>0</v>
      </c>
      <c r="I38" s="57">
        <f t="shared" si="2"/>
        <v>0</v>
      </c>
      <c r="J38" s="57">
        <f t="shared" ca="1" si="35"/>
        <v>0</v>
      </c>
      <c r="K38" s="58">
        <f t="shared" si="3"/>
        <v>0</v>
      </c>
      <c r="L38" s="57">
        <f t="shared" ca="1" si="36"/>
        <v>0</v>
      </c>
      <c r="M38" s="58">
        <f t="shared" si="4"/>
        <v>0</v>
      </c>
      <c r="N38" s="55">
        <v>0</v>
      </c>
      <c r="O38" s="55">
        <v>0</v>
      </c>
      <c r="P38" s="57">
        <f ca="1">IFERROR(__xludf.DUMMYFUNCTION("IMPORTRANGE(""https://docs.google.com/spreadsheets/d/1XL5vhW3sbDhbH9Cz0tuDiY8C3ctxq1tqvaCgkFb8cCA/edit?usp=sharing"",""นครราชสีมา!J22"")"),0)</f>
        <v>0</v>
      </c>
      <c r="Q38" s="57">
        <f ca="1">IFERROR(__xludf.DUMMYFUNCTION("IMPORTRANGE(""https://docs.google.com/spreadsheets/d/1XL5vhW3sbDhbH9Cz0tuDiY8C3ctxq1tqvaCgkFb8cCA/edit?usp=sharing"",""นครราชสีมา!J23"")"),0)</f>
        <v>0</v>
      </c>
      <c r="R38" s="55">
        <v>0</v>
      </c>
      <c r="S38" s="55">
        <v>0</v>
      </c>
      <c r="T38" s="57">
        <f ca="1">IFERROR(__xludf.DUMMYFUNCTION("IMPORTRANGE(""https://docs.google.com/spreadsheets/d/1XL5vhW3sbDhbH9Cz0tuDiY8C3ctxq1tqvaCgkFb8cCA/edit?usp=sharing"",""นครราชสีมา!J24"")"),0)</f>
        <v>0</v>
      </c>
      <c r="U38" s="57">
        <f ca="1">IFERROR(__xludf.DUMMYFUNCTION("IMPORTRANGE(""https://docs.google.com/spreadsheets/d/1XL5vhW3sbDhbH9Cz0tuDiY8C3ctxq1tqvaCgkFb8cCA/edit?usp=sharing"",""นครราชสีมา!J25"")"),0)</f>
        <v>0</v>
      </c>
      <c r="V38" s="55">
        <v>0</v>
      </c>
      <c r="W38" s="55">
        <v>0</v>
      </c>
      <c r="X38" s="57">
        <f ca="1">IFERROR(__xludf.DUMMYFUNCTION("IMPORTRANGE(""https://docs.google.com/spreadsheets/d/1XL5vhW3sbDhbH9Cz0tuDiY8C3ctxq1tqvaCgkFb8cCA/edit?usp=sharing"",""นครราชสีมา!J26"")"),0)</f>
        <v>0</v>
      </c>
      <c r="Y38" s="57">
        <f ca="1">IFERROR(__xludf.DUMMYFUNCTION("IMPORTRANGE(""https://docs.google.com/spreadsheets/d/1XL5vhW3sbDhbH9Cz0tuDiY8C3ctxq1tqvaCgkFb8cCA/edit?usp=sharing"",""นครราชสีมา!J27"")"),0)</f>
        <v>0</v>
      </c>
      <c r="Z38" s="55">
        <v>0</v>
      </c>
      <c r="AA38" s="57">
        <f ca="1">IFERROR(__xludf.DUMMYFUNCTION("IMPORTRANGE(""https://docs.google.com/spreadsheets/d/1XL5vhW3sbDhbH9Cz0tuDiY8C3ctxq1tqvaCgkFb8cCA/edit?usp=sharing"",""นครราชสีมา!J28"")"),0)</f>
        <v>0</v>
      </c>
      <c r="AB38" s="56">
        <f t="shared" si="11"/>
        <v>0</v>
      </c>
    </row>
    <row r="39" spans="1:28" ht="24" customHeight="1" x14ac:dyDescent="0.5">
      <c r="A39" s="52">
        <v>6</v>
      </c>
      <c r="B39" s="53" t="s">
        <v>54</v>
      </c>
      <c r="C39" s="54">
        <f t="shared" si="34"/>
        <v>0</v>
      </c>
      <c r="D39" s="55">
        <v>0</v>
      </c>
      <c r="E39" s="55">
        <v>0</v>
      </c>
      <c r="F39" s="55">
        <f ca="1">IFERROR(__xludf.DUMMYFUNCTION("IMPORTRANGE(""https://docs.google.com/spreadsheets/d/1XL5vhW3sbDhbH9Cz0tuDiY8C3ctxq1tqvaCgkFb8cCA/edit?usp=sharing"",""บึงกาฬ!M12"")"),0)</f>
        <v>0</v>
      </c>
      <c r="G39" s="56">
        <f t="shared" si="1"/>
        <v>0</v>
      </c>
      <c r="H39" s="57">
        <f t="shared" si="27"/>
        <v>0</v>
      </c>
      <c r="I39" s="57">
        <f t="shared" si="2"/>
        <v>0</v>
      </c>
      <c r="J39" s="57">
        <f t="shared" ca="1" si="35"/>
        <v>0</v>
      </c>
      <c r="K39" s="58">
        <f t="shared" si="3"/>
        <v>0</v>
      </c>
      <c r="L39" s="57">
        <f t="shared" ca="1" si="36"/>
        <v>0</v>
      </c>
      <c r="M39" s="58">
        <f t="shared" si="4"/>
        <v>0</v>
      </c>
      <c r="N39" s="55">
        <v>0</v>
      </c>
      <c r="O39" s="55">
        <v>0</v>
      </c>
      <c r="P39" s="57">
        <f ca="1">IFERROR(__xludf.DUMMYFUNCTION("IMPORTRANGE(""https://docs.google.com/spreadsheets/d/1XL5vhW3sbDhbH9Cz0tuDiY8C3ctxq1tqvaCgkFb8cCA/edit?usp=sharing"",""บึงกาฬ!J22"")"),0)</f>
        <v>0</v>
      </c>
      <c r="Q39" s="57">
        <f ca="1">IFERROR(__xludf.DUMMYFUNCTION("IMPORTRANGE(""https://docs.google.com/spreadsheets/d/1XL5vhW3sbDhbH9Cz0tuDiY8C3ctxq1tqvaCgkFb8cCA/edit?usp=sharing"",""บึงกาฬ!J23"")"),0)</f>
        <v>0</v>
      </c>
      <c r="R39" s="55">
        <v>0</v>
      </c>
      <c r="S39" s="55">
        <v>0</v>
      </c>
      <c r="T39" s="57">
        <f ca="1">IFERROR(__xludf.DUMMYFUNCTION("IMPORTRANGE(""https://docs.google.com/spreadsheets/d/1XL5vhW3sbDhbH9Cz0tuDiY8C3ctxq1tqvaCgkFb8cCA/edit?usp=sharing"",""บึงกาฬ!J24"")"),0)</f>
        <v>0</v>
      </c>
      <c r="U39" s="57">
        <f ca="1">IFERROR(__xludf.DUMMYFUNCTION("IMPORTRANGE(""https://docs.google.com/spreadsheets/d/1XL5vhW3sbDhbH9Cz0tuDiY8C3ctxq1tqvaCgkFb8cCA/edit?usp=sharing"",""บึงกาฬ!J25"")"),0)</f>
        <v>0</v>
      </c>
      <c r="V39" s="55">
        <v>0</v>
      </c>
      <c r="W39" s="55">
        <v>0</v>
      </c>
      <c r="X39" s="57">
        <f ca="1">IFERROR(__xludf.DUMMYFUNCTION("IMPORTRANGE(""https://docs.google.com/spreadsheets/d/1XL5vhW3sbDhbH9Cz0tuDiY8C3ctxq1tqvaCgkFb8cCA/edit?usp=sharing"",""บึงกาฬ!J26"")"),0)</f>
        <v>0</v>
      </c>
      <c r="Y39" s="57">
        <f ca="1">IFERROR(__xludf.DUMMYFUNCTION("IMPORTRANGE(""https://docs.google.com/spreadsheets/d/1XL5vhW3sbDhbH9Cz0tuDiY8C3ctxq1tqvaCgkFb8cCA/edit?usp=sharing"",""บึงกาฬ!J27"")"),0)</f>
        <v>0</v>
      </c>
      <c r="Z39" s="55">
        <v>0</v>
      </c>
      <c r="AA39" s="57">
        <f ca="1">IFERROR(__xludf.DUMMYFUNCTION("IMPORTRANGE(""https://docs.google.com/spreadsheets/d/1XL5vhW3sbDhbH9Cz0tuDiY8C3ctxq1tqvaCgkFb8cCA/edit?usp=sharing"",""บึงกาฬ!J28"")"),0)</f>
        <v>0</v>
      </c>
      <c r="AB39" s="56">
        <f t="shared" si="11"/>
        <v>0</v>
      </c>
    </row>
    <row r="40" spans="1:28" ht="24" customHeight="1" x14ac:dyDescent="0.5">
      <c r="A40" s="52">
        <v>7</v>
      </c>
      <c r="B40" s="53" t="s">
        <v>55</v>
      </c>
      <c r="C40" s="54">
        <f t="shared" si="34"/>
        <v>753100</v>
      </c>
      <c r="D40" s="55">
        <v>189500</v>
      </c>
      <c r="E40" s="55">
        <v>563600</v>
      </c>
      <c r="F40" s="55">
        <f ca="1">IFERROR(__xludf.DUMMYFUNCTION("IMPORTRANGE(""https://docs.google.com/spreadsheets/d/1XL5vhW3sbDhbH9Cz0tuDiY8C3ctxq1tqvaCgkFb8cCA/edit?usp=sharing"",""บุรีรัมย์!M12"")"),11000)</f>
        <v>11000</v>
      </c>
      <c r="G40" s="56">
        <f t="shared" ca="1" si="1"/>
        <v>1.4606293984862568</v>
      </c>
      <c r="H40" s="57">
        <f t="shared" si="27"/>
        <v>1</v>
      </c>
      <c r="I40" s="57">
        <f t="shared" si="2"/>
        <v>63</v>
      </c>
      <c r="J40" s="57">
        <f t="shared" ca="1" si="35"/>
        <v>0</v>
      </c>
      <c r="K40" s="58">
        <f t="shared" ca="1" si="3"/>
        <v>0</v>
      </c>
      <c r="L40" s="57">
        <f t="shared" ca="1" si="36"/>
        <v>0</v>
      </c>
      <c r="M40" s="58">
        <f t="shared" ca="1" si="4"/>
        <v>0</v>
      </c>
      <c r="N40" s="57">
        <v>1</v>
      </c>
      <c r="O40" s="57">
        <v>63</v>
      </c>
      <c r="P40" s="57">
        <f ca="1">IFERROR(__xludf.DUMMYFUNCTION("IMPORTRANGE(""https://docs.google.com/spreadsheets/d/1XL5vhW3sbDhbH9Cz0tuDiY8C3ctxq1tqvaCgkFb8cCA/edit?usp=sharing"",""บุรีรัมย์!J22"")"),0)</f>
        <v>0</v>
      </c>
      <c r="Q40" s="57">
        <f ca="1">IFERROR(__xludf.DUMMYFUNCTION("IMPORTRANGE(""https://docs.google.com/spreadsheets/d/1XL5vhW3sbDhbH9Cz0tuDiY8C3ctxq1tqvaCgkFb8cCA/edit?usp=sharing"",""บุรีรัมย์!J23"")"),0)</f>
        <v>0</v>
      </c>
      <c r="R40" s="57">
        <v>0</v>
      </c>
      <c r="S40" s="57">
        <v>0</v>
      </c>
      <c r="T40" s="57">
        <f ca="1">IFERROR(__xludf.DUMMYFUNCTION("IMPORTRANGE(""https://docs.google.com/spreadsheets/d/1XL5vhW3sbDhbH9Cz0tuDiY8C3ctxq1tqvaCgkFb8cCA/edit?usp=sharing"",""บุรีรัมย์!J24"")"),0)</f>
        <v>0</v>
      </c>
      <c r="U40" s="57">
        <f ca="1">IFERROR(__xludf.DUMMYFUNCTION("IMPORTRANGE(""https://docs.google.com/spreadsheets/d/1XL5vhW3sbDhbH9Cz0tuDiY8C3ctxq1tqvaCgkFb8cCA/edit?usp=sharing"",""บุรีรัมย์!J25"")"),0)</f>
        <v>0</v>
      </c>
      <c r="V40" s="57">
        <v>0</v>
      </c>
      <c r="W40" s="55">
        <v>0</v>
      </c>
      <c r="X40" s="57">
        <f ca="1">IFERROR(__xludf.DUMMYFUNCTION("IMPORTRANGE(""https://docs.google.com/spreadsheets/d/1XL5vhW3sbDhbH9Cz0tuDiY8C3ctxq1tqvaCgkFb8cCA/edit?usp=sharing"",""บุรีรัมย์!J26"")"),0)</f>
        <v>0</v>
      </c>
      <c r="Y40" s="57">
        <f ca="1">IFERROR(__xludf.DUMMYFUNCTION("IMPORTRANGE(""https://docs.google.com/spreadsheets/d/1XL5vhW3sbDhbH9Cz0tuDiY8C3ctxq1tqvaCgkFb8cCA/edit?usp=sharing"",""บุรีรัมย์!J27"")"),0)</f>
        <v>0</v>
      </c>
      <c r="Z40" s="57">
        <v>63</v>
      </c>
      <c r="AA40" s="57">
        <f ca="1">IFERROR(__xludf.DUMMYFUNCTION("IMPORTRANGE(""https://docs.google.com/spreadsheets/d/1XL5vhW3sbDhbH9Cz0tuDiY8C3ctxq1tqvaCgkFb8cCA/edit?usp=sharing"",""บุรีรัมย์!J28"")"),0)</f>
        <v>0</v>
      </c>
      <c r="AB40" s="58">
        <f t="shared" ca="1" si="11"/>
        <v>0</v>
      </c>
    </row>
    <row r="41" spans="1:28" ht="24" customHeight="1" x14ac:dyDescent="0.5">
      <c r="A41" s="52">
        <v>8</v>
      </c>
      <c r="B41" s="53" t="s">
        <v>56</v>
      </c>
      <c r="C41" s="54">
        <f t="shared" si="34"/>
        <v>1019200</v>
      </c>
      <c r="D41" s="55">
        <v>322800</v>
      </c>
      <c r="E41" s="55">
        <v>696400</v>
      </c>
      <c r="F41" s="55">
        <f ca="1">IFERROR(__xludf.DUMMYFUNCTION("IMPORTRANGE(""https://docs.google.com/spreadsheets/d/1XL5vhW3sbDhbH9Cz0tuDiY8C3ctxq1tqvaCgkFb8cCA/edit?usp=sharing"",""มหาสารคาม!M12"")"),23325.8)</f>
        <v>23325.8</v>
      </c>
      <c r="G41" s="56">
        <f t="shared" ca="1" si="1"/>
        <v>2.288638147566719</v>
      </c>
      <c r="H41" s="57">
        <f t="shared" si="27"/>
        <v>2</v>
      </c>
      <c r="I41" s="57">
        <f t="shared" si="2"/>
        <v>77</v>
      </c>
      <c r="J41" s="57">
        <f t="shared" ca="1" si="35"/>
        <v>0</v>
      </c>
      <c r="K41" s="58">
        <f t="shared" ca="1" si="3"/>
        <v>0</v>
      </c>
      <c r="L41" s="57">
        <f t="shared" ca="1" si="36"/>
        <v>0</v>
      </c>
      <c r="M41" s="58">
        <f t="shared" ca="1" si="4"/>
        <v>0</v>
      </c>
      <c r="N41" s="57">
        <v>1</v>
      </c>
      <c r="O41" s="57">
        <v>37</v>
      </c>
      <c r="P41" s="57">
        <f ca="1">IFERROR(__xludf.DUMMYFUNCTION("IMPORTRANGE(""https://docs.google.com/spreadsheets/d/1XL5vhW3sbDhbH9Cz0tuDiY8C3ctxq1tqvaCgkFb8cCA/edit?usp=sharing"",""มหาสารคาม!J22"")"),0)</f>
        <v>0</v>
      </c>
      <c r="Q41" s="57">
        <f ca="1">IFERROR(__xludf.DUMMYFUNCTION("IMPORTRANGE(""https://docs.google.com/spreadsheets/d/1XL5vhW3sbDhbH9Cz0tuDiY8C3ctxq1tqvaCgkFb8cCA/edit?usp=sharing"",""มหาสารคาม!J23"")"),0)</f>
        <v>0</v>
      </c>
      <c r="R41" s="57">
        <v>1</v>
      </c>
      <c r="S41" s="57">
        <v>40</v>
      </c>
      <c r="T41" s="57">
        <f ca="1">IFERROR(__xludf.DUMMYFUNCTION("IMPORTRANGE(""https://docs.google.com/spreadsheets/d/1XL5vhW3sbDhbH9Cz0tuDiY8C3ctxq1tqvaCgkFb8cCA/edit?usp=sharing"",""มหาสารคาม!J24"")"),0)</f>
        <v>0</v>
      </c>
      <c r="U41" s="57">
        <f ca="1">IFERROR(__xludf.DUMMYFUNCTION("IMPORTRANGE(""https://docs.google.com/spreadsheets/d/1XL5vhW3sbDhbH9Cz0tuDiY8C3ctxq1tqvaCgkFb8cCA/edit?usp=sharing"",""มหาสารคาม!J25"")"),0)</f>
        <v>0</v>
      </c>
      <c r="V41" s="57"/>
      <c r="W41" s="55">
        <v>0</v>
      </c>
      <c r="X41" s="57">
        <f ca="1">IFERROR(__xludf.DUMMYFUNCTION("IMPORTRANGE(""https://docs.google.com/spreadsheets/d/1XL5vhW3sbDhbH9Cz0tuDiY8C3ctxq1tqvaCgkFb8cCA/edit?usp=sharing"",""มหาสารคาม!J26"")"),0)</f>
        <v>0</v>
      </c>
      <c r="Y41" s="57">
        <f ca="1">IFERROR(__xludf.DUMMYFUNCTION("IMPORTRANGE(""https://docs.google.com/spreadsheets/d/1XL5vhW3sbDhbH9Cz0tuDiY8C3ctxq1tqvaCgkFb8cCA/edit?usp=sharing"",""มหาสารคาม!J27"")"),0)</f>
        <v>0</v>
      </c>
      <c r="Z41" s="57">
        <v>37</v>
      </c>
      <c r="AA41" s="57">
        <f ca="1">IFERROR(__xludf.DUMMYFUNCTION("IMPORTRANGE(""https://docs.google.com/spreadsheets/d/1XL5vhW3sbDhbH9Cz0tuDiY8C3ctxq1tqvaCgkFb8cCA/edit?usp=sharing"",""มหาสารคาม!J28"")"),0)</f>
        <v>0</v>
      </c>
      <c r="AB41" s="58">
        <f t="shared" ca="1" si="11"/>
        <v>0</v>
      </c>
    </row>
    <row r="42" spans="1:28" ht="24" customHeight="1" x14ac:dyDescent="0.5">
      <c r="A42" s="52">
        <v>9</v>
      </c>
      <c r="B42" s="53" t="s">
        <v>57</v>
      </c>
      <c r="C42" s="54">
        <f t="shared" si="34"/>
        <v>875800</v>
      </c>
      <c r="D42" s="55">
        <v>193800</v>
      </c>
      <c r="E42" s="55">
        <v>682000</v>
      </c>
      <c r="F42" s="55">
        <f ca="1">IFERROR(__xludf.DUMMYFUNCTION("IMPORTRANGE(""https://docs.google.com/spreadsheets/d/1XL5vhW3sbDhbH9Cz0tuDiY8C3ctxq1tqvaCgkFb8cCA/edit?usp=sharing"",""มุกดาหาร!M12"")"),0)</f>
        <v>0</v>
      </c>
      <c r="G42" s="56">
        <f t="shared" ca="1" si="1"/>
        <v>0</v>
      </c>
      <c r="H42" s="57">
        <f t="shared" si="27"/>
        <v>2</v>
      </c>
      <c r="I42" s="57">
        <f t="shared" si="2"/>
        <v>80</v>
      </c>
      <c r="J42" s="57">
        <f t="shared" ca="1" si="35"/>
        <v>0</v>
      </c>
      <c r="K42" s="58">
        <f t="shared" ca="1" si="3"/>
        <v>0</v>
      </c>
      <c r="L42" s="57">
        <f t="shared" ca="1" si="36"/>
        <v>0</v>
      </c>
      <c r="M42" s="58">
        <f t="shared" ca="1" si="4"/>
        <v>0</v>
      </c>
      <c r="N42" s="57">
        <v>0</v>
      </c>
      <c r="O42" s="57">
        <v>0</v>
      </c>
      <c r="P42" s="57">
        <f ca="1">IFERROR(__xludf.DUMMYFUNCTION("IMPORTRANGE(""https://docs.google.com/spreadsheets/d/1XL5vhW3sbDhbH9Cz0tuDiY8C3ctxq1tqvaCgkFb8cCA/edit?usp=sharing"",""มุกดาหาร!J22"")"),0)</f>
        <v>0</v>
      </c>
      <c r="Q42" s="57">
        <f ca="1">IFERROR(__xludf.DUMMYFUNCTION("IMPORTRANGE(""https://docs.google.com/spreadsheets/d/1XL5vhW3sbDhbH9Cz0tuDiY8C3ctxq1tqvaCgkFb8cCA/edit?usp=sharing"",""มุกดาหาร!J23"")"),0)</f>
        <v>0</v>
      </c>
      <c r="R42" s="57">
        <v>1</v>
      </c>
      <c r="S42" s="57">
        <v>30</v>
      </c>
      <c r="T42" s="57">
        <f ca="1">IFERROR(__xludf.DUMMYFUNCTION("IMPORTRANGE(""https://docs.google.com/spreadsheets/d/1XL5vhW3sbDhbH9Cz0tuDiY8C3ctxq1tqvaCgkFb8cCA/edit?usp=sharing"",""มุกดาหาร!J24"")"),0)</f>
        <v>0</v>
      </c>
      <c r="U42" s="57">
        <f ca="1">IFERROR(__xludf.DUMMYFUNCTION("IMPORTRANGE(""https://docs.google.com/spreadsheets/d/1XL5vhW3sbDhbH9Cz0tuDiY8C3ctxq1tqvaCgkFb8cCA/edit?usp=sharing"",""มุกดาหาร!J25"")"),0)</f>
        <v>0</v>
      </c>
      <c r="V42" s="57">
        <v>1</v>
      </c>
      <c r="W42" s="55">
        <v>50</v>
      </c>
      <c r="X42" s="57">
        <f ca="1">IFERROR(__xludf.DUMMYFUNCTION("IMPORTRANGE(""https://docs.google.com/spreadsheets/d/1XL5vhW3sbDhbH9Cz0tuDiY8C3ctxq1tqvaCgkFb8cCA/edit?usp=sharing"",""มุกดาหาร!J26"")"),0)</f>
        <v>0</v>
      </c>
      <c r="Y42" s="57">
        <f ca="1">IFERROR(__xludf.DUMMYFUNCTION("IMPORTRANGE(""https://docs.google.com/spreadsheets/d/1XL5vhW3sbDhbH9Cz0tuDiY8C3ctxq1tqvaCgkFb8cCA/edit?usp=sharing"",""มุกดาหาร!J27"")"),0)</f>
        <v>0</v>
      </c>
      <c r="Z42" s="57">
        <v>0</v>
      </c>
      <c r="AA42" s="57">
        <f ca="1">IFERROR(__xludf.DUMMYFUNCTION("IMPORTRANGE(""https://docs.google.com/spreadsheets/d/1XL5vhW3sbDhbH9Cz0tuDiY8C3ctxq1tqvaCgkFb8cCA/edit?usp=sharing"",""มุกดาหาร!J28"")"),0)</f>
        <v>0</v>
      </c>
      <c r="AB42" s="58">
        <f t="shared" si="11"/>
        <v>0</v>
      </c>
    </row>
    <row r="43" spans="1:28" ht="24" customHeight="1" x14ac:dyDescent="0.5">
      <c r="A43" s="52">
        <v>10</v>
      </c>
      <c r="B43" s="53" t="s">
        <v>58</v>
      </c>
      <c r="C43" s="54">
        <f t="shared" si="34"/>
        <v>745500</v>
      </c>
      <c r="D43" s="55">
        <v>321500</v>
      </c>
      <c r="E43" s="55">
        <v>424000</v>
      </c>
      <c r="F43" s="55">
        <f ca="1">IFERROR(__xludf.DUMMYFUNCTION("IMPORTRANGE(""https://docs.google.com/spreadsheets/d/1XL5vhW3sbDhbH9Cz0tuDiY8C3ctxq1tqvaCgkFb8cCA/edit?usp=sharing"",""ยโสธร!M12"")"),40260)</f>
        <v>40260</v>
      </c>
      <c r="G43" s="56">
        <f t="shared" ca="1" si="1"/>
        <v>5.4004024144869218</v>
      </c>
      <c r="H43" s="57">
        <f t="shared" si="27"/>
        <v>1</v>
      </c>
      <c r="I43" s="57">
        <f t="shared" si="2"/>
        <v>40</v>
      </c>
      <c r="J43" s="57">
        <f t="shared" ca="1" si="35"/>
        <v>0</v>
      </c>
      <c r="K43" s="58">
        <f t="shared" ca="1" si="3"/>
        <v>0</v>
      </c>
      <c r="L43" s="57">
        <f t="shared" ca="1" si="36"/>
        <v>0</v>
      </c>
      <c r="M43" s="58">
        <f t="shared" ca="1" si="4"/>
        <v>0</v>
      </c>
      <c r="N43" s="57">
        <v>1</v>
      </c>
      <c r="O43" s="57">
        <v>40</v>
      </c>
      <c r="P43" s="57">
        <f ca="1">IFERROR(__xludf.DUMMYFUNCTION("IMPORTRANGE(""https://docs.google.com/spreadsheets/d/1XL5vhW3sbDhbH9Cz0tuDiY8C3ctxq1tqvaCgkFb8cCA/edit?usp=sharing"",""ยโสธร!J22"")"),0)</f>
        <v>0</v>
      </c>
      <c r="Q43" s="57">
        <f ca="1">IFERROR(__xludf.DUMMYFUNCTION("IMPORTRANGE(""https://docs.google.com/spreadsheets/d/1XL5vhW3sbDhbH9Cz0tuDiY8C3ctxq1tqvaCgkFb8cCA/edit?usp=sharing"",""ยโสธร!J23"")"),0)</f>
        <v>0</v>
      </c>
      <c r="R43" s="57">
        <v>0</v>
      </c>
      <c r="S43" s="57">
        <v>0</v>
      </c>
      <c r="T43" s="57">
        <f ca="1">IFERROR(__xludf.DUMMYFUNCTION("IMPORTRANGE(""https://docs.google.com/spreadsheets/d/1XL5vhW3sbDhbH9Cz0tuDiY8C3ctxq1tqvaCgkFb8cCA/edit?usp=sharing"",""ยโสธร!J24"")"),0)</f>
        <v>0</v>
      </c>
      <c r="U43" s="57">
        <f ca="1">IFERROR(__xludf.DUMMYFUNCTION("IMPORTRANGE(""https://docs.google.com/spreadsheets/d/1XL5vhW3sbDhbH9Cz0tuDiY8C3ctxq1tqvaCgkFb8cCA/edit?usp=sharing"",""ยโสธร!J25"")"),0)</f>
        <v>0</v>
      </c>
      <c r="V43" s="57">
        <v>0</v>
      </c>
      <c r="W43" s="55">
        <v>0</v>
      </c>
      <c r="X43" s="57">
        <f ca="1">IFERROR(__xludf.DUMMYFUNCTION("IMPORTRANGE(""https://docs.google.com/spreadsheets/d/1XL5vhW3sbDhbH9Cz0tuDiY8C3ctxq1tqvaCgkFb8cCA/edit?usp=sharing"",""ยโสธร!J26"")"),0)</f>
        <v>0</v>
      </c>
      <c r="Y43" s="57">
        <f ca="1">IFERROR(__xludf.DUMMYFUNCTION("IMPORTRANGE(""https://docs.google.com/spreadsheets/d/1XL5vhW3sbDhbH9Cz0tuDiY8C3ctxq1tqvaCgkFb8cCA/edit?usp=sharing"",""ยโสธร!J27"")"),0)</f>
        <v>0</v>
      </c>
      <c r="Z43" s="57">
        <v>40</v>
      </c>
      <c r="AA43" s="57">
        <f ca="1">IFERROR(__xludf.DUMMYFUNCTION("IMPORTRANGE(""https://docs.google.com/spreadsheets/d/1XL5vhW3sbDhbH9Cz0tuDiY8C3ctxq1tqvaCgkFb8cCA/edit?usp=sharing"",""ยโสธร!J28"")"),0)</f>
        <v>0</v>
      </c>
      <c r="AB43" s="58">
        <f t="shared" ca="1" si="11"/>
        <v>0</v>
      </c>
    </row>
    <row r="44" spans="1:28" ht="24" customHeight="1" x14ac:dyDescent="0.5">
      <c r="A44" s="52">
        <v>11</v>
      </c>
      <c r="B44" s="53" t="s">
        <v>59</v>
      </c>
      <c r="C44" s="54">
        <f t="shared" si="34"/>
        <v>887400</v>
      </c>
      <c r="D44" s="55">
        <v>463400</v>
      </c>
      <c r="E44" s="55">
        <v>424000</v>
      </c>
      <c r="F44" s="55">
        <f ca="1">IFERROR(__xludf.DUMMYFUNCTION("IMPORTRANGE(""https://docs.google.com/spreadsheets/d/1XL5vhW3sbDhbH9Cz0tuDiY8C3ctxq1tqvaCgkFb8cCA/edit?usp=sharing"",""ร้อยเอ็ด!M12"")"),0)</f>
        <v>0</v>
      </c>
      <c r="G44" s="56">
        <f t="shared" ca="1" si="1"/>
        <v>0</v>
      </c>
      <c r="H44" s="57">
        <f t="shared" si="27"/>
        <v>1</v>
      </c>
      <c r="I44" s="57">
        <f t="shared" si="2"/>
        <v>40</v>
      </c>
      <c r="J44" s="57">
        <f t="shared" ca="1" si="35"/>
        <v>0</v>
      </c>
      <c r="K44" s="58">
        <f t="shared" ca="1" si="3"/>
        <v>0</v>
      </c>
      <c r="L44" s="57">
        <f t="shared" ca="1" si="36"/>
        <v>0</v>
      </c>
      <c r="M44" s="58">
        <f t="shared" ca="1" si="4"/>
        <v>0</v>
      </c>
      <c r="N44" s="55">
        <v>0</v>
      </c>
      <c r="O44" s="55">
        <v>0</v>
      </c>
      <c r="P44" s="57">
        <f ca="1">IFERROR(__xludf.DUMMYFUNCTION("IMPORTRANGE(""https://docs.google.com/spreadsheets/d/1XL5vhW3sbDhbH9Cz0tuDiY8C3ctxq1tqvaCgkFb8cCA/edit?usp=sharing"",""ร้อยเอ็ด!J22"")"),0)</f>
        <v>0</v>
      </c>
      <c r="Q44" s="57">
        <f ca="1">IFERROR(__xludf.DUMMYFUNCTION("IMPORTRANGE(""https://docs.google.com/spreadsheets/d/1XL5vhW3sbDhbH9Cz0tuDiY8C3ctxq1tqvaCgkFb8cCA/edit?usp=sharing"",""ร้อยเอ็ด!J23"")"),0)</f>
        <v>0</v>
      </c>
      <c r="R44" s="55">
        <v>1</v>
      </c>
      <c r="S44" s="55">
        <v>40</v>
      </c>
      <c r="T44" s="57">
        <f ca="1">IFERROR(__xludf.DUMMYFUNCTION("IMPORTRANGE(""https://docs.google.com/spreadsheets/d/1XL5vhW3sbDhbH9Cz0tuDiY8C3ctxq1tqvaCgkFb8cCA/edit?usp=sharing"",""ร้อยเอ็ด!J24"")"),0)</f>
        <v>0</v>
      </c>
      <c r="U44" s="57">
        <f ca="1">IFERROR(__xludf.DUMMYFUNCTION("IMPORTRANGE(""https://docs.google.com/spreadsheets/d/1XL5vhW3sbDhbH9Cz0tuDiY8C3ctxq1tqvaCgkFb8cCA/edit?usp=sharing"",""ร้อยเอ็ด!J25"")"),0)</f>
        <v>0</v>
      </c>
      <c r="V44" s="55">
        <v>0</v>
      </c>
      <c r="W44" s="55">
        <v>0</v>
      </c>
      <c r="X44" s="57">
        <f ca="1">IFERROR(__xludf.DUMMYFUNCTION("IMPORTRANGE(""https://docs.google.com/spreadsheets/d/1XL5vhW3sbDhbH9Cz0tuDiY8C3ctxq1tqvaCgkFb8cCA/edit?usp=sharing"",""ร้อยเอ็ด!J26"")"),0)</f>
        <v>0</v>
      </c>
      <c r="Y44" s="57">
        <f ca="1">IFERROR(__xludf.DUMMYFUNCTION("IMPORTRANGE(""https://docs.google.com/spreadsheets/d/1XL5vhW3sbDhbH9Cz0tuDiY8C3ctxq1tqvaCgkFb8cCA/edit?usp=sharing"",""ร้อยเอ็ด!J27"")"),0)</f>
        <v>0</v>
      </c>
      <c r="Z44" s="55">
        <v>0</v>
      </c>
      <c r="AA44" s="57">
        <f ca="1">IFERROR(__xludf.DUMMYFUNCTION("IMPORTRANGE(""https://docs.google.com/spreadsheets/d/1XL5vhW3sbDhbH9Cz0tuDiY8C3ctxq1tqvaCgkFb8cCA/edit?usp=sharing"",""ร้อยเอ็ด!J28"")"),0)</f>
        <v>0</v>
      </c>
      <c r="AB44" s="56">
        <f t="shared" si="11"/>
        <v>0</v>
      </c>
    </row>
    <row r="45" spans="1:28" ht="24" customHeight="1" x14ac:dyDescent="0.5">
      <c r="A45" s="52">
        <v>12</v>
      </c>
      <c r="B45" s="53" t="s">
        <v>60</v>
      </c>
      <c r="C45" s="54">
        <f t="shared" si="34"/>
        <v>0</v>
      </c>
      <c r="D45" s="55">
        <v>0</v>
      </c>
      <c r="E45" s="55">
        <v>0</v>
      </c>
      <c r="F45" s="55">
        <f ca="1">IFERROR(__xludf.DUMMYFUNCTION("IMPORTRANGE(""https://docs.google.com/spreadsheets/d/1XL5vhW3sbDhbH9Cz0tuDiY8C3ctxq1tqvaCgkFb8cCA/edit?usp=sharing"",""เลย!M12"")"),0)</f>
        <v>0</v>
      </c>
      <c r="G45" s="56">
        <f t="shared" si="1"/>
        <v>0</v>
      </c>
      <c r="H45" s="57">
        <f t="shared" si="27"/>
        <v>0</v>
      </c>
      <c r="I45" s="57">
        <f t="shared" si="2"/>
        <v>0</v>
      </c>
      <c r="J45" s="57">
        <f t="shared" ca="1" si="35"/>
        <v>0</v>
      </c>
      <c r="K45" s="58">
        <f t="shared" si="3"/>
        <v>0</v>
      </c>
      <c r="L45" s="57">
        <f t="shared" ca="1" si="36"/>
        <v>0</v>
      </c>
      <c r="M45" s="58">
        <f t="shared" si="4"/>
        <v>0</v>
      </c>
      <c r="N45" s="55">
        <v>0</v>
      </c>
      <c r="O45" s="55">
        <v>0</v>
      </c>
      <c r="P45" s="57">
        <f ca="1">IFERROR(__xludf.DUMMYFUNCTION("IMPORTRANGE(""https://docs.google.com/spreadsheets/d/1XL5vhW3sbDhbH9Cz0tuDiY8C3ctxq1tqvaCgkFb8cCA/edit?usp=sharing"",""เลย!J22"")"),0)</f>
        <v>0</v>
      </c>
      <c r="Q45" s="57">
        <f ca="1">IFERROR(__xludf.DUMMYFUNCTION("IMPORTRANGE(""https://docs.google.com/spreadsheets/d/1XL5vhW3sbDhbH9Cz0tuDiY8C3ctxq1tqvaCgkFb8cCA/edit?usp=sharing"",""เลย!J23"")"),0)</f>
        <v>0</v>
      </c>
      <c r="R45" s="55">
        <v>0</v>
      </c>
      <c r="S45" s="55">
        <v>0</v>
      </c>
      <c r="T45" s="57">
        <f ca="1">IFERROR(__xludf.DUMMYFUNCTION("IMPORTRANGE(""https://docs.google.com/spreadsheets/d/1XL5vhW3sbDhbH9Cz0tuDiY8C3ctxq1tqvaCgkFb8cCA/edit?usp=sharing"",""เลย!J24"")"),0)</f>
        <v>0</v>
      </c>
      <c r="U45" s="57">
        <f ca="1">IFERROR(__xludf.DUMMYFUNCTION("IMPORTRANGE(""https://docs.google.com/spreadsheets/d/1XL5vhW3sbDhbH9Cz0tuDiY8C3ctxq1tqvaCgkFb8cCA/edit?usp=sharing"",""เลย!J25"")"),0)</f>
        <v>0</v>
      </c>
      <c r="V45" s="55">
        <v>0</v>
      </c>
      <c r="W45" s="55">
        <v>0</v>
      </c>
      <c r="X45" s="57">
        <f ca="1">IFERROR(__xludf.DUMMYFUNCTION("IMPORTRANGE(""https://docs.google.com/spreadsheets/d/1XL5vhW3sbDhbH9Cz0tuDiY8C3ctxq1tqvaCgkFb8cCA/edit?usp=sharing"",""เลย!J26"")"),0)</f>
        <v>0</v>
      </c>
      <c r="Y45" s="57">
        <f ca="1">IFERROR(__xludf.DUMMYFUNCTION("IMPORTRANGE(""https://docs.google.com/spreadsheets/d/1XL5vhW3sbDhbH9Cz0tuDiY8C3ctxq1tqvaCgkFb8cCA/edit?usp=sharing"",""เลย!J27"")"),0)</f>
        <v>0</v>
      </c>
      <c r="Z45" s="55">
        <v>0</v>
      </c>
      <c r="AA45" s="57">
        <f ca="1">IFERROR(__xludf.DUMMYFUNCTION("IMPORTRANGE(""https://docs.google.com/spreadsheets/d/1XL5vhW3sbDhbH9Cz0tuDiY8C3ctxq1tqvaCgkFb8cCA/edit?usp=sharing"",""เลย!J28"")"),0)</f>
        <v>0</v>
      </c>
      <c r="AB45" s="56">
        <f t="shared" si="11"/>
        <v>0</v>
      </c>
    </row>
    <row r="46" spans="1:28" ht="24" customHeight="1" x14ac:dyDescent="0.5">
      <c r="A46" s="52">
        <v>13</v>
      </c>
      <c r="B46" s="53" t="s">
        <v>61</v>
      </c>
      <c r="C46" s="54">
        <f t="shared" si="34"/>
        <v>926600</v>
      </c>
      <c r="D46" s="55">
        <v>331400</v>
      </c>
      <c r="E46" s="55">
        <v>595200</v>
      </c>
      <c r="F46" s="55">
        <f ca="1">IFERROR(__xludf.DUMMYFUNCTION("IMPORTRANGE(""https://docs.google.com/spreadsheets/d/1XL5vhW3sbDhbH9Cz0tuDiY8C3ctxq1tqvaCgkFb8cCA/edit?usp=sharing"",""ศรีสะเกษ!M12"")"),0)</f>
        <v>0</v>
      </c>
      <c r="G46" s="56">
        <f t="shared" ca="1" si="1"/>
        <v>0</v>
      </c>
      <c r="H46" s="57">
        <f t="shared" si="27"/>
        <v>1</v>
      </c>
      <c r="I46" s="57">
        <f t="shared" si="2"/>
        <v>71</v>
      </c>
      <c r="J46" s="57">
        <f t="shared" ca="1" si="35"/>
        <v>0</v>
      </c>
      <c r="K46" s="58">
        <f t="shared" ca="1" si="3"/>
        <v>0</v>
      </c>
      <c r="L46" s="57">
        <f t="shared" ca="1" si="36"/>
        <v>0</v>
      </c>
      <c r="M46" s="58">
        <f t="shared" ca="1" si="4"/>
        <v>0</v>
      </c>
      <c r="N46" s="55">
        <v>0</v>
      </c>
      <c r="O46" s="55">
        <v>0</v>
      </c>
      <c r="P46" s="57">
        <f ca="1">IFERROR(__xludf.DUMMYFUNCTION("IMPORTRANGE(""https://docs.google.com/spreadsheets/d/1XL5vhW3sbDhbH9Cz0tuDiY8C3ctxq1tqvaCgkFb8cCA/edit?usp=sharing"",""ศรีสะเกษ!J22"")"),0)</f>
        <v>0</v>
      </c>
      <c r="Q46" s="57">
        <f ca="1">IFERROR(__xludf.DUMMYFUNCTION("IMPORTRANGE(""https://docs.google.com/spreadsheets/d/1XL5vhW3sbDhbH9Cz0tuDiY8C3ctxq1tqvaCgkFb8cCA/edit?usp=sharing"",""ศรีสะเกษ!J23"")"),0)</f>
        <v>0</v>
      </c>
      <c r="R46" s="55">
        <v>1</v>
      </c>
      <c r="S46" s="55">
        <v>71</v>
      </c>
      <c r="T46" s="57">
        <f ca="1">IFERROR(__xludf.DUMMYFUNCTION("IMPORTRANGE(""https://docs.google.com/spreadsheets/d/1XL5vhW3sbDhbH9Cz0tuDiY8C3ctxq1tqvaCgkFb8cCA/edit?usp=sharing"",""ศรีสะเกษ!J24"")"),0)</f>
        <v>0</v>
      </c>
      <c r="U46" s="57">
        <f ca="1">IFERROR(__xludf.DUMMYFUNCTION("IMPORTRANGE(""https://docs.google.com/spreadsheets/d/1XL5vhW3sbDhbH9Cz0tuDiY8C3ctxq1tqvaCgkFb8cCA/edit?usp=sharing"",""ศรีสะเกษ!J25"")"),0)</f>
        <v>0</v>
      </c>
      <c r="V46" s="55">
        <v>0</v>
      </c>
      <c r="W46" s="55">
        <v>0</v>
      </c>
      <c r="X46" s="57">
        <f ca="1">IFERROR(__xludf.DUMMYFUNCTION("IMPORTRANGE(""https://docs.google.com/spreadsheets/d/1XL5vhW3sbDhbH9Cz0tuDiY8C3ctxq1tqvaCgkFb8cCA/edit?usp=sharing"",""ศรีสะเกษ!J26"")"),0)</f>
        <v>0</v>
      </c>
      <c r="Y46" s="57">
        <f ca="1">IFERROR(__xludf.DUMMYFUNCTION("IMPORTRANGE(""https://docs.google.com/spreadsheets/d/1XL5vhW3sbDhbH9Cz0tuDiY8C3ctxq1tqvaCgkFb8cCA/edit?usp=sharing"",""ศรีสะเกษ!J27"")"),0)</f>
        <v>0</v>
      </c>
      <c r="Z46" s="55">
        <v>0</v>
      </c>
      <c r="AA46" s="57">
        <f ca="1">IFERROR(__xludf.DUMMYFUNCTION("IMPORTRANGE(""https://docs.google.com/spreadsheets/d/1XL5vhW3sbDhbH9Cz0tuDiY8C3ctxq1tqvaCgkFb8cCA/edit?usp=sharing"",""ศรีสะเกษ!J28"")"),0)</f>
        <v>0</v>
      </c>
      <c r="AB46" s="56">
        <f t="shared" si="11"/>
        <v>0</v>
      </c>
    </row>
    <row r="47" spans="1:28" ht="24" customHeight="1" x14ac:dyDescent="0.5">
      <c r="A47" s="52">
        <v>14</v>
      </c>
      <c r="B47" s="53" t="s">
        <v>62</v>
      </c>
      <c r="C47" s="54">
        <f t="shared" si="34"/>
        <v>577000</v>
      </c>
      <c r="D47" s="55">
        <v>205000</v>
      </c>
      <c r="E47" s="55">
        <v>372000</v>
      </c>
      <c r="F47" s="55">
        <f ca="1">IFERROR(__xludf.DUMMYFUNCTION("IMPORTRANGE(""https://docs.google.com/spreadsheets/d/1XL5vhW3sbDhbH9Cz0tuDiY8C3ctxq1tqvaCgkFb8cCA/edit?usp=sharing"",""สกลนคร!M12"")"),9376.26)</f>
        <v>9376.26</v>
      </c>
      <c r="G47" s="56">
        <f t="shared" ca="1" si="1"/>
        <v>1.625001733102253</v>
      </c>
      <c r="H47" s="57">
        <f t="shared" si="27"/>
        <v>1</v>
      </c>
      <c r="I47" s="57">
        <f t="shared" si="2"/>
        <v>30</v>
      </c>
      <c r="J47" s="57">
        <f t="shared" ca="1" si="35"/>
        <v>0</v>
      </c>
      <c r="K47" s="58">
        <f t="shared" ca="1" si="3"/>
        <v>0</v>
      </c>
      <c r="L47" s="57">
        <f t="shared" ca="1" si="36"/>
        <v>0</v>
      </c>
      <c r="M47" s="58">
        <f t="shared" ca="1" si="4"/>
        <v>0</v>
      </c>
      <c r="N47" s="55">
        <v>0</v>
      </c>
      <c r="O47" s="55">
        <v>0</v>
      </c>
      <c r="P47" s="57">
        <f ca="1">IFERROR(__xludf.DUMMYFUNCTION("IMPORTRANGE(""https://docs.google.com/spreadsheets/d/1XL5vhW3sbDhbH9Cz0tuDiY8C3ctxq1tqvaCgkFb8cCA/edit?usp=sharing"",""สกลนคร!J22"")"),0)</f>
        <v>0</v>
      </c>
      <c r="Q47" s="57">
        <f ca="1">IFERROR(__xludf.DUMMYFUNCTION("IMPORTRANGE(""https://docs.google.com/spreadsheets/d/1XL5vhW3sbDhbH9Cz0tuDiY8C3ctxq1tqvaCgkFb8cCA/edit?usp=sharing"",""สกลนคร!J23"")"),0)</f>
        <v>0</v>
      </c>
      <c r="R47" s="55">
        <v>1</v>
      </c>
      <c r="S47" s="55">
        <v>30</v>
      </c>
      <c r="T47" s="57">
        <f ca="1">IFERROR(__xludf.DUMMYFUNCTION("IMPORTRANGE(""https://docs.google.com/spreadsheets/d/1XL5vhW3sbDhbH9Cz0tuDiY8C3ctxq1tqvaCgkFb8cCA/edit?usp=sharing"",""สกลนคร!J24"")"),0)</f>
        <v>0</v>
      </c>
      <c r="U47" s="57">
        <f ca="1">IFERROR(__xludf.DUMMYFUNCTION("IMPORTRANGE(""https://docs.google.com/spreadsheets/d/1XL5vhW3sbDhbH9Cz0tuDiY8C3ctxq1tqvaCgkFb8cCA/edit?usp=sharing"",""สกลนคร!J25"")"),0)</f>
        <v>0</v>
      </c>
      <c r="V47" s="55">
        <v>0</v>
      </c>
      <c r="W47" s="55">
        <v>0</v>
      </c>
      <c r="X47" s="57">
        <f ca="1">IFERROR(__xludf.DUMMYFUNCTION("IMPORTRANGE(""https://docs.google.com/spreadsheets/d/1XL5vhW3sbDhbH9Cz0tuDiY8C3ctxq1tqvaCgkFb8cCA/edit?usp=sharing"",""สกลนคร!J26"")"),0)</f>
        <v>0</v>
      </c>
      <c r="Y47" s="57">
        <f ca="1">IFERROR(__xludf.DUMMYFUNCTION("IMPORTRANGE(""https://docs.google.com/spreadsheets/d/1XL5vhW3sbDhbH9Cz0tuDiY8C3ctxq1tqvaCgkFb8cCA/edit?usp=sharing"",""สกลนคร!J27"")"),0)</f>
        <v>0</v>
      </c>
      <c r="Z47" s="55">
        <v>0</v>
      </c>
      <c r="AA47" s="57">
        <f ca="1">IFERROR(__xludf.DUMMYFUNCTION("IMPORTRANGE(""https://docs.google.com/spreadsheets/d/1XL5vhW3sbDhbH9Cz0tuDiY8C3ctxq1tqvaCgkFb8cCA/edit?usp=sharing"",""สกลนคร!J28"")"),0)</f>
        <v>0</v>
      </c>
      <c r="AB47" s="56">
        <f t="shared" si="11"/>
        <v>0</v>
      </c>
    </row>
    <row r="48" spans="1:28" ht="24" customHeight="1" x14ac:dyDescent="0.5">
      <c r="A48" s="52">
        <v>15</v>
      </c>
      <c r="B48" s="53" t="s">
        <v>63</v>
      </c>
      <c r="C48" s="54">
        <f t="shared" si="34"/>
        <v>0</v>
      </c>
      <c r="D48" s="55">
        <v>0</v>
      </c>
      <c r="E48" s="55">
        <v>0</v>
      </c>
      <c r="F48" s="55">
        <f ca="1">IFERROR(__xludf.DUMMYFUNCTION("IMPORTRANGE(""https://docs.google.com/spreadsheets/d/1XL5vhW3sbDhbH9Cz0tuDiY8C3ctxq1tqvaCgkFb8cCA/edit?usp=sharing"",""สุรินทร์!M12"")"),0)</f>
        <v>0</v>
      </c>
      <c r="G48" s="56">
        <f t="shared" si="1"/>
        <v>0</v>
      </c>
      <c r="H48" s="57">
        <f t="shared" si="27"/>
        <v>0</v>
      </c>
      <c r="I48" s="57">
        <f t="shared" si="2"/>
        <v>0</v>
      </c>
      <c r="J48" s="57">
        <f t="shared" ca="1" si="35"/>
        <v>0</v>
      </c>
      <c r="K48" s="58">
        <f t="shared" si="3"/>
        <v>0</v>
      </c>
      <c r="L48" s="57">
        <f t="shared" ca="1" si="36"/>
        <v>0</v>
      </c>
      <c r="M48" s="58">
        <f t="shared" si="4"/>
        <v>0</v>
      </c>
      <c r="N48" s="55">
        <v>0</v>
      </c>
      <c r="O48" s="55">
        <v>0</v>
      </c>
      <c r="P48" s="57">
        <f ca="1">IFERROR(__xludf.DUMMYFUNCTION("IMPORTRANGE(""https://docs.google.com/spreadsheets/d/1XL5vhW3sbDhbH9Cz0tuDiY8C3ctxq1tqvaCgkFb8cCA/edit?usp=sharing"",""สุรินทร์!J22"")"),0)</f>
        <v>0</v>
      </c>
      <c r="Q48" s="57">
        <f ca="1">IFERROR(__xludf.DUMMYFUNCTION("IMPORTRANGE(""https://docs.google.com/spreadsheets/d/1XL5vhW3sbDhbH9Cz0tuDiY8C3ctxq1tqvaCgkFb8cCA/edit?usp=sharing"",""สุรินทร์!J23"")"),0)</f>
        <v>0</v>
      </c>
      <c r="R48" s="55">
        <v>0</v>
      </c>
      <c r="S48" s="55">
        <v>0</v>
      </c>
      <c r="T48" s="57">
        <f ca="1">IFERROR(__xludf.DUMMYFUNCTION("IMPORTRANGE(""https://docs.google.com/spreadsheets/d/1XL5vhW3sbDhbH9Cz0tuDiY8C3ctxq1tqvaCgkFb8cCA/edit?usp=sharing"",""สุรินทร์!J24"")"),0)</f>
        <v>0</v>
      </c>
      <c r="U48" s="57">
        <f ca="1">IFERROR(__xludf.DUMMYFUNCTION("IMPORTRANGE(""https://docs.google.com/spreadsheets/d/1XL5vhW3sbDhbH9Cz0tuDiY8C3ctxq1tqvaCgkFb8cCA/edit?usp=sharing"",""สุรินทร์!J25"")"),0)</f>
        <v>0</v>
      </c>
      <c r="V48" s="55">
        <v>0</v>
      </c>
      <c r="W48" s="55">
        <v>0</v>
      </c>
      <c r="X48" s="57">
        <f ca="1">IFERROR(__xludf.DUMMYFUNCTION("IMPORTRANGE(""https://docs.google.com/spreadsheets/d/1XL5vhW3sbDhbH9Cz0tuDiY8C3ctxq1tqvaCgkFb8cCA/edit?usp=sharing"",""สุรินทร์!J26"")"),0)</f>
        <v>0</v>
      </c>
      <c r="Y48" s="57">
        <f ca="1">IFERROR(__xludf.DUMMYFUNCTION("IMPORTRANGE(""https://docs.google.com/spreadsheets/d/1XL5vhW3sbDhbH9Cz0tuDiY8C3ctxq1tqvaCgkFb8cCA/edit?usp=sharing"",""สุรินทร์!J27"")"),0)</f>
        <v>0</v>
      </c>
      <c r="Z48" s="55">
        <v>0</v>
      </c>
      <c r="AA48" s="57">
        <f ca="1">IFERROR(__xludf.DUMMYFUNCTION("IMPORTRANGE(""https://docs.google.com/spreadsheets/d/1XL5vhW3sbDhbH9Cz0tuDiY8C3ctxq1tqvaCgkFb8cCA/edit?usp=sharing"",""สุรินทร์!J28"")"),0)</f>
        <v>0</v>
      </c>
      <c r="AB48" s="56">
        <f t="shared" si="11"/>
        <v>0</v>
      </c>
    </row>
    <row r="49" spans="1:28" ht="24" customHeight="1" x14ac:dyDescent="0.5">
      <c r="A49" s="52">
        <v>16</v>
      </c>
      <c r="B49" s="53" t="s">
        <v>64</v>
      </c>
      <c r="C49" s="54">
        <f t="shared" si="34"/>
        <v>874700</v>
      </c>
      <c r="D49" s="55">
        <v>315900</v>
      </c>
      <c r="E49" s="55">
        <v>558800</v>
      </c>
      <c r="F49" s="55">
        <f ca="1">IFERROR(__xludf.DUMMYFUNCTION("IMPORTRANGE(""https://docs.google.com/spreadsheets/d/1XL5vhW3sbDhbH9Cz0tuDiY8C3ctxq1tqvaCgkFb8cCA/edit?usp=sharing"",""หนองคาย!M12"")"),0)</f>
        <v>0</v>
      </c>
      <c r="G49" s="56">
        <f t="shared" ca="1" si="1"/>
        <v>0</v>
      </c>
      <c r="H49" s="57">
        <f t="shared" si="27"/>
        <v>1</v>
      </c>
      <c r="I49" s="57">
        <f t="shared" si="2"/>
        <v>64</v>
      </c>
      <c r="J49" s="57">
        <f t="shared" ca="1" si="35"/>
        <v>0</v>
      </c>
      <c r="K49" s="58">
        <f t="shared" ca="1" si="3"/>
        <v>0</v>
      </c>
      <c r="L49" s="57">
        <f t="shared" ca="1" si="36"/>
        <v>0</v>
      </c>
      <c r="M49" s="58">
        <f t="shared" ca="1" si="4"/>
        <v>0</v>
      </c>
      <c r="N49" s="55">
        <v>0</v>
      </c>
      <c r="O49" s="55">
        <v>0</v>
      </c>
      <c r="P49" s="57">
        <f ca="1">IFERROR(__xludf.DUMMYFUNCTION("IMPORTRANGE(""https://docs.google.com/spreadsheets/d/1XL5vhW3sbDhbH9Cz0tuDiY8C3ctxq1tqvaCgkFb8cCA/edit?usp=sharing"",""หนองคาย!J22"")"),0)</f>
        <v>0</v>
      </c>
      <c r="Q49" s="57">
        <f ca="1">IFERROR(__xludf.DUMMYFUNCTION("IMPORTRANGE(""https://docs.google.com/spreadsheets/d/1XL5vhW3sbDhbH9Cz0tuDiY8C3ctxq1tqvaCgkFb8cCA/edit?usp=sharing"",""หนองคาย!J23"")"),0)</f>
        <v>0</v>
      </c>
      <c r="R49" s="55">
        <v>1</v>
      </c>
      <c r="S49" s="55">
        <v>64</v>
      </c>
      <c r="T49" s="57">
        <f ca="1">IFERROR(__xludf.DUMMYFUNCTION("IMPORTRANGE(""https://docs.google.com/spreadsheets/d/1XL5vhW3sbDhbH9Cz0tuDiY8C3ctxq1tqvaCgkFb8cCA/edit?usp=sharing"",""หนองคาย!J24"")"),0)</f>
        <v>0</v>
      </c>
      <c r="U49" s="57">
        <f ca="1">IFERROR(__xludf.DUMMYFUNCTION("IMPORTRANGE(""https://docs.google.com/spreadsheets/d/1XL5vhW3sbDhbH9Cz0tuDiY8C3ctxq1tqvaCgkFb8cCA/edit?usp=sharing"",""หนองคาย!J25"")"),0)</f>
        <v>0</v>
      </c>
      <c r="V49" s="55">
        <v>0</v>
      </c>
      <c r="W49" s="55">
        <v>0</v>
      </c>
      <c r="X49" s="57">
        <f ca="1">IFERROR(__xludf.DUMMYFUNCTION("IMPORTRANGE(""https://docs.google.com/spreadsheets/d/1XL5vhW3sbDhbH9Cz0tuDiY8C3ctxq1tqvaCgkFb8cCA/edit?usp=sharing"",""หนองคาย!J26"")"),0)</f>
        <v>0</v>
      </c>
      <c r="Y49" s="57">
        <f ca="1">IFERROR(__xludf.DUMMYFUNCTION("IMPORTRANGE(""https://docs.google.com/spreadsheets/d/1XL5vhW3sbDhbH9Cz0tuDiY8C3ctxq1tqvaCgkFb8cCA/edit?usp=sharing"",""หนองคาย!J27"")"),0)</f>
        <v>0</v>
      </c>
      <c r="Z49" s="55">
        <v>0</v>
      </c>
      <c r="AA49" s="57">
        <f ca="1">IFERROR(__xludf.DUMMYFUNCTION("IMPORTRANGE(""https://docs.google.com/spreadsheets/d/1XL5vhW3sbDhbH9Cz0tuDiY8C3ctxq1tqvaCgkFb8cCA/edit?usp=sharing"",""หนองคาย!J28"")"),0)</f>
        <v>0</v>
      </c>
      <c r="AB49" s="56">
        <f t="shared" si="11"/>
        <v>0</v>
      </c>
    </row>
    <row r="50" spans="1:28" ht="24" customHeight="1" x14ac:dyDescent="0.5">
      <c r="A50" s="52">
        <v>17</v>
      </c>
      <c r="B50" s="53" t="s">
        <v>65</v>
      </c>
      <c r="C50" s="54">
        <f t="shared" si="34"/>
        <v>614000</v>
      </c>
      <c r="D50" s="55">
        <v>232000</v>
      </c>
      <c r="E50" s="55">
        <v>382000</v>
      </c>
      <c r="F50" s="55">
        <f ca="1">IFERROR(__xludf.DUMMYFUNCTION("IMPORTRANGE(""https://docs.google.com/spreadsheets/d/1XL5vhW3sbDhbH9Cz0tuDiY8C3ctxq1tqvaCgkFb8cCA/edit?usp=sharing"",""หนองบัวลำภู!M12"")"),26420)</f>
        <v>26420</v>
      </c>
      <c r="G50" s="56">
        <f t="shared" ca="1" si="1"/>
        <v>4.3029315960912049</v>
      </c>
      <c r="H50" s="57">
        <f t="shared" si="27"/>
        <v>1</v>
      </c>
      <c r="I50" s="57">
        <f t="shared" si="2"/>
        <v>30</v>
      </c>
      <c r="J50" s="57">
        <f t="shared" ca="1" si="35"/>
        <v>0</v>
      </c>
      <c r="K50" s="58">
        <f t="shared" ca="1" si="3"/>
        <v>0</v>
      </c>
      <c r="L50" s="57">
        <f t="shared" ca="1" si="36"/>
        <v>0</v>
      </c>
      <c r="M50" s="58">
        <f t="shared" ca="1" si="4"/>
        <v>0</v>
      </c>
      <c r="N50" s="55">
        <v>1</v>
      </c>
      <c r="O50" s="55">
        <v>30</v>
      </c>
      <c r="P50" s="57">
        <f ca="1">IFERROR(__xludf.DUMMYFUNCTION("IMPORTRANGE(""https://docs.google.com/spreadsheets/d/1XL5vhW3sbDhbH9Cz0tuDiY8C3ctxq1tqvaCgkFb8cCA/edit?usp=sharing"",""หนองบัวลำภู!J22"")"),0)</f>
        <v>0</v>
      </c>
      <c r="Q50" s="57">
        <f ca="1">IFERROR(__xludf.DUMMYFUNCTION("IMPORTRANGE(""https://docs.google.com/spreadsheets/d/1XL5vhW3sbDhbH9Cz0tuDiY8C3ctxq1tqvaCgkFb8cCA/edit?usp=sharing"",""หนองบัวลำภู!J23"")"),0)</f>
        <v>0</v>
      </c>
      <c r="R50" s="55">
        <v>0</v>
      </c>
      <c r="S50" s="55">
        <v>0</v>
      </c>
      <c r="T50" s="57">
        <f ca="1">IFERROR(__xludf.DUMMYFUNCTION("IMPORTRANGE(""https://docs.google.com/spreadsheets/d/1XL5vhW3sbDhbH9Cz0tuDiY8C3ctxq1tqvaCgkFb8cCA/edit?usp=sharing"",""หนองบัวลำภู!J24"")"),0)</f>
        <v>0</v>
      </c>
      <c r="U50" s="57">
        <f ca="1">IFERROR(__xludf.DUMMYFUNCTION("IMPORTRANGE(""https://docs.google.com/spreadsheets/d/1XL5vhW3sbDhbH9Cz0tuDiY8C3ctxq1tqvaCgkFb8cCA/edit?usp=sharing"",""หนองบัวลำภู!J25"")"),0)</f>
        <v>0</v>
      </c>
      <c r="V50" s="55">
        <v>0</v>
      </c>
      <c r="W50" s="55">
        <v>0</v>
      </c>
      <c r="X50" s="57">
        <f ca="1">IFERROR(__xludf.DUMMYFUNCTION("IMPORTRANGE(""https://docs.google.com/spreadsheets/d/1XL5vhW3sbDhbH9Cz0tuDiY8C3ctxq1tqvaCgkFb8cCA/edit?usp=sharing"",""หนองบัวลำภู!J26"")"),0)</f>
        <v>0</v>
      </c>
      <c r="Y50" s="57">
        <f ca="1">IFERROR(__xludf.DUMMYFUNCTION("IMPORTRANGE(""https://docs.google.com/spreadsheets/d/1XL5vhW3sbDhbH9Cz0tuDiY8C3ctxq1tqvaCgkFb8cCA/edit?usp=sharing"",""หนองบัวลำภู!J27"")"),0)</f>
        <v>0</v>
      </c>
      <c r="Z50" s="55">
        <v>30</v>
      </c>
      <c r="AA50" s="57">
        <f ca="1">IFERROR(__xludf.DUMMYFUNCTION("IMPORTRANGE(""https://docs.google.com/spreadsheets/d/1XL5vhW3sbDhbH9Cz0tuDiY8C3ctxq1tqvaCgkFb8cCA/edit?usp=sharing"",""หนองบัวลำภู!J28"")"),0)</f>
        <v>0</v>
      </c>
      <c r="AB50" s="56">
        <f t="shared" ca="1" si="11"/>
        <v>0</v>
      </c>
    </row>
    <row r="51" spans="1:28" ht="24" customHeight="1" x14ac:dyDescent="0.5">
      <c r="A51" s="52">
        <v>18</v>
      </c>
      <c r="B51" s="53" t="s">
        <v>66</v>
      </c>
      <c r="C51" s="54">
        <f t="shared" si="34"/>
        <v>777100</v>
      </c>
      <c r="D51" s="55">
        <v>311500</v>
      </c>
      <c r="E51" s="55">
        <v>465600</v>
      </c>
      <c r="F51" s="55">
        <f ca="1">IFERROR(__xludf.DUMMYFUNCTION("IMPORTRANGE(""https://docs.google.com/spreadsheets/d/1XL5vhW3sbDhbH9Cz0tuDiY8C3ctxq1tqvaCgkFb8cCA/edit?usp=sharing"",""อำนาจเจริญ!M12"")"),0)</f>
        <v>0</v>
      </c>
      <c r="G51" s="56">
        <f t="shared" ca="1" si="1"/>
        <v>0</v>
      </c>
      <c r="H51" s="57">
        <f t="shared" si="27"/>
        <v>1</v>
      </c>
      <c r="I51" s="57">
        <f t="shared" si="2"/>
        <v>48</v>
      </c>
      <c r="J51" s="57">
        <f t="shared" ca="1" si="35"/>
        <v>0</v>
      </c>
      <c r="K51" s="58">
        <f t="shared" ca="1" si="3"/>
        <v>0</v>
      </c>
      <c r="L51" s="57">
        <f t="shared" ca="1" si="36"/>
        <v>0</v>
      </c>
      <c r="M51" s="58">
        <f t="shared" ca="1" si="4"/>
        <v>0</v>
      </c>
      <c r="N51" s="55">
        <v>0</v>
      </c>
      <c r="O51" s="55">
        <v>0</v>
      </c>
      <c r="P51" s="57">
        <f ca="1">IFERROR(__xludf.DUMMYFUNCTION("IMPORTRANGE(""https://docs.google.com/spreadsheets/d/1XL5vhW3sbDhbH9Cz0tuDiY8C3ctxq1tqvaCgkFb8cCA/edit?usp=sharing"",""อำนาจเจริญ!J22"")"),0)</f>
        <v>0</v>
      </c>
      <c r="Q51" s="57">
        <f ca="1">IFERROR(__xludf.DUMMYFUNCTION("IMPORTRANGE(""https://docs.google.com/spreadsheets/d/1XL5vhW3sbDhbH9Cz0tuDiY8C3ctxq1tqvaCgkFb8cCA/edit?usp=sharing"",""อำนาจเจริญ!J23"")"),0)</f>
        <v>0</v>
      </c>
      <c r="R51" s="55">
        <v>1</v>
      </c>
      <c r="S51" s="55">
        <v>48</v>
      </c>
      <c r="T51" s="57">
        <f ca="1">IFERROR(__xludf.DUMMYFUNCTION("IMPORTRANGE(""https://docs.google.com/spreadsheets/d/1XL5vhW3sbDhbH9Cz0tuDiY8C3ctxq1tqvaCgkFb8cCA/edit?usp=sharing"",""อำนาจเจริญ!J24"")"),0)</f>
        <v>0</v>
      </c>
      <c r="U51" s="57">
        <f ca="1">IFERROR(__xludf.DUMMYFUNCTION("IMPORTRANGE(""https://docs.google.com/spreadsheets/d/1XL5vhW3sbDhbH9Cz0tuDiY8C3ctxq1tqvaCgkFb8cCA/edit?usp=sharing"",""อำนาจเจริญ!J25"")"),0)</f>
        <v>0</v>
      </c>
      <c r="V51" s="55">
        <v>0</v>
      </c>
      <c r="W51" s="55">
        <v>0</v>
      </c>
      <c r="X51" s="57">
        <f ca="1">IFERROR(__xludf.DUMMYFUNCTION("IMPORTRANGE(""https://docs.google.com/spreadsheets/d/1XL5vhW3sbDhbH9Cz0tuDiY8C3ctxq1tqvaCgkFb8cCA/edit?usp=sharing"",""อำนาจเจริญ!J26"")"),0)</f>
        <v>0</v>
      </c>
      <c r="Y51" s="57">
        <f ca="1">IFERROR(__xludf.DUMMYFUNCTION("IMPORTRANGE(""https://docs.google.com/spreadsheets/d/1XL5vhW3sbDhbH9Cz0tuDiY8C3ctxq1tqvaCgkFb8cCA/edit?usp=sharing"",""อำนาจเจริญ!J27"")"),0)</f>
        <v>0</v>
      </c>
      <c r="Z51" s="55">
        <v>0</v>
      </c>
      <c r="AA51" s="57">
        <f ca="1">IFERROR(__xludf.DUMMYFUNCTION("IMPORTRANGE(""https://docs.google.com/spreadsheets/d/1XL5vhW3sbDhbH9Cz0tuDiY8C3ctxq1tqvaCgkFb8cCA/edit?usp=sharing"",""อำนาจเจริญ!J28"")"),0)</f>
        <v>0</v>
      </c>
      <c r="AB51" s="56">
        <f t="shared" si="11"/>
        <v>0</v>
      </c>
    </row>
    <row r="52" spans="1:28" ht="24" customHeight="1" x14ac:dyDescent="0.5">
      <c r="A52" s="52">
        <v>19</v>
      </c>
      <c r="B52" s="53" t="s">
        <v>67</v>
      </c>
      <c r="C52" s="54">
        <f t="shared" si="34"/>
        <v>1059000</v>
      </c>
      <c r="D52" s="55">
        <v>469000</v>
      </c>
      <c r="E52" s="55">
        <v>590000</v>
      </c>
      <c r="F52" s="55">
        <f ca="1">IFERROR(__xludf.DUMMYFUNCTION("IMPORTRANGE(""https://docs.google.com/spreadsheets/d/1XL5vhW3sbDhbH9Cz0tuDiY8C3ctxq1tqvaCgkFb8cCA/edit?usp=sharing"",""อุดรธานี!M12"")"),0)</f>
        <v>0</v>
      </c>
      <c r="G52" s="56">
        <f t="shared" ca="1" si="1"/>
        <v>0</v>
      </c>
      <c r="H52" s="57">
        <f t="shared" si="27"/>
        <v>1</v>
      </c>
      <c r="I52" s="57">
        <f t="shared" si="2"/>
        <v>70</v>
      </c>
      <c r="J52" s="57">
        <f t="shared" ca="1" si="35"/>
        <v>0</v>
      </c>
      <c r="K52" s="58">
        <f t="shared" ca="1" si="3"/>
        <v>0</v>
      </c>
      <c r="L52" s="57">
        <f t="shared" ca="1" si="36"/>
        <v>0</v>
      </c>
      <c r="M52" s="58">
        <f t="shared" ca="1" si="4"/>
        <v>0</v>
      </c>
      <c r="N52" s="55">
        <v>1</v>
      </c>
      <c r="O52" s="55">
        <v>70</v>
      </c>
      <c r="P52" s="57">
        <f ca="1">IFERROR(__xludf.DUMMYFUNCTION("IMPORTRANGE(""https://docs.google.com/spreadsheets/d/1XL5vhW3sbDhbH9Cz0tuDiY8C3ctxq1tqvaCgkFb8cCA/edit?usp=sharing"",""อุดรธานี!J22"")"),0)</f>
        <v>0</v>
      </c>
      <c r="Q52" s="57">
        <f ca="1">IFERROR(__xludf.DUMMYFUNCTION("IMPORTRANGE(""https://docs.google.com/spreadsheets/d/1XL5vhW3sbDhbH9Cz0tuDiY8C3ctxq1tqvaCgkFb8cCA/edit?usp=sharing"",""อุดรธานี!J23"")"),0)</f>
        <v>0</v>
      </c>
      <c r="R52" s="55">
        <v>0</v>
      </c>
      <c r="S52" s="55">
        <v>0</v>
      </c>
      <c r="T52" s="57">
        <f ca="1">IFERROR(__xludf.DUMMYFUNCTION("IMPORTRANGE(""https://docs.google.com/spreadsheets/d/1XL5vhW3sbDhbH9Cz0tuDiY8C3ctxq1tqvaCgkFb8cCA/edit?usp=sharing"",""อุดรธานี!J24"")"),0)</f>
        <v>0</v>
      </c>
      <c r="U52" s="57">
        <f ca="1">IFERROR(__xludf.DUMMYFUNCTION("IMPORTRANGE(""https://docs.google.com/spreadsheets/d/1XL5vhW3sbDhbH9Cz0tuDiY8C3ctxq1tqvaCgkFb8cCA/edit?usp=sharing"",""อุดรธานี!J25"")"),0)</f>
        <v>0</v>
      </c>
      <c r="V52" s="55">
        <v>0</v>
      </c>
      <c r="W52" s="55">
        <v>0</v>
      </c>
      <c r="X52" s="57">
        <f ca="1">IFERROR(__xludf.DUMMYFUNCTION("IMPORTRANGE(""https://docs.google.com/spreadsheets/d/1XL5vhW3sbDhbH9Cz0tuDiY8C3ctxq1tqvaCgkFb8cCA/edit?usp=sharing"",""อุดรธานี!J26"")"),0)</f>
        <v>0</v>
      </c>
      <c r="Y52" s="57">
        <f ca="1">IFERROR(__xludf.DUMMYFUNCTION("IMPORTRANGE(""https://docs.google.com/spreadsheets/d/1XL5vhW3sbDhbH9Cz0tuDiY8C3ctxq1tqvaCgkFb8cCA/edit?usp=sharing"",""อุดรธานี!J27"")"),0)</f>
        <v>0</v>
      </c>
      <c r="Z52" s="55">
        <v>70</v>
      </c>
      <c r="AA52" s="57">
        <f ca="1">IFERROR(__xludf.DUMMYFUNCTION("IMPORTRANGE(""https://docs.google.com/spreadsheets/d/1XL5vhW3sbDhbH9Cz0tuDiY8C3ctxq1tqvaCgkFb8cCA/edit?usp=sharing"",""อุดรธานี!J28"")"),0)</f>
        <v>0</v>
      </c>
      <c r="AB52" s="56">
        <f t="shared" ca="1" si="11"/>
        <v>0</v>
      </c>
    </row>
    <row r="53" spans="1:28" ht="24" customHeight="1" x14ac:dyDescent="0.5">
      <c r="A53" s="59">
        <v>20</v>
      </c>
      <c r="B53" s="60" t="s">
        <v>68</v>
      </c>
      <c r="C53" s="61">
        <f t="shared" si="34"/>
        <v>0</v>
      </c>
      <c r="D53" s="62">
        <v>0</v>
      </c>
      <c r="E53" s="62">
        <v>0</v>
      </c>
      <c r="F53" s="62">
        <f ca="1">IFERROR(__xludf.DUMMYFUNCTION("IMPORTRANGE(""https://docs.google.com/spreadsheets/d/1XL5vhW3sbDhbH9Cz0tuDiY8C3ctxq1tqvaCgkFb8cCA/edit?usp=sharing"",""อุบลราชธานี!M12"")"),0)</f>
        <v>0</v>
      </c>
      <c r="G53" s="63">
        <f t="shared" si="1"/>
        <v>0</v>
      </c>
      <c r="H53" s="64">
        <f t="shared" si="27"/>
        <v>0</v>
      </c>
      <c r="I53" s="64">
        <f t="shared" si="2"/>
        <v>0</v>
      </c>
      <c r="J53" s="64">
        <f t="shared" ca="1" si="35"/>
        <v>0</v>
      </c>
      <c r="K53" s="65">
        <f t="shared" si="3"/>
        <v>0</v>
      </c>
      <c r="L53" s="64">
        <f t="shared" ca="1" si="36"/>
        <v>0</v>
      </c>
      <c r="M53" s="65">
        <f t="shared" si="4"/>
        <v>0</v>
      </c>
      <c r="N53" s="62">
        <v>0</v>
      </c>
      <c r="O53" s="62">
        <v>0</v>
      </c>
      <c r="P53" s="64">
        <f ca="1">IFERROR(__xludf.DUMMYFUNCTION("IMPORTRANGE(""https://docs.google.com/spreadsheets/d/1XL5vhW3sbDhbH9Cz0tuDiY8C3ctxq1tqvaCgkFb8cCA/edit?usp=sharing"",""อุบลราชธานี!J22"")"),0)</f>
        <v>0</v>
      </c>
      <c r="Q53" s="64">
        <f ca="1">IFERROR(__xludf.DUMMYFUNCTION("IMPORTRANGE(""https://docs.google.com/spreadsheets/d/1XL5vhW3sbDhbH9Cz0tuDiY8C3ctxq1tqvaCgkFb8cCA/edit?usp=sharing"",""อุบลราชธานี!J23"")"),0)</f>
        <v>0</v>
      </c>
      <c r="R53" s="62">
        <v>0</v>
      </c>
      <c r="S53" s="62">
        <v>0</v>
      </c>
      <c r="T53" s="64">
        <f ca="1">IFERROR(__xludf.DUMMYFUNCTION("IMPORTRANGE(""https://docs.google.com/spreadsheets/d/1XL5vhW3sbDhbH9Cz0tuDiY8C3ctxq1tqvaCgkFb8cCA/edit?usp=sharing"",""อุบลราชธานี!J24"")"),0)</f>
        <v>0</v>
      </c>
      <c r="U53" s="64">
        <f ca="1">IFERROR(__xludf.DUMMYFUNCTION("IMPORTRANGE(""https://docs.google.com/spreadsheets/d/1XL5vhW3sbDhbH9Cz0tuDiY8C3ctxq1tqvaCgkFb8cCA/edit?usp=sharing"",""อุบลราชธานี!J25"")"),0)</f>
        <v>0</v>
      </c>
      <c r="V53" s="62">
        <v>0</v>
      </c>
      <c r="W53" s="62">
        <v>0</v>
      </c>
      <c r="X53" s="64">
        <f ca="1">IFERROR(__xludf.DUMMYFUNCTION("IMPORTRANGE(""https://docs.google.com/spreadsheets/d/1XL5vhW3sbDhbH9Cz0tuDiY8C3ctxq1tqvaCgkFb8cCA/edit?usp=sharing"",""อุบลราชธานี!J26"")"),0)</f>
        <v>0</v>
      </c>
      <c r="Y53" s="64">
        <f ca="1">IFERROR(__xludf.DUMMYFUNCTION("IMPORTRANGE(""https://docs.google.com/spreadsheets/d/1XL5vhW3sbDhbH9Cz0tuDiY8C3ctxq1tqvaCgkFb8cCA/edit?usp=sharing"",""อุบลราชธานี!J27"")"),0)</f>
        <v>0</v>
      </c>
      <c r="Z53" s="62">
        <v>0</v>
      </c>
      <c r="AA53" s="64">
        <f ca="1">IFERROR(__xludf.DUMMYFUNCTION("IMPORTRANGE(""https://docs.google.com/spreadsheets/d/1XL5vhW3sbDhbH9Cz0tuDiY8C3ctxq1tqvaCgkFb8cCA/edit?usp=sharing"",""อุบลราชธานี!J28"")"),0)</f>
        <v>0</v>
      </c>
      <c r="AB53" s="63">
        <f t="shared" si="11"/>
        <v>0</v>
      </c>
    </row>
    <row r="54" spans="1:28" ht="24" customHeight="1" x14ac:dyDescent="0.5">
      <c r="A54" s="570" t="s">
        <v>69</v>
      </c>
      <c r="B54" s="569"/>
      <c r="C54" s="66">
        <f t="shared" ref="C54:F54" si="37">SUM(C55:C75)</f>
        <v>5268100</v>
      </c>
      <c r="D54" s="66">
        <f t="shared" si="37"/>
        <v>1378100</v>
      </c>
      <c r="E54" s="66">
        <f t="shared" si="37"/>
        <v>3890000</v>
      </c>
      <c r="F54" s="66">
        <f t="shared" ca="1" si="37"/>
        <v>55753</v>
      </c>
      <c r="G54" s="67">
        <f t="shared" ca="1" si="1"/>
        <v>1.0583132438640117</v>
      </c>
      <c r="H54" s="66">
        <f t="shared" si="27"/>
        <v>8</v>
      </c>
      <c r="I54" s="66">
        <f t="shared" si="2"/>
        <v>440</v>
      </c>
      <c r="J54" s="66">
        <f ca="1">SUM(J55:J75)</f>
        <v>0</v>
      </c>
      <c r="K54" s="67">
        <f t="shared" ca="1" si="3"/>
        <v>0</v>
      </c>
      <c r="L54" s="66">
        <f ca="1">SUM(L55:L75)</f>
        <v>0</v>
      </c>
      <c r="M54" s="67">
        <f t="shared" ca="1" si="4"/>
        <v>0</v>
      </c>
      <c r="N54" s="66">
        <f t="shared" ref="N54:AA54" si="38">SUM(N55:N75)</f>
        <v>2</v>
      </c>
      <c r="O54" s="66">
        <f t="shared" si="38"/>
        <v>150</v>
      </c>
      <c r="P54" s="66">
        <f t="shared" ca="1" si="38"/>
        <v>0</v>
      </c>
      <c r="Q54" s="66">
        <f t="shared" ca="1" si="38"/>
        <v>0</v>
      </c>
      <c r="R54" s="66">
        <f t="shared" si="38"/>
        <v>2</v>
      </c>
      <c r="S54" s="66">
        <f t="shared" si="38"/>
        <v>130</v>
      </c>
      <c r="T54" s="66">
        <f t="shared" ca="1" si="38"/>
        <v>0</v>
      </c>
      <c r="U54" s="66">
        <f t="shared" ca="1" si="38"/>
        <v>0</v>
      </c>
      <c r="V54" s="66">
        <f t="shared" si="38"/>
        <v>4</v>
      </c>
      <c r="W54" s="66">
        <f t="shared" si="38"/>
        <v>160</v>
      </c>
      <c r="X54" s="66">
        <f t="shared" ca="1" si="38"/>
        <v>0</v>
      </c>
      <c r="Y54" s="66">
        <f t="shared" ca="1" si="38"/>
        <v>0</v>
      </c>
      <c r="Z54" s="66">
        <f t="shared" si="38"/>
        <v>150</v>
      </c>
      <c r="AA54" s="66">
        <f t="shared" ca="1" si="38"/>
        <v>0</v>
      </c>
      <c r="AB54" s="67">
        <f t="shared" ca="1" si="11"/>
        <v>0</v>
      </c>
    </row>
    <row r="55" spans="1:28" ht="24" customHeight="1" x14ac:dyDescent="0.5">
      <c r="A55" s="45">
        <v>1</v>
      </c>
      <c r="B55" s="46" t="s">
        <v>70</v>
      </c>
      <c r="C55" s="47">
        <f t="shared" ref="C55:C75" si="39">+D55+E55</f>
        <v>0</v>
      </c>
      <c r="D55" s="48">
        <v>0</v>
      </c>
      <c r="E55" s="48">
        <v>0</v>
      </c>
      <c r="F55" s="49">
        <f ca="1">IFERROR(__xludf.DUMMYFUNCTION("IMPORTRANGE(""https://docs.google.com/spreadsheets/d/1SX6NBoVAgQJ6U1MVXOaj8PK2l7WJ3RER9xtqwdhxkhw/edit?usp=sharing"",""กาญจนบุรี!M12"")"),0)</f>
        <v>0</v>
      </c>
      <c r="G55" s="50">
        <f t="shared" si="1"/>
        <v>0</v>
      </c>
      <c r="H55" s="49">
        <f t="shared" si="27"/>
        <v>0</v>
      </c>
      <c r="I55" s="49">
        <f t="shared" si="2"/>
        <v>0</v>
      </c>
      <c r="J55" s="49">
        <f t="shared" ref="J55:J75" ca="1" si="40">P55+T55+X55</f>
        <v>0</v>
      </c>
      <c r="K55" s="51">
        <f t="shared" si="3"/>
        <v>0</v>
      </c>
      <c r="L55" s="49">
        <f t="shared" ref="L55:L75" ca="1" si="41">Q55+U55+Y55</f>
        <v>0</v>
      </c>
      <c r="M55" s="51">
        <f t="shared" si="4"/>
        <v>0</v>
      </c>
      <c r="N55" s="48">
        <v>0</v>
      </c>
      <c r="O55" s="48">
        <v>0</v>
      </c>
      <c r="P55" s="49">
        <f ca="1">IFERROR(__xludf.DUMMYFUNCTION("IMPORTRANGE(""https://docs.google.com/spreadsheets/d/1SX6NBoVAgQJ6U1MVXOaj8PK2l7WJ3RER9xtqwdhxkhw/edit?usp=sharing"",""กาญจนบุรี!J22"")"),0)</f>
        <v>0</v>
      </c>
      <c r="Q55" s="49">
        <f ca="1">IFERROR(__xludf.DUMMYFUNCTION("IMPORTRANGE(""https://docs.google.com/spreadsheets/d/1SX6NBoVAgQJ6U1MVXOaj8PK2l7WJ3RER9xtqwdhxkhw/edit?usp=sharing"",""กาญจนบุรี!J23"")"),0)</f>
        <v>0</v>
      </c>
      <c r="R55" s="48">
        <v>0</v>
      </c>
      <c r="S55" s="48">
        <v>0</v>
      </c>
      <c r="T55" s="49">
        <f ca="1">IFERROR(__xludf.DUMMYFUNCTION("IMPORTRANGE(""https://docs.google.com/spreadsheets/d/1SX6NBoVAgQJ6U1MVXOaj8PK2l7WJ3RER9xtqwdhxkhw/edit?usp=sharing"",""กาญจนบุรี!J24"")"),0)</f>
        <v>0</v>
      </c>
      <c r="U55" s="49">
        <f ca="1">IFERROR(__xludf.DUMMYFUNCTION("IMPORTRANGE(""https://docs.google.com/spreadsheets/d/1SX6NBoVAgQJ6U1MVXOaj8PK2l7WJ3RER9xtqwdhxkhw/edit?usp=sharing"",""กาญจนบุรี!J25"")"),0)</f>
        <v>0</v>
      </c>
      <c r="V55" s="48">
        <v>0</v>
      </c>
      <c r="W55" s="48">
        <v>0</v>
      </c>
      <c r="X55" s="49">
        <f ca="1">IFERROR(__xludf.DUMMYFUNCTION("IMPORTRANGE(""https://docs.google.com/spreadsheets/d/1SX6NBoVAgQJ6U1MVXOaj8PK2l7WJ3RER9xtqwdhxkhw/edit?usp=sharing"",""กาญจนบุรี!J26"")"),0)</f>
        <v>0</v>
      </c>
      <c r="Y55" s="49">
        <f ca="1">IFERROR(__xludf.DUMMYFUNCTION("IMPORTRANGE(""https://docs.google.com/spreadsheets/d/1SX6NBoVAgQJ6U1MVXOaj8PK2l7WJ3RER9xtqwdhxkhw/edit?usp=sharing"",""กาญจนบุรี!J27"")"),0)</f>
        <v>0</v>
      </c>
      <c r="Z55" s="48">
        <v>0</v>
      </c>
      <c r="AA55" s="49">
        <f ca="1">IFERROR(__xludf.DUMMYFUNCTION("IMPORTRANGE(""https://docs.google.com/spreadsheets/d/1SX6NBoVAgQJ6U1MVXOaj8PK2l7WJ3RER9xtqwdhxkhw/edit?usp=sharing"",""กาญจนบุรี!J28"")"),0)</f>
        <v>0</v>
      </c>
      <c r="AB55" s="50">
        <f t="shared" si="11"/>
        <v>0</v>
      </c>
    </row>
    <row r="56" spans="1:28" ht="24" customHeight="1" x14ac:dyDescent="0.5">
      <c r="A56" s="52">
        <v>2</v>
      </c>
      <c r="B56" s="53" t="s">
        <v>71</v>
      </c>
      <c r="C56" s="54">
        <f t="shared" si="39"/>
        <v>713200</v>
      </c>
      <c r="D56" s="55">
        <v>175200</v>
      </c>
      <c r="E56" s="55">
        <v>538000</v>
      </c>
      <c r="F56" s="55">
        <f ca="1">IFERROR(__xludf.DUMMYFUNCTION("IMPORTRANGE(""https://docs.google.com/spreadsheets/d/1SX6NBoVAgQJ6U1MVXOaj8PK2l7WJ3RER9xtqwdhxkhw/edit?usp=sharing"",""จันทบุรี!M12"")"),14853)</f>
        <v>14853</v>
      </c>
      <c r="G56" s="56">
        <f t="shared" ca="1" si="1"/>
        <v>2.0825855300056086</v>
      </c>
      <c r="H56" s="57">
        <f t="shared" si="27"/>
        <v>1</v>
      </c>
      <c r="I56" s="57">
        <f t="shared" si="2"/>
        <v>60</v>
      </c>
      <c r="J56" s="57">
        <f t="shared" ca="1" si="40"/>
        <v>0</v>
      </c>
      <c r="K56" s="58">
        <f t="shared" ca="1" si="3"/>
        <v>0</v>
      </c>
      <c r="L56" s="57">
        <f t="shared" ca="1" si="41"/>
        <v>0</v>
      </c>
      <c r="M56" s="58">
        <f t="shared" ca="1" si="4"/>
        <v>0</v>
      </c>
      <c r="N56" s="55">
        <v>0</v>
      </c>
      <c r="O56" s="55">
        <v>0</v>
      </c>
      <c r="P56" s="57">
        <f ca="1">IFERROR(__xludf.DUMMYFUNCTION("IMPORTRANGE(""https://docs.google.com/spreadsheets/d/1SX6NBoVAgQJ6U1MVXOaj8PK2l7WJ3RER9xtqwdhxkhw/edit?usp=sharing"",""จันทบุรี!J22"")"),0)</f>
        <v>0</v>
      </c>
      <c r="Q56" s="57">
        <f ca="1">IFERROR(__xludf.DUMMYFUNCTION("IMPORTRANGE(""https://docs.google.com/spreadsheets/d/1SX6NBoVAgQJ6U1MVXOaj8PK2l7WJ3RER9xtqwdhxkhw/edit?usp=sharing"",""จันทบุรี!J23"")"),0)</f>
        <v>0</v>
      </c>
      <c r="R56" s="55">
        <v>0</v>
      </c>
      <c r="S56" s="55">
        <v>0</v>
      </c>
      <c r="T56" s="57">
        <f ca="1">IFERROR(__xludf.DUMMYFUNCTION("IMPORTRANGE(""https://docs.google.com/spreadsheets/d/1SX6NBoVAgQJ6U1MVXOaj8PK2l7WJ3RER9xtqwdhxkhw/edit?usp=sharing"",""จันทบุรี!J24"")"),0)</f>
        <v>0</v>
      </c>
      <c r="U56" s="57">
        <f ca="1">IFERROR(__xludf.DUMMYFUNCTION("IMPORTRANGE(""https://docs.google.com/spreadsheets/d/1SX6NBoVAgQJ6U1MVXOaj8PK2l7WJ3RER9xtqwdhxkhw/edit?usp=sharing"",""จันทบุรี!J25"")"),0)</f>
        <v>0</v>
      </c>
      <c r="V56" s="55">
        <v>1</v>
      </c>
      <c r="W56" s="55">
        <v>60</v>
      </c>
      <c r="X56" s="57">
        <f ca="1">IFERROR(__xludf.DUMMYFUNCTION("IMPORTRANGE(""https://docs.google.com/spreadsheets/d/1SX6NBoVAgQJ6U1MVXOaj8PK2l7WJ3RER9xtqwdhxkhw/edit?usp=sharing"",""จันทบุรี!J26"")"),0)</f>
        <v>0</v>
      </c>
      <c r="Y56" s="57">
        <f ca="1">IFERROR(__xludf.DUMMYFUNCTION("IMPORTRANGE(""https://docs.google.com/spreadsheets/d/1SX6NBoVAgQJ6U1MVXOaj8PK2l7WJ3RER9xtqwdhxkhw/edit?usp=sharing"",""จันทบุรี!J27"")"),0)</f>
        <v>0</v>
      </c>
      <c r="Z56" s="55">
        <v>0</v>
      </c>
      <c r="AA56" s="57">
        <f ca="1">IFERROR(__xludf.DUMMYFUNCTION("IMPORTRANGE(""https://docs.google.com/spreadsheets/d/1SX6NBoVAgQJ6U1MVXOaj8PK2l7WJ3RER9xtqwdhxkhw/edit?usp=sharing"",""จันทบุรี!J28"")"),0)</f>
        <v>0</v>
      </c>
      <c r="AB56" s="56">
        <f t="shared" si="11"/>
        <v>0</v>
      </c>
    </row>
    <row r="57" spans="1:28" ht="24" customHeight="1" x14ac:dyDescent="0.5">
      <c r="A57" s="52">
        <v>3</v>
      </c>
      <c r="B57" s="53" t="s">
        <v>72</v>
      </c>
      <c r="C57" s="54">
        <f t="shared" si="39"/>
        <v>0</v>
      </c>
      <c r="D57" s="55">
        <v>0</v>
      </c>
      <c r="E57" s="55">
        <v>0</v>
      </c>
      <c r="F57" s="55">
        <f ca="1">IFERROR(__xludf.DUMMYFUNCTION("IMPORTRANGE(""https://docs.google.com/spreadsheets/d/1SX6NBoVAgQJ6U1MVXOaj8PK2l7WJ3RER9xtqwdhxkhw/edit?usp=sharing"",""ฉะเชิงเทรา!M12"")"),0)</f>
        <v>0</v>
      </c>
      <c r="G57" s="56">
        <f t="shared" si="1"/>
        <v>0</v>
      </c>
      <c r="H57" s="57">
        <f t="shared" si="27"/>
        <v>0</v>
      </c>
      <c r="I57" s="57">
        <f t="shared" si="2"/>
        <v>0</v>
      </c>
      <c r="J57" s="57">
        <f t="shared" ca="1" si="40"/>
        <v>0</v>
      </c>
      <c r="K57" s="58">
        <f t="shared" si="3"/>
        <v>0</v>
      </c>
      <c r="L57" s="57">
        <f t="shared" ca="1" si="41"/>
        <v>0</v>
      </c>
      <c r="M57" s="58">
        <f t="shared" si="4"/>
        <v>0</v>
      </c>
      <c r="N57" s="55">
        <v>0</v>
      </c>
      <c r="O57" s="55">
        <v>0</v>
      </c>
      <c r="P57" s="57">
        <f ca="1">IFERROR(__xludf.DUMMYFUNCTION("IMPORTRANGE(""https://docs.google.com/spreadsheets/d/1SX6NBoVAgQJ6U1MVXOaj8PK2l7WJ3RER9xtqwdhxkhw/edit?usp=sharing"",""ฉะเชิงเทรา!J22"")"),0)</f>
        <v>0</v>
      </c>
      <c r="Q57" s="57">
        <f ca="1">IFERROR(__xludf.DUMMYFUNCTION("IMPORTRANGE(""https://docs.google.com/spreadsheets/d/1SX6NBoVAgQJ6U1MVXOaj8PK2l7WJ3RER9xtqwdhxkhw/edit?usp=sharing"",""ฉะเชิงเทรา!J23"")"),0)</f>
        <v>0</v>
      </c>
      <c r="R57" s="55">
        <v>0</v>
      </c>
      <c r="S57" s="55">
        <v>0</v>
      </c>
      <c r="T57" s="57">
        <f ca="1">IFERROR(__xludf.DUMMYFUNCTION("IMPORTRANGE(""https://docs.google.com/spreadsheets/d/1SX6NBoVAgQJ6U1MVXOaj8PK2l7WJ3RER9xtqwdhxkhw/edit?usp=sharing"",""ฉะเชิงเทรา!J24"")"),0)</f>
        <v>0</v>
      </c>
      <c r="U57" s="57">
        <f ca="1">IFERROR(__xludf.DUMMYFUNCTION("IMPORTRANGE(""https://docs.google.com/spreadsheets/d/1SX6NBoVAgQJ6U1MVXOaj8PK2l7WJ3RER9xtqwdhxkhw/edit?usp=sharing"",""ฉะเชิงเทรา!J25"")"),0)</f>
        <v>0</v>
      </c>
      <c r="V57" s="55">
        <v>0</v>
      </c>
      <c r="W57" s="55">
        <v>0</v>
      </c>
      <c r="X57" s="57">
        <f ca="1">IFERROR(__xludf.DUMMYFUNCTION("IMPORTRANGE(""https://docs.google.com/spreadsheets/d/1SX6NBoVAgQJ6U1MVXOaj8PK2l7WJ3RER9xtqwdhxkhw/edit?usp=sharing"",""ฉะเชิงเทรา!J26"")"),0)</f>
        <v>0</v>
      </c>
      <c r="Y57" s="57">
        <f ca="1">IFERROR(__xludf.DUMMYFUNCTION("IMPORTRANGE(""https://docs.google.com/spreadsheets/d/1SX6NBoVAgQJ6U1MVXOaj8PK2l7WJ3RER9xtqwdhxkhw/edit?usp=sharing"",""ฉะเชิงเทรา!J27"")"),0)</f>
        <v>0</v>
      </c>
      <c r="Z57" s="55">
        <v>0</v>
      </c>
      <c r="AA57" s="57">
        <f ca="1">IFERROR(__xludf.DUMMYFUNCTION("IMPORTRANGE(""https://docs.google.com/spreadsheets/d/1SX6NBoVAgQJ6U1MVXOaj8PK2l7WJ3RER9xtqwdhxkhw/edit?usp=sharing"",""ฉะเชิงเทรา!J28"")"),0)</f>
        <v>0</v>
      </c>
      <c r="AB57" s="56">
        <f t="shared" si="11"/>
        <v>0</v>
      </c>
    </row>
    <row r="58" spans="1:28" ht="24" customHeight="1" x14ac:dyDescent="0.5">
      <c r="A58" s="52">
        <v>4</v>
      </c>
      <c r="B58" s="53" t="s">
        <v>73</v>
      </c>
      <c r="C58" s="54">
        <f t="shared" si="39"/>
        <v>0</v>
      </c>
      <c r="D58" s="55">
        <v>0</v>
      </c>
      <c r="E58" s="55">
        <v>0</v>
      </c>
      <c r="F58" s="55">
        <f ca="1">IFERROR(__xludf.DUMMYFUNCTION("IMPORTRANGE(""https://docs.google.com/spreadsheets/d/1SX6NBoVAgQJ6U1MVXOaj8PK2l7WJ3RER9xtqwdhxkhw/edit?usp=sharing"",""ชลบุรี!M12"")"),0)</f>
        <v>0</v>
      </c>
      <c r="G58" s="56">
        <f t="shared" si="1"/>
        <v>0</v>
      </c>
      <c r="H58" s="57">
        <f t="shared" si="27"/>
        <v>0</v>
      </c>
      <c r="I58" s="57">
        <f t="shared" si="2"/>
        <v>0</v>
      </c>
      <c r="J58" s="57">
        <f t="shared" ca="1" si="40"/>
        <v>0</v>
      </c>
      <c r="K58" s="58">
        <f t="shared" si="3"/>
        <v>0</v>
      </c>
      <c r="L58" s="57">
        <f t="shared" ca="1" si="41"/>
        <v>0</v>
      </c>
      <c r="M58" s="58">
        <f t="shared" si="4"/>
        <v>0</v>
      </c>
      <c r="N58" s="55">
        <v>0</v>
      </c>
      <c r="O58" s="55">
        <v>0</v>
      </c>
      <c r="P58" s="57">
        <f ca="1">IFERROR(__xludf.DUMMYFUNCTION("IMPORTRANGE(""https://docs.google.com/spreadsheets/d/1SX6NBoVAgQJ6U1MVXOaj8PK2l7WJ3RER9xtqwdhxkhw/edit?usp=sharing"",""ชลบุรี!J22"")"),0)</f>
        <v>0</v>
      </c>
      <c r="Q58" s="57">
        <f ca="1">IFERROR(__xludf.DUMMYFUNCTION("IMPORTRANGE(""https://docs.google.com/spreadsheets/d/1SX6NBoVAgQJ6U1MVXOaj8PK2l7WJ3RER9xtqwdhxkhw/edit?usp=sharing"",""ชลบุรี!J23"")"),0)</f>
        <v>0</v>
      </c>
      <c r="R58" s="55">
        <v>0</v>
      </c>
      <c r="S58" s="55">
        <v>0</v>
      </c>
      <c r="T58" s="57">
        <f ca="1">IFERROR(__xludf.DUMMYFUNCTION("IMPORTRANGE(""https://docs.google.com/spreadsheets/d/1SX6NBoVAgQJ6U1MVXOaj8PK2l7WJ3RER9xtqwdhxkhw/edit?usp=sharing"",""ชลบุรี!J24"")"),0)</f>
        <v>0</v>
      </c>
      <c r="U58" s="57">
        <f ca="1">IFERROR(__xludf.DUMMYFUNCTION("IMPORTRANGE(""https://docs.google.com/spreadsheets/d/1SX6NBoVAgQJ6U1MVXOaj8PK2l7WJ3RER9xtqwdhxkhw/edit?usp=sharing"",""ชลบุรี!J25"")"),0)</f>
        <v>0</v>
      </c>
      <c r="V58" s="55">
        <v>0</v>
      </c>
      <c r="W58" s="55">
        <v>0</v>
      </c>
      <c r="X58" s="57">
        <f ca="1">IFERROR(__xludf.DUMMYFUNCTION("IMPORTRANGE(""https://docs.google.com/spreadsheets/d/1SX6NBoVAgQJ6U1MVXOaj8PK2l7WJ3RER9xtqwdhxkhw/edit?usp=sharing"",""ชลบุรี!J26"")"),0)</f>
        <v>0</v>
      </c>
      <c r="Y58" s="57">
        <f ca="1">IFERROR(__xludf.DUMMYFUNCTION("IMPORTRANGE(""https://docs.google.com/spreadsheets/d/1SX6NBoVAgQJ6U1MVXOaj8PK2l7WJ3RER9xtqwdhxkhw/edit?usp=sharing"",""ชลบุรี!J27"")"),0)</f>
        <v>0</v>
      </c>
      <c r="Z58" s="55">
        <v>0</v>
      </c>
      <c r="AA58" s="57">
        <f ca="1">IFERROR(__xludf.DUMMYFUNCTION("IMPORTRANGE(""https://docs.google.com/spreadsheets/d/1SX6NBoVAgQJ6U1MVXOaj8PK2l7WJ3RER9xtqwdhxkhw/edit?usp=sharing"",""ชลบุรี!J28"")"),0)</f>
        <v>0</v>
      </c>
      <c r="AB58" s="56">
        <f t="shared" si="11"/>
        <v>0</v>
      </c>
    </row>
    <row r="59" spans="1:28" ht="24" customHeight="1" x14ac:dyDescent="0.5">
      <c r="A59" s="52">
        <v>5</v>
      </c>
      <c r="B59" s="53" t="s">
        <v>74</v>
      </c>
      <c r="C59" s="54">
        <f t="shared" si="39"/>
        <v>453800</v>
      </c>
      <c r="D59" s="55">
        <v>81800</v>
      </c>
      <c r="E59" s="55">
        <v>372000</v>
      </c>
      <c r="F59" s="55">
        <f ca="1">IFERROR(__xludf.DUMMYFUNCTION("IMPORTRANGE(""https://docs.google.com/spreadsheets/d/1SX6NBoVAgQJ6U1MVXOaj8PK2l7WJ3RER9xtqwdhxkhw/edit?usp=sharing"",""ชัยนาท!M12"")"),0)</f>
        <v>0</v>
      </c>
      <c r="G59" s="56">
        <f t="shared" ca="1" si="1"/>
        <v>0</v>
      </c>
      <c r="H59" s="57">
        <f t="shared" si="27"/>
        <v>1</v>
      </c>
      <c r="I59" s="57">
        <f t="shared" si="2"/>
        <v>30</v>
      </c>
      <c r="J59" s="57">
        <f t="shared" ca="1" si="40"/>
        <v>0</v>
      </c>
      <c r="K59" s="58">
        <f t="shared" ca="1" si="3"/>
        <v>0</v>
      </c>
      <c r="L59" s="57">
        <f t="shared" ca="1" si="41"/>
        <v>0</v>
      </c>
      <c r="M59" s="58">
        <f t="shared" ca="1" si="4"/>
        <v>0</v>
      </c>
      <c r="N59" s="55">
        <v>0</v>
      </c>
      <c r="O59" s="55">
        <v>0</v>
      </c>
      <c r="P59" s="57">
        <f ca="1">IFERROR(__xludf.DUMMYFUNCTION("IMPORTRANGE(""https://docs.google.com/spreadsheets/d/1SX6NBoVAgQJ6U1MVXOaj8PK2l7WJ3RER9xtqwdhxkhw/edit?usp=sharing"",""ชัยนาท!J22"")"),0)</f>
        <v>0</v>
      </c>
      <c r="Q59" s="57">
        <f ca="1">IFERROR(__xludf.DUMMYFUNCTION("IMPORTRANGE(""https://docs.google.com/spreadsheets/d/1SX6NBoVAgQJ6U1MVXOaj8PK2l7WJ3RER9xtqwdhxkhw/edit?usp=sharing"",""ชัยนาท!J23"")"),0)</f>
        <v>0</v>
      </c>
      <c r="R59" s="55">
        <v>1</v>
      </c>
      <c r="S59" s="55">
        <v>30</v>
      </c>
      <c r="T59" s="57">
        <f ca="1">IFERROR(__xludf.DUMMYFUNCTION("IMPORTRANGE(""https://docs.google.com/spreadsheets/d/1SX6NBoVAgQJ6U1MVXOaj8PK2l7WJ3RER9xtqwdhxkhw/edit?usp=sharing"",""ชัยนาท!J24"")"),0)</f>
        <v>0</v>
      </c>
      <c r="U59" s="57">
        <f ca="1">IFERROR(__xludf.DUMMYFUNCTION("IMPORTRANGE(""https://docs.google.com/spreadsheets/d/1SX6NBoVAgQJ6U1MVXOaj8PK2l7WJ3RER9xtqwdhxkhw/edit?usp=sharing"",""ชัยนาท!J25"")"),0)</f>
        <v>0</v>
      </c>
      <c r="V59" s="55">
        <v>0</v>
      </c>
      <c r="W59" s="55">
        <v>0</v>
      </c>
      <c r="X59" s="57">
        <f ca="1">IFERROR(__xludf.DUMMYFUNCTION("IMPORTRANGE(""https://docs.google.com/spreadsheets/d/1SX6NBoVAgQJ6U1MVXOaj8PK2l7WJ3RER9xtqwdhxkhw/edit?usp=sharing"",""ชัยนาท!J26"")"),0)</f>
        <v>0</v>
      </c>
      <c r="Y59" s="57">
        <f ca="1">IFERROR(__xludf.DUMMYFUNCTION("IMPORTRANGE(""https://docs.google.com/spreadsheets/d/1SX6NBoVAgQJ6U1MVXOaj8PK2l7WJ3RER9xtqwdhxkhw/edit?usp=sharing"",""ชัยนาท!J27"")"),0)</f>
        <v>0</v>
      </c>
      <c r="Z59" s="55">
        <v>0</v>
      </c>
      <c r="AA59" s="57">
        <f ca="1">IFERROR(__xludf.DUMMYFUNCTION("IMPORTRANGE(""https://docs.google.com/spreadsheets/d/1SX6NBoVAgQJ6U1MVXOaj8PK2l7WJ3RER9xtqwdhxkhw/edit?usp=sharing"",""ชัยนาท!J28"")"),0)</f>
        <v>0</v>
      </c>
      <c r="AB59" s="56">
        <f t="shared" si="11"/>
        <v>0</v>
      </c>
    </row>
    <row r="60" spans="1:28" ht="24" customHeight="1" x14ac:dyDescent="0.5">
      <c r="A60" s="52">
        <v>6</v>
      </c>
      <c r="B60" s="53" t="s">
        <v>75</v>
      </c>
      <c r="C60" s="54">
        <f t="shared" si="39"/>
        <v>0</v>
      </c>
      <c r="D60" s="55">
        <v>0</v>
      </c>
      <c r="E60" s="55">
        <v>0</v>
      </c>
      <c r="F60" s="55">
        <f ca="1">IFERROR(__xludf.DUMMYFUNCTION("IMPORTRANGE(""https://docs.google.com/spreadsheets/d/1SX6NBoVAgQJ6U1MVXOaj8PK2l7WJ3RER9xtqwdhxkhw/edit?usp=sharing"",""ตราด!M12"")"),0)</f>
        <v>0</v>
      </c>
      <c r="G60" s="56">
        <f t="shared" si="1"/>
        <v>0</v>
      </c>
      <c r="H60" s="57">
        <f t="shared" si="27"/>
        <v>0</v>
      </c>
      <c r="I60" s="57">
        <f t="shared" si="2"/>
        <v>0</v>
      </c>
      <c r="J60" s="57">
        <f t="shared" ca="1" si="40"/>
        <v>0</v>
      </c>
      <c r="K60" s="58">
        <f t="shared" si="3"/>
        <v>0</v>
      </c>
      <c r="L60" s="57">
        <f t="shared" ca="1" si="41"/>
        <v>0</v>
      </c>
      <c r="M60" s="58">
        <f t="shared" si="4"/>
        <v>0</v>
      </c>
      <c r="N60" s="55">
        <v>0</v>
      </c>
      <c r="O60" s="55">
        <v>0</v>
      </c>
      <c r="P60" s="57">
        <f ca="1">IFERROR(__xludf.DUMMYFUNCTION("IMPORTRANGE(""https://docs.google.com/spreadsheets/d/1SX6NBoVAgQJ6U1MVXOaj8PK2l7WJ3RER9xtqwdhxkhw/edit?usp=sharing"",""ตราด!J22"")"),0)</f>
        <v>0</v>
      </c>
      <c r="Q60" s="57">
        <f ca="1">IFERROR(__xludf.DUMMYFUNCTION("IMPORTRANGE(""https://docs.google.com/spreadsheets/d/1SX6NBoVAgQJ6U1MVXOaj8PK2l7WJ3RER9xtqwdhxkhw/edit?usp=sharing"",""ตราด!J23"")"),0)</f>
        <v>0</v>
      </c>
      <c r="R60" s="55">
        <v>0</v>
      </c>
      <c r="S60" s="55">
        <v>0</v>
      </c>
      <c r="T60" s="57">
        <f ca="1">IFERROR(__xludf.DUMMYFUNCTION("IMPORTRANGE(""https://docs.google.com/spreadsheets/d/1SX6NBoVAgQJ6U1MVXOaj8PK2l7WJ3RER9xtqwdhxkhw/edit?usp=sharing"",""ตราด!J24"")"),0)</f>
        <v>0</v>
      </c>
      <c r="U60" s="57">
        <f ca="1">IFERROR(__xludf.DUMMYFUNCTION("IMPORTRANGE(""https://docs.google.com/spreadsheets/d/1SX6NBoVAgQJ6U1MVXOaj8PK2l7WJ3RER9xtqwdhxkhw/edit?usp=sharing"",""ตราด!J25"")"),0)</f>
        <v>0</v>
      </c>
      <c r="V60" s="55">
        <v>0</v>
      </c>
      <c r="W60" s="55">
        <v>0</v>
      </c>
      <c r="X60" s="57">
        <f ca="1">IFERROR(__xludf.DUMMYFUNCTION("IMPORTRANGE(""https://docs.google.com/spreadsheets/d/1SX6NBoVAgQJ6U1MVXOaj8PK2l7WJ3RER9xtqwdhxkhw/edit?usp=sharing"",""ตราด!J26"")"),0)</f>
        <v>0</v>
      </c>
      <c r="Y60" s="57">
        <f ca="1">IFERROR(__xludf.DUMMYFUNCTION("IMPORTRANGE(""https://docs.google.com/spreadsheets/d/1SX6NBoVAgQJ6U1MVXOaj8PK2l7WJ3RER9xtqwdhxkhw/edit?usp=sharing"",""ตราด!J27"")"),0)</f>
        <v>0</v>
      </c>
      <c r="Z60" s="55">
        <v>0</v>
      </c>
      <c r="AA60" s="57">
        <f ca="1">IFERROR(__xludf.DUMMYFUNCTION("IMPORTRANGE(""https://docs.google.com/spreadsheets/d/1SX6NBoVAgQJ6U1MVXOaj8PK2l7WJ3RER9xtqwdhxkhw/edit?usp=sharing"",""ตราด!J28"")"),0)</f>
        <v>0</v>
      </c>
      <c r="AB60" s="56">
        <f t="shared" si="11"/>
        <v>0</v>
      </c>
    </row>
    <row r="61" spans="1:28" ht="24" customHeight="1" x14ac:dyDescent="0.5">
      <c r="A61" s="52">
        <v>7</v>
      </c>
      <c r="B61" s="53" t="s">
        <v>76</v>
      </c>
      <c r="C61" s="54">
        <f t="shared" si="39"/>
        <v>0</v>
      </c>
      <c r="D61" s="55">
        <v>0</v>
      </c>
      <c r="E61" s="55">
        <v>0</v>
      </c>
      <c r="F61" s="55">
        <f ca="1">IFERROR(__xludf.DUMMYFUNCTION("IMPORTRANGE(""https://docs.google.com/spreadsheets/d/1SX6NBoVAgQJ6U1MVXOaj8PK2l7WJ3RER9xtqwdhxkhw/edit?usp=sharing"",""นครนายก!M12"")"),0)</f>
        <v>0</v>
      </c>
      <c r="G61" s="56">
        <f t="shared" si="1"/>
        <v>0</v>
      </c>
      <c r="H61" s="57">
        <f t="shared" si="27"/>
        <v>0</v>
      </c>
      <c r="I61" s="57">
        <f t="shared" si="2"/>
        <v>0</v>
      </c>
      <c r="J61" s="57">
        <f t="shared" ca="1" si="40"/>
        <v>0</v>
      </c>
      <c r="K61" s="58">
        <f t="shared" si="3"/>
        <v>0</v>
      </c>
      <c r="L61" s="57">
        <f t="shared" ca="1" si="41"/>
        <v>0</v>
      </c>
      <c r="M61" s="58">
        <f t="shared" si="4"/>
        <v>0</v>
      </c>
      <c r="N61" s="55">
        <v>0</v>
      </c>
      <c r="O61" s="55">
        <v>0</v>
      </c>
      <c r="P61" s="57">
        <f ca="1">IFERROR(__xludf.DUMMYFUNCTION("IMPORTRANGE(""https://docs.google.com/spreadsheets/d/1SX6NBoVAgQJ6U1MVXOaj8PK2l7WJ3RER9xtqwdhxkhw/edit?usp=sharing"",""นครนายก!J22"")"),0)</f>
        <v>0</v>
      </c>
      <c r="Q61" s="57">
        <f ca="1">IFERROR(__xludf.DUMMYFUNCTION("IMPORTRANGE(""https://docs.google.com/spreadsheets/d/1SX6NBoVAgQJ6U1MVXOaj8PK2l7WJ3RER9xtqwdhxkhw/edit?usp=sharing"",""นครนายก!J23"")"),0)</f>
        <v>0</v>
      </c>
      <c r="R61" s="55">
        <v>0</v>
      </c>
      <c r="S61" s="55">
        <v>0</v>
      </c>
      <c r="T61" s="57">
        <f ca="1">IFERROR(__xludf.DUMMYFUNCTION("IMPORTRANGE(""https://docs.google.com/spreadsheets/d/1SX6NBoVAgQJ6U1MVXOaj8PK2l7WJ3RER9xtqwdhxkhw/edit?usp=sharing"",""นครนายก!J24"")"),0)</f>
        <v>0</v>
      </c>
      <c r="U61" s="57">
        <f ca="1">IFERROR(__xludf.DUMMYFUNCTION("IMPORTRANGE(""https://docs.google.com/spreadsheets/d/1SX6NBoVAgQJ6U1MVXOaj8PK2l7WJ3RER9xtqwdhxkhw/edit?usp=sharing"",""นครนายก!J25"")"),0)</f>
        <v>0</v>
      </c>
      <c r="V61" s="55">
        <v>0</v>
      </c>
      <c r="W61" s="55">
        <v>0</v>
      </c>
      <c r="X61" s="57">
        <f ca="1">IFERROR(__xludf.DUMMYFUNCTION("IMPORTRANGE(""https://docs.google.com/spreadsheets/d/1SX6NBoVAgQJ6U1MVXOaj8PK2l7WJ3RER9xtqwdhxkhw/edit?usp=sharing"",""นครนายก!J26"")"),0)</f>
        <v>0</v>
      </c>
      <c r="Y61" s="57">
        <f ca="1">IFERROR(__xludf.DUMMYFUNCTION("IMPORTRANGE(""https://docs.google.com/spreadsheets/d/1SX6NBoVAgQJ6U1MVXOaj8PK2l7WJ3RER9xtqwdhxkhw/edit?usp=sharing"",""นครนายก!J27"")"),0)</f>
        <v>0</v>
      </c>
      <c r="Z61" s="55">
        <v>0</v>
      </c>
      <c r="AA61" s="57">
        <f ca="1">IFERROR(__xludf.DUMMYFUNCTION("IMPORTRANGE(""https://docs.google.com/spreadsheets/d/1SX6NBoVAgQJ6U1MVXOaj8PK2l7WJ3RER9xtqwdhxkhw/edit?usp=sharing"",""นครนายก!J28"")"),0)</f>
        <v>0</v>
      </c>
      <c r="AB61" s="56">
        <f t="shared" si="11"/>
        <v>0</v>
      </c>
    </row>
    <row r="62" spans="1:28" ht="24" customHeight="1" x14ac:dyDescent="0.5">
      <c r="A62" s="52">
        <v>8</v>
      </c>
      <c r="B62" s="53" t="s">
        <v>77</v>
      </c>
      <c r="C62" s="54">
        <f t="shared" si="39"/>
        <v>0</v>
      </c>
      <c r="D62" s="55">
        <v>0</v>
      </c>
      <c r="E62" s="55">
        <v>0</v>
      </c>
      <c r="F62" s="55">
        <f ca="1">IFERROR(__xludf.DUMMYFUNCTION("IMPORTRANGE(""https://docs.google.com/spreadsheets/d/1SX6NBoVAgQJ6U1MVXOaj8PK2l7WJ3RER9xtqwdhxkhw/edit?usp=sharing"",""นครปฐม!M12"")"),0)</f>
        <v>0</v>
      </c>
      <c r="G62" s="56">
        <f t="shared" si="1"/>
        <v>0</v>
      </c>
      <c r="H62" s="57">
        <f t="shared" si="27"/>
        <v>0</v>
      </c>
      <c r="I62" s="57">
        <f t="shared" si="2"/>
        <v>0</v>
      </c>
      <c r="J62" s="57">
        <f t="shared" ca="1" si="40"/>
        <v>0</v>
      </c>
      <c r="K62" s="58">
        <f t="shared" si="3"/>
        <v>0</v>
      </c>
      <c r="L62" s="57">
        <f t="shared" ca="1" si="41"/>
        <v>0</v>
      </c>
      <c r="M62" s="58">
        <f t="shared" si="4"/>
        <v>0</v>
      </c>
      <c r="N62" s="55">
        <v>0</v>
      </c>
      <c r="O62" s="55">
        <v>0</v>
      </c>
      <c r="P62" s="57">
        <f ca="1">IFERROR(__xludf.DUMMYFUNCTION("IMPORTRANGE(""https://docs.google.com/spreadsheets/d/1SX6NBoVAgQJ6U1MVXOaj8PK2l7WJ3RER9xtqwdhxkhw/edit?usp=sharing"",""นครปฐม!J22"")"),0)</f>
        <v>0</v>
      </c>
      <c r="Q62" s="57">
        <f ca="1">IFERROR(__xludf.DUMMYFUNCTION("IMPORTRANGE(""https://docs.google.com/spreadsheets/d/1SX6NBoVAgQJ6U1MVXOaj8PK2l7WJ3RER9xtqwdhxkhw/edit?usp=sharing"",""นครปฐม!J23"")"),0)</f>
        <v>0</v>
      </c>
      <c r="R62" s="55">
        <v>0</v>
      </c>
      <c r="S62" s="55">
        <v>0</v>
      </c>
      <c r="T62" s="57">
        <f ca="1">IFERROR(__xludf.DUMMYFUNCTION("IMPORTRANGE(""https://docs.google.com/spreadsheets/d/1SX6NBoVAgQJ6U1MVXOaj8PK2l7WJ3RER9xtqwdhxkhw/edit?usp=sharing"",""นครปฐม!J24"")"),0)</f>
        <v>0</v>
      </c>
      <c r="U62" s="57">
        <f ca="1">IFERROR(__xludf.DUMMYFUNCTION("IMPORTRANGE(""https://docs.google.com/spreadsheets/d/1SX6NBoVAgQJ6U1MVXOaj8PK2l7WJ3RER9xtqwdhxkhw/edit?usp=sharing"",""นครปฐม!J25"")"),0)</f>
        <v>0</v>
      </c>
      <c r="V62" s="55">
        <v>0</v>
      </c>
      <c r="W62" s="55">
        <v>0</v>
      </c>
      <c r="X62" s="57">
        <f ca="1">IFERROR(__xludf.DUMMYFUNCTION("IMPORTRANGE(""https://docs.google.com/spreadsheets/d/1SX6NBoVAgQJ6U1MVXOaj8PK2l7WJ3RER9xtqwdhxkhw/edit?usp=sharing"",""นครปฐม!J26"")"),0)</f>
        <v>0</v>
      </c>
      <c r="Y62" s="57">
        <f ca="1">IFERROR(__xludf.DUMMYFUNCTION("IMPORTRANGE(""https://docs.google.com/spreadsheets/d/1SX6NBoVAgQJ6U1MVXOaj8PK2l7WJ3RER9xtqwdhxkhw/edit?usp=sharing"",""นครปฐม!J27"")"),0)</f>
        <v>0</v>
      </c>
      <c r="Z62" s="55">
        <v>0</v>
      </c>
      <c r="AA62" s="57">
        <f ca="1">IFERROR(__xludf.DUMMYFUNCTION("IMPORTRANGE(""https://docs.google.com/spreadsheets/d/1SX6NBoVAgQJ6U1MVXOaj8PK2l7WJ3RER9xtqwdhxkhw/edit?usp=sharing"",""นครปฐม!J28"")"),0)</f>
        <v>0</v>
      </c>
      <c r="AB62" s="56">
        <f t="shared" si="11"/>
        <v>0</v>
      </c>
    </row>
    <row r="63" spans="1:28" ht="24" customHeight="1" x14ac:dyDescent="0.5">
      <c r="A63" s="52">
        <v>9</v>
      </c>
      <c r="B63" s="53" t="s">
        <v>78</v>
      </c>
      <c r="C63" s="54">
        <f t="shared" si="39"/>
        <v>0</v>
      </c>
      <c r="D63" s="55">
        <v>0</v>
      </c>
      <c r="E63" s="55">
        <v>0</v>
      </c>
      <c r="F63" s="55">
        <f ca="1">IFERROR(__xludf.DUMMYFUNCTION("IMPORTRANGE(""https://docs.google.com/spreadsheets/d/1SX6NBoVAgQJ6U1MVXOaj8PK2l7WJ3RER9xtqwdhxkhw/edit?usp=sharing"",""ปทุมธานี!M12"")"),0)</f>
        <v>0</v>
      </c>
      <c r="G63" s="56">
        <f t="shared" si="1"/>
        <v>0</v>
      </c>
      <c r="H63" s="57">
        <f t="shared" si="27"/>
        <v>0</v>
      </c>
      <c r="I63" s="57">
        <f t="shared" si="2"/>
        <v>0</v>
      </c>
      <c r="J63" s="57">
        <f t="shared" ca="1" si="40"/>
        <v>0</v>
      </c>
      <c r="K63" s="58">
        <f t="shared" si="3"/>
        <v>0</v>
      </c>
      <c r="L63" s="57">
        <f t="shared" ca="1" si="41"/>
        <v>0</v>
      </c>
      <c r="M63" s="58">
        <f t="shared" si="4"/>
        <v>0</v>
      </c>
      <c r="N63" s="55">
        <v>0</v>
      </c>
      <c r="O63" s="55">
        <v>0</v>
      </c>
      <c r="P63" s="57">
        <f ca="1">IFERROR(__xludf.DUMMYFUNCTION("IMPORTRANGE(""https://docs.google.com/spreadsheets/d/1SX6NBoVAgQJ6U1MVXOaj8PK2l7WJ3RER9xtqwdhxkhw/edit?usp=sharing"",""ปทุมธานี!J22"")"),0)</f>
        <v>0</v>
      </c>
      <c r="Q63" s="57">
        <f ca="1">IFERROR(__xludf.DUMMYFUNCTION("IMPORTRANGE(""https://docs.google.com/spreadsheets/d/1SX6NBoVAgQJ6U1MVXOaj8PK2l7WJ3RER9xtqwdhxkhw/edit?usp=sharing"",""ปทุมธานี!J23"")"),0)</f>
        <v>0</v>
      </c>
      <c r="R63" s="55">
        <v>0</v>
      </c>
      <c r="S63" s="55">
        <v>0</v>
      </c>
      <c r="T63" s="57">
        <f ca="1">IFERROR(__xludf.DUMMYFUNCTION("IMPORTRANGE(""https://docs.google.com/spreadsheets/d/1SX6NBoVAgQJ6U1MVXOaj8PK2l7WJ3RER9xtqwdhxkhw/edit?usp=sharing"",""ปทุมธานี!J24"")"),0)</f>
        <v>0</v>
      </c>
      <c r="U63" s="57">
        <f ca="1">IFERROR(__xludf.DUMMYFUNCTION("IMPORTRANGE(""https://docs.google.com/spreadsheets/d/1SX6NBoVAgQJ6U1MVXOaj8PK2l7WJ3RER9xtqwdhxkhw/edit?usp=sharing"",""ปทุมธานี!J25"")"),0)</f>
        <v>0</v>
      </c>
      <c r="V63" s="55">
        <v>0</v>
      </c>
      <c r="W63" s="55">
        <v>0</v>
      </c>
      <c r="X63" s="57">
        <f ca="1">IFERROR(__xludf.DUMMYFUNCTION("IMPORTRANGE(""https://docs.google.com/spreadsheets/d/1SX6NBoVAgQJ6U1MVXOaj8PK2l7WJ3RER9xtqwdhxkhw/edit?usp=sharing"",""ปทุมธานี!J26"")"),0)</f>
        <v>0</v>
      </c>
      <c r="Y63" s="57">
        <f ca="1">IFERROR(__xludf.DUMMYFUNCTION("IMPORTRANGE(""https://docs.google.com/spreadsheets/d/1SX6NBoVAgQJ6U1MVXOaj8PK2l7WJ3RER9xtqwdhxkhw/edit?usp=sharing"",""ปทุมธานี!J27"")"),0)</f>
        <v>0</v>
      </c>
      <c r="Z63" s="55">
        <v>0</v>
      </c>
      <c r="AA63" s="57">
        <f ca="1">IFERROR(__xludf.DUMMYFUNCTION("IMPORTRANGE(""https://docs.google.com/spreadsheets/d/1SX6NBoVAgQJ6U1MVXOaj8PK2l7WJ3RER9xtqwdhxkhw/edit?usp=sharing"",""ปทุมธานี!J28"")"),0)</f>
        <v>0</v>
      </c>
      <c r="AB63" s="56">
        <f t="shared" si="11"/>
        <v>0</v>
      </c>
    </row>
    <row r="64" spans="1:28" ht="24" customHeight="1" x14ac:dyDescent="0.5">
      <c r="A64" s="52">
        <v>10</v>
      </c>
      <c r="B64" s="53" t="s">
        <v>79</v>
      </c>
      <c r="C64" s="54">
        <f t="shared" si="39"/>
        <v>0</v>
      </c>
      <c r="D64" s="55">
        <v>0</v>
      </c>
      <c r="E64" s="55">
        <v>0</v>
      </c>
      <c r="F64" s="55">
        <f ca="1">IFERROR(__xludf.DUMMYFUNCTION("IMPORTRANGE(""https://docs.google.com/spreadsheets/d/1SX6NBoVAgQJ6U1MVXOaj8PK2l7WJ3RER9xtqwdhxkhw/edit?usp=sharing"",""ประจวบคีรีขันธ์!M12"")"),0)</f>
        <v>0</v>
      </c>
      <c r="G64" s="56">
        <f t="shared" si="1"/>
        <v>0</v>
      </c>
      <c r="H64" s="57">
        <f t="shared" si="27"/>
        <v>0</v>
      </c>
      <c r="I64" s="57">
        <f t="shared" si="2"/>
        <v>0</v>
      </c>
      <c r="J64" s="57">
        <f t="shared" ca="1" si="40"/>
        <v>0</v>
      </c>
      <c r="K64" s="58">
        <f t="shared" si="3"/>
        <v>0</v>
      </c>
      <c r="L64" s="57">
        <f t="shared" ca="1" si="41"/>
        <v>0</v>
      </c>
      <c r="M64" s="58">
        <f t="shared" si="4"/>
        <v>0</v>
      </c>
      <c r="N64" s="55">
        <v>0</v>
      </c>
      <c r="O64" s="55">
        <v>0</v>
      </c>
      <c r="P64" s="57">
        <f ca="1">IFERROR(__xludf.DUMMYFUNCTION("IMPORTRANGE(""https://docs.google.com/spreadsheets/d/1SX6NBoVAgQJ6U1MVXOaj8PK2l7WJ3RER9xtqwdhxkhw/edit?usp=sharing"",""ประจวบคีรีขันธ์!J22"")"),0)</f>
        <v>0</v>
      </c>
      <c r="Q64" s="57">
        <f ca="1">IFERROR(__xludf.DUMMYFUNCTION("IMPORTRANGE(""https://docs.google.com/spreadsheets/d/1SX6NBoVAgQJ6U1MVXOaj8PK2l7WJ3RER9xtqwdhxkhw/edit?usp=sharing"",""ประจวบคีรีขันธ์!J23"")"),0)</f>
        <v>0</v>
      </c>
      <c r="R64" s="55">
        <v>0</v>
      </c>
      <c r="S64" s="55">
        <v>0</v>
      </c>
      <c r="T64" s="57">
        <f ca="1">IFERROR(__xludf.DUMMYFUNCTION("IMPORTRANGE(""https://docs.google.com/spreadsheets/d/1SX6NBoVAgQJ6U1MVXOaj8PK2l7WJ3RER9xtqwdhxkhw/edit?usp=sharing"",""ประจวบคีรีขันธ์!J24"")"),0)</f>
        <v>0</v>
      </c>
      <c r="U64" s="57">
        <f ca="1">IFERROR(__xludf.DUMMYFUNCTION("IMPORTRANGE(""https://docs.google.com/spreadsheets/d/1SX6NBoVAgQJ6U1MVXOaj8PK2l7WJ3RER9xtqwdhxkhw/edit?usp=sharing"",""ประจวบคีรีขันธ์!J25"")"),0)</f>
        <v>0</v>
      </c>
      <c r="V64" s="55">
        <v>0</v>
      </c>
      <c r="W64" s="55">
        <v>0</v>
      </c>
      <c r="X64" s="57">
        <f ca="1">IFERROR(__xludf.DUMMYFUNCTION("IMPORTRANGE(""https://docs.google.com/spreadsheets/d/1SX6NBoVAgQJ6U1MVXOaj8PK2l7WJ3RER9xtqwdhxkhw/edit?usp=sharing"",""ประจวบคีรีขันธ์!J26"")"),0)</f>
        <v>0</v>
      </c>
      <c r="Y64" s="57">
        <f ca="1">IFERROR(__xludf.DUMMYFUNCTION("IMPORTRANGE(""https://docs.google.com/spreadsheets/d/1SX6NBoVAgQJ6U1MVXOaj8PK2l7WJ3RER9xtqwdhxkhw/edit?usp=sharing"",""ประจวบคีรีขันธ์!J27"")"),0)</f>
        <v>0</v>
      </c>
      <c r="Z64" s="55">
        <v>0</v>
      </c>
      <c r="AA64" s="57">
        <f ca="1">IFERROR(__xludf.DUMMYFUNCTION("IMPORTRANGE(""https://docs.google.com/spreadsheets/d/1SX6NBoVAgQJ6U1MVXOaj8PK2l7WJ3RER9xtqwdhxkhw/edit?usp=sharing"",""ประจวบคีรีขันธ์!J28"")"),0)</f>
        <v>0</v>
      </c>
      <c r="AB64" s="56">
        <f t="shared" si="11"/>
        <v>0</v>
      </c>
    </row>
    <row r="65" spans="1:28" ht="24" customHeight="1" x14ac:dyDescent="0.5">
      <c r="A65" s="52">
        <v>11</v>
      </c>
      <c r="B65" s="53" t="s">
        <v>80</v>
      </c>
      <c r="C65" s="54">
        <f t="shared" si="39"/>
        <v>0</v>
      </c>
      <c r="D65" s="55">
        <v>0</v>
      </c>
      <c r="E65" s="55">
        <v>0</v>
      </c>
      <c r="F65" s="55">
        <f ca="1">IFERROR(__xludf.DUMMYFUNCTION("IMPORTRANGE(""https://docs.google.com/spreadsheets/d/1SX6NBoVAgQJ6U1MVXOaj8PK2l7WJ3RER9xtqwdhxkhw/edit?usp=sharing"",""ปราจีนบุรี!M12"")"),0)</f>
        <v>0</v>
      </c>
      <c r="G65" s="56">
        <f t="shared" si="1"/>
        <v>0</v>
      </c>
      <c r="H65" s="57">
        <f t="shared" si="27"/>
        <v>0</v>
      </c>
      <c r="I65" s="57">
        <f t="shared" si="2"/>
        <v>0</v>
      </c>
      <c r="J65" s="57">
        <f t="shared" ca="1" si="40"/>
        <v>0</v>
      </c>
      <c r="K65" s="58">
        <f t="shared" si="3"/>
        <v>0</v>
      </c>
      <c r="L65" s="57">
        <f t="shared" ca="1" si="41"/>
        <v>0</v>
      </c>
      <c r="M65" s="58">
        <f t="shared" si="4"/>
        <v>0</v>
      </c>
      <c r="N65" s="55">
        <v>0</v>
      </c>
      <c r="O65" s="55">
        <v>0</v>
      </c>
      <c r="P65" s="57">
        <f ca="1">IFERROR(__xludf.DUMMYFUNCTION("IMPORTRANGE(""https://docs.google.com/spreadsheets/d/1SX6NBoVAgQJ6U1MVXOaj8PK2l7WJ3RER9xtqwdhxkhw/edit?usp=sharing"",""ปราจีนบุรี!J22"")"),0)</f>
        <v>0</v>
      </c>
      <c r="Q65" s="57">
        <f ca="1">IFERROR(__xludf.DUMMYFUNCTION("IMPORTRANGE(""https://docs.google.com/spreadsheets/d/1SX6NBoVAgQJ6U1MVXOaj8PK2l7WJ3RER9xtqwdhxkhw/edit?usp=sharing"",""ปราจีนบุรี!J23"")"),0)</f>
        <v>0</v>
      </c>
      <c r="R65" s="55">
        <v>0</v>
      </c>
      <c r="S65" s="55">
        <v>0</v>
      </c>
      <c r="T65" s="57">
        <f ca="1">IFERROR(__xludf.DUMMYFUNCTION("IMPORTRANGE(""https://docs.google.com/spreadsheets/d/1SX6NBoVAgQJ6U1MVXOaj8PK2l7WJ3RER9xtqwdhxkhw/edit?usp=sharing"",""ปราจีนบุรี!J24"")"),0)</f>
        <v>0</v>
      </c>
      <c r="U65" s="57">
        <f ca="1">IFERROR(__xludf.DUMMYFUNCTION("IMPORTRANGE(""https://docs.google.com/spreadsheets/d/1SX6NBoVAgQJ6U1MVXOaj8PK2l7WJ3RER9xtqwdhxkhw/edit?usp=sharing"",""ปราจีนบุรี!J25"")"),0)</f>
        <v>0</v>
      </c>
      <c r="V65" s="55">
        <v>0</v>
      </c>
      <c r="W65" s="55">
        <v>0</v>
      </c>
      <c r="X65" s="57">
        <f ca="1">IFERROR(__xludf.DUMMYFUNCTION("IMPORTRANGE(""https://docs.google.com/spreadsheets/d/1SX6NBoVAgQJ6U1MVXOaj8PK2l7WJ3RER9xtqwdhxkhw/edit?usp=sharing"",""ปราจีนบุรี!J26"")"),0)</f>
        <v>0</v>
      </c>
      <c r="Y65" s="57">
        <f ca="1">IFERROR(__xludf.DUMMYFUNCTION("IMPORTRANGE(""https://docs.google.com/spreadsheets/d/1SX6NBoVAgQJ6U1MVXOaj8PK2l7WJ3RER9xtqwdhxkhw/edit?usp=sharing"",""ปราจีนบุรี!J27"")"),0)</f>
        <v>0</v>
      </c>
      <c r="Z65" s="55">
        <v>0</v>
      </c>
      <c r="AA65" s="57">
        <f ca="1">IFERROR(__xludf.DUMMYFUNCTION("IMPORTRANGE(""https://docs.google.com/spreadsheets/d/1SX6NBoVAgQJ6U1MVXOaj8PK2l7WJ3RER9xtqwdhxkhw/edit?usp=sharing"",""ปราจีนบุรี!J28"")"),0)</f>
        <v>0</v>
      </c>
      <c r="AB65" s="56">
        <f t="shared" si="11"/>
        <v>0</v>
      </c>
    </row>
    <row r="66" spans="1:28" ht="24" customHeight="1" x14ac:dyDescent="0.5">
      <c r="A66" s="52">
        <v>12</v>
      </c>
      <c r="B66" s="53" t="s">
        <v>81</v>
      </c>
      <c r="C66" s="54">
        <f t="shared" si="39"/>
        <v>557200</v>
      </c>
      <c r="D66" s="55">
        <v>185200</v>
      </c>
      <c r="E66" s="55">
        <v>372000</v>
      </c>
      <c r="F66" s="55">
        <f ca="1">IFERROR(__xludf.DUMMYFUNCTION("IMPORTRANGE(""https://docs.google.com/spreadsheets/d/1SX6NBoVAgQJ6U1MVXOaj8PK2l7WJ3RER9xtqwdhxkhw/edit?usp=sharing"",""พระนครศรีอยุธยา!M12"")"),0)</f>
        <v>0</v>
      </c>
      <c r="G66" s="56">
        <f t="shared" ca="1" si="1"/>
        <v>0</v>
      </c>
      <c r="H66" s="57">
        <f t="shared" si="27"/>
        <v>1</v>
      </c>
      <c r="I66" s="57">
        <f t="shared" si="2"/>
        <v>30</v>
      </c>
      <c r="J66" s="57">
        <f t="shared" ca="1" si="40"/>
        <v>0</v>
      </c>
      <c r="K66" s="58">
        <f t="shared" ca="1" si="3"/>
        <v>0</v>
      </c>
      <c r="L66" s="57">
        <f t="shared" ca="1" si="41"/>
        <v>0</v>
      </c>
      <c r="M66" s="58">
        <f t="shared" ca="1" si="4"/>
        <v>0</v>
      </c>
      <c r="N66" s="55">
        <v>0</v>
      </c>
      <c r="O66" s="55">
        <v>0</v>
      </c>
      <c r="P66" s="57">
        <f ca="1">IFERROR(__xludf.DUMMYFUNCTION("IMPORTRANGE(""https://docs.google.com/spreadsheets/d/1SX6NBoVAgQJ6U1MVXOaj8PK2l7WJ3RER9xtqwdhxkhw/edit?usp=sharing"",""พระนครศรีอยุธยา!J22"")"),0)</f>
        <v>0</v>
      </c>
      <c r="Q66" s="57">
        <f ca="1">IFERROR(__xludf.DUMMYFUNCTION("IMPORTRANGE(""https://docs.google.com/spreadsheets/d/1SX6NBoVAgQJ6U1MVXOaj8PK2l7WJ3RER9xtqwdhxkhw/edit?usp=sharing"",""พระนครศรีอยุธยา!J23"")"),0)</f>
        <v>0</v>
      </c>
      <c r="R66" s="55">
        <v>0</v>
      </c>
      <c r="S66" s="55">
        <v>0</v>
      </c>
      <c r="T66" s="57">
        <f ca="1">IFERROR(__xludf.DUMMYFUNCTION("IMPORTRANGE(""https://docs.google.com/spreadsheets/d/1SX6NBoVAgQJ6U1MVXOaj8PK2l7WJ3RER9xtqwdhxkhw/edit?usp=sharing"",""พระนครศรีอยุธยา!J24"")"),0)</f>
        <v>0</v>
      </c>
      <c r="U66" s="57">
        <f ca="1">IFERROR(__xludf.DUMMYFUNCTION("IMPORTRANGE(""https://docs.google.com/spreadsheets/d/1SX6NBoVAgQJ6U1MVXOaj8PK2l7WJ3RER9xtqwdhxkhw/edit?usp=sharing"",""พระนครศรีอยุธยา!J25"")"),0)</f>
        <v>0</v>
      </c>
      <c r="V66" s="55">
        <v>1</v>
      </c>
      <c r="W66" s="55">
        <v>30</v>
      </c>
      <c r="X66" s="57">
        <f ca="1">IFERROR(__xludf.DUMMYFUNCTION("IMPORTRANGE(""https://docs.google.com/spreadsheets/d/1SX6NBoVAgQJ6U1MVXOaj8PK2l7WJ3RER9xtqwdhxkhw/edit?usp=sharing"",""พระนครศรีอยุธยา!J26"")"),0)</f>
        <v>0</v>
      </c>
      <c r="Y66" s="57">
        <f ca="1">IFERROR(__xludf.DUMMYFUNCTION("IMPORTRANGE(""https://docs.google.com/spreadsheets/d/1SX6NBoVAgQJ6U1MVXOaj8PK2l7WJ3RER9xtqwdhxkhw/edit?usp=sharing"",""พระนครศรีอยุธยา!J27"")"),0)</f>
        <v>0</v>
      </c>
      <c r="Z66" s="55">
        <v>0</v>
      </c>
      <c r="AA66" s="57">
        <f ca="1">IFERROR(__xludf.DUMMYFUNCTION("IMPORTRANGE(""https://docs.google.com/spreadsheets/d/1SX6NBoVAgQJ6U1MVXOaj8PK2l7WJ3RER9xtqwdhxkhw/edit?usp=sharing"",""พระนครศรีอยุธยา!J28"")"),0)</f>
        <v>0</v>
      </c>
      <c r="AB66" s="56">
        <f t="shared" si="11"/>
        <v>0</v>
      </c>
    </row>
    <row r="67" spans="1:28" ht="24" customHeight="1" x14ac:dyDescent="0.5">
      <c r="A67" s="52">
        <v>13</v>
      </c>
      <c r="B67" s="53" t="s">
        <v>82</v>
      </c>
      <c r="C67" s="54">
        <f t="shared" si="39"/>
        <v>0</v>
      </c>
      <c r="D67" s="55">
        <v>0</v>
      </c>
      <c r="E67" s="55">
        <v>0</v>
      </c>
      <c r="F67" s="55">
        <f ca="1">IFERROR(__xludf.DUMMYFUNCTION("IMPORTRANGE(""https://docs.google.com/spreadsheets/d/1SX6NBoVAgQJ6U1MVXOaj8PK2l7WJ3RER9xtqwdhxkhw/edit?usp=sharing"",""เพชรบุรี!M12"")"),0)</f>
        <v>0</v>
      </c>
      <c r="G67" s="56">
        <f t="shared" si="1"/>
        <v>0</v>
      </c>
      <c r="H67" s="57">
        <f t="shared" si="27"/>
        <v>0</v>
      </c>
      <c r="I67" s="57">
        <f t="shared" si="2"/>
        <v>0</v>
      </c>
      <c r="J67" s="57">
        <f t="shared" ca="1" si="40"/>
        <v>0</v>
      </c>
      <c r="K67" s="58">
        <f t="shared" si="3"/>
        <v>0</v>
      </c>
      <c r="L67" s="57">
        <f t="shared" ca="1" si="41"/>
        <v>0</v>
      </c>
      <c r="M67" s="58">
        <f t="shared" si="4"/>
        <v>0</v>
      </c>
      <c r="N67" s="55">
        <v>0</v>
      </c>
      <c r="O67" s="55">
        <v>0</v>
      </c>
      <c r="P67" s="57">
        <f ca="1">IFERROR(__xludf.DUMMYFUNCTION("IMPORTRANGE(""https://docs.google.com/spreadsheets/d/1SX6NBoVAgQJ6U1MVXOaj8PK2l7WJ3RER9xtqwdhxkhw/edit?usp=sharing"",""เพชรบุรี!J22"")"),0)</f>
        <v>0</v>
      </c>
      <c r="Q67" s="57">
        <f ca="1">IFERROR(__xludf.DUMMYFUNCTION("IMPORTRANGE(""https://docs.google.com/spreadsheets/d/1SX6NBoVAgQJ6U1MVXOaj8PK2l7WJ3RER9xtqwdhxkhw/edit?usp=sharing"",""เพชรบุรี!J23"")"),0)</f>
        <v>0</v>
      </c>
      <c r="R67" s="55">
        <v>0</v>
      </c>
      <c r="S67" s="55">
        <v>0</v>
      </c>
      <c r="T67" s="57">
        <f ca="1">IFERROR(__xludf.DUMMYFUNCTION("IMPORTRANGE(""https://docs.google.com/spreadsheets/d/1SX6NBoVAgQJ6U1MVXOaj8PK2l7WJ3RER9xtqwdhxkhw/edit?usp=sharing"",""เพชรบุรี!J24"")"),0)</f>
        <v>0</v>
      </c>
      <c r="U67" s="57">
        <f ca="1">IFERROR(__xludf.DUMMYFUNCTION("IMPORTRANGE(""https://docs.google.com/spreadsheets/d/1SX6NBoVAgQJ6U1MVXOaj8PK2l7WJ3RER9xtqwdhxkhw/edit?usp=sharing"",""เพชรบุรี!J25"")"),0)</f>
        <v>0</v>
      </c>
      <c r="V67" s="55">
        <v>0</v>
      </c>
      <c r="W67" s="55">
        <v>0</v>
      </c>
      <c r="X67" s="57">
        <f ca="1">IFERROR(__xludf.DUMMYFUNCTION("IMPORTRANGE(""https://docs.google.com/spreadsheets/d/1SX6NBoVAgQJ6U1MVXOaj8PK2l7WJ3RER9xtqwdhxkhw/edit?usp=sharing"",""เพชรบุรี!J26"")"),0)</f>
        <v>0</v>
      </c>
      <c r="Y67" s="57">
        <f ca="1">IFERROR(__xludf.DUMMYFUNCTION("IMPORTRANGE(""https://docs.google.com/spreadsheets/d/1SX6NBoVAgQJ6U1MVXOaj8PK2l7WJ3RER9xtqwdhxkhw/edit?usp=sharing"",""เพชรบุรี!J27"")"),0)</f>
        <v>0</v>
      </c>
      <c r="Z67" s="55">
        <v>0</v>
      </c>
      <c r="AA67" s="57">
        <f ca="1">IFERROR(__xludf.DUMMYFUNCTION("IMPORTRANGE(""https://docs.google.com/spreadsheets/d/1SX6NBoVAgQJ6U1MVXOaj8PK2l7WJ3RER9xtqwdhxkhw/edit?usp=sharing"",""เพชรบุรี!J28"")"),0)</f>
        <v>0</v>
      </c>
      <c r="AB67" s="56">
        <f t="shared" si="11"/>
        <v>0</v>
      </c>
    </row>
    <row r="68" spans="1:28" ht="24" customHeight="1" x14ac:dyDescent="0.5">
      <c r="A68" s="52">
        <v>14</v>
      </c>
      <c r="B68" s="53" t="s">
        <v>83</v>
      </c>
      <c r="C68" s="54">
        <f t="shared" si="39"/>
        <v>0</v>
      </c>
      <c r="D68" s="55">
        <v>0</v>
      </c>
      <c r="E68" s="55">
        <v>0</v>
      </c>
      <c r="F68" s="55">
        <f ca="1">IFERROR(__xludf.DUMMYFUNCTION("IMPORTRANGE(""https://docs.google.com/spreadsheets/d/1SX6NBoVAgQJ6U1MVXOaj8PK2l7WJ3RER9xtqwdhxkhw/edit?usp=sharing"",""ระยอง!M12"")"),0)</f>
        <v>0</v>
      </c>
      <c r="G68" s="56">
        <f t="shared" si="1"/>
        <v>0</v>
      </c>
      <c r="H68" s="57">
        <f t="shared" si="27"/>
        <v>0</v>
      </c>
      <c r="I68" s="57">
        <f t="shared" si="2"/>
        <v>0</v>
      </c>
      <c r="J68" s="57">
        <f t="shared" ca="1" si="40"/>
        <v>0</v>
      </c>
      <c r="K68" s="58">
        <f t="shared" si="3"/>
        <v>0</v>
      </c>
      <c r="L68" s="57">
        <f t="shared" ca="1" si="41"/>
        <v>0</v>
      </c>
      <c r="M68" s="58">
        <f t="shared" si="4"/>
        <v>0</v>
      </c>
      <c r="N68" s="55">
        <v>0</v>
      </c>
      <c r="O68" s="55">
        <v>0</v>
      </c>
      <c r="P68" s="57">
        <f ca="1">IFERROR(__xludf.DUMMYFUNCTION("IMPORTRANGE(""https://docs.google.com/spreadsheets/d/1SX6NBoVAgQJ6U1MVXOaj8PK2l7WJ3RER9xtqwdhxkhw/edit?usp=sharing"",""ระยอง!J22"")"),0)</f>
        <v>0</v>
      </c>
      <c r="Q68" s="57">
        <f ca="1">IFERROR(__xludf.DUMMYFUNCTION("IMPORTRANGE(""https://docs.google.com/spreadsheets/d/1SX6NBoVAgQJ6U1MVXOaj8PK2l7WJ3RER9xtqwdhxkhw/edit?usp=sharing"",""ระยอง!J23"")"),0)</f>
        <v>0</v>
      </c>
      <c r="R68" s="55">
        <v>0</v>
      </c>
      <c r="S68" s="55">
        <v>0</v>
      </c>
      <c r="T68" s="57">
        <f ca="1">IFERROR(__xludf.DUMMYFUNCTION("IMPORTRANGE(""https://docs.google.com/spreadsheets/d/1SX6NBoVAgQJ6U1MVXOaj8PK2l7WJ3RER9xtqwdhxkhw/edit?usp=sharing"",""ระยอง!J24"")"),0)</f>
        <v>0</v>
      </c>
      <c r="U68" s="57">
        <f ca="1">IFERROR(__xludf.DUMMYFUNCTION("IMPORTRANGE(""https://docs.google.com/spreadsheets/d/1SX6NBoVAgQJ6U1MVXOaj8PK2l7WJ3RER9xtqwdhxkhw/edit?usp=sharing"",""ระยอง!J25"")"),0)</f>
        <v>0</v>
      </c>
      <c r="V68" s="55">
        <v>0</v>
      </c>
      <c r="W68" s="55">
        <v>0</v>
      </c>
      <c r="X68" s="57">
        <f ca="1">IFERROR(__xludf.DUMMYFUNCTION("IMPORTRANGE(""https://docs.google.com/spreadsheets/d/1SX6NBoVAgQJ6U1MVXOaj8PK2l7WJ3RER9xtqwdhxkhw/edit?usp=sharing"",""ระยอง!J26"")"),0)</f>
        <v>0</v>
      </c>
      <c r="Y68" s="57">
        <f ca="1">IFERROR(__xludf.DUMMYFUNCTION("IMPORTRANGE(""https://docs.google.com/spreadsheets/d/1SX6NBoVAgQJ6U1MVXOaj8PK2l7WJ3RER9xtqwdhxkhw/edit?usp=sharing"",""ระยอง!J27"")"),0)</f>
        <v>0</v>
      </c>
      <c r="Z68" s="55">
        <v>0</v>
      </c>
      <c r="AA68" s="57">
        <f ca="1">IFERROR(__xludf.DUMMYFUNCTION("IMPORTRANGE(""https://docs.google.com/spreadsheets/d/1SX6NBoVAgQJ6U1MVXOaj8PK2l7WJ3RER9xtqwdhxkhw/edit?usp=sharing"",""ระยอง!J28"")"),0)</f>
        <v>0</v>
      </c>
      <c r="AB68" s="56">
        <f t="shared" si="11"/>
        <v>0</v>
      </c>
    </row>
    <row r="69" spans="1:28" ht="24" customHeight="1" x14ac:dyDescent="0.5">
      <c r="A69" s="52">
        <v>15</v>
      </c>
      <c r="B69" s="53" t="s">
        <v>84</v>
      </c>
      <c r="C69" s="54">
        <f t="shared" si="39"/>
        <v>0</v>
      </c>
      <c r="D69" s="55">
        <v>0</v>
      </c>
      <c r="E69" s="55">
        <v>0</v>
      </c>
      <c r="F69" s="55">
        <f ca="1">IFERROR(__xludf.DUMMYFUNCTION("IMPORTRANGE(""https://docs.google.com/spreadsheets/d/1SX6NBoVAgQJ6U1MVXOaj8PK2l7WJ3RER9xtqwdhxkhw/edit?usp=sharing"",""ราชบุรี!M12"")"),0)</f>
        <v>0</v>
      </c>
      <c r="G69" s="56">
        <f t="shared" si="1"/>
        <v>0</v>
      </c>
      <c r="H69" s="57">
        <f t="shared" si="27"/>
        <v>0</v>
      </c>
      <c r="I69" s="57">
        <f t="shared" si="2"/>
        <v>0</v>
      </c>
      <c r="J69" s="57">
        <f t="shared" ca="1" si="40"/>
        <v>0</v>
      </c>
      <c r="K69" s="58">
        <f t="shared" si="3"/>
        <v>0</v>
      </c>
      <c r="L69" s="57">
        <f t="shared" ca="1" si="41"/>
        <v>0</v>
      </c>
      <c r="M69" s="58">
        <f t="shared" si="4"/>
        <v>0</v>
      </c>
      <c r="N69" s="55">
        <v>0</v>
      </c>
      <c r="O69" s="55">
        <v>0</v>
      </c>
      <c r="P69" s="57">
        <f ca="1">IFERROR(__xludf.DUMMYFUNCTION("IMPORTRANGE(""https://docs.google.com/spreadsheets/d/1SX6NBoVAgQJ6U1MVXOaj8PK2l7WJ3RER9xtqwdhxkhw/edit?usp=sharing"",""ราชบุรี!J22"")"),0)</f>
        <v>0</v>
      </c>
      <c r="Q69" s="57">
        <f ca="1">IFERROR(__xludf.DUMMYFUNCTION("IMPORTRANGE(""https://docs.google.com/spreadsheets/d/1SX6NBoVAgQJ6U1MVXOaj8PK2l7WJ3RER9xtqwdhxkhw/edit?usp=sharing"",""ราชบุรี!J23"")"),0)</f>
        <v>0</v>
      </c>
      <c r="R69" s="55">
        <v>0</v>
      </c>
      <c r="S69" s="55">
        <v>0</v>
      </c>
      <c r="T69" s="57">
        <f ca="1">IFERROR(__xludf.DUMMYFUNCTION("IMPORTRANGE(""https://docs.google.com/spreadsheets/d/1SX6NBoVAgQJ6U1MVXOaj8PK2l7WJ3RER9xtqwdhxkhw/edit?usp=sharing"",""ราชบุรี!J24"")"),0)</f>
        <v>0</v>
      </c>
      <c r="U69" s="57">
        <f ca="1">IFERROR(__xludf.DUMMYFUNCTION("IMPORTRANGE(""https://docs.google.com/spreadsheets/d/1SX6NBoVAgQJ6U1MVXOaj8PK2l7WJ3RER9xtqwdhxkhw/edit?usp=sharing"",""ราชบุรี!J25"")"),0)</f>
        <v>0</v>
      </c>
      <c r="V69" s="55">
        <v>0</v>
      </c>
      <c r="W69" s="55">
        <v>0</v>
      </c>
      <c r="X69" s="57">
        <f ca="1">IFERROR(__xludf.DUMMYFUNCTION("IMPORTRANGE(""https://docs.google.com/spreadsheets/d/1SX6NBoVAgQJ6U1MVXOaj8PK2l7WJ3RER9xtqwdhxkhw/edit?usp=sharing"",""ราชบุรี!J26"")"),0)</f>
        <v>0</v>
      </c>
      <c r="Y69" s="57">
        <f ca="1">IFERROR(__xludf.DUMMYFUNCTION("IMPORTRANGE(""https://docs.google.com/spreadsheets/d/1SX6NBoVAgQJ6U1MVXOaj8PK2l7WJ3RER9xtqwdhxkhw/edit?usp=sharing"",""ราชบุรี!J27"")"),0)</f>
        <v>0</v>
      </c>
      <c r="Z69" s="55">
        <v>0</v>
      </c>
      <c r="AA69" s="57">
        <f ca="1">IFERROR(__xludf.DUMMYFUNCTION("IMPORTRANGE(""https://docs.google.com/spreadsheets/d/1SX6NBoVAgQJ6U1MVXOaj8PK2l7WJ3RER9xtqwdhxkhw/edit?usp=sharing"",""ราชบุรี!J28"")"),0)</f>
        <v>0</v>
      </c>
      <c r="AB69" s="56">
        <f t="shared" si="11"/>
        <v>0</v>
      </c>
    </row>
    <row r="70" spans="1:28" ht="24" customHeight="1" x14ac:dyDescent="0.5">
      <c r="A70" s="52">
        <v>16</v>
      </c>
      <c r="B70" s="53" t="s">
        <v>85</v>
      </c>
      <c r="C70" s="54">
        <f t="shared" si="39"/>
        <v>1817200</v>
      </c>
      <c r="D70" s="55">
        <v>439200</v>
      </c>
      <c r="E70" s="55">
        <v>1378000</v>
      </c>
      <c r="F70" s="55">
        <f ca="1">IFERROR(__xludf.DUMMYFUNCTION("IMPORTRANGE(""https://docs.google.com/spreadsheets/d/1SX6NBoVAgQJ6U1MVXOaj8PK2l7WJ3RER9xtqwdhxkhw/edit?usp=sharing"",""ลพบุรี!M12"")"),0)</f>
        <v>0</v>
      </c>
      <c r="G70" s="56">
        <f t="shared" ca="1" si="1"/>
        <v>0</v>
      </c>
      <c r="H70" s="57">
        <f t="shared" si="27"/>
        <v>2</v>
      </c>
      <c r="I70" s="57">
        <f t="shared" si="2"/>
        <v>180</v>
      </c>
      <c r="J70" s="57">
        <f t="shared" ca="1" si="40"/>
        <v>0</v>
      </c>
      <c r="K70" s="58">
        <f t="shared" ca="1" si="3"/>
        <v>0</v>
      </c>
      <c r="L70" s="57">
        <f t="shared" ca="1" si="41"/>
        <v>0</v>
      </c>
      <c r="M70" s="58">
        <f t="shared" ca="1" si="4"/>
        <v>0</v>
      </c>
      <c r="N70" s="57">
        <v>1</v>
      </c>
      <c r="O70" s="57">
        <v>80</v>
      </c>
      <c r="P70" s="57">
        <f ca="1">IFERROR(__xludf.DUMMYFUNCTION("IMPORTRANGE(""https://docs.google.com/spreadsheets/d/1SX6NBoVAgQJ6U1MVXOaj8PK2l7WJ3RER9xtqwdhxkhw/edit?usp=sharing"",""ลพบุรี!J22"")"),0)</f>
        <v>0</v>
      </c>
      <c r="Q70" s="57">
        <f ca="1">IFERROR(__xludf.DUMMYFUNCTION("IMPORTRANGE(""https://docs.google.com/spreadsheets/d/1SX6NBoVAgQJ6U1MVXOaj8PK2l7WJ3RER9xtqwdhxkhw/edit?usp=sharing"",""ลพบุรี!J23"")"),0)</f>
        <v>0</v>
      </c>
      <c r="R70" s="57">
        <v>1</v>
      </c>
      <c r="S70" s="57">
        <v>100</v>
      </c>
      <c r="T70" s="57">
        <f ca="1">IFERROR(__xludf.DUMMYFUNCTION("IMPORTRANGE(""https://docs.google.com/spreadsheets/d/1SX6NBoVAgQJ6U1MVXOaj8PK2l7WJ3RER9xtqwdhxkhw/edit?usp=sharing"",""ลพบุรี!J24"")"),0)</f>
        <v>0</v>
      </c>
      <c r="U70" s="57">
        <f ca="1">IFERROR(__xludf.DUMMYFUNCTION("IMPORTRANGE(""https://docs.google.com/spreadsheets/d/1SX6NBoVAgQJ6U1MVXOaj8PK2l7WJ3RER9xtqwdhxkhw/edit?usp=sharing"",""ลพบุรี!J25"")"),0)</f>
        <v>0</v>
      </c>
      <c r="V70" s="55">
        <v>0</v>
      </c>
      <c r="W70" s="55">
        <v>0</v>
      </c>
      <c r="X70" s="57">
        <f ca="1">IFERROR(__xludf.DUMMYFUNCTION("IMPORTRANGE(""https://docs.google.com/spreadsheets/d/1SX6NBoVAgQJ6U1MVXOaj8PK2l7WJ3RER9xtqwdhxkhw/edit?usp=sharing"",""ลพบุรี!J26"")"),0)</f>
        <v>0</v>
      </c>
      <c r="Y70" s="57">
        <f ca="1">IFERROR(__xludf.DUMMYFUNCTION("IMPORTRANGE(""https://docs.google.com/spreadsheets/d/1SX6NBoVAgQJ6U1MVXOaj8PK2l7WJ3RER9xtqwdhxkhw/edit?usp=sharing"",""ลพบุรี!J27"")"),0)</f>
        <v>0</v>
      </c>
      <c r="Z70" s="57">
        <v>80</v>
      </c>
      <c r="AA70" s="57">
        <f ca="1">IFERROR(__xludf.DUMMYFUNCTION("IMPORTRANGE(""https://docs.google.com/spreadsheets/d/1SX6NBoVAgQJ6U1MVXOaj8PK2l7WJ3RER9xtqwdhxkhw/edit?usp=sharing"",""ลพบุรี!J28"")"),0)</f>
        <v>0</v>
      </c>
      <c r="AB70" s="58">
        <f t="shared" ca="1" si="11"/>
        <v>0</v>
      </c>
    </row>
    <row r="71" spans="1:28" ht="24" customHeight="1" x14ac:dyDescent="0.5">
      <c r="A71" s="52">
        <v>17</v>
      </c>
      <c r="B71" s="53" t="s">
        <v>86</v>
      </c>
      <c r="C71" s="54">
        <f t="shared" si="39"/>
        <v>779500</v>
      </c>
      <c r="D71" s="55">
        <v>179500</v>
      </c>
      <c r="E71" s="55">
        <v>600000</v>
      </c>
      <c r="F71" s="55">
        <f ca="1">IFERROR(__xludf.DUMMYFUNCTION("IMPORTRANGE(""https://docs.google.com/spreadsheets/d/1SX6NBoVAgQJ6U1MVXOaj8PK2l7WJ3RER9xtqwdhxkhw/edit?usp=sharing"",""สระแก้ว!M12"")"),0)</f>
        <v>0</v>
      </c>
      <c r="G71" s="56">
        <f t="shared" ca="1" si="1"/>
        <v>0</v>
      </c>
      <c r="H71" s="57">
        <f t="shared" si="27"/>
        <v>0</v>
      </c>
      <c r="I71" s="57">
        <f t="shared" si="2"/>
        <v>0</v>
      </c>
      <c r="J71" s="57">
        <f t="shared" ca="1" si="40"/>
        <v>0</v>
      </c>
      <c r="K71" s="58">
        <f t="shared" si="3"/>
        <v>0</v>
      </c>
      <c r="L71" s="57">
        <f t="shared" ca="1" si="41"/>
        <v>0</v>
      </c>
      <c r="M71" s="58">
        <f t="shared" si="4"/>
        <v>0</v>
      </c>
      <c r="N71" s="55">
        <v>0</v>
      </c>
      <c r="O71" s="55">
        <v>0</v>
      </c>
      <c r="P71" s="57">
        <f ca="1">IFERROR(__xludf.DUMMYFUNCTION("IMPORTRANGE(""https://docs.google.com/spreadsheets/d/1SX6NBoVAgQJ6U1MVXOaj8PK2l7WJ3RER9xtqwdhxkhw/edit?usp=sharing"",""สระแก้ว!J22"")"),0)</f>
        <v>0</v>
      </c>
      <c r="Q71" s="57">
        <f ca="1">IFERROR(__xludf.DUMMYFUNCTION("IMPORTRANGE(""https://docs.google.com/spreadsheets/d/1SX6NBoVAgQJ6U1MVXOaj8PK2l7WJ3RER9xtqwdhxkhw/edit?usp=sharing"",""สระแก้ว!J23"")"),0)</f>
        <v>0</v>
      </c>
      <c r="R71" s="55">
        <v>0</v>
      </c>
      <c r="S71" s="55">
        <v>0</v>
      </c>
      <c r="T71" s="57">
        <f ca="1">IFERROR(__xludf.DUMMYFUNCTION("IMPORTRANGE(""https://docs.google.com/spreadsheets/d/1SX6NBoVAgQJ6U1MVXOaj8PK2l7WJ3RER9xtqwdhxkhw/edit?usp=sharing"",""สระแก้ว!J24"")"),0)</f>
        <v>0</v>
      </c>
      <c r="U71" s="57">
        <f ca="1">IFERROR(__xludf.DUMMYFUNCTION("IMPORTRANGE(""https://docs.google.com/spreadsheets/d/1SX6NBoVAgQJ6U1MVXOaj8PK2l7WJ3RER9xtqwdhxkhw/edit?usp=sharing"",""สระแก้ว!J25"")"),0)</f>
        <v>0</v>
      </c>
      <c r="V71" s="55">
        <v>0</v>
      </c>
      <c r="W71" s="55">
        <v>0</v>
      </c>
      <c r="X71" s="57">
        <f ca="1">IFERROR(__xludf.DUMMYFUNCTION("IMPORTRANGE(""https://docs.google.com/spreadsheets/d/1SX6NBoVAgQJ6U1MVXOaj8PK2l7WJ3RER9xtqwdhxkhw/edit?usp=sharing"",""สระแก้ว!J26"")"),0)</f>
        <v>0</v>
      </c>
      <c r="Y71" s="57">
        <f ca="1">IFERROR(__xludf.DUMMYFUNCTION("IMPORTRANGE(""https://docs.google.com/spreadsheets/d/1SX6NBoVAgQJ6U1MVXOaj8PK2l7WJ3RER9xtqwdhxkhw/edit?usp=sharing"",""สระแก้ว!J27"")"),0)</f>
        <v>0</v>
      </c>
      <c r="Z71" s="55">
        <v>0</v>
      </c>
      <c r="AA71" s="57">
        <f ca="1">IFERROR(__xludf.DUMMYFUNCTION("IMPORTRANGE(""https://docs.google.com/spreadsheets/d/1SX6NBoVAgQJ6U1MVXOaj8PK2l7WJ3RER9xtqwdhxkhw/edit?usp=sharing"",""สระแก้ว!J28"")"),0)</f>
        <v>0</v>
      </c>
      <c r="AB71" s="56">
        <f t="shared" si="11"/>
        <v>0</v>
      </c>
    </row>
    <row r="72" spans="1:28" ht="24" customHeight="1" x14ac:dyDescent="0.5">
      <c r="A72" s="52">
        <v>18</v>
      </c>
      <c r="B72" s="53" t="s">
        <v>87</v>
      </c>
      <c r="C72" s="54">
        <f t="shared" si="39"/>
        <v>0</v>
      </c>
      <c r="D72" s="55">
        <v>0</v>
      </c>
      <c r="E72" s="55">
        <v>0</v>
      </c>
      <c r="F72" s="55">
        <f ca="1">IFERROR(__xludf.DUMMYFUNCTION("IMPORTRANGE(""https://docs.google.com/spreadsheets/d/1SX6NBoVAgQJ6U1MVXOaj8PK2l7WJ3RER9xtqwdhxkhw/edit?usp=sharing"",""สระบุรี!M12"")"),0)</f>
        <v>0</v>
      </c>
      <c r="G72" s="56">
        <f t="shared" si="1"/>
        <v>0</v>
      </c>
      <c r="H72" s="57">
        <f t="shared" si="27"/>
        <v>1</v>
      </c>
      <c r="I72" s="57">
        <f t="shared" si="2"/>
        <v>70</v>
      </c>
      <c r="J72" s="57">
        <f t="shared" ca="1" si="40"/>
        <v>0</v>
      </c>
      <c r="K72" s="58">
        <f t="shared" ca="1" si="3"/>
        <v>0</v>
      </c>
      <c r="L72" s="57">
        <f t="shared" ca="1" si="41"/>
        <v>0</v>
      </c>
      <c r="M72" s="58">
        <f t="shared" ca="1" si="4"/>
        <v>0</v>
      </c>
      <c r="N72" s="55">
        <v>1</v>
      </c>
      <c r="O72" s="55">
        <v>70</v>
      </c>
      <c r="P72" s="57">
        <f ca="1">IFERROR(__xludf.DUMMYFUNCTION("IMPORTRANGE(""https://docs.google.com/spreadsheets/d/1SX6NBoVAgQJ6U1MVXOaj8PK2l7WJ3RER9xtqwdhxkhw/edit?usp=sharing"",""สระบุรี!J22"")"),0)</f>
        <v>0</v>
      </c>
      <c r="Q72" s="57">
        <f ca="1">IFERROR(__xludf.DUMMYFUNCTION("IMPORTRANGE(""https://docs.google.com/spreadsheets/d/1SX6NBoVAgQJ6U1MVXOaj8PK2l7WJ3RER9xtqwdhxkhw/edit?usp=sharing"",""สระบุรี!J23"")"),0)</f>
        <v>0</v>
      </c>
      <c r="R72" s="55">
        <v>0</v>
      </c>
      <c r="S72" s="55">
        <v>0</v>
      </c>
      <c r="T72" s="57">
        <f ca="1">IFERROR(__xludf.DUMMYFUNCTION("IMPORTRANGE(""https://docs.google.com/spreadsheets/d/1SX6NBoVAgQJ6U1MVXOaj8PK2l7WJ3RER9xtqwdhxkhw/edit?usp=sharing"",""สระบุรี!J24"")"),0)</f>
        <v>0</v>
      </c>
      <c r="U72" s="57">
        <f ca="1">IFERROR(__xludf.DUMMYFUNCTION("IMPORTRANGE(""https://docs.google.com/spreadsheets/d/1SX6NBoVAgQJ6U1MVXOaj8PK2l7WJ3RER9xtqwdhxkhw/edit?usp=sharing"",""สระบุรี!J25"")"),0)</f>
        <v>0</v>
      </c>
      <c r="V72" s="55">
        <v>0</v>
      </c>
      <c r="W72" s="55">
        <v>0</v>
      </c>
      <c r="X72" s="57">
        <f ca="1">IFERROR(__xludf.DUMMYFUNCTION("IMPORTRANGE(""https://docs.google.com/spreadsheets/d/1SX6NBoVAgQJ6U1MVXOaj8PK2l7WJ3RER9xtqwdhxkhw/edit?usp=sharing"",""สระบุรี!J26"")"),0)</f>
        <v>0</v>
      </c>
      <c r="Y72" s="57">
        <f ca="1">IFERROR(__xludf.DUMMYFUNCTION("IMPORTRANGE(""https://docs.google.com/spreadsheets/d/1SX6NBoVAgQJ6U1MVXOaj8PK2l7WJ3RER9xtqwdhxkhw/edit?usp=sharing"",""สระบุรี!J27"")"),0)</f>
        <v>0</v>
      </c>
      <c r="Z72" s="55">
        <v>70</v>
      </c>
      <c r="AA72" s="57">
        <f ca="1">IFERROR(__xludf.DUMMYFUNCTION("IMPORTRANGE(""https://docs.google.com/spreadsheets/d/1SX6NBoVAgQJ6U1MVXOaj8PK2l7WJ3RER9xtqwdhxkhw/edit?usp=sharing"",""สระบุรี!J28"")"),0)</f>
        <v>0</v>
      </c>
      <c r="AB72" s="56">
        <f t="shared" ca="1" si="11"/>
        <v>0</v>
      </c>
    </row>
    <row r="73" spans="1:28" ht="24" customHeight="1" x14ac:dyDescent="0.5">
      <c r="A73" s="52">
        <v>19</v>
      </c>
      <c r="B73" s="53" t="s">
        <v>88</v>
      </c>
      <c r="C73" s="54">
        <f t="shared" si="39"/>
        <v>0</v>
      </c>
      <c r="D73" s="55">
        <v>0</v>
      </c>
      <c r="E73" s="55">
        <v>0</v>
      </c>
      <c r="F73" s="55">
        <f ca="1">IFERROR(__xludf.DUMMYFUNCTION("IMPORTRANGE(""https://docs.google.com/spreadsheets/d/1SX6NBoVAgQJ6U1MVXOaj8PK2l7WJ3RER9xtqwdhxkhw/edit?usp=sharing"",""สิงห์บุรี!M12"")"),0)</f>
        <v>0</v>
      </c>
      <c r="G73" s="56">
        <f t="shared" si="1"/>
        <v>0</v>
      </c>
      <c r="H73" s="57">
        <f t="shared" si="27"/>
        <v>0</v>
      </c>
      <c r="I73" s="57">
        <f t="shared" si="2"/>
        <v>0</v>
      </c>
      <c r="J73" s="57">
        <f t="shared" ca="1" si="40"/>
        <v>0</v>
      </c>
      <c r="K73" s="58">
        <f t="shared" si="3"/>
        <v>0</v>
      </c>
      <c r="L73" s="57">
        <f t="shared" ca="1" si="41"/>
        <v>0</v>
      </c>
      <c r="M73" s="58">
        <f t="shared" si="4"/>
        <v>0</v>
      </c>
      <c r="N73" s="55">
        <v>0</v>
      </c>
      <c r="O73" s="55">
        <v>0</v>
      </c>
      <c r="P73" s="57">
        <f ca="1">IFERROR(__xludf.DUMMYFUNCTION("IMPORTRANGE(""https://docs.google.com/spreadsheets/d/1SX6NBoVAgQJ6U1MVXOaj8PK2l7WJ3RER9xtqwdhxkhw/edit?usp=sharing"",""สิงห์บุรี!J22"")"),0)</f>
        <v>0</v>
      </c>
      <c r="Q73" s="57">
        <f ca="1">IFERROR(__xludf.DUMMYFUNCTION("IMPORTRANGE(""https://docs.google.com/spreadsheets/d/1SX6NBoVAgQJ6U1MVXOaj8PK2l7WJ3RER9xtqwdhxkhw/edit?usp=sharing"",""สิงห์บุรี!J23"")"),0)</f>
        <v>0</v>
      </c>
      <c r="R73" s="55">
        <v>0</v>
      </c>
      <c r="S73" s="55">
        <v>0</v>
      </c>
      <c r="T73" s="57">
        <f ca="1">IFERROR(__xludf.DUMMYFUNCTION("IMPORTRANGE(""https://docs.google.com/spreadsheets/d/1SX6NBoVAgQJ6U1MVXOaj8PK2l7WJ3RER9xtqwdhxkhw/edit?usp=sharing"",""สิงห์บุรี!J24"")"),0)</f>
        <v>0</v>
      </c>
      <c r="U73" s="57">
        <f ca="1">IFERROR(__xludf.DUMMYFUNCTION("IMPORTRANGE(""https://docs.google.com/spreadsheets/d/1SX6NBoVAgQJ6U1MVXOaj8PK2l7WJ3RER9xtqwdhxkhw/edit?usp=sharing"",""สิงห์บุรี!J25"")"),0)</f>
        <v>0</v>
      </c>
      <c r="V73" s="55">
        <v>0</v>
      </c>
      <c r="W73" s="55">
        <v>0</v>
      </c>
      <c r="X73" s="57">
        <f ca="1">IFERROR(__xludf.DUMMYFUNCTION("IMPORTRANGE(""https://docs.google.com/spreadsheets/d/1SX6NBoVAgQJ6U1MVXOaj8PK2l7WJ3RER9xtqwdhxkhw/edit?usp=sharing"",""สิงห์บุรี!J26"")"),0)</f>
        <v>0</v>
      </c>
      <c r="Y73" s="57">
        <f ca="1">IFERROR(__xludf.DUMMYFUNCTION("IMPORTRANGE(""https://docs.google.com/spreadsheets/d/1SX6NBoVAgQJ6U1MVXOaj8PK2l7WJ3RER9xtqwdhxkhw/edit?usp=sharing"",""สิงห์บุรี!J27"")"),0)</f>
        <v>0</v>
      </c>
      <c r="Z73" s="55">
        <v>0</v>
      </c>
      <c r="AA73" s="57">
        <f ca="1">IFERROR(__xludf.DUMMYFUNCTION("IMPORTRANGE(""https://docs.google.com/spreadsheets/d/1SX6NBoVAgQJ6U1MVXOaj8PK2l7WJ3RER9xtqwdhxkhw/edit?usp=sharing"",""สิงห์บุรี!J28"")"),0)</f>
        <v>0</v>
      </c>
      <c r="AB73" s="56">
        <f t="shared" si="11"/>
        <v>0</v>
      </c>
    </row>
    <row r="74" spans="1:28" ht="24" customHeight="1" x14ac:dyDescent="0.5">
      <c r="A74" s="52">
        <v>20</v>
      </c>
      <c r="B74" s="53" t="s">
        <v>89</v>
      </c>
      <c r="C74" s="54">
        <f t="shared" si="39"/>
        <v>947200</v>
      </c>
      <c r="D74" s="55">
        <v>317200</v>
      </c>
      <c r="E74" s="55">
        <v>630000</v>
      </c>
      <c r="F74" s="55">
        <f ca="1">IFERROR(__xludf.DUMMYFUNCTION("IMPORTRANGE(""https://docs.google.com/spreadsheets/d/1SX6NBoVAgQJ6U1MVXOaj8PK2l7WJ3RER9xtqwdhxkhw/edit?usp=sharing"",""สุพรรณบุรี!M12"")"),40900)</f>
        <v>40900</v>
      </c>
      <c r="G74" s="56">
        <f t="shared" ca="1" si="1"/>
        <v>4.3179898648648649</v>
      </c>
      <c r="H74" s="57">
        <f t="shared" si="27"/>
        <v>2</v>
      </c>
      <c r="I74" s="57">
        <f t="shared" si="2"/>
        <v>70</v>
      </c>
      <c r="J74" s="57">
        <f t="shared" ca="1" si="40"/>
        <v>0</v>
      </c>
      <c r="K74" s="58">
        <f t="shared" ca="1" si="3"/>
        <v>0</v>
      </c>
      <c r="L74" s="57">
        <f t="shared" ca="1" si="41"/>
        <v>0</v>
      </c>
      <c r="M74" s="58">
        <f t="shared" ca="1" si="4"/>
        <v>0</v>
      </c>
      <c r="N74" s="55">
        <v>0</v>
      </c>
      <c r="O74" s="55">
        <v>0</v>
      </c>
      <c r="P74" s="57">
        <f ca="1">IFERROR(__xludf.DUMMYFUNCTION("IMPORTRANGE(""https://docs.google.com/spreadsheets/d/1SX6NBoVAgQJ6U1MVXOaj8PK2l7WJ3RER9xtqwdhxkhw/edit?usp=sharing"",""สุพรรณบุรี!J22"")"),0)</f>
        <v>0</v>
      </c>
      <c r="Q74" s="57">
        <f ca="1">IFERROR(__xludf.DUMMYFUNCTION("IMPORTRANGE(""https://docs.google.com/spreadsheets/d/1SX6NBoVAgQJ6U1MVXOaj8PK2l7WJ3RER9xtqwdhxkhw/edit?usp=sharing"",""สุพรรณบุรี!J23"")"),0)</f>
        <v>0</v>
      </c>
      <c r="R74" s="55">
        <v>0</v>
      </c>
      <c r="S74" s="55">
        <v>0</v>
      </c>
      <c r="T74" s="57">
        <f ca="1">IFERROR(__xludf.DUMMYFUNCTION("IMPORTRANGE(""https://docs.google.com/spreadsheets/d/1SX6NBoVAgQJ6U1MVXOaj8PK2l7WJ3RER9xtqwdhxkhw/edit?usp=sharing"",""สุพรรณบุรี!J24"")"),0)</f>
        <v>0</v>
      </c>
      <c r="U74" s="57">
        <f ca="1">IFERROR(__xludf.DUMMYFUNCTION("IMPORTRANGE(""https://docs.google.com/spreadsheets/d/1SX6NBoVAgQJ6U1MVXOaj8PK2l7WJ3RER9xtqwdhxkhw/edit?usp=sharing"",""สุพรรณบุรี!J25"")"),0)</f>
        <v>0</v>
      </c>
      <c r="V74" s="55">
        <v>2</v>
      </c>
      <c r="W74" s="55">
        <v>70</v>
      </c>
      <c r="X74" s="57">
        <f ca="1">IFERROR(__xludf.DUMMYFUNCTION("IMPORTRANGE(""https://docs.google.com/spreadsheets/d/1SX6NBoVAgQJ6U1MVXOaj8PK2l7WJ3RER9xtqwdhxkhw/edit?usp=sharing"",""สุพรรณบุรี!J26"")"),0)</f>
        <v>0</v>
      </c>
      <c r="Y74" s="57">
        <f ca="1">IFERROR(__xludf.DUMMYFUNCTION("IMPORTRANGE(""https://docs.google.com/spreadsheets/d/1SX6NBoVAgQJ6U1MVXOaj8PK2l7WJ3RER9xtqwdhxkhw/edit?usp=sharing"",""สุพรรณบุรี!J27"")"),0)</f>
        <v>0</v>
      </c>
      <c r="Z74" s="55">
        <v>0</v>
      </c>
      <c r="AA74" s="57">
        <f ca="1">IFERROR(__xludf.DUMMYFUNCTION("IMPORTRANGE(""https://docs.google.com/spreadsheets/d/1SX6NBoVAgQJ6U1MVXOaj8PK2l7WJ3RER9xtqwdhxkhw/edit?usp=sharing"",""สุพรรณบุรี!J28"")"),0)</f>
        <v>0</v>
      </c>
      <c r="AB74" s="56">
        <f t="shared" si="11"/>
        <v>0</v>
      </c>
    </row>
    <row r="75" spans="1:28" ht="24" customHeight="1" x14ac:dyDescent="0.5">
      <c r="A75" s="59">
        <v>21</v>
      </c>
      <c r="B75" s="60" t="s">
        <v>90</v>
      </c>
      <c r="C75" s="61">
        <f t="shared" si="39"/>
        <v>0</v>
      </c>
      <c r="D75" s="62">
        <v>0</v>
      </c>
      <c r="E75" s="62">
        <v>0</v>
      </c>
      <c r="F75" s="62">
        <f ca="1">IFERROR(__xludf.DUMMYFUNCTION("IMPORTRANGE(""https://docs.google.com/spreadsheets/d/1SX6NBoVAgQJ6U1MVXOaj8PK2l7WJ3RER9xtqwdhxkhw/edit?usp=sharing"",""อ่างทอง!M12"")"),0)</f>
        <v>0</v>
      </c>
      <c r="G75" s="63">
        <f t="shared" si="1"/>
        <v>0</v>
      </c>
      <c r="H75" s="64">
        <f t="shared" si="27"/>
        <v>0</v>
      </c>
      <c r="I75" s="64">
        <f t="shared" si="2"/>
        <v>0</v>
      </c>
      <c r="J75" s="64">
        <f t="shared" ca="1" si="40"/>
        <v>0</v>
      </c>
      <c r="K75" s="65">
        <f t="shared" si="3"/>
        <v>0</v>
      </c>
      <c r="L75" s="64">
        <f t="shared" ca="1" si="41"/>
        <v>0</v>
      </c>
      <c r="M75" s="65">
        <f t="shared" si="4"/>
        <v>0</v>
      </c>
      <c r="N75" s="62">
        <v>0</v>
      </c>
      <c r="O75" s="62">
        <v>0</v>
      </c>
      <c r="P75" s="64">
        <f ca="1">IFERROR(__xludf.DUMMYFUNCTION("IMPORTRANGE(""https://docs.google.com/spreadsheets/d/1SX6NBoVAgQJ6U1MVXOaj8PK2l7WJ3RER9xtqwdhxkhw/edit?usp=sharing"",""อ่างทอง!J22"")"),0)</f>
        <v>0</v>
      </c>
      <c r="Q75" s="64">
        <f ca="1">IFERROR(__xludf.DUMMYFUNCTION("IMPORTRANGE(""https://docs.google.com/spreadsheets/d/1SX6NBoVAgQJ6U1MVXOaj8PK2l7WJ3RER9xtqwdhxkhw/edit?usp=sharing"",""อ่างทอง!J23"")"),0)</f>
        <v>0</v>
      </c>
      <c r="R75" s="62">
        <v>0</v>
      </c>
      <c r="S75" s="62">
        <v>0</v>
      </c>
      <c r="T75" s="64">
        <f ca="1">IFERROR(__xludf.DUMMYFUNCTION("IMPORTRANGE(""https://docs.google.com/spreadsheets/d/1SX6NBoVAgQJ6U1MVXOaj8PK2l7WJ3RER9xtqwdhxkhw/edit?usp=sharing"",""อ่างทอง!J24"")"),0)</f>
        <v>0</v>
      </c>
      <c r="U75" s="64">
        <f ca="1">IFERROR(__xludf.DUMMYFUNCTION("IMPORTRANGE(""https://docs.google.com/spreadsheets/d/1SX6NBoVAgQJ6U1MVXOaj8PK2l7WJ3RER9xtqwdhxkhw/edit?usp=sharing"",""อ่างทอง!J25"")"),0)</f>
        <v>0</v>
      </c>
      <c r="V75" s="62">
        <v>0</v>
      </c>
      <c r="W75" s="62">
        <v>0</v>
      </c>
      <c r="X75" s="64">
        <f ca="1">IFERROR(__xludf.DUMMYFUNCTION("IMPORTRANGE(""https://docs.google.com/spreadsheets/d/1SX6NBoVAgQJ6U1MVXOaj8PK2l7WJ3RER9xtqwdhxkhw/edit?usp=sharing"",""อ่างทอง!J26"")"),0)</f>
        <v>0</v>
      </c>
      <c r="Y75" s="64">
        <f ca="1">IFERROR(__xludf.DUMMYFUNCTION("IMPORTRANGE(""https://docs.google.com/spreadsheets/d/1SX6NBoVAgQJ6U1MVXOaj8PK2l7WJ3RER9xtqwdhxkhw/edit?usp=sharing"",""อ่างทอง!J27"")"),0)</f>
        <v>0</v>
      </c>
      <c r="Z75" s="62">
        <v>0</v>
      </c>
      <c r="AA75" s="64">
        <f ca="1">IFERROR(__xludf.DUMMYFUNCTION("IMPORTRANGE(""https://docs.google.com/spreadsheets/d/1SX6NBoVAgQJ6U1MVXOaj8PK2l7WJ3RER9xtqwdhxkhw/edit?usp=sharing"",""อ่างทอง!J28"")"),0)</f>
        <v>0</v>
      </c>
      <c r="AB75" s="63">
        <f t="shared" si="11"/>
        <v>0</v>
      </c>
    </row>
    <row r="76" spans="1:28" ht="24" customHeight="1" x14ac:dyDescent="0.5">
      <c r="A76" s="566" t="s">
        <v>91</v>
      </c>
      <c r="B76" s="571"/>
      <c r="C76" s="66">
        <f t="shared" ref="C76:F76" si="42">SUM(C77:C90)</f>
        <v>2053200</v>
      </c>
      <c r="D76" s="66">
        <f t="shared" si="42"/>
        <v>689200</v>
      </c>
      <c r="E76" s="66">
        <f t="shared" si="42"/>
        <v>1364000</v>
      </c>
      <c r="F76" s="66">
        <f t="shared" ca="1" si="42"/>
        <v>96724.82</v>
      </c>
      <c r="G76" s="67">
        <f t="shared" ca="1" si="1"/>
        <v>4.7109302552113776</v>
      </c>
      <c r="H76" s="66">
        <f t="shared" si="27"/>
        <v>4</v>
      </c>
      <c r="I76" s="66">
        <f t="shared" si="2"/>
        <v>130</v>
      </c>
      <c r="J76" s="66">
        <f ca="1">SUM(J77:J90)</f>
        <v>1</v>
      </c>
      <c r="K76" s="67">
        <f t="shared" ca="1" si="3"/>
        <v>25</v>
      </c>
      <c r="L76" s="66">
        <f ca="1">SUM(L77:L90)</f>
        <v>0</v>
      </c>
      <c r="M76" s="67">
        <f t="shared" ca="1" si="4"/>
        <v>0</v>
      </c>
      <c r="N76" s="66">
        <f t="shared" ref="N76:AA76" si="43">SUM(N77:N90)</f>
        <v>1</v>
      </c>
      <c r="O76" s="66">
        <f t="shared" si="43"/>
        <v>30</v>
      </c>
      <c r="P76" s="66">
        <f t="shared" ca="1" si="43"/>
        <v>0</v>
      </c>
      <c r="Q76" s="66">
        <f t="shared" ca="1" si="43"/>
        <v>0</v>
      </c>
      <c r="R76" s="66">
        <f t="shared" si="43"/>
        <v>1</v>
      </c>
      <c r="S76" s="66">
        <f t="shared" si="43"/>
        <v>30</v>
      </c>
      <c r="T76" s="66">
        <f t="shared" ca="1" si="43"/>
        <v>1</v>
      </c>
      <c r="U76" s="66">
        <f t="shared" ca="1" si="43"/>
        <v>0</v>
      </c>
      <c r="V76" s="66">
        <f t="shared" si="43"/>
        <v>2</v>
      </c>
      <c r="W76" s="66">
        <f t="shared" si="43"/>
        <v>70</v>
      </c>
      <c r="X76" s="66">
        <f t="shared" ca="1" si="43"/>
        <v>0</v>
      </c>
      <c r="Y76" s="66">
        <f t="shared" ca="1" si="43"/>
        <v>0</v>
      </c>
      <c r="Z76" s="66">
        <f t="shared" si="43"/>
        <v>30</v>
      </c>
      <c r="AA76" s="66">
        <f t="shared" ca="1" si="43"/>
        <v>0</v>
      </c>
      <c r="AB76" s="67">
        <f t="shared" ca="1" si="11"/>
        <v>0</v>
      </c>
    </row>
    <row r="77" spans="1:28" ht="24" customHeight="1" x14ac:dyDescent="0.5">
      <c r="A77" s="45">
        <v>1</v>
      </c>
      <c r="B77" s="46" t="s">
        <v>92</v>
      </c>
      <c r="C77" s="47">
        <f t="shared" ref="C77:C90" si="44">+D77+E77</f>
        <v>692200</v>
      </c>
      <c r="D77" s="48">
        <v>320200</v>
      </c>
      <c r="E77" s="48">
        <v>372000</v>
      </c>
      <c r="F77" s="55">
        <f ca="1">IFERROR(__xludf.DUMMYFUNCTION("IMPORTRANGE(""https://docs.google.com/spreadsheets/d/1IYY_tgx_IHuhSq3AJ5eI5OnqOPBNLWSHKh2a30DoXe8/edit?usp=sharing"",""กระบี่!M12"")"),26064)</f>
        <v>26064</v>
      </c>
      <c r="G77" s="50">
        <f t="shared" ca="1" si="1"/>
        <v>3.7653857266685931</v>
      </c>
      <c r="H77" s="49">
        <f t="shared" si="27"/>
        <v>1</v>
      </c>
      <c r="I77" s="49">
        <f t="shared" si="2"/>
        <v>30</v>
      </c>
      <c r="J77" s="49">
        <f t="shared" ref="J77:J90" ca="1" si="45">P77+T77+X77</f>
        <v>1</v>
      </c>
      <c r="K77" s="51">
        <f t="shared" ca="1" si="3"/>
        <v>100</v>
      </c>
      <c r="L77" s="49">
        <f t="shared" ref="L77:L90" ca="1" si="46">Q77+U77+Y77</f>
        <v>0</v>
      </c>
      <c r="M77" s="51">
        <f t="shared" ca="1" si="4"/>
        <v>0</v>
      </c>
      <c r="N77" s="48">
        <v>0</v>
      </c>
      <c r="O77" s="48">
        <v>0</v>
      </c>
      <c r="P77" s="49">
        <f ca="1">IFERROR(__xludf.DUMMYFUNCTION("IMPORTRANGE(""https://docs.google.com/spreadsheets/d/1IYY_tgx_IHuhSq3AJ5eI5OnqOPBNLWSHKh2a30DoXe8/edit?usp=sharing"",""กระบี่!J22"")"),0)</f>
        <v>0</v>
      </c>
      <c r="Q77" s="49">
        <f ca="1">IFERROR(__xludf.DUMMYFUNCTION("IMPORTRANGE(""https://docs.google.com/spreadsheets/d/1IYY_tgx_IHuhSq3AJ5eI5OnqOPBNLWSHKh2a30DoXe8/edit?usp=sharing"",""กระบี่!J23"")"),0)</f>
        <v>0</v>
      </c>
      <c r="R77" s="48">
        <v>1</v>
      </c>
      <c r="S77" s="48">
        <v>30</v>
      </c>
      <c r="T77" s="49">
        <f ca="1">IFERROR(__xludf.DUMMYFUNCTION("IMPORTRANGE(""https://docs.google.com/spreadsheets/d/1IYY_tgx_IHuhSq3AJ5eI5OnqOPBNLWSHKh2a30DoXe8/edit?usp=sharing"",""กระบี่!J24"")"),1)</f>
        <v>1</v>
      </c>
      <c r="U77" s="49">
        <f ca="1">IFERROR(__xludf.DUMMYFUNCTION("IMPORTRANGE(""https://docs.google.com/spreadsheets/d/1IYY_tgx_IHuhSq3AJ5eI5OnqOPBNLWSHKh2a30DoXe8/edit?usp=sharing"",""กระบี่!J25"")"),0)</f>
        <v>0</v>
      </c>
      <c r="V77" s="48">
        <v>0</v>
      </c>
      <c r="W77" s="48">
        <v>0</v>
      </c>
      <c r="X77" s="49">
        <f ca="1">IFERROR(__xludf.DUMMYFUNCTION("IMPORTRANGE(""https://docs.google.com/spreadsheets/d/1IYY_tgx_IHuhSq3AJ5eI5OnqOPBNLWSHKh2a30DoXe8/edit?usp=sharing"",""กระบี่!J26"")"),0)</f>
        <v>0</v>
      </c>
      <c r="Y77" s="49">
        <f ca="1">IFERROR(__xludf.DUMMYFUNCTION("IMPORTRANGE(""https://docs.google.com/spreadsheets/d/1IYY_tgx_IHuhSq3AJ5eI5OnqOPBNLWSHKh2a30DoXe8/edit?usp=sharing"",""กระบี่!J27"")"),0)</f>
        <v>0</v>
      </c>
      <c r="Z77" s="48">
        <v>0</v>
      </c>
      <c r="AA77" s="49">
        <f ca="1">IFERROR(__xludf.DUMMYFUNCTION("IMPORTRANGE(""https://docs.google.com/spreadsheets/d/1IYY_tgx_IHuhSq3AJ5eI5OnqOPBNLWSHKh2a30DoXe8/edit?usp=sharing"",""กระบี่!J28"")"),0)</f>
        <v>0</v>
      </c>
      <c r="AB77" s="50">
        <f t="shared" si="11"/>
        <v>0</v>
      </c>
    </row>
    <row r="78" spans="1:28" ht="24" customHeight="1" x14ac:dyDescent="0.5">
      <c r="A78" s="52">
        <v>2</v>
      </c>
      <c r="B78" s="53" t="s">
        <v>93</v>
      </c>
      <c r="C78" s="54">
        <f t="shared" si="44"/>
        <v>780800</v>
      </c>
      <c r="D78" s="55">
        <v>180800</v>
      </c>
      <c r="E78" s="55">
        <v>600000</v>
      </c>
      <c r="F78" s="55">
        <f ca="1">IFERROR(__xludf.DUMMYFUNCTION("IMPORTRANGE(""https://docs.google.com/spreadsheets/d/1IYY_tgx_IHuhSq3AJ5eI5OnqOPBNLWSHKh2a30DoXe8/edit?usp=sharing"",""ชุมพร!M12"")"),51806)</f>
        <v>51806</v>
      </c>
      <c r="G78" s="56">
        <f t="shared" ca="1" si="1"/>
        <v>6.6349897540983607</v>
      </c>
      <c r="H78" s="57">
        <f t="shared" si="27"/>
        <v>2</v>
      </c>
      <c r="I78" s="57">
        <f t="shared" si="2"/>
        <v>70</v>
      </c>
      <c r="J78" s="57">
        <f t="shared" ca="1" si="45"/>
        <v>0</v>
      </c>
      <c r="K78" s="58">
        <f t="shared" ca="1" si="3"/>
        <v>0</v>
      </c>
      <c r="L78" s="57">
        <f t="shared" ca="1" si="46"/>
        <v>0</v>
      </c>
      <c r="M78" s="58">
        <f t="shared" ca="1" si="4"/>
        <v>0</v>
      </c>
      <c r="N78" s="55">
        <v>0</v>
      </c>
      <c r="O78" s="55">
        <v>0</v>
      </c>
      <c r="P78" s="57">
        <f ca="1">IFERROR(__xludf.DUMMYFUNCTION("IMPORTRANGE(""https://docs.google.com/spreadsheets/d/1IYY_tgx_IHuhSq3AJ5eI5OnqOPBNLWSHKh2a30DoXe8/edit?usp=sharing"",""ชุมพร!J22"")"),0)</f>
        <v>0</v>
      </c>
      <c r="Q78" s="57">
        <f ca="1">IFERROR(__xludf.DUMMYFUNCTION("IMPORTRANGE(""https://docs.google.com/spreadsheets/d/1IYY_tgx_IHuhSq3AJ5eI5OnqOPBNLWSHKh2a30DoXe8/edit?usp=sharing"",""ชุมพร!J23"")"),0)</f>
        <v>0</v>
      </c>
      <c r="R78" s="55">
        <v>0</v>
      </c>
      <c r="S78" s="55">
        <v>0</v>
      </c>
      <c r="T78" s="57">
        <f ca="1">IFERROR(__xludf.DUMMYFUNCTION("IMPORTRANGE(""https://docs.google.com/spreadsheets/d/1IYY_tgx_IHuhSq3AJ5eI5OnqOPBNLWSHKh2a30DoXe8/edit?usp=sharing"",""ชุมพร!J24"")"),0)</f>
        <v>0</v>
      </c>
      <c r="U78" s="57">
        <f ca="1">IFERROR(__xludf.DUMMYFUNCTION("IMPORTRANGE(""https://docs.google.com/spreadsheets/d/1IYY_tgx_IHuhSq3AJ5eI5OnqOPBNLWSHKh2a30DoXe8/edit?usp=sharing"",""ชุมพร!J25"")"),0)</f>
        <v>0</v>
      </c>
      <c r="V78" s="55">
        <v>2</v>
      </c>
      <c r="W78" s="55">
        <v>70</v>
      </c>
      <c r="X78" s="57">
        <f ca="1">IFERROR(__xludf.DUMMYFUNCTION("IMPORTRANGE(""https://docs.google.com/spreadsheets/d/1IYY_tgx_IHuhSq3AJ5eI5OnqOPBNLWSHKh2a30DoXe8/edit?usp=sharing"",""ชุมพร!J26"")"),0)</f>
        <v>0</v>
      </c>
      <c r="Y78" s="57">
        <f ca="1">IFERROR(__xludf.DUMMYFUNCTION("IMPORTRANGE(""https://docs.google.com/spreadsheets/d/1IYY_tgx_IHuhSq3AJ5eI5OnqOPBNLWSHKh2a30DoXe8/edit?usp=sharing"",""ชุมพร!J27"")"),0)</f>
        <v>0</v>
      </c>
      <c r="Z78" s="55">
        <v>0</v>
      </c>
      <c r="AA78" s="57">
        <f ca="1">IFERROR(__xludf.DUMMYFUNCTION("IMPORTRANGE(""https://docs.google.com/spreadsheets/d/1IYY_tgx_IHuhSq3AJ5eI5OnqOPBNLWSHKh2a30DoXe8/edit?usp=sharing"",""ชุมพร!J28"")"),0)</f>
        <v>0</v>
      </c>
      <c r="AB78" s="56">
        <f t="shared" si="11"/>
        <v>0</v>
      </c>
    </row>
    <row r="79" spans="1:28" ht="24" customHeight="1" x14ac:dyDescent="0.5">
      <c r="A79" s="52">
        <v>3</v>
      </c>
      <c r="B79" s="53" t="s">
        <v>94</v>
      </c>
      <c r="C79" s="54">
        <f t="shared" si="44"/>
        <v>0</v>
      </c>
      <c r="D79" s="55">
        <v>0</v>
      </c>
      <c r="E79" s="55">
        <v>0</v>
      </c>
      <c r="F79" s="55">
        <f ca="1">IFERROR(__xludf.DUMMYFUNCTION("IMPORTRANGE(""https://docs.google.com/spreadsheets/d/1IYY_tgx_IHuhSq3AJ5eI5OnqOPBNLWSHKh2a30DoXe8/edit?usp=sharing"",""ตรัง!M12"")"),0)</f>
        <v>0</v>
      </c>
      <c r="G79" s="56">
        <f t="shared" si="1"/>
        <v>0</v>
      </c>
      <c r="H79" s="57">
        <f t="shared" si="27"/>
        <v>0</v>
      </c>
      <c r="I79" s="57">
        <f t="shared" si="2"/>
        <v>0</v>
      </c>
      <c r="J79" s="57">
        <f t="shared" ca="1" si="45"/>
        <v>0</v>
      </c>
      <c r="K79" s="58">
        <f t="shared" si="3"/>
        <v>0</v>
      </c>
      <c r="L79" s="57">
        <f t="shared" ca="1" si="46"/>
        <v>0</v>
      </c>
      <c r="M79" s="58">
        <f t="shared" si="4"/>
        <v>0</v>
      </c>
      <c r="N79" s="55">
        <v>0</v>
      </c>
      <c r="O79" s="55">
        <v>0</v>
      </c>
      <c r="P79" s="57">
        <f ca="1">IFERROR(__xludf.DUMMYFUNCTION("IMPORTRANGE(""https://docs.google.com/spreadsheets/d/1IYY_tgx_IHuhSq3AJ5eI5OnqOPBNLWSHKh2a30DoXe8/edit?usp=sharing"",""ตรัง!J22"")"),0)</f>
        <v>0</v>
      </c>
      <c r="Q79" s="57">
        <f ca="1">IFERROR(__xludf.DUMMYFUNCTION("IMPORTRANGE(""https://docs.google.com/spreadsheets/d/1IYY_tgx_IHuhSq3AJ5eI5OnqOPBNLWSHKh2a30DoXe8/edit?usp=sharing"",""ตรัง!J23"")"),0)</f>
        <v>0</v>
      </c>
      <c r="R79" s="55">
        <v>0</v>
      </c>
      <c r="S79" s="55">
        <v>0</v>
      </c>
      <c r="T79" s="57">
        <f ca="1">IFERROR(__xludf.DUMMYFUNCTION("IMPORTRANGE(""https://docs.google.com/spreadsheets/d/1IYY_tgx_IHuhSq3AJ5eI5OnqOPBNLWSHKh2a30DoXe8/edit?usp=sharing"",""ตรัง!J24"")"),0)</f>
        <v>0</v>
      </c>
      <c r="U79" s="57">
        <f ca="1">IFERROR(__xludf.DUMMYFUNCTION("IMPORTRANGE(""https://docs.google.com/spreadsheets/d/1IYY_tgx_IHuhSq3AJ5eI5OnqOPBNLWSHKh2a30DoXe8/edit?usp=sharing"",""ตรัง!J25"")"),0)</f>
        <v>0</v>
      </c>
      <c r="V79" s="55">
        <v>0</v>
      </c>
      <c r="W79" s="55">
        <v>0</v>
      </c>
      <c r="X79" s="57">
        <f ca="1">IFERROR(__xludf.DUMMYFUNCTION("IMPORTRANGE(""https://docs.google.com/spreadsheets/d/1IYY_tgx_IHuhSq3AJ5eI5OnqOPBNLWSHKh2a30DoXe8/edit?usp=sharing"",""ตรัง!J26"")"),0)</f>
        <v>0</v>
      </c>
      <c r="Y79" s="57">
        <f ca="1">IFERROR(__xludf.DUMMYFUNCTION("IMPORTRANGE(""https://docs.google.com/spreadsheets/d/1IYY_tgx_IHuhSq3AJ5eI5OnqOPBNLWSHKh2a30DoXe8/edit?usp=sharing"",""ตรัง!J27"")"),0)</f>
        <v>0</v>
      </c>
      <c r="Z79" s="55">
        <v>0</v>
      </c>
      <c r="AA79" s="57">
        <f ca="1">IFERROR(__xludf.DUMMYFUNCTION("IMPORTRANGE(""https://docs.google.com/spreadsheets/d/1IYY_tgx_IHuhSq3AJ5eI5OnqOPBNLWSHKh2a30DoXe8/edit?usp=sharing"",""ตรัง!J28"")"),0)</f>
        <v>0</v>
      </c>
      <c r="AB79" s="56">
        <f t="shared" si="11"/>
        <v>0</v>
      </c>
    </row>
    <row r="80" spans="1:28" ht="24" customHeight="1" x14ac:dyDescent="0.5">
      <c r="A80" s="52">
        <v>4</v>
      </c>
      <c r="B80" s="53" t="s">
        <v>95</v>
      </c>
      <c r="C80" s="54">
        <f t="shared" si="44"/>
        <v>0</v>
      </c>
      <c r="D80" s="55">
        <v>0</v>
      </c>
      <c r="E80" s="55">
        <v>0</v>
      </c>
      <c r="F80" s="55">
        <f ca="1">IFERROR(__xludf.DUMMYFUNCTION("IMPORTRANGE(""https://docs.google.com/spreadsheets/d/1IYY_tgx_IHuhSq3AJ5eI5OnqOPBNLWSHKh2a30DoXe8/edit?usp=sharing"",""นครศรีธรรมราช!M12"")"),0)</f>
        <v>0</v>
      </c>
      <c r="G80" s="56">
        <f t="shared" si="1"/>
        <v>0</v>
      </c>
      <c r="H80" s="57">
        <f t="shared" si="27"/>
        <v>0</v>
      </c>
      <c r="I80" s="57">
        <f t="shared" si="2"/>
        <v>0</v>
      </c>
      <c r="J80" s="57">
        <f t="shared" ca="1" si="45"/>
        <v>0</v>
      </c>
      <c r="K80" s="58">
        <f t="shared" si="3"/>
        <v>0</v>
      </c>
      <c r="L80" s="57">
        <f t="shared" ca="1" si="46"/>
        <v>0</v>
      </c>
      <c r="M80" s="58">
        <f t="shared" si="4"/>
        <v>0</v>
      </c>
      <c r="N80" s="55">
        <v>0</v>
      </c>
      <c r="O80" s="55">
        <v>0</v>
      </c>
      <c r="P80" s="57">
        <f ca="1">IFERROR(__xludf.DUMMYFUNCTION("IMPORTRANGE(""https://docs.google.com/spreadsheets/d/1IYY_tgx_IHuhSq3AJ5eI5OnqOPBNLWSHKh2a30DoXe8/edit?usp=sharing"",""นครศรีธรรมราช!J22"")"),0)</f>
        <v>0</v>
      </c>
      <c r="Q80" s="57">
        <f ca="1">IFERROR(__xludf.DUMMYFUNCTION("IMPORTRANGE(""https://docs.google.com/spreadsheets/d/1IYY_tgx_IHuhSq3AJ5eI5OnqOPBNLWSHKh2a30DoXe8/edit?usp=sharing"",""นครศรีธรรมราช!J23"")"),0)</f>
        <v>0</v>
      </c>
      <c r="R80" s="55">
        <v>0</v>
      </c>
      <c r="S80" s="55">
        <v>0</v>
      </c>
      <c r="T80" s="57">
        <f ca="1">IFERROR(__xludf.DUMMYFUNCTION("IMPORTRANGE(""https://docs.google.com/spreadsheets/d/1IYY_tgx_IHuhSq3AJ5eI5OnqOPBNLWSHKh2a30DoXe8/edit?usp=sharing"",""นครศรีธรรมราช!J24"")"),0)</f>
        <v>0</v>
      </c>
      <c r="U80" s="57">
        <f ca="1">IFERROR(__xludf.DUMMYFUNCTION("IMPORTRANGE(""https://docs.google.com/spreadsheets/d/1IYY_tgx_IHuhSq3AJ5eI5OnqOPBNLWSHKh2a30DoXe8/edit?usp=sharing"",""นครศรีธรรมราช!J25"")"),0)</f>
        <v>0</v>
      </c>
      <c r="V80" s="55">
        <v>0</v>
      </c>
      <c r="W80" s="55">
        <v>0</v>
      </c>
      <c r="X80" s="57">
        <f ca="1">IFERROR(__xludf.DUMMYFUNCTION("IMPORTRANGE(""https://docs.google.com/spreadsheets/d/1IYY_tgx_IHuhSq3AJ5eI5OnqOPBNLWSHKh2a30DoXe8/edit?usp=sharing"",""นครศรีธรรมราช!J26"")"),0)</f>
        <v>0</v>
      </c>
      <c r="Y80" s="57">
        <f ca="1">IFERROR(__xludf.DUMMYFUNCTION("IMPORTRANGE(""https://docs.google.com/spreadsheets/d/1IYY_tgx_IHuhSq3AJ5eI5OnqOPBNLWSHKh2a30DoXe8/edit?usp=sharing"",""นครศรีธรรมราช!J27"")"),0)</f>
        <v>0</v>
      </c>
      <c r="Z80" s="55">
        <v>0</v>
      </c>
      <c r="AA80" s="57">
        <f ca="1">IFERROR(__xludf.DUMMYFUNCTION("IMPORTRANGE(""https://docs.google.com/spreadsheets/d/1IYY_tgx_IHuhSq3AJ5eI5OnqOPBNLWSHKh2a30DoXe8/edit?usp=sharing"",""นครศรีธรรมราช!J28"")"),0)</f>
        <v>0</v>
      </c>
      <c r="AB80" s="56">
        <f t="shared" si="11"/>
        <v>0</v>
      </c>
    </row>
    <row r="81" spans="1:28" ht="24" customHeight="1" x14ac:dyDescent="0.5">
      <c r="A81" s="52">
        <v>5</v>
      </c>
      <c r="B81" s="53" t="s">
        <v>96</v>
      </c>
      <c r="C81" s="54">
        <f t="shared" si="44"/>
        <v>0</v>
      </c>
      <c r="D81" s="55">
        <v>0</v>
      </c>
      <c r="E81" s="55">
        <v>0</v>
      </c>
      <c r="F81" s="55">
        <f ca="1">IFERROR(__xludf.DUMMYFUNCTION("IMPORTRANGE(""https://docs.google.com/spreadsheets/d/1IYY_tgx_IHuhSq3AJ5eI5OnqOPBNLWSHKh2a30DoXe8/edit?usp=sharing"",""นราธิวาส!M12"")"),0)</f>
        <v>0</v>
      </c>
      <c r="G81" s="56">
        <f t="shared" si="1"/>
        <v>0</v>
      </c>
      <c r="H81" s="57">
        <f t="shared" si="27"/>
        <v>0</v>
      </c>
      <c r="I81" s="57">
        <f t="shared" si="2"/>
        <v>0</v>
      </c>
      <c r="J81" s="57">
        <f t="shared" ca="1" si="45"/>
        <v>0</v>
      </c>
      <c r="K81" s="58">
        <f t="shared" si="3"/>
        <v>0</v>
      </c>
      <c r="L81" s="57">
        <f t="shared" ca="1" si="46"/>
        <v>0</v>
      </c>
      <c r="M81" s="58">
        <f t="shared" si="4"/>
        <v>0</v>
      </c>
      <c r="N81" s="55">
        <v>0</v>
      </c>
      <c r="O81" s="55">
        <v>0</v>
      </c>
      <c r="P81" s="57">
        <f ca="1">IFERROR(__xludf.DUMMYFUNCTION("IMPORTRANGE(""https://docs.google.com/spreadsheets/d/1IYY_tgx_IHuhSq3AJ5eI5OnqOPBNLWSHKh2a30DoXe8/edit?usp=sharing"",""นราธิวาส!J22"")"),0)</f>
        <v>0</v>
      </c>
      <c r="Q81" s="57">
        <f ca="1">IFERROR(__xludf.DUMMYFUNCTION("IMPORTRANGE(""https://docs.google.com/spreadsheets/d/1IYY_tgx_IHuhSq3AJ5eI5OnqOPBNLWSHKh2a30DoXe8/edit?usp=sharing"",""นราธิวาส!J23"")"),0)</f>
        <v>0</v>
      </c>
      <c r="R81" s="55">
        <v>0</v>
      </c>
      <c r="S81" s="55">
        <v>0</v>
      </c>
      <c r="T81" s="57">
        <f ca="1">IFERROR(__xludf.DUMMYFUNCTION("IMPORTRANGE(""https://docs.google.com/spreadsheets/d/1IYY_tgx_IHuhSq3AJ5eI5OnqOPBNLWSHKh2a30DoXe8/edit?usp=sharing"",""นราธิวาส!J24"")"),0)</f>
        <v>0</v>
      </c>
      <c r="U81" s="57">
        <f ca="1">IFERROR(__xludf.DUMMYFUNCTION("IMPORTRANGE(""https://docs.google.com/spreadsheets/d/1IYY_tgx_IHuhSq3AJ5eI5OnqOPBNLWSHKh2a30DoXe8/edit?usp=sharing"",""นราธิวาส!J25"")"),0)</f>
        <v>0</v>
      </c>
      <c r="V81" s="55">
        <v>0</v>
      </c>
      <c r="W81" s="55">
        <v>0</v>
      </c>
      <c r="X81" s="57">
        <f ca="1">IFERROR(__xludf.DUMMYFUNCTION("IMPORTRANGE(""https://docs.google.com/spreadsheets/d/1IYY_tgx_IHuhSq3AJ5eI5OnqOPBNLWSHKh2a30DoXe8/edit?usp=sharing"",""นราธิวาส!J26"")"),0)</f>
        <v>0</v>
      </c>
      <c r="Y81" s="57">
        <f ca="1">IFERROR(__xludf.DUMMYFUNCTION("IMPORTRANGE(""https://docs.google.com/spreadsheets/d/1IYY_tgx_IHuhSq3AJ5eI5OnqOPBNLWSHKh2a30DoXe8/edit?usp=sharing"",""นราธิวาส!J27"")"),0)</f>
        <v>0</v>
      </c>
      <c r="Z81" s="55">
        <v>0</v>
      </c>
      <c r="AA81" s="57">
        <f ca="1">IFERROR(__xludf.DUMMYFUNCTION("IMPORTRANGE(""https://docs.google.com/spreadsheets/d/1IYY_tgx_IHuhSq3AJ5eI5OnqOPBNLWSHKh2a30DoXe8/edit?usp=sharing"",""นราธิวาส!J28"")"),0)</f>
        <v>0</v>
      </c>
      <c r="AB81" s="56">
        <f t="shared" si="11"/>
        <v>0</v>
      </c>
    </row>
    <row r="82" spans="1:28" ht="24" customHeight="1" x14ac:dyDescent="0.5">
      <c r="A82" s="52">
        <v>6</v>
      </c>
      <c r="B82" s="53" t="s">
        <v>97</v>
      </c>
      <c r="C82" s="54">
        <f t="shared" si="44"/>
        <v>0</v>
      </c>
      <c r="D82" s="55">
        <v>0</v>
      </c>
      <c r="E82" s="55">
        <v>0</v>
      </c>
      <c r="F82" s="55">
        <f ca="1">IFERROR(__xludf.DUMMYFUNCTION("IMPORTRANGE(""https://docs.google.com/spreadsheets/d/1IYY_tgx_IHuhSq3AJ5eI5OnqOPBNLWSHKh2a30DoXe8/edit?usp=sharing"",""ปัตตานี!M12"")"),0)</f>
        <v>0</v>
      </c>
      <c r="G82" s="56">
        <f t="shared" si="1"/>
        <v>0</v>
      </c>
      <c r="H82" s="57">
        <f t="shared" si="27"/>
        <v>0</v>
      </c>
      <c r="I82" s="57">
        <f t="shared" si="2"/>
        <v>0</v>
      </c>
      <c r="J82" s="57">
        <f t="shared" ca="1" si="45"/>
        <v>0</v>
      </c>
      <c r="K82" s="58">
        <f t="shared" si="3"/>
        <v>0</v>
      </c>
      <c r="L82" s="57">
        <f t="shared" ca="1" si="46"/>
        <v>0</v>
      </c>
      <c r="M82" s="58">
        <f t="shared" si="4"/>
        <v>0</v>
      </c>
      <c r="N82" s="55">
        <v>0</v>
      </c>
      <c r="O82" s="55">
        <v>0</v>
      </c>
      <c r="P82" s="57">
        <f ca="1">IFERROR(__xludf.DUMMYFUNCTION("IMPORTRANGE(""https://docs.google.com/spreadsheets/d/1IYY_tgx_IHuhSq3AJ5eI5OnqOPBNLWSHKh2a30DoXe8/edit?usp=sharing"",""ปัตตานี!J22"")"),0)</f>
        <v>0</v>
      </c>
      <c r="Q82" s="57">
        <f ca="1">IFERROR(__xludf.DUMMYFUNCTION("IMPORTRANGE(""https://docs.google.com/spreadsheets/d/1IYY_tgx_IHuhSq3AJ5eI5OnqOPBNLWSHKh2a30DoXe8/edit?usp=sharing"",""ปัตตานี!J23"")"),0)</f>
        <v>0</v>
      </c>
      <c r="R82" s="55">
        <v>0</v>
      </c>
      <c r="S82" s="55">
        <v>0</v>
      </c>
      <c r="T82" s="57">
        <f ca="1">IFERROR(__xludf.DUMMYFUNCTION("IMPORTRANGE(""https://docs.google.com/spreadsheets/d/1IYY_tgx_IHuhSq3AJ5eI5OnqOPBNLWSHKh2a30DoXe8/edit?usp=sharing"",""ปัตตานี!J24"")"),0)</f>
        <v>0</v>
      </c>
      <c r="U82" s="57">
        <f ca="1">IFERROR(__xludf.DUMMYFUNCTION("IMPORTRANGE(""https://docs.google.com/spreadsheets/d/1IYY_tgx_IHuhSq3AJ5eI5OnqOPBNLWSHKh2a30DoXe8/edit?usp=sharing"",""ปัตตานี!J25"")"),0)</f>
        <v>0</v>
      </c>
      <c r="V82" s="55">
        <v>0</v>
      </c>
      <c r="W82" s="55">
        <v>0</v>
      </c>
      <c r="X82" s="57">
        <f ca="1">IFERROR(__xludf.DUMMYFUNCTION("IMPORTRANGE(""https://docs.google.com/spreadsheets/d/1IYY_tgx_IHuhSq3AJ5eI5OnqOPBNLWSHKh2a30DoXe8/edit?usp=sharing"",""ปัตตานี!J26"")"),0)</f>
        <v>0</v>
      </c>
      <c r="Y82" s="57">
        <f ca="1">IFERROR(__xludf.DUMMYFUNCTION("IMPORTRANGE(""https://docs.google.com/spreadsheets/d/1IYY_tgx_IHuhSq3AJ5eI5OnqOPBNLWSHKh2a30DoXe8/edit?usp=sharing"",""ปัตตานี!J27"")"),0)</f>
        <v>0</v>
      </c>
      <c r="Z82" s="55">
        <v>0</v>
      </c>
      <c r="AA82" s="57">
        <f ca="1">IFERROR(__xludf.DUMMYFUNCTION("IMPORTRANGE(""https://docs.google.com/spreadsheets/d/1IYY_tgx_IHuhSq3AJ5eI5OnqOPBNLWSHKh2a30DoXe8/edit?usp=sharing"",""ปัตตานี!J28"")"),0)</f>
        <v>0</v>
      </c>
      <c r="AB82" s="56">
        <f t="shared" si="11"/>
        <v>0</v>
      </c>
    </row>
    <row r="83" spans="1:28" ht="24" customHeight="1" x14ac:dyDescent="0.5">
      <c r="A83" s="52">
        <v>7</v>
      </c>
      <c r="B83" s="53" t="s">
        <v>98</v>
      </c>
      <c r="C83" s="54">
        <f t="shared" si="44"/>
        <v>0</v>
      </c>
      <c r="D83" s="55">
        <v>0</v>
      </c>
      <c r="E83" s="55">
        <v>0</v>
      </c>
      <c r="F83" s="55">
        <f ca="1">IFERROR(__xludf.DUMMYFUNCTION("IMPORTRANGE(""https://docs.google.com/spreadsheets/d/1IYY_tgx_IHuhSq3AJ5eI5OnqOPBNLWSHKh2a30DoXe8/edit?usp=sharing"",""พังงา!M12"")"),0)</f>
        <v>0</v>
      </c>
      <c r="G83" s="56">
        <f t="shared" si="1"/>
        <v>0</v>
      </c>
      <c r="H83" s="57">
        <f t="shared" si="27"/>
        <v>0</v>
      </c>
      <c r="I83" s="57">
        <f t="shared" si="2"/>
        <v>0</v>
      </c>
      <c r="J83" s="57">
        <f t="shared" ca="1" si="45"/>
        <v>0</v>
      </c>
      <c r="K83" s="58">
        <f t="shared" si="3"/>
        <v>0</v>
      </c>
      <c r="L83" s="57">
        <f t="shared" ca="1" si="46"/>
        <v>0</v>
      </c>
      <c r="M83" s="58">
        <f t="shared" si="4"/>
        <v>0</v>
      </c>
      <c r="N83" s="55">
        <v>0</v>
      </c>
      <c r="O83" s="55">
        <v>0</v>
      </c>
      <c r="P83" s="57">
        <f ca="1">IFERROR(__xludf.DUMMYFUNCTION("IMPORTRANGE(""https://docs.google.com/spreadsheets/d/1IYY_tgx_IHuhSq3AJ5eI5OnqOPBNLWSHKh2a30DoXe8/edit?usp=sharing"",""พังงา!J22"")"),0)</f>
        <v>0</v>
      </c>
      <c r="Q83" s="57">
        <f ca="1">IFERROR(__xludf.DUMMYFUNCTION("IMPORTRANGE(""https://docs.google.com/spreadsheets/d/1IYY_tgx_IHuhSq3AJ5eI5OnqOPBNLWSHKh2a30DoXe8/edit?usp=sharing"",""พังงา!J23"")"),0)</f>
        <v>0</v>
      </c>
      <c r="R83" s="55">
        <v>0</v>
      </c>
      <c r="S83" s="55">
        <v>0</v>
      </c>
      <c r="T83" s="57">
        <f ca="1">IFERROR(__xludf.DUMMYFUNCTION("IMPORTRANGE(""https://docs.google.com/spreadsheets/d/1IYY_tgx_IHuhSq3AJ5eI5OnqOPBNLWSHKh2a30DoXe8/edit?usp=sharing"",""พังงา!J24"")"),0)</f>
        <v>0</v>
      </c>
      <c r="U83" s="57">
        <f ca="1">IFERROR(__xludf.DUMMYFUNCTION("IMPORTRANGE(""https://docs.google.com/spreadsheets/d/1IYY_tgx_IHuhSq3AJ5eI5OnqOPBNLWSHKh2a30DoXe8/edit?usp=sharing"",""พังงา!J25"")"),0)</f>
        <v>0</v>
      </c>
      <c r="V83" s="55">
        <v>0</v>
      </c>
      <c r="W83" s="55">
        <v>0</v>
      </c>
      <c r="X83" s="57">
        <f ca="1">IFERROR(__xludf.DUMMYFUNCTION("IMPORTRANGE(""https://docs.google.com/spreadsheets/d/1IYY_tgx_IHuhSq3AJ5eI5OnqOPBNLWSHKh2a30DoXe8/edit?usp=sharing"",""พังงา!J26"")"),0)</f>
        <v>0</v>
      </c>
      <c r="Y83" s="57">
        <f ca="1">IFERROR(__xludf.DUMMYFUNCTION("IMPORTRANGE(""https://docs.google.com/spreadsheets/d/1IYY_tgx_IHuhSq3AJ5eI5OnqOPBNLWSHKh2a30DoXe8/edit?usp=sharing"",""พังงา!J27"")"),0)</f>
        <v>0</v>
      </c>
      <c r="Z83" s="55">
        <v>0</v>
      </c>
      <c r="AA83" s="57">
        <f ca="1">IFERROR(__xludf.DUMMYFUNCTION("IMPORTRANGE(""https://docs.google.com/spreadsheets/d/1IYY_tgx_IHuhSq3AJ5eI5OnqOPBNLWSHKh2a30DoXe8/edit?usp=sharing"",""พังงา!J28"")"),0)</f>
        <v>0</v>
      </c>
      <c r="AB83" s="56">
        <f t="shared" si="11"/>
        <v>0</v>
      </c>
    </row>
    <row r="84" spans="1:28" ht="24" customHeight="1" x14ac:dyDescent="0.5">
      <c r="A84" s="52">
        <v>8</v>
      </c>
      <c r="B84" s="53" t="s">
        <v>99</v>
      </c>
      <c r="C84" s="54">
        <f t="shared" si="44"/>
        <v>580200</v>
      </c>
      <c r="D84" s="55">
        <v>188200</v>
      </c>
      <c r="E84" s="55">
        <v>392000</v>
      </c>
      <c r="F84" s="55">
        <f ca="1">IFERROR(__xludf.DUMMYFUNCTION("IMPORTRANGE(""https://docs.google.com/spreadsheets/d/1IYY_tgx_IHuhSq3AJ5eI5OnqOPBNLWSHKh2a30DoXe8/edit?usp=sharing"",""พัทลุง!M12"")"),18854.82)</f>
        <v>18854.82</v>
      </c>
      <c r="G84" s="56">
        <f t="shared" ca="1" si="1"/>
        <v>3.2497104446742502</v>
      </c>
      <c r="H84" s="57">
        <f t="shared" si="27"/>
        <v>1</v>
      </c>
      <c r="I84" s="57">
        <f t="shared" si="2"/>
        <v>30</v>
      </c>
      <c r="J84" s="57">
        <f t="shared" ca="1" si="45"/>
        <v>0</v>
      </c>
      <c r="K84" s="58">
        <f t="shared" ca="1" si="3"/>
        <v>0</v>
      </c>
      <c r="L84" s="57">
        <f t="shared" ca="1" si="46"/>
        <v>0</v>
      </c>
      <c r="M84" s="58">
        <f t="shared" ca="1" si="4"/>
        <v>0</v>
      </c>
      <c r="N84" s="55">
        <v>1</v>
      </c>
      <c r="O84" s="55">
        <v>30</v>
      </c>
      <c r="P84" s="57">
        <f ca="1">IFERROR(__xludf.DUMMYFUNCTION("IMPORTRANGE(""https://docs.google.com/spreadsheets/d/1IYY_tgx_IHuhSq3AJ5eI5OnqOPBNLWSHKh2a30DoXe8/edit?usp=sharing"",""พัทลุง!J22"")"),0)</f>
        <v>0</v>
      </c>
      <c r="Q84" s="57">
        <f ca="1">IFERROR(__xludf.DUMMYFUNCTION("IMPORTRANGE(""https://docs.google.com/spreadsheets/d/1IYY_tgx_IHuhSq3AJ5eI5OnqOPBNLWSHKh2a30DoXe8/edit?usp=sharing"",""พัทลุง!J23"")"),0)</f>
        <v>0</v>
      </c>
      <c r="R84" s="55">
        <v>0</v>
      </c>
      <c r="S84" s="55">
        <v>0</v>
      </c>
      <c r="T84" s="57">
        <f ca="1">IFERROR(__xludf.DUMMYFUNCTION("IMPORTRANGE(""https://docs.google.com/spreadsheets/d/1IYY_tgx_IHuhSq3AJ5eI5OnqOPBNLWSHKh2a30DoXe8/edit?usp=sharing"",""พัทลุง!J24"")"),0)</f>
        <v>0</v>
      </c>
      <c r="U84" s="57">
        <f ca="1">IFERROR(__xludf.DUMMYFUNCTION("IMPORTRANGE(""https://docs.google.com/spreadsheets/d/1IYY_tgx_IHuhSq3AJ5eI5OnqOPBNLWSHKh2a30DoXe8/edit?usp=sharing"",""พัทลุง!J25"")"),0)</f>
        <v>0</v>
      </c>
      <c r="V84" s="55">
        <v>0</v>
      </c>
      <c r="W84" s="55">
        <v>0</v>
      </c>
      <c r="X84" s="57">
        <f ca="1">IFERROR(__xludf.DUMMYFUNCTION("IMPORTRANGE(""https://docs.google.com/spreadsheets/d/1IYY_tgx_IHuhSq3AJ5eI5OnqOPBNLWSHKh2a30DoXe8/edit?usp=sharing"",""พัทลุง!J26"")"),0)</f>
        <v>0</v>
      </c>
      <c r="Y84" s="57">
        <f ca="1">IFERROR(__xludf.DUMMYFUNCTION("IMPORTRANGE(""https://docs.google.com/spreadsheets/d/1IYY_tgx_IHuhSq3AJ5eI5OnqOPBNLWSHKh2a30DoXe8/edit?usp=sharing"",""พัทลุง!J27"")"),0)</f>
        <v>0</v>
      </c>
      <c r="Z84" s="55">
        <v>30</v>
      </c>
      <c r="AA84" s="57">
        <f ca="1">IFERROR(__xludf.DUMMYFUNCTION("IMPORTRANGE(""https://docs.google.com/spreadsheets/d/1IYY_tgx_IHuhSq3AJ5eI5OnqOPBNLWSHKh2a30DoXe8/edit?usp=sharing"",""พัทลุง!J28"")"),0)</f>
        <v>0</v>
      </c>
      <c r="AB84" s="56">
        <f t="shared" ca="1" si="11"/>
        <v>0</v>
      </c>
    </row>
    <row r="85" spans="1:28" ht="24" customHeight="1" x14ac:dyDescent="0.5">
      <c r="A85" s="52">
        <v>9</v>
      </c>
      <c r="B85" s="53" t="s">
        <v>100</v>
      </c>
      <c r="C85" s="54">
        <f t="shared" si="44"/>
        <v>0</v>
      </c>
      <c r="D85" s="55">
        <v>0</v>
      </c>
      <c r="E85" s="55">
        <v>0</v>
      </c>
      <c r="F85" s="55">
        <f ca="1">IFERROR(__xludf.DUMMYFUNCTION("IMPORTRANGE(""https://docs.google.com/spreadsheets/d/1IYY_tgx_IHuhSq3AJ5eI5OnqOPBNLWSHKh2a30DoXe8/edit?usp=sharing"",""ภูเก็ต!M12"")"),0)</f>
        <v>0</v>
      </c>
      <c r="G85" s="56">
        <f t="shared" si="1"/>
        <v>0</v>
      </c>
      <c r="H85" s="57">
        <f t="shared" si="27"/>
        <v>0</v>
      </c>
      <c r="I85" s="57">
        <f t="shared" si="2"/>
        <v>0</v>
      </c>
      <c r="J85" s="57">
        <f t="shared" ca="1" si="45"/>
        <v>0</v>
      </c>
      <c r="K85" s="58">
        <f t="shared" si="3"/>
        <v>0</v>
      </c>
      <c r="L85" s="57">
        <f t="shared" ca="1" si="46"/>
        <v>0</v>
      </c>
      <c r="M85" s="58">
        <f t="shared" si="4"/>
        <v>0</v>
      </c>
      <c r="N85" s="55">
        <v>0</v>
      </c>
      <c r="O85" s="55">
        <v>0</v>
      </c>
      <c r="P85" s="57">
        <f ca="1">IFERROR(__xludf.DUMMYFUNCTION("IMPORTRANGE(""https://docs.google.com/spreadsheets/d/1IYY_tgx_IHuhSq3AJ5eI5OnqOPBNLWSHKh2a30DoXe8/edit?usp=sharing"",""ภูเก็ต!J22"")"),0)</f>
        <v>0</v>
      </c>
      <c r="Q85" s="57">
        <f ca="1">IFERROR(__xludf.DUMMYFUNCTION("IMPORTRANGE(""https://docs.google.com/spreadsheets/d/1IYY_tgx_IHuhSq3AJ5eI5OnqOPBNLWSHKh2a30DoXe8/edit?usp=sharing"",""ภูเก็ต!J23"")"),0)</f>
        <v>0</v>
      </c>
      <c r="R85" s="55">
        <v>0</v>
      </c>
      <c r="S85" s="55">
        <v>0</v>
      </c>
      <c r="T85" s="57">
        <f ca="1">IFERROR(__xludf.DUMMYFUNCTION("IMPORTRANGE(""https://docs.google.com/spreadsheets/d/1IYY_tgx_IHuhSq3AJ5eI5OnqOPBNLWSHKh2a30DoXe8/edit?usp=sharing"",""ภูเก็ต!J24"")"),0)</f>
        <v>0</v>
      </c>
      <c r="U85" s="57">
        <f ca="1">IFERROR(__xludf.DUMMYFUNCTION("IMPORTRANGE(""https://docs.google.com/spreadsheets/d/1IYY_tgx_IHuhSq3AJ5eI5OnqOPBNLWSHKh2a30DoXe8/edit?usp=sharing"",""ภูเก็ต!J25"")"),0)</f>
        <v>0</v>
      </c>
      <c r="V85" s="55">
        <v>0</v>
      </c>
      <c r="W85" s="55">
        <v>0</v>
      </c>
      <c r="X85" s="57">
        <f ca="1">IFERROR(__xludf.DUMMYFUNCTION("IMPORTRANGE(""https://docs.google.com/spreadsheets/d/1IYY_tgx_IHuhSq3AJ5eI5OnqOPBNLWSHKh2a30DoXe8/edit?usp=sharing"",""ภูเก็ต!J26"")"),0)</f>
        <v>0</v>
      </c>
      <c r="Y85" s="57">
        <f ca="1">IFERROR(__xludf.DUMMYFUNCTION("IMPORTRANGE(""https://docs.google.com/spreadsheets/d/1IYY_tgx_IHuhSq3AJ5eI5OnqOPBNLWSHKh2a30DoXe8/edit?usp=sharing"",""ภูเก็ต!J27"")"),0)</f>
        <v>0</v>
      </c>
      <c r="Z85" s="55">
        <v>0</v>
      </c>
      <c r="AA85" s="57">
        <f ca="1">IFERROR(__xludf.DUMMYFUNCTION("IMPORTRANGE(""https://docs.google.com/spreadsheets/d/1IYY_tgx_IHuhSq3AJ5eI5OnqOPBNLWSHKh2a30DoXe8/edit?usp=sharing"",""ภูเก็ต!J28"")"),0)</f>
        <v>0</v>
      </c>
      <c r="AB85" s="56">
        <f t="shared" si="11"/>
        <v>0</v>
      </c>
    </row>
    <row r="86" spans="1:28" ht="24" customHeight="1" x14ac:dyDescent="0.5">
      <c r="A86" s="52">
        <v>10</v>
      </c>
      <c r="B86" s="53" t="s">
        <v>101</v>
      </c>
      <c r="C86" s="54">
        <f t="shared" si="44"/>
        <v>0</v>
      </c>
      <c r="D86" s="55">
        <v>0</v>
      </c>
      <c r="E86" s="55">
        <v>0</v>
      </c>
      <c r="F86" s="55">
        <f ca="1">IFERROR(__xludf.DUMMYFUNCTION("IMPORTRANGE(""https://docs.google.com/spreadsheets/d/1IYY_tgx_IHuhSq3AJ5eI5OnqOPBNLWSHKh2a30DoXe8/edit?usp=sharing"",""ยะลา!M12"")"),0)</f>
        <v>0</v>
      </c>
      <c r="G86" s="56">
        <f t="shared" si="1"/>
        <v>0</v>
      </c>
      <c r="H86" s="57">
        <f t="shared" si="27"/>
        <v>0</v>
      </c>
      <c r="I86" s="57">
        <f t="shared" si="2"/>
        <v>0</v>
      </c>
      <c r="J86" s="57">
        <f t="shared" ca="1" si="45"/>
        <v>0</v>
      </c>
      <c r="K86" s="58">
        <f t="shared" si="3"/>
        <v>0</v>
      </c>
      <c r="L86" s="57">
        <f t="shared" ca="1" si="46"/>
        <v>0</v>
      </c>
      <c r="M86" s="58">
        <f t="shared" si="4"/>
        <v>0</v>
      </c>
      <c r="N86" s="55">
        <v>0</v>
      </c>
      <c r="O86" s="55">
        <v>0</v>
      </c>
      <c r="P86" s="57">
        <f ca="1">IFERROR(__xludf.DUMMYFUNCTION("IMPORTRANGE(""https://docs.google.com/spreadsheets/d/1IYY_tgx_IHuhSq3AJ5eI5OnqOPBNLWSHKh2a30DoXe8/edit?usp=sharing"",""ยะลา!J22"")"),0)</f>
        <v>0</v>
      </c>
      <c r="Q86" s="57">
        <f ca="1">IFERROR(__xludf.DUMMYFUNCTION("IMPORTRANGE(""https://docs.google.com/spreadsheets/d/1IYY_tgx_IHuhSq3AJ5eI5OnqOPBNLWSHKh2a30DoXe8/edit?usp=sharing"",""ยะลา!J23"")"),0)</f>
        <v>0</v>
      </c>
      <c r="R86" s="55">
        <v>0</v>
      </c>
      <c r="S86" s="55">
        <v>0</v>
      </c>
      <c r="T86" s="57">
        <f ca="1">IFERROR(__xludf.DUMMYFUNCTION("IMPORTRANGE(""https://docs.google.com/spreadsheets/d/1IYY_tgx_IHuhSq3AJ5eI5OnqOPBNLWSHKh2a30DoXe8/edit?usp=sharing"",""ยะลา!J24"")"),0)</f>
        <v>0</v>
      </c>
      <c r="U86" s="57">
        <f ca="1">IFERROR(__xludf.DUMMYFUNCTION("IMPORTRANGE(""https://docs.google.com/spreadsheets/d/1IYY_tgx_IHuhSq3AJ5eI5OnqOPBNLWSHKh2a30DoXe8/edit?usp=sharing"",""ยะลา!J25"")"),0)</f>
        <v>0</v>
      </c>
      <c r="V86" s="55">
        <v>0</v>
      </c>
      <c r="W86" s="55">
        <v>0</v>
      </c>
      <c r="X86" s="57">
        <f ca="1">IFERROR(__xludf.DUMMYFUNCTION("IMPORTRANGE(""https://docs.google.com/spreadsheets/d/1IYY_tgx_IHuhSq3AJ5eI5OnqOPBNLWSHKh2a30DoXe8/edit?usp=sharing"",""ยะลา!J26"")"),0)</f>
        <v>0</v>
      </c>
      <c r="Y86" s="57">
        <f ca="1">IFERROR(__xludf.DUMMYFUNCTION("IMPORTRANGE(""https://docs.google.com/spreadsheets/d/1IYY_tgx_IHuhSq3AJ5eI5OnqOPBNLWSHKh2a30DoXe8/edit?usp=sharing"",""ยะลา!J27"")"),0)</f>
        <v>0</v>
      </c>
      <c r="Z86" s="55">
        <v>0</v>
      </c>
      <c r="AA86" s="57">
        <f ca="1">IFERROR(__xludf.DUMMYFUNCTION("IMPORTRANGE(""https://docs.google.com/spreadsheets/d/1IYY_tgx_IHuhSq3AJ5eI5OnqOPBNLWSHKh2a30DoXe8/edit?usp=sharing"",""ยะลา!J28"")"),0)</f>
        <v>0</v>
      </c>
      <c r="AB86" s="56">
        <f t="shared" si="11"/>
        <v>0</v>
      </c>
    </row>
    <row r="87" spans="1:28" ht="24" customHeight="1" x14ac:dyDescent="0.5">
      <c r="A87" s="52">
        <v>11</v>
      </c>
      <c r="B87" s="53" t="s">
        <v>102</v>
      </c>
      <c r="C87" s="54">
        <f t="shared" si="44"/>
        <v>0</v>
      </c>
      <c r="D87" s="55">
        <v>0</v>
      </c>
      <c r="E87" s="55">
        <v>0</v>
      </c>
      <c r="F87" s="55">
        <f ca="1">IFERROR(__xludf.DUMMYFUNCTION("IMPORTRANGE(""https://docs.google.com/spreadsheets/d/1IYY_tgx_IHuhSq3AJ5eI5OnqOPBNLWSHKh2a30DoXe8/edit?usp=sharing"",""ระนอง!M12"")"),0)</f>
        <v>0</v>
      </c>
      <c r="G87" s="56">
        <f t="shared" si="1"/>
        <v>0</v>
      </c>
      <c r="H87" s="57">
        <f t="shared" si="27"/>
        <v>0</v>
      </c>
      <c r="I87" s="57">
        <f t="shared" si="2"/>
        <v>0</v>
      </c>
      <c r="J87" s="57">
        <f t="shared" ca="1" si="45"/>
        <v>0</v>
      </c>
      <c r="K87" s="58">
        <f t="shared" si="3"/>
        <v>0</v>
      </c>
      <c r="L87" s="57">
        <f t="shared" ca="1" si="46"/>
        <v>0</v>
      </c>
      <c r="M87" s="58">
        <f t="shared" si="4"/>
        <v>0</v>
      </c>
      <c r="N87" s="55">
        <v>0</v>
      </c>
      <c r="O87" s="55">
        <v>0</v>
      </c>
      <c r="P87" s="57">
        <f ca="1">IFERROR(__xludf.DUMMYFUNCTION("IMPORTRANGE(""https://docs.google.com/spreadsheets/d/1IYY_tgx_IHuhSq3AJ5eI5OnqOPBNLWSHKh2a30DoXe8/edit?usp=sharing"",""ระนอง!J22"")"),0)</f>
        <v>0</v>
      </c>
      <c r="Q87" s="57">
        <f ca="1">IFERROR(__xludf.DUMMYFUNCTION("IMPORTRANGE(""https://docs.google.com/spreadsheets/d/1IYY_tgx_IHuhSq3AJ5eI5OnqOPBNLWSHKh2a30DoXe8/edit?usp=sharing"",""ระนอง!J23"")"),0)</f>
        <v>0</v>
      </c>
      <c r="R87" s="55">
        <v>0</v>
      </c>
      <c r="S87" s="55">
        <v>0</v>
      </c>
      <c r="T87" s="57">
        <f ca="1">IFERROR(__xludf.DUMMYFUNCTION("IMPORTRANGE(""https://docs.google.com/spreadsheets/d/1IYY_tgx_IHuhSq3AJ5eI5OnqOPBNLWSHKh2a30DoXe8/edit?usp=sharing"",""ระนอง!J24"")"),0)</f>
        <v>0</v>
      </c>
      <c r="U87" s="57">
        <f ca="1">IFERROR(__xludf.DUMMYFUNCTION("IMPORTRANGE(""https://docs.google.com/spreadsheets/d/1IYY_tgx_IHuhSq3AJ5eI5OnqOPBNLWSHKh2a30DoXe8/edit?usp=sharing"",""ระนอง!J25"")"),0)</f>
        <v>0</v>
      </c>
      <c r="V87" s="55">
        <v>0</v>
      </c>
      <c r="W87" s="55">
        <v>0</v>
      </c>
      <c r="X87" s="57">
        <f ca="1">IFERROR(__xludf.DUMMYFUNCTION("IMPORTRANGE(""https://docs.google.com/spreadsheets/d/1IYY_tgx_IHuhSq3AJ5eI5OnqOPBNLWSHKh2a30DoXe8/edit?usp=sharing"",""ระนอง!J26"")"),0)</f>
        <v>0</v>
      </c>
      <c r="Y87" s="57">
        <f ca="1">IFERROR(__xludf.DUMMYFUNCTION("IMPORTRANGE(""https://docs.google.com/spreadsheets/d/1IYY_tgx_IHuhSq3AJ5eI5OnqOPBNLWSHKh2a30DoXe8/edit?usp=sharing"",""ระนอง!J27"")"),0)</f>
        <v>0</v>
      </c>
      <c r="Z87" s="55">
        <v>0</v>
      </c>
      <c r="AA87" s="57">
        <f ca="1">IFERROR(__xludf.DUMMYFUNCTION("IMPORTRANGE(""https://docs.google.com/spreadsheets/d/1IYY_tgx_IHuhSq3AJ5eI5OnqOPBNLWSHKh2a30DoXe8/edit?usp=sharing"",""ระนอง!J28"")"),0)</f>
        <v>0</v>
      </c>
      <c r="AB87" s="56">
        <f t="shared" si="11"/>
        <v>0</v>
      </c>
    </row>
    <row r="88" spans="1:28" ht="24" customHeight="1" x14ac:dyDescent="0.5">
      <c r="A88" s="52">
        <v>12</v>
      </c>
      <c r="B88" s="53" t="s">
        <v>103</v>
      </c>
      <c r="C88" s="54">
        <f t="shared" si="44"/>
        <v>0</v>
      </c>
      <c r="D88" s="55">
        <v>0</v>
      </c>
      <c r="E88" s="55">
        <v>0</v>
      </c>
      <c r="F88" s="55">
        <f ca="1">IFERROR(__xludf.DUMMYFUNCTION("IMPORTRANGE(""https://docs.google.com/spreadsheets/d/1IYY_tgx_IHuhSq3AJ5eI5OnqOPBNLWSHKh2a30DoXe8/edit?usp=sharing"",""สงขลา!M12"")"),0)</f>
        <v>0</v>
      </c>
      <c r="G88" s="56">
        <f t="shared" si="1"/>
        <v>0</v>
      </c>
      <c r="H88" s="57">
        <f t="shared" si="27"/>
        <v>0</v>
      </c>
      <c r="I88" s="57">
        <f t="shared" si="2"/>
        <v>0</v>
      </c>
      <c r="J88" s="57">
        <f t="shared" ca="1" si="45"/>
        <v>0</v>
      </c>
      <c r="K88" s="58">
        <f t="shared" si="3"/>
        <v>0</v>
      </c>
      <c r="L88" s="57">
        <f t="shared" ca="1" si="46"/>
        <v>0</v>
      </c>
      <c r="M88" s="58">
        <f t="shared" si="4"/>
        <v>0</v>
      </c>
      <c r="N88" s="55">
        <v>0</v>
      </c>
      <c r="O88" s="55">
        <v>0</v>
      </c>
      <c r="P88" s="57">
        <f ca="1">IFERROR(__xludf.DUMMYFUNCTION("IMPORTRANGE(""https://docs.google.com/spreadsheets/d/1IYY_tgx_IHuhSq3AJ5eI5OnqOPBNLWSHKh2a30DoXe8/edit?usp=sharing"",""สงขลา!J22"")"),0)</f>
        <v>0</v>
      </c>
      <c r="Q88" s="57">
        <f ca="1">IFERROR(__xludf.DUMMYFUNCTION("IMPORTRANGE(""https://docs.google.com/spreadsheets/d/1IYY_tgx_IHuhSq3AJ5eI5OnqOPBNLWSHKh2a30DoXe8/edit?usp=sharing"",""สงขลา!J23"")"),0)</f>
        <v>0</v>
      </c>
      <c r="R88" s="55">
        <v>0</v>
      </c>
      <c r="S88" s="55">
        <v>0</v>
      </c>
      <c r="T88" s="57">
        <f ca="1">IFERROR(__xludf.DUMMYFUNCTION("IMPORTRANGE(""https://docs.google.com/spreadsheets/d/1IYY_tgx_IHuhSq3AJ5eI5OnqOPBNLWSHKh2a30DoXe8/edit?usp=sharing"",""สงขลา!J24"")"),0)</f>
        <v>0</v>
      </c>
      <c r="U88" s="57">
        <f ca="1">IFERROR(__xludf.DUMMYFUNCTION("IMPORTRANGE(""https://docs.google.com/spreadsheets/d/1IYY_tgx_IHuhSq3AJ5eI5OnqOPBNLWSHKh2a30DoXe8/edit?usp=sharing"",""สงขลา!J25"")"),0)</f>
        <v>0</v>
      </c>
      <c r="V88" s="55">
        <v>0</v>
      </c>
      <c r="W88" s="55">
        <v>0</v>
      </c>
      <c r="X88" s="57">
        <f ca="1">IFERROR(__xludf.DUMMYFUNCTION("IMPORTRANGE(""https://docs.google.com/spreadsheets/d/1IYY_tgx_IHuhSq3AJ5eI5OnqOPBNLWSHKh2a30DoXe8/edit?usp=sharing"",""สงขลา!J26"")"),0)</f>
        <v>0</v>
      </c>
      <c r="Y88" s="57">
        <f ca="1">IFERROR(__xludf.DUMMYFUNCTION("IMPORTRANGE(""https://docs.google.com/spreadsheets/d/1IYY_tgx_IHuhSq3AJ5eI5OnqOPBNLWSHKh2a30DoXe8/edit?usp=sharing"",""สงขลา!J27"")"),0)</f>
        <v>0</v>
      </c>
      <c r="Z88" s="55">
        <v>0</v>
      </c>
      <c r="AA88" s="57">
        <f ca="1">IFERROR(__xludf.DUMMYFUNCTION("IMPORTRANGE(""https://docs.google.com/spreadsheets/d/1IYY_tgx_IHuhSq3AJ5eI5OnqOPBNLWSHKh2a30DoXe8/edit?usp=sharing"",""สงขลา!J28"")"),0)</f>
        <v>0</v>
      </c>
      <c r="AB88" s="56">
        <f t="shared" si="11"/>
        <v>0</v>
      </c>
    </row>
    <row r="89" spans="1:28" ht="24" customHeight="1" x14ac:dyDescent="0.5">
      <c r="A89" s="52">
        <v>13</v>
      </c>
      <c r="B89" s="53" t="s">
        <v>104</v>
      </c>
      <c r="C89" s="54">
        <f t="shared" si="44"/>
        <v>0</v>
      </c>
      <c r="D89" s="55">
        <v>0</v>
      </c>
      <c r="E89" s="55">
        <v>0</v>
      </c>
      <c r="F89" s="55">
        <f ca="1">IFERROR(__xludf.DUMMYFUNCTION("IMPORTRANGE(""https://docs.google.com/spreadsheets/d/1IYY_tgx_IHuhSq3AJ5eI5OnqOPBNLWSHKh2a30DoXe8/edit?usp=sharing"",""สตูล!M12"")"),0)</f>
        <v>0</v>
      </c>
      <c r="G89" s="56">
        <f t="shared" si="1"/>
        <v>0</v>
      </c>
      <c r="H89" s="57">
        <f t="shared" si="27"/>
        <v>0</v>
      </c>
      <c r="I89" s="57">
        <f t="shared" si="2"/>
        <v>0</v>
      </c>
      <c r="J89" s="57">
        <f t="shared" ca="1" si="45"/>
        <v>0</v>
      </c>
      <c r="K89" s="58">
        <f t="shared" si="3"/>
        <v>0</v>
      </c>
      <c r="L89" s="57">
        <f t="shared" ca="1" si="46"/>
        <v>0</v>
      </c>
      <c r="M89" s="58">
        <f t="shared" si="4"/>
        <v>0</v>
      </c>
      <c r="N89" s="55">
        <v>0</v>
      </c>
      <c r="O89" s="55">
        <v>0</v>
      </c>
      <c r="P89" s="57">
        <f ca="1">IFERROR(__xludf.DUMMYFUNCTION("IMPORTRANGE(""https://docs.google.com/spreadsheets/d/1IYY_tgx_IHuhSq3AJ5eI5OnqOPBNLWSHKh2a30DoXe8/edit?usp=sharing"",""สตูล!J22"")"),0)</f>
        <v>0</v>
      </c>
      <c r="Q89" s="57">
        <f ca="1">IFERROR(__xludf.DUMMYFUNCTION("IMPORTRANGE(""https://docs.google.com/spreadsheets/d/1IYY_tgx_IHuhSq3AJ5eI5OnqOPBNLWSHKh2a30DoXe8/edit?usp=sharing"",""สตูล!J23"")"),0)</f>
        <v>0</v>
      </c>
      <c r="R89" s="55">
        <v>0</v>
      </c>
      <c r="S89" s="55">
        <v>0</v>
      </c>
      <c r="T89" s="57">
        <f ca="1">IFERROR(__xludf.DUMMYFUNCTION("IMPORTRANGE(""https://docs.google.com/spreadsheets/d/1IYY_tgx_IHuhSq3AJ5eI5OnqOPBNLWSHKh2a30DoXe8/edit?usp=sharing"",""สตูล!J24"")"),0)</f>
        <v>0</v>
      </c>
      <c r="U89" s="57">
        <f ca="1">IFERROR(__xludf.DUMMYFUNCTION("IMPORTRANGE(""https://docs.google.com/spreadsheets/d/1IYY_tgx_IHuhSq3AJ5eI5OnqOPBNLWSHKh2a30DoXe8/edit?usp=sharing"",""สตูล!J25"")"),0)</f>
        <v>0</v>
      </c>
      <c r="V89" s="55">
        <v>0</v>
      </c>
      <c r="W89" s="55">
        <v>0</v>
      </c>
      <c r="X89" s="57">
        <f ca="1">IFERROR(__xludf.DUMMYFUNCTION("IMPORTRANGE(""https://docs.google.com/spreadsheets/d/1IYY_tgx_IHuhSq3AJ5eI5OnqOPBNLWSHKh2a30DoXe8/edit?usp=sharing"",""สตูล!J26"")"),0)</f>
        <v>0</v>
      </c>
      <c r="Y89" s="57">
        <f ca="1">IFERROR(__xludf.DUMMYFUNCTION("IMPORTRANGE(""https://docs.google.com/spreadsheets/d/1IYY_tgx_IHuhSq3AJ5eI5OnqOPBNLWSHKh2a30DoXe8/edit?usp=sharing"",""สตูล!J27"")"),0)</f>
        <v>0</v>
      </c>
      <c r="Z89" s="55">
        <v>0</v>
      </c>
      <c r="AA89" s="57">
        <f ca="1">IFERROR(__xludf.DUMMYFUNCTION("IMPORTRANGE(""https://docs.google.com/spreadsheets/d/1IYY_tgx_IHuhSq3AJ5eI5OnqOPBNLWSHKh2a30DoXe8/edit?usp=sharing"",""สตูล!J28"")"),0)</f>
        <v>0</v>
      </c>
      <c r="AB89" s="56">
        <f t="shared" si="11"/>
        <v>0</v>
      </c>
    </row>
    <row r="90" spans="1:28" ht="24" customHeight="1" x14ac:dyDescent="0.5">
      <c r="A90" s="59">
        <v>14</v>
      </c>
      <c r="B90" s="60" t="s">
        <v>105</v>
      </c>
      <c r="C90" s="61">
        <f t="shared" si="44"/>
        <v>0</v>
      </c>
      <c r="D90" s="62">
        <v>0</v>
      </c>
      <c r="E90" s="62">
        <v>0</v>
      </c>
      <c r="F90" s="62">
        <f ca="1">IFERROR(__xludf.DUMMYFUNCTION("IMPORTRANGE(""https://docs.google.com/spreadsheets/d/1IYY_tgx_IHuhSq3AJ5eI5OnqOPBNLWSHKh2a30DoXe8/edit?usp=sharing"",""สุราษฎร์ธานี!M12"")"),0)</f>
        <v>0</v>
      </c>
      <c r="G90" s="63">
        <f t="shared" si="1"/>
        <v>0</v>
      </c>
      <c r="H90" s="64">
        <f t="shared" si="27"/>
        <v>0</v>
      </c>
      <c r="I90" s="64">
        <f t="shared" si="2"/>
        <v>0</v>
      </c>
      <c r="J90" s="64">
        <f t="shared" ca="1" si="45"/>
        <v>0</v>
      </c>
      <c r="K90" s="65">
        <f t="shared" si="3"/>
        <v>0</v>
      </c>
      <c r="L90" s="64">
        <f t="shared" ca="1" si="46"/>
        <v>0</v>
      </c>
      <c r="M90" s="65">
        <f t="shared" si="4"/>
        <v>0</v>
      </c>
      <c r="N90" s="62">
        <v>0</v>
      </c>
      <c r="O90" s="62">
        <v>0</v>
      </c>
      <c r="P90" s="64">
        <f ca="1">IFERROR(__xludf.DUMMYFUNCTION("IMPORTRANGE(""https://docs.google.com/spreadsheets/d/1IYY_tgx_IHuhSq3AJ5eI5OnqOPBNLWSHKh2a30DoXe8/edit?usp=sharing"",""สุราษฎร์ธานี!J22"")"),0)</f>
        <v>0</v>
      </c>
      <c r="Q90" s="64">
        <f ca="1">IFERROR(__xludf.DUMMYFUNCTION("IMPORTRANGE(""https://docs.google.com/spreadsheets/d/1IYY_tgx_IHuhSq3AJ5eI5OnqOPBNLWSHKh2a30DoXe8/edit?usp=sharing"",""สุราษฎร์ธานี!J23"")"),0)</f>
        <v>0</v>
      </c>
      <c r="R90" s="62">
        <v>0</v>
      </c>
      <c r="S90" s="62">
        <v>0</v>
      </c>
      <c r="T90" s="64">
        <f ca="1">IFERROR(__xludf.DUMMYFUNCTION("IMPORTRANGE(""https://docs.google.com/spreadsheets/d/1IYY_tgx_IHuhSq3AJ5eI5OnqOPBNLWSHKh2a30DoXe8/edit?usp=sharing"",""สุราษฎร์ธานี!J24"")"),0)</f>
        <v>0</v>
      </c>
      <c r="U90" s="64">
        <f ca="1">IFERROR(__xludf.DUMMYFUNCTION("IMPORTRANGE(""https://docs.google.com/spreadsheets/d/1IYY_tgx_IHuhSq3AJ5eI5OnqOPBNLWSHKh2a30DoXe8/edit?usp=sharing"",""สุราษฎร์ธานี!J25"")"),0)</f>
        <v>0</v>
      </c>
      <c r="V90" s="62">
        <v>0</v>
      </c>
      <c r="W90" s="62">
        <v>0</v>
      </c>
      <c r="X90" s="64">
        <f ca="1">IFERROR(__xludf.DUMMYFUNCTION("IMPORTRANGE(""https://docs.google.com/spreadsheets/d/1IYY_tgx_IHuhSq3AJ5eI5OnqOPBNLWSHKh2a30DoXe8/edit?usp=sharing"",""สุราษฎร์ธานี!J26"")"),0)</f>
        <v>0</v>
      </c>
      <c r="Y90" s="64">
        <f ca="1">IFERROR(__xludf.DUMMYFUNCTION("IMPORTRANGE(""https://docs.google.com/spreadsheets/d/1IYY_tgx_IHuhSq3AJ5eI5OnqOPBNLWSHKh2a30DoXe8/edit?usp=sharing"",""สุราษฎร์ธานี!J27"")"),0)</f>
        <v>0</v>
      </c>
      <c r="Z90" s="62">
        <v>0</v>
      </c>
      <c r="AA90" s="64">
        <f ca="1">IFERROR(__xludf.DUMMYFUNCTION("IMPORTRANGE(""https://docs.google.com/spreadsheets/d/1IYY_tgx_IHuhSq3AJ5eI5OnqOPBNLWSHKh2a30DoXe8/edit?usp=sharing"",""สุราษฎร์ธานี!J28"")"),0)</f>
        <v>0</v>
      </c>
      <c r="AB90" s="63">
        <f t="shared" si="11"/>
        <v>0</v>
      </c>
    </row>
    <row r="91" spans="1:28" ht="24" customHeight="1" x14ac:dyDescent="0.5">
      <c r="A91" s="572" t="s">
        <v>106</v>
      </c>
      <c r="B91" s="571"/>
      <c r="C91" s="35">
        <f t="shared" ref="C91:F91" si="47">+C92+C93+C94+C95+C96+C97+C98+C99+C100+C101+C102+C103+C104+C105</f>
        <v>8851600</v>
      </c>
      <c r="D91" s="35">
        <f t="shared" si="47"/>
        <v>4010200</v>
      </c>
      <c r="E91" s="35">
        <f t="shared" si="47"/>
        <v>4841400</v>
      </c>
      <c r="F91" s="35">
        <f t="shared" ca="1" si="47"/>
        <v>550278</v>
      </c>
      <c r="G91" s="36">
        <f t="shared" ca="1" si="1"/>
        <v>6.2167065841203852</v>
      </c>
      <c r="H91" s="35">
        <f t="shared" ref="H91:J91" si="48">+H92+H93+H94+H95+H96+H97+H98+H99+H100+H101+H102+H103+H104+H105</f>
        <v>0</v>
      </c>
      <c r="I91" s="35">
        <f t="shared" si="48"/>
        <v>0</v>
      </c>
      <c r="J91" s="35">
        <f t="shared" si="48"/>
        <v>0</v>
      </c>
      <c r="K91" s="36">
        <f t="shared" si="3"/>
        <v>0</v>
      </c>
      <c r="L91" s="35">
        <f>+L92+L93+L94+L95+L96+L97+L98+L99+L100+L101+L102+L103+L104+L105</f>
        <v>0</v>
      </c>
      <c r="M91" s="36">
        <f t="shared" si="4"/>
        <v>0</v>
      </c>
      <c r="N91" s="35">
        <f t="shared" ref="N91:AA91" si="49">+N92+N93+N94+N95+N96+N97+N98+N99+N100+N101+N102+N103+N104+N105</f>
        <v>0</v>
      </c>
      <c r="O91" s="35">
        <f t="shared" si="49"/>
        <v>0</v>
      </c>
      <c r="P91" s="35">
        <f t="shared" si="49"/>
        <v>0</v>
      </c>
      <c r="Q91" s="35">
        <f t="shared" si="49"/>
        <v>0</v>
      </c>
      <c r="R91" s="35">
        <f t="shared" si="49"/>
        <v>0</v>
      </c>
      <c r="S91" s="35">
        <f t="shared" si="49"/>
        <v>0</v>
      </c>
      <c r="T91" s="35">
        <f t="shared" si="49"/>
        <v>0</v>
      </c>
      <c r="U91" s="35">
        <f t="shared" si="49"/>
        <v>0</v>
      </c>
      <c r="V91" s="35">
        <f t="shared" si="49"/>
        <v>0</v>
      </c>
      <c r="W91" s="35">
        <f t="shared" si="49"/>
        <v>0</v>
      </c>
      <c r="X91" s="35">
        <f t="shared" si="49"/>
        <v>0</v>
      </c>
      <c r="Y91" s="35">
        <f t="shared" si="49"/>
        <v>0</v>
      </c>
      <c r="Z91" s="35">
        <f t="shared" si="49"/>
        <v>0</v>
      </c>
      <c r="AA91" s="35">
        <f t="shared" si="49"/>
        <v>0</v>
      </c>
      <c r="AB91" s="36">
        <f t="shared" si="11"/>
        <v>0</v>
      </c>
    </row>
    <row r="92" spans="1:28" ht="24" customHeight="1" x14ac:dyDescent="0.5">
      <c r="A92" s="68">
        <v>1</v>
      </c>
      <c r="B92" s="69" t="s">
        <v>107</v>
      </c>
      <c r="C92" s="47">
        <f t="shared" ref="C92:C105" si="50">+D92+E92</f>
        <v>0</v>
      </c>
      <c r="D92" s="48">
        <v>0</v>
      </c>
      <c r="E92" s="48">
        <v>0</v>
      </c>
      <c r="F92" s="48">
        <f ca="1">IFERROR(__xludf.DUMMYFUNCTION("IMPORTRANGE(""https://docs.google.com/spreadsheets/d/1Yj_ptqi66GCucihVvJfMjLAmec39IyEx_6qawtMGysU/edit?usp=sharing"",""สบก!AJ96"")"),0)</f>
        <v>0</v>
      </c>
      <c r="G92" s="50">
        <f t="shared" si="1"/>
        <v>0</v>
      </c>
      <c r="H92" s="48">
        <v>0</v>
      </c>
      <c r="I92" s="48">
        <v>0</v>
      </c>
      <c r="J92" s="48">
        <v>0</v>
      </c>
      <c r="K92" s="50">
        <f t="shared" si="3"/>
        <v>0</v>
      </c>
      <c r="L92" s="48">
        <v>0</v>
      </c>
      <c r="M92" s="50">
        <f t="shared" si="4"/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50">
        <f t="shared" si="11"/>
        <v>0</v>
      </c>
    </row>
    <row r="93" spans="1:28" ht="24" customHeight="1" x14ac:dyDescent="0.5">
      <c r="A93" s="70">
        <v>2</v>
      </c>
      <c r="B93" s="71" t="s">
        <v>108</v>
      </c>
      <c r="C93" s="54">
        <f t="shared" si="50"/>
        <v>0</v>
      </c>
      <c r="D93" s="55">
        <v>0</v>
      </c>
      <c r="E93" s="55">
        <v>0</v>
      </c>
      <c r="F93" s="55">
        <f ca="1">IFERROR(__xludf.DUMMYFUNCTION("IMPORTRANGE(""https://docs.google.com/spreadsheets/d/1Yj_ptqi66GCucihVvJfMjLAmec39IyEx_6qawtMGysU/edit?usp=sharing"",""สบก!AJ97"")"),0)</f>
        <v>0</v>
      </c>
      <c r="G93" s="56">
        <f t="shared" si="1"/>
        <v>0</v>
      </c>
      <c r="H93" s="55">
        <v>0</v>
      </c>
      <c r="I93" s="55">
        <v>0</v>
      </c>
      <c r="J93" s="55">
        <v>0</v>
      </c>
      <c r="K93" s="56">
        <f t="shared" si="3"/>
        <v>0</v>
      </c>
      <c r="L93" s="55">
        <v>0</v>
      </c>
      <c r="M93" s="56">
        <f t="shared" si="4"/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6">
        <f t="shared" si="11"/>
        <v>0</v>
      </c>
    </row>
    <row r="94" spans="1:28" ht="24" customHeight="1" x14ac:dyDescent="0.5">
      <c r="A94" s="70">
        <v>3</v>
      </c>
      <c r="B94" s="71" t="s">
        <v>109</v>
      </c>
      <c r="C94" s="54">
        <f t="shared" si="50"/>
        <v>0</v>
      </c>
      <c r="D94" s="55">
        <v>0</v>
      </c>
      <c r="E94" s="55">
        <v>0</v>
      </c>
      <c r="F94" s="55">
        <f ca="1">IFERROR(__xludf.DUMMYFUNCTION("IMPORTRANGE(""https://docs.google.com/spreadsheets/d/1Yj_ptqi66GCucihVvJfMjLAmec39IyEx_6qawtMGysU/edit?usp=sharing"",""สบก!AJ98"")"),0)</f>
        <v>0</v>
      </c>
      <c r="G94" s="56">
        <f t="shared" si="1"/>
        <v>0</v>
      </c>
      <c r="H94" s="55">
        <v>0</v>
      </c>
      <c r="I94" s="55">
        <v>0</v>
      </c>
      <c r="J94" s="55">
        <v>0</v>
      </c>
      <c r="K94" s="56">
        <f t="shared" si="3"/>
        <v>0</v>
      </c>
      <c r="L94" s="55">
        <v>0</v>
      </c>
      <c r="M94" s="56">
        <f t="shared" si="4"/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6">
        <f t="shared" si="11"/>
        <v>0</v>
      </c>
    </row>
    <row r="95" spans="1:28" ht="24" customHeight="1" x14ac:dyDescent="0.5">
      <c r="A95" s="70">
        <f t="shared" ref="A95:A105" si="51">+A94+1</f>
        <v>4</v>
      </c>
      <c r="B95" s="71" t="s">
        <v>110</v>
      </c>
      <c r="C95" s="54">
        <f t="shared" si="50"/>
        <v>194000</v>
      </c>
      <c r="D95" s="55">
        <v>194000</v>
      </c>
      <c r="E95" s="55">
        <v>0</v>
      </c>
      <c r="F95" s="55">
        <f ca="1">IFERROR(__xludf.DUMMYFUNCTION("IMPORTRANGE(""https://docs.google.com/spreadsheets/d/1Yj_ptqi66GCucihVvJfMjLAmec39IyEx_6qawtMGysU/edit?usp=sharing"",""สบก!AJ99"")"),30200)</f>
        <v>30200</v>
      </c>
      <c r="G95" s="56">
        <f t="shared" ca="1" si="1"/>
        <v>15.56701030927835</v>
      </c>
      <c r="H95" s="55">
        <v>0</v>
      </c>
      <c r="I95" s="55">
        <v>0</v>
      </c>
      <c r="J95" s="55">
        <v>0</v>
      </c>
      <c r="K95" s="56">
        <f t="shared" si="3"/>
        <v>0</v>
      </c>
      <c r="L95" s="55">
        <v>0</v>
      </c>
      <c r="M95" s="56">
        <f t="shared" si="4"/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6">
        <f t="shared" si="11"/>
        <v>0</v>
      </c>
    </row>
    <row r="96" spans="1:28" ht="24" customHeight="1" x14ac:dyDescent="0.5">
      <c r="A96" s="70">
        <f t="shared" si="51"/>
        <v>5</v>
      </c>
      <c r="B96" s="71" t="s">
        <v>111</v>
      </c>
      <c r="C96" s="54">
        <f t="shared" si="50"/>
        <v>0</v>
      </c>
      <c r="D96" s="55">
        <v>0</v>
      </c>
      <c r="E96" s="55">
        <v>0</v>
      </c>
      <c r="F96" s="55">
        <f ca="1">IFERROR(__xludf.DUMMYFUNCTION("IMPORTRANGE(""https://docs.google.com/spreadsheets/d/1Yj_ptqi66GCucihVvJfMjLAmec39IyEx_6qawtMGysU/edit?usp=sharing"",""สบก!AJ100"")"),0)</f>
        <v>0</v>
      </c>
      <c r="G96" s="56">
        <f t="shared" si="1"/>
        <v>0</v>
      </c>
      <c r="H96" s="55">
        <v>0</v>
      </c>
      <c r="I96" s="55">
        <v>0</v>
      </c>
      <c r="J96" s="55">
        <v>0</v>
      </c>
      <c r="K96" s="56">
        <f t="shared" si="3"/>
        <v>0</v>
      </c>
      <c r="L96" s="55">
        <v>0</v>
      </c>
      <c r="M96" s="56">
        <f t="shared" si="4"/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6">
        <f t="shared" si="11"/>
        <v>0</v>
      </c>
    </row>
    <row r="97" spans="1:28" ht="24" customHeight="1" x14ac:dyDescent="0.5">
      <c r="A97" s="70">
        <f t="shared" si="51"/>
        <v>6</v>
      </c>
      <c r="B97" s="71" t="s">
        <v>112</v>
      </c>
      <c r="C97" s="54">
        <f t="shared" si="50"/>
        <v>0</v>
      </c>
      <c r="D97" s="55">
        <v>0</v>
      </c>
      <c r="E97" s="55">
        <v>0</v>
      </c>
      <c r="F97" s="55">
        <f ca="1">IFERROR(__xludf.DUMMYFUNCTION("IMPORTRANGE(""https://docs.google.com/spreadsheets/d/1Yj_ptqi66GCucihVvJfMjLAmec39IyEx_6qawtMGysU/edit?usp=sharing"",""สบก!AJ101"")"),0)</f>
        <v>0</v>
      </c>
      <c r="G97" s="56">
        <f t="shared" si="1"/>
        <v>0</v>
      </c>
      <c r="H97" s="55">
        <v>0</v>
      </c>
      <c r="I97" s="55">
        <v>0</v>
      </c>
      <c r="J97" s="55">
        <v>0</v>
      </c>
      <c r="K97" s="56">
        <f t="shared" si="3"/>
        <v>0</v>
      </c>
      <c r="L97" s="55">
        <v>0</v>
      </c>
      <c r="M97" s="56">
        <f t="shared" si="4"/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6">
        <f t="shared" si="11"/>
        <v>0</v>
      </c>
    </row>
    <row r="98" spans="1:28" ht="24" customHeight="1" x14ac:dyDescent="0.5">
      <c r="A98" s="70">
        <f t="shared" si="51"/>
        <v>7</v>
      </c>
      <c r="B98" s="71" t="s">
        <v>113</v>
      </c>
      <c r="C98" s="54">
        <f t="shared" si="50"/>
        <v>8657600</v>
      </c>
      <c r="D98" s="55">
        <v>3816200</v>
      </c>
      <c r="E98" s="55">
        <v>4841400</v>
      </c>
      <c r="F98" s="55">
        <f ca="1">IFERROR(__xludf.DUMMYFUNCTION("IMPORTRANGE(""https://docs.google.com/spreadsheets/d/1Yj_ptqi66GCucihVvJfMjLAmec39IyEx_6qawtMGysU/edit?usp=sharing"",""สบก!AJ102"")"),520078)</f>
        <v>520078</v>
      </c>
      <c r="G98" s="56">
        <f t="shared" ca="1" si="1"/>
        <v>6.0071844391055258</v>
      </c>
      <c r="H98" s="55">
        <v>0</v>
      </c>
      <c r="I98" s="55">
        <v>0</v>
      </c>
      <c r="J98" s="55">
        <v>0</v>
      </c>
      <c r="K98" s="56">
        <f t="shared" si="3"/>
        <v>0</v>
      </c>
      <c r="L98" s="55">
        <v>0</v>
      </c>
      <c r="M98" s="56">
        <f t="shared" si="4"/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6">
        <f t="shared" si="11"/>
        <v>0</v>
      </c>
    </row>
    <row r="99" spans="1:28" ht="24" customHeight="1" x14ac:dyDescent="0.5">
      <c r="A99" s="70">
        <f t="shared" si="51"/>
        <v>8</v>
      </c>
      <c r="B99" s="71" t="s">
        <v>114</v>
      </c>
      <c r="C99" s="54">
        <f t="shared" si="50"/>
        <v>0</v>
      </c>
      <c r="D99" s="55">
        <v>0</v>
      </c>
      <c r="E99" s="55">
        <v>0</v>
      </c>
      <c r="F99" s="55">
        <f ca="1">IFERROR(__xludf.DUMMYFUNCTION("IMPORTRANGE(""https://docs.google.com/spreadsheets/d/1Yj_ptqi66GCucihVvJfMjLAmec39IyEx_6qawtMGysU/edit?usp=sharing"",""สบก!AJ103"")"),0)</f>
        <v>0</v>
      </c>
      <c r="G99" s="56">
        <f t="shared" si="1"/>
        <v>0</v>
      </c>
      <c r="H99" s="55">
        <v>0</v>
      </c>
      <c r="I99" s="55">
        <v>0</v>
      </c>
      <c r="J99" s="55">
        <v>0</v>
      </c>
      <c r="K99" s="56">
        <f t="shared" si="3"/>
        <v>0</v>
      </c>
      <c r="L99" s="55">
        <v>0</v>
      </c>
      <c r="M99" s="56">
        <f t="shared" si="4"/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6">
        <f t="shared" si="11"/>
        <v>0</v>
      </c>
    </row>
    <row r="100" spans="1:28" ht="24" customHeight="1" x14ac:dyDescent="0.5">
      <c r="A100" s="70">
        <f t="shared" si="51"/>
        <v>9</v>
      </c>
      <c r="B100" s="71" t="s">
        <v>115</v>
      </c>
      <c r="C100" s="54">
        <f t="shared" si="50"/>
        <v>0</v>
      </c>
      <c r="D100" s="55">
        <v>0</v>
      </c>
      <c r="E100" s="55">
        <v>0</v>
      </c>
      <c r="F100" s="55">
        <f ca="1">IFERROR(__xludf.DUMMYFUNCTION("IMPORTRANGE(""https://docs.google.com/spreadsheets/d/1Yj_ptqi66GCucihVvJfMjLAmec39IyEx_6qawtMGysU/edit?usp=sharing"",""สบก!AJ104"")"),0)</f>
        <v>0</v>
      </c>
      <c r="G100" s="56">
        <f t="shared" si="1"/>
        <v>0</v>
      </c>
      <c r="H100" s="55">
        <v>0</v>
      </c>
      <c r="I100" s="55">
        <v>0</v>
      </c>
      <c r="J100" s="55">
        <v>0</v>
      </c>
      <c r="K100" s="56">
        <f t="shared" si="3"/>
        <v>0</v>
      </c>
      <c r="L100" s="55">
        <v>0</v>
      </c>
      <c r="M100" s="56">
        <f t="shared" si="4"/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6">
        <f t="shared" si="11"/>
        <v>0</v>
      </c>
    </row>
    <row r="101" spans="1:28" ht="24" customHeight="1" x14ac:dyDescent="0.5">
      <c r="A101" s="70">
        <f t="shared" si="51"/>
        <v>10</v>
      </c>
      <c r="B101" s="71" t="s">
        <v>116</v>
      </c>
      <c r="C101" s="54">
        <f t="shared" si="50"/>
        <v>0</v>
      </c>
      <c r="D101" s="55">
        <v>0</v>
      </c>
      <c r="E101" s="55">
        <v>0</v>
      </c>
      <c r="F101" s="55">
        <f ca="1">IFERROR(__xludf.DUMMYFUNCTION("IMPORTRANGE(""https://docs.google.com/spreadsheets/d/1Yj_ptqi66GCucihVvJfMjLAmec39IyEx_6qawtMGysU/edit?usp=sharing"",""สบก!AJ105"")"),0)</f>
        <v>0</v>
      </c>
      <c r="G101" s="56">
        <f t="shared" si="1"/>
        <v>0</v>
      </c>
      <c r="H101" s="55">
        <v>0</v>
      </c>
      <c r="I101" s="55">
        <v>0</v>
      </c>
      <c r="J101" s="55">
        <v>0</v>
      </c>
      <c r="K101" s="56">
        <f t="shared" si="3"/>
        <v>0</v>
      </c>
      <c r="L101" s="55">
        <v>0</v>
      </c>
      <c r="M101" s="56">
        <f t="shared" si="4"/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6">
        <f t="shared" si="11"/>
        <v>0</v>
      </c>
    </row>
    <row r="102" spans="1:28" ht="24" customHeight="1" x14ac:dyDescent="0.5">
      <c r="A102" s="70">
        <f t="shared" si="51"/>
        <v>11</v>
      </c>
      <c r="B102" s="71" t="s">
        <v>117</v>
      </c>
      <c r="C102" s="54">
        <f t="shared" si="50"/>
        <v>0</v>
      </c>
      <c r="D102" s="55">
        <v>0</v>
      </c>
      <c r="E102" s="55">
        <v>0</v>
      </c>
      <c r="F102" s="55">
        <f ca="1">IFERROR(__xludf.DUMMYFUNCTION("IMPORTRANGE(""https://docs.google.com/spreadsheets/d/1Yj_ptqi66GCucihVvJfMjLAmec39IyEx_6qawtMGysU/edit?usp=sharing"",""สบก!AJ106"")"),0)</f>
        <v>0</v>
      </c>
      <c r="G102" s="56">
        <f t="shared" si="1"/>
        <v>0</v>
      </c>
      <c r="H102" s="55">
        <v>0</v>
      </c>
      <c r="I102" s="55">
        <v>0</v>
      </c>
      <c r="J102" s="55">
        <v>0</v>
      </c>
      <c r="K102" s="56">
        <f t="shared" si="3"/>
        <v>0</v>
      </c>
      <c r="L102" s="55">
        <v>0</v>
      </c>
      <c r="M102" s="56">
        <f t="shared" si="4"/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6">
        <f t="shared" si="11"/>
        <v>0</v>
      </c>
    </row>
    <row r="103" spans="1:28" ht="24" customHeight="1" x14ac:dyDescent="0.5">
      <c r="A103" s="70">
        <f t="shared" si="51"/>
        <v>12</v>
      </c>
      <c r="B103" s="71" t="s">
        <v>118</v>
      </c>
      <c r="C103" s="54">
        <f t="shared" si="50"/>
        <v>0</v>
      </c>
      <c r="D103" s="55">
        <v>0</v>
      </c>
      <c r="E103" s="55">
        <v>0</v>
      </c>
      <c r="F103" s="55">
        <f ca="1">IFERROR(__xludf.DUMMYFUNCTION("IMPORTRANGE(""https://docs.google.com/spreadsheets/d/1Yj_ptqi66GCucihVvJfMjLAmec39IyEx_6qawtMGysU/edit?usp=sharing"",""สบก!AJ107"")"),0)</f>
        <v>0</v>
      </c>
      <c r="G103" s="56">
        <f t="shared" si="1"/>
        <v>0</v>
      </c>
      <c r="H103" s="55">
        <v>0</v>
      </c>
      <c r="I103" s="55">
        <v>0</v>
      </c>
      <c r="J103" s="55">
        <v>0</v>
      </c>
      <c r="K103" s="56">
        <f t="shared" si="3"/>
        <v>0</v>
      </c>
      <c r="L103" s="55">
        <v>0</v>
      </c>
      <c r="M103" s="56">
        <f t="shared" si="4"/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6">
        <f t="shared" si="11"/>
        <v>0</v>
      </c>
    </row>
    <row r="104" spans="1:28" ht="24" customHeight="1" x14ac:dyDescent="0.5">
      <c r="A104" s="70">
        <f t="shared" si="51"/>
        <v>13</v>
      </c>
      <c r="B104" s="457" t="s">
        <v>119</v>
      </c>
      <c r="C104" s="54">
        <f t="shared" si="50"/>
        <v>0</v>
      </c>
      <c r="D104" s="55">
        <v>0</v>
      </c>
      <c r="E104" s="55">
        <v>0</v>
      </c>
      <c r="F104" s="55">
        <f ca="1">IFERROR(__xludf.DUMMYFUNCTION("IMPORTRANGE(""https://docs.google.com/spreadsheets/d/1Yj_ptqi66GCucihVvJfMjLAmec39IyEx_6qawtMGysU/edit?usp=sharing"",""สบก!AJ108"")"),0)</f>
        <v>0</v>
      </c>
      <c r="G104" s="56">
        <f t="shared" si="1"/>
        <v>0</v>
      </c>
      <c r="H104" s="55">
        <v>0</v>
      </c>
      <c r="I104" s="55">
        <v>0</v>
      </c>
      <c r="J104" s="55">
        <v>0</v>
      </c>
      <c r="K104" s="56">
        <f t="shared" si="3"/>
        <v>0</v>
      </c>
      <c r="L104" s="55">
        <v>0</v>
      </c>
      <c r="M104" s="56">
        <f t="shared" si="4"/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0</v>
      </c>
      <c r="Z104" s="55">
        <v>0</v>
      </c>
      <c r="AA104" s="55">
        <v>0</v>
      </c>
      <c r="AB104" s="56">
        <f t="shared" si="11"/>
        <v>0</v>
      </c>
    </row>
    <row r="105" spans="1:28" ht="24" customHeight="1" x14ac:dyDescent="0.5">
      <c r="A105" s="72">
        <f t="shared" si="51"/>
        <v>14</v>
      </c>
      <c r="B105" s="73" t="s">
        <v>120</v>
      </c>
      <c r="C105" s="61">
        <f t="shared" si="50"/>
        <v>0</v>
      </c>
      <c r="D105" s="62">
        <v>0</v>
      </c>
      <c r="E105" s="62">
        <v>0</v>
      </c>
      <c r="F105" s="62">
        <f ca="1">IFERROR(__xludf.DUMMYFUNCTION("IMPORTRANGE(""https://docs.google.com/spreadsheets/d/1Yj_ptqi66GCucihVvJfMjLAmec39IyEx_6qawtMGysU/edit?usp=sharing"",""สบก!AJ109"")"),0)</f>
        <v>0</v>
      </c>
      <c r="G105" s="63">
        <f t="shared" si="1"/>
        <v>0</v>
      </c>
      <c r="H105" s="62">
        <v>0</v>
      </c>
      <c r="I105" s="62">
        <v>0</v>
      </c>
      <c r="J105" s="62">
        <v>0</v>
      </c>
      <c r="K105" s="63">
        <f t="shared" si="3"/>
        <v>0</v>
      </c>
      <c r="L105" s="62">
        <v>0</v>
      </c>
      <c r="M105" s="63">
        <f t="shared" si="4"/>
        <v>0</v>
      </c>
      <c r="N105" s="62">
        <v>0</v>
      </c>
      <c r="O105" s="62">
        <v>0</v>
      </c>
      <c r="P105" s="62">
        <v>0</v>
      </c>
      <c r="Q105" s="62">
        <v>0</v>
      </c>
      <c r="R105" s="62">
        <v>0</v>
      </c>
      <c r="S105" s="62">
        <v>0</v>
      </c>
      <c r="T105" s="62">
        <v>0</v>
      </c>
      <c r="U105" s="62">
        <v>0</v>
      </c>
      <c r="V105" s="62">
        <v>0</v>
      </c>
      <c r="W105" s="62">
        <v>0</v>
      </c>
      <c r="X105" s="62">
        <v>0</v>
      </c>
      <c r="Y105" s="62">
        <v>0</v>
      </c>
      <c r="Z105" s="62">
        <v>0</v>
      </c>
      <c r="AA105" s="62">
        <v>0</v>
      </c>
      <c r="AB105" s="63">
        <f t="shared" si="11"/>
        <v>0</v>
      </c>
    </row>
    <row r="106" spans="1:28" ht="24" customHeight="1" x14ac:dyDescent="0.5">
      <c r="A106" s="572" t="s">
        <v>121</v>
      </c>
      <c r="B106" s="571"/>
      <c r="C106" s="35">
        <f t="shared" ref="C106:F106" si="52">+C107+C108+C109+C110+C111+C112+C113+C114</f>
        <v>1537000</v>
      </c>
      <c r="D106" s="35">
        <f t="shared" si="52"/>
        <v>1537000</v>
      </c>
      <c r="E106" s="35">
        <f t="shared" si="52"/>
        <v>0</v>
      </c>
      <c r="F106" s="35">
        <f t="shared" ca="1" si="52"/>
        <v>0</v>
      </c>
      <c r="G106" s="36">
        <f t="shared" ca="1" si="1"/>
        <v>0</v>
      </c>
      <c r="H106" s="35">
        <f t="shared" ref="H106:J106" si="53">+H107+H108+H109+H110+H111+H112+H113+H114</f>
        <v>0</v>
      </c>
      <c r="I106" s="35">
        <f t="shared" si="53"/>
        <v>0</v>
      </c>
      <c r="J106" s="35">
        <f t="shared" si="53"/>
        <v>0</v>
      </c>
      <c r="K106" s="36">
        <f t="shared" si="3"/>
        <v>0</v>
      </c>
      <c r="L106" s="35">
        <f>+L107+L108+L109+L110+L111+L112+L113+L114</f>
        <v>0</v>
      </c>
      <c r="M106" s="36">
        <f t="shared" si="4"/>
        <v>0</v>
      </c>
      <c r="N106" s="35">
        <f t="shared" ref="N106:AA106" si="54">+N107+N108+N109+N110+N111+N112+N113+N114</f>
        <v>0</v>
      </c>
      <c r="O106" s="35">
        <f t="shared" si="54"/>
        <v>0</v>
      </c>
      <c r="P106" s="35">
        <f t="shared" si="54"/>
        <v>0</v>
      </c>
      <c r="Q106" s="35">
        <f t="shared" si="54"/>
        <v>0</v>
      </c>
      <c r="R106" s="35">
        <f t="shared" si="54"/>
        <v>0</v>
      </c>
      <c r="S106" s="35">
        <f t="shared" si="54"/>
        <v>0</v>
      </c>
      <c r="T106" s="35">
        <f t="shared" si="54"/>
        <v>0</v>
      </c>
      <c r="U106" s="35">
        <f t="shared" si="54"/>
        <v>0</v>
      </c>
      <c r="V106" s="35">
        <f t="shared" si="54"/>
        <v>0</v>
      </c>
      <c r="W106" s="35">
        <f t="shared" si="54"/>
        <v>0</v>
      </c>
      <c r="X106" s="35">
        <f t="shared" si="54"/>
        <v>0</v>
      </c>
      <c r="Y106" s="35">
        <f t="shared" si="54"/>
        <v>0</v>
      </c>
      <c r="Z106" s="35">
        <f t="shared" si="54"/>
        <v>0</v>
      </c>
      <c r="AA106" s="35">
        <f t="shared" si="54"/>
        <v>0</v>
      </c>
      <c r="AB106" s="36">
        <f t="shared" si="11"/>
        <v>0</v>
      </c>
    </row>
    <row r="107" spans="1:28" ht="24" customHeight="1" x14ac:dyDescent="0.5">
      <c r="A107" s="68">
        <v>1</v>
      </c>
      <c r="B107" s="74" t="s">
        <v>122</v>
      </c>
      <c r="C107" s="47">
        <f t="shared" ref="C107:C114" si="55">+D107+E107</f>
        <v>537000</v>
      </c>
      <c r="D107" s="48">
        <v>537000</v>
      </c>
      <c r="E107" s="48">
        <v>0</v>
      </c>
      <c r="F107" s="48">
        <f ca="1">IFERROR(__xludf.DUMMYFUNCTION("IMPORTRANGE(""https://docs.google.com/spreadsheets/d/1Yj_ptqi66GCucihVvJfMjLAmec39IyEx_6qawtMGysU/edit?usp=sharing"",""สบก!AJ96"")"),0)</f>
        <v>0</v>
      </c>
      <c r="G107" s="50">
        <f t="shared" ca="1" si="1"/>
        <v>0</v>
      </c>
      <c r="H107" s="48">
        <v>0</v>
      </c>
      <c r="I107" s="48">
        <v>0</v>
      </c>
      <c r="J107" s="48">
        <v>0</v>
      </c>
      <c r="K107" s="50">
        <f t="shared" si="3"/>
        <v>0</v>
      </c>
      <c r="L107" s="48">
        <v>0</v>
      </c>
      <c r="M107" s="50">
        <f t="shared" si="4"/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50">
        <f t="shared" si="11"/>
        <v>0</v>
      </c>
    </row>
    <row r="108" spans="1:28" ht="24" customHeight="1" x14ac:dyDescent="0.5">
      <c r="A108" s="70">
        <v>2</v>
      </c>
      <c r="B108" s="75" t="s">
        <v>123</v>
      </c>
      <c r="C108" s="54">
        <f t="shared" si="55"/>
        <v>0</v>
      </c>
      <c r="D108" s="55">
        <v>0</v>
      </c>
      <c r="E108" s="55">
        <v>0</v>
      </c>
      <c r="F108" s="55">
        <f ca="1">IFERROR(__xludf.DUMMYFUNCTION("IMPORTRANGE(""https://docs.google.com/spreadsheets/d/1Yj_ptqi66GCucihVvJfMjLAmec39IyEx_6qawtMGysU/edit?usp=sharing"",""สบก!AJ96"")"),0)</f>
        <v>0</v>
      </c>
      <c r="G108" s="56">
        <f t="shared" si="1"/>
        <v>0</v>
      </c>
      <c r="H108" s="55">
        <v>0</v>
      </c>
      <c r="I108" s="55">
        <v>0</v>
      </c>
      <c r="J108" s="55">
        <v>0</v>
      </c>
      <c r="K108" s="56">
        <f t="shared" si="3"/>
        <v>0</v>
      </c>
      <c r="L108" s="55">
        <v>0</v>
      </c>
      <c r="M108" s="56">
        <f t="shared" si="4"/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6">
        <f t="shared" si="11"/>
        <v>0</v>
      </c>
    </row>
    <row r="109" spans="1:28" ht="24" customHeight="1" x14ac:dyDescent="0.5">
      <c r="A109" s="70">
        <v>3</v>
      </c>
      <c r="B109" s="75" t="s">
        <v>124</v>
      </c>
      <c r="C109" s="54">
        <f t="shared" si="55"/>
        <v>0</v>
      </c>
      <c r="D109" s="55">
        <v>0</v>
      </c>
      <c r="E109" s="55">
        <v>0</v>
      </c>
      <c r="F109" s="55">
        <f ca="1">IFERROR(__xludf.DUMMYFUNCTION("IMPORTRANGE(""https://docs.google.com/spreadsheets/d/1Yj_ptqi66GCucihVvJfMjLAmec39IyEx_6qawtMGysU/edit?usp=sharing"",""สบก!AJ96"")"),0)</f>
        <v>0</v>
      </c>
      <c r="G109" s="56">
        <f t="shared" si="1"/>
        <v>0</v>
      </c>
      <c r="H109" s="55">
        <v>0</v>
      </c>
      <c r="I109" s="55">
        <v>0</v>
      </c>
      <c r="J109" s="55">
        <v>0</v>
      </c>
      <c r="K109" s="56">
        <f t="shared" si="3"/>
        <v>0</v>
      </c>
      <c r="L109" s="55">
        <v>0</v>
      </c>
      <c r="M109" s="56">
        <f t="shared" si="4"/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6">
        <f t="shared" si="11"/>
        <v>0</v>
      </c>
    </row>
    <row r="110" spans="1:28" ht="24" customHeight="1" x14ac:dyDescent="0.5">
      <c r="A110" s="70">
        <f t="shared" ref="A110:A112" si="56">+A109+1</f>
        <v>4</v>
      </c>
      <c r="B110" s="75" t="s">
        <v>125</v>
      </c>
      <c r="C110" s="54">
        <f t="shared" si="55"/>
        <v>0</v>
      </c>
      <c r="D110" s="55">
        <v>0</v>
      </c>
      <c r="E110" s="55">
        <v>0</v>
      </c>
      <c r="F110" s="55">
        <f ca="1">IFERROR(__xludf.DUMMYFUNCTION("IMPORTRANGE(""https://docs.google.com/spreadsheets/d/1Yj_ptqi66GCucihVvJfMjLAmec39IyEx_6qawtMGysU/edit?usp=sharing"",""สบก!AJ96"")"),0)</f>
        <v>0</v>
      </c>
      <c r="G110" s="56">
        <f t="shared" si="1"/>
        <v>0</v>
      </c>
      <c r="H110" s="55">
        <v>0</v>
      </c>
      <c r="I110" s="55">
        <v>0</v>
      </c>
      <c r="J110" s="55">
        <v>0</v>
      </c>
      <c r="K110" s="56">
        <f t="shared" si="3"/>
        <v>0</v>
      </c>
      <c r="L110" s="55">
        <v>0</v>
      </c>
      <c r="M110" s="56">
        <f t="shared" si="4"/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  <c r="X110" s="55">
        <v>0</v>
      </c>
      <c r="Y110" s="55">
        <v>0</v>
      </c>
      <c r="Z110" s="55">
        <v>0</v>
      </c>
      <c r="AA110" s="55">
        <v>0</v>
      </c>
      <c r="AB110" s="56">
        <f t="shared" si="11"/>
        <v>0</v>
      </c>
    </row>
    <row r="111" spans="1:28" ht="24" customHeight="1" x14ac:dyDescent="0.5">
      <c r="A111" s="70">
        <f t="shared" si="56"/>
        <v>5</v>
      </c>
      <c r="B111" s="75" t="s">
        <v>126</v>
      </c>
      <c r="C111" s="54">
        <f t="shared" si="55"/>
        <v>500000</v>
      </c>
      <c r="D111" s="55">
        <v>500000</v>
      </c>
      <c r="E111" s="55">
        <v>0</v>
      </c>
      <c r="F111" s="55">
        <f ca="1">IFERROR(__xludf.DUMMYFUNCTION("IMPORTRANGE(""https://docs.google.com/spreadsheets/d/1Yj_ptqi66GCucihVvJfMjLAmec39IyEx_6qawtMGysU/edit?usp=sharing"",""สบก!AJ96"")"),0)</f>
        <v>0</v>
      </c>
      <c r="G111" s="56">
        <f t="shared" ca="1" si="1"/>
        <v>0</v>
      </c>
      <c r="H111" s="55">
        <v>0</v>
      </c>
      <c r="I111" s="55">
        <v>0</v>
      </c>
      <c r="J111" s="55">
        <v>0</v>
      </c>
      <c r="K111" s="56">
        <f t="shared" si="3"/>
        <v>0</v>
      </c>
      <c r="L111" s="55">
        <v>0</v>
      </c>
      <c r="M111" s="56">
        <f t="shared" si="4"/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6">
        <f t="shared" si="11"/>
        <v>0</v>
      </c>
    </row>
    <row r="112" spans="1:28" ht="24" customHeight="1" x14ac:dyDescent="0.5">
      <c r="A112" s="70">
        <f t="shared" si="56"/>
        <v>6</v>
      </c>
      <c r="B112" s="75" t="s">
        <v>127</v>
      </c>
      <c r="C112" s="54">
        <f t="shared" si="55"/>
        <v>500000</v>
      </c>
      <c r="D112" s="55">
        <v>500000</v>
      </c>
      <c r="E112" s="55">
        <v>0</v>
      </c>
      <c r="F112" s="55">
        <f ca="1">IFERROR(__xludf.DUMMYFUNCTION("IMPORTRANGE(""https://docs.google.com/spreadsheets/d/1Yj_ptqi66GCucihVvJfMjLAmec39IyEx_6qawtMGysU/edit?usp=sharing"",""สบก!AJ96"")"),0)</f>
        <v>0</v>
      </c>
      <c r="G112" s="56">
        <f t="shared" ca="1" si="1"/>
        <v>0</v>
      </c>
      <c r="H112" s="55">
        <v>0</v>
      </c>
      <c r="I112" s="55">
        <v>0</v>
      </c>
      <c r="J112" s="55">
        <v>0</v>
      </c>
      <c r="K112" s="56">
        <f t="shared" si="3"/>
        <v>0</v>
      </c>
      <c r="L112" s="55">
        <v>0</v>
      </c>
      <c r="M112" s="56">
        <f t="shared" si="4"/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6">
        <f t="shared" si="11"/>
        <v>0</v>
      </c>
    </row>
    <row r="113" spans="1:28" ht="24" customHeight="1" x14ac:dyDescent="0.5">
      <c r="A113" s="70">
        <v>7</v>
      </c>
      <c r="B113" s="1" t="s">
        <v>128</v>
      </c>
      <c r="C113" s="54">
        <f t="shared" si="55"/>
        <v>0</v>
      </c>
      <c r="D113" s="55">
        <v>0</v>
      </c>
      <c r="E113" s="55">
        <v>0</v>
      </c>
      <c r="F113" s="55">
        <f ca="1">IFERROR(__xludf.DUMMYFUNCTION("IMPORTRANGE(""https://docs.google.com/spreadsheets/d/1Yj_ptqi66GCucihVvJfMjLAmec39IyEx_6qawtMGysU/edit?usp=sharing"",""สบก!AJ96"")"),0)</f>
        <v>0</v>
      </c>
      <c r="G113" s="56">
        <f t="shared" si="1"/>
        <v>0</v>
      </c>
      <c r="H113" s="55">
        <v>0</v>
      </c>
      <c r="I113" s="55">
        <v>0</v>
      </c>
      <c r="J113" s="55">
        <v>0</v>
      </c>
      <c r="K113" s="56">
        <f t="shared" si="3"/>
        <v>0</v>
      </c>
      <c r="L113" s="55">
        <v>0</v>
      </c>
      <c r="M113" s="56">
        <f t="shared" si="4"/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6">
        <f t="shared" si="11"/>
        <v>0</v>
      </c>
    </row>
    <row r="114" spans="1:28" ht="24" customHeight="1" thickBot="1" x14ac:dyDescent="0.55000000000000004">
      <c r="A114" s="76">
        <v>8</v>
      </c>
      <c r="B114" s="77" t="s">
        <v>129</v>
      </c>
      <c r="C114" s="78">
        <f t="shared" si="55"/>
        <v>0</v>
      </c>
      <c r="D114" s="79">
        <v>0</v>
      </c>
      <c r="E114" s="79">
        <v>0</v>
      </c>
      <c r="F114" s="79">
        <f ca="1">IFERROR(__xludf.DUMMYFUNCTION("IMPORTRANGE(""https://docs.google.com/spreadsheets/d/1Yj_ptqi66GCucihVvJfMjLAmec39IyEx_6qawtMGysU/edit?usp=sharing"",""สบก!AJ96"")"),0)</f>
        <v>0</v>
      </c>
      <c r="G114" s="80">
        <f t="shared" si="1"/>
        <v>0</v>
      </c>
      <c r="H114" s="79">
        <v>0</v>
      </c>
      <c r="I114" s="79">
        <v>0</v>
      </c>
      <c r="J114" s="79">
        <v>0</v>
      </c>
      <c r="K114" s="80">
        <f t="shared" si="3"/>
        <v>0</v>
      </c>
      <c r="L114" s="79">
        <v>0</v>
      </c>
      <c r="M114" s="80">
        <f t="shared" si="4"/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0</v>
      </c>
      <c r="Y114" s="79">
        <v>0</v>
      </c>
      <c r="Z114" s="79">
        <v>0</v>
      </c>
      <c r="AA114" s="79">
        <v>0</v>
      </c>
      <c r="AB114" s="80">
        <f t="shared" si="11"/>
        <v>0</v>
      </c>
    </row>
    <row r="115" spans="1:28" s="473" customFormat="1" ht="21.75" customHeight="1" x14ac:dyDescent="0.55000000000000004">
      <c r="A115" s="467" t="s">
        <v>321</v>
      </c>
      <c r="B115" s="467"/>
      <c r="C115" s="468"/>
      <c r="D115" s="468"/>
      <c r="E115" s="468"/>
      <c r="F115" s="468"/>
      <c r="G115" s="469"/>
      <c r="H115" s="470"/>
      <c r="I115" s="471"/>
      <c r="J115" s="472"/>
      <c r="K115" s="472"/>
      <c r="L115" s="472"/>
      <c r="M115" s="472"/>
      <c r="N115" s="472"/>
    </row>
    <row r="116" spans="1:28" s="473" customFormat="1" ht="21.6" customHeight="1" x14ac:dyDescent="0.55000000000000004">
      <c r="A116" s="475"/>
      <c r="B116" s="476"/>
      <c r="C116" s="467"/>
      <c r="D116" s="468"/>
      <c r="E116" s="468"/>
      <c r="F116" s="468"/>
      <c r="G116" s="468"/>
      <c r="H116" s="469"/>
      <c r="I116" s="470"/>
      <c r="J116" s="474"/>
      <c r="K116" s="472"/>
      <c r="L116" s="472"/>
      <c r="M116" s="472"/>
      <c r="N116" s="472"/>
    </row>
    <row r="117" spans="1:28" ht="24" customHeight="1" x14ac:dyDescent="0.5">
      <c r="A117" s="3"/>
      <c r="B117" s="3"/>
      <c r="C117" s="3"/>
      <c r="D117" s="3"/>
      <c r="E117" s="3"/>
      <c r="F117" s="3"/>
      <c r="G117" s="5"/>
      <c r="H117" s="3"/>
      <c r="I117" s="3"/>
      <c r="J117" s="3"/>
      <c r="K117" s="5"/>
      <c r="L117" s="3"/>
      <c r="M117" s="5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5"/>
    </row>
    <row r="118" spans="1:28" ht="24" customHeight="1" x14ac:dyDescent="0.5">
      <c r="A118" s="3"/>
      <c r="B118" s="3"/>
      <c r="C118" s="3"/>
      <c r="D118" s="3"/>
      <c r="E118" s="3"/>
      <c r="F118" s="3"/>
      <c r="G118" s="5"/>
      <c r="H118" s="3"/>
      <c r="I118" s="3"/>
      <c r="J118" s="3"/>
      <c r="K118" s="5"/>
      <c r="L118" s="3"/>
      <c r="M118" s="5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5"/>
    </row>
    <row r="119" spans="1:28" ht="24" customHeight="1" x14ac:dyDescent="0.5">
      <c r="A119" s="3"/>
      <c r="B119" s="3"/>
      <c r="C119" s="3"/>
      <c r="D119" s="3"/>
      <c r="E119" s="3"/>
      <c r="F119" s="3"/>
      <c r="G119" s="5"/>
      <c r="H119" s="3"/>
      <c r="I119" s="3"/>
      <c r="J119" s="3"/>
      <c r="K119" s="5"/>
      <c r="L119" s="3"/>
      <c r="M119" s="5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5"/>
    </row>
    <row r="120" spans="1:28" ht="24" customHeight="1" x14ac:dyDescent="0.5">
      <c r="A120" s="3"/>
      <c r="B120" s="3"/>
      <c r="C120" s="3"/>
      <c r="D120" s="3"/>
      <c r="E120" s="3"/>
      <c r="F120" s="3"/>
      <c r="G120" s="5"/>
      <c r="H120" s="3"/>
      <c r="I120" s="3"/>
      <c r="J120" s="3"/>
      <c r="K120" s="5"/>
      <c r="L120" s="3"/>
      <c r="M120" s="5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5"/>
    </row>
    <row r="121" spans="1:28" ht="24" customHeight="1" x14ac:dyDescent="0.5">
      <c r="A121" s="3"/>
      <c r="B121" s="3"/>
      <c r="C121" s="3"/>
      <c r="D121" s="3"/>
      <c r="E121" s="3"/>
      <c r="F121" s="3"/>
      <c r="G121" s="5"/>
      <c r="H121" s="3"/>
      <c r="I121" s="3"/>
      <c r="J121" s="3"/>
      <c r="K121" s="5"/>
      <c r="L121" s="3"/>
      <c r="M121" s="5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5"/>
    </row>
    <row r="122" spans="1:28" ht="24" customHeight="1" x14ac:dyDescent="0.5">
      <c r="A122" s="3"/>
      <c r="B122" s="3"/>
      <c r="C122" s="3"/>
      <c r="D122" s="3"/>
      <c r="E122" s="3"/>
      <c r="F122" s="3"/>
      <c r="G122" s="5"/>
      <c r="H122" s="3"/>
      <c r="I122" s="3"/>
      <c r="J122" s="3"/>
      <c r="K122" s="5"/>
      <c r="L122" s="3"/>
      <c r="M122" s="5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5"/>
    </row>
    <row r="123" spans="1:28" ht="24" customHeight="1" x14ac:dyDescent="0.5">
      <c r="A123" s="3"/>
      <c r="B123" s="3"/>
      <c r="C123" s="3"/>
      <c r="D123" s="3"/>
      <c r="E123" s="3"/>
      <c r="F123" s="3"/>
      <c r="G123" s="5"/>
      <c r="H123" s="3"/>
      <c r="I123" s="3"/>
      <c r="J123" s="3"/>
      <c r="K123" s="5"/>
      <c r="L123" s="3"/>
      <c r="M123" s="5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5"/>
    </row>
    <row r="124" spans="1:28" ht="24" customHeight="1" x14ac:dyDescent="0.5">
      <c r="A124" s="3"/>
      <c r="B124" s="3"/>
      <c r="C124" s="3"/>
      <c r="D124" s="3"/>
      <c r="E124" s="3"/>
      <c r="F124" s="3"/>
      <c r="G124" s="5"/>
      <c r="H124" s="3"/>
      <c r="I124" s="3"/>
      <c r="J124" s="3"/>
      <c r="K124" s="5"/>
      <c r="L124" s="3"/>
      <c r="M124" s="5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5"/>
    </row>
    <row r="125" spans="1:28" ht="24" customHeight="1" x14ac:dyDescent="0.5">
      <c r="A125" s="3"/>
      <c r="B125" s="3"/>
      <c r="C125" s="3"/>
      <c r="D125" s="3"/>
      <c r="E125" s="3"/>
      <c r="F125" s="3"/>
      <c r="G125" s="5"/>
      <c r="H125" s="3"/>
      <c r="I125" s="3"/>
      <c r="J125" s="3"/>
      <c r="K125" s="5"/>
      <c r="L125" s="3"/>
      <c r="M125" s="5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5"/>
    </row>
    <row r="126" spans="1:28" ht="24" customHeight="1" x14ac:dyDescent="0.5">
      <c r="A126" s="3"/>
      <c r="B126" s="3"/>
      <c r="C126" s="3"/>
      <c r="D126" s="3"/>
      <c r="E126" s="3"/>
      <c r="F126" s="3"/>
      <c r="G126" s="5"/>
      <c r="H126" s="3"/>
      <c r="I126" s="3"/>
      <c r="J126" s="3"/>
      <c r="K126" s="5"/>
      <c r="L126" s="3"/>
      <c r="M126" s="5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5"/>
    </row>
    <row r="127" spans="1:28" ht="24" customHeight="1" x14ac:dyDescent="0.5">
      <c r="A127" s="3"/>
      <c r="B127" s="3"/>
      <c r="C127" s="3"/>
      <c r="D127" s="3"/>
      <c r="E127" s="3"/>
      <c r="F127" s="3"/>
      <c r="G127" s="5"/>
      <c r="H127" s="3"/>
      <c r="I127" s="3"/>
      <c r="J127" s="3"/>
      <c r="K127" s="5"/>
      <c r="L127" s="3"/>
      <c r="M127" s="5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5"/>
    </row>
    <row r="128" spans="1:28" ht="24" customHeight="1" x14ac:dyDescent="0.5">
      <c r="A128" s="3"/>
      <c r="B128" s="3"/>
      <c r="C128" s="3"/>
      <c r="D128" s="3"/>
      <c r="E128" s="3"/>
      <c r="F128" s="3"/>
      <c r="G128" s="5"/>
      <c r="H128" s="3"/>
      <c r="I128" s="3"/>
      <c r="J128" s="3"/>
      <c r="K128" s="5"/>
      <c r="L128" s="3"/>
      <c r="M128" s="5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5"/>
    </row>
    <row r="129" spans="1:28" ht="24" customHeight="1" x14ac:dyDescent="0.5">
      <c r="A129" s="3"/>
      <c r="B129" s="3"/>
      <c r="C129" s="3"/>
      <c r="D129" s="3"/>
      <c r="E129" s="3"/>
      <c r="F129" s="3"/>
      <c r="G129" s="5"/>
      <c r="H129" s="3"/>
      <c r="I129" s="3"/>
      <c r="J129" s="3"/>
      <c r="K129" s="5"/>
      <c r="L129" s="3"/>
      <c r="M129" s="5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5"/>
    </row>
    <row r="130" spans="1:28" ht="24" customHeight="1" x14ac:dyDescent="0.5">
      <c r="A130" s="3"/>
      <c r="B130" s="3"/>
      <c r="C130" s="3"/>
      <c r="D130" s="3"/>
      <c r="E130" s="3"/>
      <c r="F130" s="3"/>
      <c r="G130" s="5"/>
      <c r="H130" s="3"/>
      <c r="I130" s="3"/>
      <c r="J130" s="3"/>
      <c r="K130" s="5"/>
      <c r="L130" s="3"/>
      <c r="M130" s="5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5"/>
    </row>
    <row r="131" spans="1:28" ht="24" customHeight="1" x14ac:dyDescent="0.5">
      <c r="A131" s="3"/>
      <c r="B131" s="3"/>
      <c r="C131" s="3"/>
      <c r="D131" s="3"/>
      <c r="E131" s="3"/>
      <c r="F131" s="3"/>
      <c r="G131" s="5"/>
      <c r="H131" s="3"/>
      <c r="I131" s="3"/>
      <c r="J131" s="3"/>
      <c r="K131" s="5"/>
      <c r="L131" s="3"/>
      <c r="M131" s="5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5"/>
    </row>
    <row r="132" spans="1:28" ht="24" customHeight="1" x14ac:dyDescent="0.5">
      <c r="A132" s="3"/>
      <c r="B132" s="3"/>
      <c r="C132" s="3"/>
      <c r="D132" s="3"/>
      <c r="E132" s="3"/>
      <c r="F132" s="3"/>
      <c r="G132" s="5"/>
      <c r="H132" s="3"/>
      <c r="I132" s="3"/>
      <c r="J132" s="3"/>
      <c r="K132" s="5"/>
      <c r="L132" s="3"/>
      <c r="M132" s="5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5"/>
    </row>
    <row r="133" spans="1:28" ht="24" customHeight="1" x14ac:dyDescent="0.5">
      <c r="A133" s="3"/>
      <c r="B133" s="3"/>
      <c r="C133" s="3"/>
      <c r="D133" s="3"/>
      <c r="E133" s="3"/>
      <c r="F133" s="3"/>
      <c r="G133" s="5"/>
      <c r="H133" s="3"/>
      <c r="I133" s="3"/>
      <c r="J133" s="3"/>
      <c r="K133" s="5"/>
      <c r="L133" s="3"/>
      <c r="M133" s="5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5"/>
    </row>
    <row r="134" spans="1:28" ht="24" customHeight="1" x14ac:dyDescent="0.5">
      <c r="A134" s="3"/>
      <c r="B134" s="3"/>
      <c r="C134" s="3"/>
      <c r="D134" s="3"/>
      <c r="E134" s="3"/>
      <c r="F134" s="3"/>
      <c r="G134" s="5"/>
      <c r="H134" s="3"/>
      <c r="I134" s="3"/>
      <c r="J134" s="3"/>
      <c r="K134" s="5"/>
      <c r="L134" s="3"/>
      <c r="M134" s="5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5"/>
    </row>
    <row r="135" spans="1:28" ht="24" customHeight="1" x14ac:dyDescent="0.5">
      <c r="A135" s="3"/>
      <c r="B135" s="3"/>
      <c r="C135" s="3"/>
      <c r="D135" s="3"/>
      <c r="E135" s="3"/>
      <c r="F135" s="3"/>
      <c r="G135" s="5"/>
      <c r="H135" s="3"/>
      <c r="I135" s="3"/>
      <c r="J135" s="3"/>
      <c r="K135" s="5"/>
      <c r="L135" s="3"/>
      <c r="M135" s="5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5"/>
    </row>
    <row r="136" spans="1:28" ht="24" customHeight="1" x14ac:dyDescent="0.5">
      <c r="A136" s="3"/>
      <c r="B136" s="3"/>
      <c r="C136" s="3"/>
      <c r="D136" s="3"/>
      <c r="E136" s="3"/>
      <c r="F136" s="3"/>
      <c r="G136" s="5"/>
      <c r="H136" s="3"/>
      <c r="I136" s="3"/>
      <c r="J136" s="3"/>
      <c r="K136" s="5"/>
      <c r="L136" s="3"/>
      <c r="M136" s="5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5"/>
    </row>
    <row r="137" spans="1:28" ht="24" customHeight="1" x14ac:dyDescent="0.5">
      <c r="A137" s="3"/>
      <c r="B137" s="3"/>
      <c r="C137" s="3"/>
      <c r="D137" s="3"/>
      <c r="E137" s="3"/>
      <c r="F137" s="3"/>
      <c r="G137" s="5"/>
      <c r="H137" s="3"/>
      <c r="I137" s="3"/>
      <c r="J137" s="3"/>
      <c r="K137" s="5"/>
      <c r="L137" s="3"/>
      <c r="M137" s="5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5"/>
    </row>
    <row r="138" spans="1:28" ht="24" customHeight="1" x14ac:dyDescent="0.5">
      <c r="A138" s="3"/>
      <c r="B138" s="3"/>
      <c r="C138" s="3"/>
      <c r="D138" s="3"/>
      <c r="E138" s="3"/>
      <c r="F138" s="3"/>
      <c r="G138" s="5"/>
      <c r="H138" s="3"/>
      <c r="I138" s="3"/>
      <c r="J138" s="3"/>
      <c r="K138" s="5"/>
      <c r="L138" s="3"/>
      <c r="M138" s="5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5"/>
    </row>
    <row r="139" spans="1:28" ht="24" customHeight="1" x14ac:dyDescent="0.5">
      <c r="A139" s="3"/>
      <c r="B139" s="3"/>
      <c r="C139" s="3"/>
      <c r="D139" s="3"/>
      <c r="E139" s="3"/>
      <c r="F139" s="3"/>
      <c r="G139" s="5"/>
      <c r="H139" s="3"/>
      <c r="I139" s="3"/>
      <c r="J139" s="3"/>
      <c r="K139" s="5"/>
      <c r="L139" s="3"/>
      <c r="M139" s="5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5"/>
    </row>
    <row r="140" spans="1:28" ht="24" customHeight="1" x14ac:dyDescent="0.5">
      <c r="A140" s="3"/>
      <c r="B140" s="3"/>
      <c r="C140" s="3"/>
      <c r="D140" s="3"/>
      <c r="E140" s="3"/>
      <c r="F140" s="3"/>
      <c r="G140" s="5"/>
      <c r="H140" s="3"/>
      <c r="I140" s="3"/>
      <c r="J140" s="3"/>
      <c r="K140" s="5"/>
      <c r="L140" s="3"/>
      <c r="M140" s="5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5"/>
    </row>
    <row r="141" spans="1:28" ht="24" customHeight="1" x14ac:dyDescent="0.5">
      <c r="A141" s="3"/>
      <c r="B141" s="3"/>
      <c r="C141" s="3"/>
      <c r="D141" s="3"/>
      <c r="E141" s="3"/>
      <c r="F141" s="3"/>
      <c r="G141" s="5"/>
      <c r="H141" s="3"/>
      <c r="I141" s="3"/>
      <c r="J141" s="3"/>
      <c r="K141" s="5"/>
      <c r="L141" s="3"/>
      <c r="M141" s="5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5"/>
    </row>
    <row r="142" spans="1:28" ht="24" customHeight="1" x14ac:dyDescent="0.5">
      <c r="A142" s="3"/>
      <c r="B142" s="3"/>
      <c r="C142" s="3"/>
      <c r="D142" s="3"/>
      <c r="E142" s="3"/>
      <c r="F142" s="3"/>
      <c r="G142" s="5"/>
      <c r="H142" s="3"/>
      <c r="I142" s="3"/>
      <c r="J142" s="3"/>
      <c r="K142" s="5"/>
      <c r="L142" s="3"/>
      <c r="M142" s="5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5"/>
    </row>
    <row r="143" spans="1:28" ht="24" customHeight="1" x14ac:dyDescent="0.5">
      <c r="A143" s="3"/>
      <c r="B143" s="3"/>
      <c r="C143" s="3"/>
      <c r="D143" s="3"/>
      <c r="E143" s="3"/>
      <c r="F143" s="3"/>
      <c r="G143" s="5"/>
      <c r="H143" s="3"/>
      <c r="I143" s="3"/>
      <c r="J143" s="3"/>
      <c r="K143" s="5"/>
      <c r="L143" s="3"/>
      <c r="M143" s="5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5"/>
    </row>
    <row r="144" spans="1:28" ht="24" customHeight="1" x14ac:dyDescent="0.5">
      <c r="A144" s="3"/>
      <c r="B144" s="3"/>
      <c r="C144" s="3"/>
      <c r="D144" s="3"/>
      <c r="E144" s="3"/>
      <c r="F144" s="3"/>
      <c r="G144" s="5"/>
      <c r="H144" s="3"/>
      <c r="I144" s="3"/>
      <c r="J144" s="3"/>
      <c r="K144" s="5"/>
      <c r="L144" s="3"/>
      <c r="M144" s="5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5"/>
    </row>
    <row r="145" spans="1:28" ht="24" customHeight="1" x14ac:dyDescent="0.5">
      <c r="A145" s="3"/>
      <c r="B145" s="3"/>
      <c r="C145" s="3"/>
      <c r="D145" s="3"/>
      <c r="E145" s="3"/>
      <c r="F145" s="3"/>
      <c r="G145" s="5"/>
      <c r="H145" s="3"/>
      <c r="I145" s="3"/>
      <c r="J145" s="3"/>
      <c r="K145" s="5"/>
      <c r="L145" s="3"/>
      <c r="M145" s="5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5"/>
    </row>
    <row r="146" spans="1:28" ht="24" customHeight="1" x14ac:dyDescent="0.5">
      <c r="A146" s="3"/>
      <c r="B146" s="3"/>
      <c r="C146" s="3"/>
      <c r="D146" s="3"/>
      <c r="E146" s="3"/>
      <c r="F146" s="3"/>
      <c r="G146" s="5"/>
      <c r="H146" s="3"/>
      <c r="I146" s="3"/>
      <c r="J146" s="3"/>
      <c r="K146" s="5"/>
      <c r="L146" s="3"/>
      <c r="M146" s="5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5"/>
    </row>
    <row r="147" spans="1:28" ht="24" customHeight="1" x14ac:dyDescent="0.5">
      <c r="A147" s="3"/>
      <c r="B147" s="3"/>
      <c r="C147" s="3"/>
      <c r="D147" s="3"/>
      <c r="E147" s="3"/>
      <c r="F147" s="3"/>
      <c r="G147" s="5"/>
      <c r="H147" s="3"/>
      <c r="I147" s="3"/>
      <c r="J147" s="3"/>
      <c r="K147" s="5"/>
      <c r="L147" s="3"/>
      <c r="M147" s="5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5"/>
    </row>
    <row r="148" spans="1:28" ht="24" customHeight="1" x14ac:dyDescent="0.5">
      <c r="A148" s="3"/>
      <c r="B148" s="3"/>
      <c r="C148" s="3"/>
      <c r="D148" s="3"/>
      <c r="E148" s="3"/>
      <c r="F148" s="3"/>
      <c r="G148" s="5"/>
      <c r="H148" s="3"/>
      <c r="I148" s="3"/>
      <c r="J148" s="3"/>
      <c r="K148" s="5"/>
      <c r="L148" s="3"/>
      <c r="M148" s="5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5"/>
    </row>
    <row r="149" spans="1:28" ht="24" customHeight="1" x14ac:dyDescent="0.5">
      <c r="A149" s="3"/>
      <c r="B149" s="3"/>
      <c r="C149" s="3"/>
      <c r="D149" s="3"/>
      <c r="E149" s="3"/>
      <c r="F149" s="3"/>
      <c r="G149" s="5"/>
      <c r="H149" s="3"/>
      <c r="I149" s="3"/>
      <c r="J149" s="3"/>
      <c r="K149" s="5"/>
      <c r="L149" s="3"/>
      <c r="M149" s="5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5"/>
    </row>
    <row r="150" spans="1:28" ht="24" customHeight="1" x14ac:dyDescent="0.5">
      <c r="A150" s="3"/>
      <c r="B150" s="3"/>
      <c r="C150" s="3"/>
      <c r="D150" s="3"/>
      <c r="E150" s="3"/>
      <c r="F150" s="3"/>
      <c r="G150" s="5"/>
      <c r="H150" s="3"/>
      <c r="I150" s="3"/>
      <c r="J150" s="3"/>
      <c r="K150" s="5"/>
      <c r="L150" s="3"/>
      <c r="M150" s="5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5"/>
    </row>
    <row r="151" spans="1:28" ht="24" customHeight="1" x14ac:dyDescent="0.5">
      <c r="A151" s="3"/>
      <c r="B151" s="3"/>
      <c r="C151" s="3"/>
      <c r="D151" s="3"/>
      <c r="E151" s="3"/>
      <c r="F151" s="3"/>
      <c r="G151" s="5"/>
      <c r="H151" s="3"/>
      <c r="I151" s="3"/>
      <c r="J151" s="3"/>
      <c r="K151" s="5"/>
      <c r="L151" s="3"/>
      <c r="M151" s="5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5"/>
    </row>
    <row r="152" spans="1:28" ht="24" customHeight="1" x14ac:dyDescent="0.5">
      <c r="A152" s="3"/>
      <c r="B152" s="3"/>
      <c r="C152" s="3"/>
      <c r="D152" s="3"/>
      <c r="E152" s="3"/>
      <c r="F152" s="3"/>
      <c r="G152" s="5"/>
      <c r="H152" s="3"/>
      <c r="I152" s="3"/>
      <c r="J152" s="3"/>
      <c r="K152" s="5"/>
      <c r="L152" s="3"/>
      <c r="M152" s="5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5"/>
    </row>
    <row r="153" spans="1:28" ht="24" customHeight="1" x14ac:dyDescent="0.5">
      <c r="A153" s="3"/>
      <c r="B153" s="3"/>
      <c r="C153" s="3"/>
      <c r="D153" s="3"/>
      <c r="E153" s="3"/>
      <c r="F153" s="3"/>
      <c r="G153" s="5"/>
      <c r="H153" s="3"/>
      <c r="I153" s="3"/>
      <c r="J153" s="3"/>
      <c r="K153" s="5"/>
      <c r="L153" s="3"/>
      <c r="M153" s="5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5"/>
    </row>
    <row r="154" spans="1:28" ht="24" customHeight="1" x14ac:dyDescent="0.5">
      <c r="A154" s="3"/>
      <c r="B154" s="3"/>
      <c r="C154" s="3"/>
      <c r="D154" s="3"/>
      <c r="E154" s="3"/>
      <c r="F154" s="3"/>
      <c r="G154" s="5"/>
      <c r="H154" s="3"/>
      <c r="I154" s="3"/>
      <c r="J154" s="3"/>
      <c r="K154" s="5"/>
      <c r="L154" s="3"/>
      <c r="M154" s="5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5"/>
    </row>
    <row r="155" spans="1:28" ht="24" customHeight="1" x14ac:dyDescent="0.5">
      <c r="A155" s="3"/>
      <c r="B155" s="3"/>
      <c r="C155" s="3"/>
      <c r="D155" s="3"/>
      <c r="E155" s="3"/>
      <c r="F155" s="3"/>
      <c r="G155" s="5"/>
      <c r="H155" s="3"/>
      <c r="I155" s="3"/>
      <c r="J155" s="3"/>
      <c r="K155" s="5"/>
      <c r="L155" s="3"/>
      <c r="M155" s="5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5"/>
    </row>
    <row r="156" spans="1:28" ht="24" customHeight="1" x14ac:dyDescent="0.5">
      <c r="A156" s="3"/>
      <c r="B156" s="3"/>
      <c r="C156" s="3"/>
      <c r="D156" s="3"/>
      <c r="E156" s="3"/>
      <c r="F156" s="3"/>
      <c r="G156" s="5"/>
      <c r="H156" s="3"/>
      <c r="I156" s="3"/>
      <c r="J156" s="3"/>
      <c r="K156" s="5"/>
      <c r="L156" s="3"/>
      <c r="M156" s="5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5"/>
    </row>
    <row r="157" spans="1:28" ht="24" customHeight="1" x14ac:dyDescent="0.5">
      <c r="A157" s="3"/>
      <c r="B157" s="3"/>
      <c r="C157" s="3"/>
      <c r="D157" s="3"/>
      <c r="E157" s="3"/>
      <c r="F157" s="3"/>
      <c r="G157" s="5"/>
      <c r="H157" s="3"/>
      <c r="I157" s="3"/>
      <c r="J157" s="3"/>
      <c r="K157" s="5"/>
      <c r="L157" s="3"/>
      <c r="M157" s="5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5"/>
    </row>
    <row r="158" spans="1:28" ht="24" customHeight="1" x14ac:dyDescent="0.5">
      <c r="A158" s="3"/>
      <c r="B158" s="3"/>
      <c r="C158" s="3"/>
      <c r="D158" s="3"/>
      <c r="E158" s="3"/>
      <c r="F158" s="3"/>
      <c r="G158" s="5"/>
      <c r="H158" s="3"/>
      <c r="I158" s="3"/>
      <c r="J158" s="3"/>
      <c r="K158" s="5"/>
      <c r="L158" s="3"/>
      <c r="M158" s="5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5"/>
    </row>
    <row r="159" spans="1:28" ht="24" customHeight="1" x14ac:dyDescent="0.5">
      <c r="A159" s="3"/>
      <c r="B159" s="3"/>
      <c r="C159" s="3"/>
      <c r="D159" s="3"/>
      <c r="E159" s="3"/>
      <c r="F159" s="3"/>
      <c r="G159" s="5"/>
      <c r="H159" s="3"/>
      <c r="I159" s="3"/>
      <c r="J159" s="3"/>
      <c r="K159" s="5"/>
      <c r="L159" s="3"/>
      <c r="M159" s="5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5"/>
    </row>
    <row r="160" spans="1:28" ht="24" customHeight="1" x14ac:dyDescent="0.5">
      <c r="A160" s="3"/>
      <c r="B160" s="3"/>
      <c r="C160" s="3"/>
      <c r="D160" s="3"/>
      <c r="E160" s="3"/>
      <c r="F160" s="3"/>
      <c r="G160" s="5"/>
      <c r="H160" s="3"/>
      <c r="I160" s="3"/>
      <c r="J160" s="3"/>
      <c r="K160" s="5"/>
      <c r="L160" s="3"/>
      <c r="M160" s="5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5"/>
    </row>
    <row r="161" spans="1:28" ht="24" customHeight="1" x14ac:dyDescent="0.5">
      <c r="A161" s="3"/>
      <c r="B161" s="3"/>
      <c r="C161" s="3"/>
      <c r="D161" s="3"/>
      <c r="E161" s="3"/>
      <c r="F161" s="3"/>
      <c r="G161" s="5"/>
      <c r="H161" s="3"/>
      <c r="I161" s="3"/>
      <c r="J161" s="3"/>
      <c r="K161" s="5"/>
      <c r="L161" s="3"/>
      <c r="M161" s="5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5"/>
    </row>
    <row r="162" spans="1:28" ht="24" customHeight="1" x14ac:dyDescent="0.5">
      <c r="A162" s="3"/>
      <c r="B162" s="3"/>
      <c r="C162" s="3"/>
      <c r="D162" s="3"/>
      <c r="E162" s="3"/>
      <c r="F162" s="3"/>
      <c r="G162" s="5"/>
      <c r="H162" s="3"/>
      <c r="I162" s="3"/>
      <c r="J162" s="3"/>
      <c r="K162" s="5"/>
      <c r="L162" s="3"/>
      <c r="M162" s="5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5"/>
    </row>
    <row r="163" spans="1:28" ht="24" customHeight="1" x14ac:dyDescent="0.5">
      <c r="A163" s="3"/>
      <c r="B163" s="3"/>
      <c r="C163" s="3"/>
      <c r="D163" s="3"/>
      <c r="E163" s="3"/>
      <c r="F163" s="3"/>
      <c r="G163" s="5"/>
      <c r="H163" s="3"/>
      <c r="I163" s="3"/>
      <c r="J163" s="3"/>
      <c r="K163" s="5"/>
      <c r="L163" s="3"/>
      <c r="M163" s="5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5"/>
    </row>
    <row r="164" spans="1:28" ht="24" customHeight="1" x14ac:dyDescent="0.5">
      <c r="A164" s="3"/>
      <c r="B164" s="3"/>
      <c r="C164" s="3"/>
      <c r="D164" s="3"/>
      <c r="E164" s="3"/>
      <c r="F164" s="3"/>
      <c r="G164" s="5"/>
      <c r="H164" s="3"/>
      <c r="I164" s="3"/>
      <c r="J164" s="3"/>
      <c r="K164" s="5"/>
      <c r="L164" s="3"/>
      <c r="M164" s="5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5"/>
    </row>
    <row r="165" spans="1:28" ht="24" customHeight="1" x14ac:dyDescent="0.5">
      <c r="A165" s="3"/>
      <c r="B165" s="3"/>
      <c r="C165" s="3"/>
      <c r="D165" s="3"/>
      <c r="E165" s="3"/>
      <c r="F165" s="3"/>
      <c r="G165" s="5"/>
      <c r="H165" s="3"/>
      <c r="I165" s="3"/>
      <c r="J165" s="3"/>
      <c r="K165" s="5"/>
      <c r="L165" s="3"/>
      <c r="M165" s="5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5"/>
    </row>
    <row r="166" spans="1:28" ht="24" customHeight="1" x14ac:dyDescent="0.5">
      <c r="A166" s="3"/>
      <c r="B166" s="3"/>
      <c r="C166" s="3"/>
      <c r="D166" s="3"/>
      <c r="E166" s="3"/>
      <c r="F166" s="3"/>
      <c r="G166" s="5"/>
      <c r="H166" s="3"/>
      <c r="I166" s="3"/>
      <c r="J166" s="3"/>
      <c r="K166" s="5"/>
      <c r="L166" s="3"/>
      <c r="M166" s="5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5"/>
    </row>
    <row r="167" spans="1:28" ht="24" customHeight="1" x14ac:dyDescent="0.5">
      <c r="A167" s="3"/>
      <c r="B167" s="3"/>
      <c r="C167" s="3"/>
      <c r="D167" s="3"/>
      <c r="E167" s="3"/>
      <c r="F167" s="3"/>
      <c r="G167" s="5"/>
      <c r="H167" s="3"/>
      <c r="I167" s="3"/>
      <c r="J167" s="3"/>
      <c r="K167" s="5"/>
      <c r="L167" s="3"/>
      <c r="M167" s="5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5"/>
    </row>
    <row r="168" spans="1:28" ht="24" customHeight="1" x14ac:dyDescent="0.5">
      <c r="A168" s="3"/>
      <c r="B168" s="3"/>
      <c r="C168" s="3"/>
      <c r="D168" s="3"/>
      <c r="E168" s="3"/>
      <c r="F168" s="3"/>
      <c r="G168" s="5"/>
      <c r="H168" s="3"/>
      <c r="I168" s="3"/>
      <c r="J168" s="3"/>
      <c r="K168" s="5"/>
      <c r="L168" s="3"/>
      <c r="M168" s="5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5"/>
    </row>
    <row r="169" spans="1:28" ht="24" customHeight="1" x14ac:dyDescent="0.5">
      <c r="A169" s="3"/>
      <c r="B169" s="3"/>
      <c r="C169" s="3"/>
      <c r="D169" s="3"/>
      <c r="E169" s="3"/>
      <c r="F169" s="3"/>
      <c r="G169" s="5"/>
      <c r="H169" s="3"/>
      <c r="I169" s="3"/>
      <c r="J169" s="3"/>
      <c r="K169" s="5"/>
      <c r="L169" s="3"/>
      <c r="M169" s="5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5"/>
    </row>
    <row r="170" spans="1:28" ht="24" customHeight="1" x14ac:dyDescent="0.5">
      <c r="A170" s="3"/>
      <c r="B170" s="3"/>
      <c r="C170" s="3"/>
      <c r="D170" s="3"/>
      <c r="E170" s="3"/>
      <c r="F170" s="3"/>
      <c r="G170" s="5"/>
      <c r="H170" s="3"/>
      <c r="I170" s="3"/>
      <c r="J170" s="3"/>
      <c r="K170" s="5"/>
      <c r="L170" s="3"/>
      <c r="M170" s="5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5"/>
    </row>
    <row r="171" spans="1:28" ht="24" customHeight="1" x14ac:dyDescent="0.5">
      <c r="A171" s="3"/>
      <c r="B171" s="3"/>
      <c r="C171" s="3"/>
      <c r="D171" s="3"/>
      <c r="E171" s="3"/>
      <c r="F171" s="3"/>
      <c r="G171" s="5"/>
      <c r="H171" s="3"/>
      <c r="I171" s="3"/>
      <c r="J171" s="3"/>
      <c r="K171" s="5"/>
      <c r="L171" s="3"/>
      <c r="M171" s="5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5"/>
    </row>
    <row r="172" spans="1:28" ht="24" customHeight="1" x14ac:dyDescent="0.5">
      <c r="A172" s="3"/>
      <c r="B172" s="3"/>
      <c r="C172" s="3"/>
      <c r="D172" s="3"/>
      <c r="E172" s="3"/>
      <c r="F172" s="3"/>
      <c r="G172" s="5"/>
      <c r="H172" s="3"/>
      <c r="I172" s="3"/>
      <c r="J172" s="3"/>
      <c r="K172" s="5"/>
      <c r="L172" s="3"/>
      <c r="M172" s="5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5"/>
    </row>
    <row r="173" spans="1:28" ht="24" customHeight="1" x14ac:dyDescent="0.5">
      <c r="A173" s="3"/>
      <c r="B173" s="3"/>
      <c r="C173" s="3"/>
      <c r="D173" s="3"/>
      <c r="E173" s="3"/>
      <c r="F173" s="3"/>
      <c r="G173" s="5"/>
      <c r="H173" s="3"/>
      <c r="I173" s="3"/>
      <c r="J173" s="3"/>
      <c r="K173" s="5"/>
      <c r="L173" s="3"/>
      <c r="M173" s="5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5"/>
    </row>
    <row r="174" spans="1:28" ht="24" customHeight="1" x14ac:dyDescent="0.5">
      <c r="A174" s="3"/>
      <c r="B174" s="3"/>
      <c r="C174" s="3"/>
      <c r="D174" s="3"/>
      <c r="E174" s="3"/>
      <c r="F174" s="3"/>
      <c r="G174" s="5"/>
      <c r="H174" s="3"/>
      <c r="I174" s="3"/>
      <c r="J174" s="3"/>
      <c r="K174" s="5"/>
      <c r="L174" s="3"/>
      <c r="M174" s="5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5"/>
    </row>
    <row r="175" spans="1:28" ht="24" customHeight="1" x14ac:dyDescent="0.5">
      <c r="A175" s="3"/>
      <c r="B175" s="3"/>
      <c r="C175" s="3"/>
      <c r="D175" s="3"/>
      <c r="E175" s="3"/>
      <c r="F175" s="3"/>
      <c r="G175" s="5"/>
      <c r="H175" s="3"/>
      <c r="I175" s="3"/>
      <c r="J175" s="3"/>
      <c r="K175" s="5"/>
      <c r="L175" s="3"/>
      <c r="M175" s="5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5"/>
    </row>
    <row r="176" spans="1:28" ht="24" customHeight="1" x14ac:dyDescent="0.5">
      <c r="A176" s="3"/>
      <c r="B176" s="3"/>
      <c r="C176" s="3"/>
      <c r="D176" s="3"/>
      <c r="E176" s="3"/>
      <c r="F176" s="3"/>
      <c r="G176" s="5"/>
      <c r="H176" s="3"/>
      <c r="I176" s="3"/>
      <c r="J176" s="3"/>
      <c r="K176" s="5"/>
      <c r="L176" s="3"/>
      <c r="M176" s="5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5"/>
    </row>
    <row r="177" spans="1:28" ht="24" customHeight="1" x14ac:dyDescent="0.5">
      <c r="A177" s="3"/>
      <c r="B177" s="3"/>
      <c r="C177" s="3"/>
      <c r="D177" s="3"/>
      <c r="E177" s="3"/>
      <c r="F177" s="3"/>
      <c r="G177" s="5"/>
      <c r="H177" s="3"/>
      <c r="I177" s="3"/>
      <c r="J177" s="3"/>
      <c r="K177" s="5"/>
      <c r="L177" s="3"/>
      <c r="M177" s="5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5"/>
    </row>
    <row r="178" spans="1:28" ht="24" customHeight="1" x14ac:dyDescent="0.5">
      <c r="A178" s="3"/>
      <c r="B178" s="3"/>
      <c r="C178" s="3"/>
      <c r="D178" s="3"/>
      <c r="E178" s="3"/>
      <c r="F178" s="3"/>
      <c r="G178" s="5"/>
      <c r="H178" s="3"/>
      <c r="I178" s="3"/>
      <c r="J178" s="3"/>
      <c r="K178" s="5"/>
      <c r="L178" s="3"/>
      <c r="M178" s="5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5"/>
    </row>
    <row r="179" spans="1:28" ht="24" customHeight="1" x14ac:dyDescent="0.5">
      <c r="A179" s="3"/>
      <c r="B179" s="3"/>
      <c r="C179" s="3"/>
      <c r="D179" s="3"/>
      <c r="E179" s="3"/>
      <c r="F179" s="3"/>
      <c r="G179" s="5"/>
      <c r="H179" s="3"/>
      <c r="I179" s="3"/>
      <c r="J179" s="3"/>
      <c r="K179" s="5"/>
      <c r="L179" s="3"/>
      <c r="M179" s="5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5"/>
    </row>
    <row r="180" spans="1:28" ht="24" customHeight="1" x14ac:dyDescent="0.5">
      <c r="A180" s="3"/>
      <c r="B180" s="3"/>
      <c r="C180" s="3"/>
      <c r="D180" s="3"/>
      <c r="E180" s="3"/>
      <c r="F180" s="3"/>
      <c r="G180" s="5"/>
      <c r="H180" s="3"/>
      <c r="I180" s="3"/>
      <c r="J180" s="3"/>
      <c r="K180" s="5"/>
      <c r="L180" s="3"/>
      <c r="M180" s="5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5"/>
    </row>
    <row r="181" spans="1:28" ht="24" customHeight="1" x14ac:dyDescent="0.5">
      <c r="A181" s="3"/>
      <c r="B181" s="3"/>
      <c r="C181" s="3"/>
      <c r="D181" s="3"/>
      <c r="E181" s="3"/>
      <c r="F181" s="3"/>
      <c r="G181" s="5"/>
      <c r="H181" s="3"/>
      <c r="I181" s="3"/>
      <c r="J181" s="3"/>
      <c r="K181" s="5"/>
      <c r="L181" s="3"/>
      <c r="M181" s="5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5"/>
    </row>
    <row r="182" spans="1:28" ht="24" customHeight="1" x14ac:dyDescent="0.5">
      <c r="A182" s="3"/>
      <c r="B182" s="3"/>
      <c r="C182" s="3"/>
      <c r="D182" s="3"/>
      <c r="E182" s="3"/>
      <c r="F182" s="3"/>
      <c r="G182" s="5"/>
      <c r="H182" s="3"/>
      <c r="I182" s="3"/>
      <c r="J182" s="3"/>
      <c r="K182" s="5"/>
      <c r="L182" s="3"/>
      <c r="M182" s="5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5"/>
    </row>
    <row r="183" spans="1:28" ht="24" customHeight="1" x14ac:dyDescent="0.5">
      <c r="A183" s="3"/>
      <c r="B183" s="3"/>
      <c r="C183" s="3"/>
      <c r="D183" s="3"/>
      <c r="E183" s="3"/>
      <c r="F183" s="3"/>
      <c r="G183" s="5"/>
      <c r="H183" s="3"/>
      <c r="I183" s="3"/>
      <c r="J183" s="3"/>
      <c r="K183" s="5"/>
      <c r="L183" s="3"/>
      <c r="M183" s="5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5"/>
    </row>
    <row r="184" spans="1:28" ht="24" customHeight="1" x14ac:dyDescent="0.5">
      <c r="A184" s="3"/>
      <c r="B184" s="3"/>
      <c r="C184" s="3"/>
      <c r="D184" s="3"/>
      <c r="E184" s="3"/>
      <c r="F184" s="3"/>
      <c r="G184" s="5"/>
      <c r="H184" s="3"/>
      <c r="I184" s="3"/>
      <c r="J184" s="3"/>
      <c r="K184" s="5"/>
      <c r="L184" s="3"/>
      <c r="M184" s="5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5"/>
    </row>
    <row r="185" spans="1:28" ht="24" customHeight="1" x14ac:dyDescent="0.5">
      <c r="A185" s="3"/>
      <c r="B185" s="3"/>
      <c r="C185" s="3"/>
      <c r="D185" s="3"/>
      <c r="E185" s="3"/>
      <c r="F185" s="3"/>
      <c r="G185" s="5"/>
      <c r="H185" s="3"/>
      <c r="I185" s="3"/>
      <c r="J185" s="3"/>
      <c r="K185" s="5"/>
      <c r="L185" s="3"/>
      <c r="M185" s="5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5"/>
    </row>
    <row r="186" spans="1:28" ht="24" customHeight="1" x14ac:dyDescent="0.5">
      <c r="A186" s="3"/>
      <c r="B186" s="3"/>
      <c r="C186" s="3"/>
      <c r="D186" s="3"/>
      <c r="E186" s="3"/>
      <c r="F186" s="3"/>
      <c r="G186" s="5"/>
      <c r="H186" s="3"/>
      <c r="I186" s="3"/>
      <c r="J186" s="3"/>
      <c r="K186" s="5"/>
      <c r="L186" s="3"/>
      <c r="M186" s="5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5"/>
    </row>
    <row r="187" spans="1:28" ht="24" customHeight="1" x14ac:dyDescent="0.5">
      <c r="A187" s="3"/>
      <c r="B187" s="3"/>
      <c r="C187" s="3"/>
      <c r="D187" s="3"/>
      <c r="E187" s="3"/>
      <c r="F187" s="3"/>
      <c r="G187" s="5"/>
      <c r="H187" s="3"/>
      <c r="I187" s="3"/>
      <c r="J187" s="3"/>
      <c r="K187" s="5"/>
      <c r="L187" s="3"/>
      <c r="M187" s="5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5"/>
    </row>
    <row r="188" spans="1:28" ht="24" customHeight="1" x14ac:dyDescent="0.5">
      <c r="A188" s="3"/>
      <c r="B188" s="3"/>
      <c r="C188" s="3"/>
      <c r="D188" s="3"/>
      <c r="E188" s="3"/>
      <c r="F188" s="3"/>
      <c r="G188" s="5"/>
      <c r="H188" s="3"/>
      <c r="I188" s="3"/>
      <c r="J188" s="3"/>
      <c r="K188" s="5"/>
      <c r="L188" s="3"/>
      <c r="M188" s="5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5"/>
    </row>
    <row r="189" spans="1:28" ht="24" customHeight="1" x14ac:dyDescent="0.5">
      <c r="A189" s="3"/>
      <c r="B189" s="3"/>
      <c r="C189" s="3"/>
      <c r="D189" s="3"/>
      <c r="E189" s="3"/>
      <c r="F189" s="3"/>
      <c r="G189" s="5"/>
      <c r="H189" s="3"/>
      <c r="I189" s="3"/>
      <c r="J189" s="3"/>
      <c r="K189" s="5"/>
      <c r="L189" s="3"/>
      <c r="M189" s="5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5"/>
    </row>
    <row r="190" spans="1:28" ht="24" customHeight="1" x14ac:dyDescent="0.5">
      <c r="A190" s="3"/>
      <c r="B190" s="3"/>
      <c r="C190" s="3"/>
      <c r="D190" s="3"/>
      <c r="E190" s="3"/>
      <c r="F190" s="3"/>
      <c r="G190" s="5"/>
      <c r="H190" s="3"/>
      <c r="I190" s="3"/>
      <c r="J190" s="3"/>
      <c r="K190" s="5"/>
      <c r="L190" s="3"/>
      <c r="M190" s="5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5"/>
    </row>
    <row r="191" spans="1:28" ht="24" customHeight="1" x14ac:dyDescent="0.5">
      <c r="A191" s="3"/>
      <c r="B191" s="3"/>
      <c r="C191" s="3"/>
      <c r="D191" s="3"/>
      <c r="E191" s="3"/>
      <c r="F191" s="3"/>
      <c r="G191" s="5"/>
      <c r="H191" s="3"/>
      <c r="I191" s="3"/>
      <c r="J191" s="3"/>
      <c r="K191" s="5"/>
      <c r="L191" s="3"/>
      <c r="M191" s="5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5"/>
    </row>
    <row r="192" spans="1:28" ht="24" customHeight="1" x14ac:dyDescent="0.5">
      <c r="A192" s="3"/>
      <c r="B192" s="3"/>
      <c r="C192" s="3"/>
      <c r="D192" s="3"/>
      <c r="E192" s="3"/>
      <c r="F192" s="3"/>
      <c r="G192" s="5"/>
      <c r="H192" s="3"/>
      <c r="I192" s="3"/>
      <c r="J192" s="3"/>
      <c r="K192" s="5"/>
      <c r="L192" s="3"/>
      <c r="M192" s="5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5"/>
    </row>
    <row r="193" spans="1:28" ht="24" customHeight="1" x14ac:dyDescent="0.5">
      <c r="A193" s="3"/>
      <c r="B193" s="3"/>
      <c r="C193" s="3"/>
      <c r="D193" s="3"/>
      <c r="E193" s="3"/>
      <c r="F193" s="3"/>
      <c r="G193" s="5"/>
      <c r="H193" s="3"/>
      <c r="I193" s="3"/>
      <c r="J193" s="3"/>
      <c r="K193" s="5"/>
      <c r="L193" s="3"/>
      <c r="M193" s="5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5"/>
    </row>
    <row r="194" spans="1:28" ht="24" customHeight="1" x14ac:dyDescent="0.5">
      <c r="A194" s="3"/>
      <c r="B194" s="3"/>
      <c r="C194" s="3"/>
      <c r="D194" s="3"/>
      <c r="E194" s="3"/>
      <c r="F194" s="3"/>
      <c r="G194" s="5"/>
      <c r="H194" s="3"/>
      <c r="I194" s="3"/>
      <c r="J194" s="3"/>
      <c r="K194" s="5"/>
      <c r="L194" s="3"/>
      <c r="M194" s="5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5"/>
    </row>
    <row r="195" spans="1:28" ht="24" customHeight="1" x14ac:dyDescent="0.5">
      <c r="A195" s="3"/>
      <c r="B195" s="3"/>
      <c r="C195" s="3"/>
      <c r="D195" s="3"/>
      <c r="E195" s="3"/>
      <c r="F195" s="3"/>
      <c r="G195" s="5"/>
      <c r="H195" s="3"/>
      <c r="I195" s="3"/>
      <c r="J195" s="3"/>
      <c r="K195" s="5"/>
      <c r="L195" s="3"/>
      <c r="M195" s="5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5"/>
    </row>
    <row r="196" spans="1:28" ht="24" customHeight="1" x14ac:dyDescent="0.5">
      <c r="A196" s="3"/>
      <c r="B196" s="3"/>
      <c r="C196" s="3"/>
      <c r="D196" s="3"/>
      <c r="E196" s="3"/>
      <c r="F196" s="3"/>
      <c r="G196" s="5"/>
      <c r="H196" s="3"/>
      <c r="I196" s="3"/>
      <c r="J196" s="3"/>
      <c r="K196" s="5"/>
      <c r="L196" s="3"/>
      <c r="M196" s="5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5"/>
    </row>
    <row r="197" spans="1:28" ht="24" customHeight="1" x14ac:dyDescent="0.5">
      <c r="A197" s="3"/>
      <c r="B197" s="3"/>
      <c r="C197" s="3"/>
      <c r="D197" s="3"/>
      <c r="E197" s="3"/>
      <c r="F197" s="3"/>
      <c r="G197" s="5"/>
      <c r="H197" s="3"/>
      <c r="I197" s="3"/>
      <c r="J197" s="3"/>
      <c r="K197" s="5"/>
      <c r="L197" s="3"/>
      <c r="M197" s="5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5"/>
    </row>
    <row r="198" spans="1:28" ht="24" customHeight="1" x14ac:dyDescent="0.5">
      <c r="A198" s="3"/>
      <c r="B198" s="3"/>
      <c r="C198" s="3"/>
      <c r="D198" s="3"/>
      <c r="E198" s="3"/>
      <c r="F198" s="3"/>
      <c r="G198" s="5"/>
      <c r="H198" s="3"/>
      <c r="I198" s="3"/>
      <c r="J198" s="3"/>
      <c r="K198" s="5"/>
      <c r="L198" s="3"/>
      <c r="M198" s="5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5"/>
    </row>
    <row r="199" spans="1:28" ht="24" customHeight="1" x14ac:dyDescent="0.5">
      <c r="A199" s="3"/>
      <c r="B199" s="3"/>
      <c r="C199" s="3"/>
      <c r="D199" s="3"/>
      <c r="E199" s="3"/>
      <c r="F199" s="3"/>
      <c r="G199" s="5"/>
      <c r="H199" s="3"/>
      <c r="I199" s="3"/>
      <c r="J199" s="3"/>
      <c r="K199" s="5"/>
      <c r="L199" s="3"/>
      <c r="M199" s="5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5"/>
    </row>
    <row r="200" spans="1:28" ht="24" customHeight="1" x14ac:dyDescent="0.5">
      <c r="A200" s="3"/>
      <c r="B200" s="3"/>
      <c r="C200" s="3"/>
      <c r="D200" s="3"/>
      <c r="E200" s="3"/>
      <c r="F200" s="3"/>
      <c r="G200" s="5"/>
      <c r="H200" s="3"/>
      <c r="I200" s="3"/>
      <c r="J200" s="3"/>
      <c r="K200" s="5"/>
      <c r="L200" s="3"/>
      <c r="M200" s="5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5"/>
    </row>
    <row r="201" spans="1:28" ht="24" customHeight="1" x14ac:dyDescent="0.5">
      <c r="A201" s="3"/>
      <c r="B201" s="3"/>
      <c r="C201" s="3"/>
      <c r="D201" s="3"/>
      <c r="E201" s="3"/>
      <c r="F201" s="3"/>
      <c r="G201" s="5"/>
      <c r="H201" s="3"/>
      <c r="I201" s="3"/>
      <c r="J201" s="3"/>
      <c r="K201" s="5"/>
      <c r="L201" s="3"/>
      <c r="M201" s="5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5"/>
    </row>
    <row r="202" spans="1:28" ht="24" customHeight="1" x14ac:dyDescent="0.5">
      <c r="A202" s="3"/>
      <c r="B202" s="3"/>
      <c r="C202" s="3"/>
      <c r="D202" s="3"/>
      <c r="E202" s="3"/>
      <c r="F202" s="3"/>
      <c r="G202" s="5"/>
      <c r="H202" s="3"/>
      <c r="I202" s="3"/>
      <c r="J202" s="3"/>
      <c r="K202" s="5"/>
      <c r="L202" s="3"/>
      <c r="M202" s="5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5"/>
    </row>
    <row r="203" spans="1:28" ht="24" customHeight="1" x14ac:dyDescent="0.5">
      <c r="A203" s="3"/>
      <c r="B203" s="3"/>
      <c r="C203" s="3"/>
      <c r="D203" s="3"/>
      <c r="E203" s="3"/>
      <c r="F203" s="3"/>
      <c r="G203" s="5"/>
      <c r="H203" s="3"/>
      <c r="I203" s="3"/>
      <c r="J203" s="3"/>
      <c r="K203" s="5"/>
      <c r="L203" s="3"/>
      <c r="M203" s="5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5"/>
    </row>
    <row r="204" spans="1:28" ht="24" customHeight="1" x14ac:dyDescent="0.5">
      <c r="A204" s="3"/>
      <c r="B204" s="3"/>
      <c r="C204" s="3"/>
      <c r="D204" s="3"/>
      <c r="E204" s="3"/>
      <c r="F204" s="3"/>
      <c r="G204" s="5"/>
      <c r="H204" s="3"/>
      <c r="I204" s="3"/>
      <c r="J204" s="3"/>
      <c r="K204" s="5"/>
      <c r="L204" s="3"/>
      <c r="M204" s="5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5"/>
    </row>
    <row r="205" spans="1:28" ht="24" customHeight="1" x14ac:dyDescent="0.5">
      <c r="A205" s="3"/>
      <c r="B205" s="3"/>
      <c r="C205" s="3"/>
      <c r="D205" s="3"/>
      <c r="E205" s="3"/>
      <c r="F205" s="3"/>
      <c r="G205" s="5"/>
      <c r="H205" s="3"/>
      <c r="I205" s="3"/>
      <c r="J205" s="3"/>
      <c r="K205" s="5"/>
      <c r="L205" s="3"/>
      <c r="M205" s="5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5"/>
    </row>
    <row r="206" spans="1:28" ht="24" customHeight="1" x14ac:dyDescent="0.5">
      <c r="A206" s="3"/>
      <c r="B206" s="3"/>
      <c r="C206" s="3"/>
      <c r="D206" s="3"/>
      <c r="E206" s="3"/>
      <c r="F206" s="3"/>
      <c r="G206" s="5"/>
      <c r="H206" s="3"/>
      <c r="I206" s="3"/>
      <c r="J206" s="3"/>
      <c r="K206" s="5"/>
      <c r="L206" s="3"/>
      <c r="M206" s="5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5"/>
    </row>
    <row r="207" spans="1:28" ht="24" customHeight="1" x14ac:dyDescent="0.5">
      <c r="A207" s="3"/>
      <c r="B207" s="3"/>
      <c r="C207" s="3"/>
      <c r="D207" s="3"/>
      <c r="E207" s="3"/>
      <c r="F207" s="3"/>
      <c r="G207" s="5"/>
      <c r="H207" s="3"/>
      <c r="I207" s="3"/>
      <c r="J207" s="3"/>
      <c r="K207" s="5"/>
      <c r="L207" s="3"/>
      <c r="M207" s="5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5"/>
    </row>
    <row r="208" spans="1:28" ht="24" customHeight="1" x14ac:dyDescent="0.5">
      <c r="A208" s="3"/>
      <c r="B208" s="3"/>
      <c r="C208" s="3"/>
      <c r="D208" s="3"/>
      <c r="E208" s="3"/>
      <c r="F208" s="3"/>
      <c r="G208" s="5"/>
      <c r="H208" s="3"/>
      <c r="I208" s="3"/>
      <c r="J208" s="3"/>
      <c r="K208" s="5"/>
      <c r="L208" s="3"/>
      <c r="M208" s="5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5"/>
    </row>
    <row r="209" spans="1:28" ht="24" customHeight="1" x14ac:dyDescent="0.5">
      <c r="A209" s="3"/>
      <c r="B209" s="3"/>
      <c r="C209" s="3"/>
      <c r="D209" s="3"/>
      <c r="E209" s="3"/>
      <c r="F209" s="3"/>
      <c r="G209" s="5"/>
      <c r="H209" s="3"/>
      <c r="I209" s="3"/>
      <c r="J209" s="3"/>
      <c r="K209" s="5"/>
      <c r="L209" s="3"/>
      <c r="M209" s="5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5"/>
    </row>
    <row r="210" spans="1:28" ht="24" customHeight="1" x14ac:dyDescent="0.5">
      <c r="A210" s="3"/>
      <c r="B210" s="3"/>
      <c r="C210" s="3"/>
      <c r="D210" s="3"/>
      <c r="E210" s="3"/>
      <c r="F210" s="3"/>
      <c r="G210" s="5"/>
      <c r="H210" s="3"/>
      <c r="I210" s="3"/>
      <c r="J210" s="3"/>
      <c r="K210" s="5"/>
      <c r="L210" s="3"/>
      <c r="M210" s="5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5"/>
    </row>
    <row r="211" spans="1:28" ht="24" customHeight="1" x14ac:dyDescent="0.5">
      <c r="A211" s="3"/>
      <c r="B211" s="3"/>
      <c r="C211" s="3"/>
      <c r="D211" s="3"/>
      <c r="E211" s="3"/>
      <c r="F211" s="3"/>
      <c r="G211" s="5"/>
      <c r="H211" s="3"/>
      <c r="I211" s="3"/>
      <c r="J211" s="3"/>
      <c r="K211" s="5"/>
      <c r="L211" s="3"/>
      <c r="M211" s="5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5"/>
    </row>
    <row r="212" spans="1:28" ht="24" customHeight="1" x14ac:dyDescent="0.5">
      <c r="A212" s="3"/>
      <c r="B212" s="3"/>
      <c r="C212" s="3"/>
      <c r="D212" s="3"/>
      <c r="E212" s="3"/>
      <c r="F212" s="3"/>
      <c r="G212" s="5"/>
      <c r="H212" s="3"/>
      <c r="I212" s="3"/>
      <c r="J212" s="3"/>
      <c r="K212" s="5"/>
      <c r="L212" s="3"/>
      <c r="M212" s="5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5"/>
    </row>
    <row r="213" spans="1:28" ht="24" customHeight="1" x14ac:dyDescent="0.5">
      <c r="A213" s="3"/>
      <c r="B213" s="3"/>
      <c r="C213" s="3"/>
      <c r="D213" s="3"/>
      <c r="E213" s="3"/>
      <c r="F213" s="3"/>
      <c r="G213" s="5"/>
      <c r="H213" s="3"/>
      <c r="I213" s="3"/>
      <c r="J213" s="3"/>
      <c r="K213" s="5"/>
      <c r="L213" s="3"/>
      <c r="M213" s="5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5"/>
    </row>
    <row r="214" spans="1:28" ht="24" customHeight="1" x14ac:dyDescent="0.5">
      <c r="A214" s="3"/>
      <c r="B214" s="3"/>
      <c r="C214" s="3"/>
      <c r="D214" s="3"/>
      <c r="E214" s="3"/>
      <c r="F214" s="3"/>
      <c r="G214" s="5"/>
      <c r="H214" s="3"/>
      <c r="I214" s="3"/>
      <c r="J214" s="3"/>
      <c r="K214" s="5"/>
      <c r="L214" s="3"/>
      <c r="M214" s="5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5"/>
    </row>
    <row r="215" spans="1:28" ht="24" customHeight="1" x14ac:dyDescent="0.5">
      <c r="A215" s="3"/>
      <c r="B215" s="3"/>
      <c r="C215" s="3"/>
      <c r="D215" s="3"/>
      <c r="E215" s="3"/>
      <c r="F215" s="3"/>
      <c r="G215" s="5"/>
      <c r="H215" s="3"/>
      <c r="I215" s="3"/>
      <c r="J215" s="3"/>
      <c r="K215" s="5"/>
      <c r="L215" s="3"/>
      <c r="M215" s="5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5"/>
    </row>
    <row r="216" spans="1:28" ht="24" customHeight="1" x14ac:dyDescent="0.5">
      <c r="A216" s="3"/>
      <c r="B216" s="3"/>
      <c r="C216" s="3"/>
      <c r="D216" s="3"/>
      <c r="E216" s="3"/>
      <c r="F216" s="3"/>
      <c r="G216" s="5"/>
      <c r="H216" s="3"/>
      <c r="I216" s="3"/>
      <c r="J216" s="3"/>
      <c r="K216" s="5"/>
      <c r="L216" s="3"/>
      <c r="M216" s="5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5"/>
    </row>
    <row r="217" spans="1:28" ht="24" customHeight="1" x14ac:dyDescent="0.5">
      <c r="A217" s="3"/>
      <c r="B217" s="3"/>
      <c r="C217" s="3"/>
      <c r="D217" s="3"/>
      <c r="E217" s="3"/>
      <c r="F217" s="3"/>
      <c r="G217" s="5"/>
      <c r="H217" s="3"/>
      <c r="I217" s="3"/>
      <c r="J217" s="3"/>
      <c r="K217" s="5"/>
      <c r="L217" s="3"/>
      <c r="M217" s="5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5"/>
    </row>
    <row r="218" spans="1:28" ht="24" customHeight="1" x14ac:dyDescent="0.5">
      <c r="A218" s="3"/>
      <c r="B218" s="3"/>
      <c r="C218" s="3"/>
      <c r="D218" s="3"/>
      <c r="E218" s="3"/>
      <c r="F218" s="3"/>
      <c r="G218" s="5"/>
      <c r="H218" s="3"/>
      <c r="I218" s="3"/>
      <c r="J218" s="3"/>
      <c r="K218" s="5"/>
      <c r="L218" s="3"/>
      <c r="M218" s="5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5"/>
    </row>
    <row r="219" spans="1:28" ht="24" customHeight="1" x14ac:dyDescent="0.5">
      <c r="A219" s="3"/>
      <c r="B219" s="3"/>
      <c r="C219" s="3"/>
      <c r="D219" s="3"/>
      <c r="E219" s="3"/>
      <c r="F219" s="3"/>
      <c r="G219" s="5"/>
      <c r="H219" s="3"/>
      <c r="I219" s="3"/>
      <c r="J219" s="3"/>
      <c r="K219" s="5"/>
      <c r="L219" s="3"/>
      <c r="M219" s="5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5"/>
    </row>
    <row r="220" spans="1:28" ht="24" customHeight="1" x14ac:dyDescent="0.5">
      <c r="A220" s="3"/>
      <c r="B220" s="3"/>
      <c r="C220" s="3"/>
      <c r="D220" s="3"/>
      <c r="E220" s="3"/>
      <c r="F220" s="3"/>
      <c r="G220" s="5"/>
      <c r="H220" s="3"/>
      <c r="I220" s="3"/>
      <c r="J220" s="3"/>
      <c r="K220" s="5"/>
      <c r="L220" s="3"/>
      <c r="M220" s="5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5"/>
    </row>
    <row r="221" spans="1:28" ht="24" customHeight="1" x14ac:dyDescent="0.5">
      <c r="A221" s="3"/>
      <c r="B221" s="3"/>
      <c r="C221" s="3"/>
      <c r="D221" s="3"/>
      <c r="E221" s="3"/>
      <c r="F221" s="3"/>
      <c r="G221" s="5"/>
      <c r="H221" s="3"/>
      <c r="I221" s="3"/>
      <c r="J221" s="3"/>
      <c r="K221" s="5"/>
      <c r="L221" s="3"/>
      <c r="M221" s="5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5"/>
    </row>
    <row r="222" spans="1:28" ht="24" customHeight="1" x14ac:dyDescent="0.5">
      <c r="A222" s="3"/>
      <c r="B222" s="3"/>
      <c r="C222" s="3"/>
      <c r="D222" s="3"/>
      <c r="E222" s="3"/>
      <c r="F222" s="3"/>
      <c r="G222" s="5"/>
      <c r="H222" s="3"/>
      <c r="I222" s="3"/>
      <c r="J222" s="3"/>
      <c r="K222" s="5"/>
      <c r="L222" s="3"/>
      <c r="M222" s="5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5"/>
    </row>
    <row r="223" spans="1:28" ht="24" customHeight="1" x14ac:dyDescent="0.5">
      <c r="A223" s="3"/>
      <c r="B223" s="3"/>
      <c r="C223" s="3"/>
      <c r="D223" s="3"/>
      <c r="E223" s="3"/>
      <c r="F223" s="3"/>
      <c r="G223" s="5"/>
      <c r="H223" s="3"/>
      <c r="I223" s="3"/>
      <c r="J223" s="3"/>
      <c r="K223" s="5"/>
      <c r="L223" s="3"/>
      <c r="M223" s="5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5"/>
    </row>
    <row r="224" spans="1:28" ht="24" customHeight="1" x14ac:dyDescent="0.5">
      <c r="A224" s="3"/>
      <c r="B224" s="3"/>
      <c r="C224" s="3"/>
      <c r="D224" s="3"/>
      <c r="E224" s="3"/>
      <c r="F224" s="3"/>
      <c r="G224" s="5"/>
      <c r="H224" s="3"/>
      <c r="I224" s="3"/>
      <c r="J224" s="3"/>
      <c r="K224" s="5"/>
      <c r="L224" s="3"/>
      <c r="M224" s="5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5"/>
    </row>
    <row r="225" spans="1:28" ht="24" customHeight="1" x14ac:dyDescent="0.5">
      <c r="A225" s="3"/>
      <c r="B225" s="3"/>
      <c r="C225" s="3"/>
      <c r="D225" s="3"/>
      <c r="E225" s="3"/>
      <c r="F225" s="3"/>
      <c r="G225" s="5"/>
      <c r="H225" s="3"/>
      <c r="I225" s="3"/>
      <c r="J225" s="3"/>
      <c r="K225" s="5"/>
      <c r="L225" s="3"/>
      <c r="M225" s="5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5"/>
    </row>
    <row r="226" spans="1:28" ht="24" customHeight="1" x14ac:dyDescent="0.5">
      <c r="A226" s="3"/>
      <c r="B226" s="3"/>
      <c r="C226" s="3"/>
      <c r="D226" s="3"/>
      <c r="E226" s="3"/>
      <c r="F226" s="3"/>
      <c r="G226" s="5"/>
      <c r="H226" s="3"/>
      <c r="I226" s="3"/>
      <c r="J226" s="3"/>
      <c r="K226" s="5"/>
      <c r="L226" s="3"/>
      <c r="M226" s="5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5"/>
    </row>
    <row r="227" spans="1:28" ht="24" customHeight="1" x14ac:dyDescent="0.5">
      <c r="A227" s="3"/>
      <c r="B227" s="3"/>
      <c r="C227" s="3"/>
      <c r="D227" s="3"/>
      <c r="E227" s="3"/>
      <c r="F227" s="3"/>
      <c r="G227" s="5"/>
      <c r="H227" s="3"/>
      <c r="I227" s="3"/>
      <c r="J227" s="3"/>
      <c r="K227" s="5"/>
      <c r="L227" s="3"/>
      <c r="M227" s="5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5"/>
    </row>
    <row r="228" spans="1:28" ht="24" customHeight="1" x14ac:dyDescent="0.5">
      <c r="A228" s="3"/>
      <c r="B228" s="3"/>
      <c r="C228" s="3"/>
      <c r="D228" s="3"/>
      <c r="E228" s="3"/>
      <c r="F228" s="3"/>
      <c r="G228" s="5"/>
      <c r="H228" s="3"/>
      <c r="I228" s="3"/>
      <c r="J228" s="3"/>
      <c r="K228" s="5"/>
      <c r="L228" s="3"/>
      <c r="M228" s="5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5"/>
    </row>
    <row r="229" spans="1:28" ht="24" customHeight="1" x14ac:dyDescent="0.5">
      <c r="A229" s="3"/>
      <c r="B229" s="3"/>
      <c r="C229" s="3"/>
      <c r="D229" s="3"/>
      <c r="E229" s="3"/>
      <c r="F229" s="3"/>
      <c r="G229" s="5"/>
      <c r="H229" s="3"/>
      <c r="I229" s="3"/>
      <c r="J229" s="3"/>
      <c r="K229" s="5"/>
      <c r="L229" s="3"/>
      <c r="M229" s="5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5"/>
    </row>
    <row r="230" spans="1:28" ht="24" customHeight="1" x14ac:dyDescent="0.5">
      <c r="A230" s="3"/>
      <c r="B230" s="3"/>
      <c r="C230" s="3"/>
      <c r="D230" s="3"/>
      <c r="E230" s="3"/>
      <c r="F230" s="3"/>
      <c r="G230" s="5"/>
      <c r="H230" s="3"/>
      <c r="I230" s="3"/>
      <c r="J230" s="3"/>
      <c r="K230" s="5"/>
      <c r="L230" s="3"/>
      <c r="M230" s="5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5"/>
    </row>
    <row r="231" spans="1:28" ht="24" customHeight="1" x14ac:dyDescent="0.5">
      <c r="A231" s="3"/>
      <c r="B231" s="3"/>
      <c r="C231" s="3"/>
      <c r="D231" s="3"/>
      <c r="E231" s="3"/>
      <c r="F231" s="3"/>
      <c r="G231" s="5"/>
      <c r="H231" s="3"/>
      <c r="I231" s="3"/>
      <c r="J231" s="3"/>
      <c r="K231" s="5"/>
      <c r="L231" s="3"/>
      <c r="M231" s="5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5"/>
    </row>
    <row r="232" spans="1:28" ht="24" customHeight="1" x14ac:dyDescent="0.5">
      <c r="A232" s="3"/>
      <c r="B232" s="3"/>
      <c r="C232" s="3"/>
      <c r="D232" s="3"/>
      <c r="E232" s="3"/>
      <c r="F232" s="3"/>
      <c r="G232" s="5"/>
      <c r="H232" s="3"/>
      <c r="I232" s="3"/>
      <c r="J232" s="3"/>
      <c r="K232" s="5"/>
      <c r="L232" s="3"/>
      <c r="M232" s="5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5"/>
    </row>
    <row r="233" spans="1:28" ht="24" customHeight="1" x14ac:dyDescent="0.5">
      <c r="A233" s="3"/>
      <c r="B233" s="3"/>
      <c r="C233" s="3"/>
      <c r="D233" s="3"/>
      <c r="E233" s="3"/>
      <c r="F233" s="3"/>
      <c r="G233" s="5"/>
      <c r="H233" s="3"/>
      <c r="I233" s="3"/>
      <c r="J233" s="3"/>
      <c r="K233" s="5"/>
      <c r="L233" s="3"/>
      <c r="M233" s="5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5"/>
    </row>
    <row r="234" spans="1:28" ht="24" customHeight="1" x14ac:dyDescent="0.5">
      <c r="A234" s="3"/>
      <c r="B234" s="3"/>
      <c r="C234" s="3"/>
      <c r="D234" s="3"/>
      <c r="E234" s="3"/>
      <c r="F234" s="3"/>
      <c r="G234" s="5"/>
      <c r="H234" s="3"/>
      <c r="I234" s="3"/>
      <c r="J234" s="3"/>
      <c r="K234" s="5"/>
      <c r="L234" s="3"/>
      <c r="M234" s="5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5"/>
    </row>
    <row r="235" spans="1:28" ht="24" customHeight="1" x14ac:dyDescent="0.5">
      <c r="A235" s="3"/>
      <c r="B235" s="3"/>
      <c r="C235" s="3"/>
      <c r="D235" s="3"/>
      <c r="E235" s="3"/>
      <c r="F235" s="3"/>
      <c r="G235" s="5"/>
      <c r="H235" s="3"/>
      <c r="I235" s="3"/>
      <c r="J235" s="3"/>
      <c r="K235" s="5"/>
      <c r="L235" s="3"/>
      <c r="M235" s="5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5"/>
    </row>
    <row r="236" spans="1:28" ht="24" customHeight="1" x14ac:dyDescent="0.5">
      <c r="A236" s="3"/>
      <c r="B236" s="3"/>
      <c r="C236" s="3"/>
      <c r="D236" s="3"/>
      <c r="E236" s="3"/>
      <c r="F236" s="3"/>
      <c r="G236" s="5"/>
      <c r="H236" s="3"/>
      <c r="I236" s="3"/>
      <c r="J236" s="3"/>
      <c r="K236" s="5"/>
      <c r="L236" s="3"/>
      <c r="M236" s="5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5"/>
    </row>
    <row r="237" spans="1:28" ht="24" customHeight="1" x14ac:dyDescent="0.5">
      <c r="A237" s="3"/>
      <c r="B237" s="3"/>
      <c r="C237" s="3"/>
      <c r="D237" s="3"/>
      <c r="E237" s="3"/>
      <c r="F237" s="3"/>
      <c r="G237" s="5"/>
      <c r="H237" s="3"/>
      <c r="I237" s="3"/>
      <c r="J237" s="3"/>
      <c r="K237" s="5"/>
      <c r="L237" s="3"/>
      <c r="M237" s="5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5"/>
    </row>
    <row r="238" spans="1:28" ht="24" customHeight="1" x14ac:dyDescent="0.5">
      <c r="A238" s="3"/>
      <c r="B238" s="3"/>
      <c r="C238" s="3"/>
      <c r="D238" s="3"/>
      <c r="E238" s="3"/>
      <c r="F238" s="3"/>
      <c r="G238" s="5"/>
      <c r="H238" s="3"/>
      <c r="I238" s="3"/>
      <c r="J238" s="3"/>
      <c r="K238" s="5"/>
      <c r="L238" s="3"/>
      <c r="M238" s="5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5"/>
    </row>
    <row r="239" spans="1:28" ht="24" customHeight="1" x14ac:dyDescent="0.5">
      <c r="A239" s="3"/>
      <c r="B239" s="3"/>
      <c r="C239" s="3"/>
      <c r="D239" s="3"/>
      <c r="E239" s="3"/>
      <c r="F239" s="3"/>
      <c r="G239" s="5"/>
      <c r="H239" s="3"/>
      <c r="I239" s="3"/>
      <c r="J239" s="3"/>
      <c r="K239" s="5"/>
      <c r="L239" s="3"/>
      <c r="M239" s="5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5"/>
    </row>
    <row r="240" spans="1:28" ht="24" customHeight="1" x14ac:dyDescent="0.5">
      <c r="A240" s="3"/>
      <c r="B240" s="3"/>
      <c r="C240" s="3"/>
      <c r="D240" s="3"/>
      <c r="E240" s="3"/>
      <c r="F240" s="3"/>
      <c r="G240" s="5"/>
      <c r="H240" s="3"/>
      <c r="I240" s="3"/>
      <c r="J240" s="3"/>
      <c r="K240" s="5"/>
      <c r="L240" s="3"/>
      <c r="M240" s="5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5"/>
    </row>
    <row r="241" spans="1:28" ht="24" customHeight="1" x14ac:dyDescent="0.5">
      <c r="A241" s="3"/>
      <c r="B241" s="3"/>
      <c r="C241" s="3"/>
      <c r="D241" s="3"/>
      <c r="E241" s="3"/>
      <c r="F241" s="3"/>
      <c r="G241" s="5"/>
      <c r="H241" s="3"/>
      <c r="I241" s="3"/>
      <c r="J241" s="3"/>
      <c r="K241" s="5"/>
      <c r="L241" s="3"/>
      <c r="M241" s="5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5"/>
    </row>
    <row r="242" spans="1:28" ht="24" customHeight="1" x14ac:dyDescent="0.5">
      <c r="A242" s="3"/>
      <c r="B242" s="3"/>
      <c r="C242" s="3"/>
      <c r="D242" s="3"/>
      <c r="E242" s="3"/>
      <c r="F242" s="3"/>
      <c r="G242" s="5"/>
      <c r="H242" s="3"/>
      <c r="I242" s="3"/>
      <c r="J242" s="3"/>
      <c r="K242" s="5"/>
      <c r="L242" s="3"/>
      <c r="M242" s="5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5"/>
    </row>
    <row r="243" spans="1:28" ht="24" customHeight="1" x14ac:dyDescent="0.5">
      <c r="A243" s="3"/>
      <c r="B243" s="3"/>
      <c r="C243" s="3"/>
      <c r="D243" s="3"/>
      <c r="E243" s="3"/>
      <c r="F243" s="3"/>
      <c r="G243" s="5"/>
      <c r="H243" s="3"/>
      <c r="I243" s="3"/>
      <c r="J243" s="3"/>
      <c r="K243" s="5"/>
      <c r="L243" s="3"/>
      <c r="M243" s="5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5"/>
    </row>
    <row r="244" spans="1:28" ht="24" customHeight="1" x14ac:dyDescent="0.5">
      <c r="A244" s="3"/>
      <c r="B244" s="3"/>
      <c r="C244" s="3"/>
      <c r="D244" s="3"/>
      <c r="E244" s="3"/>
      <c r="F244" s="3"/>
      <c r="G244" s="5"/>
      <c r="H244" s="3"/>
      <c r="I244" s="3"/>
      <c r="J244" s="3"/>
      <c r="K244" s="5"/>
      <c r="L244" s="3"/>
      <c r="M244" s="5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5"/>
    </row>
    <row r="245" spans="1:28" ht="24" customHeight="1" x14ac:dyDescent="0.5">
      <c r="A245" s="3"/>
      <c r="B245" s="3"/>
      <c r="C245" s="3"/>
      <c r="D245" s="3"/>
      <c r="E245" s="3"/>
      <c r="F245" s="3"/>
      <c r="G245" s="5"/>
      <c r="H245" s="3"/>
      <c r="I245" s="3"/>
      <c r="J245" s="3"/>
      <c r="K245" s="5"/>
      <c r="L245" s="3"/>
      <c r="M245" s="5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5"/>
    </row>
    <row r="246" spans="1:28" ht="24" customHeight="1" x14ac:dyDescent="0.5">
      <c r="A246" s="3"/>
      <c r="B246" s="3"/>
      <c r="C246" s="3"/>
      <c r="D246" s="3"/>
      <c r="E246" s="3"/>
      <c r="F246" s="3"/>
      <c r="G246" s="5"/>
      <c r="H246" s="3"/>
      <c r="I246" s="3"/>
      <c r="J246" s="3"/>
      <c r="K246" s="5"/>
      <c r="L246" s="3"/>
      <c r="M246" s="5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5"/>
    </row>
    <row r="247" spans="1:28" ht="24" customHeight="1" x14ac:dyDescent="0.5">
      <c r="A247" s="3"/>
      <c r="B247" s="3"/>
      <c r="C247" s="3"/>
      <c r="D247" s="3"/>
      <c r="E247" s="3"/>
      <c r="F247" s="3"/>
      <c r="G247" s="5"/>
      <c r="H247" s="3"/>
      <c r="I247" s="3"/>
      <c r="J247" s="3"/>
      <c r="K247" s="5"/>
      <c r="L247" s="3"/>
      <c r="M247" s="5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5"/>
    </row>
    <row r="248" spans="1:28" ht="24" customHeight="1" x14ac:dyDescent="0.5">
      <c r="A248" s="3"/>
      <c r="B248" s="3"/>
      <c r="C248" s="3"/>
      <c r="D248" s="3"/>
      <c r="E248" s="3"/>
      <c r="F248" s="3"/>
      <c r="G248" s="5"/>
      <c r="H248" s="3"/>
      <c r="I248" s="3"/>
      <c r="J248" s="3"/>
      <c r="K248" s="5"/>
      <c r="L248" s="3"/>
      <c r="M248" s="5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5"/>
    </row>
    <row r="249" spans="1:28" ht="24" customHeight="1" x14ac:dyDescent="0.5">
      <c r="A249" s="3"/>
      <c r="B249" s="3"/>
      <c r="C249" s="3"/>
      <c r="D249" s="3"/>
      <c r="E249" s="3"/>
      <c r="F249" s="3"/>
      <c r="G249" s="5"/>
      <c r="H249" s="3"/>
      <c r="I249" s="3"/>
      <c r="J249" s="3"/>
      <c r="K249" s="5"/>
      <c r="L249" s="3"/>
      <c r="M249" s="5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5"/>
    </row>
    <row r="250" spans="1:28" ht="24" customHeight="1" x14ac:dyDescent="0.5">
      <c r="A250" s="3"/>
      <c r="B250" s="3"/>
      <c r="C250" s="3"/>
      <c r="D250" s="3"/>
      <c r="E250" s="3"/>
      <c r="F250" s="3"/>
      <c r="G250" s="5"/>
      <c r="H250" s="3"/>
      <c r="I250" s="3"/>
      <c r="J250" s="3"/>
      <c r="K250" s="5"/>
      <c r="L250" s="3"/>
      <c r="M250" s="5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5"/>
    </row>
    <row r="251" spans="1:28" ht="24" customHeight="1" x14ac:dyDescent="0.5">
      <c r="A251" s="3"/>
      <c r="B251" s="3"/>
      <c r="C251" s="3"/>
      <c r="D251" s="3"/>
      <c r="E251" s="3"/>
      <c r="F251" s="3"/>
      <c r="G251" s="5"/>
      <c r="H251" s="3"/>
      <c r="I251" s="3"/>
      <c r="J251" s="3"/>
      <c r="K251" s="5"/>
      <c r="L251" s="3"/>
      <c r="M251" s="5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5"/>
    </row>
    <row r="252" spans="1:28" ht="24" customHeight="1" x14ac:dyDescent="0.5">
      <c r="A252" s="3"/>
      <c r="B252" s="3"/>
      <c r="C252" s="3"/>
      <c r="D252" s="3"/>
      <c r="E252" s="3"/>
      <c r="F252" s="3"/>
      <c r="G252" s="5"/>
      <c r="H252" s="3"/>
      <c r="I252" s="3"/>
      <c r="J252" s="3"/>
      <c r="K252" s="5"/>
      <c r="L252" s="3"/>
      <c r="M252" s="5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5"/>
    </row>
    <row r="253" spans="1:28" ht="24" customHeight="1" x14ac:dyDescent="0.5">
      <c r="A253" s="3"/>
      <c r="B253" s="3"/>
      <c r="C253" s="3"/>
      <c r="D253" s="3"/>
      <c r="E253" s="3"/>
      <c r="F253" s="3"/>
      <c r="G253" s="5"/>
      <c r="H253" s="3"/>
      <c r="I253" s="3"/>
      <c r="J253" s="3"/>
      <c r="K253" s="5"/>
      <c r="L253" s="3"/>
      <c r="M253" s="5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5"/>
    </row>
    <row r="254" spans="1:28" ht="24" customHeight="1" x14ac:dyDescent="0.5">
      <c r="A254" s="3"/>
      <c r="B254" s="3"/>
      <c r="C254" s="3"/>
      <c r="D254" s="3"/>
      <c r="E254" s="3"/>
      <c r="F254" s="3"/>
      <c r="G254" s="5"/>
      <c r="H254" s="3"/>
      <c r="I254" s="3"/>
      <c r="J254" s="3"/>
      <c r="K254" s="5"/>
      <c r="L254" s="3"/>
      <c r="M254" s="5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5"/>
    </row>
    <row r="255" spans="1:28" ht="24" customHeight="1" x14ac:dyDescent="0.5">
      <c r="A255" s="3"/>
      <c r="B255" s="3"/>
      <c r="C255" s="3"/>
      <c r="D255" s="3"/>
      <c r="E255" s="3"/>
      <c r="F255" s="3"/>
      <c r="G255" s="5"/>
      <c r="H255" s="3"/>
      <c r="I255" s="3"/>
      <c r="J255" s="3"/>
      <c r="K255" s="5"/>
      <c r="L255" s="3"/>
      <c r="M255" s="5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5"/>
    </row>
    <row r="256" spans="1:28" ht="24" customHeight="1" x14ac:dyDescent="0.5">
      <c r="A256" s="3"/>
      <c r="B256" s="3"/>
      <c r="C256" s="3"/>
      <c r="D256" s="3"/>
      <c r="E256" s="3"/>
      <c r="F256" s="3"/>
      <c r="G256" s="5"/>
      <c r="H256" s="3"/>
      <c r="I256" s="3"/>
      <c r="J256" s="3"/>
      <c r="K256" s="5"/>
      <c r="L256" s="3"/>
      <c r="M256" s="5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5"/>
    </row>
    <row r="257" spans="1:28" ht="24" customHeight="1" x14ac:dyDescent="0.5">
      <c r="A257" s="3"/>
      <c r="B257" s="3"/>
      <c r="C257" s="3"/>
      <c r="D257" s="3"/>
      <c r="E257" s="3"/>
      <c r="F257" s="3"/>
      <c r="G257" s="5"/>
      <c r="H257" s="3"/>
      <c r="I257" s="3"/>
      <c r="J257" s="3"/>
      <c r="K257" s="5"/>
      <c r="L257" s="3"/>
      <c r="M257" s="5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5"/>
    </row>
    <row r="258" spans="1:28" ht="24" customHeight="1" x14ac:dyDescent="0.5">
      <c r="A258" s="3"/>
      <c r="B258" s="3"/>
      <c r="C258" s="3"/>
      <c r="D258" s="3"/>
      <c r="E258" s="3"/>
      <c r="F258" s="3"/>
      <c r="G258" s="5"/>
      <c r="H258" s="3"/>
      <c r="I258" s="3"/>
      <c r="J258" s="3"/>
      <c r="K258" s="5"/>
      <c r="L258" s="3"/>
      <c r="M258" s="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5"/>
    </row>
    <row r="259" spans="1:28" ht="24" customHeight="1" x14ac:dyDescent="0.5">
      <c r="A259" s="3"/>
      <c r="B259" s="3"/>
      <c r="C259" s="3"/>
      <c r="D259" s="3"/>
      <c r="E259" s="3"/>
      <c r="F259" s="3"/>
      <c r="G259" s="5"/>
      <c r="H259" s="3"/>
      <c r="I259" s="3"/>
      <c r="J259" s="3"/>
      <c r="K259" s="5"/>
      <c r="L259" s="3"/>
      <c r="M259" s="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5"/>
    </row>
    <row r="260" spans="1:28" ht="24" customHeight="1" x14ac:dyDescent="0.5">
      <c r="A260" s="3"/>
      <c r="B260" s="3"/>
      <c r="C260" s="3"/>
      <c r="D260" s="3"/>
      <c r="E260" s="3"/>
      <c r="F260" s="3"/>
      <c r="G260" s="5"/>
      <c r="H260" s="3"/>
      <c r="I260" s="3"/>
      <c r="J260" s="3"/>
      <c r="K260" s="5"/>
      <c r="L260" s="3"/>
      <c r="M260" s="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5"/>
    </row>
    <row r="261" spans="1:28" ht="24" customHeight="1" x14ac:dyDescent="0.5">
      <c r="A261" s="3"/>
      <c r="B261" s="3"/>
      <c r="C261" s="3"/>
      <c r="D261" s="3"/>
      <c r="E261" s="3"/>
      <c r="F261" s="3"/>
      <c r="G261" s="5"/>
      <c r="H261" s="3"/>
      <c r="I261" s="3"/>
      <c r="J261" s="3"/>
      <c r="K261" s="5"/>
      <c r="L261" s="3"/>
      <c r="M261" s="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5"/>
    </row>
    <row r="262" spans="1:28" ht="24" customHeight="1" x14ac:dyDescent="0.5">
      <c r="A262" s="3"/>
      <c r="B262" s="3"/>
      <c r="C262" s="3"/>
      <c r="D262" s="3"/>
      <c r="E262" s="3"/>
      <c r="F262" s="3"/>
      <c r="G262" s="5"/>
      <c r="H262" s="3"/>
      <c r="I262" s="3"/>
      <c r="J262" s="3"/>
      <c r="K262" s="5"/>
      <c r="L262" s="3"/>
      <c r="M262" s="5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5"/>
    </row>
    <row r="263" spans="1:28" ht="24" customHeight="1" x14ac:dyDescent="0.5">
      <c r="A263" s="3"/>
      <c r="B263" s="3"/>
      <c r="C263" s="3"/>
      <c r="D263" s="3"/>
      <c r="E263" s="3"/>
      <c r="F263" s="3"/>
      <c r="G263" s="5"/>
      <c r="H263" s="3"/>
      <c r="I263" s="3"/>
      <c r="J263" s="3"/>
      <c r="K263" s="5"/>
      <c r="L263" s="3"/>
      <c r="M263" s="5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5"/>
    </row>
    <row r="264" spans="1:28" ht="24" customHeight="1" x14ac:dyDescent="0.5">
      <c r="A264" s="3"/>
      <c r="B264" s="3"/>
      <c r="C264" s="3"/>
      <c r="D264" s="3"/>
      <c r="E264" s="3"/>
      <c r="F264" s="3"/>
      <c r="G264" s="5"/>
      <c r="H264" s="3"/>
      <c r="I264" s="3"/>
      <c r="J264" s="3"/>
      <c r="K264" s="5"/>
      <c r="L264" s="3"/>
      <c r="M264" s="5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5"/>
    </row>
    <row r="265" spans="1:28" ht="24" customHeight="1" x14ac:dyDescent="0.5">
      <c r="A265" s="3"/>
      <c r="B265" s="3"/>
      <c r="C265" s="3"/>
      <c r="D265" s="3"/>
      <c r="E265" s="3"/>
      <c r="F265" s="3"/>
      <c r="G265" s="5"/>
      <c r="H265" s="3"/>
      <c r="I265" s="3"/>
      <c r="J265" s="3"/>
      <c r="K265" s="5"/>
      <c r="L265" s="3"/>
      <c r="M265" s="5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5"/>
    </row>
    <row r="266" spans="1:28" ht="24" customHeight="1" x14ac:dyDescent="0.5">
      <c r="A266" s="3"/>
      <c r="B266" s="3"/>
      <c r="C266" s="3"/>
      <c r="D266" s="3"/>
      <c r="E266" s="3"/>
      <c r="F266" s="3"/>
      <c r="G266" s="5"/>
      <c r="H266" s="3"/>
      <c r="I266" s="3"/>
      <c r="J266" s="3"/>
      <c r="K266" s="5"/>
      <c r="L266" s="3"/>
      <c r="M266" s="5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5"/>
    </row>
    <row r="267" spans="1:28" ht="24" customHeight="1" x14ac:dyDescent="0.5">
      <c r="A267" s="3"/>
      <c r="B267" s="3"/>
      <c r="C267" s="3"/>
      <c r="D267" s="3"/>
      <c r="E267" s="3"/>
      <c r="F267" s="3"/>
      <c r="G267" s="5"/>
      <c r="H267" s="3"/>
      <c r="I267" s="3"/>
      <c r="J267" s="3"/>
      <c r="K267" s="5"/>
      <c r="L267" s="3"/>
      <c r="M267" s="5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5"/>
    </row>
    <row r="268" spans="1:28" ht="24" customHeight="1" x14ac:dyDescent="0.5">
      <c r="A268" s="3"/>
      <c r="B268" s="3"/>
      <c r="C268" s="3"/>
      <c r="D268" s="3"/>
      <c r="E268" s="3"/>
      <c r="F268" s="3"/>
      <c r="G268" s="5"/>
      <c r="H268" s="3"/>
      <c r="I268" s="3"/>
      <c r="J268" s="3"/>
      <c r="K268" s="5"/>
      <c r="L268" s="3"/>
      <c r="M268" s="5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5"/>
    </row>
    <row r="269" spans="1:28" ht="24" customHeight="1" x14ac:dyDescent="0.5">
      <c r="A269" s="3"/>
      <c r="B269" s="3"/>
      <c r="C269" s="3"/>
      <c r="D269" s="3"/>
      <c r="E269" s="3"/>
      <c r="F269" s="3"/>
      <c r="G269" s="5"/>
      <c r="H269" s="3"/>
      <c r="I269" s="3"/>
      <c r="J269" s="3"/>
      <c r="K269" s="5"/>
      <c r="L269" s="3"/>
      <c r="M269" s="5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5"/>
    </row>
    <row r="270" spans="1:28" ht="24" customHeight="1" x14ac:dyDescent="0.5">
      <c r="A270" s="3"/>
      <c r="B270" s="3"/>
      <c r="C270" s="3"/>
      <c r="D270" s="3"/>
      <c r="E270" s="3"/>
      <c r="F270" s="3"/>
      <c r="G270" s="5"/>
      <c r="H270" s="3"/>
      <c r="I270" s="3"/>
      <c r="J270" s="3"/>
      <c r="K270" s="5"/>
      <c r="L270" s="3"/>
      <c r="M270" s="5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5"/>
    </row>
    <row r="271" spans="1:28" ht="24" customHeight="1" x14ac:dyDescent="0.5">
      <c r="A271" s="3"/>
      <c r="B271" s="3"/>
      <c r="C271" s="3"/>
      <c r="D271" s="3"/>
      <c r="E271" s="3"/>
      <c r="F271" s="3"/>
      <c r="G271" s="5"/>
      <c r="H271" s="3"/>
      <c r="I271" s="3"/>
      <c r="J271" s="3"/>
      <c r="K271" s="5"/>
      <c r="L271" s="3"/>
      <c r="M271" s="5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5"/>
    </row>
    <row r="272" spans="1:28" ht="24" customHeight="1" x14ac:dyDescent="0.5">
      <c r="A272" s="3"/>
      <c r="B272" s="3"/>
      <c r="C272" s="3"/>
      <c r="D272" s="3"/>
      <c r="E272" s="3"/>
      <c r="F272" s="3"/>
      <c r="G272" s="5"/>
      <c r="H272" s="3"/>
      <c r="I272" s="3"/>
      <c r="J272" s="3"/>
      <c r="K272" s="5"/>
      <c r="L272" s="3"/>
      <c r="M272" s="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5"/>
    </row>
    <row r="273" spans="1:28" ht="24" customHeight="1" x14ac:dyDescent="0.5">
      <c r="A273" s="3"/>
      <c r="B273" s="3"/>
      <c r="C273" s="3"/>
      <c r="D273" s="3"/>
      <c r="E273" s="3"/>
      <c r="F273" s="3"/>
      <c r="G273" s="5"/>
      <c r="H273" s="3"/>
      <c r="I273" s="3"/>
      <c r="J273" s="3"/>
      <c r="K273" s="5"/>
      <c r="L273" s="3"/>
      <c r="M273" s="5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5"/>
    </row>
    <row r="274" spans="1:28" ht="24" customHeight="1" x14ac:dyDescent="0.5">
      <c r="A274" s="3"/>
      <c r="B274" s="3"/>
      <c r="C274" s="3"/>
      <c r="D274" s="3"/>
      <c r="E274" s="3"/>
      <c r="F274" s="3"/>
      <c r="G274" s="5"/>
      <c r="H274" s="3"/>
      <c r="I274" s="3"/>
      <c r="J274" s="3"/>
      <c r="K274" s="5"/>
      <c r="L274" s="3"/>
      <c r="M274" s="5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5"/>
    </row>
    <row r="275" spans="1:28" ht="24" customHeight="1" x14ac:dyDescent="0.5">
      <c r="A275" s="3"/>
      <c r="B275" s="3"/>
      <c r="C275" s="3"/>
      <c r="D275" s="3"/>
      <c r="E275" s="3"/>
      <c r="F275" s="3"/>
      <c r="G275" s="5"/>
      <c r="H275" s="3"/>
      <c r="I275" s="3"/>
      <c r="J275" s="3"/>
      <c r="K275" s="5"/>
      <c r="L275" s="3"/>
      <c r="M275" s="5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5"/>
    </row>
    <row r="276" spans="1:28" ht="24" customHeight="1" x14ac:dyDescent="0.5">
      <c r="A276" s="3"/>
      <c r="B276" s="3"/>
      <c r="C276" s="3"/>
      <c r="D276" s="3"/>
      <c r="E276" s="3"/>
      <c r="F276" s="3"/>
      <c r="G276" s="5"/>
      <c r="H276" s="3"/>
      <c r="I276" s="3"/>
      <c r="J276" s="3"/>
      <c r="K276" s="5"/>
      <c r="L276" s="3"/>
      <c r="M276" s="5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5"/>
    </row>
    <row r="277" spans="1:28" ht="24" customHeight="1" x14ac:dyDescent="0.5">
      <c r="A277" s="3"/>
      <c r="B277" s="3"/>
      <c r="C277" s="3"/>
      <c r="D277" s="3"/>
      <c r="E277" s="3"/>
      <c r="F277" s="3"/>
      <c r="G277" s="5"/>
      <c r="H277" s="3"/>
      <c r="I277" s="3"/>
      <c r="J277" s="3"/>
      <c r="K277" s="5"/>
      <c r="L277" s="3"/>
      <c r="M277" s="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5"/>
    </row>
    <row r="278" spans="1:28" ht="24" customHeight="1" x14ac:dyDescent="0.5">
      <c r="A278" s="3"/>
      <c r="B278" s="3"/>
      <c r="C278" s="3"/>
      <c r="D278" s="3"/>
      <c r="E278" s="3"/>
      <c r="F278" s="3"/>
      <c r="G278" s="5"/>
      <c r="H278" s="3"/>
      <c r="I278" s="3"/>
      <c r="J278" s="3"/>
      <c r="K278" s="5"/>
      <c r="L278" s="3"/>
      <c r="M278" s="5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5"/>
    </row>
    <row r="279" spans="1:28" ht="24" customHeight="1" x14ac:dyDescent="0.5">
      <c r="A279" s="3"/>
      <c r="B279" s="3"/>
      <c r="C279" s="3"/>
      <c r="D279" s="3"/>
      <c r="E279" s="3"/>
      <c r="F279" s="3"/>
      <c r="G279" s="5"/>
      <c r="H279" s="3"/>
      <c r="I279" s="3"/>
      <c r="J279" s="3"/>
      <c r="K279" s="5"/>
      <c r="L279" s="3"/>
      <c r="M279" s="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5"/>
    </row>
    <row r="280" spans="1:28" ht="24" customHeight="1" x14ac:dyDescent="0.5">
      <c r="A280" s="3"/>
      <c r="B280" s="3"/>
      <c r="C280" s="3"/>
      <c r="D280" s="3"/>
      <c r="E280" s="3"/>
      <c r="F280" s="3"/>
      <c r="G280" s="5"/>
      <c r="H280" s="3"/>
      <c r="I280" s="3"/>
      <c r="J280" s="3"/>
      <c r="K280" s="5"/>
      <c r="L280" s="3"/>
      <c r="M280" s="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5"/>
    </row>
    <row r="281" spans="1:28" ht="24" customHeight="1" x14ac:dyDescent="0.5">
      <c r="A281" s="3"/>
      <c r="B281" s="3"/>
      <c r="C281" s="3"/>
      <c r="D281" s="3"/>
      <c r="E281" s="3"/>
      <c r="F281" s="3"/>
      <c r="G281" s="5"/>
      <c r="H281" s="3"/>
      <c r="I281" s="3"/>
      <c r="J281" s="3"/>
      <c r="K281" s="5"/>
      <c r="L281" s="3"/>
      <c r="M281" s="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5"/>
    </row>
    <row r="282" spans="1:28" ht="24" customHeight="1" x14ac:dyDescent="0.5">
      <c r="A282" s="3"/>
      <c r="B282" s="3"/>
      <c r="C282" s="3"/>
      <c r="D282" s="3"/>
      <c r="E282" s="3"/>
      <c r="F282" s="3"/>
      <c r="G282" s="5"/>
      <c r="H282" s="3"/>
      <c r="I282" s="3"/>
      <c r="J282" s="3"/>
      <c r="K282" s="5"/>
      <c r="L282" s="3"/>
      <c r="M282" s="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5"/>
    </row>
    <row r="283" spans="1:28" ht="24" customHeight="1" x14ac:dyDescent="0.5">
      <c r="A283" s="3"/>
      <c r="B283" s="3"/>
      <c r="C283" s="3"/>
      <c r="D283" s="3"/>
      <c r="E283" s="3"/>
      <c r="F283" s="3"/>
      <c r="G283" s="5"/>
      <c r="H283" s="3"/>
      <c r="I283" s="3"/>
      <c r="J283" s="3"/>
      <c r="K283" s="5"/>
      <c r="L283" s="3"/>
      <c r="M283" s="5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5"/>
    </row>
    <row r="284" spans="1:28" ht="24" customHeight="1" x14ac:dyDescent="0.5">
      <c r="A284" s="3"/>
      <c r="B284" s="3"/>
      <c r="C284" s="3"/>
      <c r="D284" s="3"/>
      <c r="E284" s="3"/>
      <c r="F284" s="3"/>
      <c r="G284" s="5"/>
      <c r="H284" s="3"/>
      <c r="I284" s="3"/>
      <c r="J284" s="3"/>
      <c r="K284" s="5"/>
      <c r="L284" s="3"/>
      <c r="M284" s="5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5"/>
    </row>
    <row r="285" spans="1:28" ht="24" customHeight="1" x14ac:dyDescent="0.5">
      <c r="A285" s="3"/>
      <c r="B285" s="3"/>
      <c r="C285" s="3"/>
      <c r="D285" s="3"/>
      <c r="E285" s="3"/>
      <c r="F285" s="3"/>
      <c r="G285" s="5"/>
      <c r="H285" s="3"/>
      <c r="I285" s="3"/>
      <c r="J285" s="3"/>
      <c r="K285" s="5"/>
      <c r="L285" s="3"/>
      <c r="M285" s="5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5"/>
    </row>
    <row r="286" spans="1:28" ht="24" customHeight="1" x14ac:dyDescent="0.5">
      <c r="A286" s="3"/>
      <c r="B286" s="3"/>
      <c r="C286" s="3"/>
      <c r="D286" s="3"/>
      <c r="E286" s="3"/>
      <c r="F286" s="3"/>
      <c r="G286" s="5"/>
      <c r="H286" s="3"/>
      <c r="I286" s="3"/>
      <c r="J286" s="3"/>
      <c r="K286" s="5"/>
      <c r="L286" s="3"/>
      <c r="M286" s="5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5"/>
    </row>
    <row r="287" spans="1:28" ht="24" customHeight="1" x14ac:dyDescent="0.5">
      <c r="A287" s="3"/>
      <c r="B287" s="3"/>
      <c r="C287" s="3"/>
      <c r="D287" s="3"/>
      <c r="E287" s="3"/>
      <c r="F287" s="3"/>
      <c r="G287" s="5"/>
      <c r="H287" s="3"/>
      <c r="I287" s="3"/>
      <c r="J287" s="3"/>
      <c r="K287" s="5"/>
      <c r="L287" s="3"/>
      <c r="M287" s="5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5"/>
    </row>
    <row r="288" spans="1:28" ht="24" customHeight="1" x14ac:dyDescent="0.5">
      <c r="A288" s="3"/>
      <c r="B288" s="3"/>
      <c r="C288" s="3"/>
      <c r="D288" s="3"/>
      <c r="E288" s="3"/>
      <c r="F288" s="3"/>
      <c r="G288" s="5"/>
      <c r="H288" s="3"/>
      <c r="I288" s="3"/>
      <c r="J288" s="3"/>
      <c r="K288" s="5"/>
      <c r="L288" s="3"/>
      <c r="M288" s="5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5"/>
    </row>
    <row r="289" spans="1:28" ht="24" customHeight="1" x14ac:dyDescent="0.5">
      <c r="A289" s="3"/>
      <c r="B289" s="3"/>
      <c r="C289" s="3"/>
      <c r="D289" s="3"/>
      <c r="E289" s="3"/>
      <c r="F289" s="3"/>
      <c r="G289" s="5"/>
      <c r="H289" s="3"/>
      <c r="I289" s="3"/>
      <c r="J289" s="3"/>
      <c r="K289" s="5"/>
      <c r="L289" s="3"/>
      <c r="M289" s="5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5"/>
    </row>
    <row r="290" spans="1:28" ht="24" customHeight="1" x14ac:dyDescent="0.5">
      <c r="A290" s="3"/>
      <c r="B290" s="3"/>
      <c r="C290" s="3"/>
      <c r="D290" s="3"/>
      <c r="E290" s="3"/>
      <c r="F290" s="3"/>
      <c r="G290" s="5"/>
      <c r="H290" s="3"/>
      <c r="I290" s="3"/>
      <c r="J290" s="3"/>
      <c r="K290" s="5"/>
      <c r="L290" s="3"/>
      <c r="M290" s="5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5"/>
    </row>
    <row r="291" spans="1:28" ht="24" customHeight="1" x14ac:dyDescent="0.5">
      <c r="A291" s="3"/>
      <c r="B291" s="3"/>
      <c r="C291" s="3"/>
      <c r="D291" s="3"/>
      <c r="E291" s="3"/>
      <c r="F291" s="3"/>
      <c r="G291" s="5"/>
      <c r="H291" s="3"/>
      <c r="I291" s="3"/>
      <c r="J291" s="3"/>
      <c r="K291" s="5"/>
      <c r="L291" s="3"/>
      <c r="M291" s="5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5"/>
    </row>
    <row r="292" spans="1:28" ht="24" customHeight="1" x14ac:dyDescent="0.5">
      <c r="A292" s="3"/>
      <c r="B292" s="3"/>
      <c r="C292" s="3"/>
      <c r="D292" s="3"/>
      <c r="E292" s="3"/>
      <c r="F292" s="3"/>
      <c r="G292" s="5"/>
      <c r="H292" s="3"/>
      <c r="I292" s="3"/>
      <c r="J292" s="3"/>
      <c r="K292" s="5"/>
      <c r="L292" s="3"/>
      <c r="M292" s="5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5"/>
    </row>
    <row r="293" spans="1:28" ht="24" customHeight="1" x14ac:dyDescent="0.5">
      <c r="A293" s="3"/>
      <c r="B293" s="3"/>
      <c r="C293" s="3"/>
      <c r="D293" s="3"/>
      <c r="E293" s="3"/>
      <c r="F293" s="3"/>
      <c r="G293" s="5"/>
      <c r="H293" s="3"/>
      <c r="I293" s="3"/>
      <c r="J293" s="3"/>
      <c r="K293" s="5"/>
      <c r="L293" s="3"/>
      <c r="M293" s="5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5"/>
    </row>
    <row r="294" spans="1:28" ht="24" customHeight="1" x14ac:dyDescent="0.5">
      <c r="A294" s="3"/>
      <c r="B294" s="3"/>
      <c r="C294" s="3"/>
      <c r="D294" s="3"/>
      <c r="E294" s="3"/>
      <c r="F294" s="3"/>
      <c r="G294" s="5"/>
      <c r="H294" s="3"/>
      <c r="I294" s="3"/>
      <c r="J294" s="3"/>
      <c r="K294" s="5"/>
      <c r="L294" s="3"/>
      <c r="M294" s="5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5"/>
    </row>
    <row r="295" spans="1:28" ht="24" customHeight="1" x14ac:dyDescent="0.5">
      <c r="A295" s="3"/>
      <c r="B295" s="3"/>
      <c r="C295" s="3"/>
      <c r="D295" s="3"/>
      <c r="E295" s="3"/>
      <c r="F295" s="3"/>
      <c r="G295" s="5"/>
      <c r="H295" s="3"/>
      <c r="I295" s="3"/>
      <c r="J295" s="3"/>
      <c r="K295" s="5"/>
      <c r="L295" s="3"/>
      <c r="M295" s="5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5"/>
    </row>
    <row r="296" spans="1:28" ht="24" customHeight="1" x14ac:dyDescent="0.5">
      <c r="A296" s="3"/>
      <c r="B296" s="3"/>
      <c r="C296" s="3"/>
      <c r="D296" s="3"/>
      <c r="E296" s="3"/>
      <c r="F296" s="3"/>
      <c r="G296" s="5"/>
      <c r="H296" s="3"/>
      <c r="I296" s="3"/>
      <c r="J296" s="3"/>
      <c r="K296" s="5"/>
      <c r="L296" s="3"/>
      <c r="M296" s="5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5"/>
    </row>
    <row r="297" spans="1:28" ht="24" customHeight="1" x14ac:dyDescent="0.5">
      <c r="A297" s="3"/>
      <c r="B297" s="3"/>
      <c r="C297" s="3"/>
      <c r="D297" s="3"/>
      <c r="E297" s="3"/>
      <c r="F297" s="3"/>
      <c r="G297" s="5"/>
      <c r="H297" s="3"/>
      <c r="I297" s="3"/>
      <c r="J297" s="3"/>
      <c r="K297" s="5"/>
      <c r="L297" s="3"/>
      <c r="M297" s="5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5"/>
    </row>
    <row r="298" spans="1:28" ht="24" customHeight="1" x14ac:dyDescent="0.5">
      <c r="A298" s="3"/>
      <c r="B298" s="3"/>
      <c r="C298" s="3"/>
      <c r="D298" s="3"/>
      <c r="E298" s="3"/>
      <c r="F298" s="3"/>
      <c r="G298" s="5"/>
      <c r="H298" s="3"/>
      <c r="I298" s="3"/>
      <c r="J298" s="3"/>
      <c r="K298" s="5"/>
      <c r="L298" s="3"/>
      <c r="M298" s="5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5"/>
    </row>
    <row r="299" spans="1:28" ht="24" customHeight="1" x14ac:dyDescent="0.5">
      <c r="A299" s="3"/>
      <c r="B299" s="3"/>
      <c r="C299" s="3"/>
      <c r="D299" s="3"/>
      <c r="E299" s="3"/>
      <c r="F299" s="3"/>
      <c r="G299" s="5"/>
      <c r="H299" s="3"/>
      <c r="I299" s="3"/>
      <c r="J299" s="3"/>
      <c r="K299" s="5"/>
      <c r="L299" s="3"/>
      <c r="M299" s="5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5"/>
    </row>
    <row r="300" spans="1:28" ht="24" customHeight="1" x14ac:dyDescent="0.5">
      <c r="A300" s="3"/>
      <c r="B300" s="3"/>
      <c r="C300" s="3"/>
      <c r="D300" s="3"/>
      <c r="E300" s="3"/>
      <c r="F300" s="3"/>
      <c r="G300" s="5"/>
      <c r="H300" s="3"/>
      <c r="I300" s="3"/>
      <c r="J300" s="3"/>
      <c r="K300" s="5"/>
      <c r="L300" s="3"/>
      <c r="M300" s="5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5"/>
    </row>
    <row r="301" spans="1:28" ht="24" customHeight="1" x14ac:dyDescent="0.5">
      <c r="A301" s="3"/>
      <c r="B301" s="3"/>
      <c r="C301" s="3"/>
      <c r="D301" s="3"/>
      <c r="E301" s="3"/>
      <c r="F301" s="3"/>
      <c r="G301" s="5"/>
      <c r="H301" s="3"/>
      <c r="I301" s="3"/>
      <c r="J301" s="3"/>
      <c r="K301" s="5"/>
      <c r="L301" s="3"/>
      <c r="M301" s="5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5"/>
    </row>
    <row r="302" spans="1:28" ht="24" customHeight="1" x14ac:dyDescent="0.5">
      <c r="A302" s="3"/>
      <c r="B302" s="3"/>
      <c r="C302" s="3"/>
      <c r="D302" s="3"/>
      <c r="E302" s="3"/>
      <c r="F302" s="3"/>
      <c r="G302" s="5"/>
      <c r="H302" s="3"/>
      <c r="I302" s="3"/>
      <c r="J302" s="3"/>
      <c r="K302" s="5"/>
      <c r="L302" s="3"/>
      <c r="M302" s="5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5"/>
    </row>
    <row r="303" spans="1:28" ht="24" customHeight="1" x14ac:dyDescent="0.5">
      <c r="A303" s="3"/>
      <c r="B303" s="3"/>
      <c r="C303" s="3"/>
      <c r="D303" s="3"/>
      <c r="E303" s="3"/>
      <c r="F303" s="3"/>
      <c r="G303" s="5"/>
      <c r="H303" s="3"/>
      <c r="I303" s="3"/>
      <c r="J303" s="3"/>
      <c r="K303" s="5"/>
      <c r="L303" s="3"/>
      <c r="M303" s="5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5"/>
    </row>
    <row r="304" spans="1:28" ht="24" customHeight="1" x14ac:dyDescent="0.5">
      <c r="A304" s="3"/>
      <c r="B304" s="3"/>
      <c r="C304" s="3"/>
      <c r="D304" s="3"/>
      <c r="E304" s="3"/>
      <c r="F304" s="3"/>
      <c r="G304" s="5"/>
      <c r="H304" s="3"/>
      <c r="I304" s="3"/>
      <c r="J304" s="3"/>
      <c r="K304" s="5"/>
      <c r="L304" s="3"/>
      <c r="M304" s="5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5"/>
    </row>
    <row r="305" spans="1:28" ht="24" customHeight="1" x14ac:dyDescent="0.5">
      <c r="A305" s="3"/>
      <c r="B305" s="3"/>
      <c r="C305" s="3"/>
      <c r="D305" s="3"/>
      <c r="E305" s="3"/>
      <c r="F305" s="3"/>
      <c r="G305" s="5"/>
      <c r="H305" s="3"/>
      <c r="I305" s="3"/>
      <c r="J305" s="3"/>
      <c r="K305" s="5"/>
      <c r="L305" s="3"/>
      <c r="M305" s="5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5"/>
    </row>
    <row r="306" spans="1:28" ht="24" customHeight="1" x14ac:dyDescent="0.5">
      <c r="A306" s="81"/>
      <c r="B306" s="81"/>
      <c r="C306" s="81"/>
      <c r="D306" s="81"/>
      <c r="E306" s="81"/>
      <c r="F306" s="81"/>
      <c r="G306" s="82"/>
      <c r="H306" s="81"/>
      <c r="I306" s="81"/>
      <c r="J306" s="81"/>
      <c r="K306" s="82"/>
      <c r="L306" s="81"/>
      <c r="M306" s="82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2"/>
    </row>
    <row r="307" spans="1:28" ht="24" customHeight="1" x14ac:dyDescent="0.5">
      <c r="A307" s="81"/>
      <c r="B307" s="81"/>
      <c r="C307" s="81"/>
      <c r="D307" s="81"/>
      <c r="E307" s="81"/>
      <c r="F307" s="81"/>
      <c r="G307" s="82"/>
      <c r="H307" s="81"/>
      <c r="I307" s="81"/>
      <c r="J307" s="81"/>
      <c r="K307" s="82"/>
      <c r="L307" s="81"/>
      <c r="M307" s="82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2"/>
    </row>
    <row r="308" spans="1:28" ht="24" customHeight="1" x14ac:dyDescent="0.5">
      <c r="A308" s="81"/>
      <c r="B308" s="81"/>
      <c r="C308" s="81"/>
      <c r="D308" s="81"/>
      <c r="E308" s="81"/>
      <c r="F308" s="81"/>
      <c r="G308" s="82"/>
      <c r="H308" s="81"/>
      <c r="I308" s="81"/>
      <c r="J308" s="81"/>
      <c r="K308" s="82"/>
      <c r="L308" s="81"/>
      <c r="M308" s="82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2"/>
    </row>
    <row r="309" spans="1:28" ht="24" customHeight="1" x14ac:dyDescent="0.5">
      <c r="A309" s="81"/>
      <c r="B309" s="81"/>
      <c r="C309" s="81"/>
      <c r="D309" s="81"/>
      <c r="E309" s="81"/>
      <c r="F309" s="81"/>
      <c r="G309" s="82"/>
      <c r="H309" s="81"/>
      <c r="I309" s="81"/>
      <c r="J309" s="81"/>
      <c r="K309" s="82"/>
      <c r="L309" s="81"/>
      <c r="M309" s="82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2"/>
    </row>
    <row r="310" spans="1:28" ht="24" customHeight="1" x14ac:dyDescent="0.5">
      <c r="A310" s="81"/>
      <c r="B310" s="81"/>
      <c r="C310" s="81"/>
      <c r="D310" s="81"/>
      <c r="E310" s="81"/>
      <c r="F310" s="81"/>
      <c r="G310" s="82"/>
      <c r="H310" s="81"/>
      <c r="I310" s="81"/>
      <c r="J310" s="81"/>
      <c r="K310" s="82"/>
      <c r="L310" s="81"/>
      <c r="M310" s="82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2"/>
    </row>
    <row r="311" spans="1:28" ht="24" customHeight="1" x14ac:dyDescent="0.5">
      <c r="A311" s="81"/>
      <c r="B311" s="81"/>
      <c r="C311" s="81"/>
      <c r="D311" s="81"/>
      <c r="E311" s="81"/>
      <c r="F311" s="81"/>
      <c r="G311" s="82"/>
      <c r="H311" s="81"/>
      <c r="I311" s="81"/>
      <c r="J311" s="81"/>
      <c r="K311" s="82"/>
      <c r="L311" s="81"/>
      <c r="M311" s="82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2"/>
    </row>
    <row r="312" spans="1:28" ht="24" customHeight="1" x14ac:dyDescent="0.5">
      <c r="A312" s="81"/>
      <c r="B312" s="81"/>
      <c r="C312" s="81"/>
      <c r="D312" s="81"/>
      <c r="E312" s="81"/>
      <c r="F312" s="81"/>
      <c r="G312" s="82"/>
      <c r="H312" s="81"/>
      <c r="I312" s="81"/>
      <c r="J312" s="81"/>
      <c r="K312" s="82"/>
      <c r="L312" s="81"/>
      <c r="M312" s="82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2"/>
    </row>
    <row r="313" spans="1:28" ht="24" customHeight="1" x14ac:dyDescent="0.5">
      <c r="A313" s="81"/>
      <c r="B313" s="81"/>
      <c r="C313" s="81"/>
      <c r="D313" s="81"/>
      <c r="E313" s="81"/>
      <c r="F313" s="81"/>
      <c r="G313" s="82"/>
      <c r="H313" s="81"/>
      <c r="I313" s="81"/>
      <c r="J313" s="81"/>
      <c r="K313" s="82"/>
      <c r="L313" s="81"/>
      <c r="M313" s="82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2"/>
    </row>
    <row r="314" spans="1:28" ht="24" customHeight="1" x14ac:dyDescent="0.5">
      <c r="A314" s="81"/>
      <c r="B314" s="81"/>
      <c r="C314" s="81"/>
      <c r="D314" s="81"/>
      <c r="E314" s="81"/>
      <c r="F314" s="81"/>
      <c r="G314" s="82"/>
      <c r="H314" s="81"/>
      <c r="I314" s="81"/>
      <c r="J314" s="81"/>
      <c r="K314" s="82"/>
      <c r="L314" s="81"/>
      <c r="M314" s="82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2"/>
    </row>
    <row r="315" spans="1:28" ht="24" customHeight="1" x14ac:dyDescent="0.5">
      <c r="A315" s="81"/>
      <c r="B315" s="81"/>
      <c r="C315" s="81"/>
      <c r="D315" s="81"/>
      <c r="E315" s="81"/>
      <c r="F315" s="81"/>
      <c r="G315" s="82"/>
      <c r="H315" s="81"/>
      <c r="I315" s="81"/>
      <c r="J315" s="81"/>
      <c r="K315" s="82"/>
      <c r="L315" s="81"/>
      <c r="M315" s="82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2"/>
    </row>
    <row r="316" spans="1:28" ht="24" customHeight="1" x14ac:dyDescent="0.5">
      <c r="A316" s="81"/>
      <c r="B316" s="81"/>
      <c r="C316" s="81"/>
      <c r="D316" s="81"/>
      <c r="E316" s="81"/>
      <c r="F316" s="81"/>
      <c r="G316" s="82"/>
      <c r="H316" s="81"/>
      <c r="I316" s="81"/>
      <c r="J316" s="81"/>
      <c r="K316" s="82"/>
      <c r="L316" s="81"/>
      <c r="M316" s="82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2"/>
    </row>
    <row r="317" spans="1:28" ht="24" customHeight="1" x14ac:dyDescent="0.5">
      <c r="A317" s="81"/>
      <c r="B317" s="81"/>
      <c r="C317" s="81"/>
      <c r="D317" s="81"/>
      <c r="E317" s="81"/>
      <c r="F317" s="81"/>
      <c r="G317" s="82"/>
      <c r="H317" s="81"/>
      <c r="I317" s="81"/>
      <c r="J317" s="81"/>
      <c r="K317" s="82"/>
      <c r="L317" s="81"/>
      <c r="M317" s="82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2"/>
    </row>
    <row r="318" spans="1:28" ht="24" customHeight="1" x14ac:dyDescent="0.5">
      <c r="A318" s="81"/>
      <c r="B318" s="81"/>
      <c r="C318" s="81"/>
      <c r="D318" s="81"/>
      <c r="E318" s="81"/>
      <c r="F318" s="81"/>
      <c r="G318" s="82"/>
      <c r="H318" s="81"/>
      <c r="I318" s="81"/>
      <c r="J318" s="81"/>
      <c r="K318" s="82"/>
      <c r="L318" s="81"/>
      <c r="M318" s="82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2"/>
    </row>
    <row r="319" spans="1:28" ht="24" customHeight="1" x14ac:dyDescent="0.5">
      <c r="A319" s="81"/>
      <c r="B319" s="81"/>
      <c r="C319" s="81"/>
      <c r="D319" s="81"/>
      <c r="E319" s="81"/>
      <c r="F319" s="81"/>
      <c r="G319" s="82"/>
      <c r="H319" s="81"/>
      <c r="I319" s="81"/>
      <c r="J319" s="81"/>
      <c r="K319" s="82"/>
      <c r="L319" s="81"/>
      <c r="M319" s="82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2"/>
    </row>
    <row r="320" spans="1:28" ht="24" customHeight="1" x14ac:dyDescent="0.5">
      <c r="A320" s="81"/>
      <c r="B320" s="81"/>
      <c r="C320" s="81"/>
      <c r="D320" s="81"/>
      <c r="E320" s="81"/>
      <c r="F320" s="81"/>
      <c r="G320" s="82"/>
      <c r="H320" s="81"/>
      <c r="I320" s="81"/>
      <c r="J320" s="81"/>
      <c r="K320" s="82"/>
      <c r="L320" s="81"/>
      <c r="M320" s="82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2"/>
    </row>
    <row r="321" spans="1:28" ht="24" customHeight="1" x14ac:dyDescent="0.5">
      <c r="A321" s="81"/>
      <c r="B321" s="81"/>
      <c r="C321" s="81"/>
      <c r="D321" s="81"/>
      <c r="E321" s="81"/>
      <c r="F321" s="81"/>
      <c r="G321" s="82"/>
      <c r="H321" s="81"/>
      <c r="I321" s="81"/>
      <c r="J321" s="81"/>
      <c r="K321" s="82"/>
      <c r="L321" s="81"/>
      <c r="M321" s="82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2"/>
    </row>
    <row r="322" spans="1:28" ht="24" customHeight="1" x14ac:dyDescent="0.5">
      <c r="A322" s="81"/>
      <c r="B322" s="81"/>
      <c r="C322" s="81"/>
      <c r="D322" s="81"/>
      <c r="E322" s="81"/>
      <c r="F322" s="81"/>
      <c r="G322" s="82"/>
      <c r="H322" s="81"/>
      <c r="I322" s="81"/>
      <c r="J322" s="81"/>
      <c r="K322" s="82"/>
      <c r="L322" s="81"/>
      <c r="M322" s="82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2"/>
    </row>
    <row r="323" spans="1:28" ht="24" customHeight="1" x14ac:dyDescent="0.5">
      <c r="A323" s="81"/>
      <c r="B323" s="81"/>
      <c r="C323" s="81"/>
      <c r="D323" s="81"/>
      <c r="E323" s="81"/>
      <c r="F323" s="81"/>
      <c r="G323" s="82"/>
      <c r="H323" s="81"/>
      <c r="I323" s="81"/>
      <c r="J323" s="81"/>
      <c r="K323" s="82"/>
      <c r="L323" s="81"/>
      <c r="M323" s="82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2"/>
    </row>
    <row r="324" spans="1:28" ht="24" customHeight="1" x14ac:dyDescent="0.5">
      <c r="A324" s="81"/>
      <c r="B324" s="81"/>
      <c r="C324" s="81"/>
      <c r="D324" s="81"/>
      <c r="E324" s="81"/>
      <c r="F324" s="81"/>
      <c r="G324" s="82"/>
      <c r="H324" s="81"/>
      <c r="I324" s="81"/>
      <c r="J324" s="81"/>
      <c r="K324" s="82"/>
      <c r="L324" s="81"/>
      <c r="M324" s="82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2"/>
    </row>
    <row r="325" spans="1:28" ht="24" customHeight="1" x14ac:dyDescent="0.5">
      <c r="A325" s="81"/>
      <c r="B325" s="81"/>
      <c r="C325" s="81"/>
      <c r="D325" s="81"/>
      <c r="E325" s="81"/>
      <c r="F325" s="81"/>
      <c r="G325" s="82"/>
      <c r="H325" s="81"/>
      <c r="I325" s="81"/>
      <c r="J325" s="81"/>
      <c r="K325" s="82"/>
      <c r="L325" s="81"/>
      <c r="M325" s="82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2"/>
    </row>
    <row r="326" spans="1:28" ht="24" customHeight="1" x14ac:dyDescent="0.5">
      <c r="A326" s="81"/>
      <c r="B326" s="81"/>
      <c r="C326" s="81"/>
      <c r="D326" s="81"/>
      <c r="E326" s="81"/>
      <c r="F326" s="81"/>
      <c r="G326" s="82"/>
      <c r="H326" s="81"/>
      <c r="I326" s="81"/>
      <c r="J326" s="81"/>
      <c r="K326" s="82"/>
      <c r="L326" s="81"/>
      <c r="M326" s="82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2"/>
    </row>
    <row r="327" spans="1:28" ht="24" customHeight="1" x14ac:dyDescent="0.5">
      <c r="A327" s="81"/>
      <c r="B327" s="81"/>
      <c r="C327" s="81"/>
      <c r="D327" s="81"/>
      <c r="E327" s="81"/>
      <c r="F327" s="81"/>
      <c r="G327" s="82"/>
      <c r="H327" s="81"/>
      <c r="I327" s="81"/>
      <c r="J327" s="81"/>
      <c r="K327" s="82"/>
      <c r="L327" s="81"/>
      <c r="M327" s="82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2"/>
    </row>
    <row r="328" spans="1:28" ht="24" customHeight="1" x14ac:dyDescent="0.5">
      <c r="A328" s="81"/>
      <c r="B328" s="81"/>
      <c r="C328" s="81"/>
      <c r="D328" s="81"/>
      <c r="E328" s="81"/>
      <c r="F328" s="81"/>
      <c r="G328" s="82"/>
      <c r="H328" s="81"/>
      <c r="I328" s="81"/>
      <c r="J328" s="81"/>
      <c r="K328" s="82"/>
      <c r="L328" s="81"/>
      <c r="M328" s="82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2"/>
    </row>
    <row r="329" spans="1:28" ht="24" customHeight="1" x14ac:dyDescent="0.5">
      <c r="A329" s="81"/>
      <c r="B329" s="81"/>
      <c r="C329" s="81"/>
      <c r="D329" s="81"/>
      <c r="E329" s="81"/>
      <c r="F329" s="81"/>
      <c r="G329" s="82"/>
      <c r="H329" s="81"/>
      <c r="I329" s="81"/>
      <c r="J329" s="81"/>
      <c r="K329" s="82"/>
      <c r="L329" s="81"/>
      <c r="M329" s="82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2"/>
    </row>
    <row r="330" spans="1:28" ht="24" customHeight="1" x14ac:dyDescent="0.5">
      <c r="A330" s="81"/>
      <c r="B330" s="81"/>
      <c r="C330" s="81"/>
      <c r="D330" s="81"/>
      <c r="E330" s="81"/>
      <c r="F330" s="81"/>
      <c r="G330" s="82"/>
      <c r="H330" s="81"/>
      <c r="I330" s="81"/>
      <c r="J330" s="81"/>
      <c r="K330" s="82"/>
      <c r="L330" s="81"/>
      <c r="M330" s="82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2"/>
    </row>
    <row r="331" spans="1:28" ht="24" customHeight="1" x14ac:dyDescent="0.5">
      <c r="A331" s="81"/>
      <c r="B331" s="81"/>
      <c r="C331" s="81"/>
      <c r="D331" s="81"/>
      <c r="E331" s="81"/>
      <c r="F331" s="81"/>
      <c r="G331" s="82"/>
      <c r="H331" s="81"/>
      <c r="I331" s="81"/>
      <c r="J331" s="81"/>
      <c r="K331" s="82"/>
      <c r="L331" s="81"/>
      <c r="M331" s="82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2"/>
    </row>
    <row r="332" spans="1:28" ht="24" customHeight="1" x14ac:dyDescent="0.5">
      <c r="A332" s="81"/>
      <c r="B332" s="81"/>
      <c r="C332" s="81"/>
      <c r="D332" s="81"/>
      <c r="E332" s="81"/>
      <c r="F332" s="81"/>
      <c r="G332" s="82"/>
      <c r="H332" s="81"/>
      <c r="I332" s="81"/>
      <c r="J332" s="81"/>
      <c r="K332" s="82"/>
      <c r="L332" s="81"/>
      <c r="M332" s="82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2"/>
    </row>
    <row r="333" spans="1:28" ht="24" customHeight="1" x14ac:dyDescent="0.5">
      <c r="A333" s="81"/>
      <c r="B333" s="81"/>
      <c r="C333" s="81"/>
      <c r="D333" s="81"/>
      <c r="E333" s="81"/>
      <c r="F333" s="81"/>
      <c r="G333" s="82"/>
      <c r="H333" s="81"/>
      <c r="I333" s="81"/>
      <c r="J333" s="81"/>
      <c r="K333" s="82"/>
      <c r="L333" s="81"/>
      <c r="M333" s="82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2"/>
    </row>
    <row r="334" spans="1:28" ht="24" customHeight="1" x14ac:dyDescent="0.5">
      <c r="A334" s="81"/>
      <c r="B334" s="81"/>
      <c r="C334" s="81"/>
      <c r="D334" s="81"/>
      <c r="E334" s="81"/>
      <c r="F334" s="81"/>
      <c r="G334" s="82"/>
      <c r="H334" s="81"/>
      <c r="I334" s="81"/>
      <c r="J334" s="81"/>
      <c r="K334" s="82"/>
      <c r="L334" s="81"/>
      <c r="M334" s="82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2"/>
    </row>
    <row r="335" spans="1:28" ht="24" customHeight="1" x14ac:dyDescent="0.5">
      <c r="A335" s="81"/>
      <c r="B335" s="81"/>
      <c r="C335" s="81"/>
      <c r="D335" s="81"/>
      <c r="E335" s="81"/>
      <c r="F335" s="81"/>
      <c r="G335" s="82"/>
      <c r="H335" s="81"/>
      <c r="I335" s="81"/>
      <c r="J335" s="81"/>
      <c r="K335" s="82"/>
      <c r="L335" s="81"/>
      <c r="M335" s="82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2"/>
    </row>
    <row r="336" spans="1:28" ht="24" customHeight="1" x14ac:dyDescent="0.5">
      <c r="A336" s="81"/>
      <c r="B336" s="81"/>
      <c r="C336" s="81"/>
      <c r="D336" s="81"/>
      <c r="E336" s="81"/>
      <c r="F336" s="81"/>
      <c r="G336" s="82"/>
      <c r="H336" s="81"/>
      <c r="I336" s="81"/>
      <c r="J336" s="81"/>
      <c r="K336" s="82"/>
      <c r="L336" s="81"/>
      <c r="M336" s="82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2"/>
    </row>
    <row r="337" spans="1:28" ht="24" customHeight="1" x14ac:dyDescent="0.5">
      <c r="A337" s="81"/>
      <c r="B337" s="81"/>
      <c r="C337" s="81"/>
      <c r="D337" s="81"/>
      <c r="E337" s="81"/>
      <c r="F337" s="81"/>
      <c r="G337" s="82"/>
      <c r="H337" s="81"/>
      <c r="I337" s="81"/>
      <c r="J337" s="81"/>
      <c r="K337" s="82"/>
      <c r="L337" s="81"/>
      <c r="M337" s="82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2"/>
    </row>
    <row r="338" spans="1:28" ht="24" customHeight="1" x14ac:dyDescent="0.5">
      <c r="A338" s="81"/>
      <c r="B338" s="81"/>
      <c r="C338" s="81"/>
      <c r="D338" s="81"/>
      <c r="E338" s="81"/>
      <c r="F338" s="81"/>
      <c r="G338" s="82"/>
      <c r="H338" s="81"/>
      <c r="I338" s="81"/>
      <c r="J338" s="81"/>
      <c r="K338" s="82"/>
      <c r="L338" s="81"/>
      <c r="M338" s="82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2"/>
    </row>
    <row r="339" spans="1:28" ht="24" customHeight="1" x14ac:dyDescent="0.5">
      <c r="A339" s="81"/>
      <c r="B339" s="81"/>
      <c r="C339" s="81"/>
      <c r="D339" s="81"/>
      <c r="E339" s="81"/>
      <c r="F339" s="81"/>
      <c r="G339" s="82"/>
      <c r="H339" s="81"/>
      <c r="I339" s="81"/>
      <c r="J339" s="81"/>
      <c r="K339" s="82"/>
      <c r="L339" s="81"/>
      <c r="M339" s="82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2"/>
    </row>
    <row r="340" spans="1:28" ht="24" customHeight="1" x14ac:dyDescent="0.5">
      <c r="A340" s="81"/>
      <c r="B340" s="81"/>
      <c r="C340" s="81"/>
      <c r="D340" s="81"/>
      <c r="E340" s="81"/>
      <c r="F340" s="81"/>
      <c r="G340" s="82"/>
      <c r="H340" s="81"/>
      <c r="I340" s="81"/>
      <c r="J340" s="81"/>
      <c r="K340" s="82"/>
      <c r="L340" s="81"/>
      <c r="M340" s="82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2"/>
    </row>
    <row r="341" spans="1:28" ht="24" customHeight="1" x14ac:dyDescent="0.5">
      <c r="A341" s="81"/>
      <c r="B341" s="81"/>
      <c r="C341" s="81"/>
      <c r="D341" s="81"/>
      <c r="E341" s="81"/>
      <c r="F341" s="81"/>
      <c r="G341" s="82"/>
      <c r="H341" s="81"/>
      <c r="I341" s="81"/>
      <c r="J341" s="81"/>
      <c r="K341" s="82"/>
      <c r="L341" s="81"/>
      <c r="M341" s="82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2"/>
    </row>
    <row r="342" spans="1:28" ht="24" customHeight="1" x14ac:dyDescent="0.5">
      <c r="A342" s="81"/>
      <c r="B342" s="81"/>
      <c r="C342" s="81"/>
      <c r="D342" s="81"/>
      <c r="E342" s="81"/>
      <c r="F342" s="81"/>
      <c r="G342" s="82"/>
      <c r="H342" s="81"/>
      <c r="I342" s="81"/>
      <c r="J342" s="81"/>
      <c r="K342" s="82"/>
      <c r="L342" s="81"/>
      <c r="M342" s="82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2"/>
    </row>
    <row r="343" spans="1:28" ht="24" customHeight="1" x14ac:dyDescent="0.5">
      <c r="A343" s="81"/>
      <c r="B343" s="81"/>
      <c r="C343" s="81"/>
      <c r="D343" s="81"/>
      <c r="E343" s="81"/>
      <c r="F343" s="81"/>
      <c r="G343" s="82"/>
      <c r="H343" s="81"/>
      <c r="I343" s="81"/>
      <c r="J343" s="81"/>
      <c r="K343" s="82"/>
      <c r="L343" s="81"/>
      <c r="M343" s="82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2"/>
    </row>
    <row r="344" spans="1:28" ht="24" customHeight="1" x14ac:dyDescent="0.5">
      <c r="A344" s="81"/>
      <c r="B344" s="81"/>
      <c r="C344" s="81"/>
      <c r="D344" s="81"/>
      <c r="E344" s="81"/>
      <c r="F344" s="81"/>
      <c r="G344" s="82"/>
      <c r="H344" s="81"/>
      <c r="I344" s="81"/>
      <c r="J344" s="81"/>
      <c r="K344" s="82"/>
      <c r="L344" s="81"/>
      <c r="M344" s="82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2"/>
    </row>
    <row r="345" spans="1:28" ht="24" customHeight="1" x14ac:dyDescent="0.5">
      <c r="A345" s="81"/>
      <c r="B345" s="81"/>
      <c r="C345" s="81"/>
      <c r="D345" s="81"/>
      <c r="E345" s="81"/>
      <c r="F345" s="81"/>
      <c r="G345" s="82"/>
      <c r="H345" s="81"/>
      <c r="I345" s="81"/>
      <c r="J345" s="81"/>
      <c r="K345" s="82"/>
      <c r="L345" s="81"/>
      <c r="M345" s="82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2"/>
    </row>
    <row r="346" spans="1:28" ht="24" customHeight="1" x14ac:dyDescent="0.5">
      <c r="A346" s="81"/>
      <c r="B346" s="81"/>
      <c r="C346" s="81"/>
      <c r="D346" s="81"/>
      <c r="E346" s="81"/>
      <c r="F346" s="81"/>
      <c r="G346" s="82"/>
      <c r="H346" s="81"/>
      <c r="I346" s="81"/>
      <c r="J346" s="81"/>
      <c r="K346" s="82"/>
      <c r="L346" s="81"/>
      <c r="M346" s="82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2"/>
    </row>
    <row r="347" spans="1:28" ht="24" customHeight="1" x14ac:dyDescent="0.5">
      <c r="A347" s="81"/>
      <c r="B347" s="81"/>
      <c r="C347" s="81"/>
      <c r="D347" s="81"/>
      <c r="E347" s="81"/>
      <c r="F347" s="81"/>
      <c r="G347" s="82"/>
      <c r="H347" s="81"/>
      <c r="I347" s="81"/>
      <c r="J347" s="81"/>
      <c r="K347" s="82"/>
      <c r="L347" s="81"/>
      <c r="M347" s="82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2"/>
    </row>
    <row r="348" spans="1:28" ht="24" customHeight="1" x14ac:dyDescent="0.5">
      <c r="A348" s="81"/>
      <c r="B348" s="81"/>
      <c r="C348" s="81"/>
      <c r="D348" s="81"/>
      <c r="E348" s="81"/>
      <c r="F348" s="81"/>
      <c r="G348" s="82"/>
      <c r="H348" s="81"/>
      <c r="I348" s="81"/>
      <c r="J348" s="81"/>
      <c r="K348" s="82"/>
      <c r="L348" s="81"/>
      <c r="M348" s="82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2"/>
    </row>
    <row r="349" spans="1:28" ht="24" customHeight="1" x14ac:dyDescent="0.5">
      <c r="A349" s="81"/>
      <c r="B349" s="81"/>
      <c r="C349" s="81"/>
      <c r="D349" s="81"/>
      <c r="E349" s="81"/>
      <c r="F349" s="81"/>
      <c r="G349" s="82"/>
      <c r="H349" s="81"/>
      <c r="I349" s="81"/>
      <c r="J349" s="81"/>
      <c r="K349" s="82"/>
      <c r="L349" s="81"/>
      <c r="M349" s="82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2"/>
    </row>
    <row r="350" spans="1:28" ht="24" customHeight="1" x14ac:dyDescent="0.5">
      <c r="A350" s="81"/>
      <c r="B350" s="81"/>
      <c r="C350" s="81"/>
      <c r="D350" s="81"/>
      <c r="E350" s="81"/>
      <c r="F350" s="81"/>
      <c r="G350" s="82"/>
      <c r="H350" s="81"/>
      <c r="I350" s="81"/>
      <c r="J350" s="81"/>
      <c r="K350" s="82"/>
      <c r="L350" s="81"/>
      <c r="M350" s="82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2"/>
    </row>
    <row r="351" spans="1:28" ht="24" customHeight="1" x14ac:dyDescent="0.5">
      <c r="A351" s="81"/>
      <c r="B351" s="81"/>
      <c r="C351" s="81"/>
      <c r="D351" s="81"/>
      <c r="E351" s="81"/>
      <c r="F351" s="81"/>
      <c r="G351" s="82"/>
      <c r="H351" s="81"/>
      <c r="I351" s="81"/>
      <c r="J351" s="81"/>
      <c r="K351" s="82"/>
      <c r="L351" s="81"/>
      <c r="M351" s="82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2"/>
    </row>
    <row r="352" spans="1:28" ht="24" customHeight="1" x14ac:dyDescent="0.5">
      <c r="A352" s="81"/>
      <c r="B352" s="81"/>
      <c r="C352" s="81"/>
      <c r="D352" s="81"/>
      <c r="E352" s="81"/>
      <c r="F352" s="81"/>
      <c r="G352" s="82"/>
      <c r="H352" s="81"/>
      <c r="I352" s="81"/>
      <c r="J352" s="81"/>
      <c r="K352" s="82"/>
      <c r="L352" s="81"/>
      <c r="M352" s="82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2"/>
    </row>
    <row r="353" spans="1:28" ht="24" customHeight="1" x14ac:dyDescent="0.5">
      <c r="A353" s="81"/>
      <c r="B353" s="81"/>
      <c r="C353" s="81"/>
      <c r="D353" s="81"/>
      <c r="E353" s="81"/>
      <c r="F353" s="81"/>
      <c r="G353" s="82"/>
      <c r="H353" s="81"/>
      <c r="I353" s="81"/>
      <c r="J353" s="81"/>
      <c r="K353" s="82"/>
      <c r="L353" s="81"/>
      <c r="M353" s="82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2"/>
    </row>
    <row r="354" spans="1:28" ht="24" customHeight="1" x14ac:dyDescent="0.5">
      <c r="A354" s="81"/>
      <c r="B354" s="81"/>
      <c r="C354" s="81"/>
      <c r="D354" s="81"/>
      <c r="E354" s="81"/>
      <c r="F354" s="81"/>
      <c r="G354" s="82"/>
      <c r="H354" s="81"/>
      <c r="I354" s="81"/>
      <c r="J354" s="81"/>
      <c r="K354" s="82"/>
      <c r="L354" s="81"/>
      <c r="M354" s="82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2"/>
    </row>
    <row r="355" spans="1:28" ht="24" customHeight="1" x14ac:dyDescent="0.5">
      <c r="A355" s="81"/>
      <c r="B355" s="81"/>
      <c r="C355" s="81"/>
      <c r="D355" s="81"/>
      <c r="E355" s="81"/>
      <c r="F355" s="81"/>
      <c r="G355" s="82"/>
      <c r="H355" s="81"/>
      <c r="I355" s="81"/>
      <c r="J355" s="81"/>
      <c r="K355" s="82"/>
      <c r="L355" s="81"/>
      <c r="M355" s="82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2"/>
    </row>
    <row r="356" spans="1:28" ht="24" customHeight="1" x14ac:dyDescent="0.5">
      <c r="A356" s="81"/>
      <c r="B356" s="81"/>
      <c r="C356" s="81"/>
      <c r="D356" s="81"/>
      <c r="E356" s="81"/>
      <c r="F356" s="81"/>
      <c r="G356" s="82"/>
      <c r="H356" s="81"/>
      <c r="I356" s="81"/>
      <c r="J356" s="81"/>
      <c r="K356" s="82"/>
      <c r="L356" s="81"/>
      <c r="M356" s="82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2"/>
    </row>
    <row r="357" spans="1:28" ht="24" customHeight="1" x14ac:dyDescent="0.5">
      <c r="A357" s="81"/>
      <c r="B357" s="81"/>
      <c r="C357" s="81"/>
      <c r="D357" s="81"/>
      <c r="E357" s="81"/>
      <c r="F357" s="81"/>
      <c r="G357" s="82"/>
      <c r="H357" s="81"/>
      <c r="I357" s="81"/>
      <c r="J357" s="81"/>
      <c r="K357" s="82"/>
      <c r="L357" s="81"/>
      <c r="M357" s="82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2"/>
    </row>
    <row r="358" spans="1:28" ht="24" customHeight="1" x14ac:dyDescent="0.5">
      <c r="A358" s="81"/>
      <c r="B358" s="81"/>
      <c r="C358" s="81"/>
      <c r="D358" s="81"/>
      <c r="E358" s="81"/>
      <c r="F358" s="81"/>
      <c r="G358" s="82"/>
      <c r="H358" s="81"/>
      <c r="I358" s="81"/>
      <c r="J358" s="81"/>
      <c r="K358" s="82"/>
      <c r="L358" s="81"/>
      <c r="M358" s="82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2"/>
    </row>
    <row r="359" spans="1:28" ht="24" customHeight="1" x14ac:dyDescent="0.5">
      <c r="A359" s="81"/>
      <c r="B359" s="81"/>
      <c r="C359" s="81"/>
      <c r="D359" s="81"/>
      <c r="E359" s="81"/>
      <c r="F359" s="81"/>
      <c r="G359" s="82"/>
      <c r="H359" s="81"/>
      <c r="I359" s="81"/>
      <c r="J359" s="81"/>
      <c r="K359" s="82"/>
      <c r="L359" s="81"/>
      <c r="M359" s="82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2"/>
    </row>
    <row r="360" spans="1:28" ht="24" customHeight="1" x14ac:dyDescent="0.5">
      <c r="A360" s="81"/>
      <c r="B360" s="81"/>
      <c r="C360" s="81"/>
      <c r="D360" s="81"/>
      <c r="E360" s="81"/>
      <c r="F360" s="81"/>
      <c r="G360" s="82"/>
      <c r="H360" s="81"/>
      <c r="I360" s="81"/>
      <c r="J360" s="81"/>
      <c r="K360" s="82"/>
      <c r="L360" s="81"/>
      <c r="M360" s="82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2"/>
    </row>
    <row r="361" spans="1:28" ht="24" customHeight="1" x14ac:dyDescent="0.5">
      <c r="A361" s="81"/>
      <c r="B361" s="81"/>
      <c r="C361" s="81"/>
      <c r="D361" s="81"/>
      <c r="E361" s="81"/>
      <c r="F361" s="81"/>
      <c r="G361" s="82"/>
      <c r="H361" s="81"/>
      <c r="I361" s="81"/>
      <c r="J361" s="81"/>
      <c r="K361" s="82"/>
      <c r="L361" s="81"/>
      <c r="M361" s="82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2"/>
    </row>
    <row r="362" spans="1:28" ht="24" customHeight="1" x14ac:dyDescent="0.5">
      <c r="A362" s="81"/>
      <c r="B362" s="81"/>
      <c r="C362" s="81"/>
      <c r="D362" s="81"/>
      <c r="E362" s="81"/>
      <c r="F362" s="81"/>
      <c r="G362" s="82"/>
      <c r="H362" s="81"/>
      <c r="I362" s="81"/>
      <c r="J362" s="81"/>
      <c r="K362" s="82"/>
      <c r="L362" s="81"/>
      <c r="M362" s="82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2"/>
    </row>
    <row r="363" spans="1:28" ht="24" customHeight="1" x14ac:dyDescent="0.5">
      <c r="A363" s="81"/>
      <c r="B363" s="81"/>
      <c r="C363" s="81"/>
      <c r="D363" s="81"/>
      <c r="E363" s="81"/>
      <c r="F363" s="81"/>
      <c r="G363" s="82"/>
      <c r="H363" s="81"/>
      <c r="I363" s="81"/>
      <c r="J363" s="81"/>
      <c r="K363" s="82"/>
      <c r="L363" s="81"/>
      <c r="M363" s="82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2"/>
    </row>
    <row r="364" spans="1:28" ht="24" customHeight="1" x14ac:dyDescent="0.5">
      <c r="A364" s="81"/>
      <c r="B364" s="81"/>
      <c r="C364" s="81"/>
      <c r="D364" s="81"/>
      <c r="E364" s="81"/>
      <c r="F364" s="81"/>
      <c r="G364" s="82"/>
      <c r="H364" s="81"/>
      <c r="I364" s="81"/>
      <c r="J364" s="81"/>
      <c r="K364" s="82"/>
      <c r="L364" s="81"/>
      <c r="M364" s="82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2"/>
    </row>
    <row r="365" spans="1:28" ht="24" customHeight="1" x14ac:dyDescent="0.5">
      <c r="A365" s="81"/>
      <c r="B365" s="81"/>
      <c r="C365" s="81"/>
      <c r="D365" s="81"/>
      <c r="E365" s="81"/>
      <c r="F365" s="81"/>
      <c r="G365" s="82"/>
      <c r="H365" s="81"/>
      <c r="I365" s="81"/>
      <c r="J365" s="81"/>
      <c r="K365" s="82"/>
      <c r="L365" s="81"/>
      <c r="M365" s="82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2"/>
    </row>
    <row r="366" spans="1:28" ht="24" customHeight="1" x14ac:dyDescent="0.5">
      <c r="A366" s="81"/>
      <c r="B366" s="81"/>
      <c r="C366" s="81"/>
      <c r="D366" s="81"/>
      <c r="E366" s="81"/>
      <c r="F366" s="81"/>
      <c r="G366" s="82"/>
      <c r="H366" s="81"/>
      <c r="I366" s="81"/>
      <c r="J366" s="81"/>
      <c r="K366" s="82"/>
      <c r="L366" s="81"/>
      <c r="M366" s="82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2"/>
    </row>
    <row r="367" spans="1:28" ht="24" customHeight="1" x14ac:dyDescent="0.5">
      <c r="A367" s="81"/>
      <c r="B367" s="81"/>
      <c r="C367" s="81"/>
      <c r="D367" s="81"/>
      <c r="E367" s="81"/>
      <c r="F367" s="81"/>
      <c r="G367" s="82"/>
      <c r="H367" s="81"/>
      <c r="I367" s="81"/>
      <c r="J367" s="81"/>
      <c r="K367" s="82"/>
      <c r="L367" s="81"/>
      <c r="M367" s="82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2"/>
    </row>
    <row r="368" spans="1:28" ht="24" customHeight="1" x14ac:dyDescent="0.5">
      <c r="A368" s="81"/>
      <c r="B368" s="81"/>
      <c r="C368" s="81"/>
      <c r="D368" s="81"/>
      <c r="E368" s="81"/>
      <c r="F368" s="81"/>
      <c r="G368" s="82"/>
      <c r="H368" s="81"/>
      <c r="I368" s="81"/>
      <c r="J368" s="81"/>
      <c r="K368" s="82"/>
      <c r="L368" s="81"/>
      <c r="M368" s="82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2"/>
    </row>
    <row r="369" spans="1:28" ht="24" customHeight="1" x14ac:dyDescent="0.5">
      <c r="A369" s="81"/>
      <c r="B369" s="81"/>
      <c r="C369" s="81"/>
      <c r="D369" s="81"/>
      <c r="E369" s="81"/>
      <c r="F369" s="81"/>
      <c r="G369" s="82"/>
      <c r="H369" s="81"/>
      <c r="I369" s="81"/>
      <c r="J369" s="81"/>
      <c r="K369" s="82"/>
      <c r="L369" s="81"/>
      <c r="M369" s="82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2"/>
    </row>
    <row r="370" spans="1:28" ht="24" customHeight="1" x14ac:dyDescent="0.5">
      <c r="A370" s="81"/>
      <c r="B370" s="81"/>
      <c r="C370" s="81"/>
      <c r="D370" s="81"/>
      <c r="E370" s="81"/>
      <c r="F370" s="81"/>
      <c r="G370" s="82"/>
      <c r="H370" s="81"/>
      <c r="I370" s="81"/>
      <c r="J370" s="81"/>
      <c r="K370" s="82"/>
      <c r="L370" s="81"/>
      <c r="M370" s="82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2"/>
    </row>
    <row r="371" spans="1:28" ht="24" customHeight="1" x14ac:dyDescent="0.5">
      <c r="A371" s="81"/>
      <c r="B371" s="81"/>
      <c r="C371" s="81"/>
      <c r="D371" s="81"/>
      <c r="E371" s="81"/>
      <c r="F371" s="81"/>
      <c r="G371" s="82"/>
      <c r="H371" s="81"/>
      <c r="I371" s="81"/>
      <c r="J371" s="81"/>
      <c r="K371" s="82"/>
      <c r="L371" s="81"/>
      <c r="M371" s="82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2"/>
    </row>
    <row r="372" spans="1:28" ht="24" customHeight="1" x14ac:dyDescent="0.5">
      <c r="A372" s="81"/>
      <c r="B372" s="81"/>
      <c r="C372" s="81"/>
      <c r="D372" s="81"/>
      <c r="E372" s="81"/>
      <c r="F372" s="81"/>
      <c r="G372" s="82"/>
      <c r="H372" s="81"/>
      <c r="I372" s="81"/>
      <c r="J372" s="81"/>
      <c r="K372" s="82"/>
      <c r="L372" s="81"/>
      <c r="M372" s="82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2"/>
    </row>
    <row r="373" spans="1:28" ht="24" customHeight="1" x14ac:dyDescent="0.5">
      <c r="A373" s="81"/>
      <c r="B373" s="81"/>
      <c r="C373" s="81"/>
      <c r="D373" s="81"/>
      <c r="E373" s="81"/>
      <c r="F373" s="81"/>
      <c r="G373" s="82"/>
      <c r="H373" s="81"/>
      <c r="I373" s="81"/>
      <c r="J373" s="81"/>
      <c r="K373" s="82"/>
      <c r="L373" s="81"/>
      <c r="M373" s="82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2"/>
    </row>
    <row r="374" spans="1:28" ht="24" customHeight="1" x14ac:dyDescent="0.5">
      <c r="A374" s="81"/>
      <c r="B374" s="81"/>
      <c r="C374" s="81"/>
      <c r="D374" s="81"/>
      <c r="E374" s="81"/>
      <c r="F374" s="81"/>
      <c r="G374" s="82"/>
      <c r="H374" s="81"/>
      <c r="I374" s="81"/>
      <c r="J374" s="81"/>
      <c r="K374" s="82"/>
      <c r="L374" s="81"/>
      <c r="M374" s="82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2"/>
    </row>
    <row r="375" spans="1:28" ht="24" customHeight="1" x14ac:dyDescent="0.5">
      <c r="A375" s="81"/>
      <c r="B375" s="81"/>
      <c r="C375" s="81"/>
      <c r="D375" s="81"/>
      <c r="E375" s="81"/>
      <c r="F375" s="81"/>
      <c r="G375" s="82"/>
      <c r="H375" s="81"/>
      <c r="I375" s="81"/>
      <c r="J375" s="81"/>
      <c r="K375" s="82"/>
      <c r="L375" s="81"/>
      <c r="M375" s="82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2"/>
    </row>
    <row r="376" spans="1:28" ht="24" customHeight="1" x14ac:dyDescent="0.5">
      <c r="A376" s="81"/>
      <c r="B376" s="81"/>
      <c r="C376" s="81"/>
      <c r="D376" s="81"/>
      <c r="E376" s="81"/>
      <c r="F376" s="81"/>
      <c r="G376" s="82"/>
      <c r="H376" s="81"/>
      <c r="I376" s="81"/>
      <c r="J376" s="81"/>
      <c r="K376" s="82"/>
      <c r="L376" s="81"/>
      <c r="M376" s="82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2"/>
    </row>
    <row r="377" spans="1:28" ht="24" customHeight="1" x14ac:dyDescent="0.5">
      <c r="A377" s="81"/>
      <c r="B377" s="81"/>
      <c r="C377" s="81"/>
      <c r="D377" s="81"/>
      <c r="E377" s="81"/>
      <c r="F377" s="81"/>
      <c r="G377" s="82"/>
      <c r="H377" s="81"/>
      <c r="I377" s="81"/>
      <c r="J377" s="81"/>
      <c r="K377" s="82"/>
      <c r="L377" s="81"/>
      <c r="M377" s="82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2"/>
    </row>
    <row r="378" spans="1:28" ht="24" customHeight="1" x14ac:dyDescent="0.5">
      <c r="A378" s="81"/>
      <c r="B378" s="81"/>
      <c r="C378" s="81"/>
      <c r="D378" s="81"/>
      <c r="E378" s="81"/>
      <c r="F378" s="81"/>
      <c r="G378" s="82"/>
      <c r="H378" s="81"/>
      <c r="I378" s="81"/>
      <c r="J378" s="81"/>
      <c r="K378" s="82"/>
      <c r="L378" s="81"/>
      <c r="M378" s="82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2"/>
    </row>
    <row r="379" spans="1:28" ht="24" customHeight="1" x14ac:dyDescent="0.5">
      <c r="A379" s="81"/>
      <c r="B379" s="81"/>
      <c r="C379" s="81"/>
      <c r="D379" s="81"/>
      <c r="E379" s="81"/>
      <c r="F379" s="81"/>
      <c r="G379" s="82"/>
      <c r="H379" s="81"/>
      <c r="I379" s="81"/>
      <c r="J379" s="81"/>
      <c r="K379" s="82"/>
      <c r="L379" s="81"/>
      <c r="M379" s="82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2"/>
    </row>
    <row r="380" spans="1:28" ht="24" customHeight="1" x14ac:dyDescent="0.5">
      <c r="A380" s="81"/>
      <c r="B380" s="81"/>
      <c r="C380" s="81"/>
      <c r="D380" s="81"/>
      <c r="E380" s="81"/>
      <c r="F380" s="81"/>
      <c r="G380" s="82"/>
      <c r="H380" s="81"/>
      <c r="I380" s="81"/>
      <c r="J380" s="81"/>
      <c r="K380" s="82"/>
      <c r="L380" s="81"/>
      <c r="M380" s="82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2"/>
    </row>
    <row r="381" spans="1:28" ht="24" customHeight="1" x14ac:dyDescent="0.5">
      <c r="A381" s="81"/>
      <c r="B381" s="81"/>
      <c r="C381" s="81"/>
      <c r="D381" s="81"/>
      <c r="E381" s="81"/>
      <c r="F381" s="81"/>
      <c r="G381" s="82"/>
      <c r="H381" s="81"/>
      <c r="I381" s="81"/>
      <c r="J381" s="81"/>
      <c r="K381" s="82"/>
      <c r="L381" s="81"/>
      <c r="M381" s="82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2"/>
    </row>
    <row r="382" spans="1:28" ht="24" customHeight="1" x14ac:dyDescent="0.5">
      <c r="A382" s="81"/>
      <c r="B382" s="81"/>
      <c r="C382" s="81"/>
      <c r="D382" s="81"/>
      <c r="E382" s="81"/>
      <c r="F382" s="81"/>
      <c r="G382" s="82"/>
      <c r="H382" s="81"/>
      <c r="I382" s="81"/>
      <c r="J382" s="81"/>
      <c r="K382" s="82"/>
      <c r="L382" s="81"/>
      <c r="M382" s="82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2"/>
    </row>
    <row r="383" spans="1:28" ht="24" customHeight="1" x14ac:dyDescent="0.5">
      <c r="A383" s="81"/>
      <c r="B383" s="81"/>
      <c r="C383" s="81"/>
      <c r="D383" s="81"/>
      <c r="E383" s="81"/>
      <c r="F383" s="81"/>
      <c r="G383" s="82"/>
      <c r="H383" s="81"/>
      <c r="I383" s="81"/>
      <c r="J383" s="81"/>
      <c r="K383" s="82"/>
      <c r="L383" s="81"/>
      <c r="M383" s="82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2"/>
    </row>
    <row r="384" spans="1:28" ht="24" customHeight="1" x14ac:dyDescent="0.5">
      <c r="A384" s="81"/>
      <c r="B384" s="81"/>
      <c r="C384" s="81"/>
      <c r="D384" s="81"/>
      <c r="E384" s="81"/>
      <c r="F384" s="81"/>
      <c r="G384" s="82"/>
      <c r="H384" s="81"/>
      <c r="I384" s="81"/>
      <c r="J384" s="81"/>
      <c r="K384" s="82"/>
      <c r="L384" s="81"/>
      <c r="M384" s="82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2"/>
    </row>
    <row r="385" spans="1:28" ht="24" customHeight="1" x14ac:dyDescent="0.5">
      <c r="A385" s="81"/>
      <c r="B385" s="81"/>
      <c r="C385" s="81"/>
      <c r="D385" s="81"/>
      <c r="E385" s="81"/>
      <c r="F385" s="81"/>
      <c r="G385" s="82"/>
      <c r="H385" s="81"/>
      <c r="I385" s="81"/>
      <c r="J385" s="81"/>
      <c r="K385" s="82"/>
      <c r="L385" s="81"/>
      <c r="M385" s="82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2"/>
    </row>
    <row r="386" spans="1:28" ht="24" customHeight="1" x14ac:dyDescent="0.5">
      <c r="A386" s="81"/>
      <c r="B386" s="81"/>
      <c r="C386" s="81"/>
      <c r="D386" s="81"/>
      <c r="E386" s="81"/>
      <c r="F386" s="81"/>
      <c r="G386" s="82"/>
      <c r="H386" s="81"/>
      <c r="I386" s="81"/>
      <c r="J386" s="81"/>
      <c r="K386" s="82"/>
      <c r="L386" s="81"/>
      <c r="M386" s="82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2"/>
    </row>
    <row r="387" spans="1:28" ht="24" customHeight="1" x14ac:dyDescent="0.5">
      <c r="A387" s="81"/>
      <c r="B387" s="81"/>
      <c r="C387" s="81"/>
      <c r="D387" s="81"/>
      <c r="E387" s="81"/>
      <c r="F387" s="81"/>
      <c r="G387" s="82"/>
      <c r="H387" s="81"/>
      <c r="I387" s="81"/>
      <c r="J387" s="81"/>
      <c r="K387" s="82"/>
      <c r="L387" s="81"/>
      <c r="M387" s="82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2"/>
    </row>
    <row r="388" spans="1:28" ht="24" customHeight="1" x14ac:dyDescent="0.5">
      <c r="A388" s="81"/>
      <c r="B388" s="81"/>
      <c r="C388" s="81"/>
      <c r="D388" s="81"/>
      <c r="E388" s="81"/>
      <c r="F388" s="81"/>
      <c r="G388" s="82"/>
      <c r="H388" s="81"/>
      <c r="I388" s="81"/>
      <c r="J388" s="81"/>
      <c r="K388" s="82"/>
      <c r="L388" s="81"/>
      <c r="M388" s="82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2"/>
    </row>
    <row r="389" spans="1:28" ht="24" customHeight="1" x14ac:dyDescent="0.5">
      <c r="A389" s="81"/>
      <c r="B389" s="81"/>
      <c r="C389" s="81"/>
      <c r="D389" s="81"/>
      <c r="E389" s="81"/>
      <c r="F389" s="81"/>
      <c r="G389" s="82"/>
      <c r="H389" s="81"/>
      <c r="I389" s="81"/>
      <c r="J389" s="81"/>
      <c r="K389" s="82"/>
      <c r="L389" s="81"/>
      <c r="M389" s="82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2"/>
    </row>
    <row r="390" spans="1:28" ht="24" customHeight="1" x14ac:dyDescent="0.5">
      <c r="A390" s="81"/>
      <c r="B390" s="81"/>
      <c r="C390" s="81"/>
      <c r="D390" s="81"/>
      <c r="E390" s="81"/>
      <c r="F390" s="81"/>
      <c r="G390" s="82"/>
      <c r="H390" s="81"/>
      <c r="I390" s="81"/>
      <c r="J390" s="81"/>
      <c r="K390" s="82"/>
      <c r="L390" s="81"/>
      <c r="M390" s="82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2"/>
    </row>
    <row r="391" spans="1:28" ht="24" customHeight="1" x14ac:dyDescent="0.5">
      <c r="A391" s="81"/>
      <c r="B391" s="81"/>
      <c r="C391" s="81"/>
      <c r="D391" s="81"/>
      <c r="E391" s="81"/>
      <c r="F391" s="81"/>
      <c r="G391" s="82"/>
      <c r="H391" s="81"/>
      <c r="I391" s="81"/>
      <c r="J391" s="81"/>
      <c r="K391" s="82"/>
      <c r="L391" s="81"/>
      <c r="M391" s="82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2"/>
    </row>
    <row r="392" spans="1:28" ht="24" customHeight="1" x14ac:dyDescent="0.5">
      <c r="A392" s="81"/>
      <c r="B392" s="81"/>
      <c r="C392" s="81"/>
      <c r="D392" s="81"/>
      <c r="E392" s="81"/>
      <c r="F392" s="81"/>
      <c r="G392" s="82"/>
      <c r="H392" s="81"/>
      <c r="I392" s="81"/>
      <c r="J392" s="81"/>
      <c r="K392" s="82"/>
      <c r="L392" s="81"/>
      <c r="M392" s="82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2"/>
    </row>
    <row r="393" spans="1:28" ht="24" customHeight="1" x14ac:dyDescent="0.5">
      <c r="A393" s="81"/>
      <c r="B393" s="81"/>
      <c r="C393" s="81"/>
      <c r="D393" s="81"/>
      <c r="E393" s="81"/>
      <c r="F393" s="81"/>
      <c r="G393" s="82"/>
      <c r="H393" s="81"/>
      <c r="I393" s="81"/>
      <c r="J393" s="81"/>
      <c r="K393" s="82"/>
      <c r="L393" s="81"/>
      <c r="M393" s="82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2"/>
    </row>
    <row r="394" spans="1:28" ht="24" customHeight="1" x14ac:dyDescent="0.5">
      <c r="A394" s="81"/>
      <c r="B394" s="81"/>
      <c r="C394" s="81"/>
      <c r="D394" s="81"/>
      <c r="E394" s="81"/>
      <c r="F394" s="81"/>
      <c r="G394" s="82"/>
      <c r="H394" s="81"/>
      <c r="I394" s="81"/>
      <c r="J394" s="81"/>
      <c r="K394" s="82"/>
      <c r="L394" s="81"/>
      <c r="M394" s="82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2"/>
    </row>
    <row r="395" spans="1:28" ht="24" customHeight="1" x14ac:dyDescent="0.5">
      <c r="A395" s="81"/>
      <c r="B395" s="81"/>
      <c r="C395" s="81"/>
      <c r="D395" s="81"/>
      <c r="E395" s="81"/>
      <c r="F395" s="81"/>
      <c r="G395" s="82"/>
      <c r="H395" s="81"/>
      <c r="I395" s="81"/>
      <c r="J395" s="81"/>
      <c r="K395" s="82"/>
      <c r="L395" s="81"/>
      <c r="M395" s="82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2"/>
    </row>
    <row r="396" spans="1:28" ht="24" customHeight="1" x14ac:dyDescent="0.5">
      <c r="A396" s="81"/>
      <c r="B396" s="81"/>
      <c r="C396" s="81"/>
      <c r="D396" s="81"/>
      <c r="E396" s="81"/>
      <c r="F396" s="81"/>
      <c r="G396" s="82"/>
      <c r="H396" s="81"/>
      <c r="I396" s="81"/>
      <c r="J396" s="81"/>
      <c r="K396" s="82"/>
      <c r="L396" s="81"/>
      <c r="M396" s="82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2"/>
    </row>
    <row r="397" spans="1:28" ht="24" customHeight="1" x14ac:dyDescent="0.5">
      <c r="A397" s="81"/>
      <c r="B397" s="81"/>
      <c r="C397" s="81"/>
      <c r="D397" s="81"/>
      <c r="E397" s="81"/>
      <c r="F397" s="81"/>
      <c r="G397" s="82"/>
      <c r="H397" s="81"/>
      <c r="I397" s="81"/>
      <c r="J397" s="81"/>
      <c r="K397" s="82"/>
      <c r="L397" s="81"/>
      <c r="M397" s="82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2"/>
    </row>
    <row r="398" spans="1:28" ht="24" customHeight="1" x14ac:dyDescent="0.5">
      <c r="A398" s="81"/>
      <c r="B398" s="81"/>
      <c r="C398" s="81"/>
      <c r="D398" s="81"/>
      <c r="E398" s="81"/>
      <c r="F398" s="81"/>
      <c r="G398" s="82"/>
      <c r="H398" s="81"/>
      <c r="I398" s="81"/>
      <c r="J398" s="81"/>
      <c r="K398" s="82"/>
      <c r="L398" s="81"/>
      <c r="M398" s="82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2"/>
    </row>
    <row r="399" spans="1:28" ht="24" customHeight="1" x14ac:dyDescent="0.5">
      <c r="A399" s="81"/>
      <c r="B399" s="81"/>
      <c r="C399" s="81"/>
      <c r="D399" s="81"/>
      <c r="E399" s="81"/>
      <c r="F399" s="81"/>
      <c r="G399" s="82"/>
      <c r="H399" s="81"/>
      <c r="I399" s="81"/>
      <c r="J399" s="81"/>
      <c r="K399" s="82"/>
      <c r="L399" s="81"/>
      <c r="M399" s="82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2"/>
    </row>
    <row r="400" spans="1:28" ht="24" customHeight="1" x14ac:dyDescent="0.5">
      <c r="A400" s="81"/>
      <c r="B400" s="81"/>
      <c r="C400" s="81"/>
      <c r="D400" s="81"/>
      <c r="E400" s="81"/>
      <c r="F400" s="81"/>
      <c r="G400" s="82"/>
      <c r="H400" s="81"/>
      <c r="I400" s="81"/>
      <c r="J400" s="81"/>
      <c r="K400" s="82"/>
      <c r="L400" s="81"/>
      <c r="M400" s="82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2"/>
    </row>
    <row r="401" spans="1:28" ht="24" customHeight="1" x14ac:dyDescent="0.5">
      <c r="A401" s="81"/>
      <c r="B401" s="81"/>
      <c r="C401" s="81"/>
      <c r="D401" s="81"/>
      <c r="E401" s="81"/>
      <c r="F401" s="81"/>
      <c r="G401" s="82"/>
      <c r="H401" s="81"/>
      <c r="I401" s="81"/>
      <c r="J401" s="81"/>
      <c r="K401" s="82"/>
      <c r="L401" s="81"/>
      <c r="M401" s="82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2"/>
    </row>
    <row r="402" spans="1:28" ht="24" customHeight="1" x14ac:dyDescent="0.5">
      <c r="A402" s="81"/>
      <c r="B402" s="81"/>
      <c r="C402" s="81"/>
      <c r="D402" s="81"/>
      <c r="E402" s="81"/>
      <c r="F402" s="81"/>
      <c r="G402" s="82"/>
      <c r="H402" s="81"/>
      <c r="I402" s="81"/>
      <c r="J402" s="81"/>
      <c r="K402" s="82"/>
      <c r="L402" s="81"/>
      <c r="M402" s="82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2"/>
    </row>
    <row r="403" spans="1:28" ht="24" customHeight="1" x14ac:dyDescent="0.5">
      <c r="A403" s="81"/>
      <c r="B403" s="81"/>
      <c r="C403" s="81"/>
      <c r="D403" s="81"/>
      <c r="E403" s="81"/>
      <c r="F403" s="81"/>
      <c r="G403" s="82"/>
      <c r="H403" s="81"/>
      <c r="I403" s="81"/>
      <c r="J403" s="81"/>
      <c r="K403" s="82"/>
      <c r="L403" s="81"/>
      <c r="M403" s="82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2"/>
    </row>
    <row r="404" spans="1:28" ht="24" customHeight="1" x14ac:dyDescent="0.5">
      <c r="A404" s="81"/>
      <c r="B404" s="81"/>
      <c r="C404" s="81"/>
      <c r="D404" s="81"/>
      <c r="E404" s="81"/>
      <c r="F404" s="81"/>
      <c r="G404" s="82"/>
      <c r="H404" s="81"/>
      <c r="I404" s="81"/>
      <c r="J404" s="81"/>
      <c r="K404" s="82"/>
      <c r="L404" s="81"/>
      <c r="M404" s="82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2"/>
    </row>
    <row r="405" spans="1:28" ht="24" customHeight="1" x14ac:dyDescent="0.5">
      <c r="A405" s="81"/>
      <c r="B405" s="81"/>
      <c r="C405" s="81"/>
      <c r="D405" s="81"/>
      <c r="E405" s="81"/>
      <c r="F405" s="81"/>
      <c r="G405" s="82"/>
      <c r="H405" s="81"/>
      <c r="I405" s="81"/>
      <c r="J405" s="81"/>
      <c r="K405" s="82"/>
      <c r="L405" s="81"/>
      <c r="M405" s="82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2"/>
    </row>
    <row r="406" spans="1:28" ht="24" customHeight="1" x14ac:dyDescent="0.5">
      <c r="A406" s="81"/>
      <c r="B406" s="81"/>
      <c r="C406" s="81"/>
      <c r="D406" s="81"/>
      <c r="E406" s="81"/>
      <c r="F406" s="81"/>
      <c r="G406" s="82"/>
      <c r="H406" s="81"/>
      <c r="I406" s="81"/>
      <c r="J406" s="81"/>
      <c r="K406" s="82"/>
      <c r="L406" s="81"/>
      <c r="M406" s="82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2"/>
    </row>
    <row r="407" spans="1:28" ht="24" customHeight="1" x14ac:dyDescent="0.5">
      <c r="A407" s="81"/>
      <c r="B407" s="81"/>
      <c r="C407" s="81"/>
      <c r="D407" s="81"/>
      <c r="E407" s="81"/>
      <c r="F407" s="81"/>
      <c r="G407" s="82"/>
      <c r="H407" s="81"/>
      <c r="I407" s="81"/>
      <c r="J407" s="81"/>
      <c r="K407" s="82"/>
      <c r="L407" s="81"/>
      <c r="M407" s="82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2"/>
    </row>
    <row r="408" spans="1:28" ht="24" customHeight="1" x14ac:dyDescent="0.5">
      <c r="A408" s="81"/>
      <c r="B408" s="81"/>
      <c r="C408" s="81"/>
      <c r="D408" s="81"/>
      <c r="E408" s="81"/>
      <c r="F408" s="81"/>
      <c r="G408" s="82"/>
      <c r="H408" s="81"/>
      <c r="I408" s="81"/>
      <c r="J408" s="81"/>
      <c r="K408" s="82"/>
      <c r="L408" s="81"/>
      <c r="M408" s="82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2"/>
    </row>
    <row r="409" spans="1:28" ht="24" customHeight="1" x14ac:dyDescent="0.5">
      <c r="A409" s="81"/>
      <c r="B409" s="81"/>
      <c r="C409" s="81"/>
      <c r="D409" s="81"/>
      <c r="E409" s="81"/>
      <c r="F409" s="81"/>
      <c r="G409" s="82"/>
      <c r="H409" s="81"/>
      <c r="I409" s="81"/>
      <c r="J409" s="81"/>
      <c r="K409" s="82"/>
      <c r="L409" s="81"/>
      <c r="M409" s="82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2"/>
    </row>
    <row r="410" spans="1:28" ht="24" customHeight="1" x14ac:dyDescent="0.5">
      <c r="A410" s="81"/>
      <c r="B410" s="81"/>
      <c r="C410" s="81"/>
      <c r="D410" s="81"/>
      <c r="E410" s="81"/>
      <c r="F410" s="81"/>
      <c r="G410" s="82"/>
      <c r="H410" s="81"/>
      <c r="I410" s="81"/>
      <c r="J410" s="81"/>
      <c r="K410" s="82"/>
      <c r="L410" s="81"/>
      <c r="M410" s="82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2"/>
    </row>
    <row r="411" spans="1:28" ht="24" customHeight="1" x14ac:dyDescent="0.5">
      <c r="A411" s="81"/>
      <c r="B411" s="81"/>
      <c r="C411" s="81"/>
      <c r="D411" s="81"/>
      <c r="E411" s="81"/>
      <c r="F411" s="81"/>
      <c r="G411" s="82"/>
      <c r="H411" s="81"/>
      <c r="I411" s="81"/>
      <c r="J411" s="81"/>
      <c r="K411" s="82"/>
      <c r="L411" s="81"/>
      <c r="M411" s="82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2"/>
    </row>
    <row r="412" spans="1:28" ht="24" customHeight="1" x14ac:dyDescent="0.5">
      <c r="A412" s="81"/>
      <c r="B412" s="81"/>
      <c r="C412" s="81"/>
      <c r="D412" s="81"/>
      <c r="E412" s="81"/>
      <c r="F412" s="81"/>
      <c r="G412" s="82"/>
      <c r="H412" s="81"/>
      <c r="I412" s="81"/>
      <c r="J412" s="81"/>
      <c r="K412" s="82"/>
      <c r="L412" s="81"/>
      <c r="M412" s="82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2"/>
    </row>
    <row r="413" spans="1:28" ht="24" customHeight="1" x14ac:dyDescent="0.5">
      <c r="A413" s="81"/>
      <c r="B413" s="81"/>
      <c r="C413" s="81"/>
      <c r="D413" s="81"/>
      <c r="E413" s="81"/>
      <c r="F413" s="81"/>
      <c r="G413" s="82"/>
      <c r="H413" s="81"/>
      <c r="I413" s="81"/>
      <c r="J413" s="81"/>
      <c r="K413" s="82"/>
      <c r="L413" s="81"/>
      <c r="M413" s="82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2"/>
    </row>
    <row r="414" spans="1:28" ht="24" customHeight="1" x14ac:dyDescent="0.5">
      <c r="A414" s="81"/>
      <c r="B414" s="81"/>
      <c r="C414" s="81"/>
      <c r="D414" s="81"/>
      <c r="E414" s="81"/>
      <c r="F414" s="81"/>
      <c r="G414" s="82"/>
      <c r="H414" s="81"/>
      <c r="I414" s="81"/>
      <c r="J414" s="81"/>
      <c r="K414" s="82"/>
      <c r="L414" s="81"/>
      <c r="M414" s="82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2"/>
    </row>
    <row r="415" spans="1:28" ht="24" customHeight="1" x14ac:dyDescent="0.5">
      <c r="A415" s="81"/>
      <c r="B415" s="81"/>
      <c r="C415" s="81"/>
      <c r="D415" s="81"/>
      <c r="E415" s="81"/>
      <c r="F415" s="81"/>
      <c r="G415" s="82"/>
      <c r="H415" s="81"/>
      <c r="I415" s="81"/>
      <c r="J415" s="81"/>
      <c r="K415" s="82"/>
      <c r="L415" s="81"/>
      <c r="M415" s="82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2"/>
    </row>
    <row r="416" spans="1:28" ht="24" customHeight="1" x14ac:dyDescent="0.5">
      <c r="A416" s="81"/>
      <c r="B416" s="81"/>
      <c r="C416" s="81"/>
      <c r="D416" s="81"/>
      <c r="E416" s="81"/>
      <c r="F416" s="81"/>
      <c r="G416" s="82"/>
      <c r="H416" s="81"/>
      <c r="I416" s="81"/>
      <c r="J416" s="81"/>
      <c r="K416" s="82"/>
      <c r="L416" s="81"/>
      <c r="M416" s="82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2"/>
    </row>
    <row r="417" spans="1:28" ht="24" customHeight="1" x14ac:dyDescent="0.5">
      <c r="A417" s="81"/>
      <c r="B417" s="81"/>
      <c r="C417" s="81"/>
      <c r="D417" s="81"/>
      <c r="E417" s="81"/>
      <c r="F417" s="81"/>
      <c r="G417" s="82"/>
      <c r="H417" s="81"/>
      <c r="I417" s="81"/>
      <c r="J417" s="81"/>
      <c r="K417" s="82"/>
      <c r="L417" s="81"/>
      <c r="M417" s="82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2"/>
    </row>
    <row r="418" spans="1:28" ht="24" customHeight="1" x14ac:dyDescent="0.5">
      <c r="A418" s="81"/>
      <c r="B418" s="81"/>
      <c r="C418" s="81"/>
      <c r="D418" s="81"/>
      <c r="E418" s="81"/>
      <c r="F418" s="81"/>
      <c r="G418" s="82"/>
      <c r="H418" s="81"/>
      <c r="I418" s="81"/>
      <c r="J418" s="81"/>
      <c r="K418" s="82"/>
      <c r="L418" s="81"/>
      <c r="M418" s="82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2"/>
    </row>
    <row r="419" spans="1:28" ht="24" customHeight="1" x14ac:dyDescent="0.5">
      <c r="A419" s="81"/>
      <c r="B419" s="81"/>
      <c r="C419" s="81"/>
      <c r="D419" s="81"/>
      <c r="E419" s="81"/>
      <c r="F419" s="81"/>
      <c r="G419" s="82"/>
      <c r="H419" s="81"/>
      <c r="I419" s="81"/>
      <c r="J419" s="81"/>
      <c r="K419" s="82"/>
      <c r="L419" s="81"/>
      <c r="M419" s="82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2"/>
    </row>
    <row r="420" spans="1:28" ht="24" customHeight="1" x14ac:dyDescent="0.5">
      <c r="A420" s="81"/>
      <c r="B420" s="81"/>
      <c r="C420" s="81"/>
      <c r="D420" s="81"/>
      <c r="E420" s="81"/>
      <c r="F420" s="81"/>
      <c r="G420" s="82"/>
      <c r="H420" s="81"/>
      <c r="I420" s="81"/>
      <c r="J420" s="81"/>
      <c r="K420" s="82"/>
      <c r="L420" s="81"/>
      <c r="M420" s="82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2"/>
    </row>
    <row r="421" spans="1:28" ht="24" customHeight="1" x14ac:dyDescent="0.5">
      <c r="A421" s="81"/>
      <c r="B421" s="81"/>
      <c r="C421" s="81"/>
      <c r="D421" s="81"/>
      <c r="E421" s="81"/>
      <c r="F421" s="81"/>
      <c r="G421" s="82"/>
      <c r="H421" s="81"/>
      <c r="I421" s="81"/>
      <c r="J421" s="81"/>
      <c r="K421" s="82"/>
      <c r="L421" s="81"/>
      <c r="M421" s="82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2"/>
    </row>
    <row r="422" spans="1:28" ht="24" customHeight="1" x14ac:dyDescent="0.5">
      <c r="A422" s="81"/>
      <c r="B422" s="81"/>
      <c r="C422" s="81"/>
      <c r="D422" s="81"/>
      <c r="E422" s="81"/>
      <c r="F422" s="81"/>
      <c r="G422" s="82"/>
      <c r="H422" s="81"/>
      <c r="I422" s="81"/>
      <c r="J422" s="81"/>
      <c r="K422" s="82"/>
      <c r="L422" s="81"/>
      <c r="M422" s="82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2"/>
    </row>
    <row r="423" spans="1:28" ht="24" customHeight="1" x14ac:dyDescent="0.5">
      <c r="A423" s="81"/>
      <c r="B423" s="81"/>
      <c r="C423" s="81"/>
      <c r="D423" s="81"/>
      <c r="E423" s="81"/>
      <c r="F423" s="81"/>
      <c r="G423" s="82"/>
      <c r="H423" s="81"/>
      <c r="I423" s="81"/>
      <c r="J423" s="81"/>
      <c r="K423" s="82"/>
      <c r="L423" s="81"/>
      <c r="M423" s="82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2"/>
    </row>
    <row r="424" spans="1:28" ht="24" customHeight="1" x14ac:dyDescent="0.5">
      <c r="A424" s="81"/>
      <c r="B424" s="81"/>
      <c r="C424" s="81"/>
      <c r="D424" s="81"/>
      <c r="E424" s="81"/>
      <c r="F424" s="81"/>
      <c r="G424" s="82"/>
      <c r="H424" s="81"/>
      <c r="I424" s="81"/>
      <c r="J424" s="81"/>
      <c r="K424" s="82"/>
      <c r="L424" s="81"/>
      <c r="M424" s="82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2"/>
    </row>
    <row r="425" spans="1:28" ht="24" customHeight="1" x14ac:dyDescent="0.5">
      <c r="A425" s="81"/>
      <c r="B425" s="81"/>
      <c r="C425" s="81"/>
      <c r="D425" s="81"/>
      <c r="E425" s="81"/>
      <c r="F425" s="81"/>
      <c r="G425" s="82"/>
      <c r="H425" s="81"/>
      <c r="I425" s="81"/>
      <c r="J425" s="81"/>
      <c r="K425" s="82"/>
      <c r="L425" s="81"/>
      <c r="M425" s="82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2"/>
    </row>
    <row r="426" spans="1:28" ht="24" customHeight="1" x14ac:dyDescent="0.5">
      <c r="A426" s="81"/>
      <c r="B426" s="81"/>
      <c r="C426" s="81"/>
      <c r="D426" s="81"/>
      <c r="E426" s="81"/>
      <c r="F426" s="81"/>
      <c r="G426" s="82"/>
      <c r="H426" s="81"/>
      <c r="I426" s="81"/>
      <c r="J426" s="81"/>
      <c r="K426" s="82"/>
      <c r="L426" s="81"/>
      <c r="M426" s="82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2"/>
    </row>
    <row r="427" spans="1:28" ht="24" customHeight="1" x14ac:dyDescent="0.5">
      <c r="A427" s="81"/>
      <c r="B427" s="81"/>
      <c r="C427" s="81"/>
      <c r="D427" s="81"/>
      <c r="E427" s="81"/>
      <c r="F427" s="81"/>
      <c r="G427" s="82"/>
      <c r="H427" s="81"/>
      <c r="I427" s="81"/>
      <c r="J427" s="81"/>
      <c r="K427" s="82"/>
      <c r="L427" s="81"/>
      <c r="M427" s="82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2"/>
    </row>
    <row r="428" spans="1:28" ht="24" customHeight="1" x14ac:dyDescent="0.5">
      <c r="A428" s="81"/>
      <c r="B428" s="81"/>
      <c r="C428" s="81"/>
      <c r="D428" s="81"/>
      <c r="E428" s="81"/>
      <c r="F428" s="81"/>
      <c r="G428" s="82"/>
      <c r="H428" s="81"/>
      <c r="I428" s="81"/>
      <c r="J428" s="81"/>
      <c r="K428" s="82"/>
      <c r="L428" s="81"/>
      <c r="M428" s="82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2"/>
    </row>
    <row r="429" spans="1:28" ht="24" customHeight="1" x14ac:dyDescent="0.5">
      <c r="A429" s="81"/>
      <c r="B429" s="81"/>
      <c r="C429" s="81"/>
      <c r="D429" s="81"/>
      <c r="E429" s="81"/>
      <c r="F429" s="81"/>
      <c r="G429" s="82"/>
      <c r="H429" s="81"/>
      <c r="I429" s="81"/>
      <c r="J429" s="81"/>
      <c r="K429" s="82"/>
      <c r="L429" s="81"/>
      <c r="M429" s="82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2"/>
    </row>
    <row r="430" spans="1:28" ht="24" customHeight="1" x14ac:dyDescent="0.5">
      <c r="A430" s="81"/>
      <c r="B430" s="81"/>
      <c r="C430" s="81"/>
      <c r="D430" s="81"/>
      <c r="E430" s="81"/>
      <c r="F430" s="81"/>
      <c r="G430" s="82"/>
      <c r="H430" s="81"/>
      <c r="I430" s="81"/>
      <c r="J430" s="81"/>
      <c r="K430" s="82"/>
      <c r="L430" s="81"/>
      <c r="M430" s="82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2"/>
    </row>
    <row r="431" spans="1:28" ht="24" customHeight="1" x14ac:dyDescent="0.5">
      <c r="A431" s="81"/>
      <c r="B431" s="81"/>
      <c r="C431" s="81"/>
      <c r="D431" s="81"/>
      <c r="E431" s="81"/>
      <c r="F431" s="81"/>
      <c r="G431" s="82"/>
      <c r="H431" s="81"/>
      <c r="I431" s="81"/>
      <c r="J431" s="81"/>
      <c r="K431" s="82"/>
      <c r="L431" s="81"/>
      <c r="M431" s="82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2"/>
    </row>
    <row r="432" spans="1:28" ht="24" customHeight="1" x14ac:dyDescent="0.5">
      <c r="A432" s="81"/>
      <c r="B432" s="81"/>
      <c r="C432" s="81"/>
      <c r="D432" s="81"/>
      <c r="E432" s="81"/>
      <c r="F432" s="81"/>
      <c r="G432" s="82"/>
      <c r="H432" s="81"/>
      <c r="I432" s="81"/>
      <c r="J432" s="81"/>
      <c r="K432" s="82"/>
      <c r="L432" s="81"/>
      <c r="M432" s="82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2"/>
    </row>
    <row r="433" spans="1:28" ht="24" customHeight="1" x14ac:dyDescent="0.5">
      <c r="A433" s="81"/>
      <c r="B433" s="81"/>
      <c r="C433" s="81"/>
      <c r="D433" s="81"/>
      <c r="E433" s="81"/>
      <c r="F433" s="81"/>
      <c r="G433" s="82"/>
      <c r="H433" s="81"/>
      <c r="I433" s="81"/>
      <c r="J433" s="81"/>
      <c r="K433" s="82"/>
      <c r="L433" s="81"/>
      <c r="M433" s="82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2"/>
    </row>
    <row r="434" spans="1:28" ht="24" customHeight="1" x14ac:dyDescent="0.5">
      <c r="A434" s="81"/>
      <c r="B434" s="81"/>
      <c r="C434" s="81"/>
      <c r="D434" s="81"/>
      <c r="E434" s="81"/>
      <c r="F434" s="81"/>
      <c r="G434" s="82"/>
      <c r="H434" s="81"/>
      <c r="I434" s="81"/>
      <c r="J434" s="81"/>
      <c r="K434" s="82"/>
      <c r="L434" s="81"/>
      <c r="M434" s="82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2"/>
    </row>
    <row r="435" spans="1:28" ht="24" customHeight="1" x14ac:dyDescent="0.5">
      <c r="A435" s="81"/>
      <c r="B435" s="81"/>
      <c r="C435" s="81"/>
      <c r="D435" s="81"/>
      <c r="E435" s="81"/>
      <c r="F435" s="81"/>
      <c r="G435" s="82"/>
      <c r="H435" s="81"/>
      <c r="I435" s="81"/>
      <c r="J435" s="81"/>
      <c r="K435" s="82"/>
      <c r="L435" s="81"/>
      <c r="M435" s="82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2"/>
    </row>
    <row r="436" spans="1:28" ht="24" customHeight="1" x14ac:dyDescent="0.5">
      <c r="A436" s="81"/>
      <c r="B436" s="81"/>
      <c r="C436" s="81"/>
      <c r="D436" s="81"/>
      <c r="E436" s="81"/>
      <c r="F436" s="81"/>
      <c r="G436" s="82"/>
      <c r="H436" s="81"/>
      <c r="I436" s="81"/>
      <c r="J436" s="81"/>
      <c r="K436" s="82"/>
      <c r="L436" s="81"/>
      <c r="M436" s="82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2"/>
    </row>
    <row r="437" spans="1:28" ht="24" customHeight="1" x14ac:dyDescent="0.5">
      <c r="A437" s="81"/>
      <c r="B437" s="81"/>
      <c r="C437" s="81"/>
      <c r="D437" s="81"/>
      <c r="E437" s="81"/>
      <c r="F437" s="81"/>
      <c r="G437" s="82"/>
      <c r="H437" s="81"/>
      <c r="I437" s="81"/>
      <c r="J437" s="81"/>
      <c r="K437" s="82"/>
      <c r="L437" s="81"/>
      <c r="M437" s="82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2"/>
    </row>
    <row r="438" spans="1:28" ht="24" customHeight="1" x14ac:dyDescent="0.5">
      <c r="A438" s="81"/>
      <c r="B438" s="81"/>
      <c r="C438" s="81"/>
      <c r="D438" s="81"/>
      <c r="E438" s="81"/>
      <c r="F438" s="81"/>
      <c r="G438" s="82"/>
      <c r="H438" s="81"/>
      <c r="I438" s="81"/>
      <c r="J438" s="81"/>
      <c r="K438" s="82"/>
      <c r="L438" s="81"/>
      <c r="M438" s="82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2"/>
    </row>
    <row r="439" spans="1:28" ht="24" customHeight="1" x14ac:dyDescent="0.5">
      <c r="A439" s="81"/>
      <c r="B439" s="81"/>
      <c r="C439" s="81"/>
      <c r="D439" s="81"/>
      <c r="E439" s="81"/>
      <c r="F439" s="81"/>
      <c r="G439" s="82"/>
      <c r="H439" s="81"/>
      <c r="I439" s="81"/>
      <c r="J439" s="81"/>
      <c r="K439" s="82"/>
      <c r="L439" s="81"/>
      <c r="M439" s="82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2"/>
    </row>
    <row r="440" spans="1:28" ht="24" customHeight="1" x14ac:dyDescent="0.5">
      <c r="A440" s="81"/>
      <c r="B440" s="81"/>
      <c r="C440" s="81"/>
      <c r="D440" s="81"/>
      <c r="E440" s="81"/>
      <c r="F440" s="81"/>
      <c r="G440" s="82"/>
      <c r="H440" s="81"/>
      <c r="I440" s="81"/>
      <c r="J440" s="81"/>
      <c r="K440" s="82"/>
      <c r="L440" s="81"/>
      <c r="M440" s="82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2"/>
    </row>
    <row r="441" spans="1:28" ht="24" customHeight="1" x14ac:dyDescent="0.5">
      <c r="A441" s="81"/>
      <c r="B441" s="81"/>
      <c r="C441" s="81"/>
      <c r="D441" s="81"/>
      <c r="E441" s="81"/>
      <c r="F441" s="81"/>
      <c r="G441" s="82"/>
      <c r="H441" s="81"/>
      <c r="I441" s="81"/>
      <c r="J441" s="81"/>
      <c r="K441" s="82"/>
      <c r="L441" s="81"/>
      <c r="M441" s="82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2"/>
    </row>
    <row r="442" spans="1:28" ht="24" customHeight="1" x14ac:dyDescent="0.5">
      <c r="A442" s="81"/>
      <c r="B442" s="81"/>
      <c r="C442" s="81"/>
      <c r="D442" s="81"/>
      <c r="E442" s="81"/>
      <c r="F442" s="81"/>
      <c r="G442" s="82"/>
      <c r="H442" s="81"/>
      <c r="I442" s="81"/>
      <c r="J442" s="81"/>
      <c r="K442" s="82"/>
      <c r="L442" s="81"/>
      <c r="M442" s="82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2"/>
    </row>
    <row r="443" spans="1:28" ht="24" customHeight="1" x14ac:dyDescent="0.5">
      <c r="A443" s="81"/>
      <c r="B443" s="81"/>
      <c r="C443" s="81"/>
      <c r="D443" s="81"/>
      <c r="E443" s="81"/>
      <c r="F443" s="81"/>
      <c r="G443" s="82"/>
      <c r="H443" s="81"/>
      <c r="I443" s="81"/>
      <c r="J443" s="81"/>
      <c r="K443" s="82"/>
      <c r="L443" s="81"/>
      <c r="M443" s="82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2"/>
    </row>
    <row r="444" spans="1:28" ht="24" customHeight="1" x14ac:dyDescent="0.5">
      <c r="A444" s="81"/>
      <c r="B444" s="81"/>
      <c r="C444" s="81"/>
      <c r="D444" s="81"/>
      <c r="E444" s="81"/>
      <c r="F444" s="81"/>
      <c r="G444" s="82"/>
      <c r="H444" s="81"/>
      <c r="I444" s="81"/>
      <c r="J444" s="81"/>
      <c r="K444" s="82"/>
      <c r="L444" s="81"/>
      <c r="M444" s="82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2"/>
    </row>
    <row r="445" spans="1:28" ht="24" customHeight="1" x14ac:dyDescent="0.5">
      <c r="A445" s="81"/>
      <c r="B445" s="81"/>
      <c r="C445" s="81"/>
      <c r="D445" s="81"/>
      <c r="E445" s="81"/>
      <c r="F445" s="81"/>
      <c r="G445" s="82"/>
      <c r="H445" s="81"/>
      <c r="I445" s="81"/>
      <c r="J445" s="81"/>
      <c r="K445" s="82"/>
      <c r="L445" s="81"/>
      <c r="M445" s="82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2"/>
    </row>
    <row r="446" spans="1:28" ht="24" customHeight="1" x14ac:dyDescent="0.5">
      <c r="A446" s="81"/>
      <c r="B446" s="81"/>
      <c r="C446" s="81"/>
      <c r="D446" s="81"/>
      <c r="E446" s="81"/>
      <c r="F446" s="81"/>
      <c r="G446" s="82"/>
      <c r="H446" s="81"/>
      <c r="I446" s="81"/>
      <c r="J446" s="81"/>
      <c r="K446" s="82"/>
      <c r="L446" s="81"/>
      <c r="M446" s="82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2"/>
    </row>
    <row r="447" spans="1:28" ht="24" customHeight="1" x14ac:dyDescent="0.5">
      <c r="A447" s="81"/>
      <c r="B447" s="81"/>
      <c r="C447" s="81"/>
      <c r="D447" s="81"/>
      <c r="E447" s="81"/>
      <c r="F447" s="81"/>
      <c r="G447" s="82"/>
      <c r="H447" s="81"/>
      <c r="I447" s="81"/>
      <c r="J447" s="81"/>
      <c r="K447" s="82"/>
      <c r="L447" s="81"/>
      <c r="M447" s="82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2"/>
    </row>
    <row r="448" spans="1:28" ht="24" customHeight="1" x14ac:dyDescent="0.5">
      <c r="A448" s="81"/>
      <c r="B448" s="81"/>
      <c r="C448" s="81"/>
      <c r="D448" s="81"/>
      <c r="E448" s="81"/>
      <c r="F448" s="81"/>
      <c r="G448" s="82"/>
      <c r="H448" s="81"/>
      <c r="I448" s="81"/>
      <c r="J448" s="81"/>
      <c r="K448" s="82"/>
      <c r="L448" s="81"/>
      <c r="M448" s="82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2"/>
    </row>
    <row r="449" spans="1:28" ht="24" customHeight="1" x14ac:dyDescent="0.5">
      <c r="A449" s="81"/>
      <c r="B449" s="81"/>
      <c r="C449" s="81"/>
      <c r="D449" s="81"/>
      <c r="E449" s="81"/>
      <c r="F449" s="81"/>
      <c r="G449" s="82"/>
      <c r="H449" s="81"/>
      <c r="I449" s="81"/>
      <c r="J449" s="81"/>
      <c r="K449" s="82"/>
      <c r="L449" s="81"/>
      <c r="M449" s="82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2"/>
    </row>
    <row r="450" spans="1:28" ht="24" customHeight="1" x14ac:dyDescent="0.5">
      <c r="A450" s="81"/>
      <c r="B450" s="81"/>
      <c r="C450" s="81"/>
      <c r="D450" s="81"/>
      <c r="E450" s="81"/>
      <c r="F450" s="81"/>
      <c r="G450" s="82"/>
      <c r="H450" s="81"/>
      <c r="I450" s="81"/>
      <c r="J450" s="81"/>
      <c r="K450" s="82"/>
      <c r="L450" s="81"/>
      <c r="M450" s="82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2"/>
    </row>
    <row r="451" spans="1:28" ht="24" customHeight="1" x14ac:dyDescent="0.5">
      <c r="A451" s="81"/>
      <c r="B451" s="81"/>
      <c r="C451" s="81"/>
      <c r="D451" s="81"/>
      <c r="E451" s="81"/>
      <c r="F451" s="81"/>
      <c r="G451" s="82"/>
      <c r="H451" s="81"/>
      <c r="I451" s="81"/>
      <c r="J451" s="81"/>
      <c r="K451" s="82"/>
      <c r="L451" s="81"/>
      <c r="M451" s="82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2"/>
    </row>
    <row r="452" spans="1:28" ht="24" customHeight="1" x14ac:dyDescent="0.5">
      <c r="A452" s="81"/>
      <c r="B452" s="81"/>
      <c r="C452" s="81"/>
      <c r="D452" s="81"/>
      <c r="E452" s="81"/>
      <c r="F452" s="81"/>
      <c r="G452" s="82"/>
      <c r="H452" s="81"/>
      <c r="I452" s="81"/>
      <c r="J452" s="81"/>
      <c r="K452" s="82"/>
      <c r="L452" s="81"/>
      <c r="M452" s="82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2"/>
    </row>
    <row r="453" spans="1:28" ht="24" customHeight="1" x14ac:dyDescent="0.5">
      <c r="A453" s="81"/>
      <c r="B453" s="81"/>
      <c r="C453" s="81"/>
      <c r="D453" s="81"/>
      <c r="E453" s="81"/>
      <c r="F453" s="81"/>
      <c r="G453" s="82"/>
      <c r="H453" s="81"/>
      <c r="I453" s="81"/>
      <c r="J453" s="81"/>
      <c r="K453" s="82"/>
      <c r="L453" s="81"/>
      <c r="M453" s="82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2"/>
    </row>
    <row r="454" spans="1:28" ht="24" customHeight="1" x14ac:dyDescent="0.5">
      <c r="A454" s="81"/>
      <c r="B454" s="81"/>
      <c r="C454" s="81"/>
      <c r="D454" s="81"/>
      <c r="E454" s="81"/>
      <c r="F454" s="81"/>
      <c r="G454" s="82"/>
      <c r="H454" s="81"/>
      <c r="I454" s="81"/>
      <c r="J454" s="81"/>
      <c r="K454" s="82"/>
      <c r="L454" s="81"/>
      <c r="M454" s="82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2"/>
    </row>
    <row r="455" spans="1:28" ht="24" customHeight="1" x14ac:dyDescent="0.5">
      <c r="A455" s="81"/>
      <c r="B455" s="81"/>
      <c r="C455" s="81"/>
      <c r="D455" s="81"/>
      <c r="E455" s="81"/>
      <c r="F455" s="81"/>
      <c r="G455" s="82"/>
      <c r="H455" s="81"/>
      <c r="I455" s="81"/>
      <c r="J455" s="81"/>
      <c r="K455" s="82"/>
      <c r="L455" s="81"/>
      <c r="M455" s="82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2"/>
    </row>
    <row r="456" spans="1:28" ht="24" customHeight="1" x14ac:dyDescent="0.5">
      <c r="A456" s="81"/>
      <c r="B456" s="81"/>
      <c r="C456" s="81"/>
      <c r="D456" s="81"/>
      <c r="E456" s="81"/>
      <c r="F456" s="81"/>
      <c r="G456" s="82"/>
      <c r="H456" s="81"/>
      <c r="I456" s="81"/>
      <c r="J456" s="81"/>
      <c r="K456" s="82"/>
      <c r="L456" s="81"/>
      <c r="M456" s="82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2"/>
    </row>
    <row r="457" spans="1:28" ht="24" customHeight="1" x14ac:dyDescent="0.5">
      <c r="A457" s="81"/>
      <c r="B457" s="81"/>
      <c r="C457" s="81"/>
      <c r="D457" s="81"/>
      <c r="E457" s="81"/>
      <c r="F457" s="81"/>
      <c r="G457" s="82"/>
      <c r="H457" s="81"/>
      <c r="I457" s="81"/>
      <c r="J457" s="81"/>
      <c r="K457" s="82"/>
      <c r="L457" s="81"/>
      <c r="M457" s="82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2"/>
    </row>
    <row r="458" spans="1:28" ht="24" customHeight="1" x14ac:dyDescent="0.5">
      <c r="A458" s="81"/>
      <c r="B458" s="81"/>
      <c r="C458" s="81"/>
      <c r="D458" s="81"/>
      <c r="E458" s="81"/>
      <c r="F458" s="81"/>
      <c r="G458" s="82"/>
      <c r="H458" s="81"/>
      <c r="I458" s="81"/>
      <c r="J458" s="81"/>
      <c r="K458" s="82"/>
      <c r="L458" s="81"/>
      <c r="M458" s="82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2"/>
    </row>
    <row r="459" spans="1:28" ht="24" customHeight="1" x14ac:dyDescent="0.5">
      <c r="A459" s="81"/>
      <c r="B459" s="81"/>
      <c r="C459" s="81"/>
      <c r="D459" s="81"/>
      <c r="E459" s="81"/>
      <c r="F459" s="81"/>
      <c r="G459" s="82"/>
      <c r="H459" s="81"/>
      <c r="I459" s="81"/>
      <c r="J459" s="81"/>
      <c r="K459" s="82"/>
      <c r="L459" s="81"/>
      <c r="M459" s="82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2"/>
    </row>
    <row r="460" spans="1:28" ht="24" customHeight="1" x14ac:dyDescent="0.5">
      <c r="A460" s="81"/>
      <c r="B460" s="81"/>
      <c r="C460" s="81"/>
      <c r="D460" s="81"/>
      <c r="E460" s="81"/>
      <c r="F460" s="81"/>
      <c r="G460" s="82"/>
      <c r="H460" s="81"/>
      <c r="I460" s="81"/>
      <c r="J460" s="81"/>
      <c r="K460" s="82"/>
      <c r="L460" s="81"/>
      <c r="M460" s="82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2"/>
    </row>
    <row r="461" spans="1:28" ht="24" customHeight="1" x14ac:dyDescent="0.5">
      <c r="A461" s="81"/>
      <c r="B461" s="81"/>
      <c r="C461" s="81"/>
      <c r="D461" s="81"/>
      <c r="E461" s="81"/>
      <c r="F461" s="81"/>
      <c r="G461" s="82"/>
      <c r="H461" s="81"/>
      <c r="I461" s="81"/>
      <c r="J461" s="81"/>
      <c r="K461" s="82"/>
      <c r="L461" s="81"/>
      <c r="M461" s="82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2"/>
    </row>
    <row r="462" spans="1:28" ht="24" customHeight="1" x14ac:dyDescent="0.5">
      <c r="A462" s="81"/>
      <c r="B462" s="81"/>
      <c r="C462" s="81"/>
      <c r="D462" s="81"/>
      <c r="E462" s="81"/>
      <c r="F462" s="81"/>
      <c r="G462" s="82"/>
      <c r="H462" s="81"/>
      <c r="I462" s="81"/>
      <c r="J462" s="81"/>
      <c r="K462" s="82"/>
      <c r="L462" s="81"/>
      <c r="M462" s="82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2"/>
    </row>
    <row r="463" spans="1:28" ht="24" customHeight="1" x14ac:dyDescent="0.5">
      <c r="A463" s="81"/>
      <c r="B463" s="81"/>
      <c r="C463" s="81"/>
      <c r="D463" s="81"/>
      <c r="E463" s="81"/>
      <c r="F463" s="81"/>
      <c r="G463" s="82"/>
      <c r="H463" s="81"/>
      <c r="I463" s="81"/>
      <c r="J463" s="81"/>
      <c r="K463" s="82"/>
      <c r="L463" s="81"/>
      <c r="M463" s="82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2"/>
    </row>
    <row r="464" spans="1:28" ht="24" customHeight="1" x14ac:dyDescent="0.5">
      <c r="A464" s="81"/>
      <c r="B464" s="81"/>
      <c r="C464" s="81"/>
      <c r="D464" s="81"/>
      <c r="E464" s="81"/>
      <c r="F464" s="81"/>
      <c r="G464" s="82"/>
      <c r="H464" s="81"/>
      <c r="I464" s="81"/>
      <c r="J464" s="81"/>
      <c r="K464" s="82"/>
      <c r="L464" s="81"/>
      <c r="M464" s="82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2"/>
    </row>
    <row r="465" spans="1:28" ht="24" customHeight="1" x14ac:dyDescent="0.5">
      <c r="A465" s="81"/>
      <c r="B465" s="81"/>
      <c r="C465" s="81"/>
      <c r="D465" s="81"/>
      <c r="E465" s="81"/>
      <c r="F465" s="81"/>
      <c r="G465" s="82"/>
      <c r="H465" s="81"/>
      <c r="I465" s="81"/>
      <c r="J465" s="81"/>
      <c r="K465" s="82"/>
      <c r="L465" s="81"/>
      <c r="M465" s="82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2"/>
    </row>
    <row r="466" spans="1:28" ht="24" customHeight="1" x14ac:dyDescent="0.5">
      <c r="A466" s="81"/>
      <c r="B466" s="81"/>
      <c r="C466" s="81"/>
      <c r="D466" s="81"/>
      <c r="E466" s="81"/>
      <c r="F466" s="81"/>
      <c r="G466" s="82"/>
      <c r="H466" s="81"/>
      <c r="I466" s="81"/>
      <c r="J466" s="81"/>
      <c r="K466" s="82"/>
      <c r="L466" s="81"/>
      <c r="M466" s="82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2"/>
    </row>
    <row r="467" spans="1:28" ht="24" customHeight="1" x14ac:dyDescent="0.5">
      <c r="A467" s="81"/>
      <c r="B467" s="81"/>
      <c r="C467" s="81"/>
      <c r="D467" s="81"/>
      <c r="E467" s="81"/>
      <c r="F467" s="81"/>
      <c r="G467" s="82"/>
      <c r="H467" s="81"/>
      <c r="I467" s="81"/>
      <c r="J467" s="81"/>
      <c r="K467" s="82"/>
      <c r="L467" s="81"/>
      <c r="M467" s="82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2"/>
    </row>
    <row r="468" spans="1:28" ht="24" customHeight="1" x14ac:dyDescent="0.5">
      <c r="A468" s="81"/>
      <c r="B468" s="81"/>
      <c r="C468" s="81"/>
      <c r="D468" s="81"/>
      <c r="E468" s="81"/>
      <c r="F468" s="81"/>
      <c r="G468" s="82"/>
      <c r="H468" s="81"/>
      <c r="I468" s="81"/>
      <c r="J468" s="81"/>
      <c r="K468" s="82"/>
      <c r="L468" s="81"/>
      <c r="M468" s="82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2"/>
    </row>
    <row r="469" spans="1:28" ht="24" customHeight="1" x14ac:dyDescent="0.5">
      <c r="A469" s="81"/>
      <c r="B469" s="81"/>
      <c r="C469" s="81"/>
      <c r="D469" s="81"/>
      <c r="E469" s="81"/>
      <c r="F469" s="81"/>
      <c r="G469" s="82"/>
      <c r="H469" s="81"/>
      <c r="I469" s="81"/>
      <c r="J469" s="81"/>
      <c r="K469" s="82"/>
      <c r="L469" s="81"/>
      <c r="M469" s="82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2"/>
    </row>
    <row r="470" spans="1:28" ht="24" customHeight="1" x14ac:dyDescent="0.5">
      <c r="A470" s="81"/>
      <c r="B470" s="81"/>
      <c r="C470" s="81"/>
      <c r="D470" s="81"/>
      <c r="E470" s="81"/>
      <c r="F470" s="81"/>
      <c r="G470" s="82"/>
      <c r="H470" s="81"/>
      <c r="I470" s="81"/>
      <c r="J470" s="81"/>
      <c r="K470" s="82"/>
      <c r="L470" s="81"/>
      <c r="M470" s="82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2"/>
    </row>
    <row r="471" spans="1:28" ht="24" customHeight="1" x14ac:dyDescent="0.5">
      <c r="A471" s="81"/>
      <c r="B471" s="81"/>
      <c r="C471" s="81"/>
      <c r="D471" s="81"/>
      <c r="E471" s="81"/>
      <c r="F471" s="81"/>
      <c r="G471" s="82"/>
      <c r="H471" s="81"/>
      <c r="I471" s="81"/>
      <c r="J471" s="81"/>
      <c r="K471" s="82"/>
      <c r="L471" s="81"/>
      <c r="M471" s="82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2"/>
    </row>
    <row r="472" spans="1:28" ht="24" customHeight="1" x14ac:dyDescent="0.5">
      <c r="A472" s="81"/>
      <c r="B472" s="81"/>
      <c r="C472" s="81"/>
      <c r="D472" s="81"/>
      <c r="E472" s="81"/>
      <c r="F472" s="81"/>
      <c r="G472" s="82"/>
      <c r="H472" s="81"/>
      <c r="I472" s="81"/>
      <c r="J472" s="81"/>
      <c r="K472" s="82"/>
      <c r="L472" s="81"/>
      <c r="M472" s="82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2"/>
    </row>
    <row r="473" spans="1:28" ht="24" customHeight="1" x14ac:dyDescent="0.5">
      <c r="A473" s="81"/>
      <c r="B473" s="81"/>
      <c r="C473" s="81"/>
      <c r="D473" s="81"/>
      <c r="E473" s="81"/>
      <c r="F473" s="81"/>
      <c r="G473" s="82"/>
      <c r="H473" s="81"/>
      <c r="I473" s="81"/>
      <c r="J473" s="81"/>
      <c r="K473" s="82"/>
      <c r="L473" s="81"/>
      <c r="M473" s="82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2"/>
    </row>
    <row r="474" spans="1:28" ht="24" customHeight="1" x14ac:dyDescent="0.5">
      <c r="A474" s="81"/>
      <c r="B474" s="81"/>
      <c r="C474" s="81"/>
      <c r="D474" s="81"/>
      <c r="E474" s="81"/>
      <c r="F474" s="81"/>
      <c r="G474" s="82"/>
      <c r="H474" s="81"/>
      <c r="I474" s="81"/>
      <c r="J474" s="81"/>
      <c r="K474" s="82"/>
      <c r="L474" s="81"/>
      <c r="M474" s="82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2"/>
    </row>
    <row r="475" spans="1:28" ht="24" customHeight="1" x14ac:dyDescent="0.5">
      <c r="A475" s="81"/>
      <c r="B475" s="81"/>
      <c r="C475" s="81"/>
      <c r="D475" s="81"/>
      <c r="E475" s="81"/>
      <c r="F475" s="81"/>
      <c r="G475" s="82"/>
      <c r="H475" s="81"/>
      <c r="I475" s="81"/>
      <c r="J475" s="81"/>
      <c r="K475" s="82"/>
      <c r="L475" s="81"/>
      <c r="M475" s="82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2"/>
    </row>
    <row r="476" spans="1:28" ht="24" customHeight="1" x14ac:dyDescent="0.5">
      <c r="A476" s="81"/>
      <c r="B476" s="81"/>
      <c r="C476" s="81"/>
      <c r="D476" s="81"/>
      <c r="E476" s="81"/>
      <c r="F476" s="81"/>
      <c r="G476" s="82"/>
      <c r="H476" s="81"/>
      <c r="I476" s="81"/>
      <c r="J476" s="81"/>
      <c r="K476" s="82"/>
      <c r="L476" s="81"/>
      <c r="M476" s="82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2"/>
    </row>
    <row r="477" spans="1:28" ht="24" customHeight="1" x14ac:dyDescent="0.5">
      <c r="A477" s="81"/>
      <c r="B477" s="81"/>
      <c r="C477" s="81"/>
      <c r="D477" s="81"/>
      <c r="E477" s="81"/>
      <c r="F477" s="81"/>
      <c r="G477" s="82"/>
      <c r="H477" s="81"/>
      <c r="I477" s="81"/>
      <c r="J477" s="81"/>
      <c r="K477" s="82"/>
      <c r="L477" s="81"/>
      <c r="M477" s="82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2"/>
    </row>
    <row r="478" spans="1:28" ht="24" customHeight="1" x14ac:dyDescent="0.5">
      <c r="A478" s="81"/>
      <c r="B478" s="81"/>
      <c r="C478" s="81"/>
      <c r="D478" s="81"/>
      <c r="E478" s="81"/>
      <c r="F478" s="81"/>
      <c r="G478" s="82"/>
      <c r="H478" s="81"/>
      <c r="I478" s="81"/>
      <c r="J478" s="81"/>
      <c r="K478" s="82"/>
      <c r="L478" s="81"/>
      <c r="M478" s="82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2"/>
    </row>
    <row r="479" spans="1:28" ht="24" customHeight="1" x14ac:dyDescent="0.5">
      <c r="A479" s="81"/>
      <c r="B479" s="81"/>
      <c r="C479" s="81"/>
      <c r="D479" s="81"/>
      <c r="E479" s="81"/>
      <c r="F479" s="81"/>
      <c r="G479" s="82"/>
      <c r="H479" s="81"/>
      <c r="I479" s="81"/>
      <c r="J479" s="81"/>
      <c r="K479" s="82"/>
      <c r="L479" s="81"/>
      <c r="M479" s="82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2"/>
    </row>
    <row r="480" spans="1:28" ht="24" customHeight="1" x14ac:dyDescent="0.5">
      <c r="A480" s="81"/>
      <c r="B480" s="81"/>
      <c r="C480" s="81"/>
      <c r="D480" s="81"/>
      <c r="E480" s="81"/>
      <c r="F480" s="81"/>
      <c r="G480" s="82"/>
      <c r="H480" s="81"/>
      <c r="I480" s="81"/>
      <c r="J480" s="81"/>
      <c r="K480" s="82"/>
      <c r="L480" s="81"/>
      <c r="M480" s="82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2"/>
    </row>
    <row r="481" spans="1:28" ht="24" customHeight="1" x14ac:dyDescent="0.5">
      <c r="A481" s="81"/>
      <c r="B481" s="81"/>
      <c r="C481" s="81"/>
      <c r="D481" s="81"/>
      <c r="E481" s="81"/>
      <c r="F481" s="81"/>
      <c r="G481" s="82"/>
      <c r="H481" s="81"/>
      <c r="I481" s="81"/>
      <c r="J481" s="81"/>
      <c r="K481" s="82"/>
      <c r="L481" s="81"/>
      <c r="M481" s="82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2"/>
    </row>
    <row r="482" spans="1:28" ht="24" customHeight="1" x14ac:dyDescent="0.5">
      <c r="A482" s="81"/>
      <c r="B482" s="81"/>
      <c r="C482" s="81"/>
      <c r="D482" s="81"/>
      <c r="E482" s="81"/>
      <c r="F482" s="81"/>
      <c r="G482" s="82"/>
      <c r="H482" s="81"/>
      <c r="I482" s="81"/>
      <c r="J482" s="81"/>
      <c r="K482" s="82"/>
      <c r="L482" s="81"/>
      <c r="M482" s="82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2"/>
    </row>
    <row r="483" spans="1:28" ht="24" customHeight="1" x14ac:dyDescent="0.5">
      <c r="A483" s="81"/>
      <c r="B483" s="81"/>
      <c r="C483" s="81"/>
      <c r="D483" s="81"/>
      <c r="E483" s="81"/>
      <c r="F483" s="81"/>
      <c r="G483" s="82"/>
      <c r="H483" s="81"/>
      <c r="I483" s="81"/>
      <c r="J483" s="81"/>
      <c r="K483" s="82"/>
      <c r="L483" s="81"/>
      <c r="M483" s="82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2"/>
    </row>
    <row r="484" spans="1:28" ht="24" customHeight="1" x14ac:dyDescent="0.5">
      <c r="A484" s="81"/>
      <c r="B484" s="81"/>
      <c r="C484" s="81"/>
      <c r="D484" s="81"/>
      <c r="E484" s="81"/>
      <c r="F484" s="81"/>
      <c r="G484" s="82"/>
      <c r="H484" s="81"/>
      <c r="I484" s="81"/>
      <c r="J484" s="81"/>
      <c r="K484" s="82"/>
      <c r="L484" s="81"/>
      <c r="M484" s="82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2"/>
    </row>
    <row r="485" spans="1:28" ht="24" customHeight="1" x14ac:dyDescent="0.5">
      <c r="A485" s="81"/>
      <c r="B485" s="81"/>
      <c r="C485" s="81"/>
      <c r="D485" s="81"/>
      <c r="E485" s="81"/>
      <c r="F485" s="81"/>
      <c r="G485" s="82"/>
      <c r="H485" s="81"/>
      <c r="I485" s="81"/>
      <c r="J485" s="81"/>
      <c r="K485" s="82"/>
      <c r="L485" s="81"/>
      <c r="M485" s="82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2"/>
    </row>
    <row r="486" spans="1:28" ht="24" customHeight="1" x14ac:dyDescent="0.5">
      <c r="A486" s="81"/>
      <c r="B486" s="81"/>
      <c r="C486" s="81"/>
      <c r="D486" s="81"/>
      <c r="E486" s="81"/>
      <c r="F486" s="81"/>
      <c r="G486" s="82"/>
      <c r="H486" s="81"/>
      <c r="I486" s="81"/>
      <c r="J486" s="81"/>
      <c r="K486" s="82"/>
      <c r="L486" s="81"/>
      <c r="M486" s="82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2"/>
    </row>
    <row r="487" spans="1:28" ht="24" customHeight="1" x14ac:dyDescent="0.5">
      <c r="A487" s="81"/>
      <c r="B487" s="81"/>
      <c r="C487" s="81"/>
      <c r="D487" s="81"/>
      <c r="E487" s="81"/>
      <c r="F487" s="81"/>
      <c r="G487" s="82"/>
      <c r="H487" s="81"/>
      <c r="I487" s="81"/>
      <c r="J487" s="81"/>
      <c r="K487" s="82"/>
      <c r="L487" s="81"/>
      <c r="M487" s="82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2"/>
    </row>
    <row r="488" spans="1:28" ht="24" customHeight="1" x14ac:dyDescent="0.5">
      <c r="A488" s="81"/>
      <c r="B488" s="81"/>
      <c r="C488" s="81"/>
      <c r="D488" s="81"/>
      <c r="E488" s="81"/>
      <c r="F488" s="81"/>
      <c r="G488" s="82"/>
      <c r="H488" s="81"/>
      <c r="I488" s="81"/>
      <c r="J488" s="81"/>
      <c r="K488" s="82"/>
      <c r="L488" s="81"/>
      <c r="M488" s="82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2"/>
    </row>
    <row r="489" spans="1:28" ht="24" customHeight="1" x14ac:dyDescent="0.5">
      <c r="A489" s="81"/>
      <c r="B489" s="81"/>
      <c r="C489" s="81"/>
      <c r="D489" s="81"/>
      <c r="E489" s="81"/>
      <c r="F489" s="81"/>
      <c r="G489" s="82"/>
      <c r="H489" s="81"/>
      <c r="I489" s="81"/>
      <c r="J489" s="81"/>
      <c r="K489" s="82"/>
      <c r="L489" s="81"/>
      <c r="M489" s="82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2"/>
    </row>
    <row r="490" spans="1:28" ht="24" customHeight="1" x14ac:dyDescent="0.5">
      <c r="A490" s="81"/>
      <c r="B490" s="81"/>
      <c r="C490" s="81"/>
      <c r="D490" s="81"/>
      <c r="E490" s="81"/>
      <c r="F490" s="81"/>
      <c r="G490" s="82"/>
      <c r="H490" s="81"/>
      <c r="I490" s="81"/>
      <c r="J490" s="81"/>
      <c r="K490" s="82"/>
      <c r="L490" s="81"/>
      <c r="M490" s="82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2"/>
    </row>
    <row r="491" spans="1:28" ht="24" customHeight="1" x14ac:dyDescent="0.5">
      <c r="A491" s="81"/>
      <c r="B491" s="81"/>
      <c r="C491" s="81"/>
      <c r="D491" s="81"/>
      <c r="E491" s="81"/>
      <c r="F491" s="81"/>
      <c r="G491" s="82"/>
      <c r="H491" s="81"/>
      <c r="I491" s="81"/>
      <c r="J491" s="81"/>
      <c r="K491" s="82"/>
      <c r="L491" s="81"/>
      <c r="M491" s="82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2"/>
    </row>
    <row r="492" spans="1:28" ht="24" customHeight="1" x14ac:dyDescent="0.5">
      <c r="A492" s="81"/>
      <c r="B492" s="81"/>
      <c r="C492" s="81"/>
      <c r="D492" s="81"/>
      <c r="E492" s="81"/>
      <c r="F492" s="81"/>
      <c r="G492" s="82"/>
      <c r="H492" s="81"/>
      <c r="I492" s="81"/>
      <c r="J492" s="81"/>
      <c r="K492" s="82"/>
      <c r="L492" s="81"/>
      <c r="M492" s="82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2"/>
    </row>
    <row r="493" spans="1:28" ht="24" customHeight="1" x14ac:dyDescent="0.5">
      <c r="A493" s="81"/>
      <c r="B493" s="81"/>
      <c r="C493" s="81"/>
      <c r="D493" s="81"/>
      <c r="E493" s="81"/>
      <c r="F493" s="81"/>
      <c r="G493" s="82"/>
      <c r="H493" s="81"/>
      <c r="I493" s="81"/>
      <c r="J493" s="81"/>
      <c r="K493" s="82"/>
      <c r="L493" s="81"/>
      <c r="M493" s="82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2"/>
    </row>
    <row r="494" spans="1:28" ht="24" customHeight="1" x14ac:dyDescent="0.5">
      <c r="A494" s="81"/>
      <c r="B494" s="81"/>
      <c r="C494" s="81"/>
      <c r="D494" s="81"/>
      <c r="E494" s="81"/>
      <c r="F494" s="81"/>
      <c r="G494" s="82"/>
      <c r="H494" s="81"/>
      <c r="I494" s="81"/>
      <c r="J494" s="81"/>
      <c r="K494" s="82"/>
      <c r="L494" s="81"/>
      <c r="M494" s="82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2"/>
    </row>
    <row r="495" spans="1:28" ht="24" customHeight="1" x14ac:dyDescent="0.5">
      <c r="A495" s="81"/>
      <c r="B495" s="81"/>
      <c r="C495" s="81"/>
      <c r="D495" s="81"/>
      <c r="E495" s="81"/>
      <c r="F495" s="81"/>
      <c r="G495" s="82"/>
      <c r="H495" s="81"/>
      <c r="I495" s="81"/>
      <c r="J495" s="81"/>
      <c r="K495" s="82"/>
      <c r="L495" s="81"/>
      <c r="M495" s="82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2"/>
    </row>
    <row r="496" spans="1:28" ht="24" customHeight="1" x14ac:dyDescent="0.5">
      <c r="A496" s="81"/>
      <c r="B496" s="81"/>
      <c r="C496" s="81"/>
      <c r="D496" s="81"/>
      <c r="E496" s="81"/>
      <c r="F496" s="81"/>
      <c r="G496" s="82"/>
      <c r="H496" s="81"/>
      <c r="I496" s="81"/>
      <c r="J496" s="81"/>
      <c r="K496" s="82"/>
      <c r="L496" s="81"/>
      <c r="M496" s="82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2"/>
    </row>
    <row r="497" spans="1:28" ht="24" customHeight="1" x14ac:dyDescent="0.5">
      <c r="A497" s="81"/>
      <c r="B497" s="81"/>
      <c r="C497" s="81"/>
      <c r="D497" s="81"/>
      <c r="E497" s="81"/>
      <c r="F497" s="81"/>
      <c r="G497" s="82"/>
      <c r="H497" s="81"/>
      <c r="I497" s="81"/>
      <c r="J497" s="81"/>
      <c r="K497" s="82"/>
      <c r="L497" s="81"/>
      <c r="M497" s="82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2"/>
    </row>
    <row r="498" spans="1:28" ht="24" customHeight="1" x14ac:dyDescent="0.5">
      <c r="A498" s="81"/>
      <c r="B498" s="81"/>
      <c r="C498" s="81"/>
      <c r="D498" s="81"/>
      <c r="E498" s="81"/>
      <c r="F498" s="81"/>
      <c r="G498" s="82"/>
      <c r="H498" s="81"/>
      <c r="I498" s="81"/>
      <c r="J498" s="81"/>
      <c r="K498" s="82"/>
      <c r="L498" s="81"/>
      <c r="M498" s="82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2"/>
    </row>
    <row r="499" spans="1:28" ht="24" customHeight="1" x14ac:dyDescent="0.5">
      <c r="A499" s="81"/>
      <c r="B499" s="81"/>
      <c r="C499" s="81"/>
      <c r="D499" s="81"/>
      <c r="E499" s="81"/>
      <c r="F499" s="81"/>
      <c r="G499" s="82"/>
      <c r="H499" s="81"/>
      <c r="I499" s="81"/>
      <c r="J499" s="81"/>
      <c r="K499" s="82"/>
      <c r="L499" s="81"/>
      <c r="M499" s="82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2"/>
    </row>
    <row r="500" spans="1:28" ht="24" customHeight="1" x14ac:dyDescent="0.5">
      <c r="A500" s="81"/>
      <c r="B500" s="81"/>
      <c r="C500" s="81"/>
      <c r="D500" s="81"/>
      <c r="E500" s="81"/>
      <c r="F500" s="81"/>
      <c r="G500" s="82"/>
      <c r="H500" s="81"/>
      <c r="I500" s="81"/>
      <c r="J500" s="81"/>
      <c r="K500" s="82"/>
      <c r="L500" s="81"/>
      <c r="M500" s="82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2"/>
    </row>
    <row r="501" spans="1:28" ht="24" customHeight="1" x14ac:dyDescent="0.5">
      <c r="A501" s="81"/>
      <c r="B501" s="81"/>
      <c r="C501" s="81"/>
      <c r="D501" s="81"/>
      <c r="E501" s="81"/>
      <c r="F501" s="81"/>
      <c r="G501" s="82"/>
      <c r="H501" s="81"/>
      <c r="I501" s="81"/>
      <c r="J501" s="81"/>
      <c r="K501" s="82"/>
      <c r="L501" s="81"/>
      <c r="M501" s="82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2"/>
    </row>
    <row r="502" spans="1:28" ht="24" customHeight="1" x14ac:dyDescent="0.5">
      <c r="A502" s="81"/>
      <c r="B502" s="81"/>
      <c r="C502" s="81"/>
      <c r="D502" s="81"/>
      <c r="E502" s="81"/>
      <c r="F502" s="81"/>
      <c r="G502" s="82"/>
      <c r="H502" s="81"/>
      <c r="I502" s="81"/>
      <c r="J502" s="81"/>
      <c r="K502" s="82"/>
      <c r="L502" s="81"/>
      <c r="M502" s="82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2"/>
    </row>
    <row r="503" spans="1:28" ht="24" customHeight="1" x14ac:dyDescent="0.5">
      <c r="A503" s="81"/>
      <c r="B503" s="81"/>
      <c r="C503" s="81"/>
      <c r="D503" s="81"/>
      <c r="E503" s="81"/>
      <c r="F503" s="81"/>
      <c r="G503" s="82"/>
      <c r="H503" s="81"/>
      <c r="I503" s="81"/>
      <c r="J503" s="81"/>
      <c r="K503" s="82"/>
      <c r="L503" s="81"/>
      <c r="M503" s="82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2"/>
    </row>
    <row r="504" spans="1:28" ht="24" customHeight="1" x14ac:dyDescent="0.5">
      <c r="A504" s="81"/>
      <c r="B504" s="81"/>
      <c r="C504" s="81"/>
      <c r="D504" s="81"/>
      <c r="E504" s="81"/>
      <c r="F504" s="81"/>
      <c r="G504" s="82"/>
      <c r="H504" s="81"/>
      <c r="I504" s="81"/>
      <c r="J504" s="81"/>
      <c r="K504" s="82"/>
      <c r="L504" s="81"/>
      <c r="M504" s="82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2"/>
    </row>
    <row r="505" spans="1:28" ht="24" customHeight="1" x14ac:dyDescent="0.5">
      <c r="A505" s="81"/>
      <c r="B505" s="81"/>
      <c r="C505" s="81"/>
      <c r="D505" s="81"/>
      <c r="E505" s="81"/>
      <c r="F505" s="81"/>
      <c r="G505" s="82"/>
      <c r="H505" s="81"/>
      <c r="I505" s="81"/>
      <c r="J505" s="81"/>
      <c r="K505" s="82"/>
      <c r="L505" s="81"/>
      <c r="M505" s="82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2"/>
    </row>
    <row r="506" spans="1:28" ht="24" customHeight="1" x14ac:dyDescent="0.5">
      <c r="A506" s="81"/>
      <c r="B506" s="81"/>
      <c r="C506" s="81"/>
      <c r="D506" s="81"/>
      <c r="E506" s="81"/>
      <c r="F506" s="81"/>
      <c r="G506" s="82"/>
      <c r="H506" s="81"/>
      <c r="I506" s="81"/>
      <c r="J506" s="81"/>
      <c r="K506" s="82"/>
      <c r="L506" s="81"/>
      <c r="M506" s="82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2"/>
    </row>
    <row r="507" spans="1:28" ht="24" customHeight="1" x14ac:dyDescent="0.5">
      <c r="A507" s="81"/>
      <c r="B507" s="81"/>
      <c r="C507" s="81"/>
      <c r="D507" s="81"/>
      <c r="E507" s="81"/>
      <c r="F507" s="81"/>
      <c r="G507" s="82"/>
      <c r="H507" s="81"/>
      <c r="I507" s="81"/>
      <c r="J507" s="81"/>
      <c r="K507" s="82"/>
      <c r="L507" s="81"/>
      <c r="M507" s="82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2"/>
    </row>
    <row r="508" spans="1:28" ht="24" customHeight="1" x14ac:dyDescent="0.5">
      <c r="A508" s="81"/>
      <c r="B508" s="81"/>
      <c r="C508" s="81"/>
      <c r="D508" s="81"/>
      <c r="E508" s="81"/>
      <c r="F508" s="81"/>
      <c r="G508" s="82"/>
      <c r="H508" s="81"/>
      <c r="I508" s="81"/>
      <c r="J508" s="81"/>
      <c r="K508" s="82"/>
      <c r="L508" s="81"/>
      <c r="M508" s="82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2"/>
    </row>
    <row r="509" spans="1:28" ht="24" customHeight="1" x14ac:dyDescent="0.5">
      <c r="A509" s="81"/>
      <c r="B509" s="81"/>
      <c r="C509" s="81"/>
      <c r="D509" s="81"/>
      <c r="E509" s="81"/>
      <c r="F509" s="81"/>
      <c r="G509" s="82"/>
      <c r="H509" s="81"/>
      <c r="I509" s="81"/>
      <c r="J509" s="81"/>
      <c r="K509" s="82"/>
      <c r="L509" s="81"/>
      <c r="M509" s="82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2"/>
    </row>
    <row r="510" spans="1:28" ht="24" customHeight="1" x14ac:dyDescent="0.5">
      <c r="A510" s="81"/>
      <c r="B510" s="81"/>
      <c r="C510" s="81"/>
      <c r="D510" s="81"/>
      <c r="E510" s="81"/>
      <c r="F510" s="81"/>
      <c r="G510" s="82"/>
      <c r="H510" s="81"/>
      <c r="I510" s="81"/>
      <c r="J510" s="81"/>
      <c r="K510" s="82"/>
      <c r="L510" s="81"/>
      <c r="M510" s="82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2"/>
    </row>
    <row r="511" spans="1:28" ht="24" customHeight="1" x14ac:dyDescent="0.5">
      <c r="A511" s="81"/>
      <c r="B511" s="81"/>
      <c r="C511" s="81"/>
      <c r="D511" s="81"/>
      <c r="E511" s="81"/>
      <c r="F511" s="81"/>
      <c r="G511" s="82"/>
      <c r="H511" s="81"/>
      <c r="I511" s="81"/>
      <c r="J511" s="81"/>
      <c r="K511" s="82"/>
      <c r="L511" s="81"/>
      <c r="M511" s="82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2"/>
    </row>
    <row r="512" spans="1:28" ht="24" customHeight="1" x14ac:dyDescent="0.5">
      <c r="A512" s="81"/>
      <c r="B512" s="81"/>
      <c r="C512" s="81"/>
      <c r="D512" s="81"/>
      <c r="E512" s="81"/>
      <c r="F512" s="81"/>
      <c r="G512" s="82"/>
      <c r="H512" s="81"/>
      <c r="I512" s="81"/>
      <c r="J512" s="81"/>
      <c r="K512" s="82"/>
      <c r="L512" s="81"/>
      <c r="M512" s="82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2"/>
    </row>
    <row r="513" spans="1:28" ht="24" customHeight="1" x14ac:dyDescent="0.5">
      <c r="A513" s="81"/>
      <c r="B513" s="81"/>
      <c r="C513" s="81"/>
      <c r="D513" s="81"/>
      <c r="E513" s="81"/>
      <c r="F513" s="81"/>
      <c r="G513" s="82"/>
      <c r="H513" s="81"/>
      <c r="I513" s="81"/>
      <c r="J513" s="81"/>
      <c r="K513" s="82"/>
      <c r="L513" s="81"/>
      <c r="M513" s="82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2"/>
    </row>
    <row r="514" spans="1:28" ht="24" customHeight="1" x14ac:dyDescent="0.5">
      <c r="A514" s="81"/>
      <c r="B514" s="81"/>
      <c r="C514" s="81"/>
      <c r="D514" s="81"/>
      <c r="E514" s="81"/>
      <c r="F514" s="81"/>
      <c r="G514" s="82"/>
      <c r="H514" s="81"/>
      <c r="I514" s="81"/>
      <c r="J514" s="81"/>
      <c r="K514" s="82"/>
      <c r="L514" s="81"/>
      <c r="M514" s="82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2"/>
    </row>
    <row r="515" spans="1:28" ht="24" customHeight="1" x14ac:dyDescent="0.5">
      <c r="A515" s="81"/>
      <c r="B515" s="81"/>
      <c r="C515" s="81"/>
      <c r="D515" s="81"/>
      <c r="E515" s="81"/>
      <c r="F515" s="81"/>
      <c r="G515" s="82"/>
      <c r="H515" s="81"/>
      <c r="I515" s="81"/>
      <c r="J515" s="81"/>
      <c r="K515" s="82"/>
      <c r="L515" s="81"/>
      <c r="M515" s="82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2"/>
    </row>
    <row r="516" spans="1:28" ht="24" customHeight="1" x14ac:dyDescent="0.5">
      <c r="A516" s="81"/>
      <c r="B516" s="81"/>
      <c r="C516" s="81"/>
      <c r="D516" s="81"/>
      <c r="E516" s="81"/>
      <c r="F516" s="81"/>
      <c r="G516" s="82"/>
      <c r="H516" s="81"/>
      <c r="I516" s="81"/>
      <c r="J516" s="81"/>
      <c r="K516" s="82"/>
      <c r="L516" s="81"/>
      <c r="M516" s="82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2"/>
    </row>
    <row r="517" spans="1:28" ht="24" customHeight="1" x14ac:dyDescent="0.5">
      <c r="A517" s="81"/>
      <c r="B517" s="81"/>
      <c r="C517" s="81"/>
      <c r="D517" s="81"/>
      <c r="E517" s="81"/>
      <c r="F517" s="81"/>
      <c r="G517" s="82"/>
      <c r="H517" s="81"/>
      <c r="I517" s="81"/>
      <c r="J517" s="81"/>
      <c r="K517" s="82"/>
      <c r="L517" s="81"/>
      <c r="M517" s="82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2"/>
    </row>
    <row r="518" spans="1:28" ht="24" customHeight="1" x14ac:dyDescent="0.5">
      <c r="A518" s="81"/>
      <c r="B518" s="81"/>
      <c r="C518" s="81"/>
      <c r="D518" s="81"/>
      <c r="E518" s="81"/>
      <c r="F518" s="81"/>
      <c r="G518" s="82"/>
      <c r="H518" s="81"/>
      <c r="I518" s="81"/>
      <c r="J518" s="81"/>
      <c r="K518" s="82"/>
      <c r="L518" s="81"/>
      <c r="M518" s="82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2"/>
    </row>
    <row r="519" spans="1:28" ht="24" customHeight="1" x14ac:dyDescent="0.5">
      <c r="A519" s="81"/>
      <c r="B519" s="81"/>
      <c r="C519" s="81"/>
      <c r="D519" s="81"/>
      <c r="E519" s="81"/>
      <c r="F519" s="81"/>
      <c r="G519" s="82"/>
      <c r="H519" s="81"/>
      <c r="I519" s="81"/>
      <c r="J519" s="81"/>
      <c r="K519" s="82"/>
      <c r="L519" s="81"/>
      <c r="M519" s="82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2"/>
    </row>
    <row r="520" spans="1:28" ht="24" customHeight="1" x14ac:dyDescent="0.5">
      <c r="A520" s="81"/>
      <c r="B520" s="81"/>
      <c r="C520" s="81"/>
      <c r="D520" s="81"/>
      <c r="E520" s="81"/>
      <c r="F520" s="81"/>
      <c r="G520" s="82"/>
      <c r="H520" s="81"/>
      <c r="I520" s="81"/>
      <c r="J520" s="81"/>
      <c r="K520" s="82"/>
      <c r="L520" s="81"/>
      <c r="M520" s="82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2"/>
    </row>
    <row r="521" spans="1:28" ht="24" customHeight="1" x14ac:dyDescent="0.5">
      <c r="A521" s="81"/>
      <c r="B521" s="81"/>
      <c r="C521" s="81"/>
      <c r="D521" s="81"/>
      <c r="E521" s="81"/>
      <c r="F521" s="81"/>
      <c r="G521" s="82"/>
      <c r="H521" s="81"/>
      <c r="I521" s="81"/>
      <c r="J521" s="81"/>
      <c r="K521" s="82"/>
      <c r="L521" s="81"/>
      <c r="M521" s="82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2"/>
    </row>
    <row r="522" spans="1:28" ht="24" customHeight="1" x14ac:dyDescent="0.5">
      <c r="A522" s="81"/>
      <c r="B522" s="81"/>
      <c r="C522" s="81"/>
      <c r="D522" s="81"/>
      <c r="E522" s="81"/>
      <c r="F522" s="81"/>
      <c r="G522" s="82"/>
      <c r="H522" s="81"/>
      <c r="I522" s="81"/>
      <c r="J522" s="81"/>
      <c r="K522" s="82"/>
      <c r="L522" s="81"/>
      <c r="M522" s="82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2"/>
    </row>
    <row r="523" spans="1:28" ht="24" customHeight="1" x14ac:dyDescent="0.5">
      <c r="A523" s="81"/>
      <c r="B523" s="81"/>
      <c r="C523" s="81"/>
      <c r="D523" s="81"/>
      <c r="E523" s="81"/>
      <c r="F523" s="81"/>
      <c r="G523" s="82"/>
      <c r="H523" s="81"/>
      <c r="I523" s="81"/>
      <c r="J523" s="81"/>
      <c r="K523" s="82"/>
      <c r="L523" s="81"/>
      <c r="M523" s="82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2"/>
    </row>
    <row r="524" spans="1:28" ht="24" customHeight="1" x14ac:dyDescent="0.5">
      <c r="A524" s="81"/>
      <c r="B524" s="81"/>
      <c r="C524" s="81"/>
      <c r="D524" s="81"/>
      <c r="E524" s="81"/>
      <c r="F524" s="81"/>
      <c r="G524" s="82"/>
      <c r="H524" s="81"/>
      <c r="I524" s="81"/>
      <c r="J524" s="81"/>
      <c r="K524" s="82"/>
      <c r="L524" s="81"/>
      <c r="M524" s="82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2"/>
    </row>
    <row r="525" spans="1:28" ht="24" customHeight="1" x14ac:dyDescent="0.5">
      <c r="A525" s="81"/>
      <c r="B525" s="81"/>
      <c r="C525" s="81"/>
      <c r="D525" s="81"/>
      <c r="E525" s="81"/>
      <c r="F525" s="81"/>
      <c r="G525" s="82"/>
      <c r="H525" s="81"/>
      <c r="I525" s="81"/>
      <c r="J525" s="81"/>
      <c r="K525" s="82"/>
      <c r="L525" s="81"/>
      <c r="M525" s="82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2"/>
    </row>
    <row r="526" spans="1:28" ht="24" customHeight="1" x14ac:dyDescent="0.5">
      <c r="A526" s="81"/>
      <c r="B526" s="81"/>
      <c r="C526" s="81"/>
      <c r="D526" s="81"/>
      <c r="E526" s="81"/>
      <c r="F526" s="81"/>
      <c r="G526" s="82"/>
      <c r="H526" s="81"/>
      <c r="I526" s="81"/>
      <c r="J526" s="81"/>
      <c r="K526" s="82"/>
      <c r="L526" s="81"/>
      <c r="M526" s="82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2"/>
    </row>
    <row r="527" spans="1:28" ht="24" customHeight="1" x14ac:dyDescent="0.5">
      <c r="A527" s="81"/>
      <c r="B527" s="81"/>
      <c r="C527" s="81"/>
      <c r="D527" s="81"/>
      <c r="E527" s="81"/>
      <c r="F527" s="81"/>
      <c r="G527" s="82"/>
      <c r="H527" s="81"/>
      <c r="I527" s="81"/>
      <c r="J527" s="81"/>
      <c r="K527" s="82"/>
      <c r="L527" s="81"/>
      <c r="M527" s="82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2"/>
    </row>
    <row r="528" spans="1:28" ht="24" customHeight="1" x14ac:dyDescent="0.5">
      <c r="A528" s="81"/>
      <c r="B528" s="81"/>
      <c r="C528" s="81"/>
      <c r="D528" s="81"/>
      <c r="E528" s="81"/>
      <c r="F528" s="81"/>
      <c r="G528" s="82"/>
      <c r="H528" s="81"/>
      <c r="I528" s="81"/>
      <c r="J528" s="81"/>
      <c r="K528" s="82"/>
      <c r="L528" s="81"/>
      <c r="M528" s="82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2"/>
    </row>
    <row r="529" spans="1:28" ht="24" customHeight="1" x14ac:dyDescent="0.5">
      <c r="A529" s="81"/>
      <c r="B529" s="81"/>
      <c r="C529" s="81"/>
      <c r="D529" s="81"/>
      <c r="E529" s="81"/>
      <c r="F529" s="81"/>
      <c r="G529" s="82"/>
      <c r="H529" s="81"/>
      <c r="I529" s="81"/>
      <c r="J529" s="81"/>
      <c r="K529" s="82"/>
      <c r="L529" s="81"/>
      <c r="M529" s="82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2"/>
    </row>
    <row r="530" spans="1:28" ht="24" customHeight="1" x14ac:dyDescent="0.5">
      <c r="A530" s="81"/>
      <c r="B530" s="81"/>
      <c r="C530" s="81"/>
      <c r="D530" s="81"/>
      <c r="E530" s="81"/>
      <c r="F530" s="81"/>
      <c r="G530" s="82"/>
      <c r="H530" s="81"/>
      <c r="I530" s="81"/>
      <c r="J530" s="81"/>
      <c r="K530" s="82"/>
      <c r="L530" s="81"/>
      <c r="M530" s="82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2"/>
    </row>
    <row r="531" spans="1:28" ht="24" customHeight="1" x14ac:dyDescent="0.5">
      <c r="A531" s="81"/>
      <c r="B531" s="81"/>
      <c r="C531" s="81"/>
      <c r="D531" s="81"/>
      <c r="E531" s="81"/>
      <c r="F531" s="81"/>
      <c r="G531" s="82"/>
      <c r="H531" s="81"/>
      <c r="I531" s="81"/>
      <c r="J531" s="81"/>
      <c r="K531" s="82"/>
      <c r="L531" s="81"/>
      <c r="M531" s="82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2"/>
    </row>
    <row r="532" spans="1:28" ht="24" customHeight="1" x14ac:dyDescent="0.5">
      <c r="A532" s="81"/>
      <c r="B532" s="81"/>
      <c r="C532" s="81"/>
      <c r="D532" s="81"/>
      <c r="E532" s="81"/>
      <c r="F532" s="81"/>
      <c r="G532" s="82"/>
      <c r="H532" s="81"/>
      <c r="I532" s="81"/>
      <c r="J532" s="81"/>
      <c r="K532" s="82"/>
      <c r="L532" s="81"/>
      <c r="M532" s="82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2"/>
    </row>
    <row r="533" spans="1:28" ht="24" customHeight="1" x14ac:dyDescent="0.5">
      <c r="A533" s="81"/>
      <c r="B533" s="81"/>
      <c r="C533" s="81"/>
      <c r="D533" s="81"/>
      <c r="E533" s="81"/>
      <c r="F533" s="81"/>
      <c r="G533" s="82"/>
      <c r="H533" s="81"/>
      <c r="I533" s="81"/>
      <c r="J533" s="81"/>
      <c r="K533" s="82"/>
      <c r="L533" s="81"/>
      <c r="M533" s="82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2"/>
    </row>
    <row r="534" spans="1:28" ht="24" customHeight="1" x14ac:dyDescent="0.5">
      <c r="A534" s="81"/>
      <c r="B534" s="81"/>
      <c r="C534" s="81"/>
      <c r="D534" s="81"/>
      <c r="E534" s="81"/>
      <c r="F534" s="81"/>
      <c r="G534" s="82"/>
      <c r="H534" s="81"/>
      <c r="I534" s="81"/>
      <c r="J534" s="81"/>
      <c r="K534" s="82"/>
      <c r="L534" s="81"/>
      <c r="M534" s="82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2"/>
    </row>
    <row r="535" spans="1:28" ht="24" customHeight="1" x14ac:dyDescent="0.5">
      <c r="A535" s="81"/>
      <c r="B535" s="81"/>
      <c r="C535" s="81"/>
      <c r="D535" s="81"/>
      <c r="E535" s="81"/>
      <c r="F535" s="81"/>
      <c r="G535" s="82"/>
      <c r="H535" s="81"/>
      <c r="I535" s="81"/>
      <c r="J535" s="81"/>
      <c r="K535" s="82"/>
      <c r="L535" s="81"/>
      <c r="M535" s="82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2"/>
    </row>
    <row r="536" spans="1:28" ht="24" customHeight="1" x14ac:dyDescent="0.5">
      <c r="A536" s="81"/>
      <c r="B536" s="81"/>
      <c r="C536" s="81"/>
      <c r="D536" s="81"/>
      <c r="E536" s="81"/>
      <c r="F536" s="81"/>
      <c r="G536" s="82"/>
      <c r="H536" s="81"/>
      <c r="I536" s="81"/>
      <c r="J536" s="81"/>
      <c r="K536" s="82"/>
      <c r="L536" s="81"/>
      <c r="M536" s="82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2"/>
    </row>
    <row r="537" spans="1:28" ht="24" customHeight="1" x14ac:dyDescent="0.5">
      <c r="A537" s="81"/>
      <c r="B537" s="81"/>
      <c r="C537" s="81"/>
      <c r="D537" s="81"/>
      <c r="E537" s="81"/>
      <c r="F537" s="81"/>
      <c r="G537" s="82"/>
      <c r="H537" s="81"/>
      <c r="I537" s="81"/>
      <c r="J537" s="81"/>
      <c r="K537" s="82"/>
      <c r="L537" s="81"/>
      <c r="M537" s="82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2"/>
    </row>
    <row r="538" spans="1:28" ht="24" customHeight="1" x14ac:dyDescent="0.5">
      <c r="A538" s="81"/>
      <c r="B538" s="81"/>
      <c r="C538" s="81"/>
      <c r="D538" s="81"/>
      <c r="E538" s="81"/>
      <c r="F538" s="81"/>
      <c r="G538" s="82"/>
      <c r="H538" s="81"/>
      <c r="I538" s="81"/>
      <c r="J538" s="81"/>
      <c r="K538" s="82"/>
      <c r="L538" s="81"/>
      <c r="M538" s="82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2"/>
    </row>
    <row r="539" spans="1:28" ht="24" customHeight="1" x14ac:dyDescent="0.5">
      <c r="A539" s="81"/>
      <c r="B539" s="81"/>
      <c r="C539" s="81"/>
      <c r="D539" s="81"/>
      <c r="E539" s="81"/>
      <c r="F539" s="81"/>
      <c r="G539" s="82"/>
      <c r="H539" s="81"/>
      <c r="I539" s="81"/>
      <c r="J539" s="81"/>
      <c r="K539" s="82"/>
      <c r="L539" s="81"/>
      <c r="M539" s="82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2"/>
    </row>
    <row r="540" spans="1:28" ht="24" customHeight="1" x14ac:dyDescent="0.5">
      <c r="A540" s="81"/>
      <c r="B540" s="81"/>
      <c r="C540" s="81"/>
      <c r="D540" s="81"/>
      <c r="E540" s="81"/>
      <c r="F540" s="81"/>
      <c r="G540" s="82"/>
      <c r="H540" s="81"/>
      <c r="I540" s="81"/>
      <c r="J540" s="81"/>
      <c r="K540" s="82"/>
      <c r="L540" s="81"/>
      <c r="M540" s="82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2"/>
    </row>
    <row r="541" spans="1:28" ht="24" customHeight="1" x14ac:dyDescent="0.5">
      <c r="A541" s="81"/>
      <c r="B541" s="81"/>
      <c r="C541" s="81"/>
      <c r="D541" s="81"/>
      <c r="E541" s="81"/>
      <c r="F541" s="81"/>
      <c r="G541" s="82"/>
      <c r="H541" s="81"/>
      <c r="I541" s="81"/>
      <c r="J541" s="81"/>
      <c r="K541" s="82"/>
      <c r="L541" s="81"/>
      <c r="M541" s="82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2"/>
    </row>
    <row r="542" spans="1:28" ht="24" customHeight="1" x14ac:dyDescent="0.5">
      <c r="A542" s="81"/>
      <c r="B542" s="81"/>
      <c r="C542" s="81"/>
      <c r="D542" s="81"/>
      <c r="E542" s="81"/>
      <c r="F542" s="81"/>
      <c r="G542" s="82"/>
      <c r="H542" s="81"/>
      <c r="I542" s="81"/>
      <c r="J542" s="81"/>
      <c r="K542" s="82"/>
      <c r="L542" s="81"/>
      <c r="M542" s="82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2"/>
    </row>
    <row r="543" spans="1:28" ht="24" customHeight="1" x14ac:dyDescent="0.5">
      <c r="A543" s="81"/>
      <c r="B543" s="81"/>
      <c r="C543" s="81"/>
      <c r="D543" s="81"/>
      <c r="E543" s="81"/>
      <c r="F543" s="81"/>
      <c r="G543" s="82"/>
      <c r="H543" s="81"/>
      <c r="I543" s="81"/>
      <c r="J543" s="81"/>
      <c r="K543" s="82"/>
      <c r="L543" s="81"/>
      <c r="M543" s="82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2"/>
    </row>
    <row r="544" spans="1:28" ht="24" customHeight="1" x14ac:dyDescent="0.5">
      <c r="A544" s="81"/>
      <c r="B544" s="81"/>
      <c r="C544" s="81"/>
      <c r="D544" s="81"/>
      <c r="E544" s="81"/>
      <c r="F544" s="81"/>
      <c r="G544" s="82"/>
      <c r="H544" s="81"/>
      <c r="I544" s="81"/>
      <c r="J544" s="81"/>
      <c r="K544" s="82"/>
      <c r="L544" s="81"/>
      <c r="M544" s="82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2"/>
    </row>
    <row r="545" spans="1:28" ht="24" customHeight="1" x14ac:dyDescent="0.5">
      <c r="A545" s="81"/>
      <c r="B545" s="81"/>
      <c r="C545" s="81"/>
      <c r="D545" s="81"/>
      <c r="E545" s="81"/>
      <c r="F545" s="81"/>
      <c r="G545" s="82"/>
      <c r="H545" s="81"/>
      <c r="I545" s="81"/>
      <c r="J545" s="81"/>
      <c r="K545" s="82"/>
      <c r="L545" s="81"/>
      <c r="M545" s="82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2"/>
    </row>
    <row r="546" spans="1:28" ht="24" customHeight="1" x14ac:dyDescent="0.5">
      <c r="A546" s="81"/>
      <c r="B546" s="81"/>
      <c r="C546" s="81"/>
      <c r="D546" s="81"/>
      <c r="E546" s="81"/>
      <c r="F546" s="81"/>
      <c r="G546" s="82"/>
      <c r="H546" s="81"/>
      <c r="I546" s="81"/>
      <c r="J546" s="81"/>
      <c r="K546" s="82"/>
      <c r="L546" s="81"/>
      <c r="M546" s="82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2"/>
    </row>
    <row r="547" spans="1:28" ht="24" customHeight="1" x14ac:dyDescent="0.5">
      <c r="A547" s="81"/>
      <c r="B547" s="81"/>
      <c r="C547" s="81"/>
      <c r="D547" s="81"/>
      <c r="E547" s="81"/>
      <c r="F547" s="81"/>
      <c r="G547" s="82"/>
      <c r="H547" s="81"/>
      <c r="I547" s="81"/>
      <c r="J547" s="81"/>
      <c r="K547" s="82"/>
      <c r="L547" s="81"/>
      <c r="M547" s="82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2"/>
    </row>
    <row r="548" spans="1:28" ht="24" customHeight="1" x14ac:dyDescent="0.5">
      <c r="A548" s="81"/>
      <c r="B548" s="81"/>
      <c r="C548" s="81"/>
      <c r="D548" s="81"/>
      <c r="E548" s="81"/>
      <c r="F548" s="81"/>
      <c r="G548" s="82"/>
      <c r="H548" s="81"/>
      <c r="I548" s="81"/>
      <c r="J548" s="81"/>
      <c r="K548" s="82"/>
      <c r="L548" s="81"/>
      <c r="M548" s="82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2"/>
    </row>
    <row r="549" spans="1:28" ht="24" customHeight="1" x14ac:dyDescent="0.5">
      <c r="A549" s="81"/>
      <c r="B549" s="81"/>
      <c r="C549" s="81"/>
      <c r="D549" s="81"/>
      <c r="E549" s="81"/>
      <c r="F549" s="81"/>
      <c r="G549" s="82"/>
      <c r="H549" s="81"/>
      <c r="I549" s="81"/>
      <c r="J549" s="81"/>
      <c r="K549" s="82"/>
      <c r="L549" s="81"/>
      <c r="M549" s="82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2"/>
    </row>
    <row r="550" spans="1:28" ht="24" customHeight="1" x14ac:dyDescent="0.5">
      <c r="A550" s="81"/>
      <c r="B550" s="81"/>
      <c r="C550" s="81"/>
      <c r="D550" s="81"/>
      <c r="E550" s="81"/>
      <c r="F550" s="81"/>
      <c r="G550" s="82"/>
      <c r="H550" s="81"/>
      <c r="I550" s="81"/>
      <c r="J550" s="81"/>
      <c r="K550" s="82"/>
      <c r="L550" s="81"/>
      <c r="M550" s="82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2"/>
    </row>
    <row r="551" spans="1:28" ht="24" customHeight="1" x14ac:dyDescent="0.5">
      <c r="A551" s="81"/>
      <c r="B551" s="81"/>
      <c r="C551" s="81"/>
      <c r="D551" s="81"/>
      <c r="E551" s="81"/>
      <c r="F551" s="81"/>
      <c r="G551" s="82"/>
      <c r="H551" s="81"/>
      <c r="I551" s="81"/>
      <c r="J551" s="81"/>
      <c r="K551" s="82"/>
      <c r="L551" s="81"/>
      <c r="M551" s="82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2"/>
    </row>
    <row r="552" spans="1:28" ht="24" customHeight="1" x14ac:dyDescent="0.5">
      <c r="A552" s="81"/>
      <c r="B552" s="81"/>
      <c r="C552" s="81"/>
      <c r="D552" s="81"/>
      <c r="E552" s="81"/>
      <c r="F552" s="81"/>
      <c r="G552" s="82"/>
      <c r="H552" s="81"/>
      <c r="I552" s="81"/>
      <c r="J552" s="81"/>
      <c r="K552" s="82"/>
      <c r="L552" s="81"/>
      <c r="M552" s="82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2"/>
    </row>
    <row r="553" spans="1:28" ht="24" customHeight="1" x14ac:dyDescent="0.5">
      <c r="A553" s="81"/>
      <c r="B553" s="81"/>
      <c r="C553" s="81"/>
      <c r="D553" s="81"/>
      <c r="E553" s="81"/>
      <c r="F553" s="81"/>
      <c r="G553" s="82"/>
      <c r="H553" s="81"/>
      <c r="I553" s="81"/>
      <c r="J553" s="81"/>
      <c r="K553" s="82"/>
      <c r="L553" s="81"/>
      <c r="M553" s="82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2"/>
    </row>
    <row r="554" spans="1:28" ht="24" customHeight="1" x14ac:dyDescent="0.5">
      <c r="A554" s="81"/>
      <c r="B554" s="81"/>
      <c r="C554" s="81"/>
      <c r="D554" s="81"/>
      <c r="E554" s="81"/>
      <c r="F554" s="81"/>
      <c r="G554" s="82"/>
      <c r="H554" s="81"/>
      <c r="I554" s="81"/>
      <c r="J554" s="81"/>
      <c r="K554" s="82"/>
      <c r="L554" s="81"/>
      <c r="M554" s="82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2"/>
    </row>
    <row r="555" spans="1:28" ht="24" customHeight="1" x14ac:dyDescent="0.5">
      <c r="A555" s="81"/>
      <c r="B555" s="81"/>
      <c r="C555" s="81"/>
      <c r="D555" s="81"/>
      <c r="E555" s="81"/>
      <c r="F555" s="81"/>
      <c r="G555" s="82"/>
      <c r="H555" s="81"/>
      <c r="I555" s="81"/>
      <c r="J555" s="81"/>
      <c r="K555" s="82"/>
      <c r="L555" s="81"/>
      <c r="M555" s="82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2"/>
    </row>
    <row r="556" spans="1:28" ht="24" customHeight="1" x14ac:dyDescent="0.5">
      <c r="A556" s="81"/>
      <c r="B556" s="81"/>
      <c r="C556" s="81"/>
      <c r="D556" s="81"/>
      <c r="E556" s="81"/>
      <c r="F556" s="81"/>
      <c r="G556" s="82"/>
      <c r="H556" s="81"/>
      <c r="I556" s="81"/>
      <c r="J556" s="81"/>
      <c r="K556" s="82"/>
      <c r="L556" s="81"/>
      <c r="M556" s="82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2"/>
    </row>
    <row r="557" spans="1:28" ht="24" customHeight="1" x14ac:dyDescent="0.5">
      <c r="A557" s="81"/>
      <c r="B557" s="81"/>
      <c r="C557" s="81"/>
      <c r="D557" s="81"/>
      <c r="E557" s="81"/>
      <c r="F557" s="81"/>
      <c r="G557" s="82"/>
      <c r="H557" s="81"/>
      <c r="I557" s="81"/>
      <c r="J557" s="81"/>
      <c r="K557" s="82"/>
      <c r="L557" s="81"/>
      <c r="M557" s="82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2"/>
    </row>
    <row r="558" spans="1:28" ht="24" customHeight="1" x14ac:dyDescent="0.5">
      <c r="A558" s="81"/>
      <c r="B558" s="81"/>
      <c r="C558" s="81"/>
      <c r="D558" s="81"/>
      <c r="E558" s="81"/>
      <c r="F558" s="81"/>
      <c r="G558" s="82"/>
      <c r="H558" s="81"/>
      <c r="I558" s="81"/>
      <c r="J558" s="81"/>
      <c r="K558" s="82"/>
      <c r="L558" s="81"/>
      <c r="M558" s="82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2"/>
    </row>
    <row r="559" spans="1:28" ht="24" customHeight="1" x14ac:dyDescent="0.5">
      <c r="A559" s="81"/>
      <c r="B559" s="81"/>
      <c r="C559" s="81"/>
      <c r="D559" s="81"/>
      <c r="E559" s="81"/>
      <c r="F559" s="81"/>
      <c r="G559" s="82"/>
      <c r="H559" s="81"/>
      <c r="I559" s="81"/>
      <c r="J559" s="81"/>
      <c r="K559" s="82"/>
      <c r="L559" s="81"/>
      <c r="M559" s="82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2"/>
    </row>
    <row r="560" spans="1:28" ht="24" customHeight="1" x14ac:dyDescent="0.5">
      <c r="A560" s="81"/>
      <c r="B560" s="81"/>
      <c r="C560" s="81"/>
      <c r="D560" s="81"/>
      <c r="E560" s="81"/>
      <c r="F560" s="81"/>
      <c r="G560" s="82"/>
      <c r="H560" s="81"/>
      <c r="I560" s="81"/>
      <c r="J560" s="81"/>
      <c r="K560" s="82"/>
      <c r="L560" s="81"/>
      <c r="M560" s="82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2"/>
    </row>
    <row r="561" spans="1:28" ht="24" customHeight="1" x14ac:dyDescent="0.5">
      <c r="A561" s="81"/>
      <c r="B561" s="81"/>
      <c r="C561" s="81"/>
      <c r="D561" s="81"/>
      <c r="E561" s="81"/>
      <c r="F561" s="81"/>
      <c r="G561" s="82"/>
      <c r="H561" s="81"/>
      <c r="I561" s="81"/>
      <c r="J561" s="81"/>
      <c r="K561" s="82"/>
      <c r="L561" s="81"/>
      <c r="M561" s="82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2"/>
    </row>
    <row r="562" spans="1:28" ht="24" customHeight="1" x14ac:dyDescent="0.5">
      <c r="A562" s="81"/>
      <c r="B562" s="81"/>
      <c r="C562" s="81"/>
      <c r="D562" s="81"/>
      <c r="E562" s="81"/>
      <c r="F562" s="81"/>
      <c r="G562" s="82"/>
      <c r="H562" s="81"/>
      <c r="I562" s="81"/>
      <c r="J562" s="81"/>
      <c r="K562" s="82"/>
      <c r="L562" s="81"/>
      <c r="M562" s="82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2"/>
    </row>
    <row r="563" spans="1:28" ht="24" customHeight="1" x14ac:dyDescent="0.5">
      <c r="A563" s="81"/>
      <c r="B563" s="81"/>
      <c r="C563" s="81"/>
      <c r="D563" s="81"/>
      <c r="E563" s="81"/>
      <c r="F563" s="81"/>
      <c r="G563" s="82"/>
      <c r="H563" s="81"/>
      <c r="I563" s="81"/>
      <c r="J563" s="81"/>
      <c r="K563" s="82"/>
      <c r="L563" s="81"/>
      <c r="M563" s="82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2"/>
    </row>
    <row r="564" spans="1:28" ht="24" customHeight="1" x14ac:dyDescent="0.5">
      <c r="A564" s="81"/>
      <c r="B564" s="81"/>
      <c r="C564" s="81"/>
      <c r="D564" s="81"/>
      <c r="E564" s="81"/>
      <c r="F564" s="81"/>
      <c r="G564" s="82"/>
      <c r="H564" s="81"/>
      <c r="I564" s="81"/>
      <c r="J564" s="81"/>
      <c r="K564" s="82"/>
      <c r="L564" s="81"/>
      <c r="M564" s="82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2"/>
    </row>
    <row r="565" spans="1:28" ht="24" customHeight="1" x14ac:dyDescent="0.5">
      <c r="A565" s="81"/>
      <c r="B565" s="81"/>
      <c r="C565" s="81"/>
      <c r="D565" s="81"/>
      <c r="E565" s="81"/>
      <c r="F565" s="81"/>
      <c r="G565" s="82"/>
      <c r="H565" s="81"/>
      <c r="I565" s="81"/>
      <c r="J565" s="81"/>
      <c r="K565" s="82"/>
      <c r="L565" s="81"/>
      <c r="M565" s="82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2"/>
    </row>
    <row r="566" spans="1:28" ht="24" customHeight="1" x14ac:dyDescent="0.5">
      <c r="A566" s="81"/>
      <c r="B566" s="81"/>
      <c r="C566" s="81"/>
      <c r="D566" s="81"/>
      <c r="E566" s="81"/>
      <c r="F566" s="81"/>
      <c r="G566" s="82"/>
      <c r="H566" s="81"/>
      <c r="I566" s="81"/>
      <c r="J566" s="81"/>
      <c r="K566" s="82"/>
      <c r="L566" s="81"/>
      <c r="M566" s="82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2"/>
    </row>
    <row r="567" spans="1:28" ht="24" customHeight="1" x14ac:dyDescent="0.5">
      <c r="A567" s="81"/>
      <c r="B567" s="81"/>
      <c r="C567" s="81"/>
      <c r="D567" s="81"/>
      <c r="E567" s="81"/>
      <c r="F567" s="81"/>
      <c r="G567" s="82"/>
      <c r="H567" s="81"/>
      <c r="I567" s="81"/>
      <c r="J567" s="81"/>
      <c r="K567" s="82"/>
      <c r="L567" s="81"/>
      <c r="M567" s="82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2"/>
    </row>
    <row r="568" spans="1:28" ht="24" customHeight="1" x14ac:dyDescent="0.5">
      <c r="A568" s="81"/>
      <c r="B568" s="81"/>
      <c r="C568" s="81"/>
      <c r="D568" s="81"/>
      <c r="E568" s="81"/>
      <c r="F568" s="81"/>
      <c r="G568" s="82"/>
      <c r="H568" s="81"/>
      <c r="I568" s="81"/>
      <c r="J568" s="81"/>
      <c r="K568" s="82"/>
      <c r="L568" s="81"/>
      <c r="M568" s="82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2"/>
    </row>
    <row r="569" spans="1:28" ht="24" customHeight="1" x14ac:dyDescent="0.5">
      <c r="A569" s="81"/>
      <c r="B569" s="81"/>
      <c r="C569" s="81"/>
      <c r="D569" s="81"/>
      <c r="E569" s="81"/>
      <c r="F569" s="81"/>
      <c r="G569" s="82"/>
      <c r="H569" s="81"/>
      <c r="I569" s="81"/>
      <c r="J569" s="81"/>
      <c r="K569" s="82"/>
      <c r="L569" s="81"/>
      <c r="M569" s="82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2"/>
    </row>
    <row r="570" spans="1:28" ht="24" customHeight="1" x14ac:dyDescent="0.5">
      <c r="A570" s="81"/>
      <c r="B570" s="81"/>
      <c r="C570" s="81"/>
      <c r="D570" s="81"/>
      <c r="E570" s="81"/>
      <c r="F570" s="81"/>
      <c r="G570" s="82"/>
      <c r="H570" s="81"/>
      <c r="I570" s="81"/>
      <c r="J570" s="81"/>
      <c r="K570" s="82"/>
      <c r="L570" s="81"/>
      <c r="M570" s="82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2"/>
    </row>
    <row r="571" spans="1:28" ht="24" customHeight="1" x14ac:dyDescent="0.5">
      <c r="A571" s="81"/>
      <c r="B571" s="81"/>
      <c r="C571" s="81"/>
      <c r="D571" s="81"/>
      <c r="E571" s="81"/>
      <c r="F571" s="81"/>
      <c r="G571" s="82"/>
      <c r="H571" s="81"/>
      <c r="I571" s="81"/>
      <c r="J571" s="81"/>
      <c r="K571" s="82"/>
      <c r="L571" s="81"/>
      <c r="M571" s="82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2"/>
    </row>
    <row r="572" spans="1:28" ht="24" customHeight="1" x14ac:dyDescent="0.5">
      <c r="A572" s="81"/>
      <c r="B572" s="81"/>
      <c r="C572" s="81"/>
      <c r="D572" s="81"/>
      <c r="E572" s="81"/>
      <c r="F572" s="81"/>
      <c r="G572" s="82"/>
      <c r="H572" s="81"/>
      <c r="I572" s="81"/>
      <c r="J572" s="81"/>
      <c r="K572" s="82"/>
      <c r="L572" s="81"/>
      <c r="M572" s="82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2"/>
    </row>
    <row r="573" spans="1:28" ht="24" customHeight="1" x14ac:dyDescent="0.5">
      <c r="A573" s="81"/>
      <c r="B573" s="81"/>
      <c r="C573" s="81"/>
      <c r="D573" s="81"/>
      <c r="E573" s="81"/>
      <c r="F573" s="81"/>
      <c r="G573" s="82"/>
      <c r="H573" s="81"/>
      <c r="I573" s="81"/>
      <c r="J573" s="81"/>
      <c r="K573" s="82"/>
      <c r="L573" s="81"/>
      <c r="M573" s="82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2"/>
    </row>
    <row r="574" spans="1:28" ht="24" customHeight="1" x14ac:dyDescent="0.5">
      <c r="A574" s="81"/>
      <c r="B574" s="81"/>
      <c r="C574" s="81"/>
      <c r="D574" s="81"/>
      <c r="E574" s="81"/>
      <c r="F574" s="81"/>
      <c r="G574" s="82"/>
      <c r="H574" s="81"/>
      <c r="I574" s="81"/>
      <c r="J574" s="81"/>
      <c r="K574" s="82"/>
      <c r="L574" s="81"/>
      <c r="M574" s="82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2"/>
    </row>
    <row r="575" spans="1:28" ht="24" customHeight="1" x14ac:dyDescent="0.5">
      <c r="A575" s="81"/>
      <c r="B575" s="81"/>
      <c r="C575" s="81"/>
      <c r="D575" s="81"/>
      <c r="E575" s="81"/>
      <c r="F575" s="81"/>
      <c r="G575" s="82"/>
      <c r="H575" s="81"/>
      <c r="I575" s="81"/>
      <c r="J575" s="81"/>
      <c r="K575" s="82"/>
      <c r="L575" s="81"/>
      <c r="M575" s="82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2"/>
    </row>
    <row r="576" spans="1:28" ht="24" customHeight="1" x14ac:dyDescent="0.5">
      <c r="A576" s="81"/>
      <c r="B576" s="81"/>
      <c r="C576" s="81"/>
      <c r="D576" s="81"/>
      <c r="E576" s="81"/>
      <c r="F576" s="81"/>
      <c r="G576" s="82"/>
      <c r="H576" s="81"/>
      <c r="I576" s="81"/>
      <c r="J576" s="81"/>
      <c r="K576" s="82"/>
      <c r="L576" s="81"/>
      <c r="M576" s="82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2"/>
    </row>
    <row r="577" spans="1:28" ht="24" customHeight="1" x14ac:dyDescent="0.5">
      <c r="A577" s="81"/>
      <c r="B577" s="81"/>
      <c r="C577" s="81"/>
      <c r="D577" s="81"/>
      <c r="E577" s="81"/>
      <c r="F577" s="81"/>
      <c r="G577" s="82"/>
      <c r="H577" s="81"/>
      <c r="I577" s="81"/>
      <c r="J577" s="81"/>
      <c r="K577" s="82"/>
      <c r="L577" s="81"/>
      <c r="M577" s="82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2"/>
    </row>
    <row r="578" spans="1:28" ht="24" customHeight="1" x14ac:dyDescent="0.5">
      <c r="A578" s="81"/>
      <c r="B578" s="81"/>
      <c r="C578" s="81"/>
      <c r="D578" s="81"/>
      <c r="E578" s="81"/>
      <c r="F578" s="81"/>
      <c r="G578" s="82"/>
      <c r="H578" s="81"/>
      <c r="I578" s="81"/>
      <c r="J578" s="81"/>
      <c r="K578" s="82"/>
      <c r="L578" s="81"/>
      <c r="M578" s="82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2"/>
    </row>
    <row r="579" spans="1:28" ht="24" customHeight="1" x14ac:dyDescent="0.5">
      <c r="A579" s="81"/>
      <c r="B579" s="81"/>
      <c r="C579" s="81"/>
      <c r="D579" s="81"/>
      <c r="E579" s="81"/>
      <c r="F579" s="81"/>
      <c r="G579" s="82"/>
      <c r="H579" s="81"/>
      <c r="I579" s="81"/>
      <c r="J579" s="81"/>
      <c r="K579" s="82"/>
      <c r="L579" s="81"/>
      <c r="M579" s="82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2"/>
    </row>
    <row r="580" spans="1:28" ht="24" customHeight="1" x14ac:dyDescent="0.5">
      <c r="A580" s="81"/>
      <c r="B580" s="81"/>
      <c r="C580" s="81"/>
      <c r="D580" s="81"/>
      <c r="E580" s="81"/>
      <c r="F580" s="81"/>
      <c r="G580" s="82"/>
      <c r="H580" s="81"/>
      <c r="I580" s="81"/>
      <c r="J580" s="81"/>
      <c r="K580" s="82"/>
      <c r="L580" s="81"/>
      <c r="M580" s="82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2"/>
    </row>
    <row r="581" spans="1:28" ht="24" customHeight="1" x14ac:dyDescent="0.5">
      <c r="A581" s="81"/>
      <c r="B581" s="81"/>
      <c r="C581" s="81"/>
      <c r="D581" s="81"/>
      <c r="E581" s="81"/>
      <c r="F581" s="81"/>
      <c r="G581" s="82"/>
      <c r="H581" s="81"/>
      <c r="I581" s="81"/>
      <c r="J581" s="81"/>
      <c r="K581" s="82"/>
      <c r="L581" s="81"/>
      <c r="M581" s="82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2"/>
    </row>
    <row r="582" spans="1:28" ht="24" customHeight="1" x14ac:dyDescent="0.5">
      <c r="A582" s="81"/>
      <c r="B582" s="81"/>
      <c r="C582" s="81"/>
      <c r="D582" s="81"/>
      <c r="E582" s="81"/>
      <c r="F582" s="81"/>
      <c r="G582" s="82"/>
      <c r="H582" s="81"/>
      <c r="I582" s="81"/>
      <c r="J582" s="81"/>
      <c r="K582" s="82"/>
      <c r="L582" s="81"/>
      <c r="M582" s="82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2"/>
    </row>
    <row r="583" spans="1:28" ht="24" customHeight="1" x14ac:dyDescent="0.5">
      <c r="A583" s="81"/>
      <c r="B583" s="81"/>
      <c r="C583" s="81"/>
      <c r="D583" s="81"/>
      <c r="E583" s="81"/>
      <c r="F583" s="81"/>
      <c r="G583" s="82"/>
      <c r="H583" s="81"/>
      <c r="I583" s="81"/>
      <c r="J583" s="81"/>
      <c r="K583" s="82"/>
      <c r="L583" s="81"/>
      <c r="M583" s="82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2"/>
    </row>
    <row r="584" spans="1:28" ht="24" customHeight="1" x14ac:dyDescent="0.5">
      <c r="A584" s="81"/>
      <c r="B584" s="81"/>
      <c r="C584" s="81"/>
      <c r="D584" s="81"/>
      <c r="E584" s="81"/>
      <c r="F584" s="81"/>
      <c r="G584" s="82"/>
      <c r="H584" s="81"/>
      <c r="I584" s="81"/>
      <c r="J584" s="81"/>
      <c r="K584" s="82"/>
      <c r="L584" s="81"/>
      <c r="M584" s="82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2"/>
    </row>
    <row r="585" spans="1:28" ht="24" customHeight="1" x14ac:dyDescent="0.5">
      <c r="A585" s="81"/>
      <c r="B585" s="81"/>
      <c r="C585" s="81"/>
      <c r="D585" s="81"/>
      <c r="E585" s="81"/>
      <c r="F585" s="81"/>
      <c r="G585" s="82"/>
      <c r="H585" s="81"/>
      <c r="I585" s="81"/>
      <c r="J585" s="81"/>
      <c r="K585" s="82"/>
      <c r="L585" s="81"/>
      <c r="M585" s="82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2"/>
    </row>
    <row r="586" spans="1:28" ht="24" customHeight="1" x14ac:dyDescent="0.5">
      <c r="A586" s="81"/>
      <c r="B586" s="81"/>
      <c r="C586" s="81"/>
      <c r="D586" s="81"/>
      <c r="E586" s="81"/>
      <c r="F586" s="81"/>
      <c r="G586" s="82"/>
      <c r="H586" s="81"/>
      <c r="I586" s="81"/>
      <c r="J586" s="81"/>
      <c r="K586" s="82"/>
      <c r="L586" s="81"/>
      <c r="M586" s="82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2"/>
    </row>
    <row r="587" spans="1:28" ht="24" customHeight="1" x14ac:dyDescent="0.5">
      <c r="A587" s="81"/>
      <c r="B587" s="81"/>
      <c r="C587" s="81"/>
      <c r="D587" s="81"/>
      <c r="E587" s="81"/>
      <c r="F587" s="81"/>
      <c r="G587" s="82"/>
      <c r="H587" s="81"/>
      <c r="I587" s="81"/>
      <c r="J587" s="81"/>
      <c r="K587" s="82"/>
      <c r="L587" s="81"/>
      <c r="M587" s="82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2"/>
    </row>
    <row r="588" spans="1:28" ht="24" customHeight="1" x14ac:dyDescent="0.5">
      <c r="A588" s="81"/>
      <c r="B588" s="81"/>
      <c r="C588" s="81"/>
      <c r="D588" s="81"/>
      <c r="E588" s="81"/>
      <c r="F588" s="81"/>
      <c r="G588" s="82"/>
      <c r="H588" s="81"/>
      <c r="I588" s="81"/>
      <c r="J588" s="81"/>
      <c r="K588" s="82"/>
      <c r="L588" s="81"/>
      <c r="M588" s="82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2"/>
    </row>
    <row r="589" spans="1:28" ht="24" customHeight="1" x14ac:dyDescent="0.5">
      <c r="A589" s="81"/>
      <c r="B589" s="81"/>
      <c r="C589" s="81"/>
      <c r="D589" s="81"/>
      <c r="E589" s="81"/>
      <c r="F589" s="81"/>
      <c r="G589" s="82"/>
      <c r="H589" s="81"/>
      <c r="I589" s="81"/>
      <c r="J589" s="81"/>
      <c r="K589" s="82"/>
      <c r="L589" s="81"/>
      <c r="M589" s="82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2"/>
    </row>
    <row r="590" spans="1:28" ht="24" customHeight="1" x14ac:dyDescent="0.5">
      <c r="A590" s="81"/>
      <c r="B590" s="81"/>
      <c r="C590" s="81"/>
      <c r="D590" s="81"/>
      <c r="E590" s="81"/>
      <c r="F590" s="81"/>
      <c r="G590" s="82"/>
      <c r="H590" s="81"/>
      <c r="I590" s="81"/>
      <c r="J590" s="81"/>
      <c r="K590" s="82"/>
      <c r="L590" s="81"/>
      <c r="M590" s="82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2"/>
    </row>
    <row r="591" spans="1:28" ht="24" customHeight="1" x14ac:dyDescent="0.5">
      <c r="A591" s="81"/>
      <c r="B591" s="81"/>
      <c r="C591" s="81"/>
      <c r="D591" s="81"/>
      <c r="E591" s="81"/>
      <c r="F591" s="81"/>
      <c r="G591" s="82"/>
      <c r="H591" s="81"/>
      <c r="I591" s="81"/>
      <c r="J591" s="81"/>
      <c r="K591" s="82"/>
      <c r="L591" s="81"/>
      <c r="M591" s="82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2"/>
    </row>
    <row r="592" spans="1:28" ht="24" customHeight="1" x14ac:dyDescent="0.5">
      <c r="A592" s="81"/>
      <c r="B592" s="81"/>
      <c r="C592" s="81"/>
      <c r="D592" s="81"/>
      <c r="E592" s="81"/>
      <c r="F592" s="81"/>
      <c r="G592" s="82"/>
      <c r="H592" s="81"/>
      <c r="I592" s="81"/>
      <c r="J592" s="81"/>
      <c r="K592" s="82"/>
      <c r="L592" s="81"/>
      <c r="M592" s="82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2"/>
    </row>
    <row r="593" spans="1:28" ht="24" customHeight="1" x14ac:dyDescent="0.5">
      <c r="A593" s="81"/>
      <c r="B593" s="81"/>
      <c r="C593" s="81"/>
      <c r="D593" s="81"/>
      <c r="E593" s="81"/>
      <c r="F593" s="81"/>
      <c r="G593" s="82"/>
      <c r="H593" s="81"/>
      <c r="I593" s="81"/>
      <c r="J593" s="81"/>
      <c r="K593" s="82"/>
      <c r="L593" s="81"/>
      <c r="M593" s="82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2"/>
    </row>
    <row r="594" spans="1:28" ht="24" customHeight="1" x14ac:dyDescent="0.5">
      <c r="A594" s="81"/>
      <c r="B594" s="81"/>
      <c r="C594" s="81"/>
      <c r="D594" s="81"/>
      <c r="E594" s="81"/>
      <c r="F594" s="81"/>
      <c r="G594" s="82"/>
      <c r="H594" s="81"/>
      <c r="I594" s="81"/>
      <c r="J594" s="81"/>
      <c r="K594" s="82"/>
      <c r="L594" s="81"/>
      <c r="M594" s="82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2"/>
    </row>
    <row r="595" spans="1:28" ht="24" customHeight="1" x14ac:dyDescent="0.5">
      <c r="A595" s="81"/>
      <c r="B595" s="81"/>
      <c r="C595" s="81"/>
      <c r="D595" s="81"/>
      <c r="E595" s="81"/>
      <c r="F595" s="81"/>
      <c r="G595" s="82"/>
      <c r="H595" s="81"/>
      <c r="I595" s="81"/>
      <c r="J595" s="81"/>
      <c r="K595" s="82"/>
      <c r="L595" s="81"/>
      <c r="M595" s="82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2"/>
    </row>
    <row r="596" spans="1:28" ht="24" customHeight="1" x14ac:dyDescent="0.5">
      <c r="A596" s="81"/>
      <c r="B596" s="81"/>
      <c r="C596" s="81"/>
      <c r="D596" s="81"/>
      <c r="E596" s="81"/>
      <c r="F596" s="81"/>
      <c r="G596" s="82"/>
      <c r="H596" s="81"/>
      <c r="I596" s="81"/>
      <c r="J596" s="81"/>
      <c r="K596" s="82"/>
      <c r="L596" s="81"/>
      <c r="M596" s="82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2"/>
    </row>
    <row r="597" spans="1:28" ht="24" customHeight="1" x14ac:dyDescent="0.5">
      <c r="A597" s="81"/>
      <c r="B597" s="81"/>
      <c r="C597" s="81"/>
      <c r="D597" s="81"/>
      <c r="E597" s="81"/>
      <c r="F597" s="81"/>
      <c r="G597" s="82"/>
      <c r="H597" s="81"/>
      <c r="I597" s="81"/>
      <c r="J597" s="81"/>
      <c r="K597" s="82"/>
      <c r="L597" s="81"/>
      <c r="M597" s="82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2"/>
    </row>
    <row r="598" spans="1:28" ht="24" customHeight="1" x14ac:dyDescent="0.5">
      <c r="A598" s="81"/>
      <c r="B598" s="81"/>
      <c r="C598" s="81"/>
      <c r="D598" s="81"/>
      <c r="E598" s="81"/>
      <c r="F598" s="81"/>
      <c r="G598" s="82"/>
      <c r="H598" s="81"/>
      <c r="I598" s="81"/>
      <c r="J598" s="81"/>
      <c r="K598" s="82"/>
      <c r="L598" s="81"/>
      <c r="M598" s="82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2"/>
    </row>
    <row r="599" spans="1:28" ht="24" customHeight="1" x14ac:dyDescent="0.5">
      <c r="A599" s="81"/>
      <c r="B599" s="81"/>
      <c r="C599" s="81"/>
      <c r="D599" s="81"/>
      <c r="E599" s="81"/>
      <c r="F599" s="81"/>
      <c r="G599" s="82"/>
      <c r="H599" s="81"/>
      <c r="I599" s="81"/>
      <c r="J599" s="81"/>
      <c r="K599" s="82"/>
      <c r="L599" s="81"/>
      <c r="M599" s="82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2"/>
    </row>
    <row r="600" spans="1:28" ht="24" customHeight="1" x14ac:dyDescent="0.5">
      <c r="A600" s="81"/>
      <c r="B600" s="81"/>
      <c r="C600" s="81"/>
      <c r="D600" s="81"/>
      <c r="E600" s="81"/>
      <c r="F600" s="81"/>
      <c r="G600" s="82"/>
      <c r="H600" s="81"/>
      <c r="I600" s="81"/>
      <c r="J600" s="81"/>
      <c r="K600" s="82"/>
      <c r="L600" s="81"/>
      <c r="M600" s="82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2"/>
    </row>
    <row r="601" spans="1:28" ht="24" customHeight="1" x14ac:dyDescent="0.5">
      <c r="A601" s="81"/>
      <c r="B601" s="81"/>
      <c r="C601" s="81"/>
      <c r="D601" s="81"/>
      <c r="E601" s="81"/>
      <c r="F601" s="81"/>
      <c r="G601" s="82"/>
      <c r="H601" s="81"/>
      <c r="I601" s="81"/>
      <c r="J601" s="81"/>
      <c r="K601" s="82"/>
      <c r="L601" s="81"/>
      <c r="M601" s="82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2"/>
    </row>
    <row r="602" spans="1:28" ht="24" customHeight="1" x14ac:dyDescent="0.5">
      <c r="A602" s="81"/>
      <c r="B602" s="81"/>
      <c r="C602" s="81"/>
      <c r="D602" s="81"/>
      <c r="E602" s="81"/>
      <c r="F602" s="81"/>
      <c r="G602" s="82"/>
      <c r="H602" s="81"/>
      <c r="I602" s="81"/>
      <c r="J602" s="81"/>
      <c r="K602" s="82"/>
      <c r="L602" s="81"/>
      <c r="M602" s="82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2"/>
    </row>
    <row r="603" spans="1:28" ht="24" customHeight="1" x14ac:dyDescent="0.5">
      <c r="A603" s="81"/>
      <c r="B603" s="81"/>
      <c r="C603" s="81"/>
      <c r="D603" s="81"/>
      <c r="E603" s="81"/>
      <c r="F603" s="81"/>
      <c r="G603" s="82"/>
      <c r="H603" s="81"/>
      <c r="I603" s="81"/>
      <c r="J603" s="81"/>
      <c r="K603" s="82"/>
      <c r="L603" s="81"/>
      <c r="M603" s="82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2"/>
    </row>
    <row r="604" spans="1:28" ht="24" customHeight="1" x14ac:dyDescent="0.5">
      <c r="A604" s="81"/>
      <c r="B604" s="81"/>
      <c r="C604" s="81"/>
      <c r="D604" s="81"/>
      <c r="E604" s="81"/>
      <c r="F604" s="81"/>
      <c r="G604" s="82"/>
      <c r="H604" s="81"/>
      <c r="I604" s="81"/>
      <c r="J604" s="81"/>
      <c r="K604" s="82"/>
      <c r="L604" s="81"/>
      <c r="M604" s="82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2"/>
    </row>
    <row r="605" spans="1:28" ht="24" customHeight="1" x14ac:dyDescent="0.5">
      <c r="A605" s="81"/>
      <c r="B605" s="81"/>
      <c r="C605" s="81"/>
      <c r="D605" s="81"/>
      <c r="E605" s="81"/>
      <c r="F605" s="81"/>
      <c r="G605" s="82"/>
      <c r="H605" s="81"/>
      <c r="I605" s="81"/>
      <c r="J605" s="81"/>
      <c r="K605" s="82"/>
      <c r="L605" s="81"/>
      <c r="M605" s="82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2"/>
    </row>
    <row r="606" spans="1:28" ht="24" customHeight="1" x14ac:dyDescent="0.5">
      <c r="A606" s="81"/>
      <c r="B606" s="81"/>
      <c r="C606" s="81"/>
      <c r="D606" s="81"/>
      <c r="E606" s="81"/>
      <c r="F606" s="81"/>
      <c r="G606" s="82"/>
      <c r="H606" s="81"/>
      <c r="I606" s="81"/>
      <c r="J606" s="81"/>
      <c r="K606" s="82"/>
      <c r="L606" s="81"/>
      <c r="M606" s="82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2"/>
    </row>
    <row r="607" spans="1:28" ht="24" customHeight="1" x14ac:dyDescent="0.5">
      <c r="A607" s="81"/>
      <c r="B607" s="81"/>
      <c r="C607" s="81"/>
      <c r="D607" s="81"/>
      <c r="E607" s="81"/>
      <c r="F607" s="81"/>
      <c r="G607" s="82"/>
      <c r="H607" s="81"/>
      <c r="I607" s="81"/>
      <c r="J607" s="81"/>
      <c r="K607" s="82"/>
      <c r="L607" s="81"/>
      <c r="M607" s="82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2"/>
    </row>
    <row r="608" spans="1:28" ht="24" customHeight="1" x14ac:dyDescent="0.5">
      <c r="A608" s="81"/>
      <c r="B608" s="81"/>
      <c r="C608" s="81"/>
      <c r="D608" s="81"/>
      <c r="E608" s="81"/>
      <c r="F608" s="81"/>
      <c r="G608" s="82"/>
      <c r="H608" s="81"/>
      <c r="I608" s="81"/>
      <c r="J608" s="81"/>
      <c r="K608" s="82"/>
      <c r="L608" s="81"/>
      <c r="M608" s="82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2"/>
    </row>
    <row r="609" spans="1:28" ht="24" customHeight="1" x14ac:dyDescent="0.5">
      <c r="A609" s="81"/>
      <c r="B609" s="81"/>
      <c r="C609" s="81"/>
      <c r="D609" s="81"/>
      <c r="E609" s="81"/>
      <c r="F609" s="81"/>
      <c r="G609" s="82"/>
      <c r="H609" s="81"/>
      <c r="I609" s="81"/>
      <c r="J609" s="81"/>
      <c r="K609" s="82"/>
      <c r="L609" s="81"/>
      <c r="M609" s="82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2"/>
    </row>
    <row r="610" spans="1:28" ht="24" customHeight="1" x14ac:dyDescent="0.5">
      <c r="A610" s="81"/>
      <c r="B610" s="81"/>
      <c r="C610" s="81"/>
      <c r="D610" s="81"/>
      <c r="E610" s="81"/>
      <c r="F610" s="81"/>
      <c r="G610" s="82"/>
      <c r="H610" s="81"/>
      <c r="I610" s="81"/>
      <c r="J610" s="81"/>
      <c r="K610" s="82"/>
      <c r="L610" s="81"/>
      <c r="M610" s="82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2"/>
    </row>
    <row r="611" spans="1:28" ht="24" customHeight="1" x14ac:dyDescent="0.5">
      <c r="A611" s="81"/>
      <c r="B611" s="81"/>
      <c r="C611" s="81"/>
      <c r="D611" s="81"/>
      <c r="E611" s="81"/>
      <c r="F611" s="81"/>
      <c r="G611" s="82"/>
      <c r="H611" s="81"/>
      <c r="I611" s="81"/>
      <c r="J611" s="81"/>
      <c r="K611" s="82"/>
      <c r="L611" s="81"/>
      <c r="M611" s="82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2"/>
    </row>
    <row r="612" spans="1:28" ht="24" customHeight="1" x14ac:dyDescent="0.5">
      <c r="A612" s="81"/>
      <c r="B612" s="81"/>
      <c r="C612" s="81"/>
      <c r="D612" s="81"/>
      <c r="E612" s="81"/>
      <c r="F612" s="81"/>
      <c r="G612" s="82"/>
      <c r="H612" s="81"/>
      <c r="I612" s="81"/>
      <c r="J612" s="81"/>
      <c r="K612" s="82"/>
      <c r="L612" s="81"/>
      <c r="M612" s="82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2"/>
    </row>
    <row r="613" spans="1:28" ht="24" customHeight="1" x14ac:dyDescent="0.5">
      <c r="A613" s="81"/>
      <c r="B613" s="81"/>
      <c r="C613" s="81"/>
      <c r="D613" s="81"/>
      <c r="E613" s="81"/>
      <c r="F613" s="81"/>
      <c r="G613" s="82"/>
      <c r="H613" s="81"/>
      <c r="I613" s="81"/>
      <c r="J613" s="81"/>
      <c r="K613" s="82"/>
      <c r="L613" s="81"/>
      <c r="M613" s="82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2"/>
    </row>
    <row r="614" spans="1:28" ht="24" customHeight="1" x14ac:dyDescent="0.5">
      <c r="A614" s="81"/>
      <c r="B614" s="81"/>
      <c r="C614" s="81"/>
      <c r="D614" s="81"/>
      <c r="E614" s="81"/>
      <c r="F614" s="81"/>
      <c r="G614" s="82"/>
      <c r="H614" s="81"/>
      <c r="I614" s="81"/>
      <c r="J614" s="81"/>
      <c r="K614" s="82"/>
      <c r="L614" s="81"/>
      <c r="M614" s="82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2"/>
    </row>
    <row r="615" spans="1:28" ht="24" customHeight="1" x14ac:dyDescent="0.5">
      <c r="A615" s="81"/>
      <c r="B615" s="81"/>
      <c r="C615" s="81"/>
      <c r="D615" s="81"/>
      <c r="E615" s="81"/>
      <c r="F615" s="81"/>
      <c r="G615" s="82"/>
      <c r="H615" s="81"/>
      <c r="I615" s="81"/>
      <c r="J615" s="81"/>
      <c r="K615" s="82"/>
      <c r="L615" s="81"/>
      <c r="M615" s="82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2"/>
    </row>
    <row r="616" spans="1:28" ht="24" customHeight="1" x14ac:dyDescent="0.5">
      <c r="A616" s="81"/>
      <c r="B616" s="81"/>
      <c r="C616" s="81"/>
      <c r="D616" s="81"/>
      <c r="E616" s="81"/>
      <c r="F616" s="81"/>
      <c r="G616" s="82"/>
      <c r="H616" s="81"/>
      <c r="I616" s="81"/>
      <c r="J616" s="81"/>
      <c r="K616" s="82"/>
      <c r="L616" s="81"/>
      <c r="M616" s="82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2"/>
    </row>
    <row r="617" spans="1:28" ht="24" customHeight="1" x14ac:dyDescent="0.5">
      <c r="A617" s="81"/>
      <c r="B617" s="81"/>
      <c r="C617" s="81"/>
      <c r="D617" s="81"/>
      <c r="E617" s="81"/>
      <c r="F617" s="81"/>
      <c r="G617" s="82"/>
      <c r="H617" s="81"/>
      <c r="I617" s="81"/>
      <c r="J617" s="81"/>
      <c r="K617" s="82"/>
      <c r="L617" s="81"/>
      <c r="M617" s="82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2"/>
    </row>
    <row r="618" spans="1:28" ht="24" customHeight="1" x14ac:dyDescent="0.5">
      <c r="A618" s="81"/>
      <c r="B618" s="81"/>
      <c r="C618" s="81"/>
      <c r="D618" s="81"/>
      <c r="E618" s="81"/>
      <c r="F618" s="81"/>
      <c r="G618" s="82"/>
      <c r="H618" s="81"/>
      <c r="I618" s="81"/>
      <c r="J618" s="81"/>
      <c r="K618" s="82"/>
      <c r="L618" s="81"/>
      <c r="M618" s="82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2"/>
    </row>
    <row r="619" spans="1:28" ht="24" customHeight="1" x14ac:dyDescent="0.5">
      <c r="A619" s="81"/>
      <c r="B619" s="81"/>
      <c r="C619" s="81"/>
      <c r="D619" s="81"/>
      <c r="E619" s="81"/>
      <c r="F619" s="81"/>
      <c r="G619" s="82"/>
      <c r="H619" s="81"/>
      <c r="I619" s="81"/>
      <c r="J619" s="81"/>
      <c r="K619" s="82"/>
      <c r="L619" s="81"/>
      <c r="M619" s="82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2"/>
    </row>
    <row r="620" spans="1:28" ht="24" customHeight="1" x14ac:dyDescent="0.5">
      <c r="A620" s="81"/>
      <c r="B620" s="81"/>
      <c r="C620" s="81"/>
      <c r="D620" s="81"/>
      <c r="E620" s="81"/>
      <c r="F620" s="81"/>
      <c r="G620" s="82"/>
      <c r="H620" s="81"/>
      <c r="I620" s="81"/>
      <c r="J620" s="81"/>
      <c r="K620" s="82"/>
      <c r="L620" s="81"/>
      <c r="M620" s="82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2"/>
    </row>
    <row r="621" spans="1:28" ht="24" customHeight="1" x14ac:dyDescent="0.5">
      <c r="A621" s="81"/>
      <c r="B621" s="81"/>
      <c r="C621" s="81"/>
      <c r="D621" s="81"/>
      <c r="E621" s="81"/>
      <c r="F621" s="81"/>
      <c r="G621" s="82"/>
      <c r="H621" s="81"/>
      <c r="I621" s="81"/>
      <c r="J621" s="81"/>
      <c r="K621" s="82"/>
      <c r="L621" s="81"/>
      <c r="M621" s="82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2"/>
    </row>
    <row r="622" spans="1:28" ht="24" customHeight="1" x14ac:dyDescent="0.5">
      <c r="A622" s="81"/>
      <c r="B622" s="81"/>
      <c r="C622" s="81"/>
      <c r="D622" s="81"/>
      <c r="E622" s="81"/>
      <c r="F622" s="81"/>
      <c r="G622" s="82"/>
      <c r="H622" s="81"/>
      <c r="I622" s="81"/>
      <c r="J622" s="81"/>
      <c r="K622" s="82"/>
      <c r="L622" s="81"/>
      <c r="M622" s="82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2"/>
    </row>
    <row r="623" spans="1:28" ht="24" customHeight="1" x14ac:dyDescent="0.5">
      <c r="A623" s="81"/>
      <c r="B623" s="81"/>
      <c r="C623" s="81"/>
      <c r="D623" s="81"/>
      <c r="E623" s="81"/>
      <c r="F623" s="81"/>
      <c r="G623" s="82"/>
      <c r="H623" s="81"/>
      <c r="I623" s="81"/>
      <c r="J623" s="81"/>
      <c r="K623" s="82"/>
      <c r="L623" s="81"/>
      <c r="M623" s="82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2"/>
    </row>
    <row r="624" spans="1:28" ht="24" customHeight="1" x14ac:dyDescent="0.5">
      <c r="A624" s="81"/>
      <c r="B624" s="81"/>
      <c r="C624" s="81"/>
      <c r="D624" s="81"/>
      <c r="E624" s="81"/>
      <c r="F624" s="81"/>
      <c r="G624" s="82"/>
      <c r="H624" s="81"/>
      <c r="I624" s="81"/>
      <c r="J624" s="81"/>
      <c r="K624" s="82"/>
      <c r="L624" s="81"/>
      <c r="M624" s="82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2"/>
    </row>
    <row r="625" spans="1:28" ht="24" customHeight="1" x14ac:dyDescent="0.5">
      <c r="A625" s="81"/>
      <c r="B625" s="81"/>
      <c r="C625" s="81"/>
      <c r="D625" s="81"/>
      <c r="E625" s="81"/>
      <c r="F625" s="81"/>
      <c r="G625" s="82"/>
      <c r="H625" s="81"/>
      <c r="I625" s="81"/>
      <c r="J625" s="81"/>
      <c r="K625" s="82"/>
      <c r="L625" s="81"/>
      <c r="M625" s="82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2"/>
    </row>
    <row r="626" spans="1:28" ht="24" customHeight="1" x14ac:dyDescent="0.5">
      <c r="A626" s="81"/>
      <c r="B626" s="81"/>
      <c r="C626" s="81"/>
      <c r="D626" s="81"/>
      <c r="E626" s="81"/>
      <c r="F626" s="81"/>
      <c r="G626" s="82"/>
      <c r="H626" s="81"/>
      <c r="I626" s="81"/>
      <c r="J626" s="81"/>
      <c r="K626" s="82"/>
      <c r="L626" s="81"/>
      <c r="M626" s="82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2"/>
    </row>
    <row r="627" spans="1:28" ht="24" customHeight="1" x14ac:dyDescent="0.5">
      <c r="A627" s="81"/>
      <c r="B627" s="81"/>
      <c r="C627" s="81"/>
      <c r="D627" s="81"/>
      <c r="E627" s="81"/>
      <c r="F627" s="81"/>
      <c r="G627" s="82"/>
      <c r="H627" s="81"/>
      <c r="I627" s="81"/>
      <c r="J627" s="81"/>
      <c r="K627" s="82"/>
      <c r="L627" s="81"/>
      <c r="M627" s="82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2"/>
    </row>
    <row r="628" spans="1:28" ht="24" customHeight="1" x14ac:dyDescent="0.5">
      <c r="A628" s="81"/>
      <c r="B628" s="81"/>
      <c r="C628" s="81"/>
      <c r="D628" s="81"/>
      <c r="E628" s="81"/>
      <c r="F628" s="81"/>
      <c r="G628" s="82"/>
      <c r="H628" s="81"/>
      <c r="I628" s="81"/>
      <c r="J628" s="81"/>
      <c r="K628" s="82"/>
      <c r="L628" s="81"/>
      <c r="M628" s="82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2"/>
    </row>
    <row r="629" spans="1:28" ht="24" customHeight="1" x14ac:dyDescent="0.5">
      <c r="A629" s="81"/>
      <c r="B629" s="81"/>
      <c r="C629" s="81"/>
      <c r="D629" s="81"/>
      <c r="E629" s="81"/>
      <c r="F629" s="81"/>
      <c r="G629" s="82"/>
      <c r="H629" s="81"/>
      <c r="I629" s="81"/>
      <c r="J629" s="81"/>
      <c r="K629" s="82"/>
      <c r="L629" s="81"/>
      <c r="M629" s="82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2"/>
    </row>
    <row r="630" spans="1:28" ht="24" customHeight="1" x14ac:dyDescent="0.5">
      <c r="A630" s="81"/>
      <c r="B630" s="81"/>
      <c r="C630" s="81"/>
      <c r="D630" s="81"/>
      <c r="E630" s="81"/>
      <c r="F630" s="81"/>
      <c r="G630" s="82"/>
      <c r="H630" s="81"/>
      <c r="I630" s="81"/>
      <c r="J630" s="81"/>
      <c r="K630" s="82"/>
      <c r="L630" s="81"/>
      <c r="M630" s="82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2"/>
    </row>
    <row r="631" spans="1:28" ht="24" customHeight="1" x14ac:dyDescent="0.5">
      <c r="A631" s="81"/>
      <c r="B631" s="81"/>
      <c r="C631" s="81"/>
      <c r="D631" s="81"/>
      <c r="E631" s="81"/>
      <c r="F631" s="81"/>
      <c r="G631" s="82"/>
      <c r="H631" s="81"/>
      <c r="I631" s="81"/>
      <c r="J631" s="81"/>
      <c r="K631" s="82"/>
      <c r="L631" s="81"/>
      <c r="M631" s="82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2"/>
    </row>
    <row r="632" spans="1:28" ht="24" customHeight="1" x14ac:dyDescent="0.5">
      <c r="A632" s="81"/>
      <c r="B632" s="81"/>
      <c r="C632" s="81"/>
      <c r="D632" s="81"/>
      <c r="E632" s="81"/>
      <c r="F632" s="81"/>
      <c r="G632" s="82"/>
      <c r="H632" s="81"/>
      <c r="I632" s="81"/>
      <c r="J632" s="81"/>
      <c r="K632" s="82"/>
      <c r="L632" s="81"/>
      <c r="M632" s="82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2"/>
    </row>
    <row r="633" spans="1:28" ht="24" customHeight="1" x14ac:dyDescent="0.5">
      <c r="A633" s="81"/>
      <c r="B633" s="81"/>
      <c r="C633" s="81"/>
      <c r="D633" s="81"/>
      <c r="E633" s="81"/>
      <c r="F633" s="81"/>
      <c r="G633" s="82"/>
      <c r="H633" s="81"/>
      <c r="I633" s="81"/>
      <c r="J633" s="81"/>
      <c r="K633" s="82"/>
      <c r="L633" s="81"/>
      <c r="M633" s="82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2"/>
    </row>
    <row r="634" spans="1:28" ht="24" customHeight="1" x14ac:dyDescent="0.5">
      <c r="A634" s="81"/>
      <c r="B634" s="81"/>
      <c r="C634" s="81"/>
      <c r="D634" s="81"/>
      <c r="E634" s="81"/>
      <c r="F634" s="81"/>
      <c r="G634" s="82"/>
      <c r="H634" s="81"/>
      <c r="I634" s="81"/>
      <c r="J634" s="81"/>
      <c r="K634" s="82"/>
      <c r="L634" s="81"/>
      <c r="M634" s="82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2"/>
    </row>
    <row r="635" spans="1:28" ht="24" customHeight="1" x14ac:dyDescent="0.5">
      <c r="A635" s="81"/>
      <c r="B635" s="81"/>
      <c r="C635" s="81"/>
      <c r="D635" s="81"/>
      <c r="E635" s="81"/>
      <c r="F635" s="81"/>
      <c r="G635" s="82"/>
      <c r="H635" s="81"/>
      <c r="I635" s="81"/>
      <c r="J635" s="81"/>
      <c r="K635" s="82"/>
      <c r="L635" s="81"/>
      <c r="M635" s="82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2"/>
    </row>
    <row r="636" spans="1:28" ht="24" customHeight="1" x14ac:dyDescent="0.5">
      <c r="A636" s="81"/>
      <c r="B636" s="81"/>
      <c r="C636" s="81"/>
      <c r="D636" s="81"/>
      <c r="E636" s="81"/>
      <c r="F636" s="81"/>
      <c r="G636" s="82"/>
      <c r="H636" s="81"/>
      <c r="I636" s="81"/>
      <c r="J636" s="81"/>
      <c r="K636" s="82"/>
      <c r="L636" s="81"/>
      <c r="M636" s="82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2"/>
    </row>
    <row r="637" spans="1:28" ht="24" customHeight="1" x14ac:dyDescent="0.5">
      <c r="A637" s="81"/>
      <c r="B637" s="81"/>
      <c r="C637" s="81"/>
      <c r="D637" s="81"/>
      <c r="E637" s="81"/>
      <c r="F637" s="81"/>
      <c r="G637" s="82"/>
      <c r="H637" s="81"/>
      <c r="I637" s="81"/>
      <c r="J637" s="81"/>
      <c r="K637" s="82"/>
      <c r="L637" s="81"/>
      <c r="M637" s="82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2"/>
    </row>
    <row r="638" spans="1:28" ht="24" customHeight="1" x14ac:dyDescent="0.5">
      <c r="A638" s="81"/>
      <c r="B638" s="81"/>
      <c r="C638" s="81"/>
      <c r="D638" s="81"/>
      <c r="E638" s="81"/>
      <c r="F638" s="81"/>
      <c r="G638" s="82"/>
      <c r="H638" s="81"/>
      <c r="I638" s="81"/>
      <c r="J638" s="81"/>
      <c r="K638" s="82"/>
      <c r="L638" s="81"/>
      <c r="M638" s="82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2"/>
    </row>
    <row r="639" spans="1:28" ht="24" customHeight="1" x14ac:dyDescent="0.5">
      <c r="A639" s="81"/>
      <c r="B639" s="81"/>
      <c r="C639" s="81"/>
      <c r="D639" s="81"/>
      <c r="E639" s="81"/>
      <c r="F639" s="81"/>
      <c r="G639" s="82"/>
      <c r="H639" s="81"/>
      <c r="I639" s="81"/>
      <c r="J639" s="81"/>
      <c r="K639" s="82"/>
      <c r="L639" s="81"/>
      <c r="M639" s="82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2"/>
    </row>
    <row r="640" spans="1:28" ht="24" customHeight="1" x14ac:dyDescent="0.5">
      <c r="A640" s="81"/>
      <c r="B640" s="81"/>
      <c r="C640" s="81"/>
      <c r="D640" s="81"/>
      <c r="E640" s="81"/>
      <c r="F640" s="81"/>
      <c r="G640" s="82"/>
      <c r="H640" s="81"/>
      <c r="I640" s="81"/>
      <c r="J640" s="81"/>
      <c r="K640" s="82"/>
      <c r="L640" s="81"/>
      <c r="M640" s="82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2"/>
    </row>
    <row r="641" spans="1:28" ht="24" customHeight="1" x14ac:dyDescent="0.5">
      <c r="A641" s="81"/>
      <c r="B641" s="81"/>
      <c r="C641" s="81"/>
      <c r="D641" s="81"/>
      <c r="E641" s="81"/>
      <c r="F641" s="81"/>
      <c r="G641" s="82"/>
      <c r="H641" s="81"/>
      <c r="I641" s="81"/>
      <c r="J641" s="81"/>
      <c r="K641" s="82"/>
      <c r="L641" s="81"/>
      <c r="M641" s="82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2"/>
    </row>
    <row r="642" spans="1:28" ht="24" customHeight="1" x14ac:dyDescent="0.5">
      <c r="A642" s="81"/>
      <c r="B642" s="81"/>
      <c r="C642" s="81"/>
      <c r="D642" s="81"/>
      <c r="E642" s="81"/>
      <c r="F642" s="81"/>
      <c r="G642" s="82"/>
      <c r="H642" s="81"/>
      <c r="I642" s="81"/>
      <c r="J642" s="81"/>
      <c r="K642" s="82"/>
      <c r="L642" s="81"/>
      <c r="M642" s="82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2"/>
    </row>
    <row r="643" spans="1:28" ht="24" customHeight="1" x14ac:dyDescent="0.5">
      <c r="A643" s="81"/>
      <c r="B643" s="81"/>
      <c r="C643" s="81"/>
      <c r="D643" s="81"/>
      <c r="E643" s="81"/>
      <c r="F643" s="81"/>
      <c r="G643" s="82"/>
      <c r="H643" s="81"/>
      <c r="I643" s="81"/>
      <c r="J643" s="81"/>
      <c r="K643" s="82"/>
      <c r="L643" s="81"/>
      <c r="M643" s="82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2"/>
    </row>
    <row r="644" spans="1:28" ht="24" customHeight="1" x14ac:dyDescent="0.5">
      <c r="A644" s="81"/>
      <c r="B644" s="81"/>
      <c r="C644" s="81"/>
      <c r="D644" s="81"/>
      <c r="E644" s="81"/>
      <c r="F644" s="81"/>
      <c r="G644" s="82"/>
      <c r="H644" s="81"/>
      <c r="I644" s="81"/>
      <c r="J644" s="81"/>
      <c r="K644" s="82"/>
      <c r="L644" s="81"/>
      <c r="M644" s="82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2"/>
    </row>
    <row r="645" spans="1:28" ht="24" customHeight="1" x14ac:dyDescent="0.5">
      <c r="A645" s="81"/>
      <c r="B645" s="81"/>
      <c r="C645" s="81"/>
      <c r="D645" s="81"/>
      <c r="E645" s="81"/>
      <c r="F645" s="81"/>
      <c r="G645" s="82"/>
      <c r="H645" s="81"/>
      <c r="I645" s="81"/>
      <c r="J645" s="81"/>
      <c r="K645" s="82"/>
      <c r="L645" s="81"/>
      <c r="M645" s="82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2"/>
    </row>
    <row r="646" spans="1:28" ht="24" customHeight="1" x14ac:dyDescent="0.5">
      <c r="A646" s="81"/>
      <c r="B646" s="81"/>
      <c r="C646" s="81"/>
      <c r="D646" s="81"/>
      <c r="E646" s="81"/>
      <c r="F646" s="81"/>
      <c r="G646" s="82"/>
      <c r="H646" s="81"/>
      <c r="I646" s="81"/>
      <c r="J646" s="81"/>
      <c r="K646" s="82"/>
      <c r="L646" s="81"/>
      <c r="M646" s="82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2"/>
    </row>
    <row r="647" spans="1:28" ht="24" customHeight="1" x14ac:dyDescent="0.5">
      <c r="A647" s="81"/>
      <c r="B647" s="81"/>
      <c r="C647" s="81"/>
      <c r="D647" s="81"/>
      <c r="E647" s="81"/>
      <c r="F647" s="81"/>
      <c r="G647" s="82"/>
      <c r="H647" s="81"/>
      <c r="I647" s="81"/>
      <c r="J647" s="81"/>
      <c r="K647" s="82"/>
      <c r="L647" s="81"/>
      <c r="M647" s="82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2"/>
    </row>
    <row r="648" spans="1:28" ht="24" customHeight="1" x14ac:dyDescent="0.5">
      <c r="A648" s="81"/>
      <c r="B648" s="81"/>
      <c r="C648" s="81"/>
      <c r="D648" s="81"/>
      <c r="E648" s="81"/>
      <c r="F648" s="81"/>
      <c r="G648" s="82"/>
      <c r="H648" s="81"/>
      <c r="I648" s="81"/>
      <c r="J648" s="81"/>
      <c r="K648" s="82"/>
      <c r="L648" s="81"/>
      <c r="M648" s="82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2"/>
    </row>
    <row r="649" spans="1:28" ht="24" customHeight="1" x14ac:dyDescent="0.5">
      <c r="A649" s="81"/>
      <c r="B649" s="81"/>
      <c r="C649" s="81"/>
      <c r="D649" s="81"/>
      <c r="E649" s="81"/>
      <c r="F649" s="81"/>
      <c r="G649" s="82"/>
      <c r="H649" s="81"/>
      <c r="I649" s="81"/>
      <c r="J649" s="81"/>
      <c r="K649" s="82"/>
      <c r="L649" s="81"/>
      <c r="M649" s="82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2"/>
    </row>
    <row r="650" spans="1:28" ht="24" customHeight="1" x14ac:dyDescent="0.5">
      <c r="A650" s="81"/>
      <c r="B650" s="81"/>
      <c r="C650" s="81"/>
      <c r="D650" s="81"/>
      <c r="E650" s="81"/>
      <c r="F650" s="81"/>
      <c r="G650" s="82"/>
      <c r="H650" s="81"/>
      <c r="I650" s="81"/>
      <c r="J650" s="81"/>
      <c r="K650" s="82"/>
      <c r="L650" s="81"/>
      <c r="M650" s="82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2"/>
    </row>
    <row r="651" spans="1:28" ht="24" customHeight="1" x14ac:dyDescent="0.5">
      <c r="A651" s="81"/>
      <c r="B651" s="81"/>
      <c r="C651" s="81"/>
      <c r="D651" s="81"/>
      <c r="E651" s="81"/>
      <c r="F651" s="81"/>
      <c r="G651" s="82"/>
      <c r="H651" s="81"/>
      <c r="I651" s="81"/>
      <c r="J651" s="81"/>
      <c r="K651" s="82"/>
      <c r="L651" s="81"/>
      <c r="M651" s="82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2"/>
    </row>
    <row r="652" spans="1:28" ht="24" customHeight="1" x14ac:dyDescent="0.5">
      <c r="A652" s="81"/>
      <c r="B652" s="81"/>
      <c r="C652" s="81"/>
      <c r="D652" s="81"/>
      <c r="E652" s="81"/>
      <c r="F652" s="81"/>
      <c r="G652" s="82"/>
      <c r="H652" s="81"/>
      <c r="I652" s="81"/>
      <c r="J652" s="81"/>
      <c r="K652" s="82"/>
      <c r="L652" s="81"/>
      <c r="M652" s="82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2"/>
    </row>
    <row r="653" spans="1:28" ht="24" customHeight="1" x14ac:dyDescent="0.5">
      <c r="A653" s="81"/>
      <c r="B653" s="81"/>
      <c r="C653" s="81"/>
      <c r="D653" s="81"/>
      <c r="E653" s="81"/>
      <c r="F653" s="81"/>
      <c r="G653" s="82"/>
      <c r="H653" s="81"/>
      <c r="I653" s="81"/>
      <c r="J653" s="81"/>
      <c r="K653" s="82"/>
      <c r="L653" s="81"/>
      <c r="M653" s="82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2"/>
    </row>
    <row r="654" spans="1:28" ht="24" customHeight="1" x14ac:dyDescent="0.5">
      <c r="A654" s="81"/>
      <c r="B654" s="81"/>
      <c r="C654" s="81"/>
      <c r="D654" s="81"/>
      <c r="E654" s="81"/>
      <c r="F654" s="81"/>
      <c r="G654" s="82"/>
      <c r="H654" s="81"/>
      <c r="I654" s="81"/>
      <c r="J654" s="81"/>
      <c r="K654" s="82"/>
      <c r="L654" s="81"/>
      <c r="M654" s="82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2"/>
    </row>
    <row r="655" spans="1:28" ht="24" customHeight="1" x14ac:dyDescent="0.5">
      <c r="A655" s="81"/>
      <c r="B655" s="81"/>
      <c r="C655" s="81"/>
      <c r="D655" s="81"/>
      <c r="E655" s="81"/>
      <c r="F655" s="81"/>
      <c r="G655" s="82"/>
      <c r="H655" s="81"/>
      <c r="I655" s="81"/>
      <c r="J655" s="81"/>
      <c r="K655" s="82"/>
      <c r="L655" s="81"/>
      <c r="M655" s="82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2"/>
    </row>
    <row r="656" spans="1:28" ht="24" customHeight="1" x14ac:dyDescent="0.5">
      <c r="A656" s="81"/>
      <c r="B656" s="81"/>
      <c r="C656" s="81"/>
      <c r="D656" s="81"/>
      <c r="E656" s="81"/>
      <c r="F656" s="81"/>
      <c r="G656" s="82"/>
      <c r="H656" s="81"/>
      <c r="I656" s="81"/>
      <c r="J656" s="81"/>
      <c r="K656" s="82"/>
      <c r="L656" s="81"/>
      <c r="M656" s="82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2"/>
    </row>
    <row r="657" spans="1:28" ht="24" customHeight="1" x14ac:dyDescent="0.5">
      <c r="A657" s="81"/>
      <c r="B657" s="81"/>
      <c r="C657" s="81"/>
      <c r="D657" s="81"/>
      <c r="E657" s="81"/>
      <c r="F657" s="81"/>
      <c r="G657" s="82"/>
      <c r="H657" s="81"/>
      <c r="I657" s="81"/>
      <c r="J657" s="81"/>
      <c r="K657" s="82"/>
      <c r="L657" s="81"/>
      <c r="M657" s="82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2"/>
    </row>
    <row r="658" spans="1:28" ht="24" customHeight="1" x14ac:dyDescent="0.5">
      <c r="A658" s="81"/>
      <c r="B658" s="81"/>
      <c r="C658" s="81"/>
      <c r="D658" s="81"/>
      <c r="E658" s="81"/>
      <c r="F658" s="81"/>
      <c r="G658" s="82"/>
      <c r="H658" s="81"/>
      <c r="I658" s="81"/>
      <c r="J658" s="81"/>
      <c r="K658" s="82"/>
      <c r="L658" s="81"/>
      <c r="M658" s="82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2"/>
    </row>
    <row r="659" spans="1:28" ht="24" customHeight="1" x14ac:dyDescent="0.5">
      <c r="A659" s="81"/>
      <c r="B659" s="81"/>
      <c r="C659" s="81"/>
      <c r="D659" s="81"/>
      <c r="E659" s="81"/>
      <c r="F659" s="81"/>
      <c r="G659" s="82"/>
      <c r="H659" s="81"/>
      <c r="I659" s="81"/>
      <c r="J659" s="81"/>
      <c r="K659" s="82"/>
      <c r="L659" s="81"/>
      <c r="M659" s="82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2"/>
    </row>
    <row r="660" spans="1:28" ht="24" customHeight="1" x14ac:dyDescent="0.5">
      <c r="A660" s="81"/>
      <c r="B660" s="81"/>
      <c r="C660" s="81"/>
      <c r="D660" s="81"/>
      <c r="E660" s="81"/>
      <c r="F660" s="81"/>
      <c r="G660" s="82"/>
      <c r="H660" s="81"/>
      <c r="I660" s="81"/>
      <c r="J660" s="81"/>
      <c r="K660" s="82"/>
      <c r="L660" s="81"/>
      <c r="M660" s="82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2"/>
    </row>
    <row r="661" spans="1:28" ht="24" customHeight="1" x14ac:dyDescent="0.5">
      <c r="A661" s="81"/>
      <c r="B661" s="81"/>
      <c r="C661" s="81"/>
      <c r="D661" s="81"/>
      <c r="E661" s="81"/>
      <c r="F661" s="81"/>
      <c r="G661" s="82"/>
      <c r="H661" s="81"/>
      <c r="I661" s="81"/>
      <c r="J661" s="81"/>
      <c r="K661" s="82"/>
      <c r="L661" s="81"/>
      <c r="M661" s="82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2"/>
    </row>
    <row r="662" spans="1:28" ht="24" customHeight="1" x14ac:dyDescent="0.5">
      <c r="A662" s="81"/>
      <c r="B662" s="81"/>
      <c r="C662" s="81"/>
      <c r="D662" s="81"/>
      <c r="E662" s="81"/>
      <c r="F662" s="81"/>
      <c r="G662" s="82"/>
      <c r="H662" s="81"/>
      <c r="I662" s="81"/>
      <c r="J662" s="81"/>
      <c r="K662" s="82"/>
      <c r="L662" s="81"/>
      <c r="M662" s="82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2"/>
    </row>
    <row r="663" spans="1:28" ht="24" customHeight="1" x14ac:dyDescent="0.5">
      <c r="A663" s="81"/>
      <c r="B663" s="81"/>
      <c r="C663" s="81"/>
      <c r="D663" s="81"/>
      <c r="E663" s="81"/>
      <c r="F663" s="81"/>
      <c r="G663" s="82"/>
      <c r="H663" s="81"/>
      <c r="I663" s="81"/>
      <c r="J663" s="81"/>
      <c r="K663" s="82"/>
      <c r="L663" s="81"/>
      <c r="M663" s="82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2"/>
    </row>
    <row r="664" spans="1:28" ht="24" customHeight="1" x14ac:dyDescent="0.5">
      <c r="A664" s="81"/>
      <c r="B664" s="81"/>
      <c r="C664" s="81"/>
      <c r="D664" s="81"/>
      <c r="E664" s="81"/>
      <c r="F664" s="81"/>
      <c r="G664" s="82"/>
      <c r="H664" s="81"/>
      <c r="I664" s="81"/>
      <c r="J664" s="81"/>
      <c r="K664" s="82"/>
      <c r="L664" s="81"/>
      <c r="M664" s="82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2"/>
    </row>
    <row r="665" spans="1:28" ht="24" customHeight="1" x14ac:dyDescent="0.5">
      <c r="A665" s="81"/>
      <c r="B665" s="81"/>
      <c r="C665" s="81"/>
      <c r="D665" s="81"/>
      <c r="E665" s="81"/>
      <c r="F665" s="81"/>
      <c r="G665" s="82"/>
      <c r="H665" s="81"/>
      <c r="I665" s="81"/>
      <c r="J665" s="81"/>
      <c r="K665" s="82"/>
      <c r="L665" s="81"/>
      <c r="M665" s="82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2"/>
    </row>
    <row r="666" spans="1:28" ht="24" customHeight="1" x14ac:dyDescent="0.5">
      <c r="A666" s="81"/>
      <c r="B666" s="81"/>
      <c r="C666" s="81"/>
      <c r="D666" s="81"/>
      <c r="E666" s="81"/>
      <c r="F666" s="81"/>
      <c r="G666" s="82"/>
      <c r="H666" s="81"/>
      <c r="I666" s="81"/>
      <c r="J666" s="81"/>
      <c r="K666" s="82"/>
      <c r="L666" s="81"/>
      <c r="M666" s="82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2"/>
    </row>
    <row r="667" spans="1:28" ht="24" customHeight="1" x14ac:dyDescent="0.5">
      <c r="A667" s="81"/>
      <c r="B667" s="81"/>
      <c r="C667" s="81"/>
      <c r="D667" s="81"/>
      <c r="E667" s="81"/>
      <c r="F667" s="81"/>
      <c r="G667" s="82"/>
      <c r="H667" s="81"/>
      <c r="I667" s="81"/>
      <c r="J667" s="81"/>
      <c r="K667" s="82"/>
      <c r="L667" s="81"/>
      <c r="M667" s="82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2"/>
    </row>
    <row r="668" spans="1:28" ht="24" customHeight="1" x14ac:dyDescent="0.5">
      <c r="A668" s="81"/>
      <c r="B668" s="81"/>
      <c r="C668" s="81"/>
      <c r="D668" s="81"/>
      <c r="E668" s="81"/>
      <c r="F668" s="81"/>
      <c r="G668" s="82"/>
      <c r="H668" s="81"/>
      <c r="I668" s="81"/>
      <c r="J668" s="81"/>
      <c r="K668" s="82"/>
      <c r="L668" s="81"/>
      <c r="M668" s="82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2"/>
    </row>
    <row r="669" spans="1:28" ht="24" customHeight="1" x14ac:dyDescent="0.5">
      <c r="A669" s="81"/>
      <c r="B669" s="81"/>
      <c r="C669" s="81"/>
      <c r="D669" s="81"/>
      <c r="E669" s="81"/>
      <c r="F669" s="81"/>
      <c r="G669" s="82"/>
      <c r="H669" s="81"/>
      <c r="I669" s="81"/>
      <c r="J669" s="81"/>
      <c r="K669" s="82"/>
      <c r="L669" s="81"/>
      <c r="M669" s="82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2"/>
    </row>
    <row r="670" spans="1:28" ht="24" customHeight="1" x14ac:dyDescent="0.5">
      <c r="A670" s="81"/>
      <c r="B670" s="81"/>
      <c r="C670" s="81"/>
      <c r="D670" s="81"/>
      <c r="E670" s="81"/>
      <c r="F670" s="81"/>
      <c r="G670" s="82"/>
      <c r="H670" s="81"/>
      <c r="I670" s="81"/>
      <c r="J670" s="81"/>
      <c r="K670" s="82"/>
      <c r="L670" s="81"/>
      <c r="M670" s="82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2"/>
    </row>
    <row r="671" spans="1:28" ht="24" customHeight="1" x14ac:dyDescent="0.5">
      <c r="A671" s="81"/>
      <c r="B671" s="81"/>
      <c r="C671" s="81"/>
      <c r="D671" s="81"/>
      <c r="E671" s="81"/>
      <c r="F671" s="81"/>
      <c r="G671" s="82"/>
      <c r="H671" s="81"/>
      <c r="I671" s="81"/>
      <c r="J671" s="81"/>
      <c r="K671" s="82"/>
      <c r="L671" s="81"/>
      <c r="M671" s="82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2"/>
    </row>
    <row r="672" spans="1:28" ht="24" customHeight="1" x14ac:dyDescent="0.5">
      <c r="A672" s="81"/>
      <c r="B672" s="81"/>
      <c r="C672" s="81"/>
      <c r="D672" s="81"/>
      <c r="E672" s="81"/>
      <c r="F672" s="81"/>
      <c r="G672" s="82"/>
      <c r="H672" s="81"/>
      <c r="I672" s="81"/>
      <c r="J672" s="81"/>
      <c r="K672" s="82"/>
      <c r="L672" s="81"/>
      <c r="M672" s="82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2"/>
    </row>
    <row r="673" spans="1:28" ht="24" customHeight="1" x14ac:dyDescent="0.5">
      <c r="A673" s="81"/>
      <c r="B673" s="81"/>
      <c r="C673" s="81"/>
      <c r="D673" s="81"/>
      <c r="E673" s="81"/>
      <c r="F673" s="81"/>
      <c r="G673" s="82"/>
      <c r="H673" s="81"/>
      <c r="I673" s="81"/>
      <c r="J673" s="81"/>
      <c r="K673" s="82"/>
      <c r="L673" s="81"/>
      <c r="M673" s="82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2"/>
    </row>
    <row r="674" spans="1:28" ht="24" customHeight="1" x14ac:dyDescent="0.5">
      <c r="A674" s="81"/>
      <c r="B674" s="81"/>
      <c r="C674" s="81"/>
      <c r="D674" s="81"/>
      <c r="E674" s="81"/>
      <c r="F674" s="81"/>
      <c r="G674" s="82"/>
      <c r="H674" s="81"/>
      <c r="I674" s="81"/>
      <c r="J674" s="81"/>
      <c r="K674" s="82"/>
      <c r="L674" s="81"/>
      <c r="M674" s="82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2"/>
    </row>
    <row r="675" spans="1:28" ht="24" customHeight="1" x14ac:dyDescent="0.5">
      <c r="A675" s="81"/>
      <c r="B675" s="81"/>
      <c r="C675" s="81"/>
      <c r="D675" s="81"/>
      <c r="E675" s="81"/>
      <c r="F675" s="81"/>
      <c r="G675" s="82"/>
      <c r="H675" s="81"/>
      <c r="I675" s="81"/>
      <c r="J675" s="81"/>
      <c r="K675" s="82"/>
      <c r="L675" s="81"/>
      <c r="M675" s="82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2"/>
    </row>
    <row r="676" spans="1:28" ht="24" customHeight="1" x14ac:dyDescent="0.5">
      <c r="A676" s="81"/>
      <c r="B676" s="81"/>
      <c r="C676" s="81"/>
      <c r="D676" s="81"/>
      <c r="E676" s="81"/>
      <c r="F676" s="81"/>
      <c r="G676" s="82"/>
      <c r="H676" s="81"/>
      <c r="I676" s="81"/>
      <c r="J676" s="81"/>
      <c r="K676" s="82"/>
      <c r="L676" s="81"/>
      <c r="M676" s="82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2"/>
    </row>
    <row r="677" spans="1:28" ht="24" customHeight="1" x14ac:dyDescent="0.5">
      <c r="A677" s="81"/>
      <c r="B677" s="81"/>
      <c r="C677" s="81"/>
      <c r="D677" s="81"/>
      <c r="E677" s="81"/>
      <c r="F677" s="81"/>
      <c r="G677" s="82"/>
      <c r="H677" s="81"/>
      <c r="I677" s="81"/>
      <c r="J677" s="81"/>
      <c r="K677" s="82"/>
      <c r="L677" s="81"/>
      <c r="M677" s="82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2"/>
    </row>
    <row r="678" spans="1:28" ht="24" customHeight="1" x14ac:dyDescent="0.5">
      <c r="A678" s="81"/>
      <c r="B678" s="81"/>
      <c r="C678" s="81"/>
      <c r="D678" s="81"/>
      <c r="E678" s="81"/>
      <c r="F678" s="81"/>
      <c r="G678" s="82"/>
      <c r="H678" s="81"/>
      <c r="I678" s="81"/>
      <c r="J678" s="81"/>
      <c r="K678" s="82"/>
      <c r="L678" s="81"/>
      <c r="M678" s="82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2"/>
    </row>
    <row r="679" spans="1:28" ht="24" customHeight="1" x14ac:dyDescent="0.5">
      <c r="A679" s="81"/>
      <c r="B679" s="81"/>
      <c r="C679" s="81"/>
      <c r="D679" s="81"/>
      <c r="E679" s="81"/>
      <c r="F679" s="81"/>
      <c r="G679" s="82"/>
      <c r="H679" s="81"/>
      <c r="I679" s="81"/>
      <c r="J679" s="81"/>
      <c r="K679" s="82"/>
      <c r="L679" s="81"/>
      <c r="M679" s="82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2"/>
    </row>
    <row r="680" spans="1:28" ht="24" customHeight="1" x14ac:dyDescent="0.5">
      <c r="A680" s="81"/>
      <c r="B680" s="81"/>
      <c r="C680" s="81"/>
      <c r="D680" s="81"/>
      <c r="E680" s="81"/>
      <c r="F680" s="81"/>
      <c r="G680" s="82"/>
      <c r="H680" s="81"/>
      <c r="I680" s="81"/>
      <c r="J680" s="81"/>
      <c r="K680" s="82"/>
      <c r="L680" s="81"/>
      <c r="M680" s="82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2"/>
    </row>
    <row r="681" spans="1:28" ht="24" customHeight="1" x14ac:dyDescent="0.5">
      <c r="A681" s="81"/>
      <c r="B681" s="81"/>
      <c r="C681" s="81"/>
      <c r="D681" s="81"/>
      <c r="E681" s="81"/>
      <c r="F681" s="81"/>
      <c r="G681" s="82"/>
      <c r="H681" s="81"/>
      <c r="I681" s="81"/>
      <c r="J681" s="81"/>
      <c r="K681" s="82"/>
      <c r="L681" s="81"/>
      <c r="M681" s="82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2"/>
    </row>
    <row r="682" spans="1:28" ht="24" customHeight="1" x14ac:dyDescent="0.5">
      <c r="A682" s="81"/>
      <c r="B682" s="81"/>
      <c r="C682" s="81"/>
      <c r="D682" s="81"/>
      <c r="E682" s="81"/>
      <c r="F682" s="81"/>
      <c r="G682" s="82"/>
      <c r="H682" s="81"/>
      <c r="I682" s="81"/>
      <c r="J682" s="81"/>
      <c r="K682" s="82"/>
      <c r="L682" s="81"/>
      <c r="M682" s="82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2"/>
    </row>
    <row r="683" spans="1:28" ht="24" customHeight="1" x14ac:dyDescent="0.5">
      <c r="A683" s="81"/>
      <c r="B683" s="81"/>
      <c r="C683" s="81"/>
      <c r="D683" s="81"/>
      <c r="E683" s="81"/>
      <c r="F683" s="81"/>
      <c r="G683" s="82"/>
      <c r="H683" s="81"/>
      <c r="I683" s="81"/>
      <c r="J683" s="81"/>
      <c r="K683" s="82"/>
      <c r="L683" s="81"/>
      <c r="M683" s="82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2"/>
    </row>
    <row r="684" spans="1:28" ht="24" customHeight="1" x14ac:dyDescent="0.5">
      <c r="A684" s="81"/>
      <c r="B684" s="81"/>
      <c r="C684" s="81"/>
      <c r="D684" s="81"/>
      <c r="E684" s="81"/>
      <c r="F684" s="81"/>
      <c r="G684" s="82"/>
      <c r="H684" s="81"/>
      <c r="I684" s="81"/>
      <c r="J684" s="81"/>
      <c r="K684" s="82"/>
      <c r="L684" s="81"/>
      <c r="M684" s="82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2"/>
    </row>
    <row r="685" spans="1:28" ht="24" customHeight="1" x14ac:dyDescent="0.5">
      <c r="A685" s="81"/>
      <c r="B685" s="81"/>
      <c r="C685" s="81"/>
      <c r="D685" s="81"/>
      <c r="E685" s="81"/>
      <c r="F685" s="81"/>
      <c r="G685" s="82"/>
      <c r="H685" s="81"/>
      <c r="I685" s="81"/>
      <c r="J685" s="81"/>
      <c r="K685" s="82"/>
      <c r="L685" s="81"/>
      <c r="M685" s="82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2"/>
    </row>
    <row r="686" spans="1:28" ht="24" customHeight="1" x14ac:dyDescent="0.5">
      <c r="A686" s="81"/>
      <c r="B686" s="81"/>
      <c r="C686" s="81"/>
      <c r="D686" s="81"/>
      <c r="E686" s="81"/>
      <c r="F686" s="81"/>
      <c r="G686" s="82"/>
      <c r="H686" s="81"/>
      <c r="I686" s="81"/>
      <c r="J686" s="81"/>
      <c r="K686" s="82"/>
      <c r="L686" s="81"/>
      <c r="M686" s="82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2"/>
    </row>
    <row r="687" spans="1:28" ht="24" customHeight="1" x14ac:dyDescent="0.5">
      <c r="A687" s="81"/>
      <c r="B687" s="81"/>
      <c r="C687" s="81"/>
      <c r="D687" s="81"/>
      <c r="E687" s="81"/>
      <c r="F687" s="81"/>
      <c r="G687" s="82"/>
      <c r="H687" s="81"/>
      <c r="I687" s="81"/>
      <c r="J687" s="81"/>
      <c r="K687" s="82"/>
      <c r="L687" s="81"/>
      <c r="M687" s="82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2"/>
    </row>
    <row r="688" spans="1:28" ht="24" customHeight="1" x14ac:dyDescent="0.5">
      <c r="A688" s="81"/>
      <c r="B688" s="81"/>
      <c r="C688" s="81"/>
      <c r="D688" s="81"/>
      <c r="E688" s="81"/>
      <c r="F688" s="81"/>
      <c r="G688" s="82"/>
      <c r="H688" s="81"/>
      <c r="I688" s="81"/>
      <c r="J688" s="81"/>
      <c r="K688" s="82"/>
      <c r="L688" s="81"/>
      <c r="M688" s="82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2"/>
    </row>
    <row r="689" spans="1:28" ht="24" customHeight="1" x14ac:dyDescent="0.5">
      <c r="A689" s="81"/>
      <c r="B689" s="81"/>
      <c r="C689" s="81"/>
      <c r="D689" s="81"/>
      <c r="E689" s="81"/>
      <c r="F689" s="81"/>
      <c r="G689" s="82"/>
      <c r="H689" s="81"/>
      <c r="I689" s="81"/>
      <c r="J689" s="81"/>
      <c r="K689" s="82"/>
      <c r="L689" s="81"/>
      <c r="M689" s="82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2"/>
    </row>
    <row r="690" spans="1:28" ht="24" customHeight="1" x14ac:dyDescent="0.5">
      <c r="A690" s="81"/>
      <c r="B690" s="81"/>
      <c r="C690" s="81"/>
      <c r="D690" s="81"/>
      <c r="E690" s="81"/>
      <c r="F690" s="81"/>
      <c r="G690" s="82"/>
      <c r="H690" s="81"/>
      <c r="I690" s="81"/>
      <c r="J690" s="81"/>
      <c r="K690" s="82"/>
      <c r="L690" s="81"/>
      <c r="M690" s="82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2"/>
    </row>
    <row r="691" spans="1:28" ht="24" customHeight="1" x14ac:dyDescent="0.5">
      <c r="A691" s="81"/>
      <c r="B691" s="81"/>
      <c r="C691" s="81"/>
      <c r="D691" s="81"/>
      <c r="E691" s="81"/>
      <c r="F691" s="81"/>
      <c r="G691" s="82"/>
      <c r="H691" s="81"/>
      <c r="I691" s="81"/>
      <c r="J691" s="81"/>
      <c r="K691" s="82"/>
      <c r="L691" s="81"/>
      <c r="M691" s="82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2"/>
    </row>
    <row r="692" spans="1:28" ht="24" customHeight="1" x14ac:dyDescent="0.5">
      <c r="A692" s="81"/>
      <c r="B692" s="81"/>
      <c r="C692" s="81"/>
      <c r="D692" s="81"/>
      <c r="E692" s="81"/>
      <c r="F692" s="81"/>
      <c r="G692" s="82"/>
      <c r="H692" s="81"/>
      <c r="I692" s="81"/>
      <c r="J692" s="81"/>
      <c r="K692" s="82"/>
      <c r="L692" s="81"/>
      <c r="M692" s="82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2"/>
    </row>
    <row r="693" spans="1:28" ht="24" customHeight="1" x14ac:dyDescent="0.5">
      <c r="A693" s="81"/>
      <c r="B693" s="81"/>
      <c r="C693" s="81"/>
      <c r="D693" s="81"/>
      <c r="E693" s="81"/>
      <c r="F693" s="81"/>
      <c r="G693" s="82"/>
      <c r="H693" s="81"/>
      <c r="I693" s="81"/>
      <c r="J693" s="81"/>
      <c r="K693" s="82"/>
      <c r="L693" s="81"/>
      <c r="M693" s="82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2"/>
    </row>
    <row r="694" spans="1:28" ht="24" customHeight="1" x14ac:dyDescent="0.5">
      <c r="A694" s="81"/>
      <c r="B694" s="81"/>
      <c r="C694" s="81"/>
      <c r="D694" s="81"/>
      <c r="E694" s="81"/>
      <c r="F694" s="81"/>
      <c r="G694" s="82"/>
      <c r="H694" s="81"/>
      <c r="I694" s="81"/>
      <c r="J694" s="81"/>
      <c r="K694" s="82"/>
      <c r="L694" s="81"/>
      <c r="M694" s="82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2"/>
    </row>
    <row r="695" spans="1:28" ht="24" customHeight="1" x14ac:dyDescent="0.5">
      <c r="A695" s="81"/>
      <c r="B695" s="81"/>
      <c r="C695" s="81"/>
      <c r="D695" s="81"/>
      <c r="E695" s="81"/>
      <c r="F695" s="81"/>
      <c r="G695" s="82"/>
      <c r="H695" s="81"/>
      <c r="I695" s="81"/>
      <c r="J695" s="81"/>
      <c r="K695" s="82"/>
      <c r="L695" s="81"/>
      <c r="M695" s="82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2"/>
    </row>
    <row r="696" spans="1:28" ht="24" customHeight="1" x14ac:dyDescent="0.5">
      <c r="A696" s="81"/>
      <c r="B696" s="81"/>
      <c r="C696" s="81"/>
      <c r="D696" s="81"/>
      <c r="E696" s="81"/>
      <c r="F696" s="81"/>
      <c r="G696" s="82"/>
      <c r="H696" s="81"/>
      <c r="I696" s="81"/>
      <c r="J696" s="81"/>
      <c r="K696" s="82"/>
      <c r="L696" s="81"/>
      <c r="M696" s="82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2"/>
    </row>
    <row r="697" spans="1:28" ht="24" customHeight="1" x14ac:dyDescent="0.5">
      <c r="A697" s="81"/>
      <c r="B697" s="81"/>
      <c r="C697" s="81"/>
      <c r="D697" s="81"/>
      <c r="E697" s="81"/>
      <c r="F697" s="81"/>
      <c r="G697" s="82"/>
      <c r="H697" s="81"/>
      <c r="I697" s="81"/>
      <c r="J697" s="81"/>
      <c r="K697" s="82"/>
      <c r="L697" s="81"/>
      <c r="M697" s="82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2"/>
    </row>
    <row r="698" spans="1:28" ht="24" customHeight="1" x14ac:dyDescent="0.5">
      <c r="A698" s="81"/>
      <c r="B698" s="81"/>
      <c r="C698" s="81"/>
      <c r="D698" s="81"/>
      <c r="E698" s="81"/>
      <c r="F698" s="81"/>
      <c r="G698" s="82"/>
      <c r="H698" s="81"/>
      <c r="I698" s="81"/>
      <c r="J698" s="81"/>
      <c r="K698" s="82"/>
      <c r="L698" s="81"/>
      <c r="M698" s="82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2"/>
    </row>
    <row r="699" spans="1:28" ht="24" customHeight="1" x14ac:dyDescent="0.5">
      <c r="A699" s="81"/>
      <c r="B699" s="81"/>
      <c r="C699" s="81"/>
      <c r="D699" s="81"/>
      <c r="E699" s="81"/>
      <c r="F699" s="81"/>
      <c r="G699" s="82"/>
      <c r="H699" s="81"/>
      <c r="I699" s="81"/>
      <c r="J699" s="81"/>
      <c r="K699" s="82"/>
      <c r="L699" s="81"/>
      <c r="M699" s="82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2"/>
    </row>
    <row r="700" spans="1:28" ht="24" customHeight="1" x14ac:dyDescent="0.5">
      <c r="A700" s="81"/>
      <c r="B700" s="81"/>
      <c r="C700" s="81"/>
      <c r="D700" s="81"/>
      <c r="E700" s="81"/>
      <c r="F700" s="81"/>
      <c r="G700" s="82"/>
      <c r="H700" s="81"/>
      <c r="I700" s="81"/>
      <c r="J700" s="81"/>
      <c r="K700" s="82"/>
      <c r="L700" s="81"/>
      <c r="M700" s="82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2"/>
    </row>
    <row r="701" spans="1:28" ht="24" customHeight="1" x14ac:dyDescent="0.5">
      <c r="A701" s="81"/>
      <c r="B701" s="81"/>
      <c r="C701" s="81"/>
      <c r="D701" s="81"/>
      <c r="E701" s="81"/>
      <c r="F701" s="81"/>
      <c r="G701" s="82"/>
      <c r="H701" s="81"/>
      <c r="I701" s="81"/>
      <c r="J701" s="81"/>
      <c r="K701" s="82"/>
      <c r="L701" s="81"/>
      <c r="M701" s="82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2"/>
    </row>
    <row r="702" spans="1:28" ht="24" customHeight="1" x14ac:dyDescent="0.5">
      <c r="A702" s="81"/>
      <c r="B702" s="81"/>
      <c r="C702" s="81"/>
      <c r="D702" s="81"/>
      <c r="E702" s="81"/>
      <c r="F702" s="81"/>
      <c r="G702" s="82"/>
      <c r="H702" s="81"/>
      <c r="I702" s="81"/>
      <c r="J702" s="81"/>
      <c r="K702" s="82"/>
      <c r="L702" s="81"/>
      <c r="M702" s="82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2"/>
    </row>
    <row r="703" spans="1:28" ht="24" customHeight="1" x14ac:dyDescent="0.5">
      <c r="A703" s="81"/>
      <c r="B703" s="81"/>
      <c r="C703" s="81"/>
      <c r="D703" s="81"/>
      <c r="E703" s="81"/>
      <c r="F703" s="81"/>
      <c r="G703" s="82"/>
      <c r="H703" s="81"/>
      <c r="I703" s="81"/>
      <c r="J703" s="81"/>
      <c r="K703" s="82"/>
      <c r="L703" s="81"/>
      <c r="M703" s="82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2"/>
    </row>
    <row r="704" spans="1:28" ht="24" customHeight="1" x14ac:dyDescent="0.5">
      <c r="A704" s="81"/>
      <c r="B704" s="81"/>
      <c r="C704" s="81"/>
      <c r="D704" s="81"/>
      <c r="E704" s="81"/>
      <c r="F704" s="81"/>
      <c r="G704" s="82"/>
      <c r="H704" s="81"/>
      <c r="I704" s="81"/>
      <c r="J704" s="81"/>
      <c r="K704" s="82"/>
      <c r="L704" s="81"/>
      <c r="M704" s="82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2"/>
    </row>
    <row r="705" spans="1:28" ht="24" customHeight="1" x14ac:dyDescent="0.5">
      <c r="A705" s="81"/>
      <c r="B705" s="81"/>
      <c r="C705" s="81"/>
      <c r="D705" s="81"/>
      <c r="E705" s="81"/>
      <c r="F705" s="81"/>
      <c r="G705" s="82"/>
      <c r="H705" s="81"/>
      <c r="I705" s="81"/>
      <c r="J705" s="81"/>
      <c r="K705" s="82"/>
      <c r="L705" s="81"/>
      <c r="M705" s="82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2"/>
    </row>
    <row r="706" spans="1:28" ht="24" customHeight="1" x14ac:dyDescent="0.5">
      <c r="A706" s="81"/>
      <c r="B706" s="81"/>
      <c r="C706" s="81"/>
      <c r="D706" s="81"/>
      <c r="E706" s="81"/>
      <c r="F706" s="81"/>
      <c r="G706" s="82"/>
      <c r="H706" s="81"/>
      <c r="I706" s="81"/>
      <c r="J706" s="81"/>
      <c r="K706" s="82"/>
      <c r="L706" s="81"/>
      <c r="M706" s="82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2"/>
    </row>
    <row r="707" spans="1:28" ht="24" customHeight="1" x14ac:dyDescent="0.5">
      <c r="A707" s="81"/>
      <c r="B707" s="81"/>
      <c r="C707" s="81"/>
      <c r="D707" s="81"/>
      <c r="E707" s="81"/>
      <c r="F707" s="81"/>
      <c r="G707" s="82"/>
      <c r="H707" s="81"/>
      <c r="I707" s="81"/>
      <c r="J707" s="81"/>
      <c r="K707" s="82"/>
      <c r="L707" s="81"/>
      <c r="M707" s="82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2"/>
    </row>
    <row r="708" spans="1:28" ht="24" customHeight="1" x14ac:dyDescent="0.5">
      <c r="A708" s="81"/>
      <c r="B708" s="81"/>
      <c r="C708" s="81"/>
      <c r="D708" s="81"/>
      <c r="E708" s="81"/>
      <c r="F708" s="81"/>
      <c r="G708" s="82"/>
      <c r="H708" s="81"/>
      <c r="I708" s="81"/>
      <c r="J708" s="81"/>
      <c r="K708" s="82"/>
      <c r="L708" s="81"/>
      <c r="M708" s="82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2"/>
    </row>
    <row r="709" spans="1:28" ht="24" customHeight="1" x14ac:dyDescent="0.5">
      <c r="A709" s="81"/>
      <c r="B709" s="81"/>
      <c r="C709" s="81"/>
      <c r="D709" s="81"/>
      <c r="E709" s="81"/>
      <c r="F709" s="81"/>
      <c r="G709" s="82"/>
      <c r="H709" s="81"/>
      <c r="I709" s="81"/>
      <c r="J709" s="81"/>
      <c r="K709" s="82"/>
      <c r="L709" s="81"/>
      <c r="M709" s="82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2"/>
    </row>
    <row r="710" spans="1:28" ht="24" customHeight="1" x14ac:dyDescent="0.5">
      <c r="A710" s="81"/>
      <c r="B710" s="81"/>
      <c r="C710" s="81"/>
      <c r="D710" s="81"/>
      <c r="E710" s="81"/>
      <c r="F710" s="81"/>
      <c r="G710" s="82"/>
      <c r="H710" s="81"/>
      <c r="I710" s="81"/>
      <c r="J710" s="81"/>
      <c r="K710" s="82"/>
      <c r="L710" s="81"/>
      <c r="M710" s="82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2"/>
    </row>
    <row r="711" spans="1:28" ht="24" customHeight="1" x14ac:dyDescent="0.5">
      <c r="A711" s="81"/>
      <c r="B711" s="81"/>
      <c r="C711" s="81"/>
      <c r="D711" s="81"/>
      <c r="E711" s="81"/>
      <c r="F711" s="81"/>
      <c r="G711" s="82"/>
      <c r="H711" s="81"/>
      <c r="I711" s="81"/>
      <c r="J711" s="81"/>
      <c r="K711" s="82"/>
      <c r="L711" s="81"/>
      <c r="M711" s="82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2"/>
    </row>
    <row r="712" spans="1:28" ht="24" customHeight="1" x14ac:dyDescent="0.5">
      <c r="A712" s="81"/>
      <c r="B712" s="81"/>
      <c r="C712" s="81"/>
      <c r="D712" s="81"/>
      <c r="E712" s="81"/>
      <c r="F712" s="81"/>
      <c r="G712" s="82"/>
      <c r="H712" s="81"/>
      <c r="I712" s="81"/>
      <c r="J712" s="81"/>
      <c r="K712" s="82"/>
      <c r="L712" s="81"/>
      <c r="M712" s="82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2"/>
    </row>
    <row r="713" spans="1:28" ht="24" customHeight="1" x14ac:dyDescent="0.5">
      <c r="A713" s="81"/>
      <c r="B713" s="81"/>
      <c r="C713" s="81"/>
      <c r="D713" s="81"/>
      <c r="E713" s="81"/>
      <c r="F713" s="81"/>
      <c r="G713" s="82"/>
      <c r="H713" s="81"/>
      <c r="I713" s="81"/>
      <c r="J713" s="81"/>
      <c r="K713" s="82"/>
      <c r="L713" s="81"/>
      <c r="M713" s="82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2"/>
    </row>
    <row r="714" spans="1:28" ht="24" customHeight="1" x14ac:dyDescent="0.5">
      <c r="A714" s="81"/>
      <c r="B714" s="81"/>
      <c r="C714" s="81"/>
      <c r="D714" s="81"/>
      <c r="E714" s="81"/>
      <c r="F714" s="81"/>
      <c r="G714" s="82"/>
      <c r="H714" s="81"/>
      <c r="I714" s="81"/>
      <c r="J714" s="81"/>
      <c r="K714" s="82"/>
      <c r="L714" s="81"/>
      <c r="M714" s="82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2"/>
    </row>
    <row r="715" spans="1:28" ht="24" customHeight="1" x14ac:dyDescent="0.5">
      <c r="A715" s="81"/>
      <c r="B715" s="81"/>
      <c r="C715" s="81"/>
      <c r="D715" s="81"/>
      <c r="E715" s="81"/>
      <c r="F715" s="81"/>
      <c r="G715" s="82"/>
      <c r="H715" s="81"/>
      <c r="I715" s="81"/>
      <c r="J715" s="81"/>
      <c r="K715" s="82"/>
      <c r="L715" s="81"/>
      <c r="M715" s="82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2"/>
    </row>
    <row r="716" spans="1:28" ht="24" customHeight="1" x14ac:dyDescent="0.5">
      <c r="A716" s="81"/>
      <c r="B716" s="81"/>
      <c r="C716" s="81"/>
      <c r="D716" s="81"/>
      <c r="E716" s="81"/>
      <c r="F716" s="81"/>
      <c r="G716" s="82"/>
      <c r="H716" s="81"/>
      <c r="I716" s="81"/>
      <c r="J716" s="81"/>
      <c r="K716" s="82"/>
      <c r="L716" s="81"/>
      <c r="M716" s="82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2"/>
    </row>
    <row r="717" spans="1:28" ht="24" customHeight="1" x14ac:dyDescent="0.5">
      <c r="A717" s="81"/>
      <c r="B717" s="81"/>
      <c r="C717" s="81"/>
      <c r="D717" s="81"/>
      <c r="E717" s="81"/>
      <c r="F717" s="81"/>
      <c r="G717" s="82"/>
      <c r="H717" s="81"/>
      <c r="I717" s="81"/>
      <c r="J717" s="81"/>
      <c r="K717" s="82"/>
      <c r="L717" s="81"/>
      <c r="M717" s="82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2"/>
    </row>
    <row r="718" spans="1:28" ht="24" customHeight="1" x14ac:dyDescent="0.5">
      <c r="A718" s="81"/>
      <c r="B718" s="81"/>
      <c r="C718" s="81"/>
      <c r="D718" s="81"/>
      <c r="E718" s="81"/>
      <c r="F718" s="81"/>
      <c r="G718" s="82"/>
      <c r="H718" s="81"/>
      <c r="I718" s="81"/>
      <c r="J718" s="81"/>
      <c r="K718" s="82"/>
      <c r="L718" s="81"/>
      <c r="M718" s="82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2"/>
    </row>
    <row r="719" spans="1:28" ht="24" customHeight="1" x14ac:dyDescent="0.5">
      <c r="A719" s="81"/>
      <c r="B719" s="81"/>
      <c r="C719" s="81"/>
      <c r="D719" s="81"/>
      <c r="E719" s="81"/>
      <c r="F719" s="81"/>
      <c r="G719" s="82"/>
      <c r="H719" s="81"/>
      <c r="I719" s="81"/>
      <c r="J719" s="81"/>
      <c r="K719" s="82"/>
      <c r="L719" s="81"/>
      <c r="M719" s="82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2"/>
    </row>
    <row r="720" spans="1:28" ht="24" customHeight="1" x14ac:dyDescent="0.5">
      <c r="A720" s="81"/>
      <c r="B720" s="81"/>
      <c r="C720" s="81"/>
      <c r="D720" s="81"/>
      <c r="E720" s="81"/>
      <c r="F720" s="81"/>
      <c r="G720" s="82"/>
      <c r="H720" s="81"/>
      <c r="I720" s="81"/>
      <c r="J720" s="81"/>
      <c r="K720" s="82"/>
      <c r="L720" s="81"/>
      <c r="M720" s="82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2"/>
    </row>
    <row r="721" spans="1:28" ht="24" customHeight="1" x14ac:dyDescent="0.5">
      <c r="A721" s="81"/>
      <c r="B721" s="81"/>
      <c r="C721" s="81"/>
      <c r="D721" s="81"/>
      <c r="E721" s="81"/>
      <c r="F721" s="81"/>
      <c r="G721" s="82"/>
      <c r="H721" s="81"/>
      <c r="I721" s="81"/>
      <c r="J721" s="81"/>
      <c r="K721" s="82"/>
      <c r="L721" s="81"/>
      <c r="M721" s="82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2"/>
    </row>
    <row r="722" spans="1:28" ht="24" customHeight="1" x14ac:dyDescent="0.5">
      <c r="A722" s="81"/>
      <c r="B722" s="81"/>
      <c r="C722" s="81"/>
      <c r="D722" s="81"/>
      <c r="E722" s="81"/>
      <c r="F722" s="81"/>
      <c r="G722" s="82"/>
      <c r="H722" s="81"/>
      <c r="I722" s="81"/>
      <c r="J722" s="81"/>
      <c r="K722" s="82"/>
      <c r="L722" s="81"/>
      <c r="M722" s="82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2"/>
    </row>
    <row r="723" spans="1:28" ht="24" customHeight="1" x14ac:dyDescent="0.5">
      <c r="A723" s="81"/>
      <c r="B723" s="81"/>
      <c r="C723" s="81"/>
      <c r="D723" s="81"/>
      <c r="E723" s="81"/>
      <c r="F723" s="81"/>
      <c r="G723" s="82"/>
      <c r="H723" s="81"/>
      <c r="I723" s="81"/>
      <c r="J723" s="81"/>
      <c r="K723" s="82"/>
      <c r="L723" s="81"/>
      <c r="M723" s="82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2"/>
    </row>
    <row r="724" spans="1:28" ht="24" customHeight="1" x14ac:dyDescent="0.5">
      <c r="A724" s="81"/>
      <c r="B724" s="81"/>
      <c r="C724" s="81"/>
      <c r="D724" s="81"/>
      <c r="E724" s="81"/>
      <c r="F724" s="81"/>
      <c r="G724" s="82"/>
      <c r="H724" s="81"/>
      <c r="I724" s="81"/>
      <c r="J724" s="81"/>
      <c r="K724" s="82"/>
      <c r="L724" s="81"/>
      <c r="M724" s="82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2"/>
    </row>
    <row r="725" spans="1:28" ht="24" customHeight="1" x14ac:dyDescent="0.5">
      <c r="A725" s="81"/>
      <c r="B725" s="81"/>
      <c r="C725" s="81"/>
      <c r="D725" s="81"/>
      <c r="E725" s="81"/>
      <c r="F725" s="81"/>
      <c r="G725" s="82"/>
      <c r="H725" s="81"/>
      <c r="I725" s="81"/>
      <c r="J725" s="81"/>
      <c r="K725" s="82"/>
      <c r="L725" s="81"/>
      <c r="M725" s="82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2"/>
    </row>
    <row r="726" spans="1:28" ht="24" customHeight="1" x14ac:dyDescent="0.5">
      <c r="A726" s="81"/>
      <c r="B726" s="81"/>
      <c r="C726" s="81"/>
      <c r="D726" s="81"/>
      <c r="E726" s="81"/>
      <c r="F726" s="81"/>
      <c r="G726" s="82"/>
      <c r="H726" s="81"/>
      <c r="I726" s="81"/>
      <c r="J726" s="81"/>
      <c r="K726" s="82"/>
      <c r="L726" s="81"/>
      <c r="M726" s="82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2"/>
    </row>
    <row r="727" spans="1:28" ht="24" customHeight="1" x14ac:dyDescent="0.5">
      <c r="A727" s="81"/>
      <c r="B727" s="81"/>
      <c r="C727" s="81"/>
      <c r="D727" s="81"/>
      <c r="E727" s="81"/>
      <c r="F727" s="81"/>
      <c r="G727" s="82"/>
      <c r="H727" s="81"/>
      <c r="I727" s="81"/>
      <c r="J727" s="81"/>
      <c r="K727" s="82"/>
      <c r="L727" s="81"/>
      <c r="M727" s="82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2"/>
    </row>
    <row r="728" spans="1:28" ht="24" customHeight="1" x14ac:dyDescent="0.5">
      <c r="A728" s="81"/>
      <c r="B728" s="81"/>
      <c r="C728" s="81"/>
      <c r="D728" s="81"/>
      <c r="E728" s="81"/>
      <c r="F728" s="81"/>
      <c r="G728" s="82"/>
      <c r="H728" s="81"/>
      <c r="I728" s="81"/>
      <c r="J728" s="81"/>
      <c r="K728" s="82"/>
      <c r="L728" s="81"/>
      <c r="M728" s="82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2"/>
    </row>
    <row r="729" spans="1:28" ht="24" customHeight="1" x14ac:dyDescent="0.5">
      <c r="A729" s="81"/>
      <c r="B729" s="81"/>
      <c r="C729" s="81"/>
      <c r="D729" s="81"/>
      <c r="E729" s="81"/>
      <c r="F729" s="81"/>
      <c r="G729" s="82"/>
      <c r="H729" s="81"/>
      <c r="I729" s="81"/>
      <c r="J729" s="81"/>
      <c r="K729" s="82"/>
      <c r="L729" s="81"/>
      <c r="M729" s="82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2"/>
    </row>
    <row r="730" spans="1:28" ht="24" customHeight="1" x14ac:dyDescent="0.5">
      <c r="A730" s="81"/>
      <c r="B730" s="81"/>
      <c r="C730" s="81"/>
      <c r="D730" s="81"/>
      <c r="E730" s="81"/>
      <c r="F730" s="81"/>
      <c r="G730" s="82"/>
      <c r="H730" s="81"/>
      <c r="I730" s="81"/>
      <c r="J730" s="81"/>
      <c r="K730" s="82"/>
      <c r="L730" s="81"/>
      <c r="M730" s="82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2"/>
    </row>
    <row r="731" spans="1:28" ht="24" customHeight="1" x14ac:dyDescent="0.5">
      <c r="A731" s="81"/>
      <c r="B731" s="81"/>
      <c r="C731" s="81"/>
      <c r="D731" s="81"/>
      <c r="E731" s="81"/>
      <c r="F731" s="81"/>
      <c r="G731" s="82"/>
      <c r="H731" s="81"/>
      <c r="I731" s="81"/>
      <c r="J731" s="81"/>
      <c r="K731" s="82"/>
      <c r="L731" s="81"/>
      <c r="M731" s="82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2"/>
    </row>
    <row r="732" spans="1:28" ht="24" customHeight="1" x14ac:dyDescent="0.5">
      <c r="A732" s="81"/>
      <c r="B732" s="81"/>
      <c r="C732" s="81"/>
      <c r="D732" s="81"/>
      <c r="E732" s="81"/>
      <c r="F732" s="81"/>
      <c r="G732" s="82"/>
      <c r="H732" s="81"/>
      <c r="I732" s="81"/>
      <c r="J732" s="81"/>
      <c r="K732" s="82"/>
      <c r="L732" s="81"/>
      <c r="M732" s="82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2"/>
    </row>
    <row r="733" spans="1:28" ht="24" customHeight="1" x14ac:dyDescent="0.5">
      <c r="A733" s="81"/>
      <c r="B733" s="81"/>
      <c r="C733" s="81"/>
      <c r="D733" s="81"/>
      <c r="E733" s="81"/>
      <c r="F733" s="81"/>
      <c r="G733" s="82"/>
      <c r="H733" s="81"/>
      <c r="I733" s="81"/>
      <c r="J733" s="81"/>
      <c r="K733" s="82"/>
      <c r="L733" s="81"/>
      <c r="M733" s="82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2"/>
    </row>
    <row r="734" spans="1:28" ht="24" customHeight="1" x14ac:dyDescent="0.5">
      <c r="A734" s="81"/>
      <c r="B734" s="81"/>
      <c r="C734" s="81"/>
      <c r="D734" s="81"/>
      <c r="E734" s="81"/>
      <c r="F734" s="81"/>
      <c r="G734" s="82"/>
      <c r="H734" s="81"/>
      <c r="I734" s="81"/>
      <c r="J734" s="81"/>
      <c r="K734" s="82"/>
      <c r="L734" s="81"/>
      <c r="M734" s="82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2"/>
    </row>
    <row r="735" spans="1:28" ht="24" customHeight="1" x14ac:dyDescent="0.5">
      <c r="A735" s="81"/>
      <c r="B735" s="81"/>
      <c r="C735" s="81"/>
      <c r="D735" s="81"/>
      <c r="E735" s="81"/>
      <c r="F735" s="81"/>
      <c r="G735" s="82"/>
      <c r="H735" s="81"/>
      <c r="I735" s="81"/>
      <c r="J735" s="81"/>
      <c r="K735" s="82"/>
      <c r="L735" s="81"/>
      <c r="M735" s="82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2"/>
    </row>
    <row r="736" spans="1:28" ht="24" customHeight="1" x14ac:dyDescent="0.5">
      <c r="A736" s="81"/>
      <c r="B736" s="81"/>
      <c r="C736" s="81"/>
      <c r="D736" s="81"/>
      <c r="E736" s="81"/>
      <c r="F736" s="81"/>
      <c r="G736" s="82"/>
      <c r="H736" s="81"/>
      <c r="I736" s="81"/>
      <c r="J736" s="81"/>
      <c r="K736" s="82"/>
      <c r="L736" s="81"/>
      <c r="M736" s="82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2"/>
    </row>
    <row r="737" spans="1:28" ht="24" customHeight="1" x14ac:dyDescent="0.5">
      <c r="A737" s="81"/>
      <c r="B737" s="81"/>
      <c r="C737" s="81"/>
      <c r="D737" s="81"/>
      <c r="E737" s="81"/>
      <c r="F737" s="81"/>
      <c r="G737" s="82"/>
      <c r="H737" s="81"/>
      <c r="I737" s="81"/>
      <c r="J737" s="81"/>
      <c r="K737" s="82"/>
      <c r="L737" s="81"/>
      <c r="M737" s="82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2"/>
    </row>
    <row r="738" spans="1:28" ht="24" customHeight="1" x14ac:dyDescent="0.5">
      <c r="A738" s="81"/>
      <c r="B738" s="81"/>
      <c r="C738" s="81"/>
      <c r="D738" s="81"/>
      <c r="E738" s="81"/>
      <c r="F738" s="81"/>
      <c r="G738" s="82"/>
      <c r="H738" s="81"/>
      <c r="I738" s="81"/>
      <c r="J738" s="81"/>
      <c r="K738" s="82"/>
      <c r="L738" s="81"/>
      <c r="M738" s="82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2"/>
    </row>
    <row r="739" spans="1:28" ht="24" customHeight="1" x14ac:dyDescent="0.5">
      <c r="A739" s="81"/>
      <c r="B739" s="81"/>
      <c r="C739" s="81"/>
      <c r="D739" s="81"/>
      <c r="E739" s="81"/>
      <c r="F739" s="81"/>
      <c r="G739" s="82"/>
      <c r="H739" s="81"/>
      <c r="I739" s="81"/>
      <c r="J739" s="81"/>
      <c r="K739" s="82"/>
      <c r="L739" s="81"/>
      <c r="M739" s="82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2"/>
    </row>
    <row r="740" spans="1:28" ht="24" customHeight="1" x14ac:dyDescent="0.5">
      <c r="A740" s="81"/>
      <c r="B740" s="81"/>
      <c r="C740" s="81"/>
      <c r="D740" s="81"/>
      <c r="E740" s="81"/>
      <c r="F740" s="81"/>
      <c r="G740" s="82"/>
      <c r="H740" s="81"/>
      <c r="I740" s="81"/>
      <c r="J740" s="81"/>
      <c r="K740" s="82"/>
      <c r="L740" s="81"/>
      <c r="M740" s="82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2"/>
    </row>
    <row r="741" spans="1:28" ht="24" customHeight="1" x14ac:dyDescent="0.5">
      <c r="A741" s="81"/>
      <c r="B741" s="81"/>
      <c r="C741" s="81"/>
      <c r="D741" s="81"/>
      <c r="E741" s="81"/>
      <c r="F741" s="81"/>
      <c r="G741" s="82"/>
      <c r="H741" s="81"/>
      <c r="I741" s="81"/>
      <c r="J741" s="81"/>
      <c r="K741" s="82"/>
      <c r="L741" s="81"/>
      <c r="M741" s="82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2"/>
    </row>
    <row r="742" spans="1:28" ht="24" customHeight="1" x14ac:dyDescent="0.5">
      <c r="A742" s="81"/>
      <c r="B742" s="81"/>
      <c r="C742" s="81"/>
      <c r="D742" s="81"/>
      <c r="E742" s="81"/>
      <c r="F742" s="81"/>
      <c r="G742" s="82"/>
      <c r="H742" s="81"/>
      <c r="I742" s="81"/>
      <c r="J742" s="81"/>
      <c r="K742" s="82"/>
      <c r="L742" s="81"/>
      <c r="M742" s="82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2"/>
    </row>
    <row r="743" spans="1:28" ht="24" customHeight="1" x14ac:dyDescent="0.5">
      <c r="A743" s="81"/>
      <c r="B743" s="81"/>
      <c r="C743" s="81"/>
      <c r="D743" s="81"/>
      <c r="E743" s="81"/>
      <c r="F743" s="81"/>
      <c r="G743" s="82"/>
      <c r="H743" s="81"/>
      <c r="I743" s="81"/>
      <c r="J743" s="81"/>
      <c r="K743" s="82"/>
      <c r="L743" s="81"/>
      <c r="M743" s="82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2"/>
    </row>
    <row r="744" spans="1:28" ht="24" customHeight="1" x14ac:dyDescent="0.5">
      <c r="A744" s="81"/>
      <c r="B744" s="81"/>
      <c r="C744" s="81"/>
      <c r="D744" s="81"/>
      <c r="E744" s="81"/>
      <c r="F744" s="81"/>
      <c r="G744" s="82"/>
      <c r="H744" s="81"/>
      <c r="I744" s="81"/>
      <c r="J744" s="81"/>
      <c r="K744" s="82"/>
      <c r="L744" s="81"/>
      <c r="M744" s="82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2"/>
    </row>
    <row r="745" spans="1:28" ht="24" customHeight="1" x14ac:dyDescent="0.5">
      <c r="A745" s="81"/>
      <c r="B745" s="81"/>
      <c r="C745" s="81"/>
      <c r="D745" s="81"/>
      <c r="E745" s="81"/>
      <c r="F745" s="81"/>
      <c r="G745" s="82"/>
      <c r="H745" s="81"/>
      <c r="I745" s="81"/>
      <c r="J745" s="81"/>
      <c r="K745" s="82"/>
      <c r="L745" s="81"/>
      <c r="M745" s="82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2"/>
    </row>
    <row r="746" spans="1:28" ht="24" customHeight="1" x14ac:dyDescent="0.5">
      <c r="A746" s="81"/>
      <c r="B746" s="81"/>
      <c r="C746" s="81"/>
      <c r="D746" s="81"/>
      <c r="E746" s="81"/>
      <c r="F746" s="81"/>
      <c r="G746" s="82"/>
      <c r="H746" s="81"/>
      <c r="I746" s="81"/>
      <c r="J746" s="81"/>
      <c r="K746" s="82"/>
      <c r="L746" s="81"/>
      <c r="M746" s="82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2"/>
    </row>
    <row r="747" spans="1:28" ht="24" customHeight="1" x14ac:dyDescent="0.5">
      <c r="A747" s="81"/>
      <c r="B747" s="81"/>
      <c r="C747" s="81"/>
      <c r="D747" s="81"/>
      <c r="E747" s="81"/>
      <c r="F747" s="81"/>
      <c r="G747" s="82"/>
      <c r="H747" s="81"/>
      <c r="I747" s="81"/>
      <c r="J747" s="81"/>
      <c r="K747" s="82"/>
      <c r="L747" s="81"/>
      <c r="M747" s="82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2"/>
    </row>
    <row r="748" spans="1:28" ht="24" customHeight="1" x14ac:dyDescent="0.5">
      <c r="A748" s="81"/>
      <c r="B748" s="81"/>
      <c r="C748" s="81"/>
      <c r="D748" s="81"/>
      <c r="E748" s="81"/>
      <c r="F748" s="81"/>
      <c r="G748" s="82"/>
      <c r="H748" s="81"/>
      <c r="I748" s="81"/>
      <c r="J748" s="81"/>
      <c r="K748" s="82"/>
      <c r="L748" s="81"/>
      <c r="M748" s="82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2"/>
    </row>
    <row r="749" spans="1:28" ht="24" customHeight="1" x14ac:dyDescent="0.5">
      <c r="A749" s="81"/>
      <c r="B749" s="81"/>
      <c r="C749" s="81"/>
      <c r="D749" s="81"/>
      <c r="E749" s="81"/>
      <c r="F749" s="81"/>
      <c r="G749" s="82"/>
      <c r="H749" s="81"/>
      <c r="I749" s="81"/>
      <c r="J749" s="81"/>
      <c r="K749" s="82"/>
      <c r="L749" s="81"/>
      <c r="M749" s="82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2"/>
    </row>
    <row r="750" spans="1:28" ht="24" customHeight="1" x14ac:dyDescent="0.5">
      <c r="A750" s="81"/>
      <c r="B750" s="81"/>
      <c r="C750" s="81"/>
      <c r="D750" s="81"/>
      <c r="E750" s="81"/>
      <c r="F750" s="81"/>
      <c r="G750" s="82"/>
      <c r="H750" s="81"/>
      <c r="I750" s="81"/>
      <c r="J750" s="81"/>
      <c r="K750" s="82"/>
      <c r="L750" s="81"/>
      <c r="M750" s="82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2"/>
    </row>
    <row r="751" spans="1:28" ht="24" customHeight="1" x14ac:dyDescent="0.5">
      <c r="A751" s="81"/>
      <c r="B751" s="81"/>
      <c r="C751" s="81"/>
      <c r="D751" s="81"/>
      <c r="E751" s="81"/>
      <c r="F751" s="81"/>
      <c r="G751" s="82"/>
      <c r="H751" s="81"/>
      <c r="I751" s="81"/>
      <c r="J751" s="81"/>
      <c r="K751" s="82"/>
      <c r="L751" s="81"/>
      <c r="M751" s="82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2"/>
    </row>
    <row r="752" spans="1:28" ht="24" customHeight="1" x14ac:dyDescent="0.5">
      <c r="A752" s="81"/>
      <c r="B752" s="81"/>
      <c r="C752" s="81"/>
      <c r="D752" s="81"/>
      <c r="E752" s="81"/>
      <c r="F752" s="81"/>
      <c r="G752" s="82"/>
      <c r="H752" s="81"/>
      <c r="I752" s="81"/>
      <c r="J752" s="81"/>
      <c r="K752" s="82"/>
      <c r="L752" s="81"/>
      <c r="M752" s="82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2"/>
    </row>
    <row r="753" spans="1:28" ht="24" customHeight="1" x14ac:dyDescent="0.5">
      <c r="A753" s="81"/>
      <c r="B753" s="81"/>
      <c r="C753" s="81"/>
      <c r="D753" s="81"/>
      <c r="E753" s="81"/>
      <c r="F753" s="81"/>
      <c r="G753" s="82"/>
      <c r="H753" s="81"/>
      <c r="I753" s="81"/>
      <c r="J753" s="81"/>
      <c r="K753" s="82"/>
      <c r="L753" s="81"/>
      <c r="M753" s="82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2"/>
    </row>
    <row r="754" spans="1:28" ht="24" customHeight="1" x14ac:dyDescent="0.5">
      <c r="A754" s="81"/>
      <c r="B754" s="81"/>
      <c r="C754" s="81"/>
      <c r="D754" s="81"/>
      <c r="E754" s="81"/>
      <c r="F754" s="81"/>
      <c r="G754" s="82"/>
      <c r="H754" s="81"/>
      <c r="I754" s="81"/>
      <c r="J754" s="81"/>
      <c r="K754" s="82"/>
      <c r="L754" s="81"/>
      <c r="M754" s="82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2"/>
    </row>
    <row r="755" spans="1:28" ht="24" customHeight="1" x14ac:dyDescent="0.5">
      <c r="A755" s="81"/>
      <c r="B755" s="81"/>
      <c r="C755" s="81"/>
      <c r="D755" s="81"/>
      <c r="E755" s="81"/>
      <c r="F755" s="81"/>
      <c r="G755" s="82"/>
      <c r="H755" s="81"/>
      <c r="I755" s="81"/>
      <c r="J755" s="81"/>
      <c r="K755" s="82"/>
      <c r="L755" s="81"/>
      <c r="M755" s="82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2"/>
    </row>
    <row r="756" spans="1:28" ht="24" customHeight="1" x14ac:dyDescent="0.5">
      <c r="A756" s="81"/>
      <c r="B756" s="81"/>
      <c r="C756" s="81"/>
      <c r="D756" s="81"/>
      <c r="E756" s="81"/>
      <c r="F756" s="81"/>
      <c r="G756" s="82"/>
      <c r="H756" s="81"/>
      <c r="I756" s="81"/>
      <c r="J756" s="81"/>
      <c r="K756" s="82"/>
      <c r="L756" s="81"/>
      <c r="M756" s="82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2"/>
    </row>
    <row r="757" spans="1:28" ht="24" customHeight="1" x14ac:dyDescent="0.5">
      <c r="A757" s="81"/>
      <c r="B757" s="81"/>
      <c r="C757" s="81"/>
      <c r="D757" s="81"/>
      <c r="E757" s="81"/>
      <c r="F757" s="81"/>
      <c r="G757" s="82"/>
      <c r="H757" s="81"/>
      <c r="I757" s="81"/>
      <c r="J757" s="81"/>
      <c r="K757" s="82"/>
      <c r="L757" s="81"/>
      <c r="M757" s="82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2"/>
    </row>
    <row r="758" spans="1:28" ht="24" customHeight="1" x14ac:dyDescent="0.5">
      <c r="A758" s="81"/>
      <c r="B758" s="81"/>
      <c r="C758" s="81"/>
      <c r="D758" s="81"/>
      <c r="E758" s="81"/>
      <c r="F758" s="81"/>
      <c r="G758" s="82"/>
      <c r="H758" s="81"/>
      <c r="I758" s="81"/>
      <c r="J758" s="81"/>
      <c r="K758" s="82"/>
      <c r="L758" s="81"/>
      <c r="M758" s="82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2"/>
    </row>
    <row r="759" spans="1:28" ht="24" customHeight="1" x14ac:dyDescent="0.5">
      <c r="A759" s="81"/>
      <c r="B759" s="81"/>
      <c r="C759" s="81"/>
      <c r="D759" s="81"/>
      <c r="E759" s="81"/>
      <c r="F759" s="81"/>
      <c r="G759" s="82"/>
      <c r="H759" s="81"/>
      <c r="I759" s="81"/>
      <c r="J759" s="81"/>
      <c r="K759" s="82"/>
      <c r="L759" s="81"/>
      <c r="M759" s="82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2"/>
    </row>
    <row r="760" spans="1:28" ht="24" customHeight="1" x14ac:dyDescent="0.5">
      <c r="A760" s="81"/>
      <c r="B760" s="81"/>
      <c r="C760" s="81"/>
      <c r="D760" s="81"/>
      <c r="E760" s="81"/>
      <c r="F760" s="81"/>
      <c r="G760" s="82"/>
      <c r="H760" s="81"/>
      <c r="I760" s="81"/>
      <c r="J760" s="81"/>
      <c r="K760" s="82"/>
      <c r="L760" s="81"/>
      <c r="M760" s="82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2"/>
    </row>
    <row r="761" spans="1:28" ht="24" customHeight="1" x14ac:dyDescent="0.5">
      <c r="A761" s="81"/>
      <c r="B761" s="81"/>
      <c r="C761" s="81"/>
      <c r="D761" s="81"/>
      <c r="E761" s="81"/>
      <c r="F761" s="81"/>
      <c r="G761" s="82"/>
      <c r="H761" s="81"/>
      <c r="I761" s="81"/>
      <c r="J761" s="81"/>
      <c r="K761" s="82"/>
      <c r="L761" s="81"/>
      <c r="M761" s="82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2"/>
    </row>
    <row r="762" spans="1:28" ht="24" customHeight="1" x14ac:dyDescent="0.5">
      <c r="A762" s="81"/>
      <c r="B762" s="81"/>
      <c r="C762" s="81"/>
      <c r="D762" s="81"/>
      <c r="E762" s="81"/>
      <c r="F762" s="81"/>
      <c r="G762" s="82"/>
      <c r="H762" s="81"/>
      <c r="I762" s="81"/>
      <c r="J762" s="81"/>
      <c r="K762" s="82"/>
      <c r="L762" s="81"/>
      <c r="M762" s="82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2"/>
    </row>
    <row r="763" spans="1:28" ht="24" customHeight="1" x14ac:dyDescent="0.5">
      <c r="A763" s="81"/>
      <c r="B763" s="81"/>
      <c r="C763" s="81"/>
      <c r="D763" s="81"/>
      <c r="E763" s="81"/>
      <c r="F763" s="81"/>
      <c r="G763" s="82"/>
      <c r="H763" s="81"/>
      <c r="I763" s="81"/>
      <c r="J763" s="81"/>
      <c r="K763" s="82"/>
      <c r="L763" s="81"/>
      <c r="M763" s="82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2"/>
    </row>
    <row r="764" spans="1:28" ht="24" customHeight="1" x14ac:dyDescent="0.5">
      <c r="A764" s="81"/>
      <c r="B764" s="81"/>
      <c r="C764" s="81"/>
      <c r="D764" s="81"/>
      <c r="E764" s="81"/>
      <c r="F764" s="81"/>
      <c r="G764" s="82"/>
      <c r="H764" s="81"/>
      <c r="I764" s="81"/>
      <c r="J764" s="81"/>
      <c r="K764" s="82"/>
      <c r="L764" s="81"/>
      <c r="M764" s="82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2"/>
    </row>
    <row r="765" spans="1:28" ht="24" customHeight="1" x14ac:dyDescent="0.5">
      <c r="A765" s="81"/>
      <c r="B765" s="81"/>
      <c r="C765" s="81"/>
      <c r="D765" s="81"/>
      <c r="E765" s="81"/>
      <c r="F765" s="81"/>
      <c r="G765" s="82"/>
      <c r="H765" s="81"/>
      <c r="I765" s="81"/>
      <c r="J765" s="81"/>
      <c r="K765" s="82"/>
      <c r="L765" s="81"/>
      <c r="M765" s="82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2"/>
    </row>
    <row r="766" spans="1:28" ht="24" customHeight="1" x14ac:dyDescent="0.5">
      <c r="A766" s="81"/>
      <c r="B766" s="81"/>
      <c r="C766" s="81"/>
      <c r="D766" s="81"/>
      <c r="E766" s="81"/>
      <c r="F766" s="81"/>
      <c r="G766" s="82"/>
      <c r="H766" s="81"/>
      <c r="I766" s="81"/>
      <c r="J766" s="81"/>
      <c r="K766" s="82"/>
      <c r="L766" s="81"/>
      <c r="M766" s="82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2"/>
    </row>
    <row r="767" spans="1:28" ht="24" customHeight="1" x14ac:dyDescent="0.5">
      <c r="A767" s="81"/>
      <c r="B767" s="81"/>
      <c r="C767" s="81"/>
      <c r="D767" s="81"/>
      <c r="E767" s="81"/>
      <c r="F767" s="81"/>
      <c r="G767" s="82"/>
      <c r="H767" s="81"/>
      <c r="I767" s="81"/>
      <c r="J767" s="81"/>
      <c r="K767" s="82"/>
      <c r="L767" s="81"/>
      <c r="M767" s="82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2"/>
    </row>
    <row r="768" spans="1:28" ht="24" customHeight="1" x14ac:dyDescent="0.5">
      <c r="A768" s="81"/>
      <c r="B768" s="81"/>
      <c r="C768" s="81"/>
      <c r="D768" s="81"/>
      <c r="E768" s="81"/>
      <c r="F768" s="81"/>
      <c r="G768" s="82"/>
      <c r="H768" s="81"/>
      <c r="I768" s="81"/>
      <c r="J768" s="81"/>
      <c r="K768" s="82"/>
      <c r="L768" s="81"/>
      <c r="M768" s="82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2"/>
    </row>
    <row r="769" spans="1:28" ht="24" customHeight="1" x14ac:dyDescent="0.5">
      <c r="A769" s="81"/>
      <c r="B769" s="81"/>
      <c r="C769" s="81"/>
      <c r="D769" s="81"/>
      <c r="E769" s="81"/>
      <c r="F769" s="81"/>
      <c r="G769" s="82"/>
      <c r="H769" s="81"/>
      <c r="I769" s="81"/>
      <c r="J769" s="81"/>
      <c r="K769" s="82"/>
      <c r="L769" s="81"/>
      <c r="M769" s="82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2"/>
    </row>
    <row r="770" spans="1:28" ht="24" customHeight="1" x14ac:dyDescent="0.5">
      <c r="A770" s="81"/>
      <c r="B770" s="81"/>
      <c r="C770" s="81"/>
      <c r="D770" s="81"/>
      <c r="E770" s="81"/>
      <c r="F770" s="81"/>
      <c r="G770" s="82"/>
      <c r="H770" s="81"/>
      <c r="I770" s="81"/>
      <c r="J770" s="81"/>
      <c r="K770" s="82"/>
      <c r="L770" s="81"/>
      <c r="M770" s="82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2"/>
    </row>
    <row r="771" spans="1:28" ht="24" customHeight="1" x14ac:dyDescent="0.5">
      <c r="A771" s="81"/>
      <c r="B771" s="81"/>
      <c r="C771" s="81"/>
      <c r="D771" s="81"/>
      <c r="E771" s="81"/>
      <c r="F771" s="81"/>
      <c r="G771" s="82"/>
      <c r="H771" s="81"/>
      <c r="I771" s="81"/>
      <c r="J771" s="81"/>
      <c r="K771" s="82"/>
      <c r="L771" s="81"/>
      <c r="M771" s="82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2"/>
    </row>
    <row r="772" spans="1:28" ht="24" customHeight="1" x14ac:dyDescent="0.5">
      <c r="A772" s="81"/>
      <c r="B772" s="81"/>
      <c r="C772" s="81"/>
      <c r="D772" s="81"/>
      <c r="E772" s="81"/>
      <c r="F772" s="81"/>
      <c r="G772" s="82"/>
      <c r="H772" s="81"/>
      <c r="I772" s="81"/>
      <c r="J772" s="81"/>
      <c r="K772" s="82"/>
      <c r="L772" s="81"/>
      <c r="M772" s="82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2"/>
    </row>
    <row r="773" spans="1:28" ht="24" customHeight="1" x14ac:dyDescent="0.5">
      <c r="A773" s="81"/>
      <c r="B773" s="81"/>
      <c r="C773" s="81"/>
      <c r="D773" s="81"/>
      <c r="E773" s="81"/>
      <c r="F773" s="81"/>
      <c r="G773" s="82"/>
      <c r="H773" s="81"/>
      <c r="I773" s="81"/>
      <c r="J773" s="81"/>
      <c r="K773" s="82"/>
      <c r="L773" s="81"/>
      <c r="M773" s="82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2"/>
    </row>
    <row r="774" spans="1:28" ht="24" customHeight="1" x14ac:dyDescent="0.5">
      <c r="A774" s="81"/>
      <c r="B774" s="81"/>
      <c r="C774" s="81"/>
      <c r="D774" s="81"/>
      <c r="E774" s="81"/>
      <c r="F774" s="81"/>
      <c r="G774" s="82"/>
      <c r="H774" s="81"/>
      <c r="I774" s="81"/>
      <c r="J774" s="81"/>
      <c r="K774" s="82"/>
      <c r="L774" s="81"/>
      <c r="M774" s="82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2"/>
    </row>
    <row r="775" spans="1:28" ht="24" customHeight="1" x14ac:dyDescent="0.5">
      <c r="A775" s="81"/>
      <c r="B775" s="81"/>
      <c r="C775" s="81"/>
      <c r="D775" s="81"/>
      <c r="E775" s="81"/>
      <c r="F775" s="81"/>
      <c r="G775" s="82"/>
      <c r="H775" s="81"/>
      <c r="I775" s="81"/>
      <c r="J775" s="81"/>
      <c r="K775" s="82"/>
      <c r="L775" s="81"/>
      <c r="M775" s="82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2"/>
    </row>
    <row r="776" spans="1:28" ht="24" customHeight="1" x14ac:dyDescent="0.5">
      <c r="A776" s="81"/>
      <c r="B776" s="81"/>
      <c r="C776" s="81"/>
      <c r="D776" s="81"/>
      <c r="E776" s="81"/>
      <c r="F776" s="81"/>
      <c r="G776" s="82"/>
      <c r="H776" s="81"/>
      <c r="I776" s="81"/>
      <c r="J776" s="81"/>
      <c r="K776" s="82"/>
      <c r="L776" s="81"/>
      <c r="M776" s="82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2"/>
    </row>
    <row r="777" spans="1:28" ht="24" customHeight="1" x14ac:dyDescent="0.5">
      <c r="A777" s="81"/>
      <c r="B777" s="81"/>
      <c r="C777" s="81"/>
      <c r="D777" s="81"/>
      <c r="E777" s="81"/>
      <c r="F777" s="81"/>
      <c r="G777" s="82"/>
      <c r="H777" s="81"/>
      <c r="I777" s="81"/>
      <c r="J777" s="81"/>
      <c r="K777" s="82"/>
      <c r="L777" s="81"/>
      <c r="M777" s="82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2"/>
    </row>
    <row r="778" spans="1:28" ht="24" customHeight="1" x14ac:dyDescent="0.5">
      <c r="A778" s="81"/>
      <c r="B778" s="81"/>
      <c r="C778" s="81"/>
      <c r="D778" s="81"/>
      <c r="E778" s="81"/>
      <c r="F778" s="81"/>
      <c r="G778" s="82"/>
      <c r="H778" s="81"/>
      <c r="I778" s="81"/>
      <c r="J778" s="81"/>
      <c r="K778" s="82"/>
      <c r="L778" s="81"/>
      <c r="M778" s="82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2"/>
    </row>
    <row r="779" spans="1:28" ht="24" customHeight="1" x14ac:dyDescent="0.5">
      <c r="A779" s="81"/>
      <c r="B779" s="81"/>
      <c r="C779" s="81"/>
      <c r="D779" s="81"/>
      <c r="E779" s="81"/>
      <c r="F779" s="81"/>
      <c r="G779" s="82"/>
      <c r="H779" s="81"/>
      <c r="I779" s="81"/>
      <c r="J779" s="81"/>
      <c r="K779" s="82"/>
      <c r="L779" s="81"/>
      <c r="M779" s="82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2"/>
    </row>
    <row r="780" spans="1:28" ht="24" customHeight="1" x14ac:dyDescent="0.5">
      <c r="A780" s="81"/>
      <c r="B780" s="81"/>
      <c r="C780" s="81"/>
      <c r="D780" s="81"/>
      <c r="E780" s="81"/>
      <c r="F780" s="81"/>
      <c r="G780" s="82"/>
      <c r="H780" s="81"/>
      <c r="I780" s="81"/>
      <c r="J780" s="81"/>
      <c r="K780" s="82"/>
      <c r="L780" s="81"/>
      <c r="M780" s="82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2"/>
    </row>
    <row r="781" spans="1:28" ht="24" customHeight="1" x14ac:dyDescent="0.5">
      <c r="A781" s="81"/>
      <c r="B781" s="81"/>
      <c r="C781" s="81"/>
      <c r="D781" s="81"/>
      <c r="E781" s="81"/>
      <c r="F781" s="81"/>
      <c r="G781" s="82"/>
      <c r="H781" s="81"/>
      <c r="I781" s="81"/>
      <c r="J781" s="81"/>
      <c r="K781" s="82"/>
      <c r="L781" s="81"/>
      <c r="M781" s="82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2"/>
    </row>
    <row r="782" spans="1:28" ht="24" customHeight="1" x14ac:dyDescent="0.5">
      <c r="A782" s="81"/>
      <c r="B782" s="81"/>
      <c r="C782" s="81"/>
      <c r="D782" s="81"/>
      <c r="E782" s="81"/>
      <c r="F782" s="81"/>
      <c r="G782" s="82"/>
      <c r="H782" s="81"/>
      <c r="I782" s="81"/>
      <c r="J782" s="81"/>
      <c r="K782" s="82"/>
      <c r="L782" s="81"/>
      <c r="M782" s="82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2"/>
    </row>
    <row r="783" spans="1:28" ht="24" customHeight="1" x14ac:dyDescent="0.5">
      <c r="A783" s="81"/>
      <c r="B783" s="81"/>
      <c r="C783" s="81"/>
      <c r="D783" s="81"/>
      <c r="E783" s="81"/>
      <c r="F783" s="81"/>
      <c r="G783" s="82"/>
      <c r="H783" s="81"/>
      <c r="I783" s="81"/>
      <c r="J783" s="81"/>
      <c r="K783" s="82"/>
      <c r="L783" s="81"/>
      <c r="M783" s="82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2"/>
    </row>
    <row r="784" spans="1:28" ht="24" customHeight="1" x14ac:dyDescent="0.5">
      <c r="A784" s="81"/>
      <c r="B784" s="81"/>
      <c r="C784" s="81"/>
      <c r="D784" s="81"/>
      <c r="E784" s="81"/>
      <c r="F784" s="81"/>
      <c r="G784" s="82"/>
      <c r="H784" s="81"/>
      <c r="I784" s="81"/>
      <c r="J784" s="81"/>
      <c r="K784" s="82"/>
      <c r="L784" s="81"/>
      <c r="M784" s="82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2"/>
    </row>
    <row r="785" spans="1:28" ht="24" customHeight="1" x14ac:dyDescent="0.5">
      <c r="A785" s="81"/>
      <c r="B785" s="81"/>
      <c r="C785" s="81"/>
      <c r="D785" s="81"/>
      <c r="E785" s="81"/>
      <c r="F785" s="81"/>
      <c r="G785" s="82"/>
      <c r="H785" s="81"/>
      <c r="I785" s="81"/>
      <c r="J785" s="81"/>
      <c r="K785" s="82"/>
      <c r="L785" s="81"/>
      <c r="M785" s="82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2"/>
    </row>
    <row r="786" spans="1:28" ht="24" customHeight="1" x14ac:dyDescent="0.5">
      <c r="A786" s="81"/>
      <c r="B786" s="81"/>
      <c r="C786" s="81"/>
      <c r="D786" s="81"/>
      <c r="E786" s="81"/>
      <c r="F786" s="81"/>
      <c r="G786" s="82"/>
      <c r="H786" s="81"/>
      <c r="I786" s="81"/>
      <c r="J786" s="81"/>
      <c r="K786" s="82"/>
      <c r="L786" s="81"/>
      <c r="M786" s="82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2"/>
    </row>
    <row r="787" spans="1:28" ht="24" customHeight="1" x14ac:dyDescent="0.5">
      <c r="A787" s="81"/>
      <c r="B787" s="81"/>
      <c r="C787" s="81"/>
      <c r="D787" s="81"/>
      <c r="E787" s="81"/>
      <c r="F787" s="81"/>
      <c r="G787" s="82"/>
      <c r="H787" s="81"/>
      <c r="I787" s="81"/>
      <c r="J787" s="81"/>
      <c r="K787" s="82"/>
      <c r="L787" s="81"/>
      <c r="M787" s="82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2"/>
    </row>
    <row r="788" spans="1:28" ht="24" customHeight="1" x14ac:dyDescent="0.5">
      <c r="A788" s="81"/>
      <c r="B788" s="81"/>
      <c r="C788" s="81"/>
      <c r="D788" s="81"/>
      <c r="E788" s="81"/>
      <c r="F788" s="81"/>
      <c r="G788" s="82"/>
      <c r="H788" s="81"/>
      <c r="I788" s="81"/>
      <c r="J788" s="81"/>
      <c r="K788" s="82"/>
      <c r="L788" s="81"/>
      <c r="M788" s="82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2"/>
    </row>
    <row r="789" spans="1:28" ht="24" customHeight="1" x14ac:dyDescent="0.5">
      <c r="A789" s="81"/>
      <c r="B789" s="81"/>
      <c r="C789" s="81"/>
      <c r="D789" s="81"/>
      <c r="E789" s="81"/>
      <c r="F789" s="81"/>
      <c r="G789" s="82"/>
      <c r="H789" s="81"/>
      <c r="I789" s="81"/>
      <c r="J789" s="81"/>
      <c r="K789" s="82"/>
      <c r="L789" s="81"/>
      <c r="M789" s="82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2"/>
    </row>
    <row r="790" spans="1:28" ht="24" customHeight="1" x14ac:dyDescent="0.5">
      <c r="A790" s="81"/>
      <c r="B790" s="81"/>
      <c r="C790" s="81"/>
      <c r="D790" s="81"/>
      <c r="E790" s="81"/>
      <c r="F790" s="81"/>
      <c r="G790" s="82"/>
      <c r="H790" s="81"/>
      <c r="I790" s="81"/>
      <c r="J790" s="81"/>
      <c r="K790" s="82"/>
      <c r="L790" s="81"/>
      <c r="M790" s="82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2"/>
    </row>
    <row r="791" spans="1:28" ht="24" customHeight="1" x14ac:dyDescent="0.5">
      <c r="A791" s="81"/>
      <c r="B791" s="81"/>
      <c r="C791" s="81"/>
      <c r="D791" s="81"/>
      <c r="E791" s="81"/>
      <c r="F791" s="81"/>
      <c r="G791" s="82"/>
      <c r="H791" s="81"/>
      <c r="I791" s="81"/>
      <c r="J791" s="81"/>
      <c r="K791" s="82"/>
      <c r="L791" s="81"/>
      <c r="M791" s="82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2"/>
    </row>
    <row r="792" spans="1:28" ht="24" customHeight="1" x14ac:dyDescent="0.5">
      <c r="A792" s="81"/>
      <c r="B792" s="81"/>
      <c r="C792" s="81"/>
      <c r="D792" s="81"/>
      <c r="E792" s="81"/>
      <c r="F792" s="81"/>
      <c r="G792" s="82"/>
      <c r="H792" s="81"/>
      <c r="I792" s="81"/>
      <c r="J792" s="81"/>
      <c r="K792" s="82"/>
      <c r="L792" s="81"/>
      <c r="M792" s="82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2"/>
    </row>
    <row r="793" spans="1:28" ht="24" customHeight="1" x14ac:dyDescent="0.5">
      <c r="A793" s="81"/>
      <c r="B793" s="81"/>
      <c r="C793" s="81"/>
      <c r="D793" s="81"/>
      <c r="E793" s="81"/>
      <c r="F793" s="81"/>
      <c r="G793" s="82"/>
      <c r="H793" s="81"/>
      <c r="I793" s="81"/>
      <c r="J793" s="81"/>
      <c r="K793" s="82"/>
      <c r="L793" s="81"/>
      <c r="M793" s="82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2"/>
    </row>
    <row r="794" spans="1:28" ht="24" customHeight="1" x14ac:dyDescent="0.5">
      <c r="A794" s="81"/>
      <c r="B794" s="81"/>
      <c r="C794" s="81"/>
      <c r="D794" s="81"/>
      <c r="E794" s="81"/>
      <c r="F794" s="81"/>
      <c r="G794" s="82"/>
      <c r="H794" s="81"/>
      <c r="I794" s="81"/>
      <c r="J794" s="81"/>
      <c r="K794" s="82"/>
      <c r="L794" s="81"/>
      <c r="M794" s="82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2"/>
    </row>
    <row r="795" spans="1:28" ht="24" customHeight="1" x14ac:dyDescent="0.5">
      <c r="A795" s="81"/>
      <c r="B795" s="81"/>
      <c r="C795" s="81"/>
      <c r="D795" s="81"/>
      <c r="E795" s="81"/>
      <c r="F795" s="81"/>
      <c r="G795" s="82"/>
      <c r="H795" s="81"/>
      <c r="I795" s="81"/>
      <c r="J795" s="81"/>
      <c r="K795" s="82"/>
      <c r="L795" s="81"/>
      <c r="M795" s="82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2"/>
    </row>
    <row r="796" spans="1:28" ht="24" customHeight="1" x14ac:dyDescent="0.5">
      <c r="A796" s="81"/>
      <c r="B796" s="81"/>
      <c r="C796" s="81"/>
      <c r="D796" s="81"/>
      <c r="E796" s="81"/>
      <c r="F796" s="81"/>
      <c r="G796" s="82"/>
      <c r="H796" s="81"/>
      <c r="I796" s="81"/>
      <c r="J796" s="81"/>
      <c r="K796" s="82"/>
      <c r="L796" s="81"/>
      <c r="M796" s="82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2"/>
    </row>
    <row r="797" spans="1:28" ht="24" customHeight="1" x14ac:dyDescent="0.5">
      <c r="A797" s="81"/>
      <c r="B797" s="81"/>
      <c r="C797" s="81"/>
      <c r="D797" s="81"/>
      <c r="E797" s="81"/>
      <c r="F797" s="81"/>
      <c r="G797" s="82"/>
      <c r="H797" s="81"/>
      <c r="I797" s="81"/>
      <c r="J797" s="81"/>
      <c r="K797" s="82"/>
      <c r="L797" s="81"/>
      <c r="M797" s="82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2"/>
    </row>
    <row r="798" spans="1:28" ht="24" customHeight="1" x14ac:dyDescent="0.5">
      <c r="A798" s="81"/>
      <c r="B798" s="81"/>
      <c r="C798" s="81"/>
      <c r="D798" s="81"/>
      <c r="E798" s="81"/>
      <c r="F798" s="81"/>
      <c r="G798" s="82"/>
      <c r="H798" s="81"/>
      <c r="I798" s="81"/>
      <c r="J798" s="81"/>
      <c r="K798" s="82"/>
      <c r="L798" s="81"/>
      <c r="M798" s="82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2"/>
    </row>
    <row r="799" spans="1:28" ht="24" customHeight="1" x14ac:dyDescent="0.5">
      <c r="A799" s="81"/>
      <c r="B799" s="81"/>
      <c r="C799" s="81"/>
      <c r="D799" s="81"/>
      <c r="E799" s="81"/>
      <c r="F799" s="81"/>
      <c r="G799" s="82"/>
      <c r="H799" s="81"/>
      <c r="I799" s="81"/>
      <c r="J799" s="81"/>
      <c r="K799" s="82"/>
      <c r="L799" s="81"/>
      <c r="M799" s="82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2"/>
    </row>
    <row r="800" spans="1:28" ht="24" customHeight="1" x14ac:dyDescent="0.5">
      <c r="A800" s="81"/>
      <c r="B800" s="81"/>
      <c r="C800" s="81"/>
      <c r="D800" s="81"/>
      <c r="E800" s="81"/>
      <c r="F800" s="81"/>
      <c r="G800" s="82"/>
      <c r="H800" s="81"/>
      <c r="I800" s="81"/>
      <c r="J800" s="81"/>
      <c r="K800" s="82"/>
      <c r="L800" s="81"/>
      <c r="M800" s="82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2"/>
    </row>
    <row r="801" spans="1:28" ht="24" customHeight="1" x14ac:dyDescent="0.5">
      <c r="A801" s="81"/>
      <c r="B801" s="81"/>
      <c r="C801" s="81"/>
      <c r="D801" s="81"/>
      <c r="E801" s="81"/>
      <c r="F801" s="81"/>
      <c r="G801" s="82"/>
      <c r="H801" s="81"/>
      <c r="I801" s="81"/>
      <c r="J801" s="81"/>
      <c r="K801" s="82"/>
      <c r="L801" s="81"/>
      <c r="M801" s="82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2"/>
    </row>
    <row r="802" spans="1:28" ht="24" customHeight="1" x14ac:dyDescent="0.5">
      <c r="A802" s="81"/>
      <c r="B802" s="81"/>
      <c r="C802" s="81"/>
      <c r="D802" s="81"/>
      <c r="E802" s="81"/>
      <c r="F802" s="81"/>
      <c r="G802" s="82"/>
      <c r="H802" s="81"/>
      <c r="I802" s="81"/>
      <c r="J802" s="81"/>
      <c r="K802" s="82"/>
      <c r="L802" s="81"/>
      <c r="M802" s="82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2"/>
    </row>
    <row r="803" spans="1:28" ht="24" customHeight="1" x14ac:dyDescent="0.5">
      <c r="A803" s="81"/>
      <c r="B803" s="81"/>
      <c r="C803" s="81"/>
      <c r="D803" s="81"/>
      <c r="E803" s="81"/>
      <c r="F803" s="81"/>
      <c r="G803" s="82"/>
      <c r="H803" s="81"/>
      <c r="I803" s="81"/>
      <c r="J803" s="81"/>
      <c r="K803" s="82"/>
      <c r="L803" s="81"/>
      <c r="M803" s="82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2"/>
    </row>
    <row r="804" spans="1:28" ht="24" customHeight="1" x14ac:dyDescent="0.5">
      <c r="A804" s="81"/>
      <c r="B804" s="81"/>
      <c r="C804" s="81"/>
      <c r="D804" s="81"/>
      <c r="E804" s="81"/>
      <c r="F804" s="81"/>
      <c r="G804" s="82"/>
      <c r="H804" s="81"/>
      <c r="I804" s="81"/>
      <c r="J804" s="81"/>
      <c r="K804" s="82"/>
      <c r="L804" s="81"/>
      <c r="M804" s="82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2"/>
    </row>
    <row r="805" spans="1:28" ht="24" customHeight="1" x14ac:dyDescent="0.5">
      <c r="A805" s="81"/>
      <c r="B805" s="81"/>
      <c r="C805" s="81"/>
      <c r="D805" s="81"/>
      <c r="E805" s="81"/>
      <c r="F805" s="81"/>
      <c r="G805" s="82"/>
      <c r="H805" s="81"/>
      <c r="I805" s="81"/>
      <c r="J805" s="81"/>
      <c r="K805" s="82"/>
      <c r="L805" s="81"/>
      <c r="M805" s="82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2"/>
    </row>
    <row r="806" spans="1:28" ht="24" customHeight="1" x14ac:dyDescent="0.5">
      <c r="A806" s="81"/>
      <c r="B806" s="81"/>
      <c r="C806" s="81"/>
      <c r="D806" s="81"/>
      <c r="E806" s="81"/>
      <c r="F806" s="81"/>
      <c r="G806" s="82"/>
      <c r="H806" s="81"/>
      <c r="I806" s="81"/>
      <c r="J806" s="81"/>
      <c r="K806" s="82"/>
      <c r="L806" s="81"/>
      <c r="M806" s="82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2"/>
    </row>
    <row r="807" spans="1:28" ht="24" customHeight="1" x14ac:dyDescent="0.5">
      <c r="A807" s="81"/>
      <c r="B807" s="81"/>
      <c r="C807" s="81"/>
      <c r="D807" s="81"/>
      <c r="E807" s="81"/>
      <c r="F807" s="81"/>
      <c r="G807" s="82"/>
      <c r="H807" s="81"/>
      <c r="I807" s="81"/>
      <c r="J807" s="81"/>
      <c r="K807" s="82"/>
      <c r="L807" s="81"/>
      <c r="M807" s="82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2"/>
    </row>
    <row r="808" spans="1:28" ht="24" customHeight="1" x14ac:dyDescent="0.5">
      <c r="A808" s="81"/>
      <c r="B808" s="81"/>
      <c r="C808" s="81"/>
      <c r="D808" s="81"/>
      <c r="E808" s="81"/>
      <c r="F808" s="81"/>
      <c r="G808" s="82"/>
      <c r="H808" s="81"/>
      <c r="I808" s="81"/>
      <c r="J808" s="81"/>
      <c r="K808" s="82"/>
      <c r="L808" s="81"/>
      <c r="M808" s="82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2"/>
    </row>
    <row r="809" spans="1:28" ht="24" customHeight="1" x14ac:dyDescent="0.5">
      <c r="A809" s="81"/>
      <c r="B809" s="81"/>
      <c r="C809" s="81"/>
      <c r="D809" s="81"/>
      <c r="E809" s="81"/>
      <c r="F809" s="81"/>
      <c r="G809" s="82"/>
      <c r="H809" s="81"/>
      <c r="I809" s="81"/>
      <c r="J809" s="81"/>
      <c r="K809" s="82"/>
      <c r="L809" s="81"/>
      <c r="M809" s="82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2"/>
    </row>
    <row r="810" spans="1:28" ht="24" customHeight="1" x14ac:dyDescent="0.5">
      <c r="A810" s="81"/>
      <c r="B810" s="81"/>
      <c r="C810" s="81"/>
      <c r="D810" s="81"/>
      <c r="E810" s="81"/>
      <c r="F810" s="81"/>
      <c r="G810" s="82"/>
      <c r="H810" s="81"/>
      <c r="I810" s="81"/>
      <c r="J810" s="81"/>
      <c r="K810" s="82"/>
      <c r="L810" s="81"/>
      <c r="M810" s="82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2"/>
    </row>
    <row r="811" spans="1:28" ht="24" customHeight="1" x14ac:dyDescent="0.5">
      <c r="A811" s="81"/>
      <c r="B811" s="81"/>
      <c r="C811" s="81"/>
      <c r="D811" s="81"/>
      <c r="E811" s="81"/>
      <c r="F811" s="81"/>
      <c r="G811" s="82"/>
      <c r="H811" s="81"/>
      <c r="I811" s="81"/>
      <c r="J811" s="81"/>
      <c r="K811" s="82"/>
      <c r="L811" s="81"/>
      <c r="M811" s="82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2"/>
    </row>
    <row r="812" spans="1:28" ht="24" customHeight="1" x14ac:dyDescent="0.5">
      <c r="A812" s="81"/>
      <c r="B812" s="81"/>
      <c r="C812" s="81"/>
      <c r="D812" s="81"/>
      <c r="E812" s="81"/>
      <c r="F812" s="81"/>
      <c r="G812" s="82"/>
      <c r="H812" s="81"/>
      <c r="I812" s="81"/>
      <c r="J812" s="81"/>
      <c r="K812" s="82"/>
      <c r="L812" s="81"/>
      <c r="M812" s="82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2"/>
    </row>
    <row r="813" spans="1:28" ht="24" customHeight="1" x14ac:dyDescent="0.5">
      <c r="A813" s="81"/>
      <c r="B813" s="81"/>
      <c r="C813" s="81"/>
      <c r="D813" s="81"/>
      <c r="E813" s="81"/>
      <c r="F813" s="81"/>
      <c r="G813" s="82"/>
      <c r="H813" s="81"/>
      <c r="I813" s="81"/>
      <c r="J813" s="81"/>
      <c r="K813" s="82"/>
      <c r="L813" s="81"/>
      <c r="M813" s="82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2"/>
    </row>
    <row r="814" spans="1:28" ht="24" customHeight="1" x14ac:dyDescent="0.5">
      <c r="A814" s="81"/>
      <c r="B814" s="81"/>
      <c r="C814" s="81"/>
      <c r="D814" s="81"/>
      <c r="E814" s="81"/>
      <c r="F814" s="81"/>
      <c r="G814" s="82"/>
      <c r="H814" s="81"/>
      <c r="I814" s="81"/>
      <c r="J814" s="81"/>
      <c r="K814" s="82"/>
      <c r="L814" s="81"/>
      <c r="M814" s="82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2"/>
    </row>
    <row r="815" spans="1:28" ht="24" customHeight="1" x14ac:dyDescent="0.5">
      <c r="A815" s="81"/>
      <c r="B815" s="81"/>
      <c r="C815" s="81"/>
      <c r="D815" s="81"/>
      <c r="E815" s="81"/>
      <c r="F815" s="81"/>
      <c r="G815" s="82"/>
      <c r="H815" s="81"/>
      <c r="I815" s="81"/>
      <c r="J815" s="81"/>
      <c r="K815" s="82"/>
      <c r="L815" s="81"/>
      <c r="M815" s="82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2"/>
    </row>
    <row r="816" spans="1:28" ht="24" customHeight="1" x14ac:dyDescent="0.5">
      <c r="A816" s="81"/>
      <c r="B816" s="81"/>
      <c r="C816" s="81"/>
      <c r="D816" s="81"/>
      <c r="E816" s="81"/>
      <c r="F816" s="81"/>
      <c r="G816" s="82"/>
      <c r="H816" s="81"/>
      <c r="I816" s="81"/>
      <c r="J816" s="81"/>
      <c r="K816" s="82"/>
      <c r="L816" s="81"/>
      <c r="M816" s="82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2"/>
    </row>
    <row r="817" spans="1:28" ht="24" customHeight="1" x14ac:dyDescent="0.5">
      <c r="A817" s="81"/>
      <c r="B817" s="81"/>
      <c r="C817" s="81"/>
      <c r="D817" s="81"/>
      <c r="E817" s="81"/>
      <c r="F817" s="81"/>
      <c r="G817" s="82"/>
      <c r="H817" s="81"/>
      <c r="I817" s="81"/>
      <c r="J817" s="81"/>
      <c r="K817" s="82"/>
      <c r="L817" s="81"/>
      <c r="M817" s="82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2"/>
    </row>
    <row r="818" spans="1:28" ht="24" customHeight="1" x14ac:dyDescent="0.5">
      <c r="A818" s="81"/>
      <c r="B818" s="81"/>
      <c r="C818" s="81"/>
      <c r="D818" s="81"/>
      <c r="E818" s="81"/>
      <c r="F818" s="81"/>
      <c r="G818" s="82"/>
      <c r="H818" s="81"/>
      <c r="I818" s="81"/>
      <c r="J818" s="81"/>
      <c r="K818" s="82"/>
      <c r="L818" s="81"/>
      <c r="M818" s="82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2"/>
    </row>
    <row r="819" spans="1:28" ht="24" customHeight="1" x14ac:dyDescent="0.5">
      <c r="A819" s="81"/>
      <c r="B819" s="81"/>
      <c r="C819" s="81"/>
      <c r="D819" s="81"/>
      <c r="E819" s="81"/>
      <c r="F819" s="81"/>
      <c r="G819" s="82"/>
      <c r="H819" s="81"/>
      <c r="I819" s="81"/>
      <c r="J819" s="81"/>
      <c r="K819" s="82"/>
      <c r="L819" s="81"/>
      <c r="M819" s="82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2"/>
    </row>
    <row r="820" spans="1:28" ht="24" customHeight="1" x14ac:dyDescent="0.5">
      <c r="A820" s="81"/>
      <c r="B820" s="81"/>
      <c r="C820" s="81"/>
      <c r="D820" s="81"/>
      <c r="E820" s="81"/>
      <c r="F820" s="81"/>
      <c r="G820" s="82"/>
      <c r="H820" s="81"/>
      <c r="I820" s="81"/>
      <c r="J820" s="81"/>
      <c r="K820" s="82"/>
      <c r="L820" s="81"/>
      <c r="M820" s="82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2"/>
    </row>
    <row r="821" spans="1:28" ht="24" customHeight="1" x14ac:dyDescent="0.5">
      <c r="A821" s="81"/>
      <c r="B821" s="81"/>
      <c r="C821" s="81"/>
      <c r="D821" s="81"/>
      <c r="E821" s="81"/>
      <c r="F821" s="81"/>
      <c r="G821" s="82"/>
      <c r="H821" s="81"/>
      <c r="I821" s="81"/>
      <c r="J821" s="81"/>
      <c r="K821" s="82"/>
      <c r="L821" s="81"/>
      <c r="M821" s="82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2"/>
    </row>
    <row r="822" spans="1:28" ht="24" customHeight="1" x14ac:dyDescent="0.5">
      <c r="A822" s="81"/>
      <c r="B822" s="81"/>
      <c r="C822" s="81"/>
      <c r="D822" s="81"/>
      <c r="E822" s="81"/>
      <c r="F822" s="81"/>
      <c r="G822" s="82"/>
      <c r="H822" s="81"/>
      <c r="I822" s="81"/>
      <c r="J822" s="81"/>
      <c r="K822" s="82"/>
      <c r="L822" s="81"/>
      <c r="M822" s="82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2"/>
    </row>
    <row r="823" spans="1:28" ht="24" customHeight="1" x14ac:dyDescent="0.5">
      <c r="A823" s="81"/>
      <c r="B823" s="81"/>
      <c r="C823" s="81"/>
      <c r="D823" s="81"/>
      <c r="E823" s="81"/>
      <c r="F823" s="81"/>
      <c r="G823" s="82"/>
      <c r="H823" s="81"/>
      <c r="I823" s="81"/>
      <c r="J823" s="81"/>
      <c r="K823" s="82"/>
      <c r="L823" s="81"/>
      <c r="M823" s="82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2"/>
    </row>
    <row r="824" spans="1:28" ht="24" customHeight="1" x14ac:dyDescent="0.5">
      <c r="A824" s="81"/>
      <c r="B824" s="81"/>
      <c r="C824" s="81"/>
      <c r="D824" s="81"/>
      <c r="E824" s="81"/>
      <c r="F824" s="81"/>
      <c r="G824" s="82"/>
      <c r="H824" s="81"/>
      <c r="I824" s="81"/>
      <c r="J824" s="81"/>
      <c r="K824" s="82"/>
      <c r="L824" s="81"/>
      <c r="M824" s="82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2"/>
    </row>
    <row r="825" spans="1:28" ht="24" customHeight="1" x14ac:dyDescent="0.5">
      <c r="A825" s="81"/>
      <c r="B825" s="81"/>
      <c r="C825" s="81"/>
      <c r="D825" s="81"/>
      <c r="E825" s="81"/>
      <c r="F825" s="81"/>
      <c r="G825" s="82"/>
      <c r="H825" s="81"/>
      <c r="I825" s="81"/>
      <c r="J825" s="81"/>
      <c r="K825" s="82"/>
      <c r="L825" s="81"/>
      <c r="M825" s="82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2"/>
    </row>
    <row r="826" spans="1:28" ht="24" customHeight="1" x14ac:dyDescent="0.5">
      <c r="A826" s="81"/>
      <c r="B826" s="81"/>
      <c r="C826" s="81"/>
      <c r="D826" s="81"/>
      <c r="E826" s="81"/>
      <c r="F826" s="81"/>
      <c r="G826" s="82"/>
      <c r="H826" s="81"/>
      <c r="I826" s="81"/>
      <c r="J826" s="81"/>
      <c r="K826" s="82"/>
      <c r="L826" s="81"/>
      <c r="M826" s="82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2"/>
    </row>
    <row r="827" spans="1:28" ht="24" customHeight="1" x14ac:dyDescent="0.5">
      <c r="A827" s="81"/>
      <c r="B827" s="81"/>
      <c r="C827" s="81"/>
      <c r="D827" s="81"/>
      <c r="E827" s="81"/>
      <c r="F827" s="81"/>
      <c r="G827" s="82"/>
      <c r="H827" s="81"/>
      <c r="I827" s="81"/>
      <c r="J827" s="81"/>
      <c r="K827" s="82"/>
      <c r="L827" s="81"/>
      <c r="M827" s="82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2"/>
    </row>
    <row r="828" spans="1:28" ht="24" customHeight="1" x14ac:dyDescent="0.5">
      <c r="A828" s="81"/>
      <c r="B828" s="81"/>
      <c r="C828" s="81"/>
      <c r="D828" s="81"/>
      <c r="E828" s="81"/>
      <c r="F828" s="81"/>
      <c r="G828" s="82"/>
      <c r="H828" s="81"/>
      <c r="I828" s="81"/>
      <c r="J828" s="81"/>
      <c r="K828" s="82"/>
      <c r="L828" s="81"/>
      <c r="M828" s="82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2"/>
    </row>
    <row r="829" spans="1:28" ht="24" customHeight="1" x14ac:dyDescent="0.5">
      <c r="A829" s="81"/>
      <c r="B829" s="81"/>
      <c r="C829" s="81"/>
      <c r="D829" s="81"/>
      <c r="E829" s="81"/>
      <c r="F829" s="81"/>
      <c r="G829" s="82"/>
      <c r="H829" s="81"/>
      <c r="I829" s="81"/>
      <c r="J829" s="81"/>
      <c r="K829" s="82"/>
      <c r="L829" s="81"/>
      <c r="M829" s="82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2"/>
    </row>
    <row r="830" spans="1:28" ht="24" customHeight="1" x14ac:dyDescent="0.5">
      <c r="A830" s="81"/>
      <c r="B830" s="81"/>
      <c r="C830" s="81"/>
      <c r="D830" s="81"/>
      <c r="E830" s="81"/>
      <c r="F830" s="81"/>
      <c r="G830" s="82"/>
      <c r="H830" s="81"/>
      <c r="I830" s="81"/>
      <c r="J830" s="81"/>
      <c r="K830" s="82"/>
      <c r="L830" s="81"/>
      <c r="M830" s="82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2"/>
    </row>
    <row r="831" spans="1:28" ht="24" customHeight="1" x14ac:dyDescent="0.5">
      <c r="A831" s="81"/>
      <c r="B831" s="81"/>
      <c r="C831" s="81"/>
      <c r="D831" s="81"/>
      <c r="E831" s="81"/>
      <c r="F831" s="81"/>
      <c r="G831" s="82"/>
      <c r="H831" s="81"/>
      <c r="I831" s="81"/>
      <c r="J831" s="81"/>
      <c r="K831" s="82"/>
      <c r="L831" s="81"/>
      <c r="M831" s="82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2"/>
    </row>
    <row r="832" spans="1:28" ht="24" customHeight="1" x14ac:dyDescent="0.5">
      <c r="A832" s="81"/>
      <c r="B832" s="81"/>
      <c r="C832" s="81"/>
      <c r="D832" s="81"/>
      <c r="E832" s="81"/>
      <c r="F832" s="81"/>
      <c r="G832" s="82"/>
      <c r="H832" s="81"/>
      <c r="I832" s="81"/>
      <c r="J832" s="81"/>
      <c r="K832" s="82"/>
      <c r="L832" s="81"/>
      <c r="M832" s="82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2"/>
    </row>
    <row r="833" spans="1:28" ht="24" customHeight="1" x14ac:dyDescent="0.5">
      <c r="A833" s="81"/>
      <c r="B833" s="81"/>
      <c r="C833" s="81"/>
      <c r="D833" s="81"/>
      <c r="E833" s="81"/>
      <c r="F833" s="81"/>
      <c r="G833" s="82"/>
      <c r="H833" s="81"/>
      <c r="I833" s="81"/>
      <c r="J833" s="81"/>
      <c r="K833" s="82"/>
      <c r="L833" s="81"/>
      <c r="M833" s="82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2"/>
    </row>
    <row r="834" spans="1:28" ht="24" customHeight="1" x14ac:dyDescent="0.5">
      <c r="A834" s="81"/>
      <c r="B834" s="81"/>
      <c r="C834" s="81"/>
      <c r="D834" s="81"/>
      <c r="E834" s="81"/>
      <c r="F834" s="81"/>
      <c r="G834" s="82"/>
      <c r="H834" s="81"/>
      <c r="I834" s="81"/>
      <c r="J834" s="81"/>
      <c r="K834" s="82"/>
      <c r="L834" s="81"/>
      <c r="M834" s="82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2"/>
    </row>
    <row r="835" spans="1:28" ht="24" customHeight="1" x14ac:dyDescent="0.5">
      <c r="A835" s="81"/>
      <c r="B835" s="81"/>
      <c r="C835" s="81"/>
      <c r="D835" s="81"/>
      <c r="E835" s="81"/>
      <c r="F835" s="81"/>
      <c r="G835" s="82"/>
      <c r="H835" s="81"/>
      <c r="I835" s="81"/>
      <c r="J835" s="81"/>
      <c r="K835" s="82"/>
      <c r="L835" s="81"/>
      <c r="M835" s="82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2"/>
    </row>
    <row r="836" spans="1:28" ht="24" customHeight="1" x14ac:dyDescent="0.5">
      <c r="A836" s="81"/>
      <c r="B836" s="81"/>
      <c r="C836" s="81"/>
      <c r="D836" s="81"/>
      <c r="E836" s="81"/>
      <c r="F836" s="81"/>
      <c r="G836" s="82"/>
      <c r="H836" s="81"/>
      <c r="I836" s="81"/>
      <c r="J836" s="81"/>
      <c r="K836" s="82"/>
      <c r="L836" s="81"/>
      <c r="M836" s="82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2"/>
    </row>
    <row r="837" spans="1:28" ht="24" customHeight="1" x14ac:dyDescent="0.5">
      <c r="A837" s="81"/>
      <c r="B837" s="81"/>
      <c r="C837" s="81"/>
      <c r="D837" s="81"/>
      <c r="E837" s="81"/>
      <c r="F837" s="81"/>
      <c r="G837" s="82"/>
      <c r="H837" s="81"/>
      <c r="I837" s="81"/>
      <c r="J837" s="81"/>
      <c r="K837" s="82"/>
      <c r="L837" s="81"/>
      <c r="M837" s="82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2"/>
    </row>
    <row r="838" spans="1:28" ht="24" customHeight="1" x14ac:dyDescent="0.5">
      <c r="A838" s="81"/>
      <c r="B838" s="81"/>
      <c r="C838" s="81"/>
      <c r="D838" s="81"/>
      <c r="E838" s="81"/>
      <c r="F838" s="81"/>
      <c r="G838" s="82"/>
      <c r="H838" s="81"/>
      <c r="I838" s="81"/>
      <c r="J838" s="81"/>
      <c r="K838" s="82"/>
      <c r="L838" s="81"/>
      <c r="M838" s="82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2"/>
    </row>
    <row r="839" spans="1:28" ht="24" customHeight="1" x14ac:dyDescent="0.5">
      <c r="A839" s="81"/>
      <c r="B839" s="81"/>
      <c r="C839" s="81"/>
      <c r="D839" s="81"/>
      <c r="E839" s="81"/>
      <c r="F839" s="81"/>
      <c r="G839" s="82"/>
      <c r="H839" s="81"/>
      <c r="I839" s="81"/>
      <c r="J839" s="81"/>
      <c r="K839" s="82"/>
      <c r="L839" s="81"/>
      <c r="M839" s="82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2"/>
    </row>
    <row r="840" spans="1:28" ht="24" customHeight="1" x14ac:dyDescent="0.5">
      <c r="A840" s="81"/>
      <c r="B840" s="81"/>
      <c r="C840" s="81"/>
      <c r="D840" s="81"/>
      <c r="E840" s="81"/>
      <c r="F840" s="81"/>
      <c r="G840" s="82"/>
      <c r="H840" s="81"/>
      <c r="I840" s="81"/>
      <c r="J840" s="81"/>
      <c r="K840" s="82"/>
      <c r="L840" s="81"/>
      <c r="M840" s="82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2"/>
    </row>
    <row r="841" spans="1:28" ht="24" customHeight="1" x14ac:dyDescent="0.5">
      <c r="A841" s="81"/>
      <c r="B841" s="81"/>
      <c r="C841" s="81"/>
      <c r="D841" s="81"/>
      <c r="E841" s="81"/>
      <c r="F841" s="81"/>
      <c r="G841" s="82"/>
      <c r="H841" s="81"/>
      <c r="I841" s="81"/>
      <c r="J841" s="81"/>
      <c r="K841" s="82"/>
      <c r="L841" s="81"/>
      <c r="M841" s="82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2"/>
    </row>
    <row r="842" spans="1:28" ht="24" customHeight="1" x14ac:dyDescent="0.5">
      <c r="A842" s="81"/>
      <c r="B842" s="81"/>
      <c r="C842" s="81"/>
      <c r="D842" s="81"/>
      <c r="E842" s="81"/>
      <c r="F842" s="81"/>
      <c r="G842" s="82"/>
      <c r="H842" s="81"/>
      <c r="I842" s="81"/>
      <c r="J842" s="81"/>
      <c r="K842" s="82"/>
      <c r="L842" s="81"/>
      <c r="M842" s="82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2"/>
    </row>
    <row r="843" spans="1:28" ht="24" customHeight="1" x14ac:dyDescent="0.5">
      <c r="A843" s="81"/>
      <c r="B843" s="81"/>
      <c r="C843" s="81"/>
      <c r="D843" s="81"/>
      <c r="E843" s="81"/>
      <c r="F843" s="81"/>
      <c r="G843" s="82"/>
      <c r="H843" s="81"/>
      <c r="I843" s="81"/>
      <c r="J843" s="81"/>
      <c r="K843" s="82"/>
      <c r="L843" s="81"/>
      <c r="M843" s="82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2"/>
    </row>
    <row r="844" spans="1:28" ht="24" customHeight="1" x14ac:dyDescent="0.5">
      <c r="A844" s="81"/>
      <c r="B844" s="81"/>
      <c r="C844" s="81"/>
      <c r="D844" s="81"/>
      <c r="E844" s="81"/>
      <c r="F844" s="81"/>
      <c r="G844" s="82"/>
      <c r="H844" s="81"/>
      <c r="I844" s="81"/>
      <c r="J844" s="81"/>
      <c r="K844" s="82"/>
      <c r="L844" s="81"/>
      <c r="M844" s="82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2"/>
    </row>
    <row r="845" spans="1:28" ht="24" customHeight="1" x14ac:dyDescent="0.5">
      <c r="A845" s="81"/>
      <c r="B845" s="81"/>
      <c r="C845" s="81"/>
      <c r="D845" s="81"/>
      <c r="E845" s="81"/>
      <c r="F845" s="81"/>
      <c r="G845" s="82"/>
      <c r="H845" s="81"/>
      <c r="I845" s="81"/>
      <c r="J845" s="81"/>
      <c r="K845" s="82"/>
      <c r="L845" s="81"/>
      <c r="M845" s="82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2"/>
    </row>
    <row r="846" spans="1:28" ht="24" customHeight="1" x14ac:dyDescent="0.5">
      <c r="A846" s="81"/>
      <c r="B846" s="81"/>
      <c r="C846" s="81"/>
      <c r="D846" s="81"/>
      <c r="E846" s="81"/>
      <c r="F846" s="81"/>
      <c r="G846" s="82"/>
      <c r="H846" s="81"/>
      <c r="I846" s="81"/>
      <c r="J846" s="81"/>
      <c r="K846" s="82"/>
      <c r="L846" s="81"/>
      <c r="M846" s="82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2"/>
    </row>
    <row r="847" spans="1:28" ht="24" customHeight="1" x14ac:dyDescent="0.5">
      <c r="A847" s="81"/>
      <c r="B847" s="81"/>
      <c r="C847" s="81"/>
      <c r="D847" s="81"/>
      <c r="E847" s="81"/>
      <c r="F847" s="81"/>
      <c r="G847" s="82"/>
      <c r="H847" s="81"/>
      <c r="I847" s="81"/>
      <c r="J847" s="81"/>
      <c r="K847" s="82"/>
      <c r="L847" s="81"/>
      <c r="M847" s="82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2"/>
    </row>
    <row r="848" spans="1:28" ht="24" customHeight="1" x14ac:dyDescent="0.5">
      <c r="A848" s="81"/>
      <c r="B848" s="81"/>
      <c r="C848" s="81"/>
      <c r="D848" s="81"/>
      <c r="E848" s="81"/>
      <c r="F848" s="81"/>
      <c r="G848" s="82"/>
      <c r="H848" s="81"/>
      <c r="I848" s="81"/>
      <c r="J848" s="81"/>
      <c r="K848" s="82"/>
      <c r="L848" s="81"/>
      <c r="M848" s="82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2"/>
    </row>
    <row r="849" spans="1:28" ht="24" customHeight="1" x14ac:dyDescent="0.5">
      <c r="A849" s="81"/>
      <c r="B849" s="81"/>
      <c r="C849" s="81"/>
      <c r="D849" s="81"/>
      <c r="E849" s="81"/>
      <c r="F849" s="81"/>
      <c r="G849" s="82"/>
      <c r="H849" s="81"/>
      <c r="I849" s="81"/>
      <c r="J849" s="81"/>
      <c r="K849" s="82"/>
      <c r="L849" s="81"/>
      <c r="M849" s="82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2"/>
    </row>
    <row r="850" spans="1:28" ht="24" customHeight="1" x14ac:dyDescent="0.5">
      <c r="A850" s="81"/>
      <c r="B850" s="81"/>
      <c r="C850" s="81"/>
      <c r="D850" s="81"/>
      <c r="E850" s="81"/>
      <c r="F850" s="81"/>
      <c r="G850" s="82"/>
      <c r="H850" s="81"/>
      <c r="I850" s="81"/>
      <c r="J850" s="81"/>
      <c r="K850" s="82"/>
      <c r="L850" s="81"/>
      <c r="M850" s="82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2"/>
    </row>
    <row r="851" spans="1:28" ht="24" customHeight="1" x14ac:dyDescent="0.5">
      <c r="A851" s="81"/>
      <c r="B851" s="81"/>
      <c r="C851" s="81"/>
      <c r="D851" s="81"/>
      <c r="E851" s="81"/>
      <c r="F851" s="81"/>
      <c r="G851" s="82"/>
      <c r="H851" s="81"/>
      <c r="I851" s="81"/>
      <c r="J851" s="81"/>
      <c r="K851" s="82"/>
      <c r="L851" s="81"/>
      <c r="M851" s="82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2"/>
    </row>
    <row r="852" spans="1:28" ht="24" customHeight="1" x14ac:dyDescent="0.5">
      <c r="A852" s="81"/>
      <c r="B852" s="81"/>
      <c r="C852" s="81"/>
      <c r="D852" s="81"/>
      <c r="E852" s="81"/>
      <c r="F852" s="81"/>
      <c r="G852" s="82"/>
      <c r="H852" s="81"/>
      <c r="I852" s="81"/>
      <c r="J852" s="81"/>
      <c r="K852" s="82"/>
      <c r="L852" s="81"/>
      <c r="M852" s="82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2"/>
    </row>
    <row r="853" spans="1:28" ht="24" customHeight="1" x14ac:dyDescent="0.5">
      <c r="A853" s="81"/>
      <c r="B853" s="81"/>
      <c r="C853" s="81"/>
      <c r="D853" s="81"/>
      <c r="E853" s="81"/>
      <c r="F853" s="81"/>
      <c r="G853" s="82"/>
      <c r="H853" s="81"/>
      <c r="I853" s="81"/>
      <c r="J853" s="81"/>
      <c r="K853" s="82"/>
      <c r="L853" s="81"/>
      <c r="M853" s="82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2"/>
    </row>
    <row r="854" spans="1:28" ht="24" customHeight="1" x14ac:dyDescent="0.5">
      <c r="A854" s="81"/>
      <c r="B854" s="81"/>
      <c r="C854" s="81"/>
      <c r="D854" s="81"/>
      <c r="E854" s="81"/>
      <c r="F854" s="81"/>
      <c r="G854" s="82"/>
      <c r="H854" s="81"/>
      <c r="I854" s="81"/>
      <c r="J854" s="81"/>
      <c r="K854" s="82"/>
      <c r="L854" s="81"/>
      <c r="M854" s="82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2"/>
    </row>
    <row r="855" spans="1:28" ht="24" customHeight="1" x14ac:dyDescent="0.5">
      <c r="A855" s="81"/>
      <c r="B855" s="81"/>
      <c r="C855" s="81"/>
      <c r="D855" s="81"/>
      <c r="E855" s="81"/>
      <c r="F855" s="81"/>
      <c r="G855" s="82"/>
      <c r="H855" s="81"/>
      <c r="I855" s="81"/>
      <c r="J855" s="81"/>
      <c r="K855" s="82"/>
      <c r="L855" s="81"/>
      <c r="M855" s="82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2"/>
    </row>
    <row r="856" spans="1:28" ht="24" customHeight="1" x14ac:dyDescent="0.5">
      <c r="A856" s="81"/>
      <c r="B856" s="81"/>
      <c r="C856" s="81"/>
      <c r="D856" s="81"/>
      <c r="E856" s="81"/>
      <c r="F856" s="81"/>
      <c r="G856" s="82"/>
      <c r="H856" s="81"/>
      <c r="I856" s="81"/>
      <c r="J856" s="81"/>
      <c r="K856" s="82"/>
      <c r="L856" s="81"/>
      <c r="M856" s="82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2"/>
    </row>
    <row r="857" spans="1:28" ht="24" customHeight="1" x14ac:dyDescent="0.5">
      <c r="A857" s="81"/>
      <c r="B857" s="81"/>
      <c r="C857" s="81"/>
      <c r="D857" s="81"/>
      <c r="E857" s="81"/>
      <c r="F857" s="81"/>
      <c r="G857" s="82"/>
      <c r="H857" s="81"/>
      <c r="I857" s="81"/>
      <c r="J857" s="81"/>
      <c r="K857" s="82"/>
      <c r="L857" s="81"/>
      <c r="M857" s="82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2"/>
    </row>
    <row r="858" spans="1:28" ht="24" customHeight="1" x14ac:dyDescent="0.5">
      <c r="A858" s="81"/>
      <c r="B858" s="81"/>
      <c r="C858" s="81"/>
      <c r="D858" s="81"/>
      <c r="E858" s="81"/>
      <c r="F858" s="81"/>
      <c r="G858" s="82"/>
      <c r="H858" s="81"/>
      <c r="I858" s="81"/>
      <c r="J858" s="81"/>
      <c r="K858" s="82"/>
      <c r="L858" s="81"/>
      <c r="M858" s="82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2"/>
    </row>
    <row r="859" spans="1:28" ht="24" customHeight="1" x14ac:dyDescent="0.5">
      <c r="A859" s="81"/>
      <c r="B859" s="81"/>
      <c r="C859" s="81"/>
      <c r="D859" s="81"/>
      <c r="E859" s="81"/>
      <c r="F859" s="81"/>
      <c r="G859" s="82"/>
      <c r="H859" s="81"/>
      <c r="I859" s="81"/>
      <c r="J859" s="81"/>
      <c r="K859" s="82"/>
      <c r="L859" s="81"/>
      <c r="M859" s="82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2"/>
    </row>
    <row r="860" spans="1:28" ht="24" customHeight="1" x14ac:dyDescent="0.5">
      <c r="A860" s="81"/>
      <c r="B860" s="81"/>
      <c r="C860" s="81"/>
      <c r="D860" s="81"/>
      <c r="E860" s="81"/>
      <c r="F860" s="81"/>
      <c r="G860" s="82"/>
      <c r="H860" s="81"/>
      <c r="I860" s="81"/>
      <c r="J860" s="81"/>
      <c r="K860" s="82"/>
      <c r="L860" s="81"/>
      <c r="M860" s="82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2"/>
    </row>
    <row r="861" spans="1:28" ht="24" customHeight="1" x14ac:dyDescent="0.5">
      <c r="A861" s="81"/>
      <c r="B861" s="81"/>
      <c r="C861" s="81"/>
      <c r="D861" s="81"/>
      <c r="E861" s="81"/>
      <c r="F861" s="81"/>
      <c r="G861" s="82"/>
      <c r="H861" s="81"/>
      <c r="I861" s="81"/>
      <c r="J861" s="81"/>
      <c r="K861" s="82"/>
      <c r="L861" s="81"/>
      <c r="M861" s="82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2"/>
    </row>
    <row r="862" spans="1:28" ht="24" customHeight="1" x14ac:dyDescent="0.5">
      <c r="A862" s="81"/>
      <c r="B862" s="81"/>
      <c r="C862" s="81"/>
      <c r="D862" s="81"/>
      <c r="E862" s="81"/>
      <c r="F862" s="81"/>
      <c r="G862" s="82"/>
      <c r="H862" s="81"/>
      <c r="I862" s="81"/>
      <c r="J862" s="81"/>
      <c r="K862" s="82"/>
      <c r="L862" s="81"/>
      <c r="M862" s="82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2"/>
    </row>
    <row r="863" spans="1:28" ht="24" customHeight="1" x14ac:dyDescent="0.5">
      <c r="A863" s="81"/>
      <c r="B863" s="81"/>
      <c r="C863" s="81"/>
      <c r="D863" s="81"/>
      <c r="E863" s="81"/>
      <c r="F863" s="81"/>
      <c r="G863" s="82"/>
      <c r="H863" s="81"/>
      <c r="I863" s="81"/>
      <c r="J863" s="81"/>
      <c r="K863" s="82"/>
      <c r="L863" s="81"/>
      <c r="M863" s="82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2"/>
    </row>
    <row r="864" spans="1:28" ht="24" customHeight="1" x14ac:dyDescent="0.5">
      <c r="A864" s="81"/>
      <c r="B864" s="81"/>
      <c r="C864" s="81"/>
      <c r="D864" s="81"/>
      <c r="E864" s="81"/>
      <c r="F864" s="81"/>
      <c r="G864" s="82"/>
      <c r="H864" s="81"/>
      <c r="I864" s="81"/>
      <c r="J864" s="81"/>
      <c r="K864" s="82"/>
      <c r="L864" s="81"/>
      <c r="M864" s="82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2"/>
    </row>
    <row r="865" spans="1:28" ht="24" customHeight="1" x14ac:dyDescent="0.5">
      <c r="A865" s="81"/>
      <c r="B865" s="81"/>
      <c r="C865" s="81"/>
      <c r="D865" s="81"/>
      <c r="E865" s="81"/>
      <c r="F865" s="81"/>
      <c r="G865" s="82"/>
      <c r="H865" s="81"/>
      <c r="I865" s="81"/>
      <c r="J865" s="81"/>
      <c r="K865" s="82"/>
      <c r="L865" s="81"/>
      <c r="M865" s="82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2"/>
    </row>
    <row r="866" spans="1:28" ht="24" customHeight="1" x14ac:dyDescent="0.5">
      <c r="A866" s="81"/>
      <c r="B866" s="81"/>
      <c r="C866" s="81"/>
      <c r="D866" s="81"/>
      <c r="E866" s="81"/>
      <c r="F866" s="81"/>
      <c r="G866" s="82"/>
      <c r="H866" s="81"/>
      <c r="I866" s="81"/>
      <c r="J866" s="81"/>
      <c r="K866" s="82"/>
      <c r="L866" s="81"/>
      <c r="M866" s="82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2"/>
    </row>
    <row r="867" spans="1:28" ht="24" customHeight="1" x14ac:dyDescent="0.5">
      <c r="A867" s="81"/>
      <c r="B867" s="81"/>
      <c r="C867" s="81"/>
      <c r="D867" s="81"/>
      <c r="E867" s="81"/>
      <c r="F867" s="81"/>
      <c r="G867" s="82"/>
      <c r="H867" s="81"/>
      <c r="I867" s="81"/>
      <c r="J867" s="81"/>
      <c r="K867" s="82"/>
      <c r="L867" s="81"/>
      <c r="M867" s="82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2"/>
    </row>
    <row r="868" spans="1:28" ht="24" customHeight="1" x14ac:dyDescent="0.5">
      <c r="A868" s="81"/>
      <c r="B868" s="81"/>
      <c r="C868" s="81"/>
      <c r="D868" s="81"/>
      <c r="E868" s="81"/>
      <c r="F868" s="81"/>
      <c r="G868" s="82"/>
      <c r="H868" s="81"/>
      <c r="I868" s="81"/>
      <c r="J868" s="81"/>
      <c r="K868" s="82"/>
      <c r="L868" s="81"/>
      <c r="M868" s="82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2"/>
    </row>
    <row r="869" spans="1:28" ht="24" customHeight="1" x14ac:dyDescent="0.5">
      <c r="A869" s="81"/>
      <c r="B869" s="81"/>
      <c r="C869" s="81"/>
      <c r="D869" s="81"/>
      <c r="E869" s="81"/>
      <c r="F869" s="81"/>
      <c r="G869" s="82"/>
      <c r="H869" s="81"/>
      <c r="I869" s="81"/>
      <c r="J869" s="81"/>
      <c r="K869" s="82"/>
      <c r="L869" s="81"/>
      <c r="M869" s="82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2"/>
    </row>
    <row r="870" spans="1:28" ht="24" customHeight="1" x14ac:dyDescent="0.5">
      <c r="A870" s="81"/>
      <c r="B870" s="81"/>
      <c r="C870" s="81"/>
      <c r="D870" s="81"/>
      <c r="E870" s="81"/>
      <c r="F870" s="81"/>
      <c r="G870" s="82"/>
      <c r="H870" s="81"/>
      <c r="I870" s="81"/>
      <c r="J870" s="81"/>
      <c r="K870" s="82"/>
      <c r="L870" s="81"/>
      <c r="M870" s="82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2"/>
    </row>
    <row r="871" spans="1:28" ht="24" customHeight="1" x14ac:dyDescent="0.5">
      <c r="A871" s="81"/>
      <c r="B871" s="81"/>
      <c r="C871" s="81"/>
      <c r="D871" s="81"/>
      <c r="E871" s="81"/>
      <c r="F871" s="81"/>
      <c r="G871" s="82"/>
      <c r="H871" s="81"/>
      <c r="I871" s="81"/>
      <c r="J871" s="81"/>
      <c r="K871" s="82"/>
      <c r="L871" s="81"/>
      <c r="M871" s="82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2"/>
    </row>
    <row r="872" spans="1:28" ht="24" customHeight="1" x14ac:dyDescent="0.5">
      <c r="A872" s="81"/>
      <c r="B872" s="81"/>
      <c r="C872" s="81"/>
      <c r="D872" s="81"/>
      <c r="E872" s="81"/>
      <c r="F872" s="81"/>
      <c r="G872" s="82"/>
      <c r="H872" s="81"/>
      <c r="I872" s="81"/>
      <c r="J872" s="81"/>
      <c r="K872" s="82"/>
      <c r="L872" s="81"/>
      <c r="M872" s="82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2"/>
    </row>
    <row r="873" spans="1:28" ht="24" customHeight="1" x14ac:dyDescent="0.5">
      <c r="A873" s="81"/>
      <c r="B873" s="81"/>
      <c r="C873" s="81"/>
      <c r="D873" s="81"/>
      <c r="E873" s="81"/>
      <c r="F873" s="81"/>
      <c r="G873" s="82"/>
      <c r="H873" s="81"/>
      <c r="I873" s="81"/>
      <c r="J873" s="81"/>
      <c r="K873" s="82"/>
      <c r="L873" s="81"/>
      <c r="M873" s="82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2"/>
    </row>
    <row r="874" spans="1:28" ht="24" customHeight="1" x14ac:dyDescent="0.5">
      <c r="A874" s="81"/>
      <c r="B874" s="81"/>
      <c r="C874" s="81"/>
      <c r="D874" s="81"/>
      <c r="E874" s="81"/>
      <c r="F874" s="81"/>
      <c r="G874" s="82"/>
      <c r="H874" s="81"/>
      <c r="I874" s="81"/>
      <c r="J874" s="81"/>
      <c r="K874" s="82"/>
      <c r="L874" s="81"/>
      <c r="M874" s="82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2"/>
    </row>
    <row r="875" spans="1:28" ht="24" customHeight="1" x14ac:dyDescent="0.5">
      <c r="A875" s="81"/>
      <c r="B875" s="81"/>
      <c r="C875" s="81"/>
      <c r="D875" s="81"/>
      <c r="E875" s="81"/>
      <c r="F875" s="81"/>
      <c r="G875" s="82"/>
      <c r="H875" s="81"/>
      <c r="I875" s="81"/>
      <c r="J875" s="81"/>
      <c r="K875" s="82"/>
      <c r="L875" s="81"/>
      <c r="M875" s="82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2"/>
    </row>
    <row r="876" spans="1:28" ht="24" customHeight="1" x14ac:dyDescent="0.5">
      <c r="A876" s="81"/>
      <c r="B876" s="81"/>
      <c r="C876" s="81"/>
      <c r="D876" s="81"/>
      <c r="E876" s="81"/>
      <c r="F876" s="81"/>
      <c r="G876" s="82"/>
      <c r="H876" s="81"/>
      <c r="I876" s="81"/>
      <c r="J876" s="81"/>
      <c r="K876" s="82"/>
      <c r="L876" s="81"/>
      <c r="M876" s="82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2"/>
    </row>
    <row r="877" spans="1:28" ht="24" customHeight="1" x14ac:dyDescent="0.5">
      <c r="A877" s="81"/>
      <c r="B877" s="81"/>
      <c r="C877" s="81"/>
      <c r="D877" s="81"/>
      <c r="E877" s="81"/>
      <c r="F877" s="81"/>
      <c r="G877" s="82"/>
      <c r="H877" s="81"/>
      <c r="I877" s="81"/>
      <c r="J877" s="81"/>
      <c r="K877" s="82"/>
      <c r="L877" s="81"/>
      <c r="M877" s="82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2"/>
    </row>
    <row r="878" spans="1:28" ht="24" customHeight="1" x14ac:dyDescent="0.5">
      <c r="A878" s="81"/>
      <c r="B878" s="81"/>
      <c r="C878" s="81"/>
      <c r="D878" s="81"/>
      <c r="E878" s="81"/>
      <c r="F878" s="81"/>
      <c r="G878" s="82"/>
      <c r="H878" s="81"/>
      <c r="I878" s="81"/>
      <c r="J878" s="81"/>
      <c r="K878" s="82"/>
      <c r="L878" s="81"/>
      <c r="M878" s="82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2"/>
    </row>
    <row r="879" spans="1:28" ht="24" customHeight="1" x14ac:dyDescent="0.5">
      <c r="A879" s="81"/>
      <c r="B879" s="81"/>
      <c r="C879" s="81"/>
      <c r="D879" s="81"/>
      <c r="E879" s="81"/>
      <c r="F879" s="81"/>
      <c r="G879" s="82"/>
      <c r="H879" s="81"/>
      <c r="I879" s="81"/>
      <c r="J879" s="81"/>
      <c r="K879" s="82"/>
      <c r="L879" s="81"/>
      <c r="M879" s="82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2"/>
    </row>
    <row r="880" spans="1:28" ht="24" customHeight="1" x14ac:dyDescent="0.5">
      <c r="A880" s="81"/>
      <c r="B880" s="81"/>
      <c r="C880" s="81"/>
      <c r="D880" s="81"/>
      <c r="E880" s="81"/>
      <c r="F880" s="81"/>
      <c r="G880" s="82"/>
      <c r="H880" s="81"/>
      <c r="I880" s="81"/>
      <c r="J880" s="81"/>
      <c r="K880" s="82"/>
      <c r="L880" s="81"/>
      <c r="M880" s="82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2"/>
    </row>
    <row r="881" spans="1:28" ht="24" customHeight="1" x14ac:dyDescent="0.5">
      <c r="A881" s="81"/>
      <c r="B881" s="81"/>
      <c r="C881" s="81"/>
      <c r="D881" s="81"/>
      <c r="E881" s="81"/>
      <c r="F881" s="81"/>
      <c r="G881" s="82"/>
      <c r="H881" s="81"/>
      <c r="I881" s="81"/>
      <c r="J881" s="81"/>
      <c r="K881" s="82"/>
      <c r="L881" s="81"/>
      <c r="M881" s="82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2"/>
    </row>
    <row r="882" spans="1:28" ht="24" customHeight="1" x14ac:dyDescent="0.5">
      <c r="A882" s="81"/>
      <c r="B882" s="81"/>
      <c r="C882" s="81"/>
      <c r="D882" s="81"/>
      <c r="E882" s="81"/>
      <c r="F882" s="81"/>
      <c r="G882" s="82"/>
      <c r="H882" s="81"/>
      <c r="I882" s="81"/>
      <c r="J882" s="81"/>
      <c r="K882" s="82"/>
      <c r="L882" s="81"/>
      <c r="M882" s="82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2"/>
    </row>
    <row r="883" spans="1:28" ht="24" customHeight="1" x14ac:dyDescent="0.5">
      <c r="A883" s="81"/>
      <c r="B883" s="81"/>
      <c r="C883" s="81"/>
      <c r="D883" s="81"/>
      <c r="E883" s="81"/>
      <c r="F883" s="81"/>
      <c r="G883" s="82"/>
      <c r="H883" s="81"/>
      <c r="I883" s="81"/>
      <c r="J883" s="81"/>
      <c r="K883" s="82"/>
      <c r="L883" s="81"/>
      <c r="M883" s="82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2"/>
    </row>
    <row r="884" spans="1:28" ht="24" customHeight="1" x14ac:dyDescent="0.5">
      <c r="A884" s="81"/>
      <c r="B884" s="81"/>
      <c r="C884" s="81"/>
      <c r="D884" s="81"/>
      <c r="E884" s="81"/>
      <c r="F884" s="81"/>
      <c r="G884" s="82"/>
      <c r="H884" s="81"/>
      <c r="I884" s="81"/>
      <c r="J884" s="81"/>
      <c r="K884" s="82"/>
      <c r="L884" s="81"/>
      <c r="M884" s="82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2"/>
    </row>
    <row r="885" spans="1:28" ht="24" customHeight="1" x14ac:dyDescent="0.5">
      <c r="A885" s="81"/>
      <c r="B885" s="81"/>
      <c r="C885" s="81"/>
      <c r="D885" s="81"/>
      <c r="E885" s="81"/>
      <c r="F885" s="81"/>
      <c r="G885" s="82"/>
      <c r="H885" s="81"/>
      <c r="I885" s="81"/>
      <c r="J885" s="81"/>
      <c r="K885" s="82"/>
      <c r="L885" s="81"/>
      <c r="M885" s="82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2"/>
    </row>
    <row r="886" spans="1:28" ht="24" customHeight="1" x14ac:dyDescent="0.5">
      <c r="A886" s="81"/>
      <c r="B886" s="81"/>
      <c r="C886" s="81"/>
      <c r="D886" s="81"/>
      <c r="E886" s="81"/>
      <c r="F886" s="81"/>
      <c r="G886" s="82"/>
      <c r="H886" s="81"/>
      <c r="I886" s="81"/>
      <c r="J886" s="81"/>
      <c r="K886" s="82"/>
      <c r="L886" s="81"/>
      <c r="M886" s="82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2"/>
    </row>
    <row r="887" spans="1:28" ht="24" customHeight="1" x14ac:dyDescent="0.5">
      <c r="A887" s="81"/>
      <c r="B887" s="81"/>
      <c r="C887" s="81"/>
      <c r="D887" s="81"/>
      <c r="E887" s="81"/>
      <c r="F887" s="81"/>
      <c r="G887" s="82"/>
      <c r="H887" s="81"/>
      <c r="I887" s="81"/>
      <c r="J887" s="81"/>
      <c r="K887" s="82"/>
      <c r="L887" s="81"/>
      <c r="M887" s="82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2"/>
    </row>
    <row r="888" spans="1:28" ht="24" customHeight="1" x14ac:dyDescent="0.5">
      <c r="A888" s="81"/>
      <c r="B888" s="81"/>
      <c r="C888" s="81"/>
      <c r="D888" s="81"/>
      <c r="E888" s="81"/>
      <c r="F888" s="81"/>
      <c r="G888" s="82"/>
      <c r="H888" s="81"/>
      <c r="I888" s="81"/>
      <c r="J888" s="81"/>
      <c r="K888" s="82"/>
      <c r="L888" s="81"/>
      <c r="M888" s="82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2"/>
    </row>
    <row r="889" spans="1:28" ht="24" customHeight="1" x14ac:dyDescent="0.5">
      <c r="A889" s="81"/>
      <c r="B889" s="81"/>
      <c r="C889" s="81"/>
      <c r="D889" s="81"/>
      <c r="E889" s="81"/>
      <c r="F889" s="81"/>
      <c r="G889" s="82"/>
      <c r="H889" s="81"/>
      <c r="I889" s="81"/>
      <c r="J889" s="81"/>
      <c r="K889" s="82"/>
      <c r="L889" s="81"/>
      <c r="M889" s="82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2"/>
    </row>
    <row r="890" spans="1:28" ht="24" customHeight="1" x14ac:dyDescent="0.5">
      <c r="A890" s="81"/>
      <c r="B890" s="81"/>
      <c r="C890" s="81"/>
      <c r="D890" s="81"/>
      <c r="E890" s="81"/>
      <c r="F890" s="81"/>
      <c r="G890" s="82"/>
      <c r="H890" s="81"/>
      <c r="I890" s="81"/>
      <c r="J890" s="81"/>
      <c r="K890" s="82"/>
      <c r="L890" s="81"/>
      <c r="M890" s="82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2"/>
    </row>
    <row r="891" spans="1:28" ht="24" customHeight="1" x14ac:dyDescent="0.5">
      <c r="A891" s="81"/>
      <c r="B891" s="81"/>
      <c r="C891" s="81"/>
      <c r="D891" s="81"/>
      <c r="E891" s="81"/>
      <c r="F891" s="81"/>
      <c r="G891" s="82"/>
      <c r="H891" s="81"/>
      <c r="I891" s="81"/>
      <c r="J891" s="81"/>
      <c r="K891" s="82"/>
      <c r="L891" s="81"/>
      <c r="M891" s="82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2"/>
    </row>
    <row r="892" spans="1:28" ht="24" customHeight="1" x14ac:dyDescent="0.5">
      <c r="A892" s="81"/>
      <c r="B892" s="81"/>
      <c r="C892" s="81"/>
      <c r="D892" s="81"/>
      <c r="E892" s="81"/>
      <c r="F892" s="81"/>
      <c r="G892" s="82"/>
      <c r="H892" s="81"/>
      <c r="I892" s="81"/>
      <c r="J892" s="81"/>
      <c r="K892" s="82"/>
      <c r="L892" s="81"/>
      <c r="M892" s="82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2"/>
    </row>
    <row r="893" spans="1:28" ht="24" customHeight="1" x14ac:dyDescent="0.5">
      <c r="A893" s="81"/>
      <c r="B893" s="81"/>
      <c r="C893" s="81"/>
      <c r="D893" s="81"/>
      <c r="E893" s="81"/>
      <c r="F893" s="81"/>
      <c r="G893" s="82"/>
      <c r="H893" s="81"/>
      <c r="I893" s="81"/>
      <c r="J893" s="81"/>
      <c r="K893" s="82"/>
      <c r="L893" s="81"/>
      <c r="M893" s="82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2"/>
    </row>
    <row r="894" spans="1:28" ht="24" customHeight="1" x14ac:dyDescent="0.5">
      <c r="A894" s="81"/>
      <c r="B894" s="81"/>
      <c r="C894" s="81"/>
      <c r="D894" s="81"/>
      <c r="E894" s="81"/>
      <c r="F894" s="81"/>
      <c r="G894" s="82"/>
      <c r="H894" s="81"/>
      <c r="I894" s="81"/>
      <c r="J894" s="81"/>
      <c r="K894" s="82"/>
      <c r="L894" s="81"/>
      <c r="M894" s="82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2"/>
    </row>
    <row r="895" spans="1:28" ht="24" customHeight="1" x14ac:dyDescent="0.5">
      <c r="A895" s="81"/>
      <c r="B895" s="81"/>
      <c r="C895" s="81"/>
      <c r="D895" s="81"/>
      <c r="E895" s="81"/>
      <c r="F895" s="81"/>
      <c r="G895" s="82"/>
      <c r="H895" s="81"/>
      <c r="I895" s="81"/>
      <c r="J895" s="81"/>
      <c r="K895" s="82"/>
      <c r="L895" s="81"/>
      <c r="M895" s="82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2"/>
    </row>
    <row r="896" spans="1:28" ht="24" customHeight="1" x14ac:dyDescent="0.5">
      <c r="A896" s="81"/>
      <c r="B896" s="81"/>
      <c r="C896" s="81"/>
      <c r="D896" s="81"/>
      <c r="E896" s="81"/>
      <c r="F896" s="81"/>
      <c r="G896" s="82"/>
      <c r="H896" s="81"/>
      <c r="I896" s="81"/>
      <c r="J896" s="81"/>
      <c r="K896" s="82"/>
      <c r="L896" s="81"/>
      <c r="M896" s="82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2"/>
    </row>
    <row r="897" spans="1:28" ht="24" customHeight="1" x14ac:dyDescent="0.5">
      <c r="A897" s="81"/>
      <c r="B897" s="81"/>
      <c r="C897" s="81"/>
      <c r="D897" s="81"/>
      <c r="E897" s="81"/>
      <c r="F897" s="81"/>
      <c r="G897" s="82"/>
      <c r="H897" s="81"/>
      <c r="I897" s="81"/>
      <c r="J897" s="81"/>
      <c r="K897" s="82"/>
      <c r="L897" s="81"/>
      <c r="M897" s="82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2"/>
    </row>
    <row r="898" spans="1:28" ht="24" customHeight="1" x14ac:dyDescent="0.5">
      <c r="A898" s="81"/>
      <c r="B898" s="81"/>
      <c r="C898" s="81"/>
      <c r="D898" s="81"/>
      <c r="E898" s="81"/>
      <c r="F898" s="81"/>
      <c r="G898" s="82"/>
      <c r="H898" s="81"/>
      <c r="I898" s="81"/>
      <c r="J898" s="81"/>
      <c r="K898" s="82"/>
      <c r="L898" s="81"/>
      <c r="M898" s="82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2"/>
    </row>
    <row r="899" spans="1:28" ht="24" customHeight="1" x14ac:dyDescent="0.5">
      <c r="A899" s="81"/>
      <c r="B899" s="81"/>
      <c r="C899" s="81"/>
      <c r="D899" s="81"/>
      <c r="E899" s="81"/>
      <c r="F899" s="81"/>
      <c r="G899" s="82"/>
      <c r="H899" s="81"/>
      <c r="I899" s="81"/>
      <c r="J899" s="81"/>
      <c r="K899" s="82"/>
      <c r="L899" s="81"/>
      <c r="M899" s="82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2"/>
    </row>
    <row r="900" spans="1:28" ht="24" customHeight="1" x14ac:dyDescent="0.5">
      <c r="A900" s="81"/>
      <c r="B900" s="81"/>
      <c r="C900" s="81"/>
      <c r="D900" s="81"/>
      <c r="E900" s="81"/>
      <c r="F900" s="81"/>
      <c r="G900" s="82"/>
      <c r="H900" s="81"/>
      <c r="I900" s="81"/>
      <c r="J900" s="81"/>
      <c r="K900" s="82"/>
      <c r="L900" s="81"/>
      <c r="M900" s="82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2"/>
    </row>
    <row r="901" spans="1:28" ht="24" customHeight="1" x14ac:dyDescent="0.5">
      <c r="A901" s="81"/>
      <c r="B901" s="81"/>
      <c r="C901" s="81"/>
      <c r="D901" s="81"/>
      <c r="E901" s="81"/>
      <c r="F901" s="81"/>
      <c r="G901" s="82"/>
      <c r="H901" s="81"/>
      <c r="I901" s="81"/>
      <c r="J901" s="81"/>
      <c r="K901" s="82"/>
      <c r="L901" s="81"/>
      <c r="M901" s="82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2"/>
    </row>
    <row r="902" spans="1:28" ht="24" customHeight="1" x14ac:dyDescent="0.5">
      <c r="A902" s="81"/>
      <c r="B902" s="81"/>
      <c r="C902" s="81"/>
      <c r="D902" s="81"/>
      <c r="E902" s="81"/>
      <c r="F902" s="81"/>
      <c r="G902" s="82"/>
      <c r="H902" s="81"/>
      <c r="I902" s="81"/>
      <c r="J902" s="81"/>
      <c r="K902" s="82"/>
      <c r="L902" s="81"/>
      <c r="M902" s="82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2"/>
    </row>
    <row r="903" spans="1:28" ht="24" customHeight="1" x14ac:dyDescent="0.5">
      <c r="A903" s="81"/>
      <c r="B903" s="81"/>
      <c r="C903" s="81"/>
      <c r="D903" s="81"/>
      <c r="E903" s="81"/>
      <c r="F903" s="81"/>
      <c r="G903" s="82"/>
      <c r="H903" s="81"/>
      <c r="I903" s="81"/>
      <c r="J903" s="81"/>
      <c r="K903" s="82"/>
      <c r="L903" s="81"/>
      <c r="M903" s="82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2"/>
    </row>
    <row r="904" spans="1:28" ht="24" customHeight="1" x14ac:dyDescent="0.5">
      <c r="A904" s="81"/>
      <c r="B904" s="81"/>
      <c r="C904" s="81"/>
      <c r="D904" s="81"/>
      <c r="E904" s="81"/>
      <c r="F904" s="81"/>
      <c r="G904" s="82"/>
      <c r="H904" s="81"/>
      <c r="I904" s="81"/>
      <c r="J904" s="81"/>
      <c r="K904" s="82"/>
      <c r="L904" s="81"/>
      <c r="M904" s="82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2"/>
    </row>
    <row r="905" spans="1:28" ht="24" customHeight="1" x14ac:dyDescent="0.5">
      <c r="A905" s="81"/>
      <c r="B905" s="81"/>
      <c r="C905" s="81"/>
      <c r="D905" s="81"/>
      <c r="E905" s="81"/>
      <c r="F905" s="81"/>
      <c r="G905" s="82"/>
      <c r="H905" s="81"/>
      <c r="I905" s="81"/>
      <c r="J905" s="81"/>
      <c r="K905" s="82"/>
      <c r="L905" s="81"/>
      <c r="M905" s="82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2"/>
    </row>
    <row r="906" spans="1:28" ht="24" customHeight="1" x14ac:dyDescent="0.5">
      <c r="A906" s="81"/>
      <c r="B906" s="81"/>
      <c r="C906" s="81"/>
      <c r="D906" s="81"/>
      <c r="E906" s="81"/>
      <c r="F906" s="81"/>
      <c r="G906" s="82"/>
      <c r="H906" s="81"/>
      <c r="I906" s="81"/>
      <c r="J906" s="81"/>
      <c r="K906" s="82"/>
      <c r="L906" s="81"/>
      <c r="M906" s="82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2"/>
    </row>
    <row r="907" spans="1:28" ht="24" customHeight="1" x14ac:dyDescent="0.5">
      <c r="A907" s="81"/>
      <c r="B907" s="81"/>
      <c r="C907" s="81"/>
      <c r="D907" s="81"/>
      <c r="E907" s="81"/>
      <c r="F907" s="81"/>
      <c r="G907" s="82"/>
      <c r="H907" s="81"/>
      <c r="I907" s="81"/>
      <c r="J907" s="81"/>
      <c r="K907" s="82"/>
      <c r="L907" s="81"/>
      <c r="M907" s="82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2"/>
    </row>
    <row r="908" spans="1:28" ht="24" customHeight="1" x14ac:dyDescent="0.5">
      <c r="A908" s="81"/>
      <c r="B908" s="81"/>
      <c r="C908" s="81"/>
      <c r="D908" s="81"/>
      <c r="E908" s="81"/>
      <c r="F908" s="81"/>
      <c r="G908" s="82"/>
      <c r="H908" s="81"/>
      <c r="I908" s="81"/>
      <c r="J908" s="81"/>
      <c r="K908" s="82"/>
      <c r="L908" s="81"/>
      <c r="M908" s="82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2"/>
    </row>
    <row r="909" spans="1:28" ht="24" customHeight="1" x14ac:dyDescent="0.5">
      <c r="A909" s="81"/>
      <c r="B909" s="81"/>
      <c r="C909" s="81"/>
      <c r="D909" s="81"/>
      <c r="E909" s="81"/>
      <c r="F909" s="81"/>
      <c r="G909" s="82"/>
      <c r="H909" s="81"/>
      <c r="I909" s="81"/>
      <c r="J909" s="81"/>
      <c r="K909" s="82"/>
      <c r="L909" s="81"/>
      <c r="M909" s="82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2"/>
    </row>
    <row r="910" spans="1:28" ht="24" customHeight="1" x14ac:dyDescent="0.5">
      <c r="A910" s="81"/>
      <c r="B910" s="81"/>
      <c r="C910" s="81"/>
      <c r="D910" s="81"/>
      <c r="E910" s="81"/>
      <c r="F910" s="81"/>
      <c r="G910" s="82"/>
      <c r="H910" s="81"/>
      <c r="I910" s="81"/>
      <c r="J910" s="81"/>
      <c r="K910" s="82"/>
      <c r="L910" s="81"/>
      <c r="M910" s="82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2"/>
    </row>
    <row r="911" spans="1:28" ht="24" customHeight="1" x14ac:dyDescent="0.5">
      <c r="A911" s="81"/>
      <c r="B911" s="81"/>
      <c r="C911" s="81"/>
      <c r="D911" s="81"/>
      <c r="E911" s="81"/>
      <c r="F911" s="81"/>
      <c r="G911" s="82"/>
      <c r="H911" s="81"/>
      <c r="I911" s="81"/>
      <c r="J911" s="81"/>
      <c r="K911" s="82"/>
      <c r="L911" s="81"/>
      <c r="M911" s="82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2"/>
    </row>
    <row r="912" spans="1:28" ht="24" customHeight="1" x14ac:dyDescent="0.5">
      <c r="A912" s="81"/>
      <c r="B912" s="81"/>
      <c r="C912" s="81"/>
      <c r="D912" s="81"/>
      <c r="E912" s="81"/>
      <c r="F912" s="81"/>
      <c r="G912" s="82"/>
      <c r="H912" s="81"/>
      <c r="I912" s="81"/>
      <c r="J912" s="81"/>
      <c r="K912" s="82"/>
      <c r="L912" s="81"/>
      <c r="M912" s="82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2"/>
    </row>
    <row r="913" spans="1:28" ht="24" customHeight="1" x14ac:dyDescent="0.5">
      <c r="A913" s="81"/>
      <c r="B913" s="81"/>
      <c r="C913" s="81"/>
      <c r="D913" s="81"/>
      <c r="E913" s="81"/>
      <c r="F913" s="81"/>
      <c r="G913" s="82"/>
      <c r="H913" s="81"/>
      <c r="I913" s="81"/>
      <c r="J913" s="81"/>
      <c r="K913" s="82"/>
      <c r="L913" s="81"/>
      <c r="M913" s="82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2"/>
    </row>
    <row r="914" spans="1:28" ht="24" customHeight="1" x14ac:dyDescent="0.5">
      <c r="A914" s="81"/>
      <c r="B914" s="81"/>
      <c r="C914" s="81"/>
      <c r="D914" s="81"/>
      <c r="E914" s="81"/>
      <c r="F914" s="81"/>
      <c r="G914" s="82"/>
      <c r="H914" s="81"/>
      <c r="I914" s="81"/>
      <c r="J914" s="81"/>
      <c r="K914" s="82"/>
      <c r="L914" s="81"/>
      <c r="M914" s="82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2"/>
    </row>
    <row r="915" spans="1:28" ht="24" customHeight="1" x14ac:dyDescent="0.5">
      <c r="A915" s="81"/>
      <c r="B915" s="81"/>
      <c r="C915" s="81"/>
      <c r="D915" s="81"/>
      <c r="E915" s="81"/>
      <c r="F915" s="81"/>
      <c r="G915" s="82"/>
      <c r="H915" s="81"/>
      <c r="I915" s="81"/>
      <c r="J915" s="81"/>
      <c r="K915" s="82"/>
      <c r="L915" s="81"/>
      <c r="M915" s="82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2"/>
    </row>
    <row r="916" spans="1:28" ht="24" customHeight="1" x14ac:dyDescent="0.5">
      <c r="A916" s="81"/>
      <c r="B916" s="81"/>
      <c r="C916" s="81"/>
      <c r="D916" s="81"/>
      <c r="E916" s="81"/>
      <c r="F916" s="81"/>
      <c r="G916" s="82"/>
      <c r="H916" s="81"/>
      <c r="I916" s="81"/>
      <c r="J916" s="81"/>
      <c r="K916" s="82"/>
      <c r="L916" s="81"/>
      <c r="M916" s="82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2"/>
    </row>
    <row r="917" spans="1:28" ht="24" customHeight="1" x14ac:dyDescent="0.5">
      <c r="A917" s="81"/>
      <c r="B917" s="81"/>
      <c r="C917" s="81"/>
      <c r="D917" s="81"/>
      <c r="E917" s="81"/>
      <c r="F917" s="81"/>
      <c r="G917" s="82"/>
      <c r="H917" s="81"/>
      <c r="I917" s="81"/>
      <c r="J917" s="81"/>
      <c r="K917" s="82"/>
      <c r="L917" s="81"/>
      <c r="M917" s="82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2"/>
    </row>
    <row r="918" spans="1:28" ht="24" customHeight="1" x14ac:dyDescent="0.5">
      <c r="A918" s="81"/>
      <c r="B918" s="81"/>
      <c r="C918" s="81"/>
      <c r="D918" s="81"/>
      <c r="E918" s="81"/>
      <c r="F918" s="81"/>
      <c r="G918" s="82"/>
      <c r="H918" s="81"/>
      <c r="I918" s="81"/>
      <c r="J918" s="81"/>
      <c r="K918" s="82"/>
      <c r="L918" s="81"/>
      <c r="M918" s="82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2"/>
    </row>
    <row r="919" spans="1:28" ht="24" customHeight="1" x14ac:dyDescent="0.5">
      <c r="A919" s="81"/>
      <c r="B919" s="81"/>
      <c r="C919" s="81"/>
      <c r="D919" s="81"/>
      <c r="E919" s="81"/>
      <c r="F919" s="81"/>
      <c r="G919" s="82"/>
      <c r="H919" s="81"/>
      <c r="I919" s="81"/>
      <c r="J919" s="81"/>
      <c r="K919" s="82"/>
      <c r="L919" s="81"/>
      <c r="M919" s="82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2"/>
    </row>
    <row r="920" spans="1:28" ht="24" customHeight="1" x14ac:dyDescent="0.5">
      <c r="A920" s="81"/>
      <c r="B920" s="81"/>
      <c r="C920" s="81"/>
      <c r="D920" s="81"/>
      <c r="E920" s="81"/>
      <c r="F920" s="81"/>
      <c r="G920" s="82"/>
      <c r="H920" s="81"/>
      <c r="I920" s="81"/>
      <c r="J920" s="81"/>
      <c r="K920" s="82"/>
      <c r="L920" s="81"/>
      <c r="M920" s="82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2"/>
    </row>
    <row r="921" spans="1:28" ht="24" customHeight="1" x14ac:dyDescent="0.5">
      <c r="A921" s="81"/>
      <c r="B921" s="81"/>
      <c r="C921" s="81"/>
      <c r="D921" s="81"/>
      <c r="E921" s="81"/>
      <c r="F921" s="81"/>
      <c r="G921" s="82"/>
      <c r="H921" s="81"/>
      <c r="I921" s="81"/>
      <c r="J921" s="81"/>
      <c r="K921" s="82"/>
      <c r="L921" s="81"/>
      <c r="M921" s="82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2"/>
    </row>
    <row r="922" spans="1:28" ht="24" customHeight="1" x14ac:dyDescent="0.5">
      <c r="A922" s="81"/>
      <c r="B922" s="81"/>
      <c r="C922" s="81"/>
      <c r="D922" s="81"/>
      <c r="E922" s="81"/>
      <c r="F922" s="81"/>
      <c r="G922" s="82"/>
      <c r="H922" s="81"/>
      <c r="I922" s="81"/>
      <c r="J922" s="81"/>
      <c r="K922" s="82"/>
      <c r="L922" s="81"/>
      <c r="M922" s="82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2"/>
    </row>
    <row r="923" spans="1:28" ht="24" customHeight="1" x14ac:dyDescent="0.5">
      <c r="A923" s="81"/>
      <c r="B923" s="81"/>
      <c r="C923" s="81"/>
      <c r="D923" s="81"/>
      <c r="E923" s="81"/>
      <c r="F923" s="81"/>
      <c r="G923" s="82"/>
      <c r="H923" s="81"/>
      <c r="I923" s="81"/>
      <c r="J923" s="81"/>
      <c r="K923" s="82"/>
      <c r="L923" s="81"/>
      <c r="M923" s="82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2"/>
    </row>
    <row r="924" spans="1:28" ht="24" customHeight="1" x14ac:dyDescent="0.5">
      <c r="A924" s="81"/>
      <c r="B924" s="81"/>
      <c r="C924" s="81"/>
      <c r="D924" s="81"/>
      <c r="E924" s="81"/>
      <c r="F924" s="81"/>
      <c r="G924" s="82"/>
      <c r="H924" s="81"/>
      <c r="I924" s="81"/>
      <c r="J924" s="81"/>
      <c r="K924" s="82"/>
      <c r="L924" s="81"/>
      <c r="M924" s="82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2"/>
    </row>
    <row r="925" spans="1:28" ht="24" customHeight="1" x14ac:dyDescent="0.5">
      <c r="A925" s="81"/>
      <c r="B925" s="81"/>
      <c r="C925" s="81"/>
      <c r="D925" s="81"/>
      <c r="E925" s="81"/>
      <c r="F925" s="81"/>
      <c r="G925" s="82"/>
      <c r="H925" s="81"/>
      <c r="I925" s="81"/>
      <c r="J925" s="81"/>
      <c r="K925" s="82"/>
      <c r="L925" s="81"/>
      <c r="M925" s="82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2"/>
    </row>
    <row r="926" spans="1:28" ht="24" customHeight="1" x14ac:dyDescent="0.5">
      <c r="A926" s="81"/>
      <c r="B926" s="81"/>
      <c r="C926" s="81"/>
      <c r="D926" s="81"/>
      <c r="E926" s="81"/>
      <c r="F926" s="81"/>
      <c r="G926" s="82"/>
      <c r="H926" s="81"/>
      <c r="I926" s="81"/>
      <c r="J926" s="81"/>
      <c r="K926" s="82"/>
      <c r="L926" s="81"/>
      <c r="M926" s="82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2"/>
    </row>
    <row r="927" spans="1:28" ht="24" customHeight="1" x14ac:dyDescent="0.5">
      <c r="A927" s="81"/>
      <c r="B927" s="81"/>
      <c r="C927" s="81"/>
      <c r="D927" s="81"/>
      <c r="E927" s="81"/>
      <c r="F927" s="81"/>
      <c r="G927" s="82"/>
      <c r="H927" s="81"/>
      <c r="I927" s="81"/>
      <c r="J927" s="81"/>
      <c r="K927" s="82"/>
      <c r="L927" s="81"/>
      <c r="M927" s="82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2"/>
    </row>
    <row r="928" spans="1:28" ht="24" customHeight="1" x14ac:dyDescent="0.5">
      <c r="A928" s="81"/>
      <c r="B928" s="81"/>
      <c r="C928" s="81"/>
      <c r="D928" s="81"/>
      <c r="E928" s="81"/>
      <c r="F928" s="81"/>
      <c r="G928" s="82"/>
      <c r="H928" s="81"/>
      <c r="I928" s="81"/>
      <c r="J928" s="81"/>
      <c r="K928" s="82"/>
      <c r="L928" s="81"/>
      <c r="M928" s="82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2"/>
    </row>
    <row r="929" spans="1:28" ht="24" customHeight="1" x14ac:dyDescent="0.5">
      <c r="A929" s="81"/>
      <c r="B929" s="81"/>
      <c r="C929" s="81"/>
      <c r="D929" s="81"/>
      <c r="E929" s="81"/>
      <c r="F929" s="81"/>
      <c r="G929" s="82"/>
      <c r="H929" s="81"/>
      <c r="I929" s="81"/>
      <c r="J929" s="81"/>
      <c r="K929" s="82"/>
      <c r="L929" s="81"/>
      <c r="M929" s="82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2"/>
    </row>
    <row r="930" spans="1:28" ht="24" customHeight="1" x14ac:dyDescent="0.5">
      <c r="A930" s="81"/>
      <c r="B930" s="81"/>
      <c r="C930" s="81"/>
      <c r="D930" s="81"/>
      <c r="E930" s="81"/>
      <c r="F930" s="81"/>
      <c r="G930" s="82"/>
      <c r="H930" s="81"/>
      <c r="I930" s="81"/>
      <c r="J930" s="81"/>
      <c r="K930" s="82"/>
      <c r="L930" s="81"/>
      <c r="M930" s="82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2"/>
    </row>
    <row r="931" spans="1:28" ht="24" customHeight="1" x14ac:dyDescent="0.5">
      <c r="A931" s="81"/>
      <c r="B931" s="81"/>
      <c r="C931" s="81"/>
      <c r="D931" s="81"/>
      <c r="E931" s="81"/>
      <c r="F931" s="81"/>
      <c r="G931" s="82"/>
      <c r="H931" s="81"/>
      <c r="I931" s="81"/>
      <c r="J931" s="81"/>
      <c r="K931" s="82"/>
      <c r="L931" s="81"/>
      <c r="M931" s="82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2"/>
    </row>
    <row r="932" spans="1:28" ht="24" customHeight="1" x14ac:dyDescent="0.5">
      <c r="A932" s="81"/>
      <c r="B932" s="81"/>
      <c r="C932" s="81"/>
      <c r="D932" s="81"/>
      <c r="E932" s="81"/>
      <c r="F932" s="81"/>
      <c r="G932" s="82"/>
      <c r="H932" s="81"/>
      <c r="I932" s="81"/>
      <c r="J932" s="81"/>
      <c r="K932" s="82"/>
      <c r="L932" s="81"/>
      <c r="M932" s="82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2"/>
    </row>
    <row r="933" spans="1:28" ht="24" customHeight="1" x14ac:dyDescent="0.5">
      <c r="A933" s="81"/>
      <c r="B933" s="81"/>
      <c r="C933" s="81"/>
      <c r="D933" s="81"/>
      <c r="E933" s="81"/>
      <c r="F933" s="81"/>
      <c r="G933" s="82"/>
      <c r="H933" s="81"/>
      <c r="I933" s="81"/>
      <c r="J933" s="81"/>
      <c r="K933" s="82"/>
      <c r="L933" s="81"/>
      <c r="M933" s="82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2"/>
    </row>
    <row r="934" spans="1:28" ht="24" customHeight="1" x14ac:dyDescent="0.5">
      <c r="A934" s="81"/>
      <c r="B934" s="81"/>
      <c r="C934" s="81"/>
      <c r="D934" s="81"/>
      <c r="E934" s="81"/>
      <c r="F934" s="81"/>
      <c r="G934" s="82"/>
      <c r="H934" s="81"/>
      <c r="I934" s="81"/>
      <c r="J934" s="81"/>
      <c r="K934" s="82"/>
      <c r="L934" s="81"/>
      <c r="M934" s="82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2"/>
    </row>
    <row r="935" spans="1:28" ht="24" customHeight="1" x14ac:dyDescent="0.5">
      <c r="A935" s="81"/>
      <c r="B935" s="81"/>
      <c r="C935" s="81"/>
      <c r="D935" s="81"/>
      <c r="E935" s="81"/>
      <c r="F935" s="81"/>
      <c r="G935" s="82"/>
      <c r="H935" s="81"/>
      <c r="I935" s="81"/>
      <c r="J935" s="81"/>
      <c r="K935" s="82"/>
      <c r="L935" s="81"/>
      <c r="M935" s="82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2"/>
    </row>
    <row r="936" spans="1:28" ht="24" customHeight="1" x14ac:dyDescent="0.5">
      <c r="A936" s="81"/>
      <c r="B936" s="81"/>
      <c r="C936" s="81"/>
      <c r="D936" s="81"/>
      <c r="E936" s="81"/>
      <c r="F936" s="81"/>
      <c r="G936" s="82"/>
      <c r="H936" s="81"/>
      <c r="I936" s="81"/>
      <c r="J936" s="81"/>
      <c r="K936" s="82"/>
      <c r="L936" s="81"/>
      <c r="M936" s="82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2"/>
    </row>
    <row r="937" spans="1:28" ht="24" customHeight="1" x14ac:dyDescent="0.5">
      <c r="A937" s="81"/>
      <c r="B937" s="81"/>
      <c r="C937" s="81"/>
      <c r="D937" s="81"/>
      <c r="E937" s="81"/>
      <c r="F937" s="81"/>
      <c r="G937" s="82"/>
      <c r="H937" s="81"/>
      <c r="I937" s="81"/>
      <c r="J937" s="81"/>
      <c r="K937" s="82"/>
      <c r="L937" s="81"/>
      <c r="M937" s="82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2"/>
    </row>
    <row r="938" spans="1:28" ht="24" customHeight="1" x14ac:dyDescent="0.5">
      <c r="A938" s="81"/>
      <c r="B938" s="81"/>
      <c r="C938" s="81"/>
      <c r="D938" s="81"/>
      <c r="E938" s="81"/>
      <c r="F938" s="81"/>
      <c r="G938" s="82"/>
      <c r="H938" s="81"/>
      <c r="I938" s="81"/>
      <c r="J938" s="81"/>
      <c r="K938" s="82"/>
      <c r="L938" s="81"/>
      <c r="M938" s="82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2"/>
    </row>
    <row r="939" spans="1:28" ht="24" customHeight="1" x14ac:dyDescent="0.5">
      <c r="A939" s="81"/>
      <c r="B939" s="81"/>
      <c r="C939" s="81"/>
      <c r="D939" s="81"/>
      <c r="E939" s="81"/>
      <c r="F939" s="81"/>
      <c r="G939" s="82"/>
      <c r="H939" s="81"/>
      <c r="I939" s="81"/>
      <c r="J939" s="81"/>
      <c r="K939" s="82"/>
      <c r="L939" s="81"/>
      <c r="M939" s="82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2"/>
    </row>
    <row r="940" spans="1:28" ht="24" customHeight="1" x14ac:dyDescent="0.5">
      <c r="A940" s="81"/>
      <c r="B940" s="81"/>
      <c r="C940" s="81"/>
      <c r="D940" s="81"/>
      <c r="E940" s="81"/>
      <c r="F940" s="81"/>
      <c r="G940" s="82"/>
      <c r="H940" s="81"/>
      <c r="I940" s="81"/>
      <c r="J940" s="81"/>
      <c r="K940" s="82"/>
      <c r="L940" s="81"/>
      <c r="M940" s="82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2"/>
    </row>
    <row r="941" spans="1:28" ht="24" customHeight="1" x14ac:dyDescent="0.5">
      <c r="A941" s="81"/>
      <c r="B941" s="81"/>
      <c r="C941" s="81"/>
      <c r="D941" s="81"/>
      <c r="E941" s="81"/>
      <c r="F941" s="81"/>
      <c r="G941" s="82"/>
      <c r="H941" s="81"/>
      <c r="I941" s="81"/>
      <c r="J941" s="81"/>
      <c r="K941" s="82"/>
      <c r="L941" s="81"/>
      <c r="M941" s="82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2"/>
    </row>
    <row r="942" spans="1:28" ht="24" customHeight="1" x14ac:dyDescent="0.5">
      <c r="A942" s="81"/>
      <c r="B942" s="81"/>
      <c r="C942" s="81"/>
      <c r="D942" s="81"/>
      <c r="E942" s="81"/>
      <c r="F942" s="81"/>
      <c r="G942" s="82"/>
      <c r="H942" s="81"/>
      <c r="I942" s="81"/>
      <c r="J942" s="81"/>
      <c r="K942" s="82"/>
      <c r="L942" s="81"/>
      <c r="M942" s="82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2"/>
    </row>
    <row r="943" spans="1:28" ht="24" customHeight="1" x14ac:dyDescent="0.5">
      <c r="A943" s="81"/>
      <c r="B943" s="81"/>
      <c r="C943" s="81"/>
      <c r="D943" s="81"/>
      <c r="E943" s="81"/>
      <c r="F943" s="81"/>
      <c r="G943" s="82"/>
      <c r="H943" s="81"/>
      <c r="I943" s="81"/>
      <c r="J943" s="81"/>
      <c r="K943" s="82"/>
      <c r="L943" s="81"/>
      <c r="M943" s="82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2"/>
    </row>
    <row r="944" spans="1:28" ht="24" customHeight="1" x14ac:dyDescent="0.5">
      <c r="A944" s="81"/>
      <c r="B944" s="81"/>
      <c r="C944" s="81"/>
      <c r="D944" s="81"/>
      <c r="E944" s="81"/>
      <c r="F944" s="81"/>
      <c r="G944" s="82"/>
      <c r="H944" s="81"/>
      <c r="I944" s="81"/>
      <c r="J944" s="81"/>
      <c r="K944" s="82"/>
      <c r="L944" s="81"/>
      <c r="M944" s="82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2"/>
    </row>
    <row r="945" spans="1:28" ht="24" customHeight="1" x14ac:dyDescent="0.5">
      <c r="A945" s="81"/>
      <c r="B945" s="81"/>
      <c r="C945" s="81"/>
      <c r="D945" s="81"/>
      <c r="E945" s="81"/>
      <c r="F945" s="81"/>
      <c r="G945" s="82"/>
      <c r="H945" s="81"/>
      <c r="I945" s="81"/>
      <c r="J945" s="81"/>
      <c r="K945" s="82"/>
      <c r="L945" s="81"/>
      <c r="M945" s="82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2"/>
    </row>
    <row r="946" spans="1:28" ht="24" customHeight="1" x14ac:dyDescent="0.5">
      <c r="A946" s="81"/>
      <c r="B946" s="81"/>
      <c r="C946" s="81"/>
      <c r="D946" s="81"/>
      <c r="E946" s="81"/>
      <c r="F946" s="81"/>
      <c r="G946" s="82"/>
      <c r="H946" s="81"/>
      <c r="I946" s="81"/>
      <c r="J946" s="81"/>
      <c r="K946" s="82"/>
      <c r="L946" s="81"/>
      <c r="M946" s="82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2"/>
    </row>
    <row r="947" spans="1:28" ht="24" customHeight="1" x14ac:dyDescent="0.5">
      <c r="A947" s="81"/>
      <c r="B947" s="81"/>
      <c r="C947" s="81"/>
      <c r="D947" s="81"/>
      <c r="E947" s="81"/>
      <c r="F947" s="81"/>
      <c r="G947" s="82"/>
      <c r="H947" s="81"/>
      <c r="I947" s="81"/>
      <c r="J947" s="81"/>
      <c r="K947" s="82"/>
      <c r="L947" s="81"/>
      <c r="M947" s="82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2"/>
    </row>
    <row r="948" spans="1:28" ht="24" customHeight="1" x14ac:dyDescent="0.5">
      <c r="A948" s="81"/>
      <c r="B948" s="81"/>
      <c r="C948" s="81"/>
      <c r="D948" s="81"/>
      <c r="E948" s="81"/>
      <c r="F948" s="81"/>
      <c r="G948" s="82"/>
      <c r="H948" s="81"/>
      <c r="I948" s="81"/>
      <c r="J948" s="81"/>
      <c r="K948" s="82"/>
      <c r="L948" s="81"/>
      <c r="M948" s="82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2"/>
    </row>
    <row r="949" spans="1:28" ht="24" customHeight="1" x14ac:dyDescent="0.5">
      <c r="A949" s="81"/>
      <c r="B949" s="81"/>
      <c r="C949" s="81"/>
      <c r="D949" s="81"/>
      <c r="E949" s="81"/>
      <c r="F949" s="81"/>
      <c r="G949" s="82"/>
      <c r="H949" s="81"/>
      <c r="I949" s="81"/>
      <c r="J949" s="81"/>
      <c r="K949" s="82"/>
      <c r="L949" s="81"/>
      <c r="M949" s="82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2"/>
    </row>
    <row r="950" spans="1:28" ht="24" customHeight="1" x14ac:dyDescent="0.5">
      <c r="A950" s="81"/>
      <c r="B950" s="81"/>
      <c r="C950" s="81"/>
      <c r="D950" s="81"/>
      <c r="E950" s="81"/>
      <c r="F950" s="81"/>
      <c r="G950" s="82"/>
      <c r="H950" s="81"/>
      <c r="I950" s="81"/>
      <c r="J950" s="81"/>
      <c r="K950" s="82"/>
      <c r="L950" s="81"/>
      <c r="M950" s="82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2"/>
    </row>
    <row r="951" spans="1:28" ht="24" customHeight="1" x14ac:dyDescent="0.5">
      <c r="A951" s="81"/>
      <c r="B951" s="81"/>
      <c r="C951" s="81"/>
      <c r="D951" s="81"/>
      <c r="E951" s="81"/>
      <c r="F951" s="81"/>
      <c r="G951" s="82"/>
      <c r="H951" s="81"/>
      <c r="I951" s="81"/>
      <c r="J951" s="81"/>
      <c r="K951" s="82"/>
      <c r="L951" s="81"/>
      <c r="M951" s="82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2"/>
    </row>
    <row r="952" spans="1:28" ht="24" customHeight="1" x14ac:dyDescent="0.5">
      <c r="A952" s="81"/>
      <c r="B952" s="81"/>
      <c r="C952" s="81"/>
      <c r="D952" s="81"/>
      <c r="E952" s="81"/>
      <c r="F952" s="81"/>
      <c r="G952" s="82"/>
      <c r="H952" s="81"/>
      <c r="I952" s="81"/>
      <c r="J952" s="81"/>
      <c r="K952" s="82"/>
      <c r="L952" s="81"/>
      <c r="M952" s="82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2"/>
    </row>
    <row r="953" spans="1:28" ht="24" customHeight="1" x14ac:dyDescent="0.5">
      <c r="A953" s="81"/>
      <c r="B953" s="81"/>
      <c r="C953" s="81"/>
      <c r="D953" s="81"/>
      <c r="E953" s="81"/>
      <c r="F953" s="81"/>
      <c r="G953" s="82"/>
      <c r="H953" s="81"/>
      <c r="I953" s="81"/>
      <c r="J953" s="81"/>
      <c r="K953" s="82"/>
      <c r="L953" s="81"/>
      <c r="M953" s="82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2"/>
    </row>
    <row r="954" spans="1:28" ht="24" customHeight="1" x14ac:dyDescent="0.5">
      <c r="A954" s="81"/>
      <c r="B954" s="81"/>
      <c r="C954" s="81"/>
      <c r="D954" s="81"/>
      <c r="E954" s="81"/>
      <c r="F954" s="81"/>
      <c r="G954" s="82"/>
      <c r="H954" s="81"/>
      <c r="I954" s="81"/>
      <c r="J954" s="81"/>
      <c r="K954" s="82"/>
      <c r="L954" s="81"/>
      <c r="M954" s="82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2"/>
    </row>
    <row r="955" spans="1:28" ht="24" customHeight="1" x14ac:dyDescent="0.5">
      <c r="A955" s="81"/>
      <c r="B955" s="81"/>
      <c r="C955" s="81"/>
      <c r="D955" s="81"/>
      <c r="E955" s="81"/>
      <c r="F955" s="81"/>
      <c r="G955" s="82"/>
      <c r="H955" s="81"/>
      <c r="I955" s="81"/>
      <c r="J955" s="81"/>
      <c r="K955" s="82"/>
      <c r="L955" s="81"/>
      <c r="M955" s="82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2"/>
    </row>
    <row r="956" spans="1:28" ht="24" customHeight="1" x14ac:dyDescent="0.5">
      <c r="A956" s="81"/>
      <c r="B956" s="81"/>
      <c r="C956" s="81"/>
      <c r="D956" s="81"/>
      <c r="E956" s="81"/>
      <c r="F956" s="81"/>
      <c r="G956" s="82"/>
      <c r="H956" s="81"/>
      <c r="I956" s="81"/>
      <c r="J956" s="81"/>
      <c r="K956" s="82"/>
      <c r="L956" s="81"/>
      <c r="M956" s="82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2"/>
    </row>
    <row r="957" spans="1:28" ht="24" customHeight="1" x14ac:dyDescent="0.5">
      <c r="A957" s="81"/>
      <c r="B957" s="81"/>
      <c r="C957" s="81"/>
      <c r="D957" s="81"/>
      <c r="E957" s="81"/>
      <c r="F957" s="81"/>
      <c r="G957" s="82"/>
      <c r="H957" s="81"/>
      <c r="I957" s="81"/>
      <c r="J957" s="81"/>
      <c r="K957" s="82"/>
      <c r="L957" s="81"/>
      <c r="M957" s="82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2"/>
    </row>
    <row r="958" spans="1:28" ht="24" customHeight="1" x14ac:dyDescent="0.5">
      <c r="A958" s="81"/>
      <c r="B958" s="81"/>
      <c r="C958" s="81"/>
      <c r="D958" s="81"/>
      <c r="E958" s="81"/>
      <c r="F958" s="81"/>
      <c r="G958" s="82"/>
      <c r="H958" s="81"/>
      <c r="I958" s="81"/>
      <c r="J958" s="81"/>
      <c r="K958" s="82"/>
      <c r="L958" s="81"/>
      <c r="M958" s="82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2"/>
    </row>
    <row r="959" spans="1:28" ht="24" customHeight="1" x14ac:dyDescent="0.5">
      <c r="A959" s="81"/>
      <c r="B959" s="81"/>
      <c r="C959" s="81"/>
      <c r="D959" s="81"/>
      <c r="E959" s="81"/>
      <c r="F959" s="81"/>
      <c r="G959" s="82"/>
      <c r="H959" s="81"/>
      <c r="I959" s="81"/>
      <c r="J959" s="81"/>
      <c r="K959" s="82"/>
      <c r="L959" s="81"/>
      <c r="M959" s="82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2"/>
    </row>
    <row r="960" spans="1:28" ht="24" customHeight="1" x14ac:dyDescent="0.5">
      <c r="A960" s="81"/>
      <c r="B960" s="81"/>
      <c r="C960" s="81"/>
      <c r="D960" s="81"/>
      <c r="E960" s="81"/>
      <c r="F960" s="81"/>
      <c r="G960" s="82"/>
      <c r="H960" s="81"/>
      <c r="I960" s="81"/>
      <c r="J960" s="81"/>
      <c r="K960" s="82"/>
      <c r="L960" s="81"/>
      <c r="M960" s="82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2"/>
    </row>
    <row r="961" spans="1:28" ht="24" customHeight="1" x14ac:dyDescent="0.5">
      <c r="A961" s="81"/>
      <c r="B961" s="81"/>
      <c r="C961" s="81"/>
      <c r="D961" s="81"/>
      <c r="E961" s="81"/>
      <c r="F961" s="81"/>
      <c r="G961" s="82"/>
      <c r="H961" s="81"/>
      <c r="I961" s="81"/>
      <c r="J961" s="81"/>
      <c r="K961" s="82"/>
      <c r="L961" s="81"/>
      <c r="M961" s="82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2"/>
    </row>
    <row r="962" spans="1:28" ht="24" customHeight="1" x14ac:dyDescent="0.5">
      <c r="A962" s="81"/>
      <c r="B962" s="81"/>
      <c r="C962" s="81"/>
      <c r="D962" s="81"/>
      <c r="E962" s="81"/>
      <c r="F962" s="81"/>
      <c r="G962" s="82"/>
      <c r="H962" s="81"/>
      <c r="I962" s="81"/>
      <c r="J962" s="81"/>
      <c r="K962" s="82"/>
      <c r="L962" s="81"/>
      <c r="M962" s="82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2"/>
    </row>
    <row r="963" spans="1:28" ht="24" customHeight="1" x14ac:dyDescent="0.5">
      <c r="A963" s="81"/>
      <c r="B963" s="81"/>
      <c r="C963" s="81"/>
      <c r="D963" s="81"/>
      <c r="E963" s="81"/>
      <c r="F963" s="81"/>
      <c r="G963" s="82"/>
      <c r="H963" s="81"/>
      <c r="I963" s="81"/>
      <c r="J963" s="81"/>
      <c r="K963" s="82"/>
      <c r="L963" s="81"/>
      <c r="M963" s="82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2"/>
    </row>
    <row r="964" spans="1:28" ht="24" customHeight="1" x14ac:dyDescent="0.5">
      <c r="A964" s="81"/>
      <c r="B964" s="81"/>
      <c r="C964" s="81"/>
      <c r="D964" s="81"/>
      <c r="E964" s="81"/>
      <c r="F964" s="81"/>
      <c r="G964" s="82"/>
      <c r="H964" s="81"/>
      <c r="I964" s="81"/>
      <c r="J964" s="81"/>
      <c r="K964" s="82"/>
      <c r="L964" s="81"/>
      <c r="M964" s="82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2"/>
    </row>
    <row r="965" spans="1:28" ht="24" customHeight="1" x14ac:dyDescent="0.5">
      <c r="A965" s="81"/>
      <c r="B965" s="81"/>
      <c r="C965" s="81"/>
      <c r="D965" s="81"/>
      <c r="E965" s="81"/>
      <c r="F965" s="81"/>
      <c r="G965" s="82"/>
      <c r="H965" s="81"/>
      <c r="I965" s="81"/>
      <c r="J965" s="81"/>
      <c r="K965" s="82"/>
      <c r="L965" s="81"/>
      <c r="M965" s="82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2"/>
    </row>
    <row r="966" spans="1:28" ht="24" customHeight="1" x14ac:dyDescent="0.5">
      <c r="A966" s="81"/>
      <c r="B966" s="81"/>
      <c r="C966" s="81"/>
      <c r="D966" s="81"/>
      <c r="E966" s="81"/>
      <c r="F966" s="81"/>
      <c r="G966" s="82"/>
      <c r="H966" s="81"/>
      <c r="I966" s="81"/>
      <c r="J966" s="81"/>
      <c r="K966" s="82"/>
      <c r="L966" s="81"/>
      <c r="M966" s="82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2"/>
    </row>
    <row r="967" spans="1:28" ht="24" customHeight="1" x14ac:dyDescent="0.5">
      <c r="A967" s="81"/>
      <c r="B967" s="81"/>
      <c r="C967" s="81"/>
      <c r="D967" s="81"/>
      <c r="E967" s="81"/>
      <c r="F967" s="81"/>
      <c r="G967" s="82"/>
      <c r="H967" s="81"/>
      <c r="I967" s="81"/>
      <c r="J967" s="81"/>
      <c r="K967" s="82"/>
      <c r="L967" s="81"/>
      <c r="M967" s="82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2"/>
    </row>
    <row r="968" spans="1:28" ht="24" customHeight="1" x14ac:dyDescent="0.5">
      <c r="A968" s="81"/>
      <c r="B968" s="81"/>
      <c r="C968" s="81"/>
      <c r="D968" s="81"/>
      <c r="E968" s="81"/>
      <c r="F968" s="81"/>
      <c r="G968" s="82"/>
      <c r="H968" s="81"/>
      <c r="I968" s="81"/>
      <c r="J968" s="81"/>
      <c r="K968" s="82"/>
      <c r="L968" s="81"/>
      <c r="M968" s="82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2"/>
    </row>
    <row r="969" spans="1:28" ht="24" customHeight="1" x14ac:dyDescent="0.5">
      <c r="A969" s="81"/>
      <c r="B969" s="81"/>
      <c r="C969" s="81"/>
      <c r="D969" s="81"/>
      <c r="E969" s="81"/>
      <c r="F969" s="81"/>
      <c r="G969" s="82"/>
      <c r="H969" s="81"/>
      <c r="I969" s="81"/>
      <c r="J969" s="81"/>
      <c r="K969" s="82"/>
      <c r="L969" s="81"/>
      <c r="M969" s="82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2"/>
    </row>
    <row r="970" spans="1:28" ht="24" customHeight="1" x14ac:dyDescent="0.5">
      <c r="A970" s="81"/>
      <c r="B970" s="81"/>
      <c r="C970" s="81"/>
      <c r="D970" s="81"/>
      <c r="E970" s="81"/>
      <c r="F970" s="81"/>
      <c r="G970" s="82"/>
      <c r="H970" s="81"/>
      <c r="I970" s="81"/>
      <c r="J970" s="81"/>
      <c r="K970" s="82"/>
      <c r="L970" s="81"/>
      <c r="M970" s="82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2"/>
    </row>
    <row r="971" spans="1:28" ht="24" customHeight="1" x14ac:dyDescent="0.5">
      <c r="A971" s="81"/>
      <c r="B971" s="81"/>
      <c r="C971" s="81"/>
      <c r="D971" s="81"/>
      <c r="E971" s="81"/>
      <c r="F971" s="81"/>
      <c r="G971" s="82"/>
      <c r="H971" s="81"/>
      <c r="I971" s="81"/>
      <c r="J971" s="81"/>
      <c r="K971" s="82"/>
      <c r="L971" s="81"/>
      <c r="M971" s="82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2"/>
    </row>
    <row r="972" spans="1:28" ht="24" customHeight="1" x14ac:dyDescent="0.5">
      <c r="A972" s="81"/>
      <c r="B972" s="81"/>
      <c r="C972" s="81"/>
      <c r="D972" s="81"/>
      <c r="E972" s="81"/>
      <c r="F972" s="81"/>
      <c r="G972" s="82"/>
      <c r="H972" s="81"/>
      <c r="I972" s="81"/>
      <c r="J972" s="81"/>
      <c r="K972" s="82"/>
      <c r="L972" s="81"/>
      <c r="M972" s="82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2"/>
    </row>
    <row r="973" spans="1:28" ht="24" customHeight="1" x14ac:dyDescent="0.5">
      <c r="A973" s="81"/>
      <c r="B973" s="81"/>
      <c r="C973" s="81"/>
      <c r="D973" s="81"/>
      <c r="E973" s="81"/>
      <c r="F973" s="81"/>
      <c r="G973" s="82"/>
      <c r="H973" s="81"/>
      <c r="I973" s="81"/>
      <c r="J973" s="81"/>
      <c r="K973" s="82"/>
      <c r="L973" s="81"/>
      <c r="M973" s="82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2"/>
    </row>
    <row r="974" spans="1:28" ht="24" customHeight="1" x14ac:dyDescent="0.5">
      <c r="A974" s="81"/>
      <c r="B974" s="81"/>
      <c r="C974" s="81"/>
      <c r="D974" s="81"/>
      <c r="E974" s="81"/>
      <c r="F974" s="81"/>
      <c r="G974" s="82"/>
      <c r="H974" s="81"/>
      <c r="I974" s="81"/>
      <c r="J974" s="81"/>
      <c r="K974" s="82"/>
      <c r="L974" s="81"/>
      <c r="M974" s="82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2"/>
    </row>
    <row r="975" spans="1:28" ht="24" customHeight="1" x14ac:dyDescent="0.5">
      <c r="A975" s="81"/>
      <c r="B975" s="81"/>
      <c r="C975" s="81"/>
      <c r="D975" s="81"/>
      <c r="E975" s="81"/>
      <c r="F975" s="81"/>
      <c r="G975" s="82"/>
      <c r="H975" s="81"/>
      <c r="I975" s="81"/>
      <c r="J975" s="81"/>
      <c r="K975" s="82"/>
      <c r="L975" s="81"/>
      <c r="M975" s="82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2"/>
    </row>
    <row r="976" spans="1:28" ht="24" customHeight="1" x14ac:dyDescent="0.5">
      <c r="A976" s="81"/>
      <c r="B976" s="81"/>
      <c r="C976" s="81"/>
      <c r="D976" s="81"/>
      <c r="E976" s="81"/>
      <c r="F976" s="81"/>
      <c r="G976" s="82"/>
      <c r="H976" s="81"/>
      <c r="I976" s="81"/>
      <c r="J976" s="81"/>
      <c r="K976" s="82"/>
      <c r="L976" s="81"/>
      <c r="M976" s="82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2"/>
    </row>
    <row r="977" spans="1:28" ht="24" customHeight="1" x14ac:dyDescent="0.5">
      <c r="A977" s="81"/>
      <c r="B977" s="81"/>
      <c r="C977" s="81"/>
      <c r="D977" s="81"/>
      <c r="E977" s="81"/>
      <c r="F977" s="81"/>
      <c r="G977" s="82"/>
      <c r="H977" s="81"/>
      <c r="I977" s="81"/>
      <c r="J977" s="81"/>
      <c r="K977" s="82"/>
      <c r="L977" s="81"/>
      <c r="M977" s="82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2"/>
    </row>
    <row r="978" spans="1:28" ht="24" customHeight="1" x14ac:dyDescent="0.5">
      <c r="A978" s="81"/>
      <c r="B978" s="81"/>
      <c r="C978" s="81"/>
      <c r="D978" s="81"/>
      <c r="E978" s="81"/>
      <c r="F978" s="81"/>
      <c r="G978" s="82"/>
      <c r="H978" s="81"/>
      <c r="I978" s="81"/>
      <c r="J978" s="81"/>
      <c r="K978" s="82"/>
      <c r="L978" s="81"/>
      <c r="M978" s="82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2"/>
    </row>
    <row r="979" spans="1:28" ht="24" customHeight="1" x14ac:dyDescent="0.5">
      <c r="A979" s="81"/>
      <c r="B979" s="81"/>
      <c r="C979" s="81"/>
      <c r="D979" s="81"/>
      <c r="E979" s="81"/>
      <c r="F979" s="81"/>
      <c r="G979" s="82"/>
      <c r="H979" s="81"/>
      <c r="I979" s="81"/>
      <c r="J979" s="81"/>
      <c r="K979" s="82"/>
      <c r="L979" s="81"/>
      <c r="M979" s="82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2"/>
    </row>
    <row r="980" spans="1:28" ht="24" customHeight="1" x14ac:dyDescent="0.5">
      <c r="A980" s="81"/>
      <c r="B980" s="81"/>
      <c r="C980" s="81"/>
      <c r="D980" s="81"/>
      <c r="E980" s="81"/>
      <c r="F980" s="81"/>
      <c r="G980" s="82"/>
      <c r="H980" s="81"/>
      <c r="I980" s="81"/>
      <c r="J980" s="81"/>
      <c r="K980" s="82"/>
      <c r="L980" s="81"/>
      <c r="M980" s="82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2"/>
    </row>
    <row r="981" spans="1:28" ht="24" customHeight="1" x14ac:dyDescent="0.5">
      <c r="A981" s="81"/>
      <c r="B981" s="81"/>
      <c r="C981" s="81"/>
      <c r="D981" s="81"/>
      <c r="E981" s="81"/>
      <c r="F981" s="81"/>
      <c r="G981" s="82"/>
      <c r="H981" s="81"/>
      <c r="I981" s="81"/>
      <c r="J981" s="81"/>
      <c r="K981" s="82"/>
      <c r="L981" s="81"/>
      <c r="M981" s="82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2"/>
    </row>
    <row r="982" spans="1:28" ht="24" customHeight="1" x14ac:dyDescent="0.5">
      <c r="A982" s="81"/>
      <c r="B982" s="81"/>
      <c r="C982" s="81"/>
      <c r="D982" s="81"/>
      <c r="E982" s="81"/>
      <c r="F982" s="81"/>
      <c r="G982" s="82"/>
      <c r="H982" s="81"/>
      <c r="I982" s="81"/>
      <c r="J982" s="81"/>
      <c r="K982" s="82"/>
      <c r="L982" s="81"/>
      <c r="M982" s="82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2"/>
    </row>
    <row r="983" spans="1:28" ht="24" customHeight="1" x14ac:dyDescent="0.5">
      <c r="A983" s="81"/>
      <c r="B983" s="81"/>
      <c r="C983" s="81"/>
      <c r="D983" s="81"/>
      <c r="E983" s="81"/>
      <c r="F983" s="81"/>
      <c r="G983" s="82"/>
      <c r="H983" s="81"/>
      <c r="I983" s="81"/>
      <c r="J983" s="81"/>
      <c r="K983" s="82"/>
      <c r="L983" s="81"/>
      <c r="M983" s="82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2"/>
    </row>
    <row r="984" spans="1:28" ht="24" customHeight="1" x14ac:dyDescent="0.5">
      <c r="A984" s="81"/>
      <c r="B984" s="81"/>
      <c r="C984" s="81"/>
      <c r="D984" s="81"/>
      <c r="E984" s="81"/>
      <c r="F984" s="81"/>
      <c r="G984" s="82"/>
      <c r="H984" s="81"/>
      <c r="I984" s="81"/>
      <c r="J984" s="81"/>
      <c r="K984" s="82"/>
      <c r="L984" s="81"/>
      <c r="M984" s="82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2"/>
    </row>
    <row r="985" spans="1:28" ht="24" customHeight="1" x14ac:dyDescent="0.5">
      <c r="A985" s="81"/>
      <c r="B985" s="81"/>
      <c r="C985" s="81"/>
      <c r="D985" s="81"/>
      <c r="E985" s="81"/>
      <c r="F985" s="81"/>
      <c r="G985" s="82"/>
      <c r="H985" s="81"/>
      <c r="I985" s="81"/>
      <c r="J985" s="81"/>
      <c r="K985" s="82"/>
      <c r="L985" s="81"/>
      <c r="M985" s="82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2"/>
    </row>
    <row r="986" spans="1:28" ht="24" customHeight="1" x14ac:dyDescent="0.5">
      <c r="A986" s="81"/>
      <c r="B986" s="81"/>
      <c r="C986" s="81"/>
      <c r="D986" s="81"/>
      <c r="E986" s="81"/>
      <c r="F986" s="81"/>
      <c r="G986" s="82"/>
      <c r="H986" s="81"/>
      <c r="I986" s="81"/>
      <c r="J986" s="81"/>
      <c r="K986" s="82"/>
      <c r="L986" s="81"/>
      <c r="M986" s="82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2"/>
    </row>
    <row r="987" spans="1:28" ht="24" customHeight="1" x14ac:dyDescent="0.5">
      <c r="A987" s="81"/>
      <c r="B987" s="81"/>
      <c r="C987" s="81"/>
      <c r="D987" s="81"/>
      <c r="E987" s="81"/>
      <c r="F987" s="81"/>
      <c r="G987" s="82"/>
      <c r="H987" s="81"/>
      <c r="I987" s="81"/>
      <c r="J987" s="81"/>
      <c r="K987" s="82"/>
      <c r="L987" s="81"/>
      <c r="M987" s="82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2"/>
    </row>
    <row r="988" spans="1:28" ht="24" customHeight="1" x14ac:dyDescent="0.5">
      <c r="A988" s="81"/>
      <c r="B988" s="81"/>
      <c r="C988" s="81"/>
      <c r="D988" s="81"/>
      <c r="E988" s="81"/>
      <c r="F988" s="81"/>
      <c r="G988" s="82"/>
      <c r="H988" s="81"/>
      <c r="I988" s="81"/>
      <c r="J988" s="81"/>
      <c r="K988" s="82"/>
      <c r="L988" s="81"/>
      <c r="M988" s="82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2"/>
    </row>
    <row r="989" spans="1:28" ht="24" customHeight="1" x14ac:dyDescent="0.5">
      <c r="A989" s="81"/>
      <c r="B989" s="81"/>
      <c r="C989" s="81"/>
      <c r="D989" s="81"/>
      <c r="E989" s="81"/>
      <c r="F989" s="81"/>
      <c r="G989" s="82"/>
      <c r="H989" s="81"/>
      <c r="I989" s="81"/>
      <c r="J989" s="81"/>
      <c r="K989" s="82"/>
      <c r="L989" s="81"/>
      <c r="M989" s="82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2"/>
    </row>
    <row r="990" spans="1:28" ht="24" customHeight="1" x14ac:dyDescent="0.5">
      <c r="A990" s="81"/>
      <c r="B990" s="81"/>
      <c r="C990" s="81"/>
      <c r="D990" s="81"/>
      <c r="E990" s="81"/>
      <c r="F990" s="81"/>
      <c r="G990" s="82"/>
      <c r="H990" s="81"/>
      <c r="I990" s="81"/>
      <c r="J990" s="81"/>
      <c r="K990" s="82"/>
      <c r="L990" s="81"/>
      <c r="M990" s="82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2"/>
    </row>
    <row r="991" spans="1:28" ht="24" customHeight="1" x14ac:dyDescent="0.5">
      <c r="A991" s="81"/>
      <c r="B991" s="81"/>
      <c r="C991" s="81"/>
      <c r="D991" s="81"/>
      <c r="E991" s="81"/>
      <c r="F991" s="81"/>
      <c r="G991" s="82"/>
      <c r="H991" s="81"/>
      <c r="I991" s="81"/>
      <c r="J991" s="81"/>
      <c r="K991" s="82"/>
      <c r="L991" s="81"/>
      <c r="M991" s="82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2"/>
    </row>
  </sheetData>
  <mergeCells count="32">
    <mergeCell ref="V6:Y6"/>
    <mergeCell ref="D7:D8"/>
    <mergeCell ref="F7:G7"/>
    <mergeCell ref="H7:I7"/>
    <mergeCell ref="J7:M7"/>
    <mergeCell ref="N7:O7"/>
    <mergeCell ref="P7:Q7"/>
    <mergeCell ref="R7:S7"/>
    <mergeCell ref="T7:U7"/>
    <mergeCell ref="V7:W7"/>
    <mergeCell ref="X7:Y7"/>
    <mergeCell ref="A91:B91"/>
    <mergeCell ref="A106:B106"/>
    <mergeCell ref="A2:B4"/>
    <mergeCell ref="C2:AB2"/>
    <mergeCell ref="C3:AB3"/>
    <mergeCell ref="C4:AB4"/>
    <mergeCell ref="H5:Y5"/>
    <mergeCell ref="Z5:AB6"/>
    <mergeCell ref="H6:M6"/>
    <mergeCell ref="N6:Q6"/>
    <mergeCell ref="A6:B8"/>
    <mergeCell ref="AA7:AB7"/>
    <mergeCell ref="C5:G5"/>
    <mergeCell ref="C6:E6"/>
    <mergeCell ref="F6:G6"/>
    <mergeCell ref="R6:U6"/>
    <mergeCell ref="A9:B9"/>
    <mergeCell ref="A15:B15"/>
    <mergeCell ref="A33:B33"/>
    <mergeCell ref="A54:B54"/>
    <mergeCell ref="A76:B76"/>
  </mergeCells>
  <pageMargins left="0.25" right="0.25" top="0.75" bottom="0.75" header="0.3" footer="0.3"/>
  <pageSetup paperSize="9" scale="58" orientation="landscape" r:id="rId1"/>
  <rowBreaks count="5" manualBreakCount="5">
    <brk id="32" man="1"/>
    <brk id="53" man="1"/>
    <brk id="75" max="16383" man="1"/>
    <brk id="90" man="1"/>
    <brk id="7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EAADB"/>
  </sheetPr>
  <dimension ref="A1:Z1000"/>
  <sheetViews>
    <sheetView view="pageBreakPreview" zoomScale="60" zoomScaleNormal="70" workbookViewId="0">
      <pane xSplit="2" ySplit="9" topLeftCell="C108" activePane="bottomRight" state="frozen"/>
      <selection activeCell="Z5" sqref="Z5:AB6"/>
      <selection pane="topRight" activeCell="Z5" sqref="Z5:AB6"/>
      <selection pane="bottomLeft" activeCell="Z5" sqref="Z5:AB6"/>
      <selection pane="bottomRight" activeCell="Z5" sqref="Z5:AB6"/>
    </sheetView>
  </sheetViews>
  <sheetFormatPr defaultColWidth="12.625" defaultRowHeight="24" customHeight="1" x14ac:dyDescent="0.5"/>
  <cols>
    <col min="1" max="1" width="4.375" style="6" customWidth="1"/>
    <col min="2" max="2" width="27.75" style="6" customWidth="1"/>
    <col min="3" max="6" width="10.75" style="6" customWidth="1"/>
    <col min="7" max="7" width="6.75" style="6" customWidth="1"/>
    <col min="8" max="9" width="9.75" style="6" customWidth="1"/>
    <col min="10" max="10" width="6.75" style="6" customWidth="1"/>
    <col min="11" max="12" width="9.75" style="6" customWidth="1"/>
    <col min="13" max="13" width="6.75" style="6" customWidth="1"/>
    <col min="14" max="14" width="9.75" style="6" customWidth="1"/>
    <col min="15" max="15" width="6.75" style="6" customWidth="1"/>
    <col min="16" max="16" width="9.75" style="6" customWidth="1"/>
    <col min="17" max="17" width="6.75" style="6" customWidth="1"/>
    <col min="18" max="18" width="9.75" style="6" customWidth="1"/>
    <col min="19" max="19" width="6.75" style="6" customWidth="1"/>
    <col min="20" max="21" width="9.75" style="6" customWidth="1"/>
    <col min="22" max="22" width="6.75" style="6" customWidth="1"/>
    <col min="23" max="16384" width="12.625" style="6"/>
  </cols>
  <sheetData>
    <row r="1" spans="1:26" ht="24" customHeight="1" x14ac:dyDescent="0.5">
      <c r="A1" s="2" t="s">
        <v>323</v>
      </c>
      <c r="B1" s="3"/>
      <c r="C1" s="4"/>
      <c r="D1" s="4"/>
      <c r="E1" s="4"/>
      <c r="F1" s="4"/>
      <c r="G1" s="83"/>
      <c r="H1" s="4"/>
      <c r="I1" s="4"/>
      <c r="J1" s="5"/>
      <c r="K1" s="3"/>
      <c r="L1" s="3"/>
      <c r="M1" s="5"/>
      <c r="N1" s="3"/>
      <c r="O1" s="5"/>
      <c r="P1" s="3"/>
      <c r="Q1" s="5"/>
      <c r="R1" s="3"/>
      <c r="S1" s="83"/>
      <c r="T1" s="3"/>
      <c r="U1" s="3"/>
      <c r="V1" s="3"/>
      <c r="W1" s="81"/>
      <c r="X1" s="81"/>
      <c r="Y1" s="81"/>
      <c r="Z1" s="81"/>
    </row>
    <row r="2" spans="1:26" ht="24" customHeight="1" x14ac:dyDescent="0.5">
      <c r="A2" s="573" t="s">
        <v>0</v>
      </c>
      <c r="B2" s="627"/>
      <c r="C2" s="612" t="s">
        <v>1</v>
      </c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9"/>
      <c r="W2" s="81"/>
      <c r="X2" s="81"/>
      <c r="Y2" s="81"/>
      <c r="Z2" s="81"/>
    </row>
    <row r="3" spans="1:26" ht="24" customHeight="1" x14ac:dyDescent="0.5">
      <c r="A3" s="628"/>
      <c r="B3" s="629"/>
      <c r="C3" s="580" t="s">
        <v>130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67"/>
      <c r="W3" s="81"/>
      <c r="X3" s="81"/>
      <c r="Y3" s="81"/>
      <c r="Z3" s="81"/>
    </row>
    <row r="4" spans="1:26" ht="24" customHeight="1" x14ac:dyDescent="0.5">
      <c r="A4" s="630"/>
      <c r="B4" s="631"/>
      <c r="C4" s="613" t="s">
        <v>131</v>
      </c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67"/>
      <c r="W4" s="81"/>
      <c r="X4" s="81"/>
      <c r="Y4" s="81"/>
      <c r="Z4" s="81"/>
    </row>
    <row r="5" spans="1:26" ht="24" customHeight="1" x14ac:dyDescent="0.5">
      <c r="A5" s="7"/>
      <c r="B5" s="8"/>
      <c r="C5" s="600" t="s">
        <v>4</v>
      </c>
      <c r="D5" s="581"/>
      <c r="E5" s="581"/>
      <c r="F5" s="581"/>
      <c r="G5" s="567"/>
      <c r="H5" s="614" t="s">
        <v>330</v>
      </c>
      <c r="I5" s="615"/>
      <c r="J5" s="616"/>
      <c r="K5" s="620" t="s">
        <v>307</v>
      </c>
      <c r="L5" s="583"/>
      <c r="M5" s="583"/>
      <c r="N5" s="583"/>
      <c r="O5" s="583"/>
      <c r="P5" s="583"/>
      <c r="Q5" s="583"/>
      <c r="R5" s="583"/>
      <c r="S5" s="584"/>
      <c r="T5" s="621" t="s">
        <v>132</v>
      </c>
      <c r="U5" s="622"/>
      <c r="V5" s="623"/>
      <c r="W5" s="81"/>
      <c r="X5" s="81"/>
      <c r="Y5" s="81"/>
      <c r="Z5" s="81"/>
    </row>
    <row r="6" spans="1:26" ht="24" customHeight="1" x14ac:dyDescent="0.5">
      <c r="A6" s="595" t="s">
        <v>207</v>
      </c>
      <c r="B6" s="596"/>
      <c r="C6" s="601" t="s">
        <v>6</v>
      </c>
      <c r="D6" s="581"/>
      <c r="E6" s="567"/>
      <c r="F6" s="602" t="s">
        <v>7</v>
      </c>
      <c r="G6" s="584"/>
      <c r="H6" s="617"/>
      <c r="I6" s="618"/>
      <c r="J6" s="619"/>
      <c r="K6" s="609" t="s">
        <v>12</v>
      </c>
      <c r="L6" s="581"/>
      <c r="M6" s="567"/>
      <c r="N6" s="610" t="s">
        <v>133</v>
      </c>
      <c r="O6" s="567"/>
      <c r="P6" s="610" t="s">
        <v>134</v>
      </c>
      <c r="Q6" s="567"/>
      <c r="R6" s="610" t="s">
        <v>135</v>
      </c>
      <c r="S6" s="567"/>
      <c r="T6" s="624"/>
      <c r="U6" s="625"/>
      <c r="V6" s="626"/>
      <c r="W6" s="81"/>
      <c r="X6" s="81"/>
      <c r="Y6" s="81"/>
      <c r="Z6" s="81"/>
    </row>
    <row r="7" spans="1:26" ht="24" customHeight="1" x14ac:dyDescent="0.5">
      <c r="A7" s="595"/>
      <c r="B7" s="596"/>
      <c r="C7" s="9" t="s">
        <v>12</v>
      </c>
      <c r="D7" s="604" t="s">
        <v>13</v>
      </c>
      <c r="E7" s="10" t="s">
        <v>14</v>
      </c>
      <c r="F7" s="606" t="s">
        <v>15</v>
      </c>
      <c r="G7" s="594"/>
      <c r="H7" s="84" t="s">
        <v>16</v>
      </c>
      <c r="I7" s="611" t="s">
        <v>17</v>
      </c>
      <c r="J7" s="567"/>
      <c r="K7" s="84" t="s">
        <v>16</v>
      </c>
      <c r="L7" s="611" t="s">
        <v>17</v>
      </c>
      <c r="M7" s="567"/>
      <c r="N7" s="611" t="s">
        <v>17</v>
      </c>
      <c r="O7" s="567"/>
      <c r="P7" s="611" t="s">
        <v>17</v>
      </c>
      <c r="Q7" s="567"/>
      <c r="R7" s="611" t="s">
        <v>17</v>
      </c>
      <c r="S7" s="567"/>
      <c r="T7" s="84" t="s">
        <v>16</v>
      </c>
      <c r="U7" s="611" t="s">
        <v>17</v>
      </c>
      <c r="V7" s="567"/>
      <c r="W7" s="81"/>
      <c r="X7" s="81"/>
      <c r="Y7" s="81"/>
      <c r="Z7" s="81"/>
    </row>
    <row r="8" spans="1:26" ht="24" customHeight="1" x14ac:dyDescent="0.5">
      <c r="A8" s="597"/>
      <c r="B8" s="598"/>
      <c r="C8" s="12"/>
      <c r="D8" s="605"/>
      <c r="E8" s="13"/>
      <c r="F8" s="14" t="s">
        <v>18</v>
      </c>
      <c r="G8" s="15" t="s">
        <v>19</v>
      </c>
      <c r="H8" s="16" t="s">
        <v>136</v>
      </c>
      <c r="I8" s="85" t="s">
        <v>137</v>
      </c>
      <c r="J8" s="86" t="s">
        <v>19</v>
      </c>
      <c r="K8" s="16" t="s">
        <v>22</v>
      </c>
      <c r="L8" s="85" t="s">
        <v>21</v>
      </c>
      <c r="M8" s="86" t="s">
        <v>19</v>
      </c>
      <c r="N8" s="85" t="s">
        <v>21</v>
      </c>
      <c r="O8" s="86" t="s">
        <v>19</v>
      </c>
      <c r="P8" s="85" t="s">
        <v>21</v>
      </c>
      <c r="Q8" s="86" t="s">
        <v>19</v>
      </c>
      <c r="R8" s="85" t="s">
        <v>21</v>
      </c>
      <c r="S8" s="86" t="s">
        <v>19</v>
      </c>
      <c r="T8" s="16" t="s">
        <v>138</v>
      </c>
      <c r="U8" s="85" t="s">
        <v>139</v>
      </c>
      <c r="V8" s="85" t="s">
        <v>19</v>
      </c>
      <c r="W8" s="81"/>
      <c r="X8" s="81"/>
      <c r="Y8" s="81"/>
      <c r="Z8" s="81"/>
    </row>
    <row r="9" spans="1:26" ht="24" customHeight="1" x14ac:dyDescent="0.5">
      <c r="A9" s="564" t="s">
        <v>24</v>
      </c>
      <c r="B9" s="565"/>
      <c r="C9" s="87">
        <f t="shared" ref="C9:E9" si="0">C10+C11</f>
        <v>5963100</v>
      </c>
      <c r="D9" s="20">
        <f t="shared" si="0"/>
        <v>734900</v>
      </c>
      <c r="E9" s="21">
        <f t="shared" si="0"/>
        <v>5228200</v>
      </c>
      <c r="F9" s="22">
        <f ca="1">F10+F11+F14</f>
        <v>82540</v>
      </c>
      <c r="G9" s="88">
        <f t="shared" ref="G9:G114" ca="1" si="1">IF(C9&gt;0,F9*100/C9,0)</f>
        <v>1.3841793697908806</v>
      </c>
      <c r="H9" s="24">
        <f t="shared" ref="H9:I9" si="2">H10</f>
        <v>32</v>
      </c>
      <c r="I9" s="25">
        <f t="shared" ca="1" si="2"/>
        <v>3</v>
      </c>
      <c r="J9" s="26">
        <f t="shared" ref="J9:J114" ca="1" si="3">IF(H9&gt;0,I9*100/H9,0)</f>
        <v>9.375</v>
      </c>
      <c r="K9" s="24">
        <f>K10+K11</f>
        <v>150</v>
      </c>
      <c r="L9" s="25">
        <f ca="1">L10</f>
        <v>0</v>
      </c>
      <c r="M9" s="26">
        <f t="shared" ref="M9:M114" ca="1" si="4">IF(K9&gt;0,L9*100/K9,0)</f>
        <v>0</v>
      </c>
      <c r="N9" s="25">
        <f ca="1">N10+N11+N14</f>
        <v>0</v>
      </c>
      <c r="O9" s="26">
        <f t="shared" ref="O9:O114" ca="1" si="5">IF(K9&gt;0,N9*100/K9,0)</f>
        <v>0</v>
      </c>
      <c r="P9" s="25">
        <f ca="1">P10+P11+P14</f>
        <v>0</v>
      </c>
      <c r="Q9" s="26">
        <f t="shared" ref="Q9:Q114" ca="1" si="6">IF(K9&gt;0,P9*100/K9,0)</f>
        <v>0</v>
      </c>
      <c r="R9" s="25">
        <f ca="1">R10+R11+R14</f>
        <v>0</v>
      </c>
      <c r="S9" s="89">
        <f t="shared" ref="S9:S114" ca="1" si="7">IF(K9&gt;0,R9*100/K9,0)</f>
        <v>0</v>
      </c>
      <c r="T9" s="24">
        <f t="shared" ref="T9:U9" si="8">T10+T11</f>
        <v>40</v>
      </c>
      <c r="U9" s="25">
        <f t="shared" ca="1" si="8"/>
        <v>0</v>
      </c>
      <c r="V9" s="89">
        <f t="shared" ref="V9:V114" ca="1" si="9">IF(T9&gt;0,U9*100/T9,0)</f>
        <v>0</v>
      </c>
      <c r="W9" s="90"/>
      <c r="X9" s="90"/>
      <c r="Y9" s="90"/>
      <c r="Z9" s="90"/>
    </row>
    <row r="10" spans="1:26" ht="24" customHeight="1" x14ac:dyDescent="0.5">
      <c r="A10" s="27" t="s">
        <v>25</v>
      </c>
      <c r="B10" s="28"/>
      <c r="C10" s="31">
        <f t="shared" ref="C10:F10" si="10">+C15+C33+C54+C76</f>
        <v>4001000</v>
      </c>
      <c r="D10" s="29">
        <f t="shared" si="10"/>
        <v>0</v>
      </c>
      <c r="E10" s="29">
        <f t="shared" si="10"/>
        <v>4001000</v>
      </c>
      <c r="F10" s="29">
        <f t="shared" ca="1" si="10"/>
        <v>18540</v>
      </c>
      <c r="G10" s="91">
        <f t="shared" ca="1" si="1"/>
        <v>0.46338415396150962</v>
      </c>
      <c r="H10" s="29">
        <f t="shared" ref="H10:I10" si="11">+H15+H33+H54+H76</f>
        <v>32</v>
      </c>
      <c r="I10" s="29">
        <f t="shared" ca="1" si="11"/>
        <v>3</v>
      </c>
      <c r="J10" s="30">
        <f t="shared" ca="1" si="3"/>
        <v>9.375</v>
      </c>
      <c r="K10" s="29">
        <f t="shared" ref="K10:L10" si="12">+K15+K33+K54+K76</f>
        <v>150</v>
      </c>
      <c r="L10" s="29">
        <f t="shared" ca="1" si="12"/>
        <v>0</v>
      </c>
      <c r="M10" s="30">
        <f t="shared" ca="1" si="4"/>
        <v>0</v>
      </c>
      <c r="N10" s="29">
        <f ca="1">+N15+N33+N54+N76</f>
        <v>0</v>
      </c>
      <c r="O10" s="30">
        <f t="shared" ca="1" si="5"/>
        <v>0</v>
      </c>
      <c r="P10" s="29">
        <f ca="1">+P15+P33+P54+P76</f>
        <v>0</v>
      </c>
      <c r="Q10" s="30">
        <f t="shared" ca="1" si="6"/>
        <v>0</v>
      </c>
      <c r="R10" s="29">
        <f ca="1">+R15+R33+R54+R76</f>
        <v>0</v>
      </c>
      <c r="S10" s="91">
        <f t="shared" ca="1" si="7"/>
        <v>0</v>
      </c>
      <c r="T10" s="29">
        <f t="shared" ref="T10:U10" si="13">+T15+T33+T54+T76</f>
        <v>40</v>
      </c>
      <c r="U10" s="29">
        <f t="shared" ca="1" si="13"/>
        <v>0</v>
      </c>
      <c r="V10" s="91">
        <f t="shared" ca="1" si="9"/>
        <v>0</v>
      </c>
      <c r="W10" s="90"/>
      <c r="X10" s="90"/>
      <c r="Y10" s="90"/>
      <c r="Z10" s="90"/>
    </row>
    <row r="11" spans="1:26" ht="24" customHeight="1" x14ac:dyDescent="0.5">
      <c r="A11" s="33" t="s">
        <v>26</v>
      </c>
      <c r="B11" s="34"/>
      <c r="C11" s="37">
        <f t="shared" ref="C11:F11" si="14">+C12+C13</f>
        <v>1962100</v>
      </c>
      <c r="D11" s="35">
        <f t="shared" si="14"/>
        <v>734900</v>
      </c>
      <c r="E11" s="35">
        <f t="shared" si="14"/>
        <v>1227200</v>
      </c>
      <c r="F11" s="35">
        <f t="shared" ca="1" si="14"/>
        <v>64000</v>
      </c>
      <c r="G11" s="92">
        <f t="shared" ca="1" si="1"/>
        <v>3.2618113246011924</v>
      </c>
      <c r="H11" s="35">
        <f t="shared" ref="H11:I11" si="15">+H12+H13</f>
        <v>0</v>
      </c>
      <c r="I11" s="35">
        <f t="shared" si="15"/>
        <v>0</v>
      </c>
      <c r="J11" s="36">
        <f t="shared" si="3"/>
        <v>0</v>
      </c>
      <c r="K11" s="35">
        <f t="shared" ref="K11:L11" si="16">+K12+K13</f>
        <v>0</v>
      </c>
      <c r="L11" s="35">
        <f t="shared" si="16"/>
        <v>0</v>
      </c>
      <c r="M11" s="36">
        <f t="shared" si="4"/>
        <v>0</v>
      </c>
      <c r="N11" s="35">
        <f>+N12+N13</f>
        <v>0</v>
      </c>
      <c r="O11" s="36">
        <f t="shared" si="5"/>
        <v>0</v>
      </c>
      <c r="P11" s="35">
        <f>+P12+P13</f>
        <v>0</v>
      </c>
      <c r="Q11" s="36">
        <f t="shared" si="6"/>
        <v>0</v>
      </c>
      <c r="R11" s="35">
        <f>+R12+R13</f>
        <v>0</v>
      </c>
      <c r="S11" s="92">
        <f t="shared" si="7"/>
        <v>0</v>
      </c>
      <c r="T11" s="35">
        <f t="shared" ref="T11:U11" si="17">+T12+T13</f>
        <v>0</v>
      </c>
      <c r="U11" s="35">
        <f t="shared" si="17"/>
        <v>0</v>
      </c>
      <c r="V11" s="92">
        <f t="shared" si="9"/>
        <v>0</v>
      </c>
      <c r="W11" s="90"/>
      <c r="X11" s="90"/>
      <c r="Y11" s="90"/>
      <c r="Z11" s="90"/>
    </row>
    <row r="12" spans="1:26" ht="24" customHeight="1" x14ac:dyDescent="0.5">
      <c r="A12" s="33" t="s">
        <v>27</v>
      </c>
      <c r="B12" s="34"/>
      <c r="C12" s="37">
        <f t="shared" ref="C12:F12" si="18">+C91</f>
        <v>1359200</v>
      </c>
      <c r="D12" s="35">
        <f t="shared" si="18"/>
        <v>132000</v>
      </c>
      <c r="E12" s="35">
        <f t="shared" si="18"/>
        <v>1227200</v>
      </c>
      <c r="F12" s="35">
        <f t="shared" ca="1" si="18"/>
        <v>64000</v>
      </c>
      <c r="G12" s="92">
        <f t="shared" ca="1" si="1"/>
        <v>4.7086521483225425</v>
      </c>
      <c r="H12" s="35">
        <f t="shared" ref="H12:I12" si="19">+H91</f>
        <v>0</v>
      </c>
      <c r="I12" s="35">
        <f t="shared" si="19"/>
        <v>0</v>
      </c>
      <c r="J12" s="36">
        <f t="shared" si="3"/>
        <v>0</v>
      </c>
      <c r="K12" s="35">
        <f t="shared" ref="K12:L12" si="20">+K91</f>
        <v>0</v>
      </c>
      <c r="L12" s="35">
        <f t="shared" si="20"/>
        <v>0</v>
      </c>
      <c r="M12" s="36">
        <f t="shared" si="4"/>
        <v>0</v>
      </c>
      <c r="N12" s="35">
        <f>+N91</f>
        <v>0</v>
      </c>
      <c r="O12" s="36">
        <f t="shared" si="5"/>
        <v>0</v>
      </c>
      <c r="P12" s="35">
        <f>+P91</f>
        <v>0</v>
      </c>
      <c r="Q12" s="36">
        <f t="shared" si="6"/>
        <v>0</v>
      </c>
      <c r="R12" s="35">
        <f>+R91</f>
        <v>0</v>
      </c>
      <c r="S12" s="92">
        <f t="shared" si="7"/>
        <v>0</v>
      </c>
      <c r="T12" s="35">
        <f t="shared" ref="T12:U12" si="21">+T91</f>
        <v>0</v>
      </c>
      <c r="U12" s="35">
        <f t="shared" si="21"/>
        <v>0</v>
      </c>
      <c r="V12" s="92">
        <f t="shared" si="9"/>
        <v>0</v>
      </c>
      <c r="W12" s="90"/>
      <c r="X12" s="90"/>
      <c r="Y12" s="90"/>
      <c r="Z12" s="90"/>
    </row>
    <row r="13" spans="1:26" ht="24" customHeight="1" x14ac:dyDescent="0.5">
      <c r="A13" s="33" t="s">
        <v>28</v>
      </c>
      <c r="B13" s="34"/>
      <c r="C13" s="37">
        <f t="shared" ref="C13:F13" si="22">+C106</f>
        <v>602900</v>
      </c>
      <c r="D13" s="35">
        <f t="shared" si="22"/>
        <v>602900</v>
      </c>
      <c r="E13" s="35">
        <f t="shared" si="22"/>
        <v>0</v>
      </c>
      <c r="F13" s="35">
        <f t="shared" si="22"/>
        <v>0</v>
      </c>
      <c r="G13" s="92">
        <f t="shared" si="1"/>
        <v>0</v>
      </c>
      <c r="H13" s="35">
        <f t="shared" ref="H13:I13" si="23">+H106</f>
        <v>0</v>
      </c>
      <c r="I13" s="35">
        <f t="shared" si="23"/>
        <v>0</v>
      </c>
      <c r="J13" s="36">
        <f t="shared" si="3"/>
        <v>0</v>
      </c>
      <c r="K13" s="35">
        <f t="shared" ref="K13:L13" si="24">+K106</f>
        <v>0</v>
      </c>
      <c r="L13" s="35">
        <f t="shared" si="24"/>
        <v>0</v>
      </c>
      <c r="M13" s="36">
        <f t="shared" si="4"/>
        <v>0</v>
      </c>
      <c r="N13" s="35">
        <f>+N106</f>
        <v>0</v>
      </c>
      <c r="O13" s="36">
        <f t="shared" si="5"/>
        <v>0</v>
      </c>
      <c r="P13" s="35">
        <f>+P106</f>
        <v>0</v>
      </c>
      <c r="Q13" s="36">
        <f t="shared" si="6"/>
        <v>0</v>
      </c>
      <c r="R13" s="35">
        <f>+R106</f>
        <v>0</v>
      </c>
      <c r="S13" s="92">
        <f t="shared" si="7"/>
        <v>0</v>
      </c>
      <c r="T13" s="35">
        <f t="shared" ref="T13:U13" si="25">+T106</f>
        <v>0</v>
      </c>
      <c r="U13" s="35">
        <f t="shared" si="25"/>
        <v>0</v>
      </c>
      <c r="V13" s="92">
        <f t="shared" si="9"/>
        <v>0</v>
      </c>
      <c r="W13" s="90"/>
      <c r="X13" s="90"/>
      <c r="Y13" s="90"/>
      <c r="Z13" s="90"/>
    </row>
    <row r="14" spans="1:26" ht="24" customHeight="1" x14ac:dyDescent="0.5">
      <c r="A14" s="39" t="s">
        <v>29</v>
      </c>
      <c r="B14" s="40"/>
      <c r="C14" s="93">
        <v>0</v>
      </c>
      <c r="D14" s="93">
        <v>0</v>
      </c>
      <c r="E14" s="93">
        <v>0</v>
      </c>
      <c r="F14" s="41">
        <v>0</v>
      </c>
      <c r="G14" s="94">
        <f t="shared" si="1"/>
        <v>0</v>
      </c>
      <c r="H14" s="93">
        <v>0</v>
      </c>
      <c r="I14" s="93">
        <v>0</v>
      </c>
      <c r="J14" s="95">
        <f t="shared" si="3"/>
        <v>0</v>
      </c>
      <c r="K14" s="93">
        <v>0</v>
      </c>
      <c r="L14" s="93">
        <v>0</v>
      </c>
      <c r="M14" s="95">
        <f t="shared" si="4"/>
        <v>0</v>
      </c>
      <c r="N14" s="41">
        <v>0</v>
      </c>
      <c r="O14" s="95">
        <f t="shared" si="5"/>
        <v>0</v>
      </c>
      <c r="P14" s="41">
        <v>0</v>
      </c>
      <c r="Q14" s="95">
        <f t="shared" si="6"/>
        <v>0</v>
      </c>
      <c r="R14" s="41">
        <v>0</v>
      </c>
      <c r="S14" s="96">
        <f t="shared" si="7"/>
        <v>0</v>
      </c>
      <c r="T14" s="93">
        <v>0</v>
      </c>
      <c r="U14" s="93">
        <v>0</v>
      </c>
      <c r="V14" s="96">
        <f t="shared" si="9"/>
        <v>0</v>
      </c>
      <c r="W14" s="90"/>
      <c r="X14" s="90"/>
      <c r="Y14" s="90"/>
      <c r="Z14" s="90"/>
    </row>
    <row r="15" spans="1:26" ht="24" customHeight="1" x14ac:dyDescent="0.5">
      <c r="A15" s="566" t="s">
        <v>30</v>
      </c>
      <c r="B15" s="567"/>
      <c r="C15" s="43">
        <f t="shared" ref="C15:F15" si="26">SUM(C16:C32)</f>
        <v>1257180</v>
      </c>
      <c r="D15" s="43">
        <f t="shared" si="26"/>
        <v>0</v>
      </c>
      <c r="E15" s="43">
        <f t="shared" si="26"/>
        <v>1257180</v>
      </c>
      <c r="F15" s="43">
        <f t="shared" ca="1" si="26"/>
        <v>2340</v>
      </c>
      <c r="G15" s="97">
        <f t="shared" ca="1" si="1"/>
        <v>0.18613086431537251</v>
      </c>
      <c r="H15" s="43">
        <f t="shared" ref="H15:I15" si="27">SUM(H16:H32)</f>
        <v>10</v>
      </c>
      <c r="I15" s="43">
        <f t="shared" ca="1" si="27"/>
        <v>1</v>
      </c>
      <c r="J15" s="44">
        <f t="shared" ca="1" si="3"/>
        <v>10</v>
      </c>
      <c r="K15" s="43">
        <f t="shared" ref="K15:L15" si="28">SUM(K16:K32)</f>
        <v>49</v>
      </c>
      <c r="L15" s="43">
        <f t="shared" ca="1" si="28"/>
        <v>0</v>
      </c>
      <c r="M15" s="44">
        <f t="shared" ca="1" si="4"/>
        <v>0</v>
      </c>
      <c r="N15" s="43">
        <f ca="1">SUM(N16:N32)</f>
        <v>0</v>
      </c>
      <c r="O15" s="44">
        <f t="shared" ca="1" si="5"/>
        <v>0</v>
      </c>
      <c r="P15" s="43">
        <f ca="1">SUM(P16:P32)</f>
        <v>0</v>
      </c>
      <c r="Q15" s="44">
        <f t="shared" ca="1" si="6"/>
        <v>0</v>
      </c>
      <c r="R15" s="43">
        <f ca="1">SUM(R16:R32)</f>
        <v>0</v>
      </c>
      <c r="S15" s="97">
        <f t="shared" ca="1" si="7"/>
        <v>0</v>
      </c>
      <c r="T15" s="43">
        <f t="shared" ref="T15:U15" si="29">SUM(T16:T32)</f>
        <v>13</v>
      </c>
      <c r="U15" s="43">
        <f t="shared" ca="1" si="29"/>
        <v>0</v>
      </c>
      <c r="V15" s="97">
        <f t="shared" ca="1" si="9"/>
        <v>0</v>
      </c>
      <c r="W15" s="90"/>
      <c r="X15" s="90"/>
      <c r="Y15" s="90"/>
      <c r="Z15" s="90"/>
    </row>
    <row r="16" spans="1:26" ht="24" customHeight="1" x14ac:dyDescent="0.5">
      <c r="A16" s="45">
        <v>1</v>
      </c>
      <c r="B16" s="46" t="s">
        <v>31</v>
      </c>
      <c r="C16" s="47">
        <v>0</v>
      </c>
      <c r="D16" s="48">
        <v>0</v>
      </c>
      <c r="E16" s="48">
        <v>0</v>
      </c>
      <c r="F16" s="48">
        <f ca="1">IFERROR(__xludf.DUMMYFUNCTION("IMPORTRANGE(""https://docs.google.com/spreadsheets/d/11923uPwbBZFjjGgGUA6NLw09EwE0CqkOc4q9oUmW1yo/edit?usp=sharing"",""กำแพงเพชร!M35"")"),0)</f>
        <v>0</v>
      </c>
      <c r="G16" s="98">
        <f t="shared" si="1"/>
        <v>0</v>
      </c>
      <c r="H16" s="48">
        <v>0</v>
      </c>
      <c r="I16" s="48">
        <f ca="1">IFERROR(__xludf.DUMMYFUNCTION("IMPORTRANGE(""https://docs.google.com/spreadsheets/d/11923uPwbBZFjjGgGUA6NLw09EwE0CqkOc4q9oUmW1yo/edit?usp=sharing"",""กำแพงเพชร!J43"")"),0)</f>
        <v>0</v>
      </c>
      <c r="J16" s="50">
        <f t="shared" si="3"/>
        <v>0</v>
      </c>
      <c r="K16" s="48">
        <v>0</v>
      </c>
      <c r="L16" s="48">
        <f ca="1">IFERROR(__xludf.DUMMYFUNCTION("IMPORTRANGE(""https://docs.google.com/spreadsheets/d/11923uPwbBZFjjGgGUA6NLw09EwE0CqkOc4q9oUmW1yo/edit?usp=sharing"",""กำแพงเพชร!J44"")"),0)</f>
        <v>0</v>
      </c>
      <c r="M16" s="50">
        <f t="shared" si="4"/>
        <v>0</v>
      </c>
      <c r="N16" s="48">
        <f ca="1">IFERROR(__xludf.DUMMYFUNCTION("IMPORTRANGE(""https://docs.google.com/spreadsheets/d/11923uPwbBZFjjGgGUA6NLw09EwE0CqkOc4q9oUmW1yo/edit?usp=sharing"",""กำแพงเพชร!J45"")"),0)</f>
        <v>0</v>
      </c>
      <c r="O16" s="50">
        <f t="shared" si="5"/>
        <v>0</v>
      </c>
      <c r="P16" s="48">
        <f ca="1">IFERROR(__xludf.DUMMYFUNCTION("IMPORTRANGE(""https://docs.google.com/spreadsheets/d/11923uPwbBZFjjGgGUA6NLw09EwE0CqkOc4q9oUmW1yo/edit?usp=sharing"",""กำแพงเพชร!J46"")"),0)</f>
        <v>0</v>
      </c>
      <c r="Q16" s="50">
        <f t="shared" si="6"/>
        <v>0</v>
      </c>
      <c r="R16" s="48">
        <f ca="1">IFERROR(__xludf.DUMMYFUNCTION("IMPORTRANGE(""https://docs.google.com/spreadsheets/d/11923uPwbBZFjjGgGUA6NLw09EwE0CqkOc4q9oUmW1yo/edit?usp=sharing"",""กำแพงเพชร!J47"")"),0)</f>
        <v>0</v>
      </c>
      <c r="S16" s="98">
        <f t="shared" si="7"/>
        <v>0</v>
      </c>
      <c r="T16" s="48">
        <v>0</v>
      </c>
      <c r="U16" s="48">
        <f ca="1">IFERROR(__xludf.DUMMYFUNCTION("IMPORTRANGE(""https://docs.google.com/spreadsheets/d/11923uPwbBZFjjGgGUA6NLw09EwE0CqkOc4q9oUmW1yo/edit?usp=sharing"",""กำแพงเพชร!J48"")"),0)</f>
        <v>0</v>
      </c>
      <c r="V16" s="98">
        <f t="shared" si="9"/>
        <v>0</v>
      </c>
      <c r="W16" s="81"/>
      <c r="X16" s="81"/>
      <c r="Y16" s="81"/>
      <c r="Z16" s="81"/>
    </row>
    <row r="17" spans="1:26" ht="24" customHeight="1" x14ac:dyDescent="0.5">
      <c r="A17" s="52">
        <v>2</v>
      </c>
      <c r="B17" s="53" t="s">
        <v>32</v>
      </c>
      <c r="C17" s="54">
        <f t="shared" ref="C17:C32" si="30">+D17+E17</f>
        <v>134160</v>
      </c>
      <c r="D17" s="55">
        <v>0</v>
      </c>
      <c r="E17" s="55">
        <v>134160</v>
      </c>
      <c r="F17" s="55">
        <f ca="1">IFERROR(__xludf.DUMMYFUNCTION("IMPORTRANGE(""https://docs.google.com/spreadsheets/d/11923uPwbBZFjjGgGUA6NLw09EwE0CqkOc4q9oUmW1yo/edit?usp=sharing"",""เชียงราย!M35"")"),0)</f>
        <v>0</v>
      </c>
      <c r="G17" s="99">
        <f t="shared" ca="1" si="1"/>
        <v>0</v>
      </c>
      <c r="H17" s="55">
        <v>1</v>
      </c>
      <c r="I17" s="55">
        <f ca="1">IFERROR(__xludf.DUMMYFUNCTION("IMPORTRANGE(""https://docs.google.com/spreadsheets/d/11923uPwbBZFjjGgGUA6NLw09EwE0CqkOc4q9oUmW1yo/edit?usp=sharing"",""เชียงราย!J43"")"),0)</f>
        <v>0</v>
      </c>
      <c r="J17" s="56">
        <f t="shared" ca="1" si="3"/>
        <v>0</v>
      </c>
      <c r="K17" s="55">
        <v>7</v>
      </c>
      <c r="L17" s="55">
        <f ca="1">IFERROR(__xludf.DUMMYFUNCTION("IMPORTRANGE(""https://docs.google.com/spreadsheets/d/11923uPwbBZFjjGgGUA6NLw09EwE0CqkOc4q9oUmW1yo/edit?usp=sharing"",""เชียงราย!J44"")"),0)</f>
        <v>0</v>
      </c>
      <c r="M17" s="56">
        <f t="shared" ca="1" si="4"/>
        <v>0</v>
      </c>
      <c r="N17" s="55">
        <f ca="1">IFERROR(__xludf.DUMMYFUNCTION("IMPORTRANGE(""https://docs.google.com/spreadsheets/d/11923uPwbBZFjjGgGUA6NLw09EwE0CqkOc4q9oUmW1yo/edit?usp=sharing"",""เชียงราย!J45"")"),0)</f>
        <v>0</v>
      </c>
      <c r="O17" s="56">
        <f t="shared" ca="1" si="5"/>
        <v>0</v>
      </c>
      <c r="P17" s="55">
        <f ca="1">IFERROR(__xludf.DUMMYFUNCTION("IMPORTRANGE(""https://docs.google.com/spreadsheets/d/11923uPwbBZFjjGgGUA6NLw09EwE0CqkOc4q9oUmW1yo/edit?usp=sharing"",""เชียงราย!J46"")"),0)</f>
        <v>0</v>
      </c>
      <c r="Q17" s="56">
        <f t="shared" ca="1" si="6"/>
        <v>0</v>
      </c>
      <c r="R17" s="55">
        <f ca="1">IFERROR(__xludf.DUMMYFUNCTION("IMPORTRANGE(""https://docs.google.com/spreadsheets/d/11923uPwbBZFjjGgGUA6NLw09EwE0CqkOc4q9oUmW1yo/edit?usp=sharing"",""เชียงราย!J47"")"),0)</f>
        <v>0</v>
      </c>
      <c r="S17" s="99">
        <f t="shared" ca="1" si="7"/>
        <v>0</v>
      </c>
      <c r="T17" s="55">
        <v>2</v>
      </c>
      <c r="U17" s="55">
        <f ca="1">IFERROR(__xludf.DUMMYFUNCTION("IMPORTRANGE(""https://docs.google.com/spreadsheets/d/11923uPwbBZFjjGgGUA6NLw09EwE0CqkOc4q9oUmW1yo/edit?usp=sharing"",""เชียงราย!J48"")"),0)</f>
        <v>0</v>
      </c>
      <c r="V17" s="99">
        <f t="shared" ca="1" si="9"/>
        <v>0</v>
      </c>
      <c r="W17" s="81"/>
      <c r="X17" s="81"/>
      <c r="Y17" s="81"/>
      <c r="Z17" s="81"/>
    </row>
    <row r="18" spans="1:26" ht="24" customHeight="1" x14ac:dyDescent="0.5">
      <c r="A18" s="52">
        <v>3</v>
      </c>
      <c r="B18" s="53" t="s">
        <v>33</v>
      </c>
      <c r="C18" s="54">
        <f t="shared" si="30"/>
        <v>122100</v>
      </c>
      <c r="D18" s="55">
        <v>0</v>
      </c>
      <c r="E18" s="55">
        <v>122100</v>
      </c>
      <c r="F18" s="55">
        <f ca="1">IFERROR(__xludf.DUMMYFUNCTION("IMPORTRANGE(""https://docs.google.com/spreadsheets/d/11923uPwbBZFjjGgGUA6NLw09EwE0CqkOc4q9oUmW1yo/edit?usp=sharing"",""เชียงใหม่!M35"")"),0)</f>
        <v>0</v>
      </c>
      <c r="G18" s="99">
        <f t="shared" ca="1" si="1"/>
        <v>0</v>
      </c>
      <c r="H18" s="55">
        <v>1</v>
      </c>
      <c r="I18" s="55">
        <f ca="1">IFERROR(__xludf.DUMMYFUNCTION("IMPORTRANGE(""https://docs.google.com/spreadsheets/d/11923uPwbBZFjjGgGUA6NLw09EwE0CqkOc4q9oUmW1yo/edit?usp=sharing"",""เชียงใหม่!J43"")"),0)</f>
        <v>0</v>
      </c>
      <c r="J18" s="56">
        <f t="shared" ca="1" si="3"/>
        <v>0</v>
      </c>
      <c r="K18" s="55">
        <v>4</v>
      </c>
      <c r="L18" s="55">
        <f ca="1">IFERROR(__xludf.DUMMYFUNCTION("IMPORTRANGE(""https://docs.google.com/spreadsheets/d/11923uPwbBZFjjGgGUA6NLw09EwE0CqkOc4q9oUmW1yo/edit?usp=sharing"",""เชียงใหม่!J44"")"),0)</f>
        <v>0</v>
      </c>
      <c r="M18" s="56">
        <f t="shared" ca="1" si="4"/>
        <v>0</v>
      </c>
      <c r="N18" s="55">
        <f ca="1">IFERROR(__xludf.DUMMYFUNCTION("IMPORTRANGE(""https://docs.google.com/spreadsheets/d/11923uPwbBZFjjGgGUA6NLw09EwE0CqkOc4q9oUmW1yo/edit?usp=sharing"",""เชียงใหม่!J45"")"),0)</f>
        <v>0</v>
      </c>
      <c r="O18" s="56">
        <f t="shared" ca="1" si="5"/>
        <v>0</v>
      </c>
      <c r="P18" s="55">
        <f ca="1">IFERROR(__xludf.DUMMYFUNCTION("IMPORTRANGE(""https://docs.google.com/spreadsheets/d/11923uPwbBZFjjGgGUA6NLw09EwE0CqkOc4q9oUmW1yo/edit?usp=sharing"",""เชียงใหม่!J46"")"),0)</f>
        <v>0</v>
      </c>
      <c r="Q18" s="56">
        <f t="shared" ca="1" si="6"/>
        <v>0</v>
      </c>
      <c r="R18" s="55">
        <f ca="1">IFERROR(__xludf.DUMMYFUNCTION("IMPORTRANGE(""https://docs.google.com/spreadsheets/d/11923uPwbBZFjjGgGUA6NLw09EwE0CqkOc4q9oUmW1yo/edit?usp=sharing"",""เชียงใหม่!J47"")"),0)</f>
        <v>0</v>
      </c>
      <c r="S18" s="99">
        <f t="shared" ca="1" si="7"/>
        <v>0</v>
      </c>
      <c r="T18" s="55">
        <v>1</v>
      </c>
      <c r="U18" s="55">
        <f ca="1">IFERROR(__xludf.DUMMYFUNCTION("IMPORTRANGE(""https://docs.google.com/spreadsheets/d/11923uPwbBZFjjGgGUA6NLw09EwE0CqkOc4q9oUmW1yo/edit?usp=sharing"",""เชียงใหม่!J48"")"),0)</f>
        <v>0</v>
      </c>
      <c r="V18" s="99">
        <f t="shared" ca="1" si="9"/>
        <v>0</v>
      </c>
      <c r="W18" s="81"/>
      <c r="X18" s="81"/>
      <c r="Y18" s="81"/>
      <c r="Z18" s="81"/>
    </row>
    <row r="19" spans="1:26" ht="24" customHeight="1" x14ac:dyDescent="0.5">
      <c r="A19" s="52">
        <v>4</v>
      </c>
      <c r="B19" s="53" t="s">
        <v>34</v>
      </c>
      <c r="C19" s="54">
        <f t="shared" si="30"/>
        <v>122100</v>
      </c>
      <c r="D19" s="55">
        <v>0</v>
      </c>
      <c r="E19" s="55">
        <v>122100</v>
      </c>
      <c r="F19" s="55">
        <f ca="1">IFERROR(__xludf.DUMMYFUNCTION("IMPORTRANGE(""https://docs.google.com/spreadsheets/d/11923uPwbBZFjjGgGUA6NLw09EwE0CqkOc4q9oUmW1yo/edit?usp=sharing"",""ตาก!M35"")"),0)</f>
        <v>0</v>
      </c>
      <c r="G19" s="99">
        <f t="shared" ca="1" si="1"/>
        <v>0</v>
      </c>
      <c r="H19" s="55">
        <v>1</v>
      </c>
      <c r="I19" s="55">
        <f ca="1">IFERROR(__xludf.DUMMYFUNCTION("IMPORTRANGE(""https://docs.google.com/spreadsheets/d/11923uPwbBZFjjGgGUA6NLw09EwE0CqkOc4q9oUmW1yo/edit?usp=sharing"",""ตาก!J43"")"),0)</f>
        <v>0</v>
      </c>
      <c r="J19" s="56">
        <f t="shared" ca="1" si="3"/>
        <v>0</v>
      </c>
      <c r="K19" s="55">
        <v>4</v>
      </c>
      <c r="L19" s="55">
        <f ca="1">IFERROR(__xludf.DUMMYFUNCTION("IMPORTRANGE(""https://docs.google.com/spreadsheets/d/11923uPwbBZFjjGgGUA6NLw09EwE0CqkOc4q9oUmW1yo/edit?usp=sharing"",""ตาก!J44"")"),0)</f>
        <v>0</v>
      </c>
      <c r="M19" s="56">
        <f t="shared" ca="1" si="4"/>
        <v>0</v>
      </c>
      <c r="N19" s="55">
        <f ca="1">IFERROR(__xludf.DUMMYFUNCTION("IMPORTRANGE(""https://docs.google.com/spreadsheets/d/11923uPwbBZFjjGgGUA6NLw09EwE0CqkOc4q9oUmW1yo/edit?usp=sharing"",""ตาก!J45"")"),0)</f>
        <v>0</v>
      </c>
      <c r="O19" s="56">
        <f t="shared" ca="1" si="5"/>
        <v>0</v>
      </c>
      <c r="P19" s="55">
        <f ca="1">IFERROR(__xludf.DUMMYFUNCTION("IMPORTRANGE(""https://docs.google.com/spreadsheets/d/11923uPwbBZFjjGgGUA6NLw09EwE0CqkOc4q9oUmW1yo/edit?usp=sharing"",""ตาก!J46"")"),0)</f>
        <v>0</v>
      </c>
      <c r="Q19" s="56">
        <f t="shared" ca="1" si="6"/>
        <v>0</v>
      </c>
      <c r="R19" s="55">
        <f ca="1">IFERROR(__xludf.DUMMYFUNCTION("IMPORTRANGE(""https://docs.google.com/spreadsheets/d/11923uPwbBZFjjGgGUA6NLw09EwE0CqkOc4q9oUmW1yo/edit?usp=sharing"",""ตาก!J47"")"),0)</f>
        <v>0</v>
      </c>
      <c r="S19" s="99">
        <f t="shared" ca="1" si="7"/>
        <v>0</v>
      </c>
      <c r="T19" s="55">
        <v>1</v>
      </c>
      <c r="U19" s="55">
        <f ca="1">IFERROR(__xludf.DUMMYFUNCTION("IMPORTRANGE(""https://docs.google.com/spreadsheets/d/11923uPwbBZFjjGgGUA6NLw09EwE0CqkOc4q9oUmW1yo/edit?usp=sharing"",""ตาก!J48"")"),0)</f>
        <v>0</v>
      </c>
      <c r="V19" s="99">
        <f t="shared" ca="1" si="9"/>
        <v>0</v>
      </c>
      <c r="W19" s="81"/>
      <c r="X19" s="81"/>
      <c r="Y19" s="81"/>
      <c r="Z19" s="81"/>
    </row>
    <row r="20" spans="1:26" ht="24" customHeight="1" x14ac:dyDescent="0.5">
      <c r="A20" s="52">
        <v>5</v>
      </c>
      <c r="B20" s="53" t="s">
        <v>35</v>
      </c>
      <c r="C20" s="54">
        <f t="shared" si="30"/>
        <v>122100</v>
      </c>
      <c r="D20" s="55">
        <v>0</v>
      </c>
      <c r="E20" s="55">
        <v>122100</v>
      </c>
      <c r="F20" s="55">
        <f ca="1">IFERROR(__xludf.DUMMYFUNCTION("IMPORTRANGE(""https://docs.google.com/spreadsheets/d/11923uPwbBZFjjGgGUA6NLw09EwE0CqkOc4q9oUmW1yo/edit?usp=sharing"",""นครสวรรค์!M35"")"),0)</f>
        <v>0</v>
      </c>
      <c r="G20" s="99">
        <f t="shared" ca="1" si="1"/>
        <v>0</v>
      </c>
      <c r="H20" s="55">
        <v>1</v>
      </c>
      <c r="I20" s="55">
        <f ca="1">IFERROR(__xludf.DUMMYFUNCTION("IMPORTRANGE(""https://docs.google.com/spreadsheets/d/11923uPwbBZFjjGgGUA6NLw09EwE0CqkOc4q9oUmW1yo/edit?usp=sharing"",""นครสวรรค์!J43"")"),0)</f>
        <v>0</v>
      </c>
      <c r="J20" s="56">
        <f t="shared" ca="1" si="3"/>
        <v>0</v>
      </c>
      <c r="K20" s="55">
        <v>4</v>
      </c>
      <c r="L20" s="55">
        <f ca="1">IFERROR(__xludf.DUMMYFUNCTION("IMPORTRANGE(""https://docs.google.com/spreadsheets/d/11923uPwbBZFjjGgGUA6NLw09EwE0CqkOc4q9oUmW1yo/edit?usp=sharing"",""นครสวรรค์!J44"")"),0)</f>
        <v>0</v>
      </c>
      <c r="M20" s="56">
        <f t="shared" ca="1" si="4"/>
        <v>0</v>
      </c>
      <c r="N20" s="55">
        <f ca="1">IFERROR(__xludf.DUMMYFUNCTION("IMPORTRANGE(""https://docs.google.com/spreadsheets/d/11923uPwbBZFjjGgGUA6NLw09EwE0CqkOc4q9oUmW1yo/edit?usp=sharing"",""นครสวรรค์!J45"")"),0)</f>
        <v>0</v>
      </c>
      <c r="O20" s="56">
        <f t="shared" ca="1" si="5"/>
        <v>0</v>
      </c>
      <c r="P20" s="55">
        <f ca="1">IFERROR(__xludf.DUMMYFUNCTION("IMPORTRANGE(""https://docs.google.com/spreadsheets/d/11923uPwbBZFjjGgGUA6NLw09EwE0CqkOc4q9oUmW1yo/edit?usp=sharing"",""นครสวรรค์!J46"")"),0)</f>
        <v>0</v>
      </c>
      <c r="Q20" s="56">
        <f t="shared" ca="1" si="6"/>
        <v>0</v>
      </c>
      <c r="R20" s="55">
        <f ca="1">IFERROR(__xludf.DUMMYFUNCTION("IMPORTRANGE(""https://docs.google.com/spreadsheets/d/11923uPwbBZFjjGgGUA6NLw09EwE0CqkOc4q9oUmW1yo/edit?usp=sharing"",""นครสวรรค์!J47"")"),0)</f>
        <v>0</v>
      </c>
      <c r="S20" s="99">
        <f t="shared" ca="1" si="7"/>
        <v>0</v>
      </c>
      <c r="T20" s="55">
        <v>1</v>
      </c>
      <c r="U20" s="55">
        <f ca="1">IFERROR(__xludf.DUMMYFUNCTION("IMPORTRANGE(""https://docs.google.com/spreadsheets/d/11923uPwbBZFjjGgGUA6NLw09EwE0CqkOc4q9oUmW1yo/edit?usp=sharing"",""นครสวรรค์!J48"")"),0)</f>
        <v>0</v>
      </c>
      <c r="V20" s="99">
        <f t="shared" ca="1" si="9"/>
        <v>0</v>
      </c>
      <c r="W20" s="81"/>
      <c r="X20" s="81"/>
      <c r="Y20" s="81"/>
      <c r="Z20" s="81"/>
    </row>
    <row r="21" spans="1:26" ht="24" customHeight="1" x14ac:dyDescent="0.5">
      <c r="A21" s="52">
        <v>6</v>
      </c>
      <c r="B21" s="53" t="s">
        <v>36</v>
      </c>
      <c r="C21" s="54">
        <f t="shared" si="30"/>
        <v>122100</v>
      </c>
      <c r="D21" s="55">
        <v>0</v>
      </c>
      <c r="E21" s="55">
        <v>122100</v>
      </c>
      <c r="F21" s="55">
        <f ca="1">IFERROR(__xludf.DUMMYFUNCTION("IMPORTRANGE(""https://docs.google.com/spreadsheets/d/11923uPwbBZFjjGgGUA6NLw09EwE0CqkOc4q9oUmW1yo/edit?usp=sharing"",""น่าน!M35"")"),0)</f>
        <v>0</v>
      </c>
      <c r="G21" s="99">
        <f t="shared" ca="1" si="1"/>
        <v>0</v>
      </c>
      <c r="H21" s="55">
        <v>1</v>
      </c>
      <c r="I21" s="55">
        <f ca="1">IFERROR(__xludf.DUMMYFUNCTION("IMPORTRANGE(""https://docs.google.com/spreadsheets/d/11923uPwbBZFjjGgGUA6NLw09EwE0CqkOc4q9oUmW1yo/edit?usp=sharing"",""น่าน!J43"")"),0)</f>
        <v>0</v>
      </c>
      <c r="J21" s="56">
        <f t="shared" ca="1" si="3"/>
        <v>0</v>
      </c>
      <c r="K21" s="55">
        <v>4</v>
      </c>
      <c r="L21" s="55">
        <f ca="1">IFERROR(__xludf.DUMMYFUNCTION("IMPORTRANGE(""https://docs.google.com/spreadsheets/d/11923uPwbBZFjjGgGUA6NLw09EwE0CqkOc4q9oUmW1yo/edit?usp=sharing"",""น่าน!J44"")"),0)</f>
        <v>0</v>
      </c>
      <c r="M21" s="56">
        <f t="shared" ca="1" si="4"/>
        <v>0</v>
      </c>
      <c r="N21" s="55">
        <f ca="1">IFERROR(__xludf.DUMMYFUNCTION("IMPORTRANGE(""https://docs.google.com/spreadsheets/d/11923uPwbBZFjjGgGUA6NLw09EwE0CqkOc4q9oUmW1yo/edit?usp=sharing"",""น่าน!J45"")"),0)</f>
        <v>0</v>
      </c>
      <c r="O21" s="56">
        <f t="shared" ca="1" si="5"/>
        <v>0</v>
      </c>
      <c r="P21" s="55">
        <f ca="1">IFERROR(__xludf.DUMMYFUNCTION("IMPORTRANGE(""https://docs.google.com/spreadsheets/d/11923uPwbBZFjjGgGUA6NLw09EwE0CqkOc4q9oUmW1yo/edit?usp=sharing"",""น่าน!J46"")"),0)</f>
        <v>0</v>
      </c>
      <c r="Q21" s="56">
        <f t="shared" ca="1" si="6"/>
        <v>0</v>
      </c>
      <c r="R21" s="55">
        <f ca="1">IFERROR(__xludf.DUMMYFUNCTION("IMPORTRANGE(""https://docs.google.com/spreadsheets/d/11923uPwbBZFjjGgGUA6NLw09EwE0CqkOc4q9oUmW1yo/edit?usp=sharing"",""น่าน!J47"")"),0)</f>
        <v>0</v>
      </c>
      <c r="S21" s="99">
        <f t="shared" ca="1" si="7"/>
        <v>0</v>
      </c>
      <c r="T21" s="55">
        <v>1</v>
      </c>
      <c r="U21" s="55">
        <f ca="1">IFERROR(__xludf.DUMMYFUNCTION("IMPORTRANGE(""https://docs.google.com/spreadsheets/d/11923uPwbBZFjjGgGUA6NLw09EwE0CqkOc4q9oUmW1yo/edit?usp=sharing"",""น่าน!J48"")"),0)</f>
        <v>0</v>
      </c>
      <c r="V21" s="99">
        <f t="shared" ca="1" si="9"/>
        <v>0</v>
      </c>
      <c r="W21" s="81"/>
      <c r="X21" s="81"/>
      <c r="Y21" s="81"/>
      <c r="Z21" s="81"/>
    </row>
    <row r="22" spans="1:26" ht="24" customHeight="1" x14ac:dyDescent="0.5">
      <c r="A22" s="52">
        <v>7</v>
      </c>
      <c r="B22" s="53" t="s">
        <v>37</v>
      </c>
      <c r="C22" s="54">
        <f t="shared" si="30"/>
        <v>134160</v>
      </c>
      <c r="D22" s="55">
        <v>0</v>
      </c>
      <c r="E22" s="55">
        <v>134160</v>
      </c>
      <c r="F22" s="55">
        <f ca="1">IFERROR(__xludf.DUMMYFUNCTION("IMPORTRANGE(""https://docs.google.com/spreadsheets/d/11923uPwbBZFjjGgGUA6NLw09EwE0CqkOc4q9oUmW1yo/edit?usp=sharing"",""พะเยา!M35"")"),0)</f>
        <v>0</v>
      </c>
      <c r="G22" s="99">
        <f t="shared" ca="1" si="1"/>
        <v>0</v>
      </c>
      <c r="H22" s="55">
        <v>1</v>
      </c>
      <c r="I22" s="55">
        <f ca="1">IFERROR(__xludf.DUMMYFUNCTION("IMPORTRANGE(""https://docs.google.com/spreadsheets/d/11923uPwbBZFjjGgGUA6NLw09EwE0CqkOc4q9oUmW1yo/edit?usp=sharing"",""พะเยา!J43"")"),1)</f>
        <v>1</v>
      </c>
      <c r="J22" s="56">
        <f t="shared" ca="1" si="3"/>
        <v>100</v>
      </c>
      <c r="K22" s="55">
        <v>7</v>
      </c>
      <c r="L22" s="55">
        <f ca="1">IFERROR(__xludf.DUMMYFUNCTION("IMPORTRANGE(""https://docs.google.com/spreadsheets/d/11923uPwbBZFjjGgGUA6NLw09EwE0CqkOc4q9oUmW1yo/edit?usp=sharing"",""พะเยา!J44"")"),0)</f>
        <v>0</v>
      </c>
      <c r="M22" s="56">
        <f t="shared" ca="1" si="4"/>
        <v>0</v>
      </c>
      <c r="N22" s="55">
        <f ca="1">IFERROR(__xludf.DUMMYFUNCTION("IMPORTRANGE(""https://docs.google.com/spreadsheets/d/11923uPwbBZFjjGgGUA6NLw09EwE0CqkOc4q9oUmW1yo/edit?usp=sharing"",""พะเยา!J45"")"),0)</f>
        <v>0</v>
      </c>
      <c r="O22" s="56">
        <f t="shared" ca="1" si="5"/>
        <v>0</v>
      </c>
      <c r="P22" s="55">
        <f ca="1">IFERROR(__xludf.DUMMYFUNCTION("IMPORTRANGE(""https://docs.google.com/spreadsheets/d/11923uPwbBZFjjGgGUA6NLw09EwE0CqkOc4q9oUmW1yo/edit?usp=sharing"",""พะเยา!J46"")"),0)</f>
        <v>0</v>
      </c>
      <c r="Q22" s="56">
        <f t="shared" ca="1" si="6"/>
        <v>0</v>
      </c>
      <c r="R22" s="55">
        <f ca="1">IFERROR(__xludf.DUMMYFUNCTION("IMPORTRANGE(""https://docs.google.com/spreadsheets/d/11923uPwbBZFjjGgGUA6NLw09EwE0CqkOc4q9oUmW1yo/edit?usp=sharing"",""พะเยา!J47"")"),0)</f>
        <v>0</v>
      </c>
      <c r="S22" s="99">
        <f t="shared" ca="1" si="7"/>
        <v>0</v>
      </c>
      <c r="T22" s="55">
        <v>2</v>
      </c>
      <c r="U22" s="55">
        <f ca="1">IFERROR(__xludf.DUMMYFUNCTION("IMPORTRANGE(""https://docs.google.com/spreadsheets/d/11923uPwbBZFjjGgGUA6NLw09EwE0CqkOc4q9oUmW1yo/edit?usp=sharing"",""พะเยา!J48"")"),0)</f>
        <v>0</v>
      </c>
      <c r="V22" s="99">
        <f t="shared" ca="1" si="9"/>
        <v>0</v>
      </c>
      <c r="W22" s="81"/>
      <c r="X22" s="81"/>
      <c r="Y22" s="81"/>
      <c r="Z22" s="81"/>
    </row>
    <row r="23" spans="1:26" ht="24" customHeight="1" x14ac:dyDescent="0.5">
      <c r="A23" s="52">
        <v>8</v>
      </c>
      <c r="B23" s="53" t="s">
        <v>38</v>
      </c>
      <c r="C23" s="54">
        <f t="shared" si="30"/>
        <v>0</v>
      </c>
      <c r="D23" s="55">
        <v>0</v>
      </c>
      <c r="E23" s="55">
        <v>0</v>
      </c>
      <c r="F23" s="55">
        <f ca="1">IFERROR(__xludf.DUMMYFUNCTION("IMPORTRANGE(""https://docs.google.com/spreadsheets/d/11923uPwbBZFjjGgGUA6NLw09EwE0CqkOc4q9oUmW1yo/edit?usp=sharing"",""พิจิตร!M35"")"),0)</f>
        <v>0</v>
      </c>
      <c r="G23" s="99">
        <f t="shared" si="1"/>
        <v>0</v>
      </c>
      <c r="H23" s="55">
        <v>0</v>
      </c>
      <c r="I23" s="55">
        <f ca="1">IFERROR(__xludf.DUMMYFUNCTION("IMPORTRANGE(""https://docs.google.com/spreadsheets/d/11923uPwbBZFjjGgGUA6NLw09EwE0CqkOc4q9oUmW1yo/edit?usp=sharing"",""พิจิตร!J43"")"),0)</f>
        <v>0</v>
      </c>
      <c r="J23" s="56">
        <f t="shared" si="3"/>
        <v>0</v>
      </c>
      <c r="K23" s="55">
        <v>0</v>
      </c>
      <c r="L23" s="55">
        <f ca="1">IFERROR(__xludf.DUMMYFUNCTION("IMPORTRANGE(""https://docs.google.com/spreadsheets/d/11923uPwbBZFjjGgGUA6NLw09EwE0CqkOc4q9oUmW1yo/edit?usp=sharing"",""พิจิตร!J44"")"),0)</f>
        <v>0</v>
      </c>
      <c r="M23" s="56">
        <f t="shared" si="4"/>
        <v>0</v>
      </c>
      <c r="N23" s="55">
        <f ca="1">IFERROR(__xludf.DUMMYFUNCTION("IMPORTRANGE(""https://docs.google.com/spreadsheets/d/11923uPwbBZFjjGgGUA6NLw09EwE0CqkOc4q9oUmW1yo/edit?usp=sharing"",""พิจิตร!J45"")"),0)</f>
        <v>0</v>
      </c>
      <c r="O23" s="56">
        <f t="shared" si="5"/>
        <v>0</v>
      </c>
      <c r="P23" s="55">
        <f ca="1">IFERROR(__xludf.DUMMYFUNCTION("IMPORTRANGE(""https://docs.google.com/spreadsheets/d/11923uPwbBZFjjGgGUA6NLw09EwE0CqkOc4q9oUmW1yo/edit?usp=sharing"",""พิจิตร!J46"")"),0)</f>
        <v>0</v>
      </c>
      <c r="Q23" s="56">
        <f t="shared" si="6"/>
        <v>0</v>
      </c>
      <c r="R23" s="55">
        <f ca="1">IFERROR(__xludf.DUMMYFUNCTION("IMPORTRANGE(""https://docs.google.com/spreadsheets/d/11923uPwbBZFjjGgGUA6NLw09EwE0CqkOc4q9oUmW1yo/edit?usp=sharing"",""พิจิตร!J47"")"),0)</f>
        <v>0</v>
      </c>
      <c r="S23" s="99">
        <f t="shared" si="7"/>
        <v>0</v>
      </c>
      <c r="T23" s="55">
        <v>0</v>
      </c>
      <c r="U23" s="55">
        <f ca="1">IFERROR(__xludf.DUMMYFUNCTION("IMPORTRANGE(""https://docs.google.com/spreadsheets/d/11923uPwbBZFjjGgGUA6NLw09EwE0CqkOc4q9oUmW1yo/edit?usp=sharing"",""พิจิตร!J48"")"),0)</f>
        <v>0</v>
      </c>
      <c r="V23" s="99">
        <f t="shared" si="9"/>
        <v>0</v>
      </c>
      <c r="W23" s="81"/>
      <c r="X23" s="81"/>
      <c r="Y23" s="81"/>
      <c r="Z23" s="81"/>
    </row>
    <row r="24" spans="1:26" ht="24" customHeight="1" x14ac:dyDescent="0.5">
      <c r="A24" s="52">
        <v>9</v>
      </c>
      <c r="B24" s="53" t="s">
        <v>39</v>
      </c>
      <c r="C24" s="54">
        <f t="shared" si="30"/>
        <v>0</v>
      </c>
      <c r="D24" s="55">
        <v>0</v>
      </c>
      <c r="E24" s="55">
        <v>0</v>
      </c>
      <c r="F24" s="55">
        <f ca="1">IFERROR(__xludf.DUMMYFUNCTION("IMPORTRANGE(""https://docs.google.com/spreadsheets/d/11923uPwbBZFjjGgGUA6NLw09EwE0CqkOc4q9oUmW1yo/edit?usp=sharing"",""พิษณุโลก!M35"")"),0)</f>
        <v>0</v>
      </c>
      <c r="G24" s="99">
        <f t="shared" si="1"/>
        <v>0</v>
      </c>
      <c r="H24" s="55">
        <v>0</v>
      </c>
      <c r="I24" s="55">
        <f ca="1">IFERROR(__xludf.DUMMYFUNCTION("IMPORTRANGE(""https://docs.google.com/spreadsheets/d/11923uPwbBZFjjGgGUA6NLw09EwE0CqkOc4q9oUmW1yo/edit?usp=sharing"",""พิษณุโลก!J43"")"),0)</f>
        <v>0</v>
      </c>
      <c r="J24" s="56">
        <f t="shared" si="3"/>
        <v>0</v>
      </c>
      <c r="K24" s="55">
        <v>0</v>
      </c>
      <c r="L24" s="55">
        <f ca="1">IFERROR(__xludf.DUMMYFUNCTION("IMPORTRANGE(""https://docs.google.com/spreadsheets/d/11923uPwbBZFjjGgGUA6NLw09EwE0CqkOc4q9oUmW1yo/edit?usp=sharing"",""พิษณุโลก!J44"")"),0)</f>
        <v>0</v>
      </c>
      <c r="M24" s="56">
        <f t="shared" si="4"/>
        <v>0</v>
      </c>
      <c r="N24" s="55">
        <f ca="1">IFERROR(__xludf.DUMMYFUNCTION("IMPORTRANGE(""https://docs.google.com/spreadsheets/d/11923uPwbBZFjjGgGUA6NLw09EwE0CqkOc4q9oUmW1yo/edit?usp=sharing"",""พิษณุโลก!J45"")"),0)</f>
        <v>0</v>
      </c>
      <c r="O24" s="56">
        <f t="shared" si="5"/>
        <v>0</v>
      </c>
      <c r="P24" s="55">
        <f ca="1">IFERROR(__xludf.DUMMYFUNCTION("IMPORTRANGE(""https://docs.google.com/spreadsheets/d/11923uPwbBZFjjGgGUA6NLw09EwE0CqkOc4q9oUmW1yo/edit?usp=sharing"",""พิษณุโลก!J46"")"),0)</f>
        <v>0</v>
      </c>
      <c r="Q24" s="56">
        <f t="shared" si="6"/>
        <v>0</v>
      </c>
      <c r="R24" s="55">
        <f ca="1">IFERROR(__xludf.DUMMYFUNCTION("IMPORTRANGE(""https://docs.google.com/spreadsheets/d/11923uPwbBZFjjGgGUA6NLw09EwE0CqkOc4q9oUmW1yo/edit?usp=sharing"",""พิษณุโลก!J47"")"),0)</f>
        <v>0</v>
      </c>
      <c r="S24" s="99">
        <f t="shared" si="7"/>
        <v>0</v>
      </c>
      <c r="T24" s="55">
        <v>0</v>
      </c>
      <c r="U24" s="55">
        <f ca="1">IFERROR(__xludf.DUMMYFUNCTION("IMPORTRANGE(""https://docs.google.com/spreadsheets/d/11923uPwbBZFjjGgGUA6NLw09EwE0CqkOc4q9oUmW1yo/edit?usp=sharing"",""พิษณุโลก!J48"")"),0)</f>
        <v>0</v>
      </c>
      <c r="V24" s="99">
        <f t="shared" si="9"/>
        <v>0</v>
      </c>
      <c r="W24" s="81"/>
      <c r="X24" s="81"/>
      <c r="Y24" s="81"/>
      <c r="Z24" s="81"/>
    </row>
    <row r="25" spans="1:26" ht="24" customHeight="1" x14ac:dyDescent="0.5">
      <c r="A25" s="52">
        <v>10</v>
      </c>
      <c r="B25" s="53" t="s">
        <v>40</v>
      </c>
      <c r="C25" s="54">
        <f t="shared" si="30"/>
        <v>0</v>
      </c>
      <c r="D25" s="55">
        <v>0</v>
      </c>
      <c r="E25" s="55">
        <v>0</v>
      </c>
      <c r="F25" s="55">
        <f ca="1">IFERROR(__xludf.DUMMYFUNCTION("IMPORTRANGE(""https://docs.google.com/spreadsheets/d/11923uPwbBZFjjGgGUA6NLw09EwE0CqkOc4q9oUmW1yo/edit?usp=sharing"",""เพชรบูรณ์!M35"")"),0)</f>
        <v>0</v>
      </c>
      <c r="G25" s="99">
        <f t="shared" si="1"/>
        <v>0</v>
      </c>
      <c r="H25" s="55">
        <v>0</v>
      </c>
      <c r="I25" s="55">
        <f ca="1">IFERROR(__xludf.DUMMYFUNCTION("IMPORTRANGE(""https://docs.google.com/spreadsheets/d/11923uPwbBZFjjGgGUA6NLw09EwE0CqkOc4q9oUmW1yo/edit?usp=sharing"",""เพชรบูรณ์!J43"")"),0)</f>
        <v>0</v>
      </c>
      <c r="J25" s="56">
        <f t="shared" si="3"/>
        <v>0</v>
      </c>
      <c r="K25" s="55">
        <v>0</v>
      </c>
      <c r="L25" s="55">
        <f ca="1">IFERROR(__xludf.DUMMYFUNCTION("IMPORTRANGE(""https://docs.google.com/spreadsheets/d/11923uPwbBZFjjGgGUA6NLw09EwE0CqkOc4q9oUmW1yo/edit?usp=sharing"",""เพชรบูรณ์!J44"")"),0)</f>
        <v>0</v>
      </c>
      <c r="M25" s="56">
        <f t="shared" si="4"/>
        <v>0</v>
      </c>
      <c r="N25" s="55">
        <f ca="1">IFERROR(__xludf.DUMMYFUNCTION("IMPORTRANGE(""https://docs.google.com/spreadsheets/d/11923uPwbBZFjjGgGUA6NLw09EwE0CqkOc4q9oUmW1yo/edit?usp=sharing"",""เพชรบูรณ์!J45"")"),0)</f>
        <v>0</v>
      </c>
      <c r="O25" s="56">
        <f t="shared" si="5"/>
        <v>0</v>
      </c>
      <c r="P25" s="55">
        <f ca="1">IFERROR(__xludf.DUMMYFUNCTION("IMPORTRANGE(""https://docs.google.com/spreadsheets/d/11923uPwbBZFjjGgGUA6NLw09EwE0CqkOc4q9oUmW1yo/edit?usp=sharing"",""เพชรบูรณ์!J46"")"),0)</f>
        <v>0</v>
      </c>
      <c r="Q25" s="56">
        <f t="shared" si="6"/>
        <v>0</v>
      </c>
      <c r="R25" s="55">
        <f ca="1">IFERROR(__xludf.DUMMYFUNCTION("IMPORTRANGE(""https://docs.google.com/spreadsheets/d/11923uPwbBZFjjGgGUA6NLw09EwE0CqkOc4q9oUmW1yo/edit?usp=sharing"",""เพชรบูรณ์!J47"")"),0)</f>
        <v>0</v>
      </c>
      <c r="S25" s="99">
        <f t="shared" si="7"/>
        <v>0</v>
      </c>
      <c r="T25" s="55">
        <v>0</v>
      </c>
      <c r="U25" s="55">
        <f ca="1">IFERROR(__xludf.DUMMYFUNCTION("IMPORTRANGE(""https://docs.google.com/spreadsheets/d/11923uPwbBZFjjGgGUA6NLw09EwE0CqkOc4q9oUmW1yo/edit?usp=sharing"",""เพชรบูรณ์!J48"")"),0)</f>
        <v>0</v>
      </c>
      <c r="V25" s="99">
        <f t="shared" si="9"/>
        <v>0</v>
      </c>
      <c r="W25" s="81"/>
      <c r="X25" s="81"/>
      <c r="Y25" s="81"/>
      <c r="Z25" s="81"/>
    </row>
    <row r="26" spans="1:26" ht="24" customHeight="1" x14ac:dyDescent="0.5">
      <c r="A26" s="52">
        <v>11</v>
      </c>
      <c r="B26" s="53" t="s">
        <v>41</v>
      </c>
      <c r="C26" s="54">
        <f t="shared" si="30"/>
        <v>134160</v>
      </c>
      <c r="D26" s="55">
        <v>0</v>
      </c>
      <c r="E26" s="55">
        <v>134160</v>
      </c>
      <c r="F26" s="55">
        <f ca="1">IFERROR(__xludf.DUMMYFUNCTION("IMPORTRANGE(""https://docs.google.com/spreadsheets/d/11923uPwbBZFjjGgGUA6NLw09EwE0CqkOc4q9oUmW1yo/edit?usp=sharing"",""แพร่!M35"")"),0)</f>
        <v>0</v>
      </c>
      <c r="G26" s="99">
        <f t="shared" ca="1" si="1"/>
        <v>0</v>
      </c>
      <c r="H26" s="55">
        <v>1</v>
      </c>
      <c r="I26" s="55">
        <f ca="1">IFERROR(__xludf.DUMMYFUNCTION("IMPORTRANGE(""https://docs.google.com/spreadsheets/d/11923uPwbBZFjjGgGUA6NLw09EwE0CqkOc4q9oUmW1yo/edit?usp=sharing"",""แพร่!J43"")"),0)</f>
        <v>0</v>
      </c>
      <c r="J26" s="56">
        <f t="shared" ca="1" si="3"/>
        <v>0</v>
      </c>
      <c r="K26" s="55">
        <v>7</v>
      </c>
      <c r="L26" s="55">
        <f ca="1">IFERROR(__xludf.DUMMYFUNCTION("IMPORTRANGE(""https://docs.google.com/spreadsheets/d/11923uPwbBZFjjGgGUA6NLw09EwE0CqkOc4q9oUmW1yo/edit?usp=sharing"",""แพร่!J44"")"),0)</f>
        <v>0</v>
      </c>
      <c r="M26" s="56">
        <f t="shared" ca="1" si="4"/>
        <v>0</v>
      </c>
      <c r="N26" s="55">
        <f ca="1">IFERROR(__xludf.DUMMYFUNCTION("IMPORTRANGE(""https://docs.google.com/spreadsheets/d/11923uPwbBZFjjGgGUA6NLw09EwE0CqkOc4q9oUmW1yo/edit?usp=sharing"",""แพร่!J45"")"),0)</f>
        <v>0</v>
      </c>
      <c r="O26" s="56">
        <f t="shared" ca="1" si="5"/>
        <v>0</v>
      </c>
      <c r="P26" s="55">
        <f ca="1">IFERROR(__xludf.DUMMYFUNCTION("IMPORTRANGE(""https://docs.google.com/spreadsheets/d/11923uPwbBZFjjGgGUA6NLw09EwE0CqkOc4q9oUmW1yo/edit?usp=sharing"",""แพร่!J46"")"),0)</f>
        <v>0</v>
      </c>
      <c r="Q26" s="56">
        <f t="shared" ca="1" si="6"/>
        <v>0</v>
      </c>
      <c r="R26" s="55">
        <f ca="1">IFERROR(__xludf.DUMMYFUNCTION("IMPORTRANGE(""https://docs.google.com/spreadsheets/d/11923uPwbBZFjjGgGUA6NLw09EwE0CqkOc4q9oUmW1yo/edit?usp=sharing"",""แพร่!J47"")"),0)</f>
        <v>0</v>
      </c>
      <c r="S26" s="99">
        <f t="shared" ca="1" si="7"/>
        <v>0</v>
      </c>
      <c r="T26" s="55">
        <v>2</v>
      </c>
      <c r="U26" s="55">
        <f ca="1">IFERROR(__xludf.DUMMYFUNCTION("IMPORTRANGE(""https://docs.google.com/spreadsheets/d/11923uPwbBZFjjGgGUA6NLw09EwE0CqkOc4q9oUmW1yo/edit?usp=sharing"",""แพร่!J48"")"),0)</f>
        <v>0</v>
      </c>
      <c r="V26" s="99">
        <f t="shared" ca="1" si="9"/>
        <v>0</v>
      </c>
      <c r="W26" s="81"/>
      <c r="X26" s="81"/>
      <c r="Y26" s="81"/>
      <c r="Z26" s="81"/>
    </row>
    <row r="27" spans="1:26" ht="24" customHeight="1" x14ac:dyDescent="0.5">
      <c r="A27" s="52">
        <v>12</v>
      </c>
      <c r="B27" s="53" t="s">
        <v>42</v>
      </c>
      <c r="C27" s="54">
        <f t="shared" si="30"/>
        <v>0</v>
      </c>
      <c r="D27" s="55">
        <v>0</v>
      </c>
      <c r="E27" s="55">
        <v>0</v>
      </c>
      <c r="F27" s="55">
        <f ca="1">IFERROR(__xludf.DUMMYFUNCTION("IMPORTRANGE(""https://docs.google.com/spreadsheets/d/11923uPwbBZFjjGgGUA6NLw09EwE0CqkOc4q9oUmW1yo/edit?usp=sharing"",""แม่ฮ่องสอน!M35"")"),0)</f>
        <v>0</v>
      </c>
      <c r="G27" s="99">
        <f t="shared" si="1"/>
        <v>0</v>
      </c>
      <c r="H27" s="55">
        <v>0</v>
      </c>
      <c r="I27" s="55">
        <f ca="1">IFERROR(__xludf.DUMMYFUNCTION("IMPORTRANGE(""https://docs.google.com/spreadsheets/d/11923uPwbBZFjjGgGUA6NLw09EwE0CqkOc4q9oUmW1yo/edit?usp=sharing"",""แม่ฮ่องสอน!J43"")"),0)</f>
        <v>0</v>
      </c>
      <c r="J27" s="56">
        <f t="shared" si="3"/>
        <v>0</v>
      </c>
      <c r="K27" s="55">
        <v>0</v>
      </c>
      <c r="L27" s="55">
        <f ca="1">IFERROR(__xludf.DUMMYFUNCTION("IMPORTRANGE(""https://docs.google.com/spreadsheets/d/11923uPwbBZFjjGgGUA6NLw09EwE0CqkOc4q9oUmW1yo/edit?usp=sharing"",""แม่ฮ่องสอน!J44"")"),0)</f>
        <v>0</v>
      </c>
      <c r="M27" s="56">
        <f t="shared" si="4"/>
        <v>0</v>
      </c>
      <c r="N27" s="55">
        <f ca="1">IFERROR(__xludf.DUMMYFUNCTION("IMPORTRANGE(""https://docs.google.com/spreadsheets/d/11923uPwbBZFjjGgGUA6NLw09EwE0CqkOc4q9oUmW1yo/edit?usp=sharing"",""แม่ฮ่องสอน!J45"")"),0)</f>
        <v>0</v>
      </c>
      <c r="O27" s="56">
        <f t="shared" si="5"/>
        <v>0</v>
      </c>
      <c r="P27" s="55">
        <f ca="1">IFERROR(__xludf.DUMMYFUNCTION("IMPORTRANGE(""https://docs.google.com/spreadsheets/d/11923uPwbBZFjjGgGUA6NLw09EwE0CqkOc4q9oUmW1yo/edit?usp=sharing"",""แม่ฮ่องสอน!J46"")"),0)</f>
        <v>0</v>
      </c>
      <c r="Q27" s="56">
        <f t="shared" si="6"/>
        <v>0</v>
      </c>
      <c r="R27" s="55">
        <f ca="1">IFERROR(__xludf.DUMMYFUNCTION("IMPORTRANGE(""https://docs.google.com/spreadsheets/d/11923uPwbBZFjjGgGUA6NLw09EwE0CqkOc4q9oUmW1yo/edit?usp=sharing"",""แม่ฮ่องสอน!J47"")"),0)</f>
        <v>0</v>
      </c>
      <c r="S27" s="99">
        <f t="shared" si="7"/>
        <v>0</v>
      </c>
      <c r="T27" s="55">
        <v>0</v>
      </c>
      <c r="U27" s="55">
        <f ca="1">IFERROR(__xludf.DUMMYFUNCTION("IMPORTRANGE(""https://docs.google.com/spreadsheets/d/11923uPwbBZFjjGgGUA6NLw09EwE0CqkOc4q9oUmW1yo/edit?usp=sharing"",""แม่ฮ่องสอน!J48"")"),0)</f>
        <v>0</v>
      </c>
      <c r="V27" s="99">
        <f t="shared" si="9"/>
        <v>0</v>
      </c>
      <c r="W27" s="81"/>
      <c r="X27" s="81"/>
      <c r="Y27" s="81"/>
      <c r="Z27" s="81"/>
    </row>
    <row r="28" spans="1:26" ht="24" customHeight="1" x14ac:dyDescent="0.5">
      <c r="A28" s="52">
        <v>13</v>
      </c>
      <c r="B28" s="53" t="s">
        <v>43</v>
      </c>
      <c r="C28" s="54">
        <f t="shared" si="30"/>
        <v>122100</v>
      </c>
      <c r="D28" s="55">
        <v>0</v>
      </c>
      <c r="E28" s="55">
        <v>122100</v>
      </c>
      <c r="F28" s="55">
        <f ca="1">IFERROR(__xludf.DUMMYFUNCTION("IMPORTRANGE(""https://docs.google.com/spreadsheets/d/11923uPwbBZFjjGgGUA6NLw09EwE0CqkOc4q9oUmW1yo/edit?usp=sharing"",""ลำปาง!M35"")"),620)</f>
        <v>620</v>
      </c>
      <c r="G28" s="99">
        <f t="shared" ca="1" si="1"/>
        <v>0.50778050778050776</v>
      </c>
      <c r="H28" s="55">
        <v>1</v>
      </c>
      <c r="I28" s="55">
        <f ca="1">IFERROR(__xludf.DUMMYFUNCTION("IMPORTRANGE(""https://docs.google.com/spreadsheets/d/11923uPwbBZFjjGgGUA6NLw09EwE0CqkOc4q9oUmW1yo/edit?usp=sharing"",""ลำปาง!J43"")"),0)</f>
        <v>0</v>
      </c>
      <c r="J28" s="56">
        <f t="shared" ca="1" si="3"/>
        <v>0</v>
      </c>
      <c r="K28" s="55">
        <v>4</v>
      </c>
      <c r="L28" s="55">
        <f ca="1">IFERROR(__xludf.DUMMYFUNCTION("IMPORTRANGE(""https://docs.google.com/spreadsheets/d/11923uPwbBZFjjGgGUA6NLw09EwE0CqkOc4q9oUmW1yo/edit?usp=sharing"",""ลำปาง!J44"")"),0)</f>
        <v>0</v>
      </c>
      <c r="M28" s="56">
        <f t="shared" ca="1" si="4"/>
        <v>0</v>
      </c>
      <c r="N28" s="55">
        <f ca="1">IFERROR(__xludf.DUMMYFUNCTION("IMPORTRANGE(""https://docs.google.com/spreadsheets/d/11923uPwbBZFjjGgGUA6NLw09EwE0CqkOc4q9oUmW1yo/edit?usp=sharing"",""ลำปาง!J45"")"),0)</f>
        <v>0</v>
      </c>
      <c r="O28" s="56">
        <f t="shared" ca="1" si="5"/>
        <v>0</v>
      </c>
      <c r="P28" s="55">
        <f ca="1">IFERROR(__xludf.DUMMYFUNCTION("IMPORTRANGE(""https://docs.google.com/spreadsheets/d/11923uPwbBZFjjGgGUA6NLw09EwE0CqkOc4q9oUmW1yo/edit?usp=sharing"",""ลำปาง!J46"")"),0)</f>
        <v>0</v>
      </c>
      <c r="Q28" s="56">
        <f t="shared" ca="1" si="6"/>
        <v>0</v>
      </c>
      <c r="R28" s="55">
        <f ca="1">IFERROR(__xludf.DUMMYFUNCTION("IMPORTRANGE(""https://docs.google.com/spreadsheets/d/11923uPwbBZFjjGgGUA6NLw09EwE0CqkOc4q9oUmW1yo/edit?usp=sharing"",""ลำปาง!J47"")"),0)</f>
        <v>0</v>
      </c>
      <c r="S28" s="99">
        <f t="shared" ca="1" si="7"/>
        <v>0</v>
      </c>
      <c r="T28" s="55">
        <v>1</v>
      </c>
      <c r="U28" s="55">
        <f ca="1">IFERROR(__xludf.DUMMYFUNCTION("IMPORTRANGE(""https://docs.google.com/spreadsheets/d/11923uPwbBZFjjGgGUA6NLw09EwE0CqkOc4q9oUmW1yo/edit?usp=sharing"",""ลำปาง!J48"")"),0)</f>
        <v>0</v>
      </c>
      <c r="V28" s="99">
        <f t="shared" ca="1" si="9"/>
        <v>0</v>
      </c>
      <c r="W28" s="81"/>
      <c r="X28" s="81"/>
      <c r="Y28" s="81"/>
      <c r="Z28" s="81"/>
    </row>
    <row r="29" spans="1:26" ht="24" customHeight="1" x14ac:dyDescent="0.5">
      <c r="A29" s="52">
        <v>14</v>
      </c>
      <c r="B29" s="53" t="s">
        <v>44</v>
      </c>
      <c r="C29" s="54">
        <f t="shared" si="30"/>
        <v>0</v>
      </c>
      <c r="D29" s="55">
        <v>0</v>
      </c>
      <c r="E29" s="55">
        <v>0</v>
      </c>
      <c r="F29" s="55">
        <f ca="1">IFERROR(__xludf.DUMMYFUNCTION("IMPORTRANGE(""https://docs.google.com/spreadsheets/d/11923uPwbBZFjjGgGUA6NLw09EwE0CqkOc4q9oUmW1yo/edit?usp=sharing"",""ลำพูน!M35"")"),0)</f>
        <v>0</v>
      </c>
      <c r="G29" s="99">
        <f t="shared" si="1"/>
        <v>0</v>
      </c>
      <c r="H29" s="55">
        <v>0</v>
      </c>
      <c r="I29" s="55">
        <f ca="1">IFERROR(__xludf.DUMMYFUNCTION("IMPORTRANGE(""https://docs.google.com/spreadsheets/d/11923uPwbBZFjjGgGUA6NLw09EwE0CqkOc4q9oUmW1yo/edit?usp=sharing"",""ลำพูน!J43"")"),0)</f>
        <v>0</v>
      </c>
      <c r="J29" s="56">
        <f t="shared" si="3"/>
        <v>0</v>
      </c>
      <c r="K29" s="55">
        <v>0</v>
      </c>
      <c r="L29" s="55">
        <f ca="1">IFERROR(__xludf.DUMMYFUNCTION("IMPORTRANGE(""https://docs.google.com/spreadsheets/d/11923uPwbBZFjjGgGUA6NLw09EwE0CqkOc4q9oUmW1yo/edit?usp=sharing"",""ลำพูน!J44"")"),0)</f>
        <v>0</v>
      </c>
      <c r="M29" s="56">
        <f t="shared" si="4"/>
        <v>0</v>
      </c>
      <c r="N29" s="55">
        <f ca="1">IFERROR(__xludf.DUMMYFUNCTION("IMPORTRANGE(""https://docs.google.com/spreadsheets/d/11923uPwbBZFjjGgGUA6NLw09EwE0CqkOc4q9oUmW1yo/edit?usp=sharing"",""ลำพูน!J45"")"),0)</f>
        <v>0</v>
      </c>
      <c r="O29" s="56">
        <f t="shared" si="5"/>
        <v>0</v>
      </c>
      <c r="P29" s="55">
        <f ca="1">IFERROR(__xludf.DUMMYFUNCTION("IMPORTRANGE(""https://docs.google.com/spreadsheets/d/11923uPwbBZFjjGgGUA6NLw09EwE0CqkOc4q9oUmW1yo/edit?usp=sharing"",""ลำพูน!J46"")"),0)</f>
        <v>0</v>
      </c>
      <c r="Q29" s="56">
        <f t="shared" si="6"/>
        <v>0</v>
      </c>
      <c r="R29" s="55">
        <f ca="1">IFERROR(__xludf.DUMMYFUNCTION("IMPORTRANGE(""https://docs.google.com/spreadsheets/d/11923uPwbBZFjjGgGUA6NLw09EwE0CqkOc4q9oUmW1yo/edit?usp=sharing"",""ลำพูน!J47"")"),0)</f>
        <v>0</v>
      </c>
      <c r="S29" s="99">
        <f t="shared" si="7"/>
        <v>0</v>
      </c>
      <c r="T29" s="55">
        <v>0</v>
      </c>
      <c r="U29" s="55">
        <f ca="1">IFERROR(__xludf.DUMMYFUNCTION("IMPORTRANGE(""https://docs.google.com/spreadsheets/d/11923uPwbBZFjjGgGUA6NLw09EwE0CqkOc4q9oUmW1yo/edit?usp=sharing"",""ลำพูน!J48"")"),0)</f>
        <v>0</v>
      </c>
      <c r="V29" s="99">
        <f t="shared" si="9"/>
        <v>0</v>
      </c>
      <c r="W29" s="81"/>
      <c r="X29" s="81"/>
      <c r="Y29" s="81"/>
      <c r="Z29" s="81"/>
    </row>
    <row r="30" spans="1:26" ht="24" customHeight="1" x14ac:dyDescent="0.5">
      <c r="A30" s="52">
        <v>15</v>
      </c>
      <c r="B30" s="53" t="s">
        <v>45</v>
      </c>
      <c r="C30" s="54">
        <f t="shared" si="30"/>
        <v>0</v>
      </c>
      <c r="D30" s="55">
        <v>0</v>
      </c>
      <c r="E30" s="55">
        <v>0</v>
      </c>
      <c r="F30" s="55">
        <f ca="1">IFERROR(__xludf.DUMMYFUNCTION("IMPORTRANGE(""https://docs.google.com/spreadsheets/d/11923uPwbBZFjjGgGUA6NLw09EwE0CqkOc4q9oUmW1yo/edit?usp=sharing"",""สุโขทัย!M35"")"),0)</f>
        <v>0</v>
      </c>
      <c r="G30" s="99">
        <f t="shared" si="1"/>
        <v>0</v>
      </c>
      <c r="H30" s="55">
        <v>0</v>
      </c>
      <c r="I30" s="55">
        <f ca="1">IFERROR(__xludf.DUMMYFUNCTION("IMPORTRANGE(""https://docs.google.com/spreadsheets/d/11923uPwbBZFjjGgGUA6NLw09EwE0CqkOc4q9oUmW1yo/edit?usp=sharing"",""สุโขทัย!J43"")"),0)</f>
        <v>0</v>
      </c>
      <c r="J30" s="56">
        <f t="shared" si="3"/>
        <v>0</v>
      </c>
      <c r="K30" s="55">
        <v>0</v>
      </c>
      <c r="L30" s="55">
        <f ca="1">IFERROR(__xludf.DUMMYFUNCTION("IMPORTRANGE(""https://docs.google.com/spreadsheets/d/11923uPwbBZFjjGgGUA6NLw09EwE0CqkOc4q9oUmW1yo/edit?usp=sharing"",""สุโขทัย!J44"")"),0)</f>
        <v>0</v>
      </c>
      <c r="M30" s="56">
        <f t="shared" si="4"/>
        <v>0</v>
      </c>
      <c r="N30" s="55">
        <f ca="1">IFERROR(__xludf.DUMMYFUNCTION("IMPORTRANGE(""https://docs.google.com/spreadsheets/d/11923uPwbBZFjjGgGUA6NLw09EwE0CqkOc4q9oUmW1yo/edit?usp=sharing"",""สุโขทัย!J45"")"),0)</f>
        <v>0</v>
      </c>
      <c r="O30" s="56">
        <f t="shared" si="5"/>
        <v>0</v>
      </c>
      <c r="P30" s="55">
        <f ca="1">IFERROR(__xludf.DUMMYFUNCTION("IMPORTRANGE(""https://docs.google.com/spreadsheets/d/11923uPwbBZFjjGgGUA6NLw09EwE0CqkOc4q9oUmW1yo/edit?usp=sharing"",""สุโขทัย!J46"")"),0)</f>
        <v>0</v>
      </c>
      <c r="Q30" s="56">
        <f t="shared" si="6"/>
        <v>0</v>
      </c>
      <c r="R30" s="55">
        <f ca="1">IFERROR(__xludf.DUMMYFUNCTION("IMPORTRANGE(""https://docs.google.com/spreadsheets/d/11923uPwbBZFjjGgGUA6NLw09EwE0CqkOc4q9oUmW1yo/edit?usp=sharing"",""สุโขทัย!J47"")"),0)</f>
        <v>0</v>
      </c>
      <c r="S30" s="99">
        <f t="shared" si="7"/>
        <v>0</v>
      </c>
      <c r="T30" s="55">
        <v>0</v>
      </c>
      <c r="U30" s="55">
        <f ca="1">IFERROR(__xludf.DUMMYFUNCTION("IMPORTRANGE(""https://docs.google.com/spreadsheets/d/11923uPwbBZFjjGgGUA6NLw09EwE0CqkOc4q9oUmW1yo/edit?usp=sharing"",""สุโขทัย!J48"")"),0)</f>
        <v>0</v>
      </c>
      <c r="V30" s="99">
        <f t="shared" si="9"/>
        <v>0</v>
      </c>
      <c r="W30" s="81"/>
      <c r="X30" s="81"/>
      <c r="Y30" s="81"/>
      <c r="Z30" s="81"/>
    </row>
    <row r="31" spans="1:26" ht="24" customHeight="1" x14ac:dyDescent="0.5">
      <c r="A31" s="52">
        <v>16</v>
      </c>
      <c r="B31" s="53" t="s">
        <v>46</v>
      </c>
      <c r="C31" s="54">
        <f t="shared" si="30"/>
        <v>122100</v>
      </c>
      <c r="D31" s="55">
        <v>0</v>
      </c>
      <c r="E31" s="55">
        <v>122100</v>
      </c>
      <c r="F31" s="55">
        <f ca="1">IFERROR(__xludf.DUMMYFUNCTION("IMPORTRANGE(""https://docs.google.com/spreadsheets/d/11923uPwbBZFjjGgGUA6NLw09EwE0CqkOc4q9oUmW1yo/edit?usp=sharing"",""อุตรดิตถ์!M35"")"),0)</f>
        <v>0</v>
      </c>
      <c r="G31" s="99">
        <f t="shared" ca="1" si="1"/>
        <v>0</v>
      </c>
      <c r="H31" s="55">
        <v>1</v>
      </c>
      <c r="I31" s="55">
        <f ca="1">IFERROR(__xludf.DUMMYFUNCTION("IMPORTRANGE(""https://docs.google.com/spreadsheets/d/11923uPwbBZFjjGgGUA6NLw09EwE0CqkOc4q9oUmW1yo/edit?usp=sharing"",""อุตรดิตถ์!J43"")"),0)</f>
        <v>0</v>
      </c>
      <c r="J31" s="56">
        <f t="shared" ca="1" si="3"/>
        <v>0</v>
      </c>
      <c r="K31" s="55">
        <v>4</v>
      </c>
      <c r="L31" s="55">
        <f ca="1">IFERROR(__xludf.DUMMYFUNCTION("IMPORTRANGE(""https://docs.google.com/spreadsheets/d/11923uPwbBZFjjGgGUA6NLw09EwE0CqkOc4q9oUmW1yo/edit?usp=sharing"",""อุตรดิตถ์!J44"")"),0)</f>
        <v>0</v>
      </c>
      <c r="M31" s="56">
        <f t="shared" ca="1" si="4"/>
        <v>0</v>
      </c>
      <c r="N31" s="55">
        <f ca="1">IFERROR(__xludf.DUMMYFUNCTION("IMPORTRANGE(""https://docs.google.com/spreadsheets/d/11923uPwbBZFjjGgGUA6NLw09EwE0CqkOc4q9oUmW1yo/edit?usp=sharing"",""อุตรดิตถ์!J45"")"),0)</f>
        <v>0</v>
      </c>
      <c r="O31" s="56">
        <f t="shared" ca="1" si="5"/>
        <v>0</v>
      </c>
      <c r="P31" s="55">
        <f ca="1">IFERROR(__xludf.DUMMYFUNCTION("IMPORTRANGE(""https://docs.google.com/spreadsheets/d/11923uPwbBZFjjGgGUA6NLw09EwE0CqkOc4q9oUmW1yo/edit?usp=sharing"",""อุตรดิตถ์!J46"")"),0)</f>
        <v>0</v>
      </c>
      <c r="Q31" s="56">
        <f t="shared" ca="1" si="6"/>
        <v>0</v>
      </c>
      <c r="R31" s="55">
        <f ca="1">IFERROR(__xludf.DUMMYFUNCTION("IMPORTRANGE(""https://docs.google.com/spreadsheets/d/11923uPwbBZFjjGgGUA6NLw09EwE0CqkOc4q9oUmW1yo/edit?usp=sharing"",""อุตรดิตถ์!J47"")"),0)</f>
        <v>0</v>
      </c>
      <c r="S31" s="99">
        <f t="shared" ca="1" si="7"/>
        <v>0</v>
      </c>
      <c r="T31" s="55">
        <v>1</v>
      </c>
      <c r="U31" s="55">
        <f ca="1">IFERROR(__xludf.DUMMYFUNCTION("IMPORTRANGE(""https://docs.google.com/spreadsheets/d/11923uPwbBZFjjGgGUA6NLw09EwE0CqkOc4q9oUmW1yo/edit?usp=sharing"",""อุตรดิตถ์!J48"")"),0)</f>
        <v>0</v>
      </c>
      <c r="V31" s="99">
        <f t="shared" ca="1" si="9"/>
        <v>0</v>
      </c>
      <c r="W31" s="81"/>
      <c r="X31" s="81"/>
      <c r="Y31" s="81"/>
      <c r="Z31" s="81"/>
    </row>
    <row r="32" spans="1:26" ht="24" customHeight="1" x14ac:dyDescent="0.5">
      <c r="A32" s="59">
        <v>17</v>
      </c>
      <c r="B32" s="60" t="s">
        <v>47</v>
      </c>
      <c r="C32" s="61">
        <f t="shared" si="30"/>
        <v>122100</v>
      </c>
      <c r="D32" s="62">
        <v>0</v>
      </c>
      <c r="E32" s="62">
        <v>122100</v>
      </c>
      <c r="F32" s="62">
        <f ca="1">IFERROR(__xludf.DUMMYFUNCTION("IMPORTRANGE(""https://docs.google.com/spreadsheets/d/11923uPwbBZFjjGgGUA6NLw09EwE0CqkOc4q9oUmW1yo/edit?usp=sharing"",""อุทัยธานี!M35"")"),1720)</f>
        <v>1720</v>
      </c>
      <c r="G32" s="100">
        <f t="shared" ca="1" si="1"/>
        <v>1.4086814086814088</v>
      </c>
      <c r="H32" s="62">
        <v>1</v>
      </c>
      <c r="I32" s="62">
        <f ca="1">IFERROR(__xludf.DUMMYFUNCTION("IMPORTRANGE(""https://docs.google.com/spreadsheets/d/11923uPwbBZFjjGgGUA6NLw09EwE0CqkOc4q9oUmW1yo/edit?usp=sharing"",""อุทัยธานี!J43"")"),0)</f>
        <v>0</v>
      </c>
      <c r="J32" s="63">
        <f t="shared" ca="1" si="3"/>
        <v>0</v>
      </c>
      <c r="K32" s="62">
        <v>4</v>
      </c>
      <c r="L32" s="62">
        <f ca="1">IFERROR(__xludf.DUMMYFUNCTION("IMPORTRANGE(""https://docs.google.com/spreadsheets/d/11923uPwbBZFjjGgGUA6NLw09EwE0CqkOc4q9oUmW1yo/edit?usp=sharing"",""อุทัยธานี!J44"")"),0)</f>
        <v>0</v>
      </c>
      <c r="M32" s="63">
        <f t="shared" ca="1" si="4"/>
        <v>0</v>
      </c>
      <c r="N32" s="62">
        <f ca="1">IFERROR(__xludf.DUMMYFUNCTION("IMPORTRANGE(""https://docs.google.com/spreadsheets/d/11923uPwbBZFjjGgGUA6NLw09EwE0CqkOc4q9oUmW1yo/edit?usp=sharing"",""อุทัยธานี!J45"")"),0)</f>
        <v>0</v>
      </c>
      <c r="O32" s="63">
        <f t="shared" ca="1" si="5"/>
        <v>0</v>
      </c>
      <c r="P32" s="62">
        <f ca="1">IFERROR(__xludf.DUMMYFUNCTION("IMPORTRANGE(""https://docs.google.com/spreadsheets/d/11923uPwbBZFjjGgGUA6NLw09EwE0CqkOc4q9oUmW1yo/edit?usp=sharing"",""อุทัยธานี!J46"")"),0)</f>
        <v>0</v>
      </c>
      <c r="Q32" s="63">
        <f t="shared" ca="1" si="6"/>
        <v>0</v>
      </c>
      <c r="R32" s="62">
        <f ca="1">IFERROR(__xludf.DUMMYFUNCTION("IMPORTRANGE(""https://docs.google.com/spreadsheets/d/11923uPwbBZFjjGgGUA6NLw09EwE0CqkOc4q9oUmW1yo/edit?usp=sharing"",""อุทัยธานี!J47"")"),0)</f>
        <v>0</v>
      </c>
      <c r="S32" s="100">
        <f t="shared" ca="1" si="7"/>
        <v>0</v>
      </c>
      <c r="T32" s="62">
        <v>1</v>
      </c>
      <c r="U32" s="62">
        <f ca="1">IFERROR(__xludf.DUMMYFUNCTION("IMPORTRANGE(""https://docs.google.com/spreadsheets/d/11923uPwbBZFjjGgGUA6NLw09EwE0CqkOc4q9oUmW1yo/edit?usp=sharing"",""อุทัยธานี!J48"")"),0)</f>
        <v>0</v>
      </c>
      <c r="V32" s="100">
        <f t="shared" ca="1" si="9"/>
        <v>0</v>
      </c>
      <c r="W32" s="81"/>
      <c r="X32" s="81"/>
      <c r="Y32" s="81"/>
      <c r="Z32" s="81"/>
    </row>
    <row r="33" spans="1:26" ht="24" customHeight="1" x14ac:dyDescent="0.5">
      <c r="A33" s="568" t="s">
        <v>48</v>
      </c>
      <c r="B33" s="569"/>
      <c r="C33" s="66">
        <f t="shared" ref="C33:F33" si="31">SUM(C34:C53)</f>
        <v>1365880</v>
      </c>
      <c r="D33" s="66">
        <f t="shared" si="31"/>
        <v>0</v>
      </c>
      <c r="E33" s="66">
        <f t="shared" si="31"/>
        <v>1365880</v>
      </c>
      <c r="F33" s="66">
        <f t="shared" ca="1" si="31"/>
        <v>1960</v>
      </c>
      <c r="G33" s="101">
        <f t="shared" ca="1" si="1"/>
        <v>0.14349723255337218</v>
      </c>
      <c r="H33" s="66">
        <f t="shared" ref="H33:I33" si="32">SUM(H34:H53)</f>
        <v>11</v>
      </c>
      <c r="I33" s="66">
        <f t="shared" ca="1" si="32"/>
        <v>1</v>
      </c>
      <c r="J33" s="67">
        <f t="shared" ca="1" si="3"/>
        <v>9.0909090909090917</v>
      </c>
      <c r="K33" s="66">
        <f t="shared" ref="K33:L33" si="33">SUM(K34:K53)</f>
        <v>49</v>
      </c>
      <c r="L33" s="66">
        <f t="shared" ca="1" si="33"/>
        <v>0</v>
      </c>
      <c r="M33" s="67">
        <f t="shared" ca="1" si="4"/>
        <v>0</v>
      </c>
      <c r="N33" s="66">
        <f ca="1">SUM(N34:N53)</f>
        <v>0</v>
      </c>
      <c r="O33" s="67">
        <f t="shared" ca="1" si="5"/>
        <v>0</v>
      </c>
      <c r="P33" s="66">
        <f ca="1">SUM(P34:P53)</f>
        <v>0</v>
      </c>
      <c r="Q33" s="67">
        <f t="shared" ca="1" si="6"/>
        <v>0</v>
      </c>
      <c r="R33" s="66">
        <f ca="1">SUM(R34:R53)</f>
        <v>0</v>
      </c>
      <c r="S33" s="101">
        <f t="shared" ca="1" si="7"/>
        <v>0</v>
      </c>
      <c r="T33" s="66">
        <f t="shared" ref="T33:U33" si="34">SUM(T34:T53)</f>
        <v>13</v>
      </c>
      <c r="U33" s="66">
        <f t="shared" ca="1" si="34"/>
        <v>0</v>
      </c>
      <c r="V33" s="101">
        <f t="shared" ca="1" si="9"/>
        <v>0</v>
      </c>
      <c r="W33" s="81"/>
      <c r="X33" s="81"/>
      <c r="Y33" s="81"/>
      <c r="Z33" s="81"/>
    </row>
    <row r="34" spans="1:26" ht="24" customHeight="1" x14ac:dyDescent="0.5">
      <c r="A34" s="45">
        <v>1</v>
      </c>
      <c r="B34" s="46" t="s">
        <v>49</v>
      </c>
      <c r="C34" s="47">
        <f t="shared" ref="C34:C53" si="35">+D34+E34</f>
        <v>0</v>
      </c>
      <c r="D34" s="48">
        <v>0</v>
      </c>
      <c r="E34" s="48">
        <v>0</v>
      </c>
      <c r="F34" s="48">
        <f ca="1">IFERROR(__xludf.DUMMYFUNCTION("IMPORTRANGE(""https://docs.google.com/spreadsheets/d/1XL5vhW3sbDhbH9Cz0tuDiY8C3ctxq1tqvaCgkFb8cCA/edit?usp=sharing"",""กาฬสินธุ์!M35"")"),0)</f>
        <v>0</v>
      </c>
      <c r="G34" s="98">
        <f t="shared" si="1"/>
        <v>0</v>
      </c>
      <c r="H34" s="48">
        <v>0</v>
      </c>
      <c r="I34" s="48">
        <f ca="1">IFERROR(__xludf.DUMMYFUNCTION("IMPORTRANGE(""https://docs.google.com/spreadsheets/d/1XL5vhW3sbDhbH9Cz0tuDiY8C3ctxq1tqvaCgkFb8cCA/edit?usp=sharing"",""กาฬสินธุ์!J43"")"),0)</f>
        <v>0</v>
      </c>
      <c r="J34" s="50">
        <f t="shared" si="3"/>
        <v>0</v>
      </c>
      <c r="K34" s="48">
        <v>0</v>
      </c>
      <c r="L34" s="48">
        <f ca="1">IFERROR(__xludf.DUMMYFUNCTION("IMPORTRANGE(""https://docs.google.com/spreadsheets/d/1XL5vhW3sbDhbH9Cz0tuDiY8C3ctxq1tqvaCgkFb8cCA/edit?usp=sharing"",""กาฬสินธุ์!J44"")"),0)</f>
        <v>0</v>
      </c>
      <c r="M34" s="50">
        <f t="shared" si="4"/>
        <v>0</v>
      </c>
      <c r="N34" s="48">
        <f ca="1">IFERROR(__xludf.DUMMYFUNCTION("IMPORTRANGE(""https://docs.google.com/spreadsheets/d/1XL5vhW3sbDhbH9Cz0tuDiY8C3ctxq1tqvaCgkFb8cCA/edit?usp=sharing"",""กาฬสินธุ์!J45"")"),0)</f>
        <v>0</v>
      </c>
      <c r="O34" s="50">
        <f t="shared" si="5"/>
        <v>0</v>
      </c>
      <c r="P34" s="48">
        <f ca="1">IFERROR(__xludf.DUMMYFUNCTION("IMPORTRANGE(""https://docs.google.com/spreadsheets/d/1XL5vhW3sbDhbH9Cz0tuDiY8C3ctxq1tqvaCgkFb8cCA/edit?usp=sharing"",""กาฬสินธุ์!J46"")"),0)</f>
        <v>0</v>
      </c>
      <c r="Q34" s="50">
        <f t="shared" si="6"/>
        <v>0</v>
      </c>
      <c r="R34" s="48">
        <f ca="1">IFERROR(__xludf.DUMMYFUNCTION("IMPORTRANGE(""https://docs.google.com/spreadsheets/d/1XL5vhW3sbDhbH9Cz0tuDiY8C3ctxq1tqvaCgkFb8cCA/edit?usp=sharing"",""กาฬสินธุ์!J47"")"),0)</f>
        <v>0</v>
      </c>
      <c r="S34" s="98">
        <f t="shared" si="7"/>
        <v>0</v>
      </c>
      <c r="T34" s="48">
        <v>0</v>
      </c>
      <c r="U34" s="48">
        <f ca="1">IFERROR(__xludf.DUMMYFUNCTION("IMPORTRANGE(""https://docs.google.com/spreadsheets/d/1XL5vhW3sbDhbH9Cz0tuDiY8C3ctxq1tqvaCgkFb8cCA/edit?usp=sharing"",""กาฬสินธุ์!J48"")"),0)</f>
        <v>0</v>
      </c>
      <c r="V34" s="98">
        <f t="shared" si="9"/>
        <v>0</v>
      </c>
      <c r="W34" s="81"/>
      <c r="X34" s="81"/>
      <c r="Y34" s="81"/>
      <c r="Z34" s="81"/>
    </row>
    <row r="35" spans="1:26" ht="24" customHeight="1" x14ac:dyDescent="0.5">
      <c r="A35" s="52">
        <v>2</v>
      </c>
      <c r="B35" s="53" t="s">
        <v>50</v>
      </c>
      <c r="C35" s="54">
        <f t="shared" si="35"/>
        <v>122100</v>
      </c>
      <c r="D35" s="55">
        <v>0</v>
      </c>
      <c r="E35" s="55">
        <v>122100</v>
      </c>
      <c r="F35" s="55">
        <f ca="1">IFERROR(__xludf.DUMMYFUNCTION("IMPORTRANGE(""https://docs.google.com/spreadsheets/d/1XL5vhW3sbDhbH9Cz0tuDiY8C3ctxq1tqvaCgkFb8cCA/edit?usp=sharing"",""ขอนแก่น!M35"")"),0)</f>
        <v>0</v>
      </c>
      <c r="G35" s="99">
        <f t="shared" ca="1" si="1"/>
        <v>0</v>
      </c>
      <c r="H35" s="55">
        <v>1</v>
      </c>
      <c r="I35" s="55">
        <f ca="1">IFERROR(__xludf.DUMMYFUNCTION("IMPORTRANGE(""https://docs.google.com/spreadsheets/d/1XL5vhW3sbDhbH9Cz0tuDiY8C3ctxq1tqvaCgkFb8cCA/edit?usp=sharing"",""ขอนแก่น!J43"")"),0)</f>
        <v>0</v>
      </c>
      <c r="J35" s="56">
        <f t="shared" ca="1" si="3"/>
        <v>0</v>
      </c>
      <c r="K35" s="55">
        <v>4</v>
      </c>
      <c r="L35" s="55">
        <f ca="1">IFERROR(__xludf.DUMMYFUNCTION("IMPORTRANGE(""https://docs.google.com/spreadsheets/d/1XL5vhW3sbDhbH9Cz0tuDiY8C3ctxq1tqvaCgkFb8cCA/edit?usp=sharing"",""ขอนแก่น!J44"")"),0)</f>
        <v>0</v>
      </c>
      <c r="M35" s="56">
        <f t="shared" ca="1" si="4"/>
        <v>0</v>
      </c>
      <c r="N35" s="55">
        <f ca="1">IFERROR(__xludf.DUMMYFUNCTION("IMPORTRANGE(""https://docs.google.com/spreadsheets/d/1XL5vhW3sbDhbH9Cz0tuDiY8C3ctxq1tqvaCgkFb8cCA/edit?usp=sharing"",""ขอนแก่น!J45"")"),0)</f>
        <v>0</v>
      </c>
      <c r="O35" s="56">
        <f t="shared" ca="1" si="5"/>
        <v>0</v>
      </c>
      <c r="P35" s="55">
        <f ca="1">IFERROR(__xludf.DUMMYFUNCTION("IMPORTRANGE(""https://docs.google.com/spreadsheets/d/1XL5vhW3sbDhbH9Cz0tuDiY8C3ctxq1tqvaCgkFb8cCA/edit?usp=sharing"",""ขอนแก่น!J46"")"),0)</f>
        <v>0</v>
      </c>
      <c r="Q35" s="56">
        <f t="shared" ca="1" si="6"/>
        <v>0</v>
      </c>
      <c r="R35" s="55">
        <f ca="1">IFERROR(__xludf.DUMMYFUNCTION("IMPORTRANGE(""https://docs.google.com/spreadsheets/d/1XL5vhW3sbDhbH9Cz0tuDiY8C3ctxq1tqvaCgkFb8cCA/edit?usp=sharing"",""ขอนแก่น!J47"")"),0)</f>
        <v>0</v>
      </c>
      <c r="S35" s="99">
        <f t="shared" ca="1" si="7"/>
        <v>0</v>
      </c>
      <c r="T35" s="55">
        <v>1</v>
      </c>
      <c r="U35" s="55">
        <f ca="1">IFERROR(__xludf.DUMMYFUNCTION("IMPORTRANGE(""https://docs.google.com/spreadsheets/d/1XL5vhW3sbDhbH9Cz0tuDiY8C3ctxq1tqvaCgkFb8cCA/edit?usp=sharing"",""ขอนแก่น!J48"")"),0)</f>
        <v>0</v>
      </c>
      <c r="V35" s="99">
        <f t="shared" ca="1" si="9"/>
        <v>0</v>
      </c>
      <c r="W35" s="81"/>
      <c r="X35" s="81"/>
      <c r="Y35" s="81"/>
      <c r="Z35" s="81"/>
    </row>
    <row r="36" spans="1:26" ht="24" customHeight="1" x14ac:dyDescent="0.5">
      <c r="A36" s="52">
        <v>3</v>
      </c>
      <c r="B36" s="53" t="s">
        <v>51</v>
      </c>
      <c r="C36" s="54">
        <f t="shared" si="35"/>
        <v>0</v>
      </c>
      <c r="D36" s="55">
        <v>0</v>
      </c>
      <c r="E36" s="55">
        <v>0</v>
      </c>
      <c r="F36" s="55">
        <f ca="1">IFERROR(__xludf.DUMMYFUNCTION("IMPORTRANGE(""https://docs.google.com/spreadsheets/d/1XL5vhW3sbDhbH9Cz0tuDiY8C3ctxq1tqvaCgkFb8cCA/edit?usp=sharing"",""ชัยภูมิ!M35"")"),0)</f>
        <v>0</v>
      </c>
      <c r="G36" s="99">
        <f t="shared" si="1"/>
        <v>0</v>
      </c>
      <c r="H36" s="55">
        <v>0</v>
      </c>
      <c r="I36" s="55">
        <f ca="1">IFERROR(__xludf.DUMMYFUNCTION("IMPORTRANGE(""https://docs.google.com/spreadsheets/d/1XL5vhW3sbDhbH9Cz0tuDiY8C3ctxq1tqvaCgkFb8cCA/edit?usp=sharing"",""ชัยภูมิ!J43"")"),0)</f>
        <v>0</v>
      </c>
      <c r="J36" s="56">
        <f t="shared" si="3"/>
        <v>0</v>
      </c>
      <c r="K36" s="55">
        <v>0</v>
      </c>
      <c r="L36" s="55">
        <f ca="1">IFERROR(__xludf.DUMMYFUNCTION("IMPORTRANGE(""https://docs.google.com/spreadsheets/d/1XL5vhW3sbDhbH9Cz0tuDiY8C3ctxq1tqvaCgkFb8cCA/edit?usp=sharing"",""ชัยภูมิ!J44"")"),0)</f>
        <v>0</v>
      </c>
      <c r="M36" s="56">
        <f t="shared" si="4"/>
        <v>0</v>
      </c>
      <c r="N36" s="55">
        <f ca="1">IFERROR(__xludf.DUMMYFUNCTION("IMPORTRANGE(""https://docs.google.com/spreadsheets/d/1XL5vhW3sbDhbH9Cz0tuDiY8C3ctxq1tqvaCgkFb8cCA/edit?usp=sharing"",""ชัยภูมิ!J45"")"),0)</f>
        <v>0</v>
      </c>
      <c r="O36" s="56">
        <f t="shared" si="5"/>
        <v>0</v>
      </c>
      <c r="P36" s="55">
        <f ca="1">IFERROR(__xludf.DUMMYFUNCTION("IMPORTRANGE(""https://docs.google.com/spreadsheets/d/1XL5vhW3sbDhbH9Cz0tuDiY8C3ctxq1tqvaCgkFb8cCA/edit?usp=sharing"",""ชัยภูมิ!J46"")"),0)</f>
        <v>0</v>
      </c>
      <c r="Q36" s="56">
        <f t="shared" si="6"/>
        <v>0</v>
      </c>
      <c r="R36" s="55">
        <f ca="1">IFERROR(__xludf.DUMMYFUNCTION("IMPORTRANGE(""https://docs.google.com/spreadsheets/d/1XL5vhW3sbDhbH9Cz0tuDiY8C3ctxq1tqvaCgkFb8cCA/edit?usp=sharing"",""ชัยภูมิ!J47"")"),0)</f>
        <v>0</v>
      </c>
      <c r="S36" s="99">
        <f t="shared" si="7"/>
        <v>0</v>
      </c>
      <c r="T36" s="55">
        <v>0</v>
      </c>
      <c r="U36" s="55">
        <f ca="1">IFERROR(__xludf.DUMMYFUNCTION("IMPORTRANGE(""https://docs.google.com/spreadsheets/d/1XL5vhW3sbDhbH9Cz0tuDiY8C3ctxq1tqvaCgkFb8cCA/edit?usp=sharing"",""ชัยภูมิ!J48"")"),0)</f>
        <v>0</v>
      </c>
      <c r="V36" s="99">
        <f t="shared" si="9"/>
        <v>0</v>
      </c>
      <c r="W36" s="81"/>
      <c r="X36" s="81"/>
      <c r="Y36" s="81"/>
      <c r="Z36" s="81"/>
    </row>
    <row r="37" spans="1:26" ht="24" customHeight="1" x14ac:dyDescent="0.5">
      <c r="A37" s="52">
        <v>4</v>
      </c>
      <c r="B37" s="53" t="s">
        <v>52</v>
      </c>
      <c r="C37" s="54">
        <f t="shared" si="35"/>
        <v>122100</v>
      </c>
      <c r="D37" s="55">
        <v>0</v>
      </c>
      <c r="E37" s="55">
        <v>122100</v>
      </c>
      <c r="F37" s="55">
        <f ca="1">IFERROR(__xludf.DUMMYFUNCTION("IMPORTRANGE(""https://docs.google.com/spreadsheets/d/1XL5vhW3sbDhbH9Cz0tuDiY8C3ctxq1tqvaCgkFb8cCA/edit?usp=sharing"",""นครพนม!M35"")"),0)</f>
        <v>0</v>
      </c>
      <c r="G37" s="99">
        <f t="shared" ca="1" si="1"/>
        <v>0</v>
      </c>
      <c r="H37" s="55">
        <v>1</v>
      </c>
      <c r="I37" s="55">
        <f ca="1">IFERROR(__xludf.DUMMYFUNCTION("IMPORTRANGE(""https://docs.google.com/spreadsheets/d/1XL5vhW3sbDhbH9Cz0tuDiY8C3ctxq1tqvaCgkFb8cCA/edit?usp=sharing"",""นครพนม!J43"")"),0)</f>
        <v>0</v>
      </c>
      <c r="J37" s="56">
        <f t="shared" ca="1" si="3"/>
        <v>0</v>
      </c>
      <c r="K37" s="55">
        <v>4</v>
      </c>
      <c r="L37" s="55">
        <f ca="1">IFERROR(__xludf.DUMMYFUNCTION("IMPORTRANGE(""https://docs.google.com/spreadsheets/d/1XL5vhW3sbDhbH9Cz0tuDiY8C3ctxq1tqvaCgkFb8cCA/edit?usp=sharing"",""นครพนม!J44"")"),0)</f>
        <v>0</v>
      </c>
      <c r="M37" s="56">
        <f t="shared" ca="1" si="4"/>
        <v>0</v>
      </c>
      <c r="N37" s="55">
        <f ca="1">IFERROR(__xludf.DUMMYFUNCTION("IMPORTRANGE(""https://docs.google.com/spreadsheets/d/1XL5vhW3sbDhbH9Cz0tuDiY8C3ctxq1tqvaCgkFb8cCA/edit?usp=sharing"",""นครพนม!J45"")"),0)</f>
        <v>0</v>
      </c>
      <c r="O37" s="56">
        <f t="shared" ca="1" si="5"/>
        <v>0</v>
      </c>
      <c r="P37" s="55">
        <f ca="1">IFERROR(__xludf.DUMMYFUNCTION("IMPORTRANGE(""https://docs.google.com/spreadsheets/d/1XL5vhW3sbDhbH9Cz0tuDiY8C3ctxq1tqvaCgkFb8cCA/edit?usp=sharing"",""นครพนม!J46"")"),0)</f>
        <v>0</v>
      </c>
      <c r="Q37" s="56">
        <f t="shared" ca="1" si="6"/>
        <v>0</v>
      </c>
      <c r="R37" s="55">
        <f ca="1">IFERROR(__xludf.DUMMYFUNCTION("IMPORTRANGE(""https://docs.google.com/spreadsheets/d/1XL5vhW3sbDhbH9Cz0tuDiY8C3ctxq1tqvaCgkFb8cCA/edit?usp=sharing"",""นครพนม!J47"")"),0)</f>
        <v>0</v>
      </c>
      <c r="S37" s="99">
        <f t="shared" ca="1" si="7"/>
        <v>0</v>
      </c>
      <c r="T37" s="55">
        <v>1</v>
      </c>
      <c r="U37" s="55">
        <f ca="1">IFERROR(__xludf.DUMMYFUNCTION("IMPORTRANGE(""https://docs.google.com/spreadsheets/d/1XL5vhW3sbDhbH9Cz0tuDiY8C3ctxq1tqvaCgkFb8cCA/edit?usp=sharing"",""นครพนม!J48"")"),0)</f>
        <v>0</v>
      </c>
      <c r="V37" s="99">
        <f t="shared" ca="1" si="9"/>
        <v>0</v>
      </c>
      <c r="W37" s="81"/>
      <c r="X37" s="81"/>
      <c r="Y37" s="81"/>
      <c r="Z37" s="81"/>
    </row>
    <row r="38" spans="1:26" ht="24" customHeight="1" x14ac:dyDescent="0.5">
      <c r="A38" s="52">
        <v>5</v>
      </c>
      <c r="B38" s="53" t="s">
        <v>53</v>
      </c>
      <c r="C38" s="54">
        <f t="shared" si="35"/>
        <v>131980</v>
      </c>
      <c r="D38" s="55">
        <v>0</v>
      </c>
      <c r="E38" s="55">
        <v>131980</v>
      </c>
      <c r="F38" s="55">
        <f ca="1">IFERROR(__xludf.DUMMYFUNCTION("IMPORTRANGE(""https://docs.google.com/spreadsheets/d/1XL5vhW3sbDhbH9Cz0tuDiY8C3ctxq1tqvaCgkFb8cCA/edit?usp=sharing"",""นครราชสีมา!M35"")"),0)</f>
        <v>0</v>
      </c>
      <c r="G38" s="99">
        <f t="shared" ca="1" si="1"/>
        <v>0</v>
      </c>
      <c r="H38" s="55">
        <v>1</v>
      </c>
      <c r="I38" s="55">
        <f ca="1">IFERROR(__xludf.DUMMYFUNCTION("IMPORTRANGE(""https://docs.google.com/spreadsheets/d/1XL5vhW3sbDhbH9Cz0tuDiY8C3ctxq1tqvaCgkFb8cCA/edit?usp=sharing"",""นครราชสีมา!J43"")"),1)</f>
        <v>1</v>
      </c>
      <c r="J38" s="56">
        <f t="shared" ca="1" si="3"/>
        <v>100</v>
      </c>
      <c r="K38" s="55">
        <v>6</v>
      </c>
      <c r="L38" s="55">
        <v>0</v>
      </c>
      <c r="M38" s="56">
        <f t="shared" si="4"/>
        <v>0</v>
      </c>
      <c r="N38" s="55">
        <v>0</v>
      </c>
      <c r="O38" s="56">
        <f t="shared" si="5"/>
        <v>0</v>
      </c>
      <c r="P38" s="55">
        <f ca="1">IFERROR(__xludf.DUMMYFUNCTION("IMPORTRANGE(""https://docs.google.com/spreadsheets/d/1XL5vhW3sbDhbH9Cz0tuDiY8C3ctxq1tqvaCgkFb8cCA/edit?usp=sharing"",""นครราชสีมา!J46"")"),0)</f>
        <v>0</v>
      </c>
      <c r="Q38" s="56">
        <f t="shared" ca="1" si="6"/>
        <v>0</v>
      </c>
      <c r="R38" s="55">
        <f ca="1">IFERROR(__xludf.DUMMYFUNCTION("IMPORTRANGE(""https://docs.google.com/spreadsheets/d/1XL5vhW3sbDhbH9Cz0tuDiY8C3ctxq1tqvaCgkFb8cCA/edit?usp=sharing"",""นครราชสีมา!J47"")"),0)</f>
        <v>0</v>
      </c>
      <c r="S38" s="99">
        <f t="shared" ca="1" si="7"/>
        <v>0</v>
      </c>
      <c r="T38" s="55">
        <v>2</v>
      </c>
      <c r="U38" s="55">
        <f ca="1">IFERROR(__xludf.DUMMYFUNCTION("IMPORTRANGE(""https://docs.google.com/spreadsheets/d/1XL5vhW3sbDhbH9Cz0tuDiY8C3ctxq1tqvaCgkFb8cCA/edit?usp=sharing"",""นครราชสีมา!J48"")"),0)</f>
        <v>0</v>
      </c>
      <c r="V38" s="99">
        <f t="shared" ca="1" si="9"/>
        <v>0</v>
      </c>
      <c r="W38" s="81"/>
      <c r="X38" s="81"/>
      <c r="Y38" s="81"/>
      <c r="Z38" s="81"/>
    </row>
    <row r="39" spans="1:26" ht="24" customHeight="1" x14ac:dyDescent="0.5">
      <c r="A39" s="52">
        <v>6</v>
      </c>
      <c r="B39" s="53" t="s">
        <v>54</v>
      </c>
      <c r="C39" s="54">
        <f t="shared" si="35"/>
        <v>122100</v>
      </c>
      <c r="D39" s="55">
        <v>0</v>
      </c>
      <c r="E39" s="55">
        <v>122100</v>
      </c>
      <c r="F39" s="55">
        <f ca="1">IFERROR(__xludf.DUMMYFUNCTION("IMPORTRANGE(""https://docs.google.com/spreadsheets/d/1XL5vhW3sbDhbH9Cz0tuDiY8C3ctxq1tqvaCgkFb8cCA/edit?usp=sharing"",""บึงกาฬ!M35"")"),0)</f>
        <v>0</v>
      </c>
      <c r="G39" s="99">
        <f t="shared" ca="1" si="1"/>
        <v>0</v>
      </c>
      <c r="H39" s="55">
        <v>1</v>
      </c>
      <c r="I39" s="55">
        <f ca="1">IFERROR(__xludf.DUMMYFUNCTION("IMPORTRANGE(""https://docs.google.com/spreadsheets/d/1XL5vhW3sbDhbH9Cz0tuDiY8C3ctxq1tqvaCgkFb8cCA/edit?usp=sharing"",""บึงกาฬ!J43"")"),0)</f>
        <v>0</v>
      </c>
      <c r="J39" s="56">
        <f t="shared" ca="1" si="3"/>
        <v>0</v>
      </c>
      <c r="K39" s="55">
        <v>4</v>
      </c>
      <c r="L39" s="55">
        <f ca="1">IFERROR(__xludf.DUMMYFUNCTION("IMPORTRANGE(""https://docs.google.com/spreadsheets/d/1XL5vhW3sbDhbH9Cz0tuDiY8C3ctxq1tqvaCgkFb8cCA/edit?usp=sharing"",""บึงกาฬ!J44"")"),0)</f>
        <v>0</v>
      </c>
      <c r="M39" s="56">
        <f t="shared" ca="1" si="4"/>
        <v>0</v>
      </c>
      <c r="N39" s="55">
        <f ca="1">IFERROR(__xludf.DUMMYFUNCTION("IMPORTRANGE(""https://docs.google.com/spreadsheets/d/1XL5vhW3sbDhbH9Cz0tuDiY8C3ctxq1tqvaCgkFb8cCA/edit?usp=sharing"",""บึงกาฬ!J45"")"),0)</f>
        <v>0</v>
      </c>
      <c r="O39" s="56">
        <f t="shared" ca="1" si="5"/>
        <v>0</v>
      </c>
      <c r="P39" s="55">
        <f ca="1">IFERROR(__xludf.DUMMYFUNCTION("IMPORTRANGE(""https://docs.google.com/spreadsheets/d/1XL5vhW3sbDhbH9Cz0tuDiY8C3ctxq1tqvaCgkFb8cCA/edit?usp=sharing"",""บึงกาฬ!J46"")"),0)</f>
        <v>0</v>
      </c>
      <c r="Q39" s="56">
        <f t="shared" ca="1" si="6"/>
        <v>0</v>
      </c>
      <c r="R39" s="55">
        <f ca="1">IFERROR(__xludf.DUMMYFUNCTION("IMPORTRANGE(""https://docs.google.com/spreadsheets/d/1XL5vhW3sbDhbH9Cz0tuDiY8C3ctxq1tqvaCgkFb8cCA/edit?usp=sharing"",""บึงกาฬ!J47"")"),0)</f>
        <v>0</v>
      </c>
      <c r="S39" s="99">
        <f t="shared" ca="1" si="7"/>
        <v>0</v>
      </c>
      <c r="T39" s="55">
        <v>1</v>
      </c>
      <c r="U39" s="55">
        <f ca="1">IFERROR(__xludf.DUMMYFUNCTION("IMPORTRANGE(""https://docs.google.com/spreadsheets/d/1XL5vhW3sbDhbH9Cz0tuDiY8C3ctxq1tqvaCgkFb8cCA/edit?usp=sharing"",""บึงกาฬ!J48"")"),0)</f>
        <v>0</v>
      </c>
      <c r="V39" s="99">
        <f t="shared" ca="1" si="9"/>
        <v>0</v>
      </c>
      <c r="W39" s="81"/>
      <c r="X39" s="81"/>
      <c r="Y39" s="81"/>
      <c r="Z39" s="81"/>
    </row>
    <row r="40" spans="1:26" ht="24" customHeight="1" x14ac:dyDescent="0.5">
      <c r="A40" s="52">
        <v>7</v>
      </c>
      <c r="B40" s="53" t="s">
        <v>55</v>
      </c>
      <c r="C40" s="54">
        <f t="shared" si="35"/>
        <v>0</v>
      </c>
      <c r="D40" s="55">
        <v>0</v>
      </c>
      <c r="E40" s="55">
        <v>0</v>
      </c>
      <c r="F40" s="55">
        <f ca="1">IFERROR(__xludf.DUMMYFUNCTION("IMPORTRANGE(""https://docs.google.com/spreadsheets/d/1XL5vhW3sbDhbH9Cz0tuDiY8C3ctxq1tqvaCgkFb8cCA/edit?usp=sharing"",""บุรีรัมย์!M35"")"),0)</f>
        <v>0</v>
      </c>
      <c r="G40" s="99">
        <f t="shared" si="1"/>
        <v>0</v>
      </c>
      <c r="H40" s="55">
        <v>0</v>
      </c>
      <c r="I40" s="55">
        <f ca="1">IFERROR(__xludf.DUMMYFUNCTION("IMPORTRANGE(""https://docs.google.com/spreadsheets/d/1XL5vhW3sbDhbH9Cz0tuDiY8C3ctxq1tqvaCgkFb8cCA/edit?usp=sharing"",""บุรีรัมย์!J43"")"),0)</f>
        <v>0</v>
      </c>
      <c r="J40" s="56">
        <f t="shared" si="3"/>
        <v>0</v>
      </c>
      <c r="K40" s="55">
        <v>0</v>
      </c>
      <c r="L40" s="55">
        <f ca="1">IFERROR(__xludf.DUMMYFUNCTION("IMPORTRANGE(""https://docs.google.com/spreadsheets/d/1XL5vhW3sbDhbH9Cz0tuDiY8C3ctxq1tqvaCgkFb8cCA/edit?usp=sharing"",""บุรีรัมย์!J44"")"),0)</f>
        <v>0</v>
      </c>
      <c r="M40" s="56">
        <f t="shared" si="4"/>
        <v>0</v>
      </c>
      <c r="N40" s="55">
        <f ca="1">IFERROR(__xludf.DUMMYFUNCTION("IMPORTRANGE(""https://docs.google.com/spreadsheets/d/1XL5vhW3sbDhbH9Cz0tuDiY8C3ctxq1tqvaCgkFb8cCA/edit?usp=sharing"",""บุรีรัมย์!J45"")"),0)</f>
        <v>0</v>
      </c>
      <c r="O40" s="56">
        <f t="shared" si="5"/>
        <v>0</v>
      </c>
      <c r="P40" s="55">
        <f ca="1">IFERROR(__xludf.DUMMYFUNCTION("IMPORTRANGE(""https://docs.google.com/spreadsheets/d/1XL5vhW3sbDhbH9Cz0tuDiY8C3ctxq1tqvaCgkFb8cCA/edit?usp=sharing"",""บุรีรัมย์!J46"")"),0)</f>
        <v>0</v>
      </c>
      <c r="Q40" s="56">
        <f t="shared" si="6"/>
        <v>0</v>
      </c>
      <c r="R40" s="55">
        <f ca="1">IFERROR(__xludf.DUMMYFUNCTION("IMPORTRANGE(""https://docs.google.com/spreadsheets/d/1XL5vhW3sbDhbH9Cz0tuDiY8C3ctxq1tqvaCgkFb8cCA/edit?usp=sharing"",""บุรีรัมย์!J47"")"),0)</f>
        <v>0</v>
      </c>
      <c r="S40" s="99">
        <f t="shared" si="7"/>
        <v>0</v>
      </c>
      <c r="T40" s="55">
        <v>0</v>
      </c>
      <c r="U40" s="55">
        <f ca="1">IFERROR(__xludf.DUMMYFUNCTION("IMPORTRANGE(""https://docs.google.com/spreadsheets/d/1XL5vhW3sbDhbH9Cz0tuDiY8C3ctxq1tqvaCgkFb8cCA/edit?usp=sharing"",""บุรีรัมย์!J48"")"),0)</f>
        <v>0</v>
      </c>
      <c r="V40" s="99">
        <f t="shared" si="9"/>
        <v>0</v>
      </c>
      <c r="W40" s="81"/>
      <c r="X40" s="81"/>
      <c r="Y40" s="81"/>
      <c r="Z40" s="81"/>
    </row>
    <row r="41" spans="1:26" ht="24" customHeight="1" x14ac:dyDescent="0.5">
      <c r="A41" s="52">
        <v>8</v>
      </c>
      <c r="B41" s="53" t="s">
        <v>56</v>
      </c>
      <c r="C41" s="54">
        <f t="shared" si="35"/>
        <v>122100</v>
      </c>
      <c r="D41" s="55">
        <v>0</v>
      </c>
      <c r="E41" s="55">
        <v>122100</v>
      </c>
      <c r="F41" s="55">
        <f ca="1">IFERROR(__xludf.DUMMYFUNCTION("IMPORTRANGE(""https://docs.google.com/spreadsheets/d/1XL5vhW3sbDhbH9Cz0tuDiY8C3ctxq1tqvaCgkFb8cCA/edit?usp=sharing"",""มหาสารคาม!M35"")"),1960)</f>
        <v>1960</v>
      </c>
      <c r="G41" s="99">
        <f t="shared" ca="1" si="1"/>
        <v>1.6052416052416052</v>
      </c>
      <c r="H41" s="55">
        <v>1</v>
      </c>
      <c r="I41" s="55">
        <f ca="1">IFERROR(__xludf.DUMMYFUNCTION("IMPORTRANGE(""https://docs.google.com/spreadsheets/d/1XL5vhW3sbDhbH9Cz0tuDiY8C3ctxq1tqvaCgkFb8cCA/edit?usp=sharing"",""มหาสารคาม!J43"")"),0)</f>
        <v>0</v>
      </c>
      <c r="J41" s="56">
        <f t="shared" ca="1" si="3"/>
        <v>0</v>
      </c>
      <c r="K41" s="55">
        <v>4</v>
      </c>
      <c r="L41" s="55">
        <f ca="1">IFERROR(__xludf.DUMMYFUNCTION("IMPORTRANGE(""https://docs.google.com/spreadsheets/d/1XL5vhW3sbDhbH9Cz0tuDiY8C3ctxq1tqvaCgkFb8cCA/edit?usp=sharing"",""มหาสารคาม!J44"")"),0)</f>
        <v>0</v>
      </c>
      <c r="M41" s="56">
        <f t="shared" ca="1" si="4"/>
        <v>0</v>
      </c>
      <c r="N41" s="55">
        <f ca="1">IFERROR(__xludf.DUMMYFUNCTION("IMPORTRANGE(""https://docs.google.com/spreadsheets/d/1XL5vhW3sbDhbH9Cz0tuDiY8C3ctxq1tqvaCgkFb8cCA/edit?usp=sharing"",""มหาสารคาม!J45"")"),0)</f>
        <v>0</v>
      </c>
      <c r="O41" s="56">
        <f t="shared" ca="1" si="5"/>
        <v>0</v>
      </c>
      <c r="P41" s="55">
        <f ca="1">IFERROR(__xludf.DUMMYFUNCTION("IMPORTRANGE(""https://docs.google.com/spreadsheets/d/1XL5vhW3sbDhbH9Cz0tuDiY8C3ctxq1tqvaCgkFb8cCA/edit?usp=sharing"",""มหาสารคาม!J46"")"),0)</f>
        <v>0</v>
      </c>
      <c r="Q41" s="56">
        <f t="shared" ca="1" si="6"/>
        <v>0</v>
      </c>
      <c r="R41" s="55">
        <f ca="1">IFERROR(__xludf.DUMMYFUNCTION("IMPORTRANGE(""https://docs.google.com/spreadsheets/d/1XL5vhW3sbDhbH9Cz0tuDiY8C3ctxq1tqvaCgkFb8cCA/edit?usp=sharing"",""มหาสารคาม!J47"")"),0)</f>
        <v>0</v>
      </c>
      <c r="S41" s="99">
        <f t="shared" ca="1" si="7"/>
        <v>0</v>
      </c>
      <c r="T41" s="55">
        <v>1</v>
      </c>
      <c r="U41" s="55">
        <f ca="1">IFERROR(__xludf.DUMMYFUNCTION("IMPORTRANGE(""https://docs.google.com/spreadsheets/d/1XL5vhW3sbDhbH9Cz0tuDiY8C3ctxq1tqvaCgkFb8cCA/edit?usp=sharing"",""มหาสารคาม!J48"")"),0)</f>
        <v>0</v>
      </c>
      <c r="V41" s="99">
        <f t="shared" ca="1" si="9"/>
        <v>0</v>
      </c>
      <c r="W41" s="81"/>
      <c r="X41" s="81"/>
      <c r="Y41" s="81"/>
      <c r="Z41" s="81"/>
    </row>
    <row r="42" spans="1:26" ht="24" customHeight="1" x14ac:dyDescent="0.5">
      <c r="A42" s="52">
        <v>9</v>
      </c>
      <c r="B42" s="53" t="s">
        <v>57</v>
      </c>
      <c r="C42" s="54">
        <f t="shared" si="35"/>
        <v>122100</v>
      </c>
      <c r="D42" s="55">
        <v>0</v>
      </c>
      <c r="E42" s="55">
        <v>122100</v>
      </c>
      <c r="F42" s="55">
        <f ca="1">IFERROR(__xludf.DUMMYFUNCTION("IMPORTRANGE(""https://docs.google.com/spreadsheets/d/1XL5vhW3sbDhbH9Cz0tuDiY8C3ctxq1tqvaCgkFb8cCA/edit?usp=sharing"",""มุกดาหาร!M35"")"),0)</f>
        <v>0</v>
      </c>
      <c r="G42" s="99">
        <f t="shared" ca="1" si="1"/>
        <v>0</v>
      </c>
      <c r="H42" s="55">
        <v>1</v>
      </c>
      <c r="I42" s="55">
        <f ca="1">IFERROR(__xludf.DUMMYFUNCTION("IMPORTRANGE(""https://docs.google.com/spreadsheets/d/1XL5vhW3sbDhbH9Cz0tuDiY8C3ctxq1tqvaCgkFb8cCA/edit?usp=sharing"",""มุกดาหาร!J43"")"),0)</f>
        <v>0</v>
      </c>
      <c r="J42" s="56">
        <f t="shared" ca="1" si="3"/>
        <v>0</v>
      </c>
      <c r="K42" s="55">
        <v>4</v>
      </c>
      <c r="L42" s="55">
        <f ca="1">IFERROR(__xludf.DUMMYFUNCTION("IMPORTRANGE(""https://docs.google.com/spreadsheets/d/1XL5vhW3sbDhbH9Cz0tuDiY8C3ctxq1tqvaCgkFb8cCA/edit?usp=sharing"",""มุกดาหาร!J44"")"),0)</f>
        <v>0</v>
      </c>
      <c r="M42" s="56">
        <f t="shared" ca="1" si="4"/>
        <v>0</v>
      </c>
      <c r="N42" s="55">
        <f ca="1">IFERROR(__xludf.DUMMYFUNCTION("IMPORTRANGE(""https://docs.google.com/spreadsheets/d/1XL5vhW3sbDhbH9Cz0tuDiY8C3ctxq1tqvaCgkFb8cCA/edit?usp=sharing"",""มุกดาหาร!J45"")"),0)</f>
        <v>0</v>
      </c>
      <c r="O42" s="56">
        <f t="shared" ca="1" si="5"/>
        <v>0</v>
      </c>
      <c r="P42" s="55">
        <f ca="1">IFERROR(__xludf.DUMMYFUNCTION("IMPORTRANGE(""https://docs.google.com/spreadsheets/d/1XL5vhW3sbDhbH9Cz0tuDiY8C3ctxq1tqvaCgkFb8cCA/edit?usp=sharing"",""มุกดาหาร!J46"")"),0)</f>
        <v>0</v>
      </c>
      <c r="Q42" s="56">
        <f t="shared" ca="1" si="6"/>
        <v>0</v>
      </c>
      <c r="R42" s="55">
        <f ca="1">IFERROR(__xludf.DUMMYFUNCTION("IMPORTRANGE(""https://docs.google.com/spreadsheets/d/1XL5vhW3sbDhbH9Cz0tuDiY8C3ctxq1tqvaCgkFb8cCA/edit?usp=sharing"",""มุกดาหาร!J47"")"),0)</f>
        <v>0</v>
      </c>
      <c r="S42" s="99">
        <f t="shared" ca="1" si="7"/>
        <v>0</v>
      </c>
      <c r="T42" s="55">
        <v>1</v>
      </c>
      <c r="U42" s="55">
        <f ca="1">IFERROR(__xludf.DUMMYFUNCTION("IMPORTRANGE(""https://docs.google.com/spreadsheets/d/1XL5vhW3sbDhbH9Cz0tuDiY8C3ctxq1tqvaCgkFb8cCA/edit?usp=sharing"",""มุกดาหาร!J48"")"),0)</f>
        <v>0</v>
      </c>
      <c r="V42" s="99">
        <f t="shared" ca="1" si="9"/>
        <v>0</v>
      </c>
      <c r="W42" s="81"/>
      <c r="X42" s="81"/>
      <c r="Y42" s="81"/>
      <c r="Z42" s="81"/>
    </row>
    <row r="43" spans="1:26" ht="24" customHeight="1" x14ac:dyDescent="0.5">
      <c r="A43" s="52">
        <v>10</v>
      </c>
      <c r="B43" s="53" t="s">
        <v>58</v>
      </c>
      <c r="C43" s="54">
        <f t="shared" si="35"/>
        <v>122100</v>
      </c>
      <c r="D43" s="55">
        <v>0</v>
      </c>
      <c r="E43" s="55">
        <v>122100</v>
      </c>
      <c r="F43" s="55">
        <f ca="1">IFERROR(__xludf.DUMMYFUNCTION("IMPORTRANGE(""https://docs.google.com/spreadsheets/d/1XL5vhW3sbDhbH9Cz0tuDiY8C3ctxq1tqvaCgkFb8cCA/edit?usp=sharing"",""ยโสธร!M35"")"),0)</f>
        <v>0</v>
      </c>
      <c r="G43" s="99">
        <f t="shared" ca="1" si="1"/>
        <v>0</v>
      </c>
      <c r="H43" s="55">
        <v>1</v>
      </c>
      <c r="I43" s="55">
        <f ca="1">IFERROR(__xludf.DUMMYFUNCTION("IMPORTRANGE(""https://docs.google.com/spreadsheets/d/1XL5vhW3sbDhbH9Cz0tuDiY8C3ctxq1tqvaCgkFb8cCA/edit?usp=sharing"",""ยโสธร!J43"")"),0)</f>
        <v>0</v>
      </c>
      <c r="J43" s="56">
        <f t="shared" ca="1" si="3"/>
        <v>0</v>
      </c>
      <c r="K43" s="55">
        <v>4</v>
      </c>
      <c r="L43" s="55">
        <f ca="1">IFERROR(__xludf.DUMMYFUNCTION("IMPORTRANGE(""https://docs.google.com/spreadsheets/d/1XL5vhW3sbDhbH9Cz0tuDiY8C3ctxq1tqvaCgkFb8cCA/edit?usp=sharing"",""ยโสธร!J44"")"),0)</f>
        <v>0</v>
      </c>
      <c r="M43" s="56">
        <f t="shared" ca="1" si="4"/>
        <v>0</v>
      </c>
      <c r="N43" s="55">
        <f ca="1">IFERROR(__xludf.DUMMYFUNCTION("IMPORTRANGE(""https://docs.google.com/spreadsheets/d/1XL5vhW3sbDhbH9Cz0tuDiY8C3ctxq1tqvaCgkFb8cCA/edit?usp=sharing"",""ยโสธร!J45"")"),0)</f>
        <v>0</v>
      </c>
      <c r="O43" s="56">
        <f t="shared" ca="1" si="5"/>
        <v>0</v>
      </c>
      <c r="P43" s="55">
        <f ca="1">IFERROR(__xludf.DUMMYFUNCTION("IMPORTRANGE(""https://docs.google.com/spreadsheets/d/1XL5vhW3sbDhbH9Cz0tuDiY8C3ctxq1tqvaCgkFb8cCA/edit?usp=sharing"",""ยโสธร!J46"")"),0)</f>
        <v>0</v>
      </c>
      <c r="Q43" s="56">
        <f t="shared" ca="1" si="6"/>
        <v>0</v>
      </c>
      <c r="R43" s="55">
        <f ca="1">IFERROR(__xludf.DUMMYFUNCTION("IMPORTRANGE(""https://docs.google.com/spreadsheets/d/1XL5vhW3sbDhbH9Cz0tuDiY8C3ctxq1tqvaCgkFb8cCA/edit?usp=sharing"",""ยโสธร!J47"")"),0)</f>
        <v>0</v>
      </c>
      <c r="S43" s="99">
        <f t="shared" ca="1" si="7"/>
        <v>0</v>
      </c>
      <c r="T43" s="55">
        <v>1</v>
      </c>
      <c r="U43" s="55">
        <f ca="1">IFERROR(__xludf.DUMMYFUNCTION("IMPORTRANGE(""https://docs.google.com/spreadsheets/d/1XL5vhW3sbDhbH9Cz0tuDiY8C3ctxq1tqvaCgkFb8cCA/edit?usp=sharing"",""ยโสธร!J48"")"),0)</f>
        <v>0</v>
      </c>
      <c r="V43" s="99">
        <f t="shared" ca="1" si="9"/>
        <v>0</v>
      </c>
      <c r="W43" s="81"/>
      <c r="X43" s="81"/>
      <c r="Y43" s="81"/>
      <c r="Z43" s="81"/>
    </row>
    <row r="44" spans="1:26" ht="24" customHeight="1" x14ac:dyDescent="0.5">
      <c r="A44" s="52">
        <v>11</v>
      </c>
      <c r="B44" s="53" t="s">
        <v>59</v>
      </c>
      <c r="C44" s="54">
        <f t="shared" si="35"/>
        <v>0</v>
      </c>
      <c r="D44" s="55">
        <v>0</v>
      </c>
      <c r="E44" s="55">
        <v>0</v>
      </c>
      <c r="F44" s="55">
        <f ca="1">IFERROR(__xludf.DUMMYFUNCTION("IMPORTRANGE(""https://docs.google.com/spreadsheets/d/1XL5vhW3sbDhbH9Cz0tuDiY8C3ctxq1tqvaCgkFb8cCA/edit?usp=sharing"",""ร้อยเอ็ด!M35"")"),0)</f>
        <v>0</v>
      </c>
      <c r="G44" s="99">
        <f t="shared" si="1"/>
        <v>0</v>
      </c>
      <c r="H44" s="55">
        <v>0</v>
      </c>
      <c r="I44" s="55">
        <f ca="1">IFERROR(__xludf.DUMMYFUNCTION("IMPORTRANGE(""https://docs.google.com/spreadsheets/d/1XL5vhW3sbDhbH9Cz0tuDiY8C3ctxq1tqvaCgkFb8cCA/edit?usp=sharing"",""ร้อยเอ็ด!J43"")"),0)</f>
        <v>0</v>
      </c>
      <c r="J44" s="56">
        <f t="shared" si="3"/>
        <v>0</v>
      </c>
      <c r="K44" s="55">
        <v>0</v>
      </c>
      <c r="L44" s="55">
        <f ca="1">IFERROR(__xludf.DUMMYFUNCTION("IMPORTRANGE(""https://docs.google.com/spreadsheets/d/1XL5vhW3sbDhbH9Cz0tuDiY8C3ctxq1tqvaCgkFb8cCA/edit?usp=sharing"",""ร้อยเอ็ด!J44"")"),0)</f>
        <v>0</v>
      </c>
      <c r="M44" s="56">
        <f t="shared" si="4"/>
        <v>0</v>
      </c>
      <c r="N44" s="55">
        <f ca="1">IFERROR(__xludf.DUMMYFUNCTION("IMPORTRANGE(""https://docs.google.com/spreadsheets/d/1XL5vhW3sbDhbH9Cz0tuDiY8C3ctxq1tqvaCgkFb8cCA/edit?usp=sharing"",""ร้อยเอ็ด!J45"")"),0)</f>
        <v>0</v>
      </c>
      <c r="O44" s="56">
        <f t="shared" si="5"/>
        <v>0</v>
      </c>
      <c r="P44" s="55">
        <f ca="1">IFERROR(__xludf.DUMMYFUNCTION("IMPORTRANGE(""https://docs.google.com/spreadsheets/d/1XL5vhW3sbDhbH9Cz0tuDiY8C3ctxq1tqvaCgkFb8cCA/edit?usp=sharing"",""ร้อยเอ็ด!J46"")"),0)</f>
        <v>0</v>
      </c>
      <c r="Q44" s="56">
        <f t="shared" si="6"/>
        <v>0</v>
      </c>
      <c r="R44" s="55">
        <f ca="1">IFERROR(__xludf.DUMMYFUNCTION("IMPORTRANGE(""https://docs.google.com/spreadsheets/d/1XL5vhW3sbDhbH9Cz0tuDiY8C3ctxq1tqvaCgkFb8cCA/edit?usp=sharing"",""ร้อยเอ็ด!J47"")"),0)</f>
        <v>0</v>
      </c>
      <c r="S44" s="99">
        <f t="shared" si="7"/>
        <v>0</v>
      </c>
      <c r="T44" s="55">
        <v>0</v>
      </c>
      <c r="U44" s="55">
        <f ca="1">IFERROR(__xludf.DUMMYFUNCTION("IMPORTRANGE(""https://docs.google.com/spreadsheets/d/1XL5vhW3sbDhbH9Cz0tuDiY8C3ctxq1tqvaCgkFb8cCA/edit?usp=sharing"",""ร้อยเอ็ด!J48"")"),0)</f>
        <v>0</v>
      </c>
      <c r="V44" s="99">
        <f t="shared" si="9"/>
        <v>0</v>
      </c>
      <c r="W44" s="81"/>
      <c r="X44" s="81"/>
      <c r="Y44" s="81"/>
      <c r="Z44" s="81"/>
    </row>
    <row r="45" spans="1:26" ht="24" customHeight="1" x14ac:dyDescent="0.5">
      <c r="A45" s="52">
        <v>12</v>
      </c>
      <c r="B45" s="53" t="s">
        <v>60</v>
      </c>
      <c r="C45" s="54">
        <f t="shared" si="35"/>
        <v>122100</v>
      </c>
      <c r="D45" s="55">
        <v>0</v>
      </c>
      <c r="E45" s="55">
        <v>122100</v>
      </c>
      <c r="F45" s="55">
        <f ca="1">IFERROR(__xludf.DUMMYFUNCTION("IMPORTRANGE(""https://docs.google.com/spreadsheets/d/1XL5vhW3sbDhbH9Cz0tuDiY8C3ctxq1tqvaCgkFb8cCA/edit?usp=sharing"",""เลย!M35"")"),0)</f>
        <v>0</v>
      </c>
      <c r="G45" s="99">
        <f t="shared" ca="1" si="1"/>
        <v>0</v>
      </c>
      <c r="H45" s="55">
        <v>1</v>
      </c>
      <c r="I45" s="55">
        <f ca="1">IFERROR(__xludf.DUMMYFUNCTION("IMPORTRANGE(""https://docs.google.com/spreadsheets/d/1XL5vhW3sbDhbH9Cz0tuDiY8C3ctxq1tqvaCgkFb8cCA/edit?usp=sharing"",""เลย!J43"")"),0)</f>
        <v>0</v>
      </c>
      <c r="J45" s="56">
        <f t="shared" ca="1" si="3"/>
        <v>0</v>
      </c>
      <c r="K45" s="55">
        <v>4</v>
      </c>
      <c r="L45" s="55">
        <f ca="1">IFERROR(__xludf.DUMMYFUNCTION("IMPORTRANGE(""https://docs.google.com/spreadsheets/d/1XL5vhW3sbDhbH9Cz0tuDiY8C3ctxq1tqvaCgkFb8cCA/edit?usp=sharing"",""เลย!J44"")"),0)</f>
        <v>0</v>
      </c>
      <c r="M45" s="56">
        <f t="shared" ca="1" si="4"/>
        <v>0</v>
      </c>
      <c r="N45" s="55">
        <f ca="1">IFERROR(__xludf.DUMMYFUNCTION("IMPORTRANGE(""https://docs.google.com/spreadsheets/d/1XL5vhW3sbDhbH9Cz0tuDiY8C3ctxq1tqvaCgkFb8cCA/edit?usp=sharing"",""เลย!J45"")"),0)</f>
        <v>0</v>
      </c>
      <c r="O45" s="56">
        <f t="shared" ca="1" si="5"/>
        <v>0</v>
      </c>
      <c r="P45" s="55">
        <f ca="1">IFERROR(__xludf.DUMMYFUNCTION("IMPORTRANGE(""https://docs.google.com/spreadsheets/d/1XL5vhW3sbDhbH9Cz0tuDiY8C3ctxq1tqvaCgkFb8cCA/edit?usp=sharing"",""เลย!J46"")"),0)</f>
        <v>0</v>
      </c>
      <c r="Q45" s="56">
        <f t="shared" ca="1" si="6"/>
        <v>0</v>
      </c>
      <c r="R45" s="55">
        <f ca="1">IFERROR(__xludf.DUMMYFUNCTION("IMPORTRANGE(""https://docs.google.com/spreadsheets/d/1XL5vhW3sbDhbH9Cz0tuDiY8C3ctxq1tqvaCgkFb8cCA/edit?usp=sharing"",""เลย!J47"")"),0)</f>
        <v>0</v>
      </c>
      <c r="S45" s="99">
        <f t="shared" ca="1" si="7"/>
        <v>0</v>
      </c>
      <c r="T45" s="55">
        <v>1</v>
      </c>
      <c r="U45" s="55">
        <f ca="1">IFERROR(__xludf.DUMMYFUNCTION("IMPORTRANGE(""https://docs.google.com/spreadsheets/d/1XL5vhW3sbDhbH9Cz0tuDiY8C3ctxq1tqvaCgkFb8cCA/edit?usp=sharing"",""เลย!J48"")"),0)</f>
        <v>0</v>
      </c>
      <c r="V45" s="99">
        <f t="shared" ca="1" si="9"/>
        <v>0</v>
      </c>
      <c r="W45" s="81"/>
      <c r="X45" s="81"/>
      <c r="Y45" s="81"/>
      <c r="Z45" s="81"/>
    </row>
    <row r="46" spans="1:26" ht="24" customHeight="1" x14ac:dyDescent="0.5">
      <c r="A46" s="52">
        <v>13</v>
      </c>
      <c r="B46" s="53" t="s">
        <v>61</v>
      </c>
      <c r="C46" s="54">
        <f t="shared" si="35"/>
        <v>0</v>
      </c>
      <c r="D46" s="55">
        <v>0</v>
      </c>
      <c r="E46" s="55">
        <v>0</v>
      </c>
      <c r="F46" s="55">
        <f ca="1">IFERROR(__xludf.DUMMYFUNCTION("IMPORTRANGE(""https://docs.google.com/spreadsheets/d/1XL5vhW3sbDhbH9Cz0tuDiY8C3ctxq1tqvaCgkFb8cCA/edit?usp=sharing"",""ศรีสะเกษ!M35"")"),0)</f>
        <v>0</v>
      </c>
      <c r="G46" s="99">
        <f t="shared" si="1"/>
        <v>0</v>
      </c>
      <c r="H46" s="55">
        <v>0</v>
      </c>
      <c r="I46" s="55">
        <f ca="1">IFERROR(__xludf.DUMMYFUNCTION("IMPORTRANGE(""https://docs.google.com/spreadsheets/d/1XL5vhW3sbDhbH9Cz0tuDiY8C3ctxq1tqvaCgkFb8cCA/edit?usp=sharing"",""ศรีสะเกษ!J43"")"),0)</f>
        <v>0</v>
      </c>
      <c r="J46" s="56">
        <f t="shared" si="3"/>
        <v>0</v>
      </c>
      <c r="K46" s="55">
        <v>0</v>
      </c>
      <c r="L46" s="55">
        <f ca="1">IFERROR(__xludf.DUMMYFUNCTION("IMPORTRANGE(""https://docs.google.com/spreadsheets/d/1XL5vhW3sbDhbH9Cz0tuDiY8C3ctxq1tqvaCgkFb8cCA/edit?usp=sharing"",""ศรีสะเกษ!J44"")"),0)</f>
        <v>0</v>
      </c>
      <c r="M46" s="56">
        <f t="shared" si="4"/>
        <v>0</v>
      </c>
      <c r="N46" s="55">
        <f ca="1">IFERROR(__xludf.DUMMYFUNCTION("IMPORTRANGE(""https://docs.google.com/spreadsheets/d/1XL5vhW3sbDhbH9Cz0tuDiY8C3ctxq1tqvaCgkFb8cCA/edit?usp=sharing"",""ศรีสะเกษ!J45"")"),0)</f>
        <v>0</v>
      </c>
      <c r="O46" s="56">
        <f t="shared" si="5"/>
        <v>0</v>
      </c>
      <c r="P46" s="55">
        <f ca="1">IFERROR(__xludf.DUMMYFUNCTION("IMPORTRANGE(""https://docs.google.com/spreadsheets/d/1XL5vhW3sbDhbH9Cz0tuDiY8C3ctxq1tqvaCgkFb8cCA/edit?usp=sharing"",""ศรีสะเกษ!J46"")"),0)</f>
        <v>0</v>
      </c>
      <c r="Q46" s="56">
        <f t="shared" si="6"/>
        <v>0</v>
      </c>
      <c r="R46" s="55">
        <f ca="1">IFERROR(__xludf.DUMMYFUNCTION("IMPORTRANGE(""https://docs.google.com/spreadsheets/d/1XL5vhW3sbDhbH9Cz0tuDiY8C3ctxq1tqvaCgkFb8cCA/edit?usp=sharing"",""ศรีสะเกษ!J47"")"),0)</f>
        <v>0</v>
      </c>
      <c r="S46" s="99">
        <f t="shared" si="7"/>
        <v>0</v>
      </c>
      <c r="T46" s="55">
        <v>0</v>
      </c>
      <c r="U46" s="55">
        <f ca="1">IFERROR(__xludf.DUMMYFUNCTION("IMPORTRANGE(""https://docs.google.com/spreadsheets/d/1XL5vhW3sbDhbH9Cz0tuDiY8C3ctxq1tqvaCgkFb8cCA/edit?usp=sharing"",""ศรีสะเกษ!J48"")"),0)</f>
        <v>0</v>
      </c>
      <c r="V46" s="99">
        <f t="shared" si="9"/>
        <v>0</v>
      </c>
      <c r="W46" s="81"/>
      <c r="X46" s="81"/>
      <c r="Y46" s="81"/>
      <c r="Z46" s="81"/>
    </row>
    <row r="47" spans="1:26" ht="24" customHeight="1" x14ac:dyDescent="0.5">
      <c r="A47" s="52">
        <v>14</v>
      </c>
      <c r="B47" s="53" t="s">
        <v>62</v>
      </c>
      <c r="C47" s="54">
        <f t="shared" si="35"/>
        <v>122100</v>
      </c>
      <c r="D47" s="55">
        <v>0</v>
      </c>
      <c r="E47" s="55">
        <v>122100</v>
      </c>
      <c r="F47" s="55">
        <f ca="1">IFERROR(__xludf.DUMMYFUNCTION("IMPORTRANGE(""https://docs.google.com/spreadsheets/d/1XL5vhW3sbDhbH9Cz0tuDiY8C3ctxq1tqvaCgkFb8cCA/edit?usp=sharing"",""สกลนคร!M35"")"),0)</f>
        <v>0</v>
      </c>
      <c r="G47" s="99">
        <f t="shared" ca="1" si="1"/>
        <v>0</v>
      </c>
      <c r="H47" s="55">
        <v>1</v>
      </c>
      <c r="I47" s="55">
        <f ca="1">IFERROR(__xludf.DUMMYFUNCTION("IMPORTRANGE(""https://docs.google.com/spreadsheets/d/1XL5vhW3sbDhbH9Cz0tuDiY8C3ctxq1tqvaCgkFb8cCA/edit?usp=sharing"",""สกลนคร!J43"")"),0)</f>
        <v>0</v>
      </c>
      <c r="J47" s="56">
        <f t="shared" ca="1" si="3"/>
        <v>0</v>
      </c>
      <c r="K47" s="55">
        <v>4</v>
      </c>
      <c r="L47" s="55">
        <f ca="1">IFERROR(__xludf.DUMMYFUNCTION("IMPORTRANGE(""https://docs.google.com/spreadsheets/d/1XL5vhW3sbDhbH9Cz0tuDiY8C3ctxq1tqvaCgkFb8cCA/edit?usp=sharing"",""สกลนคร!J44"")"),0)</f>
        <v>0</v>
      </c>
      <c r="M47" s="56">
        <f t="shared" ca="1" si="4"/>
        <v>0</v>
      </c>
      <c r="N47" s="55">
        <f ca="1">IFERROR(__xludf.DUMMYFUNCTION("IMPORTRANGE(""https://docs.google.com/spreadsheets/d/1XL5vhW3sbDhbH9Cz0tuDiY8C3ctxq1tqvaCgkFb8cCA/edit?usp=sharing"",""สกลนคร!J45"")"),0)</f>
        <v>0</v>
      </c>
      <c r="O47" s="56">
        <f t="shared" ca="1" si="5"/>
        <v>0</v>
      </c>
      <c r="P47" s="55">
        <f ca="1">IFERROR(__xludf.DUMMYFUNCTION("IMPORTRANGE(""https://docs.google.com/spreadsheets/d/1XL5vhW3sbDhbH9Cz0tuDiY8C3ctxq1tqvaCgkFb8cCA/edit?usp=sharing"",""สกลนคร!J46"")"),0)</f>
        <v>0</v>
      </c>
      <c r="Q47" s="56">
        <f t="shared" ca="1" si="6"/>
        <v>0</v>
      </c>
      <c r="R47" s="55">
        <f ca="1">IFERROR(__xludf.DUMMYFUNCTION("IMPORTRANGE(""https://docs.google.com/spreadsheets/d/1XL5vhW3sbDhbH9Cz0tuDiY8C3ctxq1tqvaCgkFb8cCA/edit?usp=sharing"",""สกลนคร!J47"")"),0)</f>
        <v>0</v>
      </c>
      <c r="S47" s="99">
        <f t="shared" ca="1" si="7"/>
        <v>0</v>
      </c>
      <c r="T47" s="55">
        <v>1</v>
      </c>
      <c r="U47" s="55">
        <f ca="1">IFERROR(__xludf.DUMMYFUNCTION("IMPORTRANGE(""https://docs.google.com/spreadsheets/d/1XL5vhW3sbDhbH9Cz0tuDiY8C3ctxq1tqvaCgkFb8cCA/edit?usp=sharing"",""สกลนคร!J48"")"),0)</f>
        <v>0</v>
      </c>
      <c r="V47" s="99">
        <f t="shared" ca="1" si="9"/>
        <v>0</v>
      </c>
      <c r="W47" s="81"/>
      <c r="X47" s="81"/>
      <c r="Y47" s="81"/>
      <c r="Z47" s="81"/>
    </row>
    <row r="48" spans="1:26" ht="24" customHeight="1" x14ac:dyDescent="0.5">
      <c r="A48" s="52">
        <v>15</v>
      </c>
      <c r="B48" s="53" t="s">
        <v>63</v>
      </c>
      <c r="C48" s="54">
        <f t="shared" si="35"/>
        <v>0</v>
      </c>
      <c r="D48" s="55">
        <v>0</v>
      </c>
      <c r="E48" s="55">
        <v>0</v>
      </c>
      <c r="F48" s="55">
        <f ca="1">IFERROR(__xludf.DUMMYFUNCTION("IMPORTRANGE(""https://docs.google.com/spreadsheets/d/1XL5vhW3sbDhbH9Cz0tuDiY8C3ctxq1tqvaCgkFb8cCA/edit?usp=sharing"",""สุรินทร์!M35"")"),0)</f>
        <v>0</v>
      </c>
      <c r="G48" s="99">
        <f t="shared" si="1"/>
        <v>0</v>
      </c>
      <c r="H48" s="55">
        <v>0</v>
      </c>
      <c r="I48" s="55">
        <f ca="1">IFERROR(__xludf.DUMMYFUNCTION("IMPORTRANGE(""https://docs.google.com/spreadsheets/d/1XL5vhW3sbDhbH9Cz0tuDiY8C3ctxq1tqvaCgkFb8cCA/edit?usp=sharing"",""สุรินทร์!J43"")"),0)</f>
        <v>0</v>
      </c>
      <c r="J48" s="56">
        <f t="shared" si="3"/>
        <v>0</v>
      </c>
      <c r="K48" s="55">
        <v>0</v>
      </c>
      <c r="L48" s="55">
        <f ca="1">IFERROR(__xludf.DUMMYFUNCTION("IMPORTRANGE(""https://docs.google.com/spreadsheets/d/1XL5vhW3sbDhbH9Cz0tuDiY8C3ctxq1tqvaCgkFb8cCA/edit?usp=sharing"",""สุรินทร์!J44"")"),0)</f>
        <v>0</v>
      </c>
      <c r="M48" s="56">
        <f t="shared" si="4"/>
        <v>0</v>
      </c>
      <c r="N48" s="55">
        <f ca="1">IFERROR(__xludf.DUMMYFUNCTION("IMPORTRANGE(""https://docs.google.com/spreadsheets/d/1XL5vhW3sbDhbH9Cz0tuDiY8C3ctxq1tqvaCgkFb8cCA/edit?usp=sharing"",""สุรินทร์!J45"")"),0)</f>
        <v>0</v>
      </c>
      <c r="O48" s="56">
        <f t="shared" si="5"/>
        <v>0</v>
      </c>
      <c r="P48" s="55">
        <f ca="1">IFERROR(__xludf.DUMMYFUNCTION("IMPORTRANGE(""https://docs.google.com/spreadsheets/d/1XL5vhW3sbDhbH9Cz0tuDiY8C3ctxq1tqvaCgkFb8cCA/edit?usp=sharing"",""สุรินทร์!J46"")"),0)</f>
        <v>0</v>
      </c>
      <c r="Q48" s="56">
        <f t="shared" si="6"/>
        <v>0</v>
      </c>
      <c r="R48" s="55">
        <f ca="1">IFERROR(__xludf.DUMMYFUNCTION("IMPORTRANGE(""https://docs.google.com/spreadsheets/d/1XL5vhW3sbDhbH9Cz0tuDiY8C3ctxq1tqvaCgkFb8cCA/edit?usp=sharing"",""สุรินทร์!J47"")"),0)</f>
        <v>0</v>
      </c>
      <c r="S48" s="99">
        <f t="shared" si="7"/>
        <v>0</v>
      </c>
      <c r="T48" s="55">
        <v>0</v>
      </c>
      <c r="U48" s="55">
        <f ca="1">IFERROR(__xludf.DUMMYFUNCTION("IMPORTRANGE(""https://docs.google.com/spreadsheets/d/1XL5vhW3sbDhbH9Cz0tuDiY8C3ctxq1tqvaCgkFb8cCA/edit?usp=sharing"",""สุรินทร์!J48"")"),0)</f>
        <v>0</v>
      </c>
      <c r="V48" s="99">
        <f t="shared" si="9"/>
        <v>0</v>
      </c>
      <c r="W48" s="81"/>
      <c r="X48" s="81"/>
      <c r="Y48" s="81"/>
      <c r="Z48" s="81"/>
    </row>
    <row r="49" spans="1:26" ht="24" customHeight="1" x14ac:dyDescent="0.5">
      <c r="A49" s="52">
        <v>16</v>
      </c>
      <c r="B49" s="53" t="s">
        <v>64</v>
      </c>
      <c r="C49" s="54">
        <f t="shared" si="35"/>
        <v>135000</v>
      </c>
      <c r="D49" s="55">
        <v>0</v>
      </c>
      <c r="E49" s="55">
        <v>135000</v>
      </c>
      <c r="F49" s="55">
        <f ca="1">IFERROR(__xludf.DUMMYFUNCTION("IMPORTRANGE(""https://docs.google.com/spreadsheets/d/1XL5vhW3sbDhbH9Cz0tuDiY8C3ctxq1tqvaCgkFb8cCA/edit?usp=sharing"",""หนองคาย!M35"")"),0)</f>
        <v>0</v>
      </c>
      <c r="G49" s="99">
        <f t="shared" ca="1" si="1"/>
        <v>0</v>
      </c>
      <c r="H49" s="55">
        <v>1</v>
      </c>
      <c r="I49" s="55">
        <f ca="1">IFERROR(__xludf.DUMMYFUNCTION("IMPORTRANGE(""https://docs.google.com/spreadsheets/d/1XL5vhW3sbDhbH9Cz0tuDiY8C3ctxq1tqvaCgkFb8cCA/edit?usp=sharing"",""หนองคาย!J43"")"),0)</f>
        <v>0</v>
      </c>
      <c r="J49" s="56">
        <f t="shared" ca="1" si="3"/>
        <v>0</v>
      </c>
      <c r="K49" s="55">
        <v>7</v>
      </c>
      <c r="L49" s="55">
        <f ca="1">IFERROR(__xludf.DUMMYFUNCTION("IMPORTRANGE(""https://docs.google.com/spreadsheets/d/1XL5vhW3sbDhbH9Cz0tuDiY8C3ctxq1tqvaCgkFb8cCA/edit?usp=sharing"",""หนองคาย!J44"")"),0)</f>
        <v>0</v>
      </c>
      <c r="M49" s="56">
        <f t="shared" ca="1" si="4"/>
        <v>0</v>
      </c>
      <c r="N49" s="55">
        <f ca="1">IFERROR(__xludf.DUMMYFUNCTION("IMPORTRANGE(""https://docs.google.com/spreadsheets/d/1XL5vhW3sbDhbH9Cz0tuDiY8C3ctxq1tqvaCgkFb8cCA/edit?usp=sharing"",""หนองคาย!J45"")"),0)</f>
        <v>0</v>
      </c>
      <c r="O49" s="56">
        <f t="shared" ca="1" si="5"/>
        <v>0</v>
      </c>
      <c r="P49" s="55">
        <f ca="1">IFERROR(__xludf.DUMMYFUNCTION("IMPORTRANGE(""https://docs.google.com/spreadsheets/d/1XL5vhW3sbDhbH9Cz0tuDiY8C3ctxq1tqvaCgkFb8cCA/edit?usp=sharing"",""หนองคาย!J46"")"),0)</f>
        <v>0</v>
      </c>
      <c r="Q49" s="56">
        <f t="shared" ca="1" si="6"/>
        <v>0</v>
      </c>
      <c r="R49" s="55">
        <f ca="1">IFERROR(__xludf.DUMMYFUNCTION("IMPORTRANGE(""https://docs.google.com/spreadsheets/d/1XL5vhW3sbDhbH9Cz0tuDiY8C3ctxq1tqvaCgkFb8cCA/edit?usp=sharing"",""หนองคาย!J47"")"),0)</f>
        <v>0</v>
      </c>
      <c r="S49" s="99">
        <f t="shared" ca="1" si="7"/>
        <v>0</v>
      </c>
      <c r="T49" s="55">
        <v>2</v>
      </c>
      <c r="U49" s="55">
        <f ca="1">IFERROR(__xludf.DUMMYFUNCTION("IMPORTRANGE(""https://docs.google.com/spreadsheets/d/1XL5vhW3sbDhbH9Cz0tuDiY8C3ctxq1tqvaCgkFb8cCA/edit?usp=sharing"",""หนองคาย!J48"")"),0)</f>
        <v>0</v>
      </c>
      <c r="V49" s="99">
        <f t="shared" ca="1" si="9"/>
        <v>0</v>
      </c>
      <c r="W49" s="81"/>
      <c r="X49" s="81"/>
      <c r="Y49" s="81"/>
      <c r="Z49" s="81"/>
    </row>
    <row r="50" spans="1:26" ht="24" customHeight="1" x14ac:dyDescent="0.5">
      <c r="A50" s="52">
        <v>17</v>
      </c>
      <c r="B50" s="53" t="s">
        <v>65</v>
      </c>
      <c r="C50" s="54">
        <f t="shared" si="35"/>
        <v>0</v>
      </c>
      <c r="D50" s="55">
        <v>0</v>
      </c>
      <c r="E50" s="55">
        <v>0</v>
      </c>
      <c r="F50" s="55">
        <f ca="1">IFERROR(__xludf.DUMMYFUNCTION("IMPORTRANGE(""https://docs.google.com/spreadsheets/d/1XL5vhW3sbDhbH9Cz0tuDiY8C3ctxq1tqvaCgkFb8cCA/edit?usp=sharing"",""หนองบัวลำภู!M35"")"),0)</f>
        <v>0</v>
      </c>
      <c r="G50" s="99">
        <f t="shared" si="1"/>
        <v>0</v>
      </c>
      <c r="H50" s="55">
        <v>0</v>
      </c>
      <c r="I50" s="55">
        <f ca="1">IFERROR(__xludf.DUMMYFUNCTION("IMPORTRANGE(""https://docs.google.com/spreadsheets/d/1XL5vhW3sbDhbH9Cz0tuDiY8C3ctxq1tqvaCgkFb8cCA/edit?usp=sharing"",""หนองบัวลำภู!J43"")"),0)</f>
        <v>0</v>
      </c>
      <c r="J50" s="56">
        <f t="shared" si="3"/>
        <v>0</v>
      </c>
      <c r="K50" s="55">
        <v>0</v>
      </c>
      <c r="L50" s="55">
        <f ca="1">IFERROR(__xludf.DUMMYFUNCTION("IMPORTRANGE(""https://docs.google.com/spreadsheets/d/1XL5vhW3sbDhbH9Cz0tuDiY8C3ctxq1tqvaCgkFb8cCA/edit?usp=sharing"",""หนองบัวลำภู!J44"")"),0)</f>
        <v>0</v>
      </c>
      <c r="M50" s="56">
        <f t="shared" si="4"/>
        <v>0</v>
      </c>
      <c r="N50" s="55">
        <f ca="1">IFERROR(__xludf.DUMMYFUNCTION("IMPORTRANGE(""https://docs.google.com/spreadsheets/d/1XL5vhW3sbDhbH9Cz0tuDiY8C3ctxq1tqvaCgkFb8cCA/edit?usp=sharing"",""หนองบัวลำภู!J45"")"),0)</f>
        <v>0</v>
      </c>
      <c r="O50" s="56">
        <f t="shared" si="5"/>
        <v>0</v>
      </c>
      <c r="P50" s="55">
        <f ca="1">IFERROR(__xludf.DUMMYFUNCTION("IMPORTRANGE(""https://docs.google.com/spreadsheets/d/1XL5vhW3sbDhbH9Cz0tuDiY8C3ctxq1tqvaCgkFb8cCA/edit?usp=sharing"",""หนองบัวลำภู!J46"")"),0)</f>
        <v>0</v>
      </c>
      <c r="Q50" s="56">
        <f t="shared" si="6"/>
        <v>0</v>
      </c>
      <c r="R50" s="55">
        <f ca="1">IFERROR(__xludf.DUMMYFUNCTION("IMPORTRANGE(""https://docs.google.com/spreadsheets/d/1XL5vhW3sbDhbH9Cz0tuDiY8C3ctxq1tqvaCgkFb8cCA/edit?usp=sharing"",""หนองบัวลำภู!J47"")"),0)</f>
        <v>0</v>
      </c>
      <c r="S50" s="99">
        <f t="shared" si="7"/>
        <v>0</v>
      </c>
      <c r="T50" s="55">
        <v>0</v>
      </c>
      <c r="U50" s="55">
        <f ca="1">IFERROR(__xludf.DUMMYFUNCTION("IMPORTRANGE(""https://docs.google.com/spreadsheets/d/1XL5vhW3sbDhbH9Cz0tuDiY8C3ctxq1tqvaCgkFb8cCA/edit?usp=sharing"",""หนองบัวลำภู!J48"")"),0)</f>
        <v>0</v>
      </c>
      <c r="V50" s="99">
        <f t="shared" si="9"/>
        <v>0</v>
      </c>
      <c r="W50" s="81"/>
      <c r="X50" s="81"/>
      <c r="Y50" s="81"/>
      <c r="Z50" s="81"/>
    </row>
    <row r="51" spans="1:26" ht="24" customHeight="1" x14ac:dyDescent="0.5">
      <c r="A51" s="52">
        <v>18</v>
      </c>
      <c r="B51" s="53" t="s">
        <v>66</v>
      </c>
      <c r="C51" s="54">
        <f t="shared" si="35"/>
        <v>0</v>
      </c>
      <c r="D51" s="55">
        <v>0</v>
      </c>
      <c r="E51" s="55">
        <v>0</v>
      </c>
      <c r="F51" s="55">
        <f ca="1">IFERROR(__xludf.DUMMYFUNCTION("IMPORTRANGE(""https://docs.google.com/spreadsheets/d/1XL5vhW3sbDhbH9Cz0tuDiY8C3ctxq1tqvaCgkFb8cCA/edit?usp=sharing"",""อำนาจเจริญ!M35"")"),0)</f>
        <v>0</v>
      </c>
      <c r="G51" s="99">
        <f t="shared" si="1"/>
        <v>0</v>
      </c>
      <c r="H51" s="55">
        <v>0</v>
      </c>
      <c r="I51" s="55">
        <f ca="1">IFERROR(__xludf.DUMMYFUNCTION("IMPORTRANGE(""https://docs.google.com/spreadsheets/d/1XL5vhW3sbDhbH9Cz0tuDiY8C3ctxq1tqvaCgkFb8cCA/edit?usp=sharing"",""อำนาจเจริญ!J43"")"),0)</f>
        <v>0</v>
      </c>
      <c r="J51" s="56">
        <f t="shared" si="3"/>
        <v>0</v>
      </c>
      <c r="K51" s="55">
        <v>0</v>
      </c>
      <c r="L51" s="55">
        <f ca="1">IFERROR(__xludf.DUMMYFUNCTION("IMPORTRANGE(""https://docs.google.com/spreadsheets/d/1XL5vhW3sbDhbH9Cz0tuDiY8C3ctxq1tqvaCgkFb8cCA/edit?usp=sharing"",""อำนาจเจริญ!J44"")"),0)</f>
        <v>0</v>
      </c>
      <c r="M51" s="56">
        <f t="shared" si="4"/>
        <v>0</v>
      </c>
      <c r="N51" s="55">
        <f ca="1">IFERROR(__xludf.DUMMYFUNCTION("IMPORTRANGE(""https://docs.google.com/spreadsheets/d/1XL5vhW3sbDhbH9Cz0tuDiY8C3ctxq1tqvaCgkFb8cCA/edit?usp=sharing"",""อำนาจเจริญ!J45"")"),0)</f>
        <v>0</v>
      </c>
      <c r="O51" s="56">
        <f t="shared" si="5"/>
        <v>0</v>
      </c>
      <c r="P51" s="55">
        <f ca="1">IFERROR(__xludf.DUMMYFUNCTION("IMPORTRANGE(""https://docs.google.com/spreadsheets/d/1XL5vhW3sbDhbH9Cz0tuDiY8C3ctxq1tqvaCgkFb8cCA/edit?usp=sharing"",""อำนาจเจริญ!J46"")"),0)</f>
        <v>0</v>
      </c>
      <c r="Q51" s="56">
        <f t="shared" si="6"/>
        <v>0</v>
      </c>
      <c r="R51" s="55">
        <f ca="1">IFERROR(__xludf.DUMMYFUNCTION("IMPORTRANGE(""https://docs.google.com/spreadsheets/d/1XL5vhW3sbDhbH9Cz0tuDiY8C3ctxq1tqvaCgkFb8cCA/edit?usp=sharing"",""อำนาจเจริญ!J47"")"),0)</f>
        <v>0</v>
      </c>
      <c r="S51" s="99">
        <f t="shared" si="7"/>
        <v>0</v>
      </c>
      <c r="T51" s="55">
        <v>0</v>
      </c>
      <c r="U51" s="55">
        <f ca="1">IFERROR(__xludf.DUMMYFUNCTION("IMPORTRANGE(""https://docs.google.com/spreadsheets/d/1XL5vhW3sbDhbH9Cz0tuDiY8C3ctxq1tqvaCgkFb8cCA/edit?usp=sharing"",""อำนาจเจริญ!J48"")"),0)</f>
        <v>0</v>
      </c>
      <c r="V51" s="99">
        <f t="shared" si="9"/>
        <v>0</v>
      </c>
      <c r="W51" s="81"/>
      <c r="X51" s="81"/>
      <c r="Y51" s="81"/>
      <c r="Z51" s="81"/>
    </row>
    <row r="52" spans="1:26" ht="24" customHeight="1" x14ac:dyDescent="0.5">
      <c r="A52" s="52">
        <v>19</v>
      </c>
      <c r="B52" s="53" t="s">
        <v>67</v>
      </c>
      <c r="C52" s="54">
        <f t="shared" si="35"/>
        <v>0</v>
      </c>
      <c r="D52" s="55">
        <v>0</v>
      </c>
      <c r="E52" s="55">
        <v>0</v>
      </c>
      <c r="F52" s="55">
        <f ca="1">IFERROR(__xludf.DUMMYFUNCTION("IMPORTRANGE(""https://docs.google.com/spreadsheets/d/1XL5vhW3sbDhbH9Cz0tuDiY8C3ctxq1tqvaCgkFb8cCA/edit?usp=sharing"",""อุดรธานี!M35"")"),0)</f>
        <v>0</v>
      </c>
      <c r="G52" s="99">
        <f t="shared" si="1"/>
        <v>0</v>
      </c>
      <c r="H52" s="55">
        <v>0</v>
      </c>
      <c r="I52" s="55">
        <f ca="1">IFERROR(__xludf.DUMMYFUNCTION("IMPORTRANGE(""https://docs.google.com/spreadsheets/d/1XL5vhW3sbDhbH9Cz0tuDiY8C3ctxq1tqvaCgkFb8cCA/edit?usp=sharing"",""อุดรธานี!J43"")"),0)</f>
        <v>0</v>
      </c>
      <c r="J52" s="56">
        <f t="shared" si="3"/>
        <v>0</v>
      </c>
      <c r="K52" s="55">
        <v>0</v>
      </c>
      <c r="L52" s="55">
        <f ca="1">IFERROR(__xludf.DUMMYFUNCTION("IMPORTRANGE(""https://docs.google.com/spreadsheets/d/1XL5vhW3sbDhbH9Cz0tuDiY8C3ctxq1tqvaCgkFb8cCA/edit?usp=sharing"",""อุดรธานี!J44"")"),0)</f>
        <v>0</v>
      </c>
      <c r="M52" s="56">
        <f t="shared" si="4"/>
        <v>0</v>
      </c>
      <c r="N52" s="55">
        <f ca="1">IFERROR(__xludf.DUMMYFUNCTION("IMPORTRANGE(""https://docs.google.com/spreadsheets/d/1XL5vhW3sbDhbH9Cz0tuDiY8C3ctxq1tqvaCgkFb8cCA/edit?usp=sharing"",""อุดรธานี!J45"")"),0)</f>
        <v>0</v>
      </c>
      <c r="O52" s="56">
        <f t="shared" si="5"/>
        <v>0</v>
      </c>
      <c r="P52" s="55">
        <f ca="1">IFERROR(__xludf.DUMMYFUNCTION("IMPORTRANGE(""https://docs.google.com/spreadsheets/d/1XL5vhW3sbDhbH9Cz0tuDiY8C3ctxq1tqvaCgkFb8cCA/edit?usp=sharing"",""อุดรธานี!J46"")"),0)</f>
        <v>0</v>
      </c>
      <c r="Q52" s="56">
        <f t="shared" si="6"/>
        <v>0</v>
      </c>
      <c r="R52" s="55">
        <f ca="1">IFERROR(__xludf.DUMMYFUNCTION("IMPORTRANGE(""https://docs.google.com/spreadsheets/d/1XL5vhW3sbDhbH9Cz0tuDiY8C3ctxq1tqvaCgkFb8cCA/edit?usp=sharing"",""อุดรธานี!J47"")"),0)</f>
        <v>0</v>
      </c>
      <c r="S52" s="99">
        <f t="shared" si="7"/>
        <v>0</v>
      </c>
      <c r="T52" s="55">
        <v>0</v>
      </c>
      <c r="U52" s="55">
        <f ca="1">IFERROR(__xludf.DUMMYFUNCTION("IMPORTRANGE(""https://docs.google.com/spreadsheets/d/1XL5vhW3sbDhbH9Cz0tuDiY8C3ctxq1tqvaCgkFb8cCA/edit?usp=sharing"",""อุดรธานี!J48"")"),0)</f>
        <v>0</v>
      </c>
      <c r="V52" s="99">
        <f t="shared" si="9"/>
        <v>0</v>
      </c>
      <c r="W52" s="81"/>
      <c r="X52" s="81"/>
      <c r="Y52" s="81"/>
      <c r="Z52" s="81"/>
    </row>
    <row r="53" spans="1:26" ht="24" customHeight="1" x14ac:dyDescent="0.5">
      <c r="A53" s="59">
        <v>20</v>
      </c>
      <c r="B53" s="60" t="s">
        <v>68</v>
      </c>
      <c r="C53" s="61">
        <f t="shared" si="35"/>
        <v>122100</v>
      </c>
      <c r="D53" s="62">
        <v>0</v>
      </c>
      <c r="E53" s="62">
        <v>122100</v>
      </c>
      <c r="F53" s="62">
        <f ca="1">IFERROR(__xludf.DUMMYFUNCTION("IMPORTRANGE(""https://docs.google.com/spreadsheets/d/1XL5vhW3sbDhbH9Cz0tuDiY8C3ctxq1tqvaCgkFb8cCA/edit?usp=sharing"",""อุบลราชธานี!M35"")"),0)</f>
        <v>0</v>
      </c>
      <c r="G53" s="100">
        <f t="shared" ca="1" si="1"/>
        <v>0</v>
      </c>
      <c r="H53" s="62">
        <v>1</v>
      </c>
      <c r="I53" s="62">
        <f ca="1">IFERROR(__xludf.DUMMYFUNCTION("IMPORTRANGE(""https://docs.google.com/spreadsheets/d/1XL5vhW3sbDhbH9Cz0tuDiY8C3ctxq1tqvaCgkFb8cCA/edit?usp=sharing"",""อุบลราชธานี!J43"")"),0)</f>
        <v>0</v>
      </c>
      <c r="J53" s="63">
        <f t="shared" ca="1" si="3"/>
        <v>0</v>
      </c>
      <c r="K53" s="62">
        <v>4</v>
      </c>
      <c r="L53" s="62">
        <f ca="1">IFERROR(__xludf.DUMMYFUNCTION("IMPORTRANGE(""https://docs.google.com/spreadsheets/d/1XL5vhW3sbDhbH9Cz0tuDiY8C3ctxq1tqvaCgkFb8cCA/edit?usp=sharing"",""อุบลราชธานี!J44"")"),0)</f>
        <v>0</v>
      </c>
      <c r="M53" s="63">
        <f t="shared" ca="1" si="4"/>
        <v>0</v>
      </c>
      <c r="N53" s="62">
        <f ca="1">IFERROR(__xludf.DUMMYFUNCTION("IMPORTRANGE(""https://docs.google.com/spreadsheets/d/1XL5vhW3sbDhbH9Cz0tuDiY8C3ctxq1tqvaCgkFb8cCA/edit?usp=sharing"",""อุบลราชธานี!J45"")"),0)</f>
        <v>0</v>
      </c>
      <c r="O53" s="63">
        <f t="shared" ca="1" si="5"/>
        <v>0</v>
      </c>
      <c r="P53" s="62">
        <f ca="1">IFERROR(__xludf.DUMMYFUNCTION("IMPORTRANGE(""https://docs.google.com/spreadsheets/d/1XL5vhW3sbDhbH9Cz0tuDiY8C3ctxq1tqvaCgkFb8cCA/edit?usp=sharing"",""อุบลราชธานี!J46"")"),0)</f>
        <v>0</v>
      </c>
      <c r="Q53" s="63">
        <f t="shared" ca="1" si="6"/>
        <v>0</v>
      </c>
      <c r="R53" s="62">
        <f ca="1">IFERROR(__xludf.DUMMYFUNCTION("IMPORTRANGE(""https://docs.google.com/spreadsheets/d/1XL5vhW3sbDhbH9Cz0tuDiY8C3ctxq1tqvaCgkFb8cCA/edit?usp=sharing"",""อุบลราชธานี!J47"")"),0)</f>
        <v>0</v>
      </c>
      <c r="S53" s="100">
        <f t="shared" ca="1" si="7"/>
        <v>0</v>
      </c>
      <c r="T53" s="62">
        <v>1</v>
      </c>
      <c r="U53" s="62">
        <f ca="1">IFERROR(__xludf.DUMMYFUNCTION("IMPORTRANGE(""https://docs.google.com/spreadsheets/d/1XL5vhW3sbDhbH9Cz0tuDiY8C3ctxq1tqvaCgkFb8cCA/edit?usp=sharing"",""อุบลราชธานี!J48"")"),0)</f>
        <v>0</v>
      </c>
      <c r="V53" s="100">
        <f t="shared" ca="1" si="9"/>
        <v>0</v>
      </c>
      <c r="W53" s="81"/>
      <c r="X53" s="81"/>
      <c r="Y53" s="81"/>
      <c r="Z53" s="81"/>
    </row>
    <row r="54" spans="1:26" ht="24" customHeight="1" x14ac:dyDescent="0.5">
      <c r="A54" s="570" t="s">
        <v>69</v>
      </c>
      <c r="B54" s="569"/>
      <c r="C54" s="66">
        <f t="shared" ref="C54:F54" si="36">SUM(C55:C75)</f>
        <v>754540</v>
      </c>
      <c r="D54" s="66">
        <f t="shared" si="36"/>
        <v>0</v>
      </c>
      <c r="E54" s="66">
        <f t="shared" si="36"/>
        <v>754540</v>
      </c>
      <c r="F54" s="66">
        <f t="shared" ca="1" si="36"/>
        <v>10780</v>
      </c>
      <c r="G54" s="101">
        <f t="shared" ca="1" si="1"/>
        <v>1.4286850266387467</v>
      </c>
      <c r="H54" s="66">
        <f t="shared" ref="H54:I54" si="37">SUM(H55:H75)</f>
        <v>6</v>
      </c>
      <c r="I54" s="66">
        <f t="shared" ca="1" si="37"/>
        <v>0</v>
      </c>
      <c r="J54" s="67">
        <f t="shared" ca="1" si="3"/>
        <v>0</v>
      </c>
      <c r="K54" s="66">
        <f t="shared" ref="K54:L54" si="38">SUM(K55:K75)</f>
        <v>29</v>
      </c>
      <c r="L54" s="66">
        <f t="shared" ca="1" si="38"/>
        <v>0</v>
      </c>
      <c r="M54" s="67">
        <f t="shared" ca="1" si="4"/>
        <v>0</v>
      </c>
      <c r="N54" s="66">
        <f ca="1">SUM(N55:N75)</f>
        <v>0</v>
      </c>
      <c r="O54" s="67">
        <f t="shared" ca="1" si="5"/>
        <v>0</v>
      </c>
      <c r="P54" s="66">
        <f ca="1">SUM(P55:P75)</f>
        <v>0</v>
      </c>
      <c r="Q54" s="67">
        <f t="shared" ca="1" si="6"/>
        <v>0</v>
      </c>
      <c r="R54" s="66">
        <f ca="1">SUM(R55:R75)</f>
        <v>0</v>
      </c>
      <c r="S54" s="101">
        <f t="shared" ca="1" si="7"/>
        <v>0</v>
      </c>
      <c r="T54" s="66">
        <f t="shared" ref="T54:U54" si="39">SUM(T55:T75)</f>
        <v>8</v>
      </c>
      <c r="U54" s="66">
        <f t="shared" ca="1" si="39"/>
        <v>0</v>
      </c>
      <c r="V54" s="101">
        <f t="shared" ca="1" si="9"/>
        <v>0</v>
      </c>
      <c r="W54" s="81"/>
      <c r="X54" s="81"/>
      <c r="Y54" s="81"/>
      <c r="Z54" s="81"/>
    </row>
    <row r="55" spans="1:26" ht="24" customHeight="1" x14ac:dyDescent="0.5">
      <c r="A55" s="45">
        <v>1</v>
      </c>
      <c r="B55" s="46" t="s">
        <v>70</v>
      </c>
      <c r="C55" s="47">
        <f t="shared" ref="C55:C75" si="40">+D55+E55</f>
        <v>134160</v>
      </c>
      <c r="D55" s="48">
        <v>0</v>
      </c>
      <c r="E55" s="48">
        <v>134160</v>
      </c>
      <c r="F55" s="48">
        <f ca="1">IFERROR(__xludf.DUMMYFUNCTION("IMPORTRANGE(""https://docs.google.com/spreadsheets/d/1SX6NBoVAgQJ6U1MVXOaj8PK2l7WJ3RER9xtqwdhxkhw/edit?usp=sharing"",""กาญจนบุรี!M35"")"),0)</f>
        <v>0</v>
      </c>
      <c r="G55" s="98">
        <f t="shared" ca="1" si="1"/>
        <v>0</v>
      </c>
      <c r="H55" s="48">
        <v>1</v>
      </c>
      <c r="I55" s="48">
        <f ca="1">IFERROR(__xludf.DUMMYFUNCTION("IMPORTRANGE(""https://docs.google.com/spreadsheets/d/1SX6NBoVAgQJ6U1MVXOaj8PK2l7WJ3RER9xtqwdhxkhw/edit?usp=sharing"",""กาญจนบุรี!J43"")"),0)</f>
        <v>0</v>
      </c>
      <c r="J55" s="50">
        <f t="shared" ca="1" si="3"/>
        <v>0</v>
      </c>
      <c r="K55" s="48">
        <v>7</v>
      </c>
      <c r="L55" s="48">
        <f ca="1">IFERROR(__xludf.DUMMYFUNCTION("IMPORTRANGE(""https://docs.google.com/spreadsheets/d/1SX6NBoVAgQJ6U1MVXOaj8PK2l7WJ3RER9xtqwdhxkhw/edit?usp=sharing"",""กาญจนบุรี!J44"")"),0)</f>
        <v>0</v>
      </c>
      <c r="M55" s="50">
        <f t="shared" ca="1" si="4"/>
        <v>0</v>
      </c>
      <c r="N55" s="48">
        <f ca="1">IFERROR(__xludf.DUMMYFUNCTION("IMPORTRANGE(""https://docs.google.com/spreadsheets/d/1SX6NBoVAgQJ6U1MVXOaj8PK2l7WJ3RER9xtqwdhxkhw/edit?usp=sharing"",""กาญจนบุรี!J45"")"),0)</f>
        <v>0</v>
      </c>
      <c r="O55" s="50">
        <f t="shared" ca="1" si="5"/>
        <v>0</v>
      </c>
      <c r="P55" s="48">
        <f ca="1">IFERROR(__xludf.DUMMYFUNCTION("IMPORTRANGE(""https://docs.google.com/spreadsheets/d/1SX6NBoVAgQJ6U1MVXOaj8PK2l7WJ3RER9xtqwdhxkhw/edit?usp=sharing"",""กาญจนบุรี!J46"")"),0)</f>
        <v>0</v>
      </c>
      <c r="Q55" s="50">
        <f t="shared" ca="1" si="6"/>
        <v>0</v>
      </c>
      <c r="R55" s="48">
        <f ca="1">IFERROR(__xludf.DUMMYFUNCTION("IMPORTRANGE(""https://docs.google.com/spreadsheets/d/1SX6NBoVAgQJ6U1MVXOaj8PK2l7WJ3RER9xtqwdhxkhw/edit?usp=sharing"",""กาญจนบุรี!J47"")"),0)</f>
        <v>0</v>
      </c>
      <c r="S55" s="98">
        <f t="shared" ca="1" si="7"/>
        <v>0</v>
      </c>
      <c r="T55" s="48">
        <v>2</v>
      </c>
      <c r="U55" s="48">
        <f ca="1">IFERROR(__xludf.DUMMYFUNCTION("IMPORTRANGE(""https://docs.google.com/spreadsheets/d/1SX6NBoVAgQJ6U1MVXOaj8PK2l7WJ3RER9xtqwdhxkhw/edit?usp=sharing"",""กาญจนบุรี!J48"")"),0)</f>
        <v>0</v>
      </c>
      <c r="V55" s="98">
        <f t="shared" ca="1" si="9"/>
        <v>0</v>
      </c>
      <c r="W55" s="81"/>
      <c r="X55" s="81"/>
      <c r="Y55" s="81"/>
      <c r="Z55" s="81"/>
    </row>
    <row r="56" spans="1:26" ht="24" customHeight="1" x14ac:dyDescent="0.5">
      <c r="A56" s="52">
        <v>2</v>
      </c>
      <c r="B56" s="53" t="s">
        <v>71</v>
      </c>
      <c r="C56" s="54">
        <f t="shared" si="40"/>
        <v>0</v>
      </c>
      <c r="D56" s="55">
        <v>0</v>
      </c>
      <c r="E56" s="55">
        <v>0</v>
      </c>
      <c r="F56" s="55">
        <f ca="1">IFERROR(__xludf.DUMMYFUNCTION("IMPORTRANGE(""https://docs.google.com/spreadsheets/d/1SX6NBoVAgQJ6U1MVXOaj8PK2l7WJ3RER9xtqwdhxkhw/edit?usp=sharing"",""จันทบุรี!M35"")"),0)</f>
        <v>0</v>
      </c>
      <c r="G56" s="99">
        <f t="shared" si="1"/>
        <v>0</v>
      </c>
      <c r="H56" s="55">
        <v>0</v>
      </c>
      <c r="I56" s="55">
        <f ca="1">IFERROR(__xludf.DUMMYFUNCTION("IMPORTRANGE(""https://docs.google.com/spreadsheets/d/1SX6NBoVAgQJ6U1MVXOaj8PK2l7WJ3RER9xtqwdhxkhw/edit?usp=sharing"",""จันทบุรี!J43"")"),0)</f>
        <v>0</v>
      </c>
      <c r="J56" s="56">
        <f t="shared" si="3"/>
        <v>0</v>
      </c>
      <c r="K56" s="55">
        <v>0</v>
      </c>
      <c r="L56" s="55">
        <f ca="1">IFERROR(__xludf.DUMMYFUNCTION("IMPORTRANGE(""https://docs.google.com/spreadsheets/d/1SX6NBoVAgQJ6U1MVXOaj8PK2l7WJ3RER9xtqwdhxkhw/edit?usp=sharing"",""จันทบุรี!J44"")"),0)</f>
        <v>0</v>
      </c>
      <c r="M56" s="56">
        <f t="shared" si="4"/>
        <v>0</v>
      </c>
      <c r="N56" s="55">
        <f ca="1">IFERROR(__xludf.DUMMYFUNCTION("IMPORTRANGE(""https://docs.google.com/spreadsheets/d/1SX6NBoVAgQJ6U1MVXOaj8PK2l7WJ3RER9xtqwdhxkhw/edit?usp=sharing"",""จันทบุรี!J45"")"),0)</f>
        <v>0</v>
      </c>
      <c r="O56" s="56">
        <f t="shared" si="5"/>
        <v>0</v>
      </c>
      <c r="P56" s="55">
        <f ca="1">IFERROR(__xludf.DUMMYFUNCTION("IMPORTRANGE(""https://docs.google.com/spreadsheets/d/1SX6NBoVAgQJ6U1MVXOaj8PK2l7WJ3RER9xtqwdhxkhw/edit?usp=sharing"",""จันทบุรี!J46"")"),0)</f>
        <v>0</v>
      </c>
      <c r="Q56" s="56">
        <f t="shared" si="6"/>
        <v>0</v>
      </c>
      <c r="R56" s="55">
        <f ca="1">IFERROR(__xludf.DUMMYFUNCTION("IMPORTRANGE(""https://docs.google.com/spreadsheets/d/1SX6NBoVAgQJ6U1MVXOaj8PK2l7WJ3RER9xtqwdhxkhw/edit?usp=sharing"",""จันทบุรี!J47"")"),0)</f>
        <v>0</v>
      </c>
      <c r="S56" s="99">
        <f t="shared" si="7"/>
        <v>0</v>
      </c>
      <c r="T56" s="55">
        <v>0</v>
      </c>
      <c r="U56" s="55">
        <f ca="1">IFERROR(__xludf.DUMMYFUNCTION("IMPORTRANGE(""https://docs.google.com/spreadsheets/d/1SX6NBoVAgQJ6U1MVXOaj8PK2l7WJ3RER9xtqwdhxkhw/edit?usp=sharing"",""จันทบุรี!J48"")"),0)</f>
        <v>0</v>
      </c>
      <c r="V56" s="99">
        <f t="shared" si="9"/>
        <v>0</v>
      </c>
      <c r="W56" s="81"/>
      <c r="X56" s="81"/>
      <c r="Y56" s="81"/>
      <c r="Z56" s="81"/>
    </row>
    <row r="57" spans="1:26" ht="24" customHeight="1" x14ac:dyDescent="0.5">
      <c r="A57" s="52">
        <v>3</v>
      </c>
      <c r="B57" s="53" t="s">
        <v>72</v>
      </c>
      <c r="C57" s="54">
        <f t="shared" si="40"/>
        <v>122100</v>
      </c>
      <c r="D57" s="55">
        <v>0</v>
      </c>
      <c r="E57" s="55">
        <v>122100</v>
      </c>
      <c r="F57" s="55">
        <f ca="1">IFERROR(__xludf.DUMMYFUNCTION("IMPORTRANGE(""https://docs.google.com/spreadsheets/d/1SX6NBoVAgQJ6U1MVXOaj8PK2l7WJ3RER9xtqwdhxkhw/edit?usp=sharing"",""ฉะเชิงเทรา!M35"")"),4880)</f>
        <v>4880</v>
      </c>
      <c r="G57" s="99">
        <f t="shared" ca="1" si="1"/>
        <v>3.9967239967239969</v>
      </c>
      <c r="H57" s="55">
        <v>1</v>
      </c>
      <c r="I57" s="55">
        <f ca="1">IFERROR(__xludf.DUMMYFUNCTION("IMPORTRANGE(""https://docs.google.com/spreadsheets/d/1SX6NBoVAgQJ6U1MVXOaj8PK2l7WJ3RER9xtqwdhxkhw/edit?usp=sharing"",""ฉะเชิงเทรา!J43"")"),0)</f>
        <v>0</v>
      </c>
      <c r="J57" s="56">
        <f t="shared" ca="1" si="3"/>
        <v>0</v>
      </c>
      <c r="K57" s="55">
        <v>4</v>
      </c>
      <c r="L57" s="55">
        <f ca="1">IFERROR(__xludf.DUMMYFUNCTION("IMPORTRANGE(""https://docs.google.com/spreadsheets/d/1SX6NBoVAgQJ6U1MVXOaj8PK2l7WJ3RER9xtqwdhxkhw/edit?usp=sharing"",""ฉะเชิงเทรา!J44"")"),0)</f>
        <v>0</v>
      </c>
      <c r="M57" s="56">
        <f t="shared" ca="1" si="4"/>
        <v>0</v>
      </c>
      <c r="N57" s="55">
        <f ca="1">IFERROR(__xludf.DUMMYFUNCTION("IMPORTRANGE(""https://docs.google.com/spreadsheets/d/1SX6NBoVAgQJ6U1MVXOaj8PK2l7WJ3RER9xtqwdhxkhw/edit?usp=sharing"",""ฉะเชิงเทรา!J45"")"),0)</f>
        <v>0</v>
      </c>
      <c r="O57" s="56">
        <f t="shared" ca="1" si="5"/>
        <v>0</v>
      </c>
      <c r="P57" s="55">
        <f ca="1">IFERROR(__xludf.DUMMYFUNCTION("IMPORTRANGE(""https://docs.google.com/spreadsheets/d/1SX6NBoVAgQJ6U1MVXOaj8PK2l7WJ3RER9xtqwdhxkhw/edit?usp=sharing"",""ฉะเชิงเทรา!J46"")"),0)</f>
        <v>0</v>
      </c>
      <c r="Q57" s="56">
        <f t="shared" ca="1" si="6"/>
        <v>0</v>
      </c>
      <c r="R57" s="55">
        <f ca="1">IFERROR(__xludf.DUMMYFUNCTION("IMPORTRANGE(""https://docs.google.com/spreadsheets/d/1SX6NBoVAgQJ6U1MVXOaj8PK2l7WJ3RER9xtqwdhxkhw/edit?usp=sharing"",""ฉะเชิงเทรา!J47"")"),0)</f>
        <v>0</v>
      </c>
      <c r="S57" s="99">
        <f t="shared" ca="1" si="7"/>
        <v>0</v>
      </c>
      <c r="T57" s="55">
        <v>1</v>
      </c>
      <c r="U57" s="55">
        <f ca="1">IFERROR(__xludf.DUMMYFUNCTION("IMPORTRANGE(""https://docs.google.com/spreadsheets/d/1SX6NBoVAgQJ6U1MVXOaj8PK2l7WJ3RER9xtqwdhxkhw/edit?usp=sharing"",""ฉะเชิงเทรา!J48"")"),0)</f>
        <v>0</v>
      </c>
      <c r="V57" s="99">
        <f t="shared" ca="1" si="9"/>
        <v>0</v>
      </c>
      <c r="W57" s="81"/>
      <c r="X57" s="81"/>
      <c r="Y57" s="81"/>
      <c r="Z57" s="81"/>
    </row>
    <row r="58" spans="1:26" ht="24" customHeight="1" x14ac:dyDescent="0.5">
      <c r="A58" s="52">
        <v>4</v>
      </c>
      <c r="B58" s="53" t="s">
        <v>73</v>
      </c>
      <c r="C58" s="54">
        <f t="shared" si="40"/>
        <v>122100</v>
      </c>
      <c r="D58" s="55">
        <v>0</v>
      </c>
      <c r="E58" s="55">
        <v>122100</v>
      </c>
      <c r="F58" s="55">
        <f ca="1">IFERROR(__xludf.DUMMYFUNCTION("IMPORTRANGE(""https://docs.google.com/spreadsheets/d/1SX6NBoVAgQJ6U1MVXOaj8PK2l7WJ3RER9xtqwdhxkhw/edit?usp=sharing"",""ชลบุรี!M35"")"),5900)</f>
        <v>5900</v>
      </c>
      <c r="G58" s="99">
        <f t="shared" ca="1" si="1"/>
        <v>4.8321048321048323</v>
      </c>
      <c r="H58" s="55">
        <v>1</v>
      </c>
      <c r="I58" s="55">
        <f ca="1">IFERROR(__xludf.DUMMYFUNCTION("IMPORTRANGE(""https://docs.google.com/spreadsheets/d/1SX6NBoVAgQJ6U1MVXOaj8PK2l7WJ3RER9xtqwdhxkhw/edit?usp=sharing"",""ชลบุรี!J43"")"),0)</f>
        <v>0</v>
      </c>
      <c r="J58" s="56">
        <f t="shared" ca="1" si="3"/>
        <v>0</v>
      </c>
      <c r="K58" s="55">
        <v>4</v>
      </c>
      <c r="L58" s="55">
        <f ca="1">IFERROR(__xludf.DUMMYFUNCTION("IMPORTRANGE(""https://docs.google.com/spreadsheets/d/1SX6NBoVAgQJ6U1MVXOaj8PK2l7WJ3RER9xtqwdhxkhw/edit?usp=sharing"",""ชลบุรี!J44"")"),0)</f>
        <v>0</v>
      </c>
      <c r="M58" s="56">
        <f t="shared" ca="1" si="4"/>
        <v>0</v>
      </c>
      <c r="N58" s="55">
        <f ca="1">IFERROR(__xludf.DUMMYFUNCTION("IMPORTRANGE(""https://docs.google.com/spreadsheets/d/1SX6NBoVAgQJ6U1MVXOaj8PK2l7WJ3RER9xtqwdhxkhw/edit?usp=sharing"",""ชลบุรี!J45"")"),0)</f>
        <v>0</v>
      </c>
      <c r="O58" s="56">
        <f t="shared" ca="1" si="5"/>
        <v>0</v>
      </c>
      <c r="P58" s="55">
        <f ca="1">IFERROR(__xludf.DUMMYFUNCTION("IMPORTRANGE(""https://docs.google.com/spreadsheets/d/1SX6NBoVAgQJ6U1MVXOaj8PK2l7WJ3RER9xtqwdhxkhw/edit?usp=sharing"",""ชลบุรี!J46"")"),0)</f>
        <v>0</v>
      </c>
      <c r="Q58" s="56">
        <f t="shared" ca="1" si="6"/>
        <v>0</v>
      </c>
      <c r="R58" s="55">
        <f ca="1">IFERROR(__xludf.DUMMYFUNCTION("IMPORTRANGE(""https://docs.google.com/spreadsheets/d/1SX6NBoVAgQJ6U1MVXOaj8PK2l7WJ3RER9xtqwdhxkhw/edit?usp=sharing"",""ชลบุรี!J47"")"),0)</f>
        <v>0</v>
      </c>
      <c r="S58" s="99">
        <f t="shared" ca="1" si="7"/>
        <v>0</v>
      </c>
      <c r="T58" s="55">
        <v>1</v>
      </c>
      <c r="U58" s="55">
        <f ca="1">IFERROR(__xludf.DUMMYFUNCTION("IMPORTRANGE(""https://docs.google.com/spreadsheets/d/1SX6NBoVAgQJ6U1MVXOaj8PK2l7WJ3RER9xtqwdhxkhw/edit?usp=sharing"",""ชลบุรี!J48"")"),0)</f>
        <v>0</v>
      </c>
      <c r="V58" s="99">
        <f t="shared" ca="1" si="9"/>
        <v>0</v>
      </c>
      <c r="W58" s="81"/>
      <c r="X58" s="81"/>
      <c r="Y58" s="81"/>
      <c r="Z58" s="81"/>
    </row>
    <row r="59" spans="1:26" ht="24" customHeight="1" x14ac:dyDescent="0.5">
      <c r="A59" s="52">
        <v>5</v>
      </c>
      <c r="B59" s="53" t="s">
        <v>74</v>
      </c>
      <c r="C59" s="54">
        <f t="shared" si="40"/>
        <v>0</v>
      </c>
      <c r="D59" s="55">
        <v>0</v>
      </c>
      <c r="E59" s="55">
        <v>0</v>
      </c>
      <c r="F59" s="55">
        <f ca="1">IFERROR(__xludf.DUMMYFUNCTION("IMPORTRANGE(""https://docs.google.com/spreadsheets/d/1SX6NBoVAgQJ6U1MVXOaj8PK2l7WJ3RER9xtqwdhxkhw/edit?usp=sharing"",""ชัยนาท!M35"")"),0)</f>
        <v>0</v>
      </c>
      <c r="G59" s="99">
        <f t="shared" si="1"/>
        <v>0</v>
      </c>
      <c r="H59" s="55">
        <v>0</v>
      </c>
      <c r="I59" s="55">
        <f ca="1">IFERROR(__xludf.DUMMYFUNCTION("IMPORTRANGE(""https://docs.google.com/spreadsheets/d/1SX6NBoVAgQJ6U1MVXOaj8PK2l7WJ3RER9xtqwdhxkhw/edit?usp=sharing"",""ชัยนาท!J43"")"),0)</f>
        <v>0</v>
      </c>
      <c r="J59" s="56">
        <f t="shared" si="3"/>
        <v>0</v>
      </c>
      <c r="K59" s="55">
        <v>0</v>
      </c>
      <c r="L59" s="55">
        <f ca="1">IFERROR(__xludf.DUMMYFUNCTION("IMPORTRANGE(""https://docs.google.com/spreadsheets/d/1SX6NBoVAgQJ6U1MVXOaj8PK2l7WJ3RER9xtqwdhxkhw/edit?usp=sharing"",""ชัยนาท!J44"")"),0)</f>
        <v>0</v>
      </c>
      <c r="M59" s="56">
        <f t="shared" si="4"/>
        <v>0</v>
      </c>
      <c r="N59" s="55">
        <f ca="1">IFERROR(__xludf.DUMMYFUNCTION("IMPORTRANGE(""https://docs.google.com/spreadsheets/d/1SX6NBoVAgQJ6U1MVXOaj8PK2l7WJ3RER9xtqwdhxkhw/edit?usp=sharing"",""ชัยนาท!J45"")"),0)</f>
        <v>0</v>
      </c>
      <c r="O59" s="56">
        <f t="shared" si="5"/>
        <v>0</v>
      </c>
      <c r="P59" s="55">
        <f ca="1">IFERROR(__xludf.DUMMYFUNCTION("IMPORTRANGE(""https://docs.google.com/spreadsheets/d/1SX6NBoVAgQJ6U1MVXOaj8PK2l7WJ3RER9xtqwdhxkhw/edit?usp=sharing"",""ชัยนาท!J46"")"),0)</f>
        <v>0</v>
      </c>
      <c r="Q59" s="56">
        <f t="shared" si="6"/>
        <v>0</v>
      </c>
      <c r="R59" s="55">
        <f ca="1">IFERROR(__xludf.DUMMYFUNCTION("IMPORTRANGE(""https://docs.google.com/spreadsheets/d/1SX6NBoVAgQJ6U1MVXOaj8PK2l7WJ3RER9xtqwdhxkhw/edit?usp=sharing"",""ชัยนาท!J47"")"),0)</f>
        <v>0</v>
      </c>
      <c r="S59" s="99">
        <f t="shared" si="7"/>
        <v>0</v>
      </c>
      <c r="T59" s="55">
        <v>0</v>
      </c>
      <c r="U59" s="55">
        <f ca="1">IFERROR(__xludf.DUMMYFUNCTION("IMPORTRANGE(""https://docs.google.com/spreadsheets/d/1SX6NBoVAgQJ6U1MVXOaj8PK2l7WJ3RER9xtqwdhxkhw/edit?usp=sharing"",""ชัยนาท!J48"")"),0)</f>
        <v>0</v>
      </c>
      <c r="V59" s="99">
        <f t="shared" si="9"/>
        <v>0</v>
      </c>
      <c r="W59" s="81"/>
      <c r="X59" s="81"/>
      <c r="Y59" s="81"/>
      <c r="Z59" s="81"/>
    </row>
    <row r="60" spans="1:26" ht="24" customHeight="1" x14ac:dyDescent="0.5">
      <c r="A60" s="52">
        <v>6</v>
      </c>
      <c r="B60" s="53" t="s">
        <v>75</v>
      </c>
      <c r="C60" s="54">
        <f t="shared" si="40"/>
        <v>0</v>
      </c>
      <c r="D60" s="55">
        <v>0</v>
      </c>
      <c r="E60" s="55">
        <v>0</v>
      </c>
      <c r="F60" s="55">
        <f ca="1">IFERROR(__xludf.DUMMYFUNCTION("IMPORTRANGE(""https://docs.google.com/spreadsheets/d/1SX6NBoVAgQJ6U1MVXOaj8PK2l7WJ3RER9xtqwdhxkhw/edit?usp=sharing"",""ตราด!M35"")"),0)</f>
        <v>0</v>
      </c>
      <c r="G60" s="99">
        <f t="shared" si="1"/>
        <v>0</v>
      </c>
      <c r="H60" s="55">
        <v>0</v>
      </c>
      <c r="I60" s="55">
        <f ca="1">IFERROR(__xludf.DUMMYFUNCTION("IMPORTRANGE(""https://docs.google.com/spreadsheets/d/1SX6NBoVAgQJ6U1MVXOaj8PK2l7WJ3RER9xtqwdhxkhw/edit?usp=sharing"",""ตราด!J43"")"),0)</f>
        <v>0</v>
      </c>
      <c r="J60" s="56">
        <f t="shared" si="3"/>
        <v>0</v>
      </c>
      <c r="K60" s="55">
        <v>0</v>
      </c>
      <c r="L60" s="55">
        <f ca="1">IFERROR(__xludf.DUMMYFUNCTION("IMPORTRANGE(""https://docs.google.com/spreadsheets/d/1SX6NBoVAgQJ6U1MVXOaj8PK2l7WJ3RER9xtqwdhxkhw/edit?usp=sharing"",""ตราด!J44"")"),0)</f>
        <v>0</v>
      </c>
      <c r="M60" s="56">
        <f t="shared" si="4"/>
        <v>0</v>
      </c>
      <c r="N60" s="55">
        <f ca="1">IFERROR(__xludf.DUMMYFUNCTION("IMPORTRANGE(""https://docs.google.com/spreadsheets/d/1SX6NBoVAgQJ6U1MVXOaj8PK2l7WJ3RER9xtqwdhxkhw/edit?usp=sharing"",""ตราด!J45"")"),0)</f>
        <v>0</v>
      </c>
      <c r="O60" s="56">
        <f t="shared" si="5"/>
        <v>0</v>
      </c>
      <c r="P60" s="55">
        <f ca="1">IFERROR(__xludf.DUMMYFUNCTION("IMPORTRANGE(""https://docs.google.com/spreadsheets/d/1SX6NBoVAgQJ6U1MVXOaj8PK2l7WJ3RER9xtqwdhxkhw/edit?usp=sharing"",""ตราด!J46"")"),0)</f>
        <v>0</v>
      </c>
      <c r="Q60" s="56">
        <f t="shared" si="6"/>
        <v>0</v>
      </c>
      <c r="R60" s="55">
        <f ca="1">IFERROR(__xludf.DUMMYFUNCTION("IMPORTRANGE(""https://docs.google.com/spreadsheets/d/1SX6NBoVAgQJ6U1MVXOaj8PK2l7WJ3RER9xtqwdhxkhw/edit?usp=sharing"",""ตราด!J47"")"),0)</f>
        <v>0</v>
      </c>
      <c r="S60" s="99">
        <f t="shared" si="7"/>
        <v>0</v>
      </c>
      <c r="T60" s="55">
        <v>0</v>
      </c>
      <c r="U60" s="55">
        <f ca="1">IFERROR(__xludf.DUMMYFUNCTION("IMPORTRANGE(""https://docs.google.com/spreadsheets/d/1SX6NBoVAgQJ6U1MVXOaj8PK2l7WJ3RER9xtqwdhxkhw/edit?usp=sharing"",""ตราด!J48"")"),0)</f>
        <v>0</v>
      </c>
      <c r="V60" s="99">
        <f t="shared" si="9"/>
        <v>0</v>
      </c>
      <c r="W60" s="81"/>
      <c r="X60" s="81"/>
      <c r="Y60" s="81"/>
      <c r="Z60" s="81"/>
    </row>
    <row r="61" spans="1:26" ht="24" customHeight="1" x14ac:dyDescent="0.5">
      <c r="A61" s="52">
        <v>7</v>
      </c>
      <c r="B61" s="53" t="s">
        <v>76</v>
      </c>
      <c r="C61" s="54">
        <f t="shared" si="40"/>
        <v>0</v>
      </c>
      <c r="D61" s="55">
        <v>0</v>
      </c>
      <c r="E61" s="55">
        <v>0</v>
      </c>
      <c r="F61" s="55">
        <f ca="1">IFERROR(__xludf.DUMMYFUNCTION("IMPORTRANGE(""https://docs.google.com/spreadsheets/d/1SX6NBoVAgQJ6U1MVXOaj8PK2l7WJ3RER9xtqwdhxkhw/edit?usp=sharing"",""นครนายก!M35"")"),0)</f>
        <v>0</v>
      </c>
      <c r="G61" s="99">
        <f t="shared" si="1"/>
        <v>0</v>
      </c>
      <c r="H61" s="55">
        <v>0</v>
      </c>
      <c r="I61" s="55">
        <f ca="1">IFERROR(__xludf.DUMMYFUNCTION("IMPORTRANGE(""https://docs.google.com/spreadsheets/d/1SX6NBoVAgQJ6U1MVXOaj8PK2l7WJ3RER9xtqwdhxkhw/edit?usp=sharing"",""นครนายก!J43"")"),0)</f>
        <v>0</v>
      </c>
      <c r="J61" s="56">
        <f t="shared" si="3"/>
        <v>0</v>
      </c>
      <c r="K61" s="55">
        <v>0</v>
      </c>
      <c r="L61" s="55">
        <f ca="1">IFERROR(__xludf.DUMMYFUNCTION("IMPORTRANGE(""https://docs.google.com/spreadsheets/d/1SX6NBoVAgQJ6U1MVXOaj8PK2l7WJ3RER9xtqwdhxkhw/edit?usp=sharing"",""นครนายก!J44"")"),0)</f>
        <v>0</v>
      </c>
      <c r="M61" s="56">
        <f t="shared" si="4"/>
        <v>0</v>
      </c>
      <c r="N61" s="55">
        <f ca="1">IFERROR(__xludf.DUMMYFUNCTION("IMPORTRANGE(""https://docs.google.com/spreadsheets/d/1SX6NBoVAgQJ6U1MVXOaj8PK2l7WJ3RER9xtqwdhxkhw/edit?usp=sharing"",""นครนายก!J45"")"),0)</f>
        <v>0</v>
      </c>
      <c r="O61" s="56">
        <f t="shared" si="5"/>
        <v>0</v>
      </c>
      <c r="P61" s="55">
        <f ca="1">IFERROR(__xludf.DUMMYFUNCTION("IMPORTRANGE(""https://docs.google.com/spreadsheets/d/1SX6NBoVAgQJ6U1MVXOaj8PK2l7WJ3RER9xtqwdhxkhw/edit?usp=sharing"",""นครนายก!J46"")"),0)</f>
        <v>0</v>
      </c>
      <c r="Q61" s="56">
        <f t="shared" si="6"/>
        <v>0</v>
      </c>
      <c r="R61" s="55">
        <f ca="1">IFERROR(__xludf.DUMMYFUNCTION("IMPORTRANGE(""https://docs.google.com/spreadsheets/d/1SX6NBoVAgQJ6U1MVXOaj8PK2l7WJ3RER9xtqwdhxkhw/edit?usp=sharing"",""นครนายก!J47"")"),0)</f>
        <v>0</v>
      </c>
      <c r="S61" s="99">
        <f t="shared" si="7"/>
        <v>0</v>
      </c>
      <c r="T61" s="55">
        <v>0</v>
      </c>
      <c r="U61" s="55">
        <f ca="1">IFERROR(__xludf.DUMMYFUNCTION("IMPORTRANGE(""https://docs.google.com/spreadsheets/d/1SX6NBoVAgQJ6U1MVXOaj8PK2l7WJ3RER9xtqwdhxkhw/edit?usp=sharing"",""นครนายก!J48"")"),0)</f>
        <v>0</v>
      </c>
      <c r="V61" s="99">
        <f t="shared" si="9"/>
        <v>0</v>
      </c>
      <c r="W61" s="81"/>
      <c r="X61" s="81"/>
      <c r="Y61" s="81"/>
      <c r="Z61" s="81"/>
    </row>
    <row r="62" spans="1:26" ht="24" customHeight="1" x14ac:dyDescent="0.5">
      <c r="A62" s="52">
        <v>8</v>
      </c>
      <c r="B62" s="53" t="s">
        <v>77</v>
      </c>
      <c r="C62" s="54">
        <f t="shared" si="40"/>
        <v>0</v>
      </c>
      <c r="D62" s="55">
        <v>0</v>
      </c>
      <c r="E62" s="55">
        <v>0</v>
      </c>
      <c r="F62" s="55">
        <f ca="1">IFERROR(__xludf.DUMMYFUNCTION("IMPORTRANGE(""https://docs.google.com/spreadsheets/d/1SX6NBoVAgQJ6U1MVXOaj8PK2l7WJ3RER9xtqwdhxkhw/edit?usp=sharing"",""นครปฐม!M35"")"),0)</f>
        <v>0</v>
      </c>
      <c r="G62" s="99">
        <f t="shared" si="1"/>
        <v>0</v>
      </c>
      <c r="H62" s="55">
        <v>0</v>
      </c>
      <c r="I62" s="55">
        <f ca="1">IFERROR(__xludf.DUMMYFUNCTION("IMPORTRANGE(""https://docs.google.com/spreadsheets/d/1SX6NBoVAgQJ6U1MVXOaj8PK2l7WJ3RER9xtqwdhxkhw/edit?usp=sharing"",""นครปฐม!J43"")"),0)</f>
        <v>0</v>
      </c>
      <c r="J62" s="56">
        <f t="shared" si="3"/>
        <v>0</v>
      </c>
      <c r="K62" s="55">
        <v>0</v>
      </c>
      <c r="L62" s="55">
        <f ca="1">IFERROR(__xludf.DUMMYFUNCTION("IMPORTRANGE(""https://docs.google.com/spreadsheets/d/1SX6NBoVAgQJ6U1MVXOaj8PK2l7WJ3RER9xtqwdhxkhw/edit?usp=sharing"",""นครปฐม!J44"")"),0)</f>
        <v>0</v>
      </c>
      <c r="M62" s="56">
        <f t="shared" si="4"/>
        <v>0</v>
      </c>
      <c r="N62" s="55">
        <f ca="1">IFERROR(__xludf.DUMMYFUNCTION("IMPORTRANGE(""https://docs.google.com/spreadsheets/d/1SX6NBoVAgQJ6U1MVXOaj8PK2l7WJ3RER9xtqwdhxkhw/edit?usp=sharing"",""นครปฐม!J45"")"),0)</f>
        <v>0</v>
      </c>
      <c r="O62" s="56">
        <f t="shared" si="5"/>
        <v>0</v>
      </c>
      <c r="P62" s="55">
        <f ca="1">IFERROR(__xludf.DUMMYFUNCTION("IMPORTRANGE(""https://docs.google.com/spreadsheets/d/1SX6NBoVAgQJ6U1MVXOaj8PK2l7WJ3RER9xtqwdhxkhw/edit?usp=sharing"",""นครปฐม!J46"")"),0)</f>
        <v>0</v>
      </c>
      <c r="Q62" s="56">
        <f t="shared" si="6"/>
        <v>0</v>
      </c>
      <c r="R62" s="55">
        <f ca="1">IFERROR(__xludf.DUMMYFUNCTION("IMPORTRANGE(""https://docs.google.com/spreadsheets/d/1SX6NBoVAgQJ6U1MVXOaj8PK2l7WJ3RER9xtqwdhxkhw/edit?usp=sharing"",""นครปฐม!J47"")"),0)</f>
        <v>0</v>
      </c>
      <c r="S62" s="99">
        <f t="shared" si="7"/>
        <v>0</v>
      </c>
      <c r="T62" s="55">
        <v>0</v>
      </c>
      <c r="U62" s="55">
        <f ca="1">IFERROR(__xludf.DUMMYFUNCTION("IMPORTRANGE(""https://docs.google.com/spreadsheets/d/1SX6NBoVAgQJ6U1MVXOaj8PK2l7WJ3RER9xtqwdhxkhw/edit?usp=sharing"",""นครปฐม!J48"")"),0)</f>
        <v>0</v>
      </c>
      <c r="V62" s="99">
        <f t="shared" si="9"/>
        <v>0</v>
      </c>
      <c r="W62" s="81"/>
      <c r="X62" s="81"/>
      <c r="Y62" s="81"/>
      <c r="Z62" s="81"/>
    </row>
    <row r="63" spans="1:26" ht="24" customHeight="1" x14ac:dyDescent="0.5">
      <c r="A63" s="52">
        <v>9</v>
      </c>
      <c r="B63" s="53" t="s">
        <v>78</v>
      </c>
      <c r="C63" s="54">
        <f t="shared" si="40"/>
        <v>0</v>
      </c>
      <c r="D63" s="55">
        <v>0</v>
      </c>
      <c r="E63" s="55">
        <v>0</v>
      </c>
      <c r="F63" s="55">
        <f ca="1">IFERROR(__xludf.DUMMYFUNCTION("IMPORTRANGE(""https://docs.google.com/spreadsheets/d/1SX6NBoVAgQJ6U1MVXOaj8PK2l7WJ3RER9xtqwdhxkhw/edit?usp=sharing"",""ปทุมธานี!M35"")"),0)</f>
        <v>0</v>
      </c>
      <c r="G63" s="99">
        <f t="shared" si="1"/>
        <v>0</v>
      </c>
      <c r="H63" s="55">
        <v>0</v>
      </c>
      <c r="I63" s="55">
        <f ca="1">IFERROR(__xludf.DUMMYFUNCTION("IMPORTRANGE(""https://docs.google.com/spreadsheets/d/1SX6NBoVAgQJ6U1MVXOaj8PK2l7WJ3RER9xtqwdhxkhw/edit?usp=sharing"",""ปทุมธานี!J43"")"),0)</f>
        <v>0</v>
      </c>
      <c r="J63" s="56">
        <f t="shared" si="3"/>
        <v>0</v>
      </c>
      <c r="K63" s="55">
        <v>0</v>
      </c>
      <c r="L63" s="55">
        <f ca="1">IFERROR(__xludf.DUMMYFUNCTION("IMPORTRANGE(""https://docs.google.com/spreadsheets/d/1SX6NBoVAgQJ6U1MVXOaj8PK2l7WJ3RER9xtqwdhxkhw/edit?usp=sharing"",""ปทุมธานี!J44"")"),0)</f>
        <v>0</v>
      </c>
      <c r="M63" s="56">
        <f t="shared" si="4"/>
        <v>0</v>
      </c>
      <c r="N63" s="55">
        <f ca="1">IFERROR(__xludf.DUMMYFUNCTION("IMPORTRANGE(""https://docs.google.com/spreadsheets/d/1SX6NBoVAgQJ6U1MVXOaj8PK2l7WJ3RER9xtqwdhxkhw/edit?usp=sharing"",""ปทุมธานี!J45"")"),0)</f>
        <v>0</v>
      </c>
      <c r="O63" s="56">
        <f t="shared" si="5"/>
        <v>0</v>
      </c>
      <c r="P63" s="55">
        <f ca="1">IFERROR(__xludf.DUMMYFUNCTION("IMPORTRANGE(""https://docs.google.com/spreadsheets/d/1SX6NBoVAgQJ6U1MVXOaj8PK2l7WJ3RER9xtqwdhxkhw/edit?usp=sharing"",""ปทุมธานี!J46"")"),0)</f>
        <v>0</v>
      </c>
      <c r="Q63" s="56">
        <f t="shared" si="6"/>
        <v>0</v>
      </c>
      <c r="R63" s="55">
        <f ca="1">IFERROR(__xludf.DUMMYFUNCTION("IMPORTRANGE(""https://docs.google.com/spreadsheets/d/1SX6NBoVAgQJ6U1MVXOaj8PK2l7WJ3RER9xtqwdhxkhw/edit?usp=sharing"",""ปทุมธานี!J47"")"),0)</f>
        <v>0</v>
      </c>
      <c r="S63" s="99">
        <f t="shared" si="7"/>
        <v>0</v>
      </c>
      <c r="T63" s="55">
        <v>0</v>
      </c>
      <c r="U63" s="55">
        <f ca="1">IFERROR(__xludf.DUMMYFUNCTION("IMPORTRANGE(""https://docs.google.com/spreadsheets/d/1SX6NBoVAgQJ6U1MVXOaj8PK2l7WJ3RER9xtqwdhxkhw/edit?usp=sharing"",""ปทุมธานี!J48"")"),0)</f>
        <v>0</v>
      </c>
      <c r="V63" s="99">
        <f t="shared" si="9"/>
        <v>0</v>
      </c>
      <c r="W63" s="81"/>
      <c r="X63" s="81"/>
      <c r="Y63" s="81"/>
      <c r="Z63" s="81"/>
    </row>
    <row r="64" spans="1:26" ht="24" customHeight="1" x14ac:dyDescent="0.5">
      <c r="A64" s="52">
        <v>10</v>
      </c>
      <c r="B64" s="53" t="s">
        <v>79</v>
      </c>
      <c r="C64" s="54">
        <f t="shared" si="40"/>
        <v>0</v>
      </c>
      <c r="D64" s="55">
        <v>0</v>
      </c>
      <c r="E64" s="55">
        <v>0</v>
      </c>
      <c r="F64" s="55">
        <f ca="1">IFERROR(__xludf.DUMMYFUNCTION("IMPORTRANGE(""https://docs.google.com/spreadsheets/d/1SX6NBoVAgQJ6U1MVXOaj8PK2l7WJ3RER9xtqwdhxkhw/edit?usp=sharing"",""ประจวบคีรีขันธ์!M35"")"),0)</f>
        <v>0</v>
      </c>
      <c r="G64" s="99">
        <f t="shared" si="1"/>
        <v>0</v>
      </c>
      <c r="H64" s="55">
        <v>0</v>
      </c>
      <c r="I64" s="55">
        <f ca="1">IFERROR(__xludf.DUMMYFUNCTION("IMPORTRANGE(""https://docs.google.com/spreadsheets/d/1SX6NBoVAgQJ6U1MVXOaj8PK2l7WJ3RER9xtqwdhxkhw/edit?usp=sharing"",""ประจวบคีรีขันธ์!J43"")"),0)</f>
        <v>0</v>
      </c>
      <c r="J64" s="56">
        <f t="shared" si="3"/>
        <v>0</v>
      </c>
      <c r="K64" s="55">
        <v>0</v>
      </c>
      <c r="L64" s="55">
        <f ca="1">IFERROR(__xludf.DUMMYFUNCTION("IMPORTRANGE(""https://docs.google.com/spreadsheets/d/1SX6NBoVAgQJ6U1MVXOaj8PK2l7WJ3RER9xtqwdhxkhw/edit?usp=sharing"",""ประจวบคีรีขันธ์!J44"")"),0)</f>
        <v>0</v>
      </c>
      <c r="M64" s="56">
        <f t="shared" si="4"/>
        <v>0</v>
      </c>
      <c r="N64" s="55">
        <f ca="1">IFERROR(__xludf.DUMMYFUNCTION("IMPORTRANGE(""https://docs.google.com/spreadsheets/d/1SX6NBoVAgQJ6U1MVXOaj8PK2l7WJ3RER9xtqwdhxkhw/edit?usp=sharing"",""ประจวบคีรีขันธ์!J45"")"),0)</f>
        <v>0</v>
      </c>
      <c r="O64" s="56">
        <f t="shared" si="5"/>
        <v>0</v>
      </c>
      <c r="P64" s="55">
        <f ca="1">IFERROR(__xludf.DUMMYFUNCTION("IMPORTRANGE(""https://docs.google.com/spreadsheets/d/1SX6NBoVAgQJ6U1MVXOaj8PK2l7WJ3RER9xtqwdhxkhw/edit?usp=sharing"",""ประจวบคีรีขันธ์!J46"")"),0)</f>
        <v>0</v>
      </c>
      <c r="Q64" s="56">
        <f t="shared" si="6"/>
        <v>0</v>
      </c>
      <c r="R64" s="55">
        <f ca="1">IFERROR(__xludf.DUMMYFUNCTION("IMPORTRANGE(""https://docs.google.com/spreadsheets/d/1SX6NBoVAgQJ6U1MVXOaj8PK2l7WJ3RER9xtqwdhxkhw/edit?usp=sharing"",""ประจวบคีรีขันธ์!J47"")"),0)</f>
        <v>0</v>
      </c>
      <c r="S64" s="99">
        <f t="shared" si="7"/>
        <v>0</v>
      </c>
      <c r="T64" s="55">
        <v>0</v>
      </c>
      <c r="U64" s="55">
        <f ca="1">IFERROR(__xludf.DUMMYFUNCTION("IMPORTRANGE(""https://docs.google.com/spreadsheets/d/1SX6NBoVAgQJ6U1MVXOaj8PK2l7WJ3RER9xtqwdhxkhw/edit?usp=sharing"",""ประจวบคีรีขันธ์!J48"")"),0)</f>
        <v>0</v>
      </c>
      <c r="V64" s="99">
        <f t="shared" si="9"/>
        <v>0</v>
      </c>
      <c r="W64" s="81"/>
      <c r="X64" s="81"/>
      <c r="Y64" s="81"/>
      <c r="Z64" s="81"/>
    </row>
    <row r="65" spans="1:26" ht="24" customHeight="1" x14ac:dyDescent="0.5">
      <c r="A65" s="52">
        <v>11</v>
      </c>
      <c r="B65" s="53" t="s">
        <v>80</v>
      </c>
      <c r="C65" s="54">
        <f t="shared" si="40"/>
        <v>122100</v>
      </c>
      <c r="D65" s="55">
        <v>0</v>
      </c>
      <c r="E65" s="55">
        <v>122100</v>
      </c>
      <c r="F65" s="55">
        <f ca="1">IFERROR(__xludf.DUMMYFUNCTION("IMPORTRANGE(""https://docs.google.com/spreadsheets/d/1SX6NBoVAgQJ6U1MVXOaj8PK2l7WJ3RER9xtqwdhxkhw/edit?usp=sharing"",""ปราจีนบุรี!M35"")"),0)</f>
        <v>0</v>
      </c>
      <c r="G65" s="99">
        <f t="shared" ca="1" si="1"/>
        <v>0</v>
      </c>
      <c r="H65" s="55">
        <v>1</v>
      </c>
      <c r="I65" s="55">
        <f ca="1">IFERROR(__xludf.DUMMYFUNCTION("IMPORTRANGE(""https://docs.google.com/spreadsheets/d/1SX6NBoVAgQJ6U1MVXOaj8PK2l7WJ3RER9xtqwdhxkhw/edit?usp=sharing"",""ปราจีนบุรี!J43"")"),0)</f>
        <v>0</v>
      </c>
      <c r="J65" s="56">
        <f t="shared" ca="1" si="3"/>
        <v>0</v>
      </c>
      <c r="K65" s="55">
        <v>4</v>
      </c>
      <c r="L65" s="55">
        <f ca="1">IFERROR(__xludf.DUMMYFUNCTION("IMPORTRANGE(""https://docs.google.com/spreadsheets/d/1SX6NBoVAgQJ6U1MVXOaj8PK2l7WJ3RER9xtqwdhxkhw/edit?usp=sharing"",""ปราจีนบุรี!J44"")"),0)</f>
        <v>0</v>
      </c>
      <c r="M65" s="56">
        <f t="shared" ca="1" si="4"/>
        <v>0</v>
      </c>
      <c r="N65" s="55">
        <f ca="1">IFERROR(__xludf.DUMMYFUNCTION("IMPORTRANGE(""https://docs.google.com/spreadsheets/d/1SX6NBoVAgQJ6U1MVXOaj8PK2l7WJ3RER9xtqwdhxkhw/edit?usp=sharing"",""ปราจีนบุรี!J45"")"),0)</f>
        <v>0</v>
      </c>
      <c r="O65" s="56">
        <f t="shared" ca="1" si="5"/>
        <v>0</v>
      </c>
      <c r="P65" s="55">
        <f ca="1">IFERROR(__xludf.DUMMYFUNCTION("IMPORTRANGE(""https://docs.google.com/spreadsheets/d/1SX6NBoVAgQJ6U1MVXOaj8PK2l7WJ3RER9xtqwdhxkhw/edit?usp=sharing"",""ปราจีนบุรี!J46"")"),0)</f>
        <v>0</v>
      </c>
      <c r="Q65" s="56">
        <f t="shared" ca="1" si="6"/>
        <v>0</v>
      </c>
      <c r="R65" s="55">
        <f ca="1">IFERROR(__xludf.DUMMYFUNCTION("IMPORTRANGE(""https://docs.google.com/spreadsheets/d/1SX6NBoVAgQJ6U1MVXOaj8PK2l7WJ3RER9xtqwdhxkhw/edit?usp=sharing"",""ปราจีนบุรี!J47"")"),0)</f>
        <v>0</v>
      </c>
      <c r="S65" s="99">
        <f t="shared" ca="1" si="7"/>
        <v>0</v>
      </c>
      <c r="T65" s="55">
        <v>1</v>
      </c>
      <c r="U65" s="55">
        <f ca="1">IFERROR(__xludf.DUMMYFUNCTION("IMPORTRANGE(""https://docs.google.com/spreadsheets/d/1SX6NBoVAgQJ6U1MVXOaj8PK2l7WJ3RER9xtqwdhxkhw/edit?usp=sharing"",""ปราจีนบุรี!J48"")"),0)</f>
        <v>0</v>
      </c>
      <c r="V65" s="99">
        <f t="shared" ca="1" si="9"/>
        <v>0</v>
      </c>
      <c r="W65" s="81"/>
      <c r="X65" s="81"/>
      <c r="Y65" s="81"/>
      <c r="Z65" s="81"/>
    </row>
    <row r="66" spans="1:26" ht="24" customHeight="1" x14ac:dyDescent="0.5">
      <c r="A66" s="52">
        <v>12</v>
      </c>
      <c r="B66" s="53" t="s">
        <v>81</v>
      </c>
      <c r="C66" s="54">
        <f t="shared" si="40"/>
        <v>0</v>
      </c>
      <c r="D66" s="55">
        <v>0</v>
      </c>
      <c r="E66" s="55">
        <v>0</v>
      </c>
      <c r="F66" s="55">
        <f ca="1">IFERROR(__xludf.DUMMYFUNCTION("IMPORTRANGE(""https://docs.google.com/spreadsheets/d/1SX6NBoVAgQJ6U1MVXOaj8PK2l7WJ3RER9xtqwdhxkhw/edit?usp=sharing"",""พระนครศรีอยุธยา!M35"")"),0)</f>
        <v>0</v>
      </c>
      <c r="G66" s="99">
        <f t="shared" si="1"/>
        <v>0</v>
      </c>
      <c r="H66" s="55">
        <v>0</v>
      </c>
      <c r="I66" s="55">
        <f ca="1">IFERROR(__xludf.DUMMYFUNCTION("IMPORTRANGE(""https://docs.google.com/spreadsheets/d/1SX6NBoVAgQJ6U1MVXOaj8PK2l7WJ3RER9xtqwdhxkhw/edit?usp=sharing"",""พระนครศรีอยุธยา!J43"")"),0)</f>
        <v>0</v>
      </c>
      <c r="J66" s="56">
        <f t="shared" si="3"/>
        <v>0</v>
      </c>
      <c r="K66" s="55">
        <v>0</v>
      </c>
      <c r="L66" s="55">
        <f ca="1">IFERROR(__xludf.DUMMYFUNCTION("IMPORTRANGE(""https://docs.google.com/spreadsheets/d/1SX6NBoVAgQJ6U1MVXOaj8PK2l7WJ3RER9xtqwdhxkhw/edit?usp=sharing"",""พระนครศรีอยุธยา!J44"")"),0)</f>
        <v>0</v>
      </c>
      <c r="M66" s="56">
        <f t="shared" si="4"/>
        <v>0</v>
      </c>
      <c r="N66" s="55">
        <f ca="1">IFERROR(__xludf.DUMMYFUNCTION("IMPORTRANGE(""https://docs.google.com/spreadsheets/d/1SX6NBoVAgQJ6U1MVXOaj8PK2l7WJ3RER9xtqwdhxkhw/edit?usp=sharing"",""พระนครศรีอยุธยา!J45"")"),0)</f>
        <v>0</v>
      </c>
      <c r="O66" s="56">
        <f t="shared" si="5"/>
        <v>0</v>
      </c>
      <c r="P66" s="55">
        <f ca="1">IFERROR(__xludf.DUMMYFUNCTION("IMPORTRANGE(""https://docs.google.com/spreadsheets/d/1SX6NBoVAgQJ6U1MVXOaj8PK2l7WJ3RER9xtqwdhxkhw/edit?usp=sharing"",""พระนครศรีอยุธยา!J46"")"),0)</f>
        <v>0</v>
      </c>
      <c r="Q66" s="56">
        <f t="shared" si="6"/>
        <v>0</v>
      </c>
      <c r="R66" s="55">
        <f ca="1">IFERROR(__xludf.DUMMYFUNCTION("IMPORTRANGE(""https://docs.google.com/spreadsheets/d/1SX6NBoVAgQJ6U1MVXOaj8PK2l7WJ3RER9xtqwdhxkhw/edit?usp=sharing"",""พระนครศรีอยุธยา!J47"")"),0)</f>
        <v>0</v>
      </c>
      <c r="S66" s="99">
        <f t="shared" si="7"/>
        <v>0</v>
      </c>
      <c r="T66" s="55">
        <v>0</v>
      </c>
      <c r="U66" s="55">
        <f ca="1">IFERROR(__xludf.DUMMYFUNCTION("IMPORTRANGE(""https://docs.google.com/spreadsheets/d/1SX6NBoVAgQJ6U1MVXOaj8PK2l7WJ3RER9xtqwdhxkhw/edit?usp=sharing"",""พระนครศรีอยุธยา!J48"")"),0)</f>
        <v>0</v>
      </c>
      <c r="V66" s="99">
        <f t="shared" si="9"/>
        <v>0</v>
      </c>
      <c r="W66" s="81"/>
      <c r="X66" s="81"/>
      <c r="Y66" s="81"/>
      <c r="Z66" s="81"/>
    </row>
    <row r="67" spans="1:26" ht="24" customHeight="1" x14ac:dyDescent="0.5">
      <c r="A67" s="52">
        <v>13</v>
      </c>
      <c r="B67" s="53" t="s">
        <v>82</v>
      </c>
      <c r="C67" s="54">
        <f t="shared" si="40"/>
        <v>0</v>
      </c>
      <c r="D67" s="55">
        <v>0</v>
      </c>
      <c r="E67" s="55">
        <v>0</v>
      </c>
      <c r="F67" s="55">
        <f ca="1">IFERROR(__xludf.DUMMYFUNCTION("IMPORTRANGE(""https://docs.google.com/spreadsheets/d/1SX6NBoVAgQJ6U1MVXOaj8PK2l7WJ3RER9xtqwdhxkhw/edit?usp=sharing"",""เพชรบุรี!M35"")"),0)</f>
        <v>0</v>
      </c>
      <c r="G67" s="99">
        <f t="shared" si="1"/>
        <v>0</v>
      </c>
      <c r="H67" s="55">
        <v>0</v>
      </c>
      <c r="I67" s="55">
        <f ca="1">IFERROR(__xludf.DUMMYFUNCTION("IMPORTRANGE(""https://docs.google.com/spreadsheets/d/1SX6NBoVAgQJ6U1MVXOaj8PK2l7WJ3RER9xtqwdhxkhw/edit?usp=sharing"",""เพชรบุรี!J43"")"),0)</f>
        <v>0</v>
      </c>
      <c r="J67" s="56">
        <f t="shared" si="3"/>
        <v>0</v>
      </c>
      <c r="K67" s="55">
        <v>0</v>
      </c>
      <c r="L67" s="55">
        <f ca="1">IFERROR(__xludf.DUMMYFUNCTION("IMPORTRANGE(""https://docs.google.com/spreadsheets/d/1SX6NBoVAgQJ6U1MVXOaj8PK2l7WJ3RER9xtqwdhxkhw/edit?usp=sharing"",""เพชรบุรี!J44"")"),0)</f>
        <v>0</v>
      </c>
      <c r="M67" s="56">
        <f t="shared" si="4"/>
        <v>0</v>
      </c>
      <c r="N67" s="55">
        <f ca="1">IFERROR(__xludf.DUMMYFUNCTION("IMPORTRANGE(""https://docs.google.com/spreadsheets/d/1SX6NBoVAgQJ6U1MVXOaj8PK2l7WJ3RER9xtqwdhxkhw/edit?usp=sharing"",""เพชรบุรี!J45"")"),0)</f>
        <v>0</v>
      </c>
      <c r="O67" s="56">
        <f t="shared" si="5"/>
        <v>0</v>
      </c>
      <c r="P67" s="55">
        <f ca="1">IFERROR(__xludf.DUMMYFUNCTION("IMPORTRANGE(""https://docs.google.com/spreadsheets/d/1SX6NBoVAgQJ6U1MVXOaj8PK2l7WJ3RER9xtqwdhxkhw/edit?usp=sharing"",""เพชรบุรี!J46"")"),0)</f>
        <v>0</v>
      </c>
      <c r="Q67" s="56">
        <f t="shared" si="6"/>
        <v>0</v>
      </c>
      <c r="R67" s="55">
        <f ca="1">IFERROR(__xludf.DUMMYFUNCTION("IMPORTRANGE(""https://docs.google.com/spreadsheets/d/1SX6NBoVAgQJ6U1MVXOaj8PK2l7WJ3RER9xtqwdhxkhw/edit?usp=sharing"",""เพชรบุรี!J47"")"),0)</f>
        <v>0</v>
      </c>
      <c r="S67" s="99">
        <f t="shared" si="7"/>
        <v>0</v>
      </c>
      <c r="T67" s="55">
        <v>0</v>
      </c>
      <c r="U67" s="55">
        <f ca="1">IFERROR(__xludf.DUMMYFUNCTION("IMPORTRANGE(""https://docs.google.com/spreadsheets/d/1SX6NBoVAgQJ6U1MVXOaj8PK2l7WJ3RER9xtqwdhxkhw/edit?usp=sharing"",""เพชรบุรี!J48"")"),0)</f>
        <v>0</v>
      </c>
      <c r="V67" s="99">
        <f t="shared" si="9"/>
        <v>0</v>
      </c>
      <c r="W67" s="81"/>
      <c r="X67" s="81"/>
      <c r="Y67" s="81"/>
      <c r="Z67" s="81"/>
    </row>
    <row r="68" spans="1:26" ht="24" customHeight="1" x14ac:dyDescent="0.5">
      <c r="A68" s="52">
        <v>14</v>
      </c>
      <c r="B68" s="53" t="s">
        <v>83</v>
      </c>
      <c r="C68" s="54">
        <f t="shared" si="40"/>
        <v>0</v>
      </c>
      <c r="D68" s="55">
        <v>0</v>
      </c>
      <c r="E68" s="55">
        <v>0</v>
      </c>
      <c r="F68" s="55">
        <f ca="1">IFERROR(__xludf.DUMMYFUNCTION("IMPORTRANGE(""https://docs.google.com/spreadsheets/d/1SX6NBoVAgQJ6U1MVXOaj8PK2l7WJ3RER9xtqwdhxkhw/edit?usp=sharing"",""ระยอง!M35"")"),0)</f>
        <v>0</v>
      </c>
      <c r="G68" s="99">
        <f t="shared" si="1"/>
        <v>0</v>
      </c>
      <c r="H68" s="55">
        <v>0</v>
      </c>
      <c r="I68" s="55">
        <f ca="1">IFERROR(__xludf.DUMMYFUNCTION("IMPORTRANGE(""https://docs.google.com/spreadsheets/d/1SX6NBoVAgQJ6U1MVXOaj8PK2l7WJ3RER9xtqwdhxkhw/edit?usp=sharing"",""ระยอง!J43"")"),0)</f>
        <v>0</v>
      </c>
      <c r="J68" s="56">
        <f t="shared" si="3"/>
        <v>0</v>
      </c>
      <c r="K68" s="55">
        <v>0</v>
      </c>
      <c r="L68" s="55">
        <f ca="1">IFERROR(__xludf.DUMMYFUNCTION("IMPORTRANGE(""https://docs.google.com/spreadsheets/d/1SX6NBoVAgQJ6U1MVXOaj8PK2l7WJ3RER9xtqwdhxkhw/edit?usp=sharing"",""ระยอง!J44"")"),0)</f>
        <v>0</v>
      </c>
      <c r="M68" s="56">
        <f t="shared" si="4"/>
        <v>0</v>
      </c>
      <c r="N68" s="55">
        <f ca="1">IFERROR(__xludf.DUMMYFUNCTION("IMPORTRANGE(""https://docs.google.com/spreadsheets/d/1SX6NBoVAgQJ6U1MVXOaj8PK2l7WJ3RER9xtqwdhxkhw/edit?usp=sharing"",""ระยอง!J45"")"),0)</f>
        <v>0</v>
      </c>
      <c r="O68" s="56">
        <f t="shared" si="5"/>
        <v>0</v>
      </c>
      <c r="P68" s="55">
        <f ca="1">IFERROR(__xludf.DUMMYFUNCTION("IMPORTRANGE(""https://docs.google.com/spreadsheets/d/1SX6NBoVAgQJ6U1MVXOaj8PK2l7WJ3RER9xtqwdhxkhw/edit?usp=sharing"",""ระยอง!J46"")"),0)</f>
        <v>0</v>
      </c>
      <c r="Q68" s="56">
        <f t="shared" si="6"/>
        <v>0</v>
      </c>
      <c r="R68" s="55">
        <f ca="1">IFERROR(__xludf.DUMMYFUNCTION("IMPORTRANGE(""https://docs.google.com/spreadsheets/d/1SX6NBoVAgQJ6U1MVXOaj8PK2l7WJ3RER9xtqwdhxkhw/edit?usp=sharing"",""ระยอง!J47"")"),0)</f>
        <v>0</v>
      </c>
      <c r="S68" s="99">
        <f t="shared" si="7"/>
        <v>0</v>
      </c>
      <c r="T68" s="55">
        <v>0</v>
      </c>
      <c r="U68" s="55">
        <f ca="1">IFERROR(__xludf.DUMMYFUNCTION("IMPORTRANGE(""https://docs.google.com/spreadsheets/d/1SX6NBoVAgQJ6U1MVXOaj8PK2l7WJ3RER9xtqwdhxkhw/edit?usp=sharing"",""ระยอง!J48"")"),0)</f>
        <v>0</v>
      </c>
      <c r="V68" s="99">
        <f t="shared" si="9"/>
        <v>0</v>
      </c>
      <c r="W68" s="81"/>
      <c r="X68" s="81"/>
      <c r="Y68" s="81"/>
      <c r="Z68" s="81"/>
    </row>
    <row r="69" spans="1:26" ht="24" customHeight="1" x14ac:dyDescent="0.5">
      <c r="A69" s="52">
        <v>15</v>
      </c>
      <c r="B69" s="53" t="s">
        <v>84</v>
      </c>
      <c r="C69" s="54">
        <f t="shared" si="40"/>
        <v>131980</v>
      </c>
      <c r="D69" s="55">
        <v>0</v>
      </c>
      <c r="E69" s="55">
        <v>131980</v>
      </c>
      <c r="F69" s="55">
        <f ca="1">IFERROR(__xludf.DUMMYFUNCTION("IMPORTRANGE(""https://docs.google.com/spreadsheets/d/1SX6NBoVAgQJ6U1MVXOaj8PK2l7WJ3RER9xtqwdhxkhw/edit?usp=sharing"",""ราชบุรี!M35"")"),0)</f>
        <v>0</v>
      </c>
      <c r="G69" s="99">
        <f t="shared" ca="1" si="1"/>
        <v>0</v>
      </c>
      <c r="H69" s="55">
        <v>1</v>
      </c>
      <c r="I69" s="55">
        <f ca="1">IFERROR(__xludf.DUMMYFUNCTION("IMPORTRANGE(""https://docs.google.com/spreadsheets/d/1SX6NBoVAgQJ6U1MVXOaj8PK2l7WJ3RER9xtqwdhxkhw/edit?usp=sharing"",""ราชบุรี!J43"")"),0)</f>
        <v>0</v>
      </c>
      <c r="J69" s="56">
        <f t="shared" ca="1" si="3"/>
        <v>0</v>
      </c>
      <c r="K69" s="55">
        <v>6</v>
      </c>
      <c r="L69" s="55">
        <f ca="1">IFERROR(__xludf.DUMMYFUNCTION("IMPORTRANGE(""https://docs.google.com/spreadsheets/d/1SX6NBoVAgQJ6U1MVXOaj8PK2l7WJ3RER9xtqwdhxkhw/edit?usp=sharing"",""ราชบุรี!J44"")"),0)</f>
        <v>0</v>
      </c>
      <c r="M69" s="56">
        <f t="shared" ca="1" si="4"/>
        <v>0</v>
      </c>
      <c r="N69" s="55">
        <f ca="1">IFERROR(__xludf.DUMMYFUNCTION("IMPORTRANGE(""https://docs.google.com/spreadsheets/d/1SX6NBoVAgQJ6U1MVXOaj8PK2l7WJ3RER9xtqwdhxkhw/edit?usp=sharing"",""ราชบุรี!J45"")"),0)</f>
        <v>0</v>
      </c>
      <c r="O69" s="56">
        <f t="shared" ca="1" si="5"/>
        <v>0</v>
      </c>
      <c r="P69" s="55">
        <f ca="1">IFERROR(__xludf.DUMMYFUNCTION("IMPORTRANGE(""https://docs.google.com/spreadsheets/d/1SX6NBoVAgQJ6U1MVXOaj8PK2l7WJ3RER9xtqwdhxkhw/edit?usp=sharing"",""ราชบุรี!J46"")"),0)</f>
        <v>0</v>
      </c>
      <c r="Q69" s="56">
        <f t="shared" ca="1" si="6"/>
        <v>0</v>
      </c>
      <c r="R69" s="55">
        <f ca="1">IFERROR(__xludf.DUMMYFUNCTION("IMPORTRANGE(""https://docs.google.com/spreadsheets/d/1SX6NBoVAgQJ6U1MVXOaj8PK2l7WJ3RER9xtqwdhxkhw/edit?usp=sharing"",""ราชบุรี!J47"")"),0)</f>
        <v>0</v>
      </c>
      <c r="S69" s="99">
        <f t="shared" ca="1" si="7"/>
        <v>0</v>
      </c>
      <c r="T69" s="55">
        <v>2</v>
      </c>
      <c r="U69" s="55">
        <f ca="1">IFERROR(__xludf.DUMMYFUNCTION("IMPORTRANGE(""https://docs.google.com/spreadsheets/d/1SX6NBoVAgQJ6U1MVXOaj8PK2l7WJ3RER9xtqwdhxkhw/edit?usp=sharing"",""ราชบุรี!J48"")"),0)</f>
        <v>0</v>
      </c>
      <c r="V69" s="99">
        <f t="shared" ca="1" si="9"/>
        <v>0</v>
      </c>
      <c r="W69" s="81"/>
      <c r="X69" s="81"/>
      <c r="Y69" s="81"/>
      <c r="Z69" s="81"/>
    </row>
    <row r="70" spans="1:26" ht="24" customHeight="1" x14ac:dyDescent="0.5">
      <c r="A70" s="52">
        <v>16</v>
      </c>
      <c r="B70" s="53" t="s">
        <v>85</v>
      </c>
      <c r="C70" s="54">
        <f t="shared" si="40"/>
        <v>0</v>
      </c>
      <c r="D70" s="55">
        <v>0</v>
      </c>
      <c r="E70" s="55">
        <v>0</v>
      </c>
      <c r="F70" s="55">
        <f ca="1">IFERROR(__xludf.DUMMYFUNCTION("IMPORTRANGE(""https://docs.google.com/spreadsheets/d/1SX6NBoVAgQJ6U1MVXOaj8PK2l7WJ3RER9xtqwdhxkhw/edit?usp=sharing"",""ลพบุรี!M35"")"),0)</f>
        <v>0</v>
      </c>
      <c r="G70" s="99">
        <f t="shared" si="1"/>
        <v>0</v>
      </c>
      <c r="H70" s="55">
        <v>0</v>
      </c>
      <c r="I70" s="55">
        <f ca="1">IFERROR(__xludf.DUMMYFUNCTION("IMPORTRANGE(""https://docs.google.com/spreadsheets/d/1SX6NBoVAgQJ6U1MVXOaj8PK2l7WJ3RER9xtqwdhxkhw/edit?usp=sharing"",""ลพบุรี!J43"")"),0)</f>
        <v>0</v>
      </c>
      <c r="J70" s="56">
        <f t="shared" si="3"/>
        <v>0</v>
      </c>
      <c r="K70" s="55">
        <v>0</v>
      </c>
      <c r="L70" s="55">
        <f ca="1">IFERROR(__xludf.DUMMYFUNCTION("IMPORTRANGE(""https://docs.google.com/spreadsheets/d/1SX6NBoVAgQJ6U1MVXOaj8PK2l7WJ3RER9xtqwdhxkhw/edit?usp=sharing"",""ลพบุรี!J44"")"),0)</f>
        <v>0</v>
      </c>
      <c r="M70" s="56">
        <f t="shared" si="4"/>
        <v>0</v>
      </c>
      <c r="N70" s="55">
        <f ca="1">IFERROR(__xludf.DUMMYFUNCTION("IMPORTRANGE(""https://docs.google.com/spreadsheets/d/1SX6NBoVAgQJ6U1MVXOaj8PK2l7WJ3RER9xtqwdhxkhw/edit?usp=sharing"",""ลพบุรี!J45"")"),0)</f>
        <v>0</v>
      </c>
      <c r="O70" s="56">
        <f t="shared" si="5"/>
        <v>0</v>
      </c>
      <c r="P70" s="55">
        <f ca="1">IFERROR(__xludf.DUMMYFUNCTION("IMPORTRANGE(""https://docs.google.com/spreadsheets/d/1SX6NBoVAgQJ6U1MVXOaj8PK2l7WJ3RER9xtqwdhxkhw/edit?usp=sharing"",""ลพบุรี!J46"")"),0)</f>
        <v>0</v>
      </c>
      <c r="Q70" s="56">
        <f t="shared" si="6"/>
        <v>0</v>
      </c>
      <c r="R70" s="55">
        <f ca="1">IFERROR(__xludf.DUMMYFUNCTION("IMPORTRANGE(""https://docs.google.com/spreadsheets/d/1SX6NBoVAgQJ6U1MVXOaj8PK2l7WJ3RER9xtqwdhxkhw/edit?usp=sharing"",""ลพบุรี!J47"")"),0)</f>
        <v>0</v>
      </c>
      <c r="S70" s="99">
        <f t="shared" si="7"/>
        <v>0</v>
      </c>
      <c r="T70" s="55">
        <v>0</v>
      </c>
      <c r="U70" s="55">
        <f ca="1">IFERROR(__xludf.DUMMYFUNCTION("IMPORTRANGE(""https://docs.google.com/spreadsheets/d/1SX6NBoVAgQJ6U1MVXOaj8PK2l7WJ3RER9xtqwdhxkhw/edit?usp=sharing"",""ลพบุรี!J48"")"),0)</f>
        <v>0</v>
      </c>
      <c r="V70" s="99">
        <f t="shared" si="9"/>
        <v>0</v>
      </c>
      <c r="W70" s="81"/>
      <c r="X70" s="81"/>
      <c r="Y70" s="81"/>
      <c r="Z70" s="81"/>
    </row>
    <row r="71" spans="1:26" ht="24" customHeight="1" x14ac:dyDescent="0.5">
      <c r="A71" s="52">
        <v>17</v>
      </c>
      <c r="B71" s="53" t="s">
        <v>86</v>
      </c>
      <c r="C71" s="54">
        <f t="shared" si="40"/>
        <v>0</v>
      </c>
      <c r="D71" s="55">
        <v>0</v>
      </c>
      <c r="E71" s="55">
        <v>0</v>
      </c>
      <c r="F71" s="55">
        <f ca="1">IFERROR(__xludf.DUMMYFUNCTION("IMPORTRANGE(""https://docs.google.com/spreadsheets/d/1SX6NBoVAgQJ6U1MVXOaj8PK2l7WJ3RER9xtqwdhxkhw/edit?usp=sharing"",""สระแก้ว!M35"")"),0)</f>
        <v>0</v>
      </c>
      <c r="G71" s="99">
        <f t="shared" si="1"/>
        <v>0</v>
      </c>
      <c r="H71" s="55">
        <v>0</v>
      </c>
      <c r="I71" s="55">
        <f ca="1">IFERROR(__xludf.DUMMYFUNCTION("IMPORTRANGE(""https://docs.google.com/spreadsheets/d/1SX6NBoVAgQJ6U1MVXOaj8PK2l7WJ3RER9xtqwdhxkhw/edit?usp=sharing"",""สระแก้ว!J43"")"),0)</f>
        <v>0</v>
      </c>
      <c r="J71" s="56">
        <f t="shared" si="3"/>
        <v>0</v>
      </c>
      <c r="K71" s="55">
        <v>0</v>
      </c>
      <c r="L71" s="55">
        <f ca="1">IFERROR(__xludf.DUMMYFUNCTION("IMPORTRANGE(""https://docs.google.com/spreadsheets/d/1SX6NBoVAgQJ6U1MVXOaj8PK2l7WJ3RER9xtqwdhxkhw/edit?usp=sharing"",""สระแก้ว!J44"")"),0)</f>
        <v>0</v>
      </c>
      <c r="M71" s="56">
        <f t="shared" si="4"/>
        <v>0</v>
      </c>
      <c r="N71" s="55">
        <f ca="1">IFERROR(__xludf.DUMMYFUNCTION("IMPORTRANGE(""https://docs.google.com/spreadsheets/d/1SX6NBoVAgQJ6U1MVXOaj8PK2l7WJ3RER9xtqwdhxkhw/edit?usp=sharing"",""สระแก้ว!J45"")"),0)</f>
        <v>0</v>
      </c>
      <c r="O71" s="56">
        <f t="shared" si="5"/>
        <v>0</v>
      </c>
      <c r="P71" s="55">
        <f ca="1">IFERROR(__xludf.DUMMYFUNCTION("IMPORTRANGE(""https://docs.google.com/spreadsheets/d/1SX6NBoVAgQJ6U1MVXOaj8PK2l7WJ3RER9xtqwdhxkhw/edit?usp=sharing"",""สระแก้ว!J46"")"),0)</f>
        <v>0</v>
      </c>
      <c r="Q71" s="56">
        <f t="shared" si="6"/>
        <v>0</v>
      </c>
      <c r="R71" s="55">
        <f ca="1">IFERROR(__xludf.DUMMYFUNCTION("IMPORTRANGE(""https://docs.google.com/spreadsheets/d/1SX6NBoVAgQJ6U1MVXOaj8PK2l7WJ3RER9xtqwdhxkhw/edit?usp=sharing"",""สระแก้ว!J47"")"),0)</f>
        <v>0</v>
      </c>
      <c r="S71" s="99">
        <f t="shared" si="7"/>
        <v>0</v>
      </c>
      <c r="T71" s="55">
        <v>0</v>
      </c>
      <c r="U71" s="55">
        <f ca="1">IFERROR(__xludf.DUMMYFUNCTION("IMPORTRANGE(""https://docs.google.com/spreadsheets/d/1SX6NBoVAgQJ6U1MVXOaj8PK2l7WJ3RER9xtqwdhxkhw/edit?usp=sharing"",""สระแก้ว!J48"")"),0)</f>
        <v>0</v>
      </c>
      <c r="V71" s="99">
        <f t="shared" si="9"/>
        <v>0</v>
      </c>
      <c r="W71" s="81"/>
      <c r="X71" s="81"/>
      <c r="Y71" s="81"/>
      <c r="Z71" s="81"/>
    </row>
    <row r="72" spans="1:26" ht="24" customHeight="1" x14ac:dyDescent="0.5">
      <c r="A72" s="52">
        <v>18</v>
      </c>
      <c r="B72" s="53" t="s">
        <v>87</v>
      </c>
      <c r="C72" s="54">
        <f t="shared" si="40"/>
        <v>122100</v>
      </c>
      <c r="D72" s="55">
        <v>0</v>
      </c>
      <c r="E72" s="55">
        <v>122100</v>
      </c>
      <c r="F72" s="55">
        <f ca="1">IFERROR(__xludf.DUMMYFUNCTION("IMPORTRANGE(""https://docs.google.com/spreadsheets/d/1SX6NBoVAgQJ6U1MVXOaj8PK2l7WJ3RER9xtqwdhxkhw/edit?usp=sharing"",""สระบุรี!M35"")"),0)</f>
        <v>0</v>
      </c>
      <c r="G72" s="99">
        <f t="shared" ca="1" si="1"/>
        <v>0</v>
      </c>
      <c r="H72" s="55">
        <v>1</v>
      </c>
      <c r="I72" s="55">
        <f ca="1">IFERROR(__xludf.DUMMYFUNCTION("IMPORTRANGE(""https://docs.google.com/spreadsheets/d/1SX6NBoVAgQJ6U1MVXOaj8PK2l7WJ3RER9xtqwdhxkhw/edit?usp=sharing"",""สระบุรี!J43"")"),0)</f>
        <v>0</v>
      </c>
      <c r="J72" s="56">
        <f t="shared" ca="1" si="3"/>
        <v>0</v>
      </c>
      <c r="K72" s="55">
        <v>4</v>
      </c>
      <c r="L72" s="55">
        <f ca="1">IFERROR(__xludf.DUMMYFUNCTION("IMPORTRANGE(""https://docs.google.com/spreadsheets/d/1SX6NBoVAgQJ6U1MVXOaj8PK2l7WJ3RER9xtqwdhxkhw/edit?usp=sharing"",""สระบุรี!J44"")"),0)</f>
        <v>0</v>
      </c>
      <c r="M72" s="56">
        <f t="shared" ca="1" si="4"/>
        <v>0</v>
      </c>
      <c r="N72" s="55">
        <f ca="1">IFERROR(__xludf.DUMMYFUNCTION("IMPORTRANGE(""https://docs.google.com/spreadsheets/d/1SX6NBoVAgQJ6U1MVXOaj8PK2l7WJ3RER9xtqwdhxkhw/edit?usp=sharing"",""สระบุรี!J45"")"),0)</f>
        <v>0</v>
      </c>
      <c r="O72" s="56">
        <f t="shared" ca="1" si="5"/>
        <v>0</v>
      </c>
      <c r="P72" s="55">
        <f ca="1">IFERROR(__xludf.DUMMYFUNCTION("IMPORTRANGE(""https://docs.google.com/spreadsheets/d/1SX6NBoVAgQJ6U1MVXOaj8PK2l7WJ3RER9xtqwdhxkhw/edit?usp=sharing"",""สระบุรี!J46"")"),0)</f>
        <v>0</v>
      </c>
      <c r="Q72" s="56">
        <f t="shared" ca="1" si="6"/>
        <v>0</v>
      </c>
      <c r="R72" s="55">
        <f ca="1">IFERROR(__xludf.DUMMYFUNCTION("IMPORTRANGE(""https://docs.google.com/spreadsheets/d/1SX6NBoVAgQJ6U1MVXOaj8PK2l7WJ3RER9xtqwdhxkhw/edit?usp=sharing"",""สระบุรี!J47"")"),0)</f>
        <v>0</v>
      </c>
      <c r="S72" s="99">
        <f t="shared" ca="1" si="7"/>
        <v>0</v>
      </c>
      <c r="T72" s="55">
        <v>1</v>
      </c>
      <c r="U72" s="55">
        <f ca="1">IFERROR(__xludf.DUMMYFUNCTION("IMPORTRANGE(""https://docs.google.com/spreadsheets/d/1SX6NBoVAgQJ6U1MVXOaj8PK2l7WJ3RER9xtqwdhxkhw/edit?usp=sharing"",""สระบุรี!J48"")"),0)</f>
        <v>0</v>
      </c>
      <c r="V72" s="99">
        <f t="shared" ca="1" si="9"/>
        <v>0</v>
      </c>
      <c r="W72" s="81"/>
      <c r="X72" s="81"/>
      <c r="Y72" s="81"/>
      <c r="Z72" s="81"/>
    </row>
    <row r="73" spans="1:26" ht="24" customHeight="1" x14ac:dyDescent="0.5">
      <c r="A73" s="52">
        <v>19</v>
      </c>
      <c r="B73" s="53" t="s">
        <v>88</v>
      </c>
      <c r="C73" s="54">
        <f t="shared" si="40"/>
        <v>0</v>
      </c>
      <c r="D73" s="55">
        <v>0</v>
      </c>
      <c r="E73" s="55">
        <v>0</v>
      </c>
      <c r="F73" s="55">
        <f ca="1">IFERROR(__xludf.DUMMYFUNCTION("IMPORTRANGE(""https://docs.google.com/spreadsheets/d/1SX6NBoVAgQJ6U1MVXOaj8PK2l7WJ3RER9xtqwdhxkhw/edit?usp=sharing"",""สิงห์บุรี!M35"")"),0)</f>
        <v>0</v>
      </c>
      <c r="G73" s="99">
        <f t="shared" si="1"/>
        <v>0</v>
      </c>
      <c r="H73" s="55">
        <v>0</v>
      </c>
      <c r="I73" s="55">
        <f ca="1">IFERROR(__xludf.DUMMYFUNCTION("IMPORTRANGE(""https://docs.google.com/spreadsheets/d/1SX6NBoVAgQJ6U1MVXOaj8PK2l7WJ3RER9xtqwdhxkhw/edit?usp=sharing"",""สิงห์บุรี!J43"")"),0)</f>
        <v>0</v>
      </c>
      <c r="J73" s="56">
        <f t="shared" si="3"/>
        <v>0</v>
      </c>
      <c r="K73" s="55">
        <v>0</v>
      </c>
      <c r="L73" s="55">
        <f ca="1">IFERROR(__xludf.DUMMYFUNCTION("IMPORTRANGE(""https://docs.google.com/spreadsheets/d/1SX6NBoVAgQJ6U1MVXOaj8PK2l7WJ3RER9xtqwdhxkhw/edit?usp=sharing"",""สิงห์บุรี!J44"")"),0)</f>
        <v>0</v>
      </c>
      <c r="M73" s="56">
        <f t="shared" si="4"/>
        <v>0</v>
      </c>
      <c r="N73" s="55">
        <f ca="1">IFERROR(__xludf.DUMMYFUNCTION("IMPORTRANGE(""https://docs.google.com/spreadsheets/d/1SX6NBoVAgQJ6U1MVXOaj8PK2l7WJ3RER9xtqwdhxkhw/edit?usp=sharing"",""สิงห์บุรี!J45"")"),0)</f>
        <v>0</v>
      </c>
      <c r="O73" s="56">
        <f t="shared" si="5"/>
        <v>0</v>
      </c>
      <c r="P73" s="55">
        <f ca="1">IFERROR(__xludf.DUMMYFUNCTION("IMPORTRANGE(""https://docs.google.com/spreadsheets/d/1SX6NBoVAgQJ6U1MVXOaj8PK2l7WJ3RER9xtqwdhxkhw/edit?usp=sharing"",""สิงห์บุรี!J46"")"),0)</f>
        <v>0</v>
      </c>
      <c r="Q73" s="56">
        <f t="shared" si="6"/>
        <v>0</v>
      </c>
      <c r="R73" s="55">
        <f ca="1">IFERROR(__xludf.DUMMYFUNCTION("IMPORTRANGE(""https://docs.google.com/spreadsheets/d/1SX6NBoVAgQJ6U1MVXOaj8PK2l7WJ3RER9xtqwdhxkhw/edit?usp=sharing"",""สิงห์บุรี!J47"")"),0)</f>
        <v>0</v>
      </c>
      <c r="S73" s="99">
        <f t="shared" si="7"/>
        <v>0</v>
      </c>
      <c r="T73" s="55">
        <v>0</v>
      </c>
      <c r="U73" s="55">
        <f ca="1">IFERROR(__xludf.DUMMYFUNCTION("IMPORTRANGE(""https://docs.google.com/spreadsheets/d/1SX6NBoVAgQJ6U1MVXOaj8PK2l7WJ3RER9xtqwdhxkhw/edit?usp=sharing"",""สิงห์บุรี!J48"")"),0)</f>
        <v>0</v>
      </c>
      <c r="V73" s="99">
        <f t="shared" si="9"/>
        <v>0</v>
      </c>
      <c r="W73" s="81"/>
      <c r="X73" s="81"/>
      <c r="Y73" s="81"/>
      <c r="Z73" s="81"/>
    </row>
    <row r="74" spans="1:26" ht="24" customHeight="1" x14ac:dyDescent="0.5">
      <c r="A74" s="52">
        <v>20</v>
      </c>
      <c r="B74" s="53" t="s">
        <v>89</v>
      </c>
      <c r="C74" s="54">
        <f t="shared" si="40"/>
        <v>0</v>
      </c>
      <c r="D74" s="55">
        <v>0</v>
      </c>
      <c r="E74" s="55">
        <v>0</v>
      </c>
      <c r="F74" s="55">
        <f ca="1">IFERROR(__xludf.DUMMYFUNCTION("IMPORTRANGE(""https://docs.google.com/spreadsheets/d/1SX6NBoVAgQJ6U1MVXOaj8PK2l7WJ3RER9xtqwdhxkhw/edit?usp=sharing"",""สุพรรณบุรี!M35"")"),0)</f>
        <v>0</v>
      </c>
      <c r="G74" s="99">
        <f t="shared" si="1"/>
        <v>0</v>
      </c>
      <c r="H74" s="55">
        <v>0</v>
      </c>
      <c r="I74" s="55">
        <f ca="1">IFERROR(__xludf.DUMMYFUNCTION("IMPORTRANGE(""https://docs.google.com/spreadsheets/d/1SX6NBoVAgQJ6U1MVXOaj8PK2l7WJ3RER9xtqwdhxkhw/edit?usp=sharing"",""สุพรรณบุรี!J43"")"),0)</f>
        <v>0</v>
      </c>
      <c r="J74" s="56">
        <f t="shared" si="3"/>
        <v>0</v>
      </c>
      <c r="K74" s="55">
        <v>0</v>
      </c>
      <c r="L74" s="55">
        <f ca="1">IFERROR(__xludf.DUMMYFUNCTION("IMPORTRANGE(""https://docs.google.com/spreadsheets/d/1SX6NBoVAgQJ6U1MVXOaj8PK2l7WJ3RER9xtqwdhxkhw/edit?usp=sharing"",""สุพรรณบุรี!J44"")"),0)</f>
        <v>0</v>
      </c>
      <c r="M74" s="56">
        <f t="shared" si="4"/>
        <v>0</v>
      </c>
      <c r="N74" s="55">
        <f ca="1">IFERROR(__xludf.DUMMYFUNCTION("IMPORTRANGE(""https://docs.google.com/spreadsheets/d/1SX6NBoVAgQJ6U1MVXOaj8PK2l7WJ3RER9xtqwdhxkhw/edit?usp=sharing"",""สุพรรณบุรี!J45"")"),0)</f>
        <v>0</v>
      </c>
      <c r="O74" s="56">
        <f t="shared" si="5"/>
        <v>0</v>
      </c>
      <c r="P74" s="55">
        <f ca="1">IFERROR(__xludf.DUMMYFUNCTION("IMPORTRANGE(""https://docs.google.com/spreadsheets/d/1SX6NBoVAgQJ6U1MVXOaj8PK2l7WJ3RER9xtqwdhxkhw/edit?usp=sharing"",""สุพรรณบุรี!J46"")"),0)</f>
        <v>0</v>
      </c>
      <c r="Q74" s="56">
        <f t="shared" si="6"/>
        <v>0</v>
      </c>
      <c r="R74" s="55">
        <f ca="1">IFERROR(__xludf.DUMMYFUNCTION("IMPORTRANGE(""https://docs.google.com/spreadsheets/d/1SX6NBoVAgQJ6U1MVXOaj8PK2l7WJ3RER9xtqwdhxkhw/edit?usp=sharing"",""สุพรรณบุรี!J47"")"),0)</f>
        <v>0</v>
      </c>
      <c r="S74" s="99">
        <f t="shared" si="7"/>
        <v>0</v>
      </c>
      <c r="T74" s="55">
        <v>0</v>
      </c>
      <c r="U74" s="55">
        <f ca="1">IFERROR(__xludf.DUMMYFUNCTION("IMPORTRANGE(""https://docs.google.com/spreadsheets/d/1SX6NBoVAgQJ6U1MVXOaj8PK2l7WJ3RER9xtqwdhxkhw/edit?usp=sharing"",""สุพรรณบุรี!J48"")"),0)</f>
        <v>0</v>
      </c>
      <c r="V74" s="99">
        <f t="shared" si="9"/>
        <v>0</v>
      </c>
      <c r="W74" s="81"/>
      <c r="X74" s="81"/>
      <c r="Y74" s="81"/>
      <c r="Z74" s="81"/>
    </row>
    <row r="75" spans="1:26" ht="24" customHeight="1" x14ac:dyDescent="0.5">
      <c r="A75" s="59">
        <v>21</v>
      </c>
      <c r="B75" s="60" t="s">
        <v>90</v>
      </c>
      <c r="C75" s="61">
        <f t="shared" si="40"/>
        <v>0</v>
      </c>
      <c r="D75" s="62">
        <v>0</v>
      </c>
      <c r="E75" s="62">
        <v>0</v>
      </c>
      <c r="F75" s="62">
        <f ca="1">IFERROR(__xludf.DUMMYFUNCTION("IMPORTRANGE(""https://docs.google.com/spreadsheets/d/1SX6NBoVAgQJ6U1MVXOaj8PK2l7WJ3RER9xtqwdhxkhw/edit?usp=sharing"",""อ่างทอง!M35"")"),0)</f>
        <v>0</v>
      </c>
      <c r="G75" s="100">
        <f t="shared" si="1"/>
        <v>0</v>
      </c>
      <c r="H75" s="62">
        <v>0</v>
      </c>
      <c r="I75" s="62">
        <f ca="1">IFERROR(__xludf.DUMMYFUNCTION("IMPORTRANGE(""https://docs.google.com/spreadsheets/d/1SX6NBoVAgQJ6U1MVXOaj8PK2l7WJ3RER9xtqwdhxkhw/edit?usp=sharing"",""อ่างทอง!J43"")"),0)</f>
        <v>0</v>
      </c>
      <c r="J75" s="63">
        <f t="shared" si="3"/>
        <v>0</v>
      </c>
      <c r="K75" s="62">
        <v>0</v>
      </c>
      <c r="L75" s="62">
        <f ca="1">IFERROR(__xludf.DUMMYFUNCTION("IMPORTRANGE(""https://docs.google.com/spreadsheets/d/1SX6NBoVAgQJ6U1MVXOaj8PK2l7WJ3RER9xtqwdhxkhw/edit?usp=sharing"",""อ่างทอง!J44"")"),0)</f>
        <v>0</v>
      </c>
      <c r="M75" s="63">
        <f t="shared" si="4"/>
        <v>0</v>
      </c>
      <c r="N75" s="62">
        <f ca="1">IFERROR(__xludf.DUMMYFUNCTION("IMPORTRANGE(""https://docs.google.com/spreadsheets/d/1SX6NBoVAgQJ6U1MVXOaj8PK2l7WJ3RER9xtqwdhxkhw/edit?usp=sharing"",""อ่างทอง!J45"")"),0)</f>
        <v>0</v>
      </c>
      <c r="O75" s="63">
        <f t="shared" si="5"/>
        <v>0</v>
      </c>
      <c r="P75" s="62">
        <f ca="1">IFERROR(__xludf.DUMMYFUNCTION("IMPORTRANGE(""https://docs.google.com/spreadsheets/d/1SX6NBoVAgQJ6U1MVXOaj8PK2l7WJ3RER9xtqwdhxkhw/edit?usp=sharing"",""อ่างทอง!J46"")"),0)</f>
        <v>0</v>
      </c>
      <c r="Q75" s="63">
        <f t="shared" si="6"/>
        <v>0</v>
      </c>
      <c r="R75" s="62">
        <f ca="1">IFERROR(__xludf.DUMMYFUNCTION("IMPORTRANGE(""https://docs.google.com/spreadsheets/d/1SX6NBoVAgQJ6U1MVXOaj8PK2l7WJ3RER9xtqwdhxkhw/edit?usp=sharing"",""อ่างทอง!J47"")"),0)</f>
        <v>0</v>
      </c>
      <c r="S75" s="100">
        <f t="shared" si="7"/>
        <v>0</v>
      </c>
      <c r="T75" s="62">
        <v>0</v>
      </c>
      <c r="U75" s="62">
        <f ca="1">IFERROR(__xludf.DUMMYFUNCTION("IMPORTRANGE(""https://docs.google.com/spreadsheets/d/1SX6NBoVAgQJ6U1MVXOaj8PK2l7WJ3RER9xtqwdhxkhw/edit?usp=sharing"",""อ่างทอง!J48"")"),0)</f>
        <v>0</v>
      </c>
      <c r="V75" s="100">
        <f t="shared" si="9"/>
        <v>0</v>
      </c>
      <c r="W75" s="81"/>
      <c r="X75" s="81"/>
      <c r="Y75" s="81"/>
      <c r="Z75" s="81"/>
    </row>
    <row r="76" spans="1:26" ht="24" customHeight="1" x14ac:dyDescent="0.5">
      <c r="A76" s="566" t="s">
        <v>91</v>
      </c>
      <c r="B76" s="571"/>
      <c r="C76" s="66">
        <f t="shared" ref="C76:F76" si="41">SUM(C77:C90)</f>
        <v>623400</v>
      </c>
      <c r="D76" s="66">
        <f t="shared" si="41"/>
        <v>0</v>
      </c>
      <c r="E76" s="66">
        <f t="shared" si="41"/>
        <v>623400</v>
      </c>
      <c r="F76" s="66">
        <f t="shared" ca="1" si="41"/>
        <v>3460</v>
      </c>
      <c r="G76" s="101">
        <f t="shared" ca="1" si="1"/>
        <v>0.55502085338466478</v>
      </c>
      <c r="H76" s="66">
        <f t="shared" ref="H76:I76" si="42">SUM(H77:H90)</f>
        <v>5</v>
      </c>
      <c r="I76" s="66">
        <f t="shared" ca="1" si="42"/>
        <v>1</v>
      </c>
      <c r="J76" s="67">
        <f t="shared" ca="1" si="3"/>
        <v>20</v>
      </c>
      <c r="K76" s="66">
        <f t="shared" ref="K76:L76" si="43">SUM(K77:K90)</f>
        <v>23</v>
      </c>
      <c r="L76" s="66">
        <f t="shared" ca="1" si="43"/>
        <v>0</v>
      </c>
      <c r="M76" s="67">
        <f t="shared" ca="1" si="4"/>
        <v>0</v>
      </c>
      <c r="N76" s="66">
        <f ca="1">SUM(N77:N90)</f>
        <v>0</v>
      </c>
      <c r="O76" s="67">
        <f t="shared" ca="1" si="5"/>
        <v>0</v>
      </c>
      <c r="P76" s="66">
        <f ca="1">SUM(P77:P90)</f>
        <v>0</v>
      </c>
      <c r="Q76" s="67">
        <f t="shared" ca="1" si="6"/>
        <v>0</v>
      </c>
      <c r="R76" s="66">
        <f ca="1">SUM(R77:R90)</f>
        <v>0</v>
      </c>
      <c r="S76" s="101">
        <f t="shared" ca="1" si="7"/>
        <v>0</v>
      </c>
      <c r="T76" s="66">
        <f t="shared" ref="T76:U76" si="44">SUM(T77:T90)</f>
        <v>6</v>
      </c>
      <c r="U76" s="66">
        <f t="shared" ca="1" si="44"/>
        <v>0</v>
      </c>
      <c r="V76" s="101">
        <f t="shared" ca="1" si="9"/>
        <v>0</v>
      </c>
      <c r="W76" s="81"/>
      <c r="X76" s="81"/>
      <c r="Y76" s="81"/>
      <c r="Z76" s="81"/>
    </row>
    <row r="77" spans="1:26" ht="24" customHeight="1" x14ac:dyDescent="0.5">
      <c r="A77" s="45">
        <v>1</v>
      </c>
      <c r="B77" s="46" t="s">
        <v>92</v>
      </c>
      <c r="C77" s="47">
        <f t="shared" ref="C77:C90" si="45">+D77+E77</f>
        <v>0</v>
      </c>
      <c r="D77" s="48">
        <v>0</v>
      </c>
      <c r="E77" s="48">
        <v>0</v>
      </c>
      <c r="F77" s="48">
        <f ca="1">IFERROR(__xludf.DUMMYFUNCTION("IMPORTRANGE(""https://docs.google.com/spreadsheets/d/1IYY_tgx_IHuhSq3AJ5eI5OnqOPBNLWSHKh2a30DoXe8/edit?usp=sharing"",""กระบี่!M35"")"),0)</f>
        <v>0</v>
      </c>
      <c r="G77" s="98">
        <f t="shared" si="1"/>
        <v>0</v>
      </c>
      <c r="H77" s="48">
        <v>0</v>
      </c>
      <c r="I77" s="48">
        <f ca="1">IFERROR(__xludf.DUMMYFUNCTION("IMPORTRANGE(""https://docs.google.com/spreadsheets/d/1IYY_tgx_IHuhSq3AJ5eI5OnqOPBNLWSHKh2a30DoXe8/edit?usp=sharing"",""กระบี่!J43"")"),0)</f>
        <v>0</v>
      </c>
      <c r="J77" s="50">
        <f t="shared" si="3"/>
        <v>0</v>
      </c>
      <c r="K77" s="48">
        <v>0</v>
      </c>
      <c r="L77" s="48">
        <f ca="1">IFERROR(__xludf.DUMMYFUNCTION("IMPORTRANGE(""https://docs.google.com/spreadsheets/d/1IYY_tgx_IHuhSq3AJ5eI5OnqOPBNLWSHKh2a30DoXe8/edit?usp=sharing"",""กระบี่!J44"")"),0)</f>
        <v>0</v>
      </c>
      <c r="M77" s="50">
        <f t="shared" si="4"/>
        <v>0</v>
      </c>
      <c r="N77" s="48">
        <f ca="1">IFERROR(__xludf.DUMMYFUNCTION("IMPORTRANGE(""https://docs.google.com/spreadsheets/d/1IYY_tgx_IHuhSq3AJ5eI5OnqOPBNLWSHKh2a30DoXe8/edit?usp=sharing"",""กระบี่!J45"")"),0)</f>
        <v>0</v>
      </c>
      <c r="O77" s="50">
        <f t="shared" si="5"/>
        <v>0</v>
      </c>
      <c r="P77" s="48">
        <f ca="1">IFERROR(__xludf.DUMMYFUNCTION("IMPORTRANGE(""https://docs.google.com/spreadsheets/d/1IYY_tgx_IHuhSq3AJ5eI5OnqOPBNLWSHKh2a30DoXe8/edit?usp=sharing"",""กระบี่!J46"")"),0)</f>
        <v>0</v>
      </c>
      <c r="Q77" s="50">
        <f t="shared" si="6"/>
        <v>0</v>
      </c>
      <c r="R77" s="48">
        <f ca="1">IFERROR(__xludf.DUMMYFUNCTION("IMPORTRANGE(""https://docs.google.com/spreadsheets/d/1IYY_tgx_IHuhSq3AJ5eI5OnqOPBNLWSHKh2a30DoXe8/edit?usp=sharing"",""กระบี่!J47"")"),0)</f>
        <v>0</v>
      </c>
      <c r="S77" s="98">
        <f t="shared" si="7"/>
        <v>0</v>
      </c>
      <c r="T77" s="48">
        <v>0</v>
      </c>
      <c r="U77" s="48">
        <f ca="1">IFERROR(__xludf.DUMMYFUNCTION("IMPORTRANGE(""https://docs.google.com/spreadsheets/d/1IYY_tgx_IHuhSq3AJ5eI5OnqOPBNLWSHKh2a30DoXe8/edit?usp=sharing"",""กระบี่!J48"")"),0)</f>
        <v>0</v>
      </c>
      <c r="V77" s="98">
        <f t="shared" si="9"/>
        <v>0</v>
      </c>
      <c r="W77" s="81"/>
      <c r="X77" s="81"/>
      <c r="Y77" s="81"/>
      <c r="Z77" s="81"/>
    </row>
    <row r="78" spans="1:26" ht="24" customHeight="1" x14ac:dyDescent="0.5">
      <c r="A78" s="52">
        <v>2</v>
      </c>
      <c r="B78" s="53" t="s">
        <v>93</v>
      </c>
      <c r="C78" s="54">
        <f t="shared" si="45"/>
        <v>122100</v>
      </c>
      <c r="D78" s="55">
        <v>0</v>
      </c>
      <c r="E78" s="55">
        <v>122100</v>
      </c>
      <c r="F78" s="55">
        <f ca="1">IFERROR(__xludf.DUMMYFUNCTION("IMPORTRANGE(""https://docs.google.com/spreadsheets/d/1IYY_tgx_IHuhSq3AJ5eI5OnqOPBNLWSHKh2a30DoXe8/edit?usp=sharing"",""ชุมพร!M35"")"),0)</f>
        <v>0</v>
      </c>
      <c r="G78" s="99">
        <f t="shared" ca="1" si="1"/>
        <v>0</v>
      </c>
      <c r="H78" s="55">
        <v>1</v>
      </c>
      <c r="I78" s="55">
        <f ca="1">IFERROR(__xludf.DUMMYFUNCTION("IMPORTRANGE(""https://docs.google.com/spreadsheets/d/1IYY_tgx_IHuhSq3AJ5eI5OnqOPBNLWSHKh2a30DoXe8/edit?usp=sharing"",""ชุมพร!J43"")"),0)</f>
        <v>0</v>
      </c>
      <c r="J78" s="56">
        <f t="shared" ca="1" si="3"/>
        <v>0</v>
      </c>
      <c r="K78" s="55">
        <v>4</v>
      </c>
      <c r="L78" s="55">
        <f ca="1">IFERROR(__xludf.DUMMYFUNCTION("IMPORTRANGE(""https://docs.google.com/spreadsheets/d/1IYY_tgx_IHuhSq3AJ5eI5OnqOPBNLWSHKh2a30DoXe8/edit?usp=sharing"",""ชุมพร!J44"")"),0)</f>
        <v>0</v>
      </c>
      <c r="M78" s="56">
        <f t="shared" ca="1" si="4"/>
        <v>0</v>
      </c>
      <c r="N78" s="55">
        <f ca="1">IFERROR(__xludf.DUMMYFUNCTION("IMPORTRANGE(""https://docs.google.com/spreadsheets/d/1IYY_tgx_IHuhSq3AJ5eI5OnqOPBNLWSHKh2a30DoXe8/edit?usp=sharing"",""ชุมพร!J45"")"),0)</f>
        <v>0</v>
      </c>
      <c r="O78" s="56">
        <f t="shared" ca="1" si="5"/>
        <v>0</v>
      </c>
      <c r="P78" s="55">
        <f ca="1">IFERROR(__xludf.DUMMYFUNCTION("IMPORTRANGE(""https://docs.google.com/spreadsheets/d/1IYY_tgx_IHuhSq3AJ5eI5OnqOPBNLWSHKh2a30DoXe8/edit?usp=sharing"",""ชุมพร!J46"")"),0)</f>
        <v>0</v>
      </c>
      <c r="Q78" s="56">
        <f t="shared" ca="1" si="6"/>
        <v>0</v>
      </c>
      <c r="R78" s="55">
        <f ca="1">IFERROR(__xludf.DUMMYFUNCTION("IMPORTRANGE(""https://docs.google.com/spreadsheets/d/1IYY_tgx_IHuhSq3AJ5eI5OnqOPBNLWSHKh2a30DoXe8/edit?usp=sharing"",""ชุมพร!J47"")"),0)</f>
        <v>0</v>
      </c>
      <c r="S78" s="99">
        <f t="shared" ca="1" si="7"/>
        <v>0</v>
      </c>
      <c r="T78" s="55">
        <v>1</v>
      </c>
      <c r="U78" s="55">
        <v>0</v>
      </c>
      <c r="V78" s="99">
        <f t="shared" si="9"/>
        <v>0</v>
      </c>
      <c r="W78" s="81"/>
      <c r="X78" s="81"/>
      <c r="Y78" s="81"/>
      <c r="Z78" s="81"/>
    </row>
    <row r="79" spans="1:26" ht="24" customHeight="1" x14ac:dyDescent="0.5">
      <c r="A79" s="52">
        <v>3</v>
      </c>
      <c r="B79" s="53" t="s">
        <v>94</v>
      </c>
      <c r="C79" s="54">
        <f t="shared" si="45"/>
        <v>122100</v>
      </c>
      <c r="D79" s="55">
        <v>0</v>
      </c>
      <c r="E79" s="55">
        <v>122100</v>
      </c>
      <c r="F79" s="55">
        <f ca="1">IFERROR(__xludf.DUMMYFUNCTION("IMPORTRANGE(""https://docs.google.com/spreadsheets/d/1IYY_tgx_IHuhSq3AJ5eI5OnqOPBNLWSHKh2a30DoXe8/edit?usp=sharing"",""ตรัง!M35"")"),0)</f>
        <v>0</v>
      </c>
      <c r="G79" s="99">
        <f t="shared" ca="1" si="1"/>
        <v>0</v>
      </c>
      <c r="H79" s="55">
        <v>1</v>
      </c>
      <c r="I79" s="55">
        <v>0</v>
      </c>
      <c r="J79" s="56">
        <f t="shared" si="3"/>
        <v>0</v>
      </c>
      <c r="K79" s="55">
        <v>4</v>
      </c>
      <c r="L79" s="55">
        <f ca="1">IFERROR(__xludf.DUMMYFUNCTION("IMPORTRANGE(""https://docs.google.com/spreadsheets/d/1IYY_tgx_IHuhSq3AJ5eI5OnqOPBNLWSHKh2a30DoXe8/edit?usp=sharing"",""ตรัง!J44"")"),0)</f>
        <v>0</v>
      </c>
      <c r="M79" s="56">
        <f t="shared" ca="1" si="4"/>
        <v>0</v>
      </c>
      <c r="N79" s="55">
        <f ca="1">IFERROR(__xludf.DUMMYFUNCTION("IMPORTRANGE(""https://docs.google.com/spreadsheets/d/1IYY_tgx_IHuhSq3AJ5eI5OnqOPBNLWSHKh2a30DoXe8/edit?usp=sharing"",""ตรัง!J45"")"),0)</f>
        <v>0</v>
      </c>
      <c r="O79" s="56">
        <f t="shared" ca="1" si="5"/>
        <v>0</v>
      </c>
      <c r="P79" s="55">
        <f ca="1">IFERROR(__xludf.DUMMYFUNCTION("IMPORTRANGE(""https://docs.google.com/spreadsheets/d/1IYY_tgx_IHuhSq3AJ5eI5OnqOPBNLWSHKh2a30DoXe8/edit?usp=sharing"",""ตรัง!J46"")"),0)</f>
        <v>0</v>
      </c>
      <c r="Q79" s="56">
        <f t="shared" ca="1" si="6"/>
        <v>0</v>
      </c>
      <c r="R79" s="55">
        <f ca="1">IFERROR(__xludf.DUMMYFUNCTION("IMPORTRANGE(""https://docs.google.com/spreadsheets/d/1IYY_tgx_IHuhSq3AJ5eI5OnqOPBNLWSHKh2a30DoXe8/edit?usp=sharing"",""ตรัง!J47"")"),0)</f>
        <v>0</v>
      </c>
      <c r="S79" s="99">
        <f t="shared" ca="1" si="7"/>
        <v>0</v>
      </c>
      <c r="T79" s="55">
        <v>1</v>
      </c>
      <c r="U79" s="55">
        <f ca="1">IFERROR(__xludf.DUMMYFUNCTION("IMPORTRANGE(""https://docs.google.com/spreadsheets/d/1IYY_tgx_IHuhSq3AJ5eI5OnqOPBNLWSHKh2a30DoXe8/edit?usp=sharing"",""ตรัง!J48"")"),0)</f>
        <v>0</v>
      </c>
      <c r="V79" s="99">
        <f t="shared" ca="1" si="9"/>
        <v>0</v>
      </c>
      <c r="W79" s="81"/>
      <c r="X79" s="81"/>
      <c r="Y79" s="81"/>
      <c r="Z79" s="81"/>
    </row>
    <row r="80" spans="1:26" ht="24" customHeight="1" x14ac:dyDescent="0.5">
      <c r="A80" s="52">
        <v>4</v>
      </c>
      <c r="B80" s="53" t="s">
        <v>95</v>
      </c>
      <c r="C80" s="54">
        <f t="shared" si="45"/>
        <v>135000</v>
      </c>
      <c r="D80" s="55">
        <v>0</v>
      </c>
      <c r="E80" s="55">
        <v>135000</v>
      </c>
      <c r="F80" s="55">
        <f ca="1">IFERROR(__xludf.DUMMYFUNCTION("IMPORTRANGE(""https://docs.google.com/spreadsheets/d/1IYY_tgx_IHuhSq3AJ5eI5OnqOPBNLWSHKh2a30DoXe8/edit?usp=sharing"",""นครศรีธรรมราช!M35"")"),2240)</f>
        <v>2240</v>
      </c>
      <c r="G80" s="99">
        <f t="shared" ca="1" si="1"/>
        <v>1.6592592592592592</v>
      </c>
      <c r="H80" s="55">
        <v>1</v>
      </c>
      <c r="I80" s="55">
        <f ca="1">IFERROR(__xludf.DUMMYFUNCTION("IMPORTRANGE(""https://docs.google.com/spreadsheets/d/1IYY_tgx_IHuhSq3AJ5eI5OnqOPBNLWSHKh2a30DoXe8/edit?usp=sharing"",""นครศรีธรรมราช!J43"")"),0)</f>
        <v>0</v>
      </c>
      <c r="J80" s="56">
        <f t="shared" ca="1" si="3"/>
        <v>0</v>
      </c>
      <c r="K80" s="55">
        <v>7</v>
      </c>
      <c r="L80" s="55">
        <f ca="1">IFERROR(__xludf.DUMMYFUNCTION("IMPORTRANGE(""https://docs.google.com/spreadsheets/d/1IYY_tgx_IHuhSq3AJ5eI5OnqOPBNLWSHKh2a30DoXe8/edit?usp=sharing"",""นครศรีธรรมราช!J44"")"),0)</f>
        <v>0</v>
      </c>
      <c r="M80" s="56">
        <f t="shared" ca="1" si="4"/>
        <v>0</v>
      </c>
      <c r="N80" s="55">
        <f ca="1">IFERROR(__xludf.DUMMYFUNCTION("IMPORTRANGE(""https://docs.google.com/spreadsheets/d/1IYY_tgx_IHuhSq3AJ5eI5OnqOPBNLWSHKh2a30DoXe8/edit?usp=sharing"",""นครศรีธรรมราช!J45"")"),0)</f>
        <v>0</v>
      </c>
      <c r="O80" s="56">
        <f t="shared" ca="1" si="5"/>
        <v>0</v>
      </c>
      <c r="P80" s="55">
        <f ca="1">IFERROR(__xludf.DUMMYFUNCTION("IMPORTRANGE(""https://docs.google.com/spreadsheets/d/1IYY_tgx_IHuhSq3AJ5eI5OnqOPBNLWSHKh2a30DoXe8/edit?usp=sharing"",""นครศรีธรรมราช!J46"")"),0)</f>
        <v>0</v>
      </c>
      <c r="Q80" s="56">
        <f t="shared" ca="1" si="6"/>
        <v>0</v>
      </c>
      <c r="R80" s="55">
        <f ca="1">IFERROR(__xludf.DUMMYFUNCTION("IMPORTRANGE(""https://docs.google.com/spreadsheets/d/1IYY_tgx_IHuhSq3AJ5eI5OnqOPBNLWSHKh2a30DoXe8/edit?usp=sharing"",""นครศรีธรรมราช!J47"")"),0)</f>
        <v>0</v>
      </c>
      <c r="S80" s="99">
        <f t="shared" ca="1" si="7"/>
        <v>0</v>
      </c>
      <c r="T80" s="55">
        <v>2</v>
      </c>
      <c r="U80" s="55">
        <f ca="1">IFERROR(__xludf.DUMMYFUNCTION("IMPORTRANGE(""https://docs.google.com/spreadsheets/d/1IYY_tgx_IHuhSq3AJ5eI5OnqOPBNLWSHKh2a30DoXe8/edit?usp=sharing"",""นครศรีธรรมราช!J48"")"),0)</f>
        <v>0</v>
      </c>
      <c r="V80" s="99">
        <f t="shared" ca="1" si="9"/>
        <v>0</v>
      </c>
      <c r="W80" s="81"/>
      <c r="X80" s="81"/>
      <c r="Y80" s="81"/>
      <c r="Z80" s="81"/>
    </row>
    <row r="81" spans="1:26" ht="24" customHeight="1" x14ac:dyDescent="0.5">
      <c r="A81" s="52">
        <v>5</v>
      </c>
      <c r="B81" s="53" t="s">
        <v>96</v>
      </c>
      <c r="C81" s="54">
        <f t="shared" si="45"/>
        <v>0</v>
      </c>
      <c r="D81" s="55">
        <v>0</v>
      </c>
      <c r="E81" s="55">
        <v>0</v>
      </c>
      <c r="F81" s="55">
        <f ca="1">IFERROR(__xludf.DUMMYFUNCTION("IMPORTRANGE(""https://docs.google.com/spreadsheets/d/1IYY_tgx_IHuhSq3AJ5eI5OnqOPBNLWSHKh2a30DoXe8/edit?usp=sharing"",""นราธิวาส!M35"")"),0)</f>
        <v>0</v>
      </c>
      <c r="G81" s="99">
        <f t="shared" si="1"/>
        <v>0</v>
      </c>
      <c r="H81" s="55">
        <v>0</v>
      </c>
      <c r="I81" s="55">
        <f ca="1">IFERROR(__xludf.DUMMYFUNCTION("IMPORTRANGE(""https://docs.google.com/spreadsheets/d/1IYY_tgx_IHuhSq3AJ5eI5OnqOPBNLWSHKh2a30DoXe8/edit?usp=sharing"",""นราธิวาส!J43"")"),0)</f>
        <v>0</v>
      </c>
      <c r="J81" s="56">
        <f t="shared" si="3"/>
        <v>0</v>
      </c>
      <c r="K81" s="55">
        <v>0</v>
      </c>
      <c r="L81" s="55">
        <f ca="1">IFERROR(__xludf.DUMMYFUNCTION("IMPORTRANGE(""https://docs.google.com/spreadsheets/d/1IYY_tgx_IHuhSq3AJ5eI5OnqOPBNLWSHKh2a30DoXe8/edit?usp=sharing"",""นราธิวาส!J44"")"),0)</f>
        <v>0</v>
      </c>
      <c r="M81" s="56">
        <f t="shared" si="4"/>
        <v>0</v>
      </c>
      <c r="N81" s="55">
        <f ca="1">IFERROR(__xludf.DUMMYFUNCTION("IMPORTRANGE(""https://docs.google.com/spreadsheets/d/1IYY_tgx_IHuhSq3AJ5eI5OnqOPBNLWSHKh2a30DoXe8/edit?usp=sharing"",""นราธิวาส!J45"")"),0)</f>
        <v>0</v>
      </c>
      <c r="O81" s="56">
        <f t="shared" si="5"/>
        <v>0</v>
      </c>
      <c r="P81" s="55">
        <f ca="1">IFERROR(__xludf.DUMMYFUNCTION("IMPORTRANGE(""https://docs.google.com/spreadsheets/d/1IYY_tgx_IHuhSq3AJ5eI5OnqOPBNLWSHKh2a30DoXe8/edit?usp=sharing"",""นราธิวาส!J46"")"),0)</f>
        <v>0</v>
      </c>
      <c r="Q81" s="56">
        <f t="shared" si="6"/>
        <v>0</v>
      </c>
      <c r="R81" s="55">
        <f ca="1">IFERROR(__xludf.DUMMYFUNCTION("IMPORTRANGE(""https://docs.google.com/spreadsheets/d/1IYY_tgx_IHuhSq3AJ5eI5OnqOPBNLWSHKh2a30DoXe8/edit?usp=sharing"",""นราธิวาส!J47"")"),0)</f>
        <v>0</v>
      </c>
      <c r="S81" s="99">
        <f t="shared" si="7"/>
        <v>0</v>
      </c>
      <c r="T81" s="55">
        <v>0</v>
      </c>
      <c r="U81" s="55">
        <f ca="1">IFERROR(__xludf.DUMMYFUNCTION("IMPORTRANGE(""https://docs.google.com/spreadsheets/d/1IYY_tgx_IHuhSq3AJ5eI5OnqOPBNLWSHKh2a30DoXe8/edit?usp=sharing"",""นราธิวาส!J48"")"),0)</f>
        <v>0</v>
      </c>
      <c r="V81" s="99">
        <f t="shared" si="9"/>
        <v>0</v>
      </c>
      <c r="W81" s="81"/>
      <c r="X81" s="81"/>
      <c r="Y81" s="81"/>
      <c r="Z81" s="81"/>
    </row>
    <row r="82" spans="1:26" ht="24" customHeight="1" x14ac:dyDescent="0.5">
      <c r="A82" s="52">
        <v>6</v>
      </c>
      <c r="B82" s="53" t="s">
        <v>97</v>
      </c>
      <c r="C82" s="54">
        <f t="shared" si="45"/>
        <v>0</v>
      </c>
      <c r="D82" s="55">
        <v>0</v>
      </c>
      <c r="E82" s="55">
        <v>0</v>
      </c>
      <c r="F82" s="55">
        <f ca="1">IFERROR(__xludf.DUMMYFUNCTION("IMPORTRANGE(""https://docs.google.com/spreadsheets/d/1IYY_tgx_IHuhSq3AJ5eI5OnqOPBNLWSHKh2a30DoXe8/edit?usp=sharing"",""ปัตตานี!M35"")"),0)</f>
        <v>0</v>
      </c>
      <c r="G82" s="99">
        <f t="shared" si="1"/>
        <v>0</v>
      </c>
      <c r="H82" s="55">
        <v>0</v>
      </c>
      <c r="I82" s="55">
        <f ca="1">IFERROR(__xludf.DUMMYFUNCTION("IMPORTRANGE(""https://docs.google.com/spreadsheets/d/1IYY_tgx_IHuhSq3AJ5eI5OnqOPBNLWSHKh2a30DoXe8/edit?usp=sharing"",""ปัตตานี!J43"")"),0)</f>
        <v>0</v>
      </c>
      <c r="J82" s="56">
        <f t="shared" si="3"/>
        <v>0</v>
      </c>
      <c r="K82" s="55">
        <v>0</v>
      </c>
      <c r="L82" s="55">
        <f ca="1">IFERROR(__xludf.DUMMYFUNCTION("IMPORTRANGE(""https://docs.google.com/spreadsheets/d/1IYY_tgx_IHuhSq3AJ5eI5OnqOPBNLWSHKh2a30DoXe8/edit?usp=sharing"",""ปัตตานี!J44"")"),0)</f>
        <v>0</v>
      </c>
      <c r="M82" s="56">
        <f t="shared" si="4"/>
        <v>0</v>
      </c>
      <c r="N82" s="55">
        <f ca="1">IFERROR(__xludf.DUMMYFUNCTION("IMPORTRANGE(""https://docs.google.com/spreadsheets/d/1IYY_tgx_IHuhSq3AJ5eI5OnqOPBNLWSHKh2a30DoXe8/edit?usp=sharing"",""ปัตตานี!J45"")"),0)</f>
        <v>0</v>
      </c>
      <c r="O82" s="56">
        <f t="shared" si="5"/>
        <v>0</v>
      </c>
      <c r="P82" s="55">
        <f ca="1">IFERROR(__xludf.DUMMYFUNCTION("IMPORTRANGE(""https://docs.google.com/spreadsheets/d/1IYY_tgx_IHuhSq3AJ5eI5OnqOPBNLWSHKh2a30DoXe8/edit?usp=sharing"",""ปัตตานี!J46"")"),0)</f>
        <v>0</v>
      </c>
      <c r="Q82" s="56">
        <f t="shared" si="6"/>
        <v>0</v>
      </c>
      <c r="R82" s="55">
        <f ca="1">IFERROR(__xludf.DUMMYFUNCTION("IMPORTRANGE(""https://docs.google.com/spreadsheets/d/1IYY_tgx_IHuhSq3AJ5eI5OnqOPBNLWSHKh2a30DoXe8/edit?usp=sharing"",""ปัตตานี!J47"")"),0)</f>
        <v>0</v>
      </c>
      <c r="S82" s="99">
        <f t="shared" si="7"/>
        <v>0</v>
      </c>
      <c r="T82" s="55">
        <v>0</v>
      </c>
      <c r="U82" s="55">
        <f ca="1">IFERROR(__xludf.DUMMYFUNCTION("IMPORTRANGE(""https://docs.google.com/spreadsheets/d/1IYY_tgx_IHuhSq3AJ5eI5OnqOPBNLWSHKh2a30DoXe8/edit?usp=sharing"",""ปัตตานี!J48"")"),0)</f>
        <v>0</v>
      </c>
      <c r="V82" s="99">
        <f t="shared" si="9"/>
        <v>0</v>
      </c>
      <c r="W82" s="81"/>
      <c r="X82" s="81"/>
      <c r="Y82" s="81"/>
      <c r="Z82" s="81"/>
    </row>
    <row r="83" spans="1:26" ht="24" customHeight="1" x14ac:dyDescent="0.5">
      <c r="A83" s="52">
        <v>7</v>
      </c>
      <c r="B83" s="53" t="s">
        <v>98</v>
      </c>
      <c r="C83" s="54">
        <f t="shared" si="45"/>
        <v>0</v>
      </c>
      <c r="D83" s="55">
        <v>0</v>
      </c>
      <c r="E83" s="55">
        <v>0</v>
      </c>
      <c r="F83" s="55">
        <f ca="1">IFERROR(__xludf.DUMMYFUNCTION("IMPORTRANGE(""https://docs.google.com/spreadsheets/d/1IYY_tgx_IHuhSq3AJ5eI5OnqOPBNLWSHKh2a30DoXe8/edit?usp=sharing"",""พังงา!M35"")"),0)</f>
        <v>0</v>
      </c>
      <c r="G83" s="99">
        <f t="shared" si="1"/>
        <v>0</v>
      </c>
      <c r="H83" s="55">
        <v>0</v>
      </c>
      <c r="I83" s="55">
        <f ca="1">IFERROR(__xludf.DUMMYFUNCTION("IMPORTRANGE(""https://docs.google.com/spreadsheets/d/1IYY_tgx_IHuhSq3AJ5eI5OnqOPBNLWSHKh2a30DoXe8/edit?usp=sharing"",""พังงา!J43"")"),0)</f>
        <v>0</v>
      </c>
      <c r="J83" s="56">
        <f t="shared" si="3"/>
        <v>0</v>
      </c>
      <c r="K83" s="55">
        <v>0</v>
      </c>
      <c r="L83" s="55">
        <f ca="1">IFERROR(__xludf.DUMMYFUNCTION("IMPORTRANGE(""https://docs.google.com/spreadsheets/d/1IYY_tgx_IHuhSq3AJ5eI5OnqOPBNLWSHKh2a30DoXe8/edit?usp=sharing"",""พังงา!J44"")"),0)</f>
        <v>0</v>
      </c>
      <c r="M83" s="56">
        <f t="shared" si="4"/>
        <v>0</v>
      </c>
      <c r="N83" s="55">
        <f ca="1">IFERROR(__xludf.DUMMYFUNCTION("IMPORTRANGE(""https://docs.google.com/spreadsheets/d/1IYY_tgx_IHuhSq3AJ5eI5OnqOPBNLWSHKh2a30DoXe8/edit?usp=sharing"",""พังงา!J45"")"),0)</f>
        <v>0</v>
      </c>
      <c r="O83" s="56">
        <f t="shared" si="5"/>
        <v>0</v>
      </c>
      <c r="P83" s="55">
        <f ca="1">IFERROR(__xludf.DUMMYFUNCTION("IMPORTRANGE(""https://docs.google.com/spreadsheets/d/1IYY_tgx_IHuhSq3AJ5eI5OnqOPBNLWSHKh2a30DoXe8/edit?usp=sharing"",""พังงา!J46"")"),0)</f>
        <v>0</v>
      </c>
      <c r="Q83" s="56">
        <f t="shared" si="6"/>
        <v>0</v>
      </c>
      <c r="R83" s="55">
        <f ca="1">IFERROR(__xludf.DUMMYFUNCTION("IMPORTRANGE(""https://docs.google.com/spreadsheets/d/1IYY_tgx_IHuhSq3AJ5eI5OnqOPBNLWSHKh2a30DoXe8/edit?usp=sharing"",""พังงา!J47"")"),0)</f>
        <v>0</v>
      </c>
      <c r="S83" s="99">
        <f t="shared" si="7"/>
        <v>0</v>
      </c>
      <c r="T83" s="55">
        <v>0</v>
      </c>
      <c r="U83" s="55">
        <f ca="1">IFERROR(__xludf.DUMMYFUNCTION("IMPORTRANGE(""https://docs.google.com/spreadsheets/d/1IYY_tgx_IHuhSq3AJ5eI5OnqOPBNLWSHKh2a30DoXe8/edit?usp=sharing"",""พังงา!J48"")"),0)</f>
        <v>0</v>
      </c>
      <c r="V83" s="99">
        <f t="shared" si="9"/>
        <v>0</v>
      </c>
      <c r="W83" s="81"/>
      <c r="X83" s="81"/>
      <c r="Y83" s="81"/>
      <c r="Z83" s="81"/>
    </row>
    <row r="84" spans="1:26" ht="24" customHeight="1" x14ac:dyDescent="0.5">
      <c r="A84" s="52">
        <v>8</v>
      </c>
      <c r="B84" s="53" t="s">
        <v>99</v>
      </c>
      <c r="C84" s="54">
        <f t="shared" si="45"/>
        <v>122100</v>
      </c>
      <c r="D84" s="55">
        <v>0</v>
      </c>
      <c r="E84" s="55">
        <v>122100</v>
      </c>
      <c r="F84" s="55">
        <f ca="1">IFERROR(__xludf.DUMMYFUNCTION("IMPORTRANGE(""https://docs.google.com/spreadsheets/d/1IYY_tgx_IHuhSq3AJ5eI5OnqOPBNLWSHKh2a30DoXe8/edit?usp=sharing"",""พัทลุง!M35"")"),0)</f>
        <v>0</v>
      </c>
      <c r="G84" s="99">
        <f t="shared" ca="1" si="1"/>
        <v>0</v>
      </c>
      <c r="H84" s="55">
        <v>1</v>
      </c>
      <c r="I84" s="55">
        <f ca="1">IFERROR(__xludf.DUMMYFUNCTION("IMPORTRANGE(""https://docs.google.com/spreadsheets/d/1IYY_tgx_IHuhSq3AJ5eI5OnqOPBNLWSHKh2a30DoXe8/edit?usp=sharing"",""พัทลุง!J43"")"),0)</f>
        <v>0</v>
      </c>
      <c r="J84" s="56">
        <f t="shared" ca="1" si="3"/>
        <v>0</v>
      </c>
      <c r="K84" s="55">
        <v>4</v>
      </c>
      <c r="L84" s="55">
        <f ca="1">IFERROR(__xludf.DUMMYFUNCTION("IMPORTRANGE(""https://docs.google.com/spreadsheets/d/1IYY_tgx_IHuhSq3AJ5eI5OnqOPBNLWSHKh2a30DoXe8/edit?usp=sharing"",""พัทลุง!J44"")"),0)</f>
        <v>0</v>
      </c>
      <c r="M84" s="56">
        <f t="shared" ca="1" si="4"/>
        <v>0</v>
      </c>
      <c r="N84" s="55">
        <f ca="1">IFERROR(__xludf.DUMMYFUNCTION("IMPORTRANGE(""https://docs.google.com/spreadsheets/d/1IYY_tgx_IHuhSq3AJ5eI5OnqOPBNLWSHKh2a30DoXe8/edit?usp=sharing"",""พัทลุง!J45"")"),0)</f>
        <v>0</v>
      </c>
      <c r="O84" s="56">
        <f t="shared" ca="1" si="5"/>
        <v>0</v>
      </c>
      <c r="P84" s="55">
        <f ca="1">IFERROR(__xludf.DUMMYFUNCTION("IMPORTRANGE(""https://docs.google.com/spreadsheets/d/1IYY_tgx_IHuhSq3AJ5eI5OnqOPBNLWSHKh2a30DoXe8/edit?usp=sharing"",""พัทลุง!J46"")"),0)</f>
        <v>0</v>
      </c>
      <c r="Q84" s="56">
        <f t="shared" ca="1" si="6"/>
        <v>0</v>
      </c>
      <c r="R84" s="55">
        <f ca="1">IFERROR(__xludf.DUMMYFUNCTION("IMPORTRANGE(""https://docs.google.com/spreadsheets/d/1IYY_tgx_IHuhSq3AJ5eI5OnqOPBNLWSHKh2a30DoXe8/edit?usp=sharing"",""พัทลุง!J47"")"),0)</f>
        <v>0</v>
      </c>
      <c r="S84" s="99">
        <f t="shared" ca="1" si="7"/>
        <v>0</v>
      </c>
      <c r="T84" s="55">
        <v>1</v>
      </c>
      <c r="U84" s="55">
        <f ca="1">IFERROR(__xludf.DUMMYFUNCTION("IMPORTRANGE(""https://docs.google.com/spreadsheets/d/1IYY_tgx_IHuhSq3AJ5eI5OnqOPBNLWSHKh2a30DoXe8/edit?usp=sharing"",""พัทลุง!J48"")"),0)</f>
        <v>0</v>
      </c>
      <c r="V84" s="99">
        <f t="shared" ca="1" si="9"/>
        <v>0</v>
      </c>
      <c r="W84" s="81"/>
      <c r="X84" s="81"/>
      <c r="Y84" s="81"/>
      <c r="Z84" s="81"/>
    </row>
    <row r="85" spans="1:26" ht="24" customHeight="1" x14ac:dyDescent="0.5">
      <c r="A85" s="52">
        <v>9</v>
      </c>
      <c r="B85" s="53" t="s">
        <v>100</v>
      </c>
      <c r="C85" s="54">
        <f t="shared" si="45"/>
        <v>0</v>
      </c>
      <c r="D85" s="55">
        <v>0</v>
      </c>
      <c r="E85" s="55">
        <v>0</v>
      </c>
      <c r="F85" s="55">
        <f ca="1">IFERROR(__xludf.DUMMYFUNCTION("IMPORTRANGE(""https://docs.google.com/spreadsheets/d/1IYY_tgx_IHuhSq3AJ5eI5OnqOPBNLWSHKh2a30DoXe8/edit?usp=sharing"",""ภูเก็ต!M35"")"),0)</f>
        <v>0</v>
      </c>
      <c r="G85" s="99">
        <f t="shared" si="1"/>
        <v>0</v>
      </c>
      <c r="H85" s="55">
        <v>0</v>
      </c>
      <c r="I85" s="55">
        <f ca="1">IFERROR(__xludf.DUMMYFUNCTION("IMPORTRANGE(""https://docs.google.com/spreadsheets/d/1IYY_tgx_IHuhSq3AJ5eI5OnqOPBNLWSHKh2a30DoXe8/edit?usp=sharing"",""ภูเก็ต!J43"")"),0)</f>
        <v>0</v>
      </c>
      <c r="J85" s="56">
        <f t="shared" si="3"/>
        <v>0</v>
      </c>
      <c r="K85" s="55">
        <v>0</v>
      </c>
      <c r="L85" s="55">
        <f ca="1">IFERROR(__xludf.DUMMYFUNCTION("IMPORTRANGE(""https://docs.google.com/spreadsheets/d/1IYY_tgx_IHuhSq3AJ5eI5OnqOPBNLWSHKh2a30DoXe8/edit?usp=sharing"",""ภูเก็ต!J44"")"),0)</f>
        <v>0</v>
      </c>
      <c r="M85" s="56">
        <f t="shared" si="4"/>
        <v>0</v>
      </c>
      <c r="N85" s="55">
        <f ca="1">IFERROR(__xludf.DUMMYFUNCTION("IMPORTRANGE(""https://docs.google.com/spreadsheets/d/1IYY_tgx_IHuhSq3AJ5eI5OnqOPBNLWSHKh2a30DoXe8/edit?usp=sharing"",""ภูเก็ต!J45"")"),0)</f>
        <v>0</v>
      </c>
      <c r="O85" s="56">
        <f t="shared" si="5"/>
        <v>0</v>
      </c>
      <c r="P85" s="55">
        <f ca="1">IFERROR(__xludf.DUMMYFUNCTION("IMPORTRANGE(""https://docs.google.com/spreadsheets/d/1IYY_tgx_IHuhSq3AJ5eI5OnqOPBNLWSHKh2a30DoXe8/edit?usp=sharing"",""ภูเก็ต!J46"")"),0)</f>
        <v>0</v>
      </c>
      <c r="Q85" s="56">
        <f t="shared" si="6"/>
        <v>0</v>
      </c>
      <c r="R85" s="55">
        <f ca="1">IFERROR(__xludf.DUMMYFUNCTION("IMPORTRANGE(""https://docs.google.com/spreadsheets/d/1IYY_tgx_IHuhSq3AJ5eI5OnqOPBNLWSHKh2a30DoXe8/edit?usp=sharing"",""ภูเก็ต!J47"")"),0)</f>
        <v>0</v>
      </c>
      <c r="S85" s="99">
        <f t="shared" si="7"/>
        <v>0</v>
      </c>
      <c r="T85" s="55">
        <v>0</v>
      </c>
      <c r="U85" s="55">
        <f ca="1">IFERROR(__xludf.DUMMYFUNCTION("IMPORTRANGE(""https://docs.google.com/spreadsheets/d/1IYY_tgx_IHuhSq3AJ5eI5OnqOPBNLWSHKh2a30DoXe8/edit?usp=sharing"",""ภูเก็ต!J48"")"),0)</f>
        <v>0</v>
      </c>
      <c r="V85" s="99">
        <f t="shared" si="9"/>
        <v>0</v>
      </c>
      <c r="W85" s="81"/>
      <c r="X85" s="81"/>
      <c r="Y85" s="81"/>
      <c r="Z85" s="81"/>
    </row>
    <row r="86" spans="1:26" ht="24" customHeight="1" x14ac:dyDescent="0.5">
      <c r="A86" s="52">
        <v>10</v>
      </c>
      <c r="B86" s="53" t="s">
        <v>101</v>
      </c>
      <c r="C86" s="54">
        <f t="shared" si="45"/>
        <v>0</v>
      </c>
      <c r="D86" s="55">
        <v>0</v>
      </c>
      <c r="E86" s="55">
        <v>0</v>
      </c>
      <c r="F86" s="55">
        <f ca="1">IFERROR(__xludf.DUMMYFUNCTION("IMPORTRANGE(""https://docs.google.com/spreadsheets/d/1IYY_tgx_IHuhSq3AJ5eI5OnqOPBNLWSHKh2a30DoXe8/edit?usp=sharing"",""ยะลา!M35"")"),0)</f>
        <v>0</v>
      </c>
      <c r="G86" s="99">
        <f t="shared" si="1"/>
        <v>0</v>
      </c>
      <c r="H86" s="55">
        <v>0</v>
      </c>
      <c r="I86" s="55">
        <f ca="1">IFERROR(__xludf.DUMMYFUNCTION("IMPORTRANGE(""https://docs.google.com/spreadsheets/d/1IYY_tgx_IHuhSq3AJ5eI5OnqOPBNLWSHKh2a30DoXe8/edit?usp=sharing"",""ยะลา!J43"")"),0)</f>
        <v>0</v>
      </c>
      <c r="J86" s="56">
        <f t="shared" si="3"/>
        <v>0</v>
      </c>
      <c r="K86" s="55">
        <v>0</v>
      </c>
      <c r="L86" s="55">
        <f ca="1">IFERROR(__xludf.DUMMYFUNCTION("IMPORTRANGE(""https://docs.google.com/spreadsheets/d/1IYY_tgx_IHuhSq3AJ5eI5OnqOPBNLWSHKh2a30DoXe8/edit?usp=sharing"",""ยะลา!J44"")"),0)</f>
        <v>0</v>
      </c>
      <c r="M86" s="56">
        <f t="shared" si="4"/>
        <v>0</v>
      </c>
      <c r="N86" s="55">
        <f ca="1">IFERROR(__xludf.DUMMYFUNCTION("IMPORTRANGE(""https://docs.google.com/spreadsheets/d/1IYY_tgx_IHuhSq3AJ5eI5OnqOPBNLWSHKh2a30DoXe8/edit?usp=sharing"",""ยะลา!J45"")"),0)</f>
        <v>0</v>
      </c>
      <c r="O86" s="56">
        <f t="shared" si="5"/>
        <v>0</v>
      </c>
      <c r="P86" s="55">
        <f ca="1">IFERROR(__xludf.DUMMYFUNCTION("IMPORTRANGE(""https://docs.google.com/spreadsheets/d/1IYY_tgx_IHuhSq3AJ5eI5OnqOPBNLWSHKh2a30DoXe8/edit?usp=sharing"",""ยะลา!J46"")"),0)</f>
        <v>0</v>
      </c>
      <c r="Q86" s="56">
        <f t="shared" si="6"/>
        <v>0</v>
      </c>
      <c r="R86" s="55">
        <f ca="1">IFERROR(__xludf.DUMMYFUNCTION("IMPORTRANGE(""https://docs.google.com/spreadsheets/d/1IYY_tgx_IHuhSq3AJ5eI5OnqOPBNLWSHKh2a30DoXe8/edit?usp=sharing"",""ยะลา!J47"")"),0)</f>
        <v>0</v>
      </c>
      <c r="S86" s="99">
        <f t="shared" si="7"/>
        <v>0</v>
      </c>
      <c r="T86" s="55">
        <v>0</v>
      </c>
      <c r="U86" s="55">
        <f ca="1">IFERROR(__xludf.DUMMYFUNCTION("IMPORTRANGE(""https://docs.google.com/spreadsheets/d/1IYY_tgx_IHuhSq3AJ5eI5OnqOPBNLWSHKh2a30DoXe8/edit?usp=sharing"",""ยะลา!J48"")"),0)</f>
        <v>0</v>
      </c>
      <c r="V86" s="99">
        <f t="shared" si="9"/>
        <v>0</v>
      </c>
      <c r="W86" s="81"/>
      <c r="X86" s="81"/>
      <c r="Y86" s="81"/>
      <c r="Z86" s="81"/>
    </row>
    <row r="87" spans="1:26" ht="24" customHeight="1" x14ac:dyDescent="0.5">
      <c r="A87" s="52">
        <v>11</v>
      </c>
      <c r="B87" s="53" t="s">
        <v>102</v>
      </c>
      <c r="C87" s="54">
        <f t="shared" si="45"/>
        <v>122100</v>
      </c>
      <c r="D87" s="55">
        <v>0</v>
      </c>
      <c r="E87" s="55">
        <v>122100</v>
      </c>
      <c r="F87" s="55">
        <f ca="1">IFERROR(__xludf.DUMMYFUNCTION("IMPORTRANGE(""https://docs.google.com/spreadsheets/d/1IYY_tgx_IHuhSq3AJ5eI5OnqOPBNLWSHKh2a30DoXe8/edit?usp=sharing"",""ระนอง!M35"")"),1220)</f>
        <v>1220</v>
      </c>
      <c r="G87" s="99">
        <f t="shared" ca="1" si="1"/>
        <v>0.99918099918099923</v>
      </c>
      <c r="H87" s="55">
        <v>1</v>
      </c>
      <c r="I87" s="55">
        <f ca="1">IFERROR(__xludf.DUMMYFUNCTION("IMPORTRANGE(""https://docs.google.com/spreadsheets/d/1IYY_tgx_IHuhSq3AJ5eI5OnqOPBNLWSHKh2a30DoXe8/edit?usp=sharing"",""ระนอง!J43"")"),1)</f>
        <v>1</v>
      </c>
      <c r="J87" s="56">
        <f t="shared" ca="1" si="3"/>
        <v>100</v>
      </c>
      <c r="K87" s="55">
        <v>4</v>
      </c>
      <c r="L87" s="55">
        <f ca="1">IFERROR(__xludf.DUMMYFUNCTION("IMPORTRANGE(""https://docs.google.com/spreadsheets/d/1IYY_tgx_IHuhSq3AJ5eI5OnqOPBNLWSHKh2a30DoXe8/edit?usp=sharing"",""ระนอง!J44"")"),0)</f>
        <v>0</v>
      </c>
      <c r="M87" s="56">
        <f t="shared" ca="1" si="4"/>
        <v>0</v>
      </c>
      <c r="N87" s="55">
        <f ca="1">IFERROR(__xludf.DUMMYFUNCTION("IMPORTRANGE(""https://docs.google.com/spreadsheets/d/1IYY_tgx_IHuhSq3AJ5eI5OnqOPBNLWSHKh2a30DoXe8/edit?usp=sharing"",""ระนอง!J45"")"),0)</f>
        <v>0</v>
      </c>
      <c r="O87" s="56">
        <f t="shared" ca="1" si="5"/>
        <v>0</v>
      </c>
      <c r="P87" s="55">
        <f ca="1">IFERROR(__xludf.DUMMYFUNCTION("IMPORTRANGE(""https://docs.google.com/spreadsheets/d/1IYY_tgx_IHuhSq3AJ5eI5OnqOPBNLWSHKh2a30DoXe8/edit?usp=sharing"",""ระนอง!J46"")"),0)</f>
        <v>0</v>
      </c>
      <c r="Q87" s="56">
        <f t="shared" ca="1" si="6"/>
        <v>0</v>
      </c>
      <c r="R87" s="55">
        <f ca="1">IFERROR(__xludf.DUMMYFUNCTION("IMPORTRANGE(""https://docs.google.com/spreadsheets/d/1IYY_tgx_IHuhSq3AJ5eI5OnqOPBNLWSHKh2a30DoXe8/edit?usp=sharing"",""ระนอง!J47"")"),0)</f>
        <v>0</v>
      </c>
      <c r="S87" s="99">
        <f t="shared" ca="1" si="7"/>
        <v>0</v>
      </c>
      <c r="T87" s="55">
        <v>1</v>
      </c>
      <c r="U87" s="55">
        <f ca="1">IFERROR(__xludf.DUMMYFUNCTION("IMPORTRANGE(""https://docs.google.com/spreadsheets/d/1IYY_tgx_IHuhSq3AJ5eI5OnqOPBNLWSHKh2a30DoXe8/edit?usp=sharing"",""ระนอง!J48"")"),0)</f>
        <v>0</v>
      </c>
      <c r="V87" s="99">
        <f t="shared" ca="1" si="9"/>
        <v>0</v>
      </c>
      <c r="W87" s="81"/>
      <c r="X87" s="81"/>
      <c r="Y87" s="81"/>
      <c r="Z87" s="81"/>
    </row>
    <row r="88" spans="1:26" ht="24" customHeight="1" x14ac:dyDescent="0.5">
      <c r="A88" s="52">
        <v>12</v>
      </c>
      <c r="B88" s="53" t="s">
        <v>103</v>
      </c>
      <c r="C88" s="54">
        <f t="shared" si="45"/>
        <v>0</v>
      </c>
      <c r="D88" s="55">
        <v>0</v>
      </c>
      <c r="E88" s="55">
        <v>0</v>
      </c>
      <c r="F88" s="55">
        <f ca="1">IFERROR(__xludf.DUMMYFUNCTION("IMPORTRANGE(""https://docs.google.com/spreadsheets/d/1IYY_tgx_IHuhSq3AJ5eI5OnqOPBNLWSHKh2a30DoXe8/edit?usp=sharing"",""สงขลา!M35"")"),0)</f>
        <v>0</v>
      </c>
      <c r="G88" s="99">
        <f t="shared" si="1"/>
        <v>0</v>
      </c>
      <c r="H88" s="55">
        <v>0</v>
      </c>
      <c r="I88" s="55">
        <f ca="1">IFERROR(__xludf.DUMMYFUNCTION("IMPORTRANGE(""https://docs.google.com/spreadsheets/d/1IYY_tgx_IHuhSq3AJ5eI5OnqOPBNLWSHKh2a30DoXe8/edit?usp=sharing"",""สงขลา!J43"")"),0)</f>
        <v>0</v>
      </c>
      <c r="J88" s="56">
        <f t="shared" si="3"/>
        <v>0</v>
      </c>
      <c r="K88" s="55">
        <v>0</v>
      </c>
      <c r="L88" s="55">
        <f ca="1">IFERROR(__xludf.DUMMYFUNCTION("IMPORTRANGE(""https://docs.google.com/spreadsheets/d/1IYY_tgx_IHuhSq3AJ5eI5OnqOPBNLWSHKh2a30DoXe8/edit?usp=sharing"",""สงขลา!J44"")"),0)</f>
        <v>0</v>
      </c>
      <c r="M88" s="56">
        <f t="shared" si="4"/>
        <v>0</v>
      </c>
      <c r="N88" s="55">
        <f ca="1">IFERROR(__xludf.DUMMYFUNCTION("IMPORTRANGE(""https://docs.google.com/spreadsheets/d/1IYY_tgx_IHuhSq3AJ5eI5OnqOPBNLWSHKh2a30DoXe8/edit?usp=sharing"",""สงขลา!J45"")"),0)</f>
        <v>0</v>
      </c>
      <c r="O88" s="56">
        <f t="shared" si="5"/>
        <v>0</v>
      </c>
      <c r="P88" s="55">
        <f ca="1">IFERROR(__xludf.DUMMYFUNCTION("IMPORTRANGE(""https://docs.google.com/spreadsheets/d/1IYY_tgx_IHuhSq3AJ5eI5OnqOPBNLWSHKh2a30DoXe8/edit?usp=sharing"",""สงขลา!J46"")"),0)</f>
        <v>0</v>
      </c>
      <c r="Q88" s="56">
        <f t="shared" si="6"/>
        <v>0</v>
      </c>
      <c r="R88" s="55">
        <f ca="1">IFERROR(__xludf.DUMMYFUNCTION("IMPORTRANGE(""https://docs.google.com/spreadsheets/d/1IYY_tgx_IHuhSq3AJ5eI5OnqOPBNLWSHKh2a30DoXe8/edit?usp=sharing"",""สงขลา!J47"")"),0)</f>
        <v>0</v>
      </c>
      <c r="S88" s="99">
        <f t="shared" si="7"/>
        <v>0</v>
      </c>
      <c r="T88" s="55">
        <v>0</v>
      </c>
      <c r="U88" s="55">
        <f ca="1">IFERROR(__xludf.DUMMYFUNCTION("IMPORTRANGE(""https://docs.google.com/spreadsheets/d/1IYY_tgx_IHuhSq3AJ5eI5OnqOPBNLWSHKh2a30DoXe8/edit?usp=sharing"",""สงขลา!J48"")"),0)</f>
        <v>0</v>
      </c>
      <c r="V88" s="99">
        <f t="shared" si="9"/>
        <v>0</v>
      </c>
      <c r="W88" s="81"/>
      <c r="X88" s="81"/>
      <c r="Y88" s="81"/>
      <c r="Z88" s="81"/>
    </row>
    <row r="89" spans="1:26" ht="24" customHeight="1" x14ac:dyDescent="0.5">
      <c r="A89" s="52">
        <v>13</v>
      </c>
      <c r="B89" s="53" t="s">
        <v>104</v>
      </c>
      <c r="C89" s="54">
        <f t="shared" si="45"/>
        <v>0</v>
      </c>
      <c r="D89" s="55">
        <v>0</v>
      </c>
      <c r="E89" s="55">
        <v>0</v>
      </c>
      <c r="F89" s="55">
        <f ca="1">IFERROR(__xludf.DUMMYFUNCTION("IMPORTRANGE(""https://docs.google.com/spreadsheets/d/1IYY_tgx_IHuhSq3AJ5eI5OnqOPBNLWSHKh2a30DoXe8/edit?usp=sharing"",""สตูล!M35"")"),0)</f>
        <v>0</v>
      </c>
      <c r="G89" s="99">
        <f t="shared" si="1"/>
        <v>0</v>
      </c>
      <c r="H89" s="55">
        <v>0</v>
      </c>
      <c r="I89" s="55">
        <f ca="1">IFERROR(__xludf.DUMMYFUNCTION("IMPORTRANGE(""https://docs.google.com/spreadsheets/d/1IYY_tgx_IHuhSq3AJ5eI5OnqOPBNLWSHKh2a30DoXe8/edit?usp=sharing"",""สตูล!J43"")"),0)</f>
        <v>0</v>
      </c>
      <c r="J89" s="56">
        <f t="shared" si="3"/>
        <v>0</v>
      </c>
      <c r="K89" s="55">
        <v>0</v>
      </c>
      <c r="L89" s="55">
        <f ca="1">IFERROR(__xludf.DUMMYFUNCTION("IMPORTRANGE(""https://docs.google.com/spreadsheets/d/1IYY_tgx_IHuhSq3AJ5eI5OnqOPBNLWSHKh2a30DoXe8/edit?usp=sharing"",""สตูล!J44"")"),0)</f>
        <v>0</v>
      </c>
      <c r="M89" s="56">
        <f t="shared" si="4"/>
        <v>0</v>
      </c>
      <c r="N89" s="55">
        <f ca="1">IFERROR(__xludf.DUMMYFUNCTION("IMPORTRANGE(""https://docs.google.com/spreadsheets/d/1IYY_tgx_IHuhSq3AJ5eI5OnqOPBNLWSHKh2a30DoXe8/edit?usp=sharing"",""สตูล!J45"")"),0)</f>
        <v>0</v>
      </c>
      <c r="O89" s="56">
        <f t="shared" si="5"/>
        <v>0</v>
      </c>
      <c r="P89" s="55">
        <f ca="1">IFERROR(__xludf.DUMMYFUNCTION("IMPORTRANGE(""https://docs.google.com/spreadsheets/d/1IYY_tgx_IHuhSq3AJ5eI5OnqOPBNLWSHKh2a30DoXe8/edit?usp=sharing"",""สตูล!J46"")"),0)</f>
        <v>0</v>
      </c>
      <c r="Q89" s="56">
        <f t="shared" si="6"/>
        <v>0</v>
      </c>
      <c r="R89" s="55">
        <f ca="1">IFERROR(__xludf.DUMMYFUNCTION("IMPORTRANGE(""https://docs.google.com/spreadsheets/d/1IYY_tgx_IHuhSq3AJ5eI5OnqOPBNLWSHKh2a30DoXe8/edit?usp=sharing"",""สตูล!J47"")"),0)</f>
        <v>0</v>
      </c>
      <c r="S89" s="99">
        <f t="shared" si="7"/>
        <v>0</v>
      </c>
      <c r="T89" s="55">
        <v>0</v>
      </c>
      <c r="U89" s="55">
        <f ca="1">IFERROR(__xludf.DUMMYFUNCTION("IMPORTRANGE(""https://docs.google.com/spreadsheets/d/1IYY_tgx_IHuhSq3AJ5eI5OnqOPBNLWSHKh2a30DoXe8/edit?usp=sharing"",""สตูล!J48"")"),0)</f>
        <v>0</v>
      </c>
      <c r="V89" s="99">
        <f t="shared" si="9"/>
        <v>0</v>
      </c>
      <c r="W89" s="81"/>
      <c r="X89" s="81"/>
      <c r="Y89" s="81"/>
      <c r="Z89" s="81"/>
    </row>
    <row r="90" spans="1:26" ht="24" customHeight="1" x14ac:dyDescent="0.5">
      <c r="A90" s="59">
        <v>14</v>
      </c>
      <c r="B90" s="60" t="s">
        <v>105</v>
      </c>
      <c r="C90" s="61">
        <f t="shared" si="45"/>
        <v>0</v>
      </c>
      <c r="D90" s="62">
        <v>0</v>
      </c>
      <c r="E90" s="62">
        <v>0</v>
      </c>
      <c r="F90" s="62">
        <f ca="1">IFERROR(__xludf.DUMMYFUNCTION("IMPORTRANGE(""https://docs.google.com/spreadsheets/d/1IYY_tgx_IHuhSq3AJ5eI5OnqOPBNLWSHKh2a30DoXe8/edit?usp=sharing"",""สุราษฎร์ธานี!M35"")"),0)</f>
        <v>0</v>
      </c>
      <c r="G90" s="100">
        <f t="shared" si="1"/>
        <v>0</v>
      </c>
      <c r="H90" s="62">
        <v>0</v>
      </c>
      <c r="I90" s="62">
        <f ca="1">IFERROR(__xludf.DUMMYFUNCTION("IMPORTRANGE(""https://docs.google.com/spreadsheets/d/1IYY_tgx_IHuhSq3AJ5eI5OnqOPBNLWSHKh2a30DoXe8/edit?usp=sharing"",""สุราษฎร์ธานี!J43"")"),0)</f>
        <v>0</v>
      </c>
      <c r="J90" s="63">
        <f t="shared" si="3"/>
        <v>0</v>
      </c>
      <c r="K90" s="62">
        <v>0</v>
      </c>
      <c r="L90" s="62">
        <f ca="1">IFERROR(__xludf.DUMMYFUNCTION("IMPORTRANGE(""https://docs.google.com/spreadsheets/d/1IYY_tgx_IHuhSq3AJ5eI5OnqOPBNLWSHKh2a30DoXe8/edit?usp=sharing"",""สุราษฎร์ธานี!J44"")"),0)</f>
        <v>0</v>
      </c>
      <c r="M90" s="63">
        <f t="shared" si="4"/>
        <v>0</v>
      </c>
      <c r="N90" s="62">
        <f ca="1">IFERROR(__xludf.DUMMYFUNCTION("IMPORTRANGE(""https://docs.google.com/spreadsheets/d/1IYY_tgx_IHuhSq3AJ5eI5OnqOPBNLWSHKh2a30DoXe8/edit?usp=sharing"",""สุราษฎร์ธานี!J45"")"),0)</f>
        <v>0</v>
      </c>
      <c r="O90" s="63">
        <f t="shared" si="5"/>
        <v>0</v>
      </c>
      <c r="P90" s="62">
        <f ca="1">IFERROR(__xludf.DUMMYFUNCTION("IMPORTRANGE(""https://docs.google.com/spreadsheets/d/1IYY_tgx_IHuhSq3AJ5eI5OnqOPBNLWSHKh2a30DoXe8/edit?usp=sharing"",""สุราษฎร์ธานี!J46"")"),0)</f>
        <v>0</v>
      </c>
      <c r="Q90" s="63">
        <f t="shared" si="6"/>
        <v>0</v>
      </c>
      <c r="R90" s="62">
        <f ca="1">IFERROR(__xludf.DUMMYFUNCTION("IMPORTRANGE(""https://docs.google.com/spreadsheets/d/1IYY_tgx_IHuhSq3AJ5eI5OnqOPBNLWSHKh2a30DoXe8/edit?usp=sharing"",""สุราษฎร์ธานี!J47"")"),0)</f>
        <v>0</v>
      </c>
      <c r="S90" s="100">
        <f t="shared" si="7"/>
        <v>0</v>
      </c>
      <c r="T90" s="62">
        <v>0</v>
      </c>
      <c r="U90" s="62">
        <f ca="1">IFERROR(__xludf.DUMMYFUNCTION("IMPORTRANGE(""https://docs.google.com/spreadsheets/d/1IYY_tgx_IHuhSq3AJ5eI5OnqOPBNLWSHKh2a30DoXe8/edit?usp=sharing"",""สุราษฎร์ธานี!J48"")"),0)</f>
        <v>0</v>
      </c>
      <c r="V90" s="100">
        <f t="shared" si="9"/>
        <v>0</v>
      </c>
      <c r="W90" s="81"/>
      <c r="X90" s="81"/>
      <c r="Y90" s="81"/>
      <c r="Z90" s="81"/>
    </row>
    <row r="91" spans="1:26" ht="24" customHeight="1" x14ac:dyDescent="0.5">
      <c r="A91" s="572" t="s">
        <v>106</v>
      </c>
      <c r="B91" s="571"/>
      <c r="C91" s="35">
        <f t="shared" ref="C91:F91" si="46">+C92+C93+C94+C95+C96+C97+C98+C99+C100+C101+C102+C103+C104+C105</f>
        <v>1359200</v>
      </c>
      <c r="D91" s="35">
        <f t="shared" si="46"/>
        <v>132000</v>
      </c>
      <c r="E91" s="35">
        <f t="shared" si="46"/>
        <v>1227200</v>
      </c>
      <c r="F91" s="35">
        <f t="shared" ca="1" si="46"/>
        <v>64000</v>
      </c>
      <c r="G91" s="92">
        <f t="shared" ca="1" si="1"/>
        <v>4.7086521483225425</v>
      </c>
      <c r="H91" s="35">
        <f t="shared" ref="H91:I91" si="47">+H92+H93+H94+H95+H96+H97+H98+H99+H100+H101+H102+H103+H104+H105</f>
        <v>0</v>
      </c>
      <c r="I91" s="35">
        <f t="shared" si="47"/>
        <v>0</v>
      </c>
      <c r="J91" s="36">
        <f t="shared" si="3"/>
        <v>0</v>
      </c>
      <c r="K91" s="35">
        <f t="shared" ref="K91:L91" si="48">+K92+K93+K94+K95+K96+K97+K98+K99+K100+K101+K102+K103+K104+K105</f>
        <v>0</v>
      </c>
      <c r="L91" s="35">
        <f t="shared" si="48"/>
        <v>0</v>
      </c>
      <c r="M91" s="36">
        <f t="shared" si="4"/>
        <v>0</v>
      </c>
      <c r="N91" s="35">
        <f>+N92+N93+N94+N95+N96+N97+N98+N99+N100+N101+N102+N103+N104+N105</f>
        <v>0</v>
      </c>
      <c r="O91" s="36">
        <f t="shared" si="5"/>
        <v>0</v>
      </c>
      <c r="P91" s="35">
        <f>+P92+P93+P94+P95+P96+P97+P98+P99+P100+P101+P102+P103+P104+P105</f>
        <v>0</v>
      </c>
      <c r="Q91" s="36">
        <f t="shared" si="6"/>
        <v>0</v>
      </c>
      <c r="R91" s="35">
        <f>+R92+R93+R94+R95+R96+R97+R98+R99+R100+R101+R102+R103+R104+R105</f>
        <v>0</v>
      </c>
      <c r="S91" s="92">
        <f t="shared" si="7"/>
        <v>0</v>
      </c>
      <c r="T91" s="35">
        <f t="shared" ref="T91:U91" si="49">+T92+T93+T94+T95+T96+T97+T98+T99+T100+T101+T102+T103+T104+T105</f>
        <v>0</v>
      </c>
      <c r="U91" s="35">
        <f t="shared" si="49"/>
        <v>0</v>
      </c>
      <c r="V91" s="92">
        <f t="shared" si="9"/>
        <v>0</v>
      </c>
      <c r="W91" s="81"/>
      <c r="X91" s="81"/>
      <c r="Y91" s="81"/>
      <c r="Z91" s="81"/>
    </row>
    <row r="92" spans="1:26" ht="24" customHeight="1" x14ac:dyDescent="0.5">
      <c r="A92" s="68">
        <v>1</v>
      </c>
      <c r="B92" s="69" t="s">
        <v>107</v>
      </c>
      <c r="C92" s="47">
        <f t="shared" ref="C92:C105" si="50">+D92+E92</f>
        <v>0</v>
      </c>
      <c r="D92" s="48">
        <v>0</v>
      </c>
      <c r="E92" s="48">
        <v>0</v>
      </c>
      <c r="F92" s="48">
        <f ca="1">IFERROR(__xludf.DUMMYFUNCTION("IMPORTRANGE(""https://docs.google.com/spreadsheets/d/1Yj_ptqi66GCucihVvJfMjLAmec39IyEx_6qawtMGysU/edit?usp=sharing"",""สบก!AS96"")"),0)</f>
        <v>0</v>
      </c>
      <c r="G92" s="98">
        <f t="shared" si="1"/>
        <v>0</v>
      </c>
      <c r="H92" s="48">
        <v>0</v>
      </c>
      <c r="I92" s="48">
        <v>0</v>
      </c>
      <c r="J92" s="50">
        <f t="shared" si="3"/>
        <v>0</v>
      </c>
      <c r="K92" s="48">
        <v>0</v>
      </c>
      <c r="L92" s="48">
        <v>0</v>
      </c>
      <c r="M92" s="50">
        <f t="shared" si="4"/>
        <v>0</v>
      </c>
      <c r="N92" s="48">
        <v>0</v>
      </c>
      <c r="O92" s="50">
        <f t="shared" si="5"/>
        <v>0</v>
      </c>
      <c r="P92" s="48">
        <v>0</v>
      </c>
      <c r="Q92" s="50">
        <f t="shared" si="6"/>
        <v>0</v>
      </c>
      <c r="R92" s="48">
        <v>0</v>
      </c>
      <c r="S92" s="98">
        <f t="shared" si="7"/>
        <v>0</v>
      </c>
      <c r="T92" s="48">
        <v>0</v>
      </c>
      <c r="U92" s="48">
        <v>0</v>
      </c>
      <c r="V92" s="98">
        <f t="shared" si="9"/>
        <v>0</v>
      </c>
      <c r="W92" s="81"/>
      <c r="X92" s="81"/>
      <c r="Y92" s="81"/>
      <c r="Z92" s="81"/>
    </row>
    <row r="93" spans="1:26" ht="24" customHeight="1" x14ac:dyDescent="0.5">
      <c r="A93" s="70">
        <v>2</v>
      </c>
      <c r="B93" s="71" t="s">
        <v>108</v>
      </c>
      <c r="C93" s="54">
        <f t="shared" si="50"/>
        <v>0</v>
      </c>
      <c r="D93" s="55">
        <v>0</v>
      </c>
      <c r="E93" s="55">
        <v>0</v>
      </c>
      <c r="F93" s="55">
        <f ca="1">IFERROR(__xludf.DUMMYFUNCTION("IMPORTRANGE(""https://docs.google.com/spreadsheets/d/1Yj_ptqi66GCucihVvJfMjLAmec39IyEx_6qawtMGysU/edit?usp=sharing"",""สบก!AS97"")"),0)</f>
        <v>0</v>
      </c>
      <c r="G93" s="99">
        <f t="shared" si="1"/>
        <v>0</v>
      </c>
      <c r="H93" s="55">
        <v>0</v>
      </c>
      <c r="I93" s="55">
        <v>0</v>
      </c>
      <c r="J93" s="56">
        <f t="shared" si="3"/>
        <v>0</v>
      </c>
      <c r="K93" s="55">
        <v>0</v>
      </c>
      <c r="L93" s="55">
        <v>0</v>
      </c>
      <c r="M93" s="56">
        <f t="shared" si="4"/>
        <v>0</v>
      </c>
      <c r="N93" s="55">
        <v>0</v>
      </c>
      <c r="O93" s="56">
        <f t="shared" si="5"/>
        <v>0</v>
      </c>
      <c r="P93" s="55">
        <v>0</v>
      </c>
      <c r="Q93" s="56">
        <f t="shared" si="6"/>
        <v>0</v>
      </c>
      <c r="R93" s="55">
        <v>0</v>
      </c>
      <c r="S93" s="99">
        <f t="shared" si="7"/>
        <v>0</v>
      </c>
      <c r="T93" s="55">
        <v>0</v>
      </c>
      <c r="U93" s="55">
        <v>0</v>
      </c>
      <c r="V93" s="99">
        <f t="shared" si="9"/>
        <v>0</v>
      </c>
      <c r="W93" s="81"/>
      <c r="X93" s="81"/>
      <c r="Y93" s="81"/>
      <c r="Z93" s="81"/>
    </row>
    <row r="94" spans="1:26" ht="24" customHeight="1" x14ac:dyDescent="0.5">
      <c r="A94" s="70">
        <v>3</v>
      </c>
      <c r="B94" s="71" t="s">
        <v>109</v>
      </c>
      <c r="C94" s="54">
        <f t="shared" si="50"/>
        <v>0</v>
      </c>
      <c r="D94" s="55">
        <v>0</v>
      </c>
      <c r="E94" s="55">
        <v>0</v>
      </c>
      <c r="F94" s="55">
        <f ca="1">IFERROR(__xludf.DUMMYFUNCTION("IMPORTRANGE(""https://docs.google.com/spreadsheets/d/1Yj_ptqi66GCucihVvJfMjLAmec39IyEx_6qawtMGysU/edit?usp=sharing"",""สบก!AS98"")"),0)</f>
        <v>0</v>
      </c>
      <c r="G94" s="99">
        <f t="shared" si="1"/>
        <v>0</v>
      </c>
      <c r="H94" s="55">
        <v>0</v>
      </c>
      <c r="I94" s="55">
        <v>0</v>
      </c>
      <c r="J94" s="56">
        <f t="shared" si="3"/>
        <v>0</v>
      </c>
      <c r="K94" s="55">
        <v>0</v>
      </c>
      <c r="L94" s="55">
        <v>0</v>
      </c>
      <c r="M94" s="56">
        <f t="shared" si="4"/>
        <v>0</v>
      </c>
      <c r="N94" s="55">
        <v>0</v>
      </c>
      <c r="O94" s="56">
        <f t="shared" si="5"/>
        <v>0</v>
      </c>
      <c r="P94" s="55">
        <v>0</v>
      </c>
      <c r="Q94" s="56">
        <f t="shared" si="6"/>
        <v>0</v>
      </c>
      <c r="R94" s="55">
        <v>0</v>
      </c>
      <c r="S94" s="99">
        <f t="shared" si="7"/>
        <v>0</v>
      </c>
      <c r="T94" s="55">
        <v>0</v>
      </c>
      <c r="U94" s="55">
        <v>0</v>
      </c>
      <c r="V94" s="99">
        <f t="shared" si="9"/>
        <v>0</v>
      </c>
      <c r="W94" s="81"/>
      <c r="X94" s="81"/>
      <c r="Y94" s="81"/>
      <c r="Z94" s="81"/>
    </row>
    <row r="95" spans="1:26" ht="24" customHeight="1" x14ac:dyDescent="0.5">
      <c r="A95" s="70">
        <f t="shared" ref="A95:A105" si="51">+A94+1</f>
        <v>4</v>
      </c>
      <c r="B95" s="71" t="s">
        <v>110</v>
      </c>
      <c r="C95" s="54">
        <f t="shared" si="50"/>
        <v>0</v>
      </c>
      <c r="D95" s="55">
        <v>0</v>
      </c>
      <c r="E95" s="55">
        <v>0</v>
      </c>
      <c r="F95" s="55">
        <f ca="1">IFERROR(__xludf.DUMMYFUNCTION("IMPORTRANGE(""https://docs.google.com/spreadsheets/d/1Yj_ptqi66GCucihVvJfMjLAmec39IyEx_6qawtMGysU/edit?usp=sharing"",""สบก!AS99"")"),0)</f>
        <v>0</v>
      </c>
      <c r="G95" s="99">
        <f t="shared" si="1"/>
        <v>0</v>
      </c>
      <c r="H95" s="55">
        <v>0</v>
      </c>
      <c r="I95" s="55">
        <v>0</v>
      </c>
      <c r="J95" s="56">
        <f t="shared" si="3"/>
        <v>0</v>
      </c>
      <c r="K95" s="55">
        <v>0</v>
      </c>
      <c r="L95" s="55">
        <v>0</v>
      </c>
      <c r="M95" s="56">
        <f t="shared" si="4"/>
        <v>0</v>
      </c>
      <c r="N95" s="55">
        <v>0</v>
      </c>
      <c r="O95" s="56">
        <f t="shared" si="5"/>
        <v>0</v>
      </c>
      <c r="P95" s="55">
        <v>0</v>
      </c>
      <c r="Q95" s="56">
        <f t="shared" si="6"/>
        <v>0</v>
      </c>
      <c r="R95" s="55">
        <v>0</v>
      </c>
      <c r="S95" s="99">
        <f t="shared" si="7"/>
        <v>0</v>
      </c>
      <c r="T95" s="55">
        <v>0</v>
      </c>
      <c r="U95" s="55">
        <v>0</v>
      </c>
      <c r="V95" s="99">
        <f t="shared" si="9"/>
        <v>0</v>
      </c>
      <c r="W95" s="81"/>
      <c r="X95" s="81"/>
      <c r="Y95" s="81"/>
      <c r="Z95" s="81"/>
    </row>
    <row r="96" spans="1:26" ht="24" customHeight="1" x14ac:dyDescent="0.5">
      <c r="A96" s="70">
        <f t="shared" si="51"/>
        <v>5</v>
      </c>
      <c r="B96" s="71" t="s">
        <v>111</v>
      </c>
      <c r="C96" s="54">
        <f t="shared" si="50"/>
        <v>0</v>
      </c>
      <c r="D96" s="55">
        <v>0</v>
      </c>
      <c r="E96" s="55">
        <v>0</v>
      </c>
      <c r="F96" s="55">
        <f ca="1">IFERROR(__xludf.DUMMYFUNCTION("IMPORTRANGE(""https://docs.google.com/spreadsheets/d/1Yj_ptqi66GCucihVvJfMjLAmec39IyEx_6qawtMGysU/edit?usp=sharing"",""สบก!AS100"")"),0)</f>
        <v>0</v>
      </c>
      <c r="G96" s="99">
        <f t="shared" si="1"/>
        <v>0</v>
      </c>
      <c r="H96" s="55">
        <v>0</v>
      </c>
      <c r="I96" s="55">
        <v>0</v>
      </c>
      <c r="J96" s="56">
        <f t="shared" si="3"/>
        <v>0</v>
      </c>
      <c r="K96" s="55">
        <v>0</v>
      </c>
      <c r="L96" s="55">
        <v>0</v>
      </c>
      <c r="M96" s="56">
        <f t="shared" si="4"/>
        <v>0</v>
      </c>
      <c r="N96" s="55">
        <v>0</v>
      </c>
      <c r="O96" s="56">
        <f t="shared" si="5"/>
        <v>0</v>
      </c>
      <c r="P96" s="55">
        <v>0</v>
      </c>
      <c r="Q96" s="56">
        <f t="shared" si="6"/>
        <v>0</v>
      </c>
      <c r="R96" s="55">
        <v>0</v>
      </c>
      <c r="S96" s="99">
        <f t="shared" si="7"/>
        <v>0</v>
      </c>
      <c r="T96" s="55">
        <v>0</v>
      </c>
      <c r="U96" s="55">
        <v>0</v>
      </c>
      <c r="V96" s="99">
        <f t="shared" si="9"/>
        <v>0</v>
      </c>
      <c r="W96" s="81"/>
      <c r="X96" s="81"/>
      <c r="Y96" s="81"/>
      <c r="Z96" s="81"/>
    </row>
    <row r="97" spans="1:26" ht="24" customHeight="1" x14ac:dyDescent="0.5">
      <c r="A97" s="70">
        <f t="shared" si="51"/>
        <v>6</v>
      </c>
      <c r="B97" s="71" t="s">
        <v>112</v>
      </c>
      <c r="C97" s="54">
        <f t="shared" si="50"/>
        <v>0</v>
      </c>
      <c r="D97" s="55">
        <v>0</v>
      </c>
      <c r="E97" s="55">
        <v>0</v>
      </c>
      <c r="F97" s="55">
        <f ca="1">IFERROR(__xludf.DUMMYFUNCTION("IMPORTRANGE(""https://docs.google.com/spreadsheets/d/1Yj_ptqi66GCucihVvJfMjLAmec39IyEx_6qawtMGysU/edit?usp=sharing"",""สบก!AS101"")"),0)</f>
        <v>0</v>
      </c>
      <c r="G97" s="99">
        <f t="shared" si="1"/>
        <v>0</v>
      </c>
      <c r="H97" s="55">
        <v>0</v>
      </c>
      <c r="I97" s="55">
        <v>0</v>
      </c>
      <c r="J97" s="56">
        <f t="shared" si="3"/>
        <v>0</v>
      </c>
      <c r="K97" s="55">
        <v>0</v>
      </c>
      <c r="L97" s="55">
        <v>0</v>
      </c>
      <c r="M97" s="56">
        <f t="shared" si="4"/>
        <v>0</v>
      </c>
      <c r="N97" s="55">
        <v>0</v>
      </c>
      <c r="O97" s="56">
        <f t="shared" si="5"/>
        <v>0</v>
      </c>
      <c r="P97" s="55">
        <v>0</v>
      </c>
      <c r="Q97" s="56">
        <f t="shared" si="6"/>
        <v>0</v>
      </c>
      <c r="R97" s="55">
        <v>0</v>
      </c>
      <c r="S97" s="99">
        <f t="shared" si="7"/>
        <v>0</v>
      </c>
      <c r="T97" s="55">
        <v>0</v>
      </c>
      <c r="U97" s="55">
        <v>0</v>
      </c>
      <c r="V97" s="99">
        <f t="shared" si="9"/>
        <v>0</v>
      </c>
      <c r="W97" s="81"/>
      <c r="X97" s="81"/>
      <c r="Y97" s="81"/>
      <c r="Z97" s="81"/>
    </row>
    <row r="98" spans="1:26" ht="24" customHeight="1" x14ac:dyDescent="0.5">
      <c r="A98" s="70">
        <f t="shared" si="51"/>
        <v>7</v>
      </c>
      <c r="B98" s="71" t="s">
        <v>113</v>
      </c>
      <c r="C98" s="54">
        <f t="shared" si="50"/>
        <v>1359200</v>
      </c>
      <c r="D98" s="55">
        <v>132000</v>
      </c>
      <c r="E98" s="55">
        <f>288000+373100+500000+66100</f>
        <v>1227200</v>
      </c>
      <c r="F98" s="55">
        <f ca="1">IFERROR(__xludf.DUMMYFUNCTION("IMPORTRANGE(""https://docs.google.com/spreadsheets/d/1Yj_ptqi66GCucihVvJfMjLAmec39IyEx_6qawtMGysU/edit?usp=sharing"",""สบก!AS102"")"),64000)</f>
        <v>64000</v>
      </c>
      <c r="G98" s="99">
        <f t="shared" ca="1" si="1"/>
        <v>4.7086521483225425</v>
      </c>
      <c r="H98" s="55">
        <v>0</v>
      </c>
      <c r="I98" s="55">
        <v>0</v>
      </c>
      <c r="J98" s="56">
        <f t="shared" si="3"/>
        <v>0</v>
      </c>
      <c r="K98" s="55">
        <v>0</v>
      </c>
      <c r="L98" s="55">
        <v>0</v>
      </c>
      <c r="M98" s="56">
        <f t="shared" si="4"/>
        <v>0</v>
      </c>
      <c r="N98" s="55">
        <v>0</v>
      </c>
      <c r="O98" s="56">
        <f t="shared" si="5"/>
        <v>0</v>
      </c>
      <c r="P98" s="55">
        <v>0</v>
      </c>
      <c r="Q98" s="56">
        <f t="shared" si="6"/>
        <v>0</v>
      </c>
      <c r="R98" s="55">
        <v>0</v>
      </c>
      <c r="S98" s="99">
        <f t="shared" si="7"/>
        <v>0</v>
      </c>
      <c r="T98" s="55">
        <v>0</v>
      </c>
      <c r="U98" s="55">
        <v>0</v>
      </c>
      <c r="V98" s="99">
        <f t="shared" si="9"/>
        <v>0</v>
      </c>
      <c r="W98" s="81"/>
      <c r="X98" s="81"/>
      <c r="Y98" s="81"/>
      <c r="Z98" s="81"/>
    </row>
    <row r="99" spans="1:26" ht="24" customHeight="1" x14ac:dyDescent="0.5">
      <c r="A99" s="70">
        <f t="shared" si="51"/>
        <v>8</v>
      </c>
      <c r="B99" s="71" t="s">
        <v>114</v>
      </c>
      <c r="C99" s="54">
        <f t="shared" si="50"/>
        <v>0</v>
      </c>
      <c r="D99" s="55">
        <v>0</v>
      </c>
      <c r="E99" s="55">
        <v>0</v>
      </c>
      <c r="F99" s="55">
        <f ca="1">IFERROR(__xludf.DUMMYFUNCTION("IMPORTRANGE(""https://docs.google.com/spreadsheets/d/1Yj_ptqi66GCucihVvJfMjLAmec39IyEx_6qawtMGysU/edit?usp=sharing"",""สบก!AS103"")"),0)</f>
        <v>0</v>
      </c>
      <c r="G99" s="99">
        <f t="shared" si="1"/>
        <v>0</v>
      </c>
      <c r="H99" s="55">
        <v>0</v>
      </c>
      <c r="I99" s="55">
        <v>0</v>
      </c>
      <c r="J99" s="56">
        <f t="shared" si="3"/>
        <v>0</v>
      </c>
      <c r="K99" s="55">
        <v>0</v>
      </c>
      <c r="L99" s="55">
        <v>0</v>
      </c>
      <c r="M99" s="56">
        <f t="shared" si="4"/>
        <v>0</v>
      </c>
      <c r="N99" s="55">
        <v>0</v>
      </c>
      <c r="O99" s="56">
        <f t="shared" si="5"/>
        <v>0</v>
      </c>
      <c r="P99" s="55">
        <v>0</v>
      </c>
      <c r="Q99" s="56">
        <f t="shared" si="6"/>
        <v>0</v>
      </c>
      <c r="R99" s="55">
        <v>0</v>
      </c>
      <c r="S99" s="99">
        <f t="shared" si="7"/>
        <v>0</v>
      </c>
      <c r="T99" s="55">
        <v>0</v>
      </c>
      <c r="U99" s="55">
        <v>0</v>
      </c>
      <c r="V99" s="99">
        <f t="shared" si="9"/>
        <v>0</v>
      </c>
      <c r="W99" s="81"/>
      <c r="X99" s="81"/>
      <c r="Y99" s="81"/>
      <c r="Z99" s="81"/>
    </row>
    <row r="100" spans="1:26" ht="24" customHeight="1" x14ac:dyDescent="0.5">
      <c r="A100" s="70">
        <f t="shared" si="51"/>
        <v>9</v>
      </c>
      <c r="B100" s="71" t="s">
        <v>115</v>
      </c>
      <c r="C100" s="54">
        <f t="shared" si="50"/>
        <v>0</v>
      </c>
      <c r="D100" s="55">
        <v>0</v>
      </c>
      <c r="E100" s="55">
        <v>0</v>
      </c>
      <c r="F100" s="55">
        <f ca="1">IFERROR(__xludf.DUMMYFUNCTION("IMPORTRANGE(""https://docs.google.com/spreadsheets/d/1Yj_ptqi66GCucihVvJfMjLAmec39IyEx_6qawtMGysU/edit?usp=sharing"",""สบก!AS104"")"),0)</f>
        <v>0</v>
      </c>
      <c r="G100" s="99">
        <f t="shared" si="1"/>
        <v>0</v>
      </c>
      <c r="H100" s="55">
        <v>0</v>
      </c>
      <c r="I100" s="55">
        <v>0</v>
      </c>
      <c r="J100" s="56">
        <f t="shared" si="3"/>
        <v>0</v>
      </c>
      <c r="K100" s="55">
        <v>0</v>
      </c>
      <c r="L100" s="55">
        <v>0</v>
      </c>
      <c r="M100" s="56">
        <f t="shared" si="4"/>
        <v>0</v>
      </c>
      <c r="N100" s="55">
        <v>0</v>
      </c>
      <c r="O100" s="56">
        <f t="shared" si="5"/>
        <v>0</v>
      </c>
      <c r="P100" s="55">
        <v>0</v>
      </c>
      <c r="Q100" s="56">
        <f t="shared" si="6"/>
        <v>0</v>
      </c>
      <c r="R100" s="55">
        <v>0</v>
      </c>
      <c r="S100" s="99">
        <f t="shared" si="7"/>
        <v>0</v>
      </c>
      <c r="T100" s="55">
        <v>0</v>
      </c>
      <c r="U100" s="55">
        <v>0</v>
      </c>
      <c r="V100" s="99">
        <f t="shared" si="9"/>
        <v>0</v>
      </c>
      <c r="W100" s="81"/>
      <c r="X100" s="81"/>
      <c r="Y100" s="81"/>
      <c r="Z100" s="81"/>
    </row>
    <row r="101" spans="1:26" ht="24" customHeight="1" x14ac:dyDescent="0.5">
      <c r="A101" s="70">
        <f t="shared" si="51"/>
        <v>10</v>
      </c>
      <c r="B101" s="71" t="s">
        <v>116</v>
      </c>
      <c r="C101" s="54">
        <f t="shared" si="50"/>
        <v>0</v>
      </c>
      <c r="D101" s="55">
        <v>0</v>
      </c>
      <c r="E101" s="55">
        <v>0</v>
      </c>
      <c r="F101" s="55">
        <f ca="1">IFERROR(__xludf.DUMMYFUNCTION("IMPORTRANGE(""https://docs.google.com/spreadsheets/d/1Yj_ptqi66GCucihVvJfMjLAmec39IyEx_6qawtMGysU/edit?usp=sharing"",""สบก!AS105"")"),0)</f>
        <v>0</v>
      </c>
      <c r="G101" s="99">
        <f t="shared" si="1"/>
        <v>0</v>
      </c>
      <c r="H101" s="55">
        <v>0</v>
      </c>
      <c r="I101" s="55">
        <v>0</v>
      </c>
      <c r="J101" s="56">
        <f t="shared" si="3"/>
        <v>0</v>
      </c>
      <c r="K101" s="55">
        <v>0</v>
      </c>
      <c r="L101" s="55">
        <v>0</v>
      </c>
      <c r="M101" s="56">
        <f t="shared" si="4"/>
        <v>0</v>
      </c>
      <c r="N101" s="55">
        <v>0</v>
      </c>
      <c r="O101" s="56">
        <f t="shared" si="5"/>
        <v>0</v>
      </c>
      <c r="P101" s="55">
        <v>0</v>
      </c>
      <c r="Q101" s="56">
        <f t="shared" si="6"/>
        <v>0</v>
      </c>
      <c r="R101" s="55">
        <v>0</v>
      </c>
      <c r="S101" s="99">
        <f t="shared" si="7"/>
        <v>0</v>
      </c>
      <c r="T101" s="55">
        <v>0</v>
      </c>
      <c r="U101" s="55">
        <v>0</v>
      </c>
      <c r="V101" s="99">
        <f t="shared" si="9"/>
        <v>0</v>
      </c>
      <c r="W101" s="81"/>
      <c r="X101" s="81"/>
      <c r="Y101" s="81"/>
      <c r="Z101" s="81"/>
    </row>
    <row r="102" spans="1:26" ht="24" customHeight="1" x14ac:dyDescent="0.5">
      <c r="A102" s="70">
        <f t="shared" si="51"/>
        <v>11</v>
      </c>
      <c r="B102" s="71" t="s">
        <v>117</v>
      </c>
      <c r="C102" s="54">
        <f t="shared" si="50"/>
        <v>0</v>
      </c>
      <c r="D102" s="55">
        <v>0</v>
      </c>
      <c r="E102" s="55">
        <v>0</v>
      </c>
      <c r="F102" s="55">
        <f ca="1">IFERROR(__xludf.DUMMYFUNCTION("IMPORTRANGE(""https://docs.google.com/spreadsheets/d/1Yj_ptqi66GCucihVvJfMjLAmec39IyEx_6qawtMGysU/edit?usp=sharing"",""สบก!AS106"")"),0)</f>
        <v>0</v>
      </c>
      <c r="G102" s="99">
        <f t="shared" si="1"/>
        <v>0</v>
      </c>
      <c r="H102" s="55">
        <v>0</v>
      </c>
      <c r="I102" s="55">
        <v>0</v>
      </c>
      <c r="J102" s="56">
        <f t="shared" si="3"/>
        <v>0</v>
      </c>
      <c r="K102" s="55">
        <v>0</v>
      </c>
      <c r="L102" s="55">
        <v>0</v>
      </c>
      <c r="M102" s="56">
        <f t="shared" si="4"/>
        <v>0</v>
      </c>
      <c r="N102" s="55">
        <v>0</v>
      </c>
      <c r="O102" s="56">
        <f t="shared" si="5"/>
        <v>0</v>
      </c>
      <c r="P102" s="55">
        <v>0</v>
      </c>
      <c r="Q102" s="56">
        <f t="shared" si="6"/>
        <v>0</v>
      </c>
      <c r="R102" s="55">
        <v>0</v>
      </c>
      <c r="S102" s="99">
        <f t="shared" si="7"/>
        <v>0</v>
      </c>
      <c r="T102" s="55">
        <v>0</v>
      </c>
      <c r="U102" s="55">
        <v>0</v>
      </c>
      <c r="V102" s="99">
        <f t="shared" si="9"/>
        <v>0</v>
      </c>
      <c r="W102" s="81"/>
      <c r="X102" s="81"/>
      <c r="Y102" s="81"/>
      <c r="Z102" s="81"/>
    </row>
    <row r="103" spans="1:26" ht="24" customHeight="1" x14ac:dyDescent="0.5">
      <c r="A103" s="70">
        <f t="shared" si="51"/>
        <v>12</v>
      </c>
      <c r="B103" s="71" t="s">
        <v>118</v>
      </c>
      <c r="C103" s="54">
        <f t="shared" si="50"/>
        <v>0</v>
      </c>
      <c r="D103" s="55">
        <v>0</v>
      </c>
      <c r="E103" s="55">
        <v>0</v>
      </c>
      <c r="F103" s="55">
        <f ca="1">IFERROR(__xludf.DUMMYFUNCTION("IMPORTRANGE(""https://docs.google.com/spreadsheets/d/1Yj_ptqi66GCucihVvJfMjLAmec39IyEx_6qawtMGysU/edit?usp=sharing"",""สบก!AS107"")"),0)</f>
        <v>0</v>
      </c>
      <c r="G103" s="99">
        <f t="shared" si="1"/>
        <v>0</v>
      </c>
      <c r="H103" s="55">
        <v>0</v>
      </c>
      <c r="I103" s="55">
        <v>0</v>
      </c>
      <c r="J103" s="56">
        <f t="shared" si="3"/>
        <v>0</v>
      </c>
      <c r="K103" s="55">
        <v>0</v>
      </c>
      <c r="L103" s="55">
        <v>0</v>
      </c>
      <c r="M103" s="56">
        <f t="shared" si="4"/>
        <v>0</v>
      </c>
      <c r="N103" s="55">
        <v>0</v>
      </c>
      <c r="O103" s="56">
        <f t="shared" si="5"/>
        <v>0</v>
      </c>
      <c r="P103" s="55">
        <v>0</v>
      </c>
      <c r="Q103" s="56">
        <f t="shared" si="6"/>
        <v>0</v>
      </c>
      <c r="R103" s="55">
        <v>0</v>
      </c>
      <c r="S103" s="99">
        <f t="shared" si="7"/>
        <v>0</v>
      </c>
      <c r="T103" s="55">
        <v>0</v>
      </c>
      <c r="U103" s="55">
        <v>0</v>
      </c>
      <c r="V103" s="99">
        <f t="shared" si="9"/>
        <v>0</v>
      </c>
      <c r="W103" s="81"/>
      <c r="X103" s="81"/>
      <c r="Y103" s="81"/>
      <c r="Z103" s="81"/>
    </row>
    <row r="104" spans="1:26" ht="24" customHeight="1" x14ac:dyDescent="0.5">
      <c r="A104" s="70">
        <f t="shared" si="51"/>
        <v>13</v>
      </c>
      <c r="B104" s="71" t="s">
        <v>119</v>
      </c>
      <c r="C104" s="54">
        <f t="shared" si="50"/>
        <v>0</v>
      </c>
      <c r="D104" s="55">
        <v>0</v>
      </c>
      <c r="E104" s="55">
        <v>0</v>
      </c>
      <c r="F104" s="55">
        <f ca="1">IFERROR(__xludf.DUMMYFUNCTION("IMPORTRANGE(""https://docs.google.com/spreadsheets/d/1Yj_ptqi66GCucihVvJfMjLAmec39IyEx_6qawtMGysU/edit?usp=sharing"",""สบก!AS108"")"),0)</f>
        <v>0</v>
      </c>
      <c r="G104" s="99">
        <f t="shared" si="1"/>
        <v>0</v>
      </c>
      <c r="H104" s="55">
        <v>0</v>
      </c>
      <c r="I104" s="55">
        <v>0</v>
      </c>
      <c r="J104" s="56">
        <f t="shared" si="3"/>
        <v>0</v>
      </c>
      <c r="K104" s="55">
        <v>0</v>
      </c>
      <c r="L104" s="55">
        <v>0</v>
      </c>
      <c r="M104" s="56">
        <f t="shared" si="4"/>
        <v>0</v>
      </c>
      <c r="N104" s="55">
        <v>0</v>
      </c>
      <c r="O104" s="56">
        <f t="shared" si="5"/>
        <v>0</v>
      </c>
      <c r="P104" s="55">
        <v>0</v>
      </c>
      <c r="Q104" s="56">
        <f t="shared" si="6"/>
        <v>0</v>
      </c>
      <c r="R104" s="55">
        <v>0</v>
      </c>
      <c r="S104" s="99">
        <f t="shared" si="7"/>
        <v>0</v>
      </c>
      <c r="T104" s="55">
        <v>0</v>
      </c>
      <c r="U104" s="55">
        <v>0</v>
      </c>
      <c r="V104" s="99">
        <f t="shared" si="9"/>
        <v>0</v>
      </c>
      <c r="W104" s="81"/>
      <c r="X104" s="81"/>
      <c r="Y104" s="81"/>
      <c r="Z104" s="81"/>
    </row>
    <row r="105" spans="1:26" ht="24" customHeight="1" x14ac:dyDescent="0.5">
      <c r="A105" s="72">
        <f t="shared" si="51"/>
        <v>14</v>
      </c>
      <c r="B105" s="73" t="s">
        <v>120</v>
      </c>
      <c r="C105" s="61">
        <f t="shared" si="50"/>
        <v>0</v>
      </c>
      <c r="D105" s="62">
        <v>0</v>
      </c>
      <c r="E105" s="62">
        <v>0</v>
      </c>
      <c r="F105" s="62">
        <f ca="1">IFERROR(__xludf.DUMMYFUNCTION("IMPORTRANGE(""https://docs.google.com/spreadsheets/d/1Yj_ptqi66GCucihVvJfMjLAmec39IyEx_6qawtMGysU/edit?usp=sharing"",""สบก!AS109"")"),0)</f>
        <v>0</v>
      </c>
      <c r="G105" s="100">
        <f t="shared" si="1"/>
        <v>0</v>
      </c>
      <c r="H105" s="55">
        <v>0</v>
      </c>
      <c r="I105" s="102">
        <v>0</v>
      </c>
      <c r="J105" s="103">
        <f t="shared" si="3"/>
        <v>0</v>
      </c>
      <c r="K105" s="62">
        <v>0</v>
      </c>
      <c r="L105" s="62">
        <v>0</v>
      </c>
      <c r="M105" s="63">
        <f t="shared" si="4"/>
        <v>0</v>
      </c>
      <c r="N105" s="62">
        <v>0</v>
      </c>
      <c r="O105" s="63">
        <f t="shared" si="5"/>
        <v>0</v>
      </c>
      <c r="P105" s="62">
        <v>0</v>
      </c>
      <c r="Q105" s="63">
        <f t="shared" si="6"/>
        <v>0</v>
      </c>
      <c r="R105" s="62">
        <v>0</v>
      </c>
      <c r="S105" s="100">
        <f t="shared" si="7"/>
        <v>0</v>
      </c>
      <c r="T105" s="62">
        <v>0</v>
      </c>
      <c r="U105" s="62">
        <v>0</v>
      </c>
      <c r="V105" s="100">
        <f t="shared" si="9"/>
        <v>0</v>
      </c>
      <c r="W105" s="81"/>
      <c r="X105" s="81"/>
      <c r="Y105" s="81"/>
      <c r="Z105" s="81"/>
    </row>
    <row r="106" spans="1:26" ht="24" customHeight="1" x14ac:dyDescent="0.5">
      <c r="A106" s="572" t="s">
        <v>121</v>
      </c>
      <c r="B106" s="571"/>
      <c r="C106" s="35">
        <f t="shared" ref="C106:F106" si="52">+C107+C108+C109+C110+C111+C112+C113+C114</f>
        <v>602900</v>
      </c>
      <c r="D106" s="35">
        <f t="shared" si="52"/>
        <v>602900</v>
      </c>
      <c r="E106" s="35">
        <f t="shared" si="52"/>
        <v>0</v>
      </c>
      <c r="F106" s="35">
        <f t="shared" si="52"/>
        <v>0</v>
      </c>
      <c r="G106" s="92">
        <f t="shared" si="1"/>
        <v>0</v>
      </c>
      <c r="H106" s="35">
        <f t="shared" ref="H106:I106" si="53">+H107+H108+H109+H110+H111+H112+H113+H114</f>
        <v>0</v>
      </c>
      <c r="I106" s="35">
        <f t="shared" si="53"/>
        <v>0</v>
      </c>
      <c r="J106" s="36">
        <f t="shared" si="3"/>
        <v>0</v>
      </c>
      <c r="K106" s="35">
        <f t="shared" ref="K106:L106" si="54">+K107+K108+K109+K110+K111+K112+K113+K114</f>
        <v>0</v>
      </c>
      <c r="L106" s="35">
        <f t="shared" si="54"/>
        <v>0</v>
      </c>
      <c r="M106" s="36">
        <f t="shared" si="4"/>
        <v>0</v>
      </c>
      <c r="N106" s="35">
        <f>+N107+N108+N109+N110+N111+N112+N113+N114</f>
        <v>0</v>
      </c>
      <c r="O106" s="36">
        <f t="shared" si="5"/>
        <v>0</v>
      </c>
      <c r="P106" s="35">
        <f>+P107+P108+P109+P110+P111+P112+P113+P114</f>
        <v>0</v>
      </c>
      <c r="Q106" s="36">
        <f t="shared" si="6"/>
        <v>0</v>
      </c>
      <c r="R106" s="35">
        <f>+R107+R108+R109+R110+R111+R112+R113+R114</f>
        <v>0</v>
      </c>
      <c r="S106" s="92">
        <f t="shared" si="7"/>
        <v>0</v>
      </c>
      <c r="T106" s="35">
        <f t="shared" ref="T106:U106" si="55">+T107+T108+T109+T110+T111+T112+T113+T114</f>
        <v>0</v>
      </c>
      <c r="U106" s="35">
        <f t="shared" si="55"/>
        <v>0</v>
      </c>
      <c r="V106" s="92">
        <f t="shared" si="9"/>
        <v>0</v>
      </c>
      <c r="W106" s="81"/>
      <c r="X106" s="81"/>
      <c r="Y106" s="81"/>
      <c r="Z106" s="81"/>
    </row>
    <row r="107" spans="1:26" ht="24" customHeight="1" x14ac:dyDescent="0.5">
      <c r="A107" s="68">
        <v>1</v>
      </c>
      <c r="B107" s="74" t="s">
        <v>122</v>
      </c>
      <c r="C107" s="47">
        <f t="shared" ref="C107:C114" si="56">+D107+E107</f>
        <v>602900</v>
      </c>
      <c r="D107" s="48">
        <v>602900</v>
      </c>
      <c r="E107" s="48">
        <v>0</v>
      </c>
      <c r="F107" s="48">
        <v>0</v>
      </c>
      <c r="G107" s="98">
        <f t="shared" si="1"/>
        <v>0</v>
      </c>
      <c r="H107" s="48">
        <v>0</v>
      </c>
      <c r="I107" s="48">
        <v>0</v>
      </c>
      <c r="J107" s="50">
        <f t="shared" si="3"/>
        <v>0</v>
      </c>
      <c r="K107" s="48">
        <v>0</v>
      </c>
      <c r="L107" s="48">
        <v>0</v>
      </c>
      <c r="M107" s="50">
        <f t="shared" si="4"/>
        <v>0</v>
      </c>
      <c r="N107" s="48">
        <v>0</v>
      </c>
      <c r="O107" s="50">
        <f t="shared" si="5"/>
        <v>0</v>
      </c>
      <c r="P107" s="48">
        <v>0</v>
      </c>
      <c r="Q107" s="50">
        <f t="shared" si="6"/>
        <v>0</v>
      </c>
      <c r="R107" s="48">
        <v>0</v>
      </c>
      <c r="S107" s="98">
        <f t="shared" si="7"/>
        <v>0</v>
      </c>
      <c r="T107" s="48">
        <v>0</v>
      </c>
      <c r="U107" s="48">
        <v>0</v>
      </c>
      <c r="V107" s="98">
        <f t="shared" si="9"/>
        <v>0</v>
      </c>
      <c r="W107" s="81"/>
      <c r="X107" s="81"/>
      <c r="Y107" s="81"/>
      <c r="Z107" s="81"/>
    </row>
    <row r="108" spans="1:26" ht="24" customHeight="1" x14ac:dyDescent="0.5">
      <c r="A108" s="70">
        <v>2</v>
      </c>
      <c r="B108" s="75" t="s">
        <v>123</v>
      </c>
      <c r="C108" s="54">
        <f t="shared" si="56"/>
        <v>0</v>
      </c>
      <c r="D108" s="55">
        <v>0</v>
      </c>
      <c r="E108" s="55">
        <v>0</v>
      </c>
      <c r="F108" s="55">
        <v>0</v>
      </c>
      <c r="G108" s="99">
        <f t="shared" si="1"/>
        <v>0</v>
      </c>
      <c r="H108" s="55">
        <v>0</v>
      </c>
      <c r="I108" s="55">
        <v>0</v>
      </c>
      <c r="J108" s="56">
        <f t="shared" si="3"/>
        <v>0</v>
      </c>
      <c r="K108" s="55">
        <v>0</v>
      </c>
      <c r="L108" s="55">
        <v>0</v>
      </c>
      <c r="M108" s="56">
        <f t="shared" si="4"/>
        <v>0</v>
      </c>
      <c r="N108" s="55">
        <v>0</v>
      </c>
      <c r="O108" s="56">
        <f t="shared" si="5"/>
        <v>0</v>
      </c>
      <c r="P108" s="55">
        <v>0</v>
      </c>
      <c r="Q108" s="56">
        <f t="shared" si="6"/>
        <v>0</v>
      </c>
      <c r="R108" s="55">
        <v>0</v>
      </c>
      <c r="S108" s="99">
        <f t="shared" si="7"/>
        <v>0</v>
      </c>
      <c r="T108" s="55">
        <v>0</v>
      </c>
      <c r="U108" s="55">
        <v>0</v>
      </c>
      <c r="V108" s="99">
        <f t="shared" si="9"/>
        <v>0</v>
      </c>
      <c r="W108" s="81"/>
      <c r="X108" s="81"/>
      <c r="Y108" s="81"/>
      <c r="Z108" s="81"/>
    </row>
    <row r="109" spans="1:26" ht="24" customHeight="1" x14ac:dyDescent="0.5">
      <c r="A109" s="70">
        <v>3</v>
      </c>
      <c r="B109" s="75" t="s">
        <v>124</v>
      </c>
      <c r="C109" s="54">
        <f t="shared" si="56"/>
        <v>0</v>
      </c>
      <c r="D109" s="55">
        <v>0</v>
      </c>
      <c r="E109" s="55">
        <v>0</v>
      </c>
      <c r="F109" s="55">
        <v>0</v>
      </c>
      <c r="G109" s="99">
        <f t="shared" si="1"/>
        <v>0</v>
      </c>
      <c r="H109" s="55">
        <v>0</v>
      </c>
      <c r="I109" s="55">
        <v>0</v>
      </c>
      <c r="J109" s="56">
        <f t="shared" si="3"/>
        <v>0</v>
      </c>
      <c r="K109" s="55">
        <v>0</v>
      </c>
      <c r="L109" s="55">
        <v>0</v>
      </c>
      <c r="M109" s="56">
        <f t="shared" si="4"/>
        <v>0</v>
      </c>
      <c r="N109" s="55">
        <v>0</v>
      </c>
      <c r="O109" s="56">
        <f t="shared" si="5"/>
        <v>0</v>
      </c>
      <c r="P109" s="55">
        <v>0</v>
      </c>
      <c r="Q109" s="56">
        <f t="shared" si="6"/>
        <v>0</v>
      </c>
      <c r="R109" s="55">
        <v>0</v>
      </c>
      <c r="S109" s="99">
        <f t="shared" si="7"/>
        <v>0</v>
      </c>
      <c r="T109" s="55">
        <v>0</v>
      </c>
      <c r="U109" s="55">
        <v>0</v>
      </c>
      <c r="V109" s="99">
        <f t="shared" si="9"/>
        <v>0</v>
      </c>
      <c r="W109" s="81"/>
      <c r="X109" s="81"/>
      <c r="Y109" s="81"/>
      <c r="Z109" s="81"/>
    </row>
    <row r="110" spans="1:26" ht="24" customHeight="1" x14ac:dyDescent="0.5">
      <c r="A110" s="70">
        <f t="shared" ref="A110:A112" si="57">+A109+1</f>
        <v>4</v>
      </c>
      <c r="B110" s="75" t="s">
        <v>125</v>
      </c>
      <c r="C110" s="54">
        <f t="shared" si="56"/>
        <v>0</v>
      </c>
      <c r="D110" s="55">
        <v>0</v>
      </c>
      <c r="E110" s="55">
        <v>0</v>
      </c>
      <c r="F110" s="55">
        <v>0</v>
      </c>
      <c r="G110" s="99">
        <f t="shared" si="1"/>
        <v>0</v>
      </c>
      <c r="H110" s="55">
        <v>0</v>
      </c>
      <c r="I110" s="55">
        <v>0</v>
      </c>
      <c r="J110" s="56">
        <f t="shared" si="3"/>
        <v>0</v>
      </c>
      <c r="K110" s="55">
        <v>0</v>
      </c>
      <c r="L110" s="55">
        <v>0</v>
      </c>
      <c r="M110" s="56">
        <f t="shared" si="4"/>
        <v>0</v>
      </c>
      <c r="N110" s="55">
        <v>0</v>
      </c>
      <c r="O110" s="56">
        <f t="shared" si="5"/>
        <v>0</v>
      </c>
      <c r="P110" s="55">
        <v>0</v>
      </c>
      <c r="Q110" s="56">
        <f t="shared" si="6"/>
        <v>0</v>
      </c>
      <c r="R110" s="55">
        <v>0</v>
      </c>
      <c r="S110" s="99">
        <f t="shared" si="7"/>
        <v>0</v>
      </c>
      <c r="T110" s="55">
        <v>0</v>
      </c>
      <c r="U110" s="55">
        <v>0</v>
      </c>
      <c r="V110" s="99">
        <f t="shared" si="9"/>
        <v>0</v>
      </c>
      <c r="W110" s="81"/>
      <c r="X110" s="81"/>
      <c r="Y110" s="81"/>
      <c r="Z110" s="81"/>
    </row>
    <row r="111" spans="1:26" ht="24" customHeight="1" x14ac:dyDescent="0.5">
      <c r="A111" s="70">
        <f t="shared" si="57"/>
        <v>5</v>
      </c>
      <c r="B111" s="75" t="s">
        <v>126</v>
      </c>
      <c r="C111" s="54">
        <f t="shared" si="56"/>
        <v>0</v>
      </c>
      <c r="D111" s="55">
        <v>0</v>
      </c>
      <c r="E111" s="55">
        <v>0</v>
      </c>
      <c r="F111" s="55">
        <v>0</v>
      </c>
      <c r="G111" s="99">
        <f t="shared" si="1"/>
        <v>0</v>
      </c>
      <c r="H111" s="55">
        <v>0</v>
      </c>
      <c r="I111" s="55">
        <v>0</v>
      </c>
      <c r="J111" s="56">
        <f t="shared" si="3"/>
        <v>0</v>
      </c>
      <c r="K111" s="55">
        <v>0</v>
      </c>
      <c r="L111" s="55">
        <v>0</v>
      </c>
      <c r="M111" s="56">
        <f t="shared" si="4"/>
        <v>0</v>
      </c>
      <c r="N111" s="55">
        <v>0</v>
      </c>
      <c r="O111" s="56">
        <f t="shared" si="5"/>
        <v>0</v>
      </c>
      <c r="P111" s="55">
        <v>0</v>
      </c>
      <c r="Q111" s="56">
        <f t="shared" si="6"/>
        <v>0</v>
      </c>
      <c r="R111" s="55">
        <v>0</v>
      </c>
      <c r="S111" s="99">
        <f t="shared" si="7"/>
        <v>0</v>
      </c>
      <c r="T111" s="55">
        <v>0</v>
      </c>
      <c r="U111" s="55">
        <v>0</v>
      </c>
      <c r="V111" s="99">
        <f t="shared" si="9"/>
        <v>0</v>
      </c>
      <c r="W111" s="81"/>
      <c r="X111" s="81"/>
      <c r="Y111" s="81"/>
      <c r="Z111" s="81"/>
    </row>
    <row r="112" spans="1:26" ht="24" customHeight="1" x14ac:dyDescent="0.5">
      <c r="A112" s="70">
        <f t="shared" si="57"/>
        <v>6</v>
      </c>
      <c r="B112" s="75" t="s">
        <v>127</v>
      </c>
      <c r="C112" s="54">
        <f t="shared" si="56"/>
        <v>0</v>
      </c>
      <c r="D112" s="55">
        <v>0</v>
      </c>
      <c r="E112" s="55">
        <v>0</v>
      </c>
      <c r="F112" s="55">
        <v>0</v>
      </c>
      <c r="G112" s="99">
        <f t="shared" si="1"/>
        <v>0</v>
      </c>
      <c r="H112" s="55">
        <v>0</v>
      </c>
      <c r="I112" s="55">
        <v>0</v>
      </c>
      <c r="J112" s="56">
        <f t="shared" si="3"/>
        <v>0</v>
      </c>
      <c r="K112" s="55">
        <v>0</v>
      </c>
      <c r="L112" s="55">
        <v>0</v>
      </c>
      <c r="M112" s="56">
        <f t="shared" si="4"/>
        <v>0</v>
      </c>
      <c r="N112" s="55">
        <v>0</v>
      </c>
      <c r="O112" s="56">
        <f t="shared" si="5"/>
        <v>0</v>
      </c>
      <c r="P112" s="55">
        <v>0</v>
      </c>
      <c r="Q112" s="56">
        <f t="shared" si="6"/>
        <v>0</v>
      </c>
      <c r="R112" s="55">
        <v>0</v>
      </c>
      <c r="S112" s="99">
        <f t="shared" si="7"/>
        <v>0</v>
      </c>
      <c r="T112" s="55">
        <v>0</v>
      </c>
      <c r="U112" s="55">
        <v>0</v>
      </c>
      <c r="V112" s="99">
        <f t="shared" si="9"/>
        <v>0</v>
      </c>
      <c r="W112" s="81"/>
      <c r="X112" s="81"/>
      <c r="Y112" s="81"/>
      <c r="Z112" s="81"/>
    </row>
    <row r="113" spans="1:26" ht="24" customHeight="1" x14ac:dyDescent="0.5">
      <c r="A113" s="70">
        <v>7</v>
      </c>
      <c r="B113" s="75" t="s">
        <v>128</v>
      </c>
      <c r="C113" s="54">
        <f t="shared" si="56"/>
        <v>0</v>
      </c>
      <c r="D113" s="55">
        <v>0</v>
      </c>
      <c r="E113" s="55">
        <v>0</v>
      </c>
      <c r="F113" s="55">
        <v>0</v>
      </c>
      <c r="G113" s="99">
        <f t="shared" si="1"/>
        <v>0</v>
      </c>
      <c r="H113" s="55">
        <v>0</v>
      </c>
      <c r="I113" s="55">
        <v>0</v>
      </c>
      <c r="J113" s="56">
        <f t="shared" si="3"/>
        <v>0</v>
      </c>
      <c r="K113" s="55">
        <v>0</v>
      </c>
      <c r="L113" s="55">
        <v>0</v>
      </c>
      <c r="M113" s="56">
        <f t="shared" si="4"/>
        <v>0</v>
      </c>
      <c r="N113" s="55">
        <v>0</v>
      </c>
      <c r="O113" s="56">
        <f t="shared" si="5"/>
        <v>0</v>
      </c>
      <c r="P113" s="55">
        <v>0</v>
      </c>
      <c r="Q113" s="56">
        <f t="shared" si="6"/>
        <v>0</v>
      </c>
      <c r="R113" s="55">
        <v>0</v>
      </c>
      <c r="S113" s="99">
        <f t="shared" si="7"/>
        <v>0</v>
      </c>
      <c r="T113" s="55">
        <v>0</v>
      </c>
      <c r="U113" s="55">
        <v>0</v>
      </c>
      <c r="V113" s="99">
        <f t="shared" si="9"/>
        <v>0</v>
      </c>
      <c r="W113" s="81"/>
      <c r="X113" s="81"/>
      <c r="Y113" s="81"/>
      <c r="Z113" s="81"/>
    </row>
    <row r="114" spans="1:26" ht="24" customHeight="1" x14ac:dyDescent="0.5">
      <c r="A114" s="76">
        <v>8</v>
      </c>
      <c r="B114" s="77" t="s">
        <v>129</v>
      </c>
      <c r="C114" s="78">
        <f t="shared" si="56"/>
        <v>0</v>
      </c>
      <c r="D114" s="79">
        <v>0</v>
      </c>
      <c r="E114" s="79">
        <v>0</v>
      </c>
      <c r="F114" s="79">
        <v>0</v>
      </c>
      <c r="G114" s="104">
        <f t="shared" si="1"/>
        <v>0</v>
      </c>
      <c r="H114" s="79">
        <v>0</v>
      </c>
      <c r="I114" s="79">
        <v>0</v>
      </c>
      <c r="J114" s="80">
        <f t="shared" si="3"/>
        <v>0</v>
      </c>
      <c r="K114" s="79">
        <v>0</v>
      </c>
      <c r="L114" s="79">
        <v>0</v>
      </c>
      <c r="M114" s="80">
        <f t="shared" si="4"/>
        <v>0</v>
      </c>
      <c r="N114" s="79">
        <v>0</v>
      </c>
      <c r="O114" s="80">
        <f t="shared" si="5"/>
        <v>0</v>
      </c>
      <c r="P114" s="79">
        <v>0</v>
      </c>
      <c r="Q114" s="80">
        <f t="shared" si="6"/>
        <v>0</v>
      </c>
      <c r="R114" s="79">
        <v>0</v>
      </c>
      <c r="S114" s="104">
        <f t="shared" si="7"/>
        <v>0</v>
      </c>
      <c r="T114" s="79">
        <v>0</v>
      </c>
      <c r="U114" s="79">
        <v>0</v>
      </c>
      <c r="V114" s="104">
        <f t="shared" si="9"/>
        <v>0</v>
      </c>
      <c r="W114" s="81"/>
      <c r="X114" s="81"/>
      <c r="Y114" s="81"/>
      <c r="Z114" s="81"/>
    </row>
    <row r="115" spans="1:26" ht="24" customHeight="1" x14ac:dyDescent="0.55000000000000004">
      <c r="A115" s="467" t="s">
        <v>321</v>
      </c>
      <c r="B115" s="3"/>
      <c r="C115" s="3"/>
      <c r="D115" s="3"/>
      <c r="E115" s="3"/>
      <c r="F115" s="3"/>
      <c r="G115" s="83"/>
      <c r="H115" s="3"/>
      <c r="I115" s="3"/>
      <c r="J115" s="5"/>
      <c r="K115" s="3"/>
      <c r="L115" s="3"/>
      <c r="M115" s="5"/>
      <c r="N115" s="3"/>
      <c r="O115" s="5"/>
      <c r="P115" s="3"/>
      <c r="Q115" s="5"/>
      <c r="R115" s="3"/>
      <c r="S115" s="83"/>
      <c r="T115" s="3"/>
      <c r="U115" s="3"/>
      <c r="V115" s="3"/>
      <c r="W115" s="81"/>
      <c r="X115" s="81"/>
      <c r="Y115" s="81"/>
      <c r="Z115" s="81"/>
    </row>
    <row r="116" spans="1:26" ht="24" customHeight="1" x14ac:dyDescent="0.5">
      <c r="A116" s="3"/>
      <c r="B116" s="3"/>
      <c r="C116" s="3"/>
      <c r="D116" s="3"/>
      <c r="E116" s="3"/>
      <c r="F116" s="3"/>
      <c r="G116" s="83"/>
      <c r="H116" s="3"/>
      <c r="I116" s="3"/>
      <c r="J116" s="5"/>
      <c r="K116" s="3"/>
      <c r="L116" s="3"/>
      <c r="M116" s="5"/>
      <c r="N116" s="3"/>
      <c r="O116" s="5"/>
      <c r="P116" s="3"/>
      <c r="Q116" s="5"/>
      <c r="R116" s="3"/>
      <c r="S116" s="83"/>
      <c r="T116" s="3"/>
      <c r="U116" s="3"/>
      <c r="V116" s="3"/>
      <c r="W116" s="81"/>
      <c r="X116" s="81"/>
      <c r="Y116" s="81"/>
      <c r="Z116" s="81"/>
    </row>
    <row r="117" spans="1:26" ht="24" customHeight="1" x14ac:dyDescent="0.5">
      <c r="A117" s="3"/>
      <c r="B117" s="3"/>
      <c r="C117" s="3"/>
      <c r="D117" s="3"/>
      <c r="E117" s="3"/>
      <c r="F117" s="3"/>
      <c r="G117" s="83"/>
      <c r="H117" s="3"/>
      <c r="I117" s="3"/>
      <c r="J117" s="5"/>
      <c r="K117" s="3"/>
      <c r="L117" s="3"/>
      <c r="M117" s="5"/>
      <c r="N117" s="3"/>
      <c r="O117" s="5"/>
      <c r="P117" s="3"/>
      <c r="Q117" s="5"/>
      <c r="R117" s="3"/>
      <c r="S117" s="83"/>
      <c r="T117" s="3"/>
      <c r="U117" s="3"/>
      <c r="V117" s="3"/>
      <c r="W117" s="81"/>
      <c r="X117" s="81"/>
      <c r="Y117" s="81"/>
      <c r="Z117" s="81"/>
    </row>
    <row r="118" spans="1:26" ht="24" customHeight="1" x14ac:dyDescent="0.5">
      <c r="A118" s="3"/>
      <c r="B118" s="3"/>
      <c r="C118" s="3"/>
      <c r="D118" s="3"/>
      <c r="E118" s="3"/>
      <c r="F118" s="3"/>
      <c r="G118" s="83"/>
      <c r="H118" s="3"/>
      <c r="I118" s="3"/>
      <c r="J118" s="5"/>
      <c r="K118" s="3"/>
      <c r="L118" s="3"/>
      <c r="M118" s="5"/>
      <c r="N118" s="3"/>
      <c r="O118" s="5"/>
      <c r="P118" s="3"/>
      <c r="Q118" s="5"/>
      <c r="R118" s="3"/>
      <c r="S118" s="83"/>
      <c r="T118" s="3"/>
      <c r="U118" s="3"/>
      <c r="V118" s="3"/>
      <c r="W118" s="81"/>
      <c r="X118" s="81"/>
      <c r="Y118" s="81"/>
      <c r="Z118" s="81"/>
    </row>
    <row r="119" spans="1:26" ht="24" customHeight="1" x14ac:dyDescent="0.5">
      <c r="A119" s="3"/>
      <c r="B119" s="3"/>
      <c r="C119" s="3"/>
      <c r="D119" s="3"/>
      <c r="E119" s="3"/>
      <c r="F119" s="3"/>
      <c r="G119" s="83"/>
      <c r="H119" s="3"/>
      <c r="I119" s="3"/>
      <c r="J119" s="5"/>
      <c r="K119" s="3"/>
      <c r="L119" s="3"/>
      <c r="M119" s="5"/>
      <c r="N119" s="3"/>
      <c r="O119" s="5"/>
      <c r="P119" s="3"/>
      <c r="Q119" s="5"/>
      <c r="R119" s="3"/>
      <c r="S119" s="83"/>
      <c r="T119" s="3"/>
      <c r="U119" s="3"/>
      <c r="V119" s="3"/>
      <c r="W119" s="81"/>
      <c r="X119" s="81"/>
      <c r="Y119" s="81"/>
      <c r="Z119" s="81"/>
    </row>
    <row r="120" spans="1:26" ht="24" customHeight="1" x14ac:dyDescent="0.5">
      <c r="A120" s="3"/>
      <c r="B120" s="3"/>
      <c r="C120" s="3"/>
      <c r="D120" s="3"/>
      <c r="E120" s="3"/>
      <c r="F120" s="3"/>
      <c r="G120" s="83"/>
      <c r="H120" s="3"/>
      <c r="I120" s="3"/>
      <c r="J120" s="5"/>
      <c r="K120" s="3"/>
      <c r="L120" s="3"/>
      <c r="M120" s="5"/>
      <c r="N120" s="3"/>
      <c r="O120" s="5"/>
      <c r="P120" s="3"/>
      <c r="Q120" s="5"/>
      <c r="R120" s="3"/>
      <c r="S120" s="83"/>
      <c r="T120" s="3"/>
      <c r="U120" s="3"/>
      <c r="V120" s="3"/>
      <c r="W120" s="81"/>
      <c r="X120" s="81"/>
      <c r="Y120" s="81"/>
      <c r="Z120" s="81"/>
    </row>
    <row r="121" spans="1:26" ht="24" customHeight="1" x14ac:dyDescent="0.5">
      <c r="A121" s="3"/>
      <c r="B121" s="3"/>
      <c r="C121" s="3"/>
      <c r="D121" s="3"/>
      <c r="E121" s="3"/>
      <c r="F121" s="3"/>
      <c r="G121" s="83"/>
      <c r="H121" s="3"/>
      <c r="I121" s="3"/>
      <c r="J121" s="5"/>
      <c r="K121" s="3"/>
      <c r="L121" s="3"/>
      <c r="M121" s="5"/>
      <c r="N121" s="3"/>
      <c r="O121" s="5"/>
      <c r="P121" s="3"/>
      <c r="Q121" s="5"/>
      <c r="R121" s="3"/>
      <c r="S121" s="83"/>
      <c r="T121" s="3"/>
      <c r="U121" s="3"/>
      <c r="V121" s="3"/>
      <c r="W121" s="81"/>
      <c r="X121" s="81"/>
      <c r="Y121" s="81"/>
      <c r="Z121" s="81"/>
    </row>
    <row r="122" spans="1:26" ht="24" customHeight="1" x14ac:dyDescent="0.5">
      <c r="A122" s="3"/>
      <c r="B122" s="3"/>
      <c r="C122" s="3"/>
      <c r="D122" s="3"/>
      <c r="E122" s="3"/>
      <c r="F122" s="3"/>
      <c r="G122" s="83"/>
      <c r="H122" s="3"/>
      <c r="I122" s="3"/>
      <c r="J122" s="5"/>
      <c r="K122" s="3"/>
      <c r="L122" s="3"/>
      <c r="M122" s="5"/>
      <c r="N122" s="3"/>
      <c r="O122" s="5"/>
      <c r="P122" s="3"/>
      <c r="Q122" s="5"/>
      <c r="R122" s="3"/>
      <c r="S122" s="83"/>
      <c r="T122" s="3"/>
      <c r="U122" s="3"/>
      <c r="V122" s="3"/>
      <c r="W122" s="81"/>
      <c r="X122" s="81"/>
      <c r="Y122" s="81"/>
      <c r="Z122" s="81"/>
    </row>
    <row r="123" spans="1:26" ht="24" customHeight="1" x14ac:dyDescent="0.5">
      <c r="A123" s="3"/>
      <c r="B123" s="3"/>
      <c r="C123" s="3"/>
      <c r="D123" s="3"/>
      <c r="E123" s="3"/>
      <c r="F123" s="3"/>
      <c r="G123" s="83"/>
      <c r="H123" s="3"/>
      <c r="I123" s="3"/>
      <c r="J123" s="5"/>
      <c r="K123" s="3"/>
      <c r="L123" s="3"/>
      <c r="M123" s="5"/>
      <c r="N123" s="3"/>
      <c r="O123" s="5"/>
      <c r="P123" s="3"/>
      <c r="Q123" s="5"/>
      <c r="R123" s="3"/>
      <c r="S123" s="83"/>
      <c r="T123" s="3"/>
      <c r="U123" s="3"/>
      <c r="V123" s="3"/>
      <c r="W123" s="81"/>
      <c r="X123" s="81"/>
      <c r="Y123" s="81"/>
      <c r="Z123" s="81"/>
    </row>
    <row r="124" spans="1:26" ht="24" customHeight="1" x14ac:dyDescent="0.5">
      <c r="A124" s="3"/>
      <c r="B124" s="3"/>
      <c r="C124" s="3"/>
      <c r="D124" s="3"/>
      <c r="E124" s="3"/>
      <c r="F124" s="3"/>
      <c r="G124" s="83"/>
      <c r="H124" s="3"/>
      <c r="I124" s="3"/>
      <c r="J124" s="5"/>
      <c r="K124" s="3"/>
      <c r="L124" s="3"/>
      <c r="M124" s="5"/>
      <c r="N124" s="3"/>
      <c r="O124" s="5"/>
      <c r="P124" s="3"/>
      <c r="Q124" s="5"/>
      <c r="R124" s="3"/>
      <c r="S124" s="83"/>
      <c r="T124" s="3"/>
      <c r="U124" s="3"/>
      <c r="V124" s="3"/>
      <c r="W124" s="81"/>
      <c r="X124" s="81"/>
      <c r="Y124" s="81"/>
      <c r="Z124" s="81"/>
    </row>
    <row r="125" spans="1:26" ht="24" customHeight="1" x14ac:dyDescent="0.5">
      <c r="A125" s="3"/>
      <c r="B125" s="3"/>
      <c r="C125" s="3"/>
      <c r="D125" s="3"/>
      <c r="E125" s="3"/>
      <c r="F125" s="3"/>
      <c r="G125" s="83"/>
      <c r="H125" s="3"/>
      <c r="I125" s="3"/>
      <c r="J125" s="5"/>
      <c r="K125" s="3"/>
      <c r="L125" s="3"/>
      <c r="M125" s="5"/>
      <c r="N125" s="3"/>
      <c r="O125" s="5"/>
      <c r="P125" s="3"/>
      <c r="Q125" s="5"/>
      <c r="R125" s="3"/>
      <c r="S125" s="83"/>
      <c r="T125" s="3"/>
      <c r="U125" s="3"/>
      <c r="V125" s="3"/>
      <c r="W125" s="81"/>
      <c r="X125" s="81"/>
      <c r="Y125" s="81"/>
      <c r="Z125" s="81"/>
    </row>
    <row r="126" spans="1:26" ht="24" customHeight="1" x14ac:dyDescent="0.5">
      <c r="A126" s="3"/>
      <c r="B126" s="3"/>
      <c r="C126" s="3"/>
      <c r="D126" s="3"/>
      <c r="E126" s="3"/>
      <c r="F126" s="3"/>
      <c r="G126" s="83"/>
      <c r="H126" s="3"/>
      <c r="I126" s="3"/>
      <c r="J126" s="5"/>
      <c r="K126" s="3"/>
      <c r="L126" s="3"/>
      <c r="M126" s="5"/>
      <c r="N126" s="3"/>
      <c r="O126" s="5"/>
      <c r="P126" s="3"/>
      <c r="Q126" s="5"/>
      <c r="R126" s="3"/>
      <c r="S126" s="83"/>
      <c r="T126" s="3"/>
      <c r="U126" s="3"/>
      <c r="V126" s="3"/>
      <c r="W126" s="81"/>
      <c r="X126" s="81"/>
      <c r="Y126" s="81"/>
      <c r="Z126" s="81"/>
    </row>
    <row r="127" spans="1:26" ht="24" customHeight="1" x14ac:dyDescent="0.5">
      <c r="A127" s="3"/>
      <c r="B127" s="3"/>
      <c r="C127" s="3"/>
      <c r="D127" s="3"/>
      <c r="E127" s="3"/>
      <c r="F127" s="3"/>
      <c r="G127" s="83"/>
      <c r="H127" s="3"/>
      <c r="I127" s="3"/>
      <c r="J127" s="5"/>
      <c r="K127" s="3"/>
      <c r="L127" s="3"/>
      <c r="M127" s="5"/>
      <c r="N127" s="3"/>
      <c r="O127" s="5"/>
      <c r="P127" s="3"/>
      <c r="Q127" s="5"/>
      <c r="R127" s="3"/>
      <c r="S127" s="83"/>
      <c r="T127" s="3"/>
      <c r="U127" s="3"/>
      <c r="V127" s="3"/>
      <c r="W127" s="81"/>
      <c r="X127" s="81"/>
      <c r="Y127" s="81"/>
      <c r="Z127" s="81"/>
    </row>
    <row r="128" spans="1:26" ht="24" customHeight="1" x14ac:dyDescent="0.5">
      <c r="A128" s="3"/>
      <c r="B128" s="3"/>
      <c r="C128" s="3"/>
      <c r="D128" s="3"/>
      <c r="E128" s="3"/>
      <c r="F128" s="3"/>
      <c r="G128" s="83"/>
      <c r="H128" s="3"/>
      <c r="I128" s="3"/>
      <c r="J128" s="5"/>
      <c r="K128" s="3"/>
      <c r="L128" s="3"/>
      <c r="M128" s="5"/>
      <c r="N128" s="3"/>
      <c r="O128" s="5"/>
      <c r="P128" s="3"/>
      <c r="Q128" s="5"/>
      <c r="R128" s="3"/>
      <c r="S128" s="83"/>
      <c r="T128" s="3"/>
      <c r="U128" s="3"/>
      <c r="V128" s="3"/>
      <c r="W128" s="81"/>
      <c r="X128" s="81"/>
      <c r="Y128" s="81"/>
      <c r="Z128" s="81"/>
    </row>
    <row r="129" spans="1:26" ht="24" customHeight="1" x14ac:dyDescent="0.5">
      <c r="A129" s="3"/>
      <c r="B129" s="3"/>
      <c r="C129" s="3"/>
      <c r="D129" s="3"/>
      <c r="E129" s="3"/>
      <c r="F129" s="3"/>
      <c r="G129" s="83"/>
      <c r="H129" s="3"/>
      <c r="I129" s="3"/>
      <c r="J129" s="5"/>
      <c r="K129" s="3"/>
      <c r="L129" s="3"/>
      <c r="M129" s="5"/>
      <c r="N129" s="3"/>
      <c r="O129" s="5"/>
      <c r="P129" s="3"/>
      <c r="Q129" s="5"/>
      <c r="R129" s="3"/>
      <c r="S129" s="83"/>
      <c r="T129" s="3"/>
      <c r="U129" s="3"/>
      <c r="V129" s="3"/>
      <c r="W129" s="81"/>
      <c r="X129" s="81"/>
      <c r="Y129" s="81"/>
      <c r="Z129" s="81"/>
    </row>
    <row r="130" spans="1:26" ht="24" customHeight="1" x14ac:dyDescent="0.5">
      <c r="A130" s="3"/>
      <c r="B130" s="3"/>
      <c r="C130" s="3"/>
      <c r="D130" s="3"/>
      <c r="E130" s="3"/>
      <c r="F130" s="3"/>
      <c r="G130" s="83"/>
      <c r="H130" s="3"/>
      <c r="I130" s="3"/>
      <c r="J130" s="5"/>
      <c r="K130" s="3"/>
      <c r="L130" s="3"/>
      <c r="M130" s="5"/>
      <c r="N130" s="3"/>
      <c r="O130" s="5"/>
      <c r="P130" s="3"/>
      <c r="Q130" s="5"/>
      <c r="R130" s="3"/>
      <c r="S130" s="83"/>
      <c r="T130" s="3"/>
      <c r="U130" s="3"/>
      <c r="V130" s="3"/>
      <c r="W130" s="81"/>
      <c r="X130" s="81"/>
      <c r="Y130" s="81"/>
      <c r="Z130" s="81"/>
    </row>
    <row r="131" spans="1:26" ht="24" customHeight="1" x14ac:dyDescent="0.5">
      <c r="A131" s="3"/>
      <c r="B131" s="3"/>
      <c r="C131" s="3"/>
      <c r="D131" s="3"/>
      <c r="E131" s="3"/>
      <c r="F131" s="3"/>
      <c r="G131" s="83"/>
      <c r="H131" s="3"/>
      <c r="I131" s="3"/>
      <c r="J131" s="5"/>
      <c r="K131" s="3"/>
      <c r="L131" s="3"/>
      <c r="M131" s="5"/>
      <c r="N131" s="3"/>
      <c r="O131" s="5"/>
      <c r="P131" s="3"/>
      <c r="Q131" s="5"/>
      <c r="R131" s="3"/>
      <c r="S131" s="83"/>
      <c r="T131" s="3"/>
      <c r="U131" s="3"/>
      <c r="V131" s="3"/>
      <c r="W131" s="81"/>
      <c r="X131" s="81"/>
      <c r="Y131" s="81"/>
      <c r="Z131" s="81"/>
    </row>
    <row r="132" spans="1:26" ht="24" customHeight="1" x14ac:dyDescent="0.5">
      <c r="A132" s="3"/>
      <c r="B132" s="3"/>
      <c r="C132" s="3"/>
      <c r="D132" s="3"/>
      <c r="E132" s="3"/>
      <c r="F132" s="3"/>
      <c r="G132" s="83"/>
      <c r="H132" s="3"/>
      <c r="I132" s="3"/>
      <c r="J132" s="5"/>
      <c r="K132" s="3"/>
      <c r="L132" s="3"/>
      <c r="M132" s="5"/>
      <c r="N132" s="3"/>
      <c r="O132" s="5"/>
      <c r="P132" s="3"/>
      <c r="Q132" s="5"/>
      <c r="R132" s="3"/>
      <c r="S132" s="83"/>
      <c r="T132" s="3"/>
      <c r="U132" s="3"/>
      <c r="V132" s="3"/>
      <c r="W132" s="81"/>
      <c r="X132" s="81"/>
      <c r="Y132" s="81"/>
      <c r="Z132" s="81"/>
    </row>
    <row r="133" spans="1:26" ht="24" customHeight="1" x14ac:dyDescent="0.5">
      <c r="A133" s="3"/>
      <c r="B133" s="3"/>
      <c r="C133" s="3"/>
      <c r="D133" s="3"/>
      <c r="E133" s="3"/>
      <c r="F133" s="3"/>
      <c r="G133" s="83"/>
      <c r="H133" s="3"/>
      <c r="I133" s="3"/>
      <c r="J133" s="5"/>
      <c r="K133" s="3"/>
      <c r="L133" s="3"/>
      <c r="M133" s="5"/>
      <c r="N133" s="3"/>
      <c r="O133" s="5"/>
      <c r="P133" s="3"/>
      <c r="Q133" s="5"/>
      <c r="R133" s="3"/>
      <c r="S133" s="83"/>
      <c r="T133" s="3"/>
      <c r="U133" s="3"/>
      <c r="V133" s="3"/>
      <c r="W133" s="81"/>
      <c r="X133" s="81"/>
      <c r="Y133" s="81"/>
      <c r="Z133" s="81"/>
    </row>
    <row r="134" spans="1:26" ht="24" customHeight="1" x14ac:dyDescent="0.5">
      <c r="A134" s="3"/>
      <c r="B134" s="3"/>
      <c r="C134" s="3"/>
      <c r="D134" s="3"/>
      <c r="E134" s="3"/>
      <c r="F134" s="3"/>
      <c r="G134" s="83"/>
      <c r="H134" s="3"/>
      <c r="I134" s="3"/>
      <c r="J134" s="5"/>
      <c r="K134" s="3"/>
      <c r="L134" s="3"/>
      <c r="M134" s="5"/>
      <c r="N134" s="3"/>
      <c r="O134" s="5"/>
      <c r="P134" s="3"/>
      <c r="Q134" s="5"/>
      <c r="R134" s="3"/>
      <c r="S134" s="83"/>
      <c r="T134" s="3"/>
      <c r="U134" s="3"/>
      <c r="V134" s="3"/>
      <c r="W134" s="81"/>
      <c r="X134" s="81"/>
      <c r="Y134" s="81"/>
      <c r="Z134" s="81"/>
    </row>
    <row r="135" spans="1:26" ht="24" customHeight="1" x14ac:dyDescent="0.5">
      <c r="A135" s="3"/>
      <c r="B135" s="3"/>
      <c r="C135" s="3"/>
      <c r="D135" s="3"/>
      <c r="E135" s="3"/>
      <c r="F135" s="3"/>
      <c r="G135" s="83"/>
      <c r="H135" s="3"/>
      <c r="I135" s="3"/>
      <c r="J135" s="5"/>
      <c r="K135" s="3"/>
      <c r="L135" s="3"/>
      <c r="M135" s="5"/>
      <c r="N135" s="3"/>
      <c r="O135" s="5"/>
      <c r="P135" s="3"/>
      <c r="Q135" s="5"/>
      <c r="R135" s="3"/>
      <c r="S135" s="83"/>
      <c r="T135" s="3"/>
      <c r="U135" s="3"/>
      <c r="V135" s="3"/>
      <c r="W135" s="81"/>
      <c r="X135" s="81"/>
      <c r="Y135" s="81"/>
      <c r="Z135" s="81"/>
    </row>
    <row r="136" spans="1:26" ht="24" customHeight="1" x14ac:dyDescent="0.5">
      <c r="A136" s="3"/>
      <c r="B136" s="3"/>
      <c r="C136" s="3"/>
      <c r="D136" s="3"/>
      <c r="E136" s="3"/>
      <c r="F136" s="3"/>
      <c r="G136" s="83"/>
      <c r="H136" s="3"/>
      <c r="I136" s="3"/>
      <c r="J136" s="5"/>
      <c r="K136" s="3"/>
      <c r="L136" s="3"/>
      <c r="M136" s="5"/>
      <c r="N136" s="3"/>
      <c r="O136" s="5"/>
      <c r="P136" s="3"/>
      <c r="Q136" s="5"/>
      <c r="R136" s="3"/>
      <c r="S136" s="83"/>
      <c r="T136" s="3"/>
      <c r="U136" s="3"/>
      <c r="V136" s="3"/>
      <c r="W136" s="81"/>
      <c r="X136" s="81"/>
      <c r="Y136" s="81"/>
      <c r="Z136" s="81"/>
    </row>
    <row r="137" spans="1:26" ht="24" customHeight="1" x14ac:dyDescent="0.5">
      <c r="A137" s="3"/>
      <c r="B137" s="3"/>
      <c r="C137" s="3"/>
      <c r="D137" s="3"/>
      <c r="E137" s="3"/>
      <c r="F137" s="3"/>
      <c r="G137" s="83"/>
      <c r="H137" s="3"/>
      <c r="I137" s="3"/>
      <c r="J137" s="5"/>
      <c r="K137" s="3"/>
      <c r="L137" s="3"/>
      <c r="M137" s="5"/>
      <c r="N137" s="3"/>
      <c r="O137" s="5"/>
      <c r="P137" s="3"/>
      <c r="Q137" s="5"/>
      <c r="R137" s="3"/>
      <c r="S137" s="83"/>
      <c r="T137" s="3"/>
      <c r="U137" s="3"/>
      <c r="V137" s="3"/>
      <c r="W137" s="81"/>
      <c r="X137" s="81"/>
      <c r="Y137" s="81"/>
      <c r="Z137" s="81"/>
    </row>
    <row r="138" spans="1:26" ht="24" customHeight="1" x14ac:dyDescent="0.5">
      <c r="A138" s="3"/>
      <c r="B138" s="3"/>
      <c r="C138" s="3"/>
      <c r="D138" s="3"/>
      <c r="E138" s="3"/>
      <c r="F138" s="3"/>
      <c r="G138" s="83"/>
      <c r="H138" s="3"/>
      <c r="I138" s="3"/>
      <c r="J138" s="5"/>
      <c r="K138" s="3"/>
      <c r="L138" s="3"/>
      <c r="M138" s="5"/>
      <c r="N138" s="3"/>
      <c r="O138" s="5"/>
      <c r="P138" s="3"/>
      <c r="Q138" s="5"/>
      <c r="R138" s="3"/>
      <c r="S138" s="83"/>
      <c r="T138" s="3"/>
      <c r="U138" s="3"/>
      <c r="V138" s="3"/>
      <c r="W138" s="81"/>
      <c r="X138" s="81"/>
      <c r="Y138" s="81"/>
      <c r="Z138" s="81"/>
    </row>
    <row r="139" spans="1:26" ht="24" customHeight="1" x14ac:dyDescent="0.5">
      <c r="A139" s="3"/>
      <c r="B139" s="3"/>
      <c r="C139" s="3"/>
      <c r="D139" s="3"/>
      <c r="E139" s="3"/>
      <c r="F139" s="3"/>
      <c r="G139" s="83"/>
      <c r="H139" s="3"/>
      <c r="I139" s="3"/>
      <c r="J139" s="5"/>
      <c r="K139" s="3"/>
      <c r="L139" s="3"/>
      <c r="M139" s="5"/>
      <c r="N139" s="3"/>
      <c r="O139" s="5"/>
      <c r="P139" s="3"/>
      <c r="Q139" s="5"/>
      <c r="R139" s="3"/>
      <c r="S139" s="83"/>
      <c r="T139" s="3"/>
      <c r="U139" s="3"/>
      <c r="V139" s="3"/>
      <c r="W139" s="81"/>
      <c r="X139" s="81"/>
      <c r="Y139" s="81"/>
      <c r="Z139" s="81"/>
    </row>
    <row r="140" spans="1:26" ht="24" customHeight="1" x14ac:dyDescent="0.5">
      <c r="A140" s="3"/>
      <c r="B140" s="3"/>
      <c r="C140" s="3"/>
      <c r="D140" s="3"/>
      <c r="E140" s="3"/>
      <c r="F140" s="3"/>
      <c r="G140" s="83"/>
      <c r="H140" s="3"/>
      <c r="I140" s="3"/>
      <c r="J140" s="5"/>
      <c r="K140" s="3"/>
      <c r="L140" s="3"/>
      <c r="M140" s="5"/>
      <c r="N140" s="3"/>
      <c r="O140" s="5"/>
      <c r="P140" s="3"/>
      <c r="Q140" s="5"/>
      <c r="R140" s="3"/>
      <c r="S140" s="83"/>
      <c r="T140" s="3"/>
      <c r="U140" s="3"/>
      <c r="V140" s="3"/>
      <c r="W140" s="81"/>
      <c r="X140" s="81"/>
      <c r="Y140" s="81"/>
      <c r="Z140" s="81"/>
    </row>
    <row r="141" spans="1:26" ht="24" customHeight="1" x14ac:dyDescent="0.5">
      <c r="A141" s="3"/>
      <c r="B141" s="3"/>
      <c r="C141" s="3"/>
      <c r="D141" s="3"/>
      <c r="E141" s="3"/>
      <c r="F141" s="3"/>
      <c r="G141" s="83"/>
      <c r="H141" s="3"/>
      <c r="I141" s="3"/>
      <c r="J141" s="5"/>
      <c r="K141" s="3"/>
      <c r="L141" s="3"/>
      <c r="M141" s="5"/>
      <c r="N141" s="3"/>
      <c r="O141" s="5"/>
      <c r="P141" s="3"/>
      <c r="Q141" s="5"/>
      <c r="R141" s="3"/>
      <c r="S141" s="83"/>
      <c r="T141" s="3"/>
      <c r="U141" s="3"/>
      <c r="V141" s="3"/>
      <c r="W141" s="81"/>
      <c r="X141" s="81"/>
      <c r="Y141" s="81"/>
      <c r="Z141" s="81"/>
    </row>
    <row r="142" spans="1:26" ht="24" customHeight="1" x14ac:dyDescent="0.5">
      <c r="A142" s="3"/>
      <c r="B142" s="3"/>
      <c r="C142" s="3"/>
      <c r="D142" s="3"/>
      <c r="E142" s="3"/>
      <c r="F142" s="3"/>
      <c r="G142" s="83"/>
      <c r="H142" s="3"/>
      <c r="I142" s="3"/>
      <c r="J142" s="5"/>
      <c r="K142" s="3"/>
      <c r="L142" s="3"/>
      <c r="M142" s="5"/>
      <c r="N142" s="3"/>
      <c r="O142" s="5"/>
      <c r="P142" s="3"/>
      <c r="Q142" s="5"/>
      <c r="R142" s="3"/>
      <c r="S142" s="83"/>
      <c r="T142" s="3"/>
      <c r="U142" s="3"/>
      <c r="V142" s="3"/>
      <c r="W142" s="81"/>
      <c r="X142" s="81"/>
      <c r="Y142" s="81"/>
      <c r="Z142" s="81"/>
    </row>
    <row r="143" spans="1:26" ht="24" customHeight="1" x14ac:dyDescent="0.5">
      <c r="A143" s="3"/>
      <c r="B143" s="3"/>
      <c r="C143" s="3"/>
      <c r="D143" s="3"/>
      <c r="E143" s="3"/>
      <c r="F143" s="3"/>
      <c r="G143" s="83"/>
      <c r="H143" s="3"/>
      <c r="I143" s="3"/>
      <c r="J143" s="5"/>
      <c r="K143" s="3"/>
      <c r="L143" s="3"/>
      <c r="M143" s="5"/>
      <c r="N143" s="3"/>
      <c r="O143" s="5"/>
      <c r="P143" s="3"/>
      <c r="Q143" s="5"/>
      <c r="R143" s="3"/>
      <c r="S143" s="83"/>
      <c r="T143" s="3"/>
      <c r="U143" s="3"/>
      <c r="V143" s="3"/>
      <c r="W143" s="81"/>
      <c r="X143" s="81"/>
      <c r="Y143" s="81"/>
      <c r="Z143" s="81"/>
    </row>
    <row r="144" spans="1:26" ht="24" customHeight="1" x14ac:dyDescent="0.5">
      <c r="A144" s="3"/>
      <c r="B144" s="3"/>
      <c r="C144" s="3"/>
      <c r="D144" s="3"/>
      <c r="E144" s="3"/>
      <c r="F144" s="3"/>
      <c r="G144" s="83"/>
      <c r="H144" s="3"/>
      <c r="I144" s="3"/>
      <c r="J144" s="5"/>
      <c r="K144" s="3"/>
      <c r="L144" s="3"/>
      <c r="M144" s="5"/>
      <c r="N144" s="3"/>
      <c r="O144" s="5"/>
      <c r="P144" s="3"/>
      <c r="Q144" s="5"/>
      <c r="R144" s="3"/>
      <c r="S144" s="83"/>
      <c r="T144" s="3"/>
      <c r="U144" s="3"/>
      <c r="V144" s="3"/>
      <c r="W144" s="81"/>
      <c r="X144" s="81"/>
      <c r="Y144" s="81"/>
      <c r="Z144" s="81"/>
    </row>
    <row r="145" spans="1:26" ht="24" customHeight="1" x14ac:dyDescent="0.5">
      <c r="A145" s="3"/>
      <c r="B145" s="3"/>
      <c r="C145" s="3"/>
      <c r="D145" s="3"/>
      <c r="E145" s="3"/>
      <c r="F145" s="3"/>
      <c r="G145" s="83"/>
      <c r="H145" s="3"/>
      <c r="I145" s="3"/>
      <c r="J145" s="5"/>
      <c r="K145" s="3"/>
      <c r="L145" s="3"/>
      <c r="M145" s="5"/>
      <c r="N145" s="3"/>
      <c r="O145" s="5"/>
      <c r="P145" s="3"/>
      <c r="Q145" s="5"/>
      <c r="R145" s="3"/>
      <c r="S145" s="83"/>
      <c r="T145" s="3"/>
      <c r="U145" s="3"/>
      <c r="V145" s="3"/>
      <c r="W145" s="81"/>
      <c r="X145" s="81"/>
      <c r="Y145" s="81"/>
      <c r="Z145" s="81"/>
    </row>
    <row r="146" spans="1:26" ht="24" customHeight="1" x14ac:dyDescent="0.5">
      <c r="A146" s="3"/>
      <c r="B146" s="3"/>
      <c r="C146" s="3"/>
      <c r="D146" s="3"/>
      <c r="E146" s="3"/>
      <c r="F146" s="3"/>
      <c r="G146" s="83"/>
      <c r="H146" s="3"/>
      <c r="I146" s="3"/>
      <c r="J146" s="5"/>
      <c r="K146" s="3"/>
      <c r="L146" s="3"/>
      <c r="M146" s="5"/>
      <c r="N146" s="3"/>
      <c r="O146" s="5"/>
      <c r="P146" s="3"/>
      <c r="Q146" s="5"/>
      <c r="R146" s="3"/>
      <c r="S146" s="83"/>
      <c r="T146" s="3"/>
      <c r="U146" s="3"/>
      <c r="V146" s="3"/>
      <c r="W146" s="81"/>
      <c r="X146" s="81"/>
      <c r="Y146" s="81"/>
      <c r="Z146" s="81"/>
    </row>
    <row r="147" spans="1:26" ht="24" customHeight="1" x14ac:dyDescent="0.5">
      <c r="A147" s="3"/>
      <c r="B147" s="3"/>
      <c r="C147" s="3"/>
      <c r="D147" s="3"/>
      <c r="E147" s="3"/>
      <c r="F147" s="3"/>
      <c r="G147" s="83"/>
      <c r="H147" s="3"/>
      <c r="I147" s="3"/>
      <c r="J147" s="5"/>
      <c r="K147" s="3"/>
      <c r="L147" s="3"/>
      <c r="M147" s="5"/>
      <c r="N147" s="3"/>
      <c r="O147" s="5"/>
      <c r="P147" s="3"/>
      <c r="Q147" s="5"/>
      <c r="R147" s="3"/>
      <c r="S147" s="83"/>
      <c r="T147" s="3"/>
      <c r="U147" s="3"/>
      <c r="V147" s="3"/>
      <c r="W147" s="81"/>
      <c r="X147" s="81"/>
      <c r="Y147" s="81"/>
      <c r="Z147" s="81"/>
    </row>
    <row r="148" spans="1:26" ht="24" customHeight="1" x14ac:dyDescent="0.5">
      <c r="A148" s="3"/>
      <c r="B148" s="3"/>
      <c r="C148" s="3"/>
      <c r="D148" s="3"/>
      <c r="E148" s="3"/>
      <c r="F148" s="3"/>
      <c r="G148" s="83"/>
      <c r="H148" s="3"/>
      <c r="I148" s="3"/>
      <c r="J148" s="5"/>
      <c r="K148" s="3"/>
      <c r="L148" s="3"/>
      <c r="M148" s="5"/>
      <c r="N148" s="3"/>
      <c r="O148" s="5"/>
      <c r="P148" s="3"/>
      <c r="Q148" s="5"/>
      <c r="R148" s="3"/>
      <c r="S148" s="83"/>
      <c r="T148" s="3"/>
      <c r="U148" s="3"/>
      <c r="V148" s="3"/>
      <c r="W148" s="81"/>
      <c r="X148" s="81"/>
      <c r="Y148" s="81"/>
      <c r="Z148" s="81"/>
    </row>
    <row r="149" spans="1:26" ht="24" customHeight="1" x14ac:dyDescent="0.5">
      <c r="A149" s="3"/>
      <c r="B149" s="3"/>
      <c r="C149" s="3"/>
      <c r="D149" s="3"/>
      <c r="E149" s="3"/>
      <c r="F149" s="3"/>
      <c r="G149" s="83"/>
      <c r="H149" s="3"/>
      <c r="I149" s="3"/>
      <c r="J149" s="5"/>
      <c r="K149" s="3"/>
      <c r="L149" s="3"/>
      <c r="M149" s="5"/>
      <c r="N149" s="3"/>
      <c r="O149" s="5"/>
      <c r="P149" s="3"/>
      <c r="Q149" s="5"/>
      <c r="R149" s="3"/>
      <c r="S149" s="83"/>
      <c r="T149" s="3"/>
      <c r="U149" s="3"/>
      <c r="V149" s="3"/>
      <c r="W149" s="81"/>
      <c r="X149" s="81"/>
      <c r="Y149" s="81"/>
      <c r="Z149" s="81"/>
    </row>
    <row r="150" spans="1:26" ht="24" customHeight="1" x14ac:dyDescent="0.5">
      <c r="A150" s="3"/>
      <c r="B150" s="3"/>
      <c r="C150" s="3"/>
      <c r="D150" s="3"/>
      <c r="E150" s="3"/>
      <c r="F150" s="3"/>
      <c r="G150" s="83"/>
      <c r="H150" s="3"/>
      <c r="I150" s="3"/>
      <c r="J150" s="5"/>
      <c r="K150" s="3"/>
      <c r="L150" s="3"/>
      <c r="M150" s="5"/>
      <c r="N150" s="3"/>
      <c r="O150" s="5"/>
      <c r="P150" s="3"/>
      <c r="Q150" s="5"/>
      <c r="R150" s="3"/>
      <c r="S150" s="83"/>
      <c r="T150" s="3"/>
      <c r="U150" s="3"/>
      <c r="V150" s="3"/>
      <c r="W150" s="81"/>
      <c r="X150" s="81"/>
      <c r="Y150" s="81"/>
      <c r="Z150" s="81"/>
    </row>
    <row r="151" spans="1:26" ht="24" customHeight="1" x14ac:dyDescent="0.5">
      <c r="A151" s="3"/>
      <c r="B151" s="3"/>
      <c r="C151" s="3"/>
      <c r="D151" s="3"/>
      <c r="E151" s="3"/>
      <c r="F151" s="3"/>
      <c r="G151" s="83"/>
      <c r="H151" s="3"/>
      <c r="I151" s="3"/>
      <c r="J151" s="5"/>
      <c r="K151" s="3"/>
      <c r="L151" s="3"/>
      <c r="M151" s="5"/>
      <c r="N151" s="3"/>
      <c r="O151" s="5"/>
      <c r="P151" s="3"/>
      <c r="Q151" s="5"/>
      <c r="R151" s="3"/>
      <c r="S151" s="83"/>
      <c r="T151" s="3"/>
      <c r="U151" s="3"/>
      <c r="V151" s="3"/>
      <c r="W151" s="81"/>
      <c r="X151" s="81"/>
      <c r="Y151" s="81"/>
      <c r="Z151" s="81"/>
    </row>
    <row r="152" spans="1:26" ht="24" customHeight="1" x14ac:dyDescent="0.5">
      <c r="A152" s="3"/>
      <c r="B152" s="3"/>
      <c r="C152" s="3"/>
      <c r="D152" s="3"/>
      <c r="E152" s="3"/>
      <c r="F152" s="3"/>
      <c r="G152" s="83"/>
      <c r="H152" s="3"/>
      <c r="I152" s="3"/>
      <c r="J152" s="5"/>
      <c r="K152" s="3"/>
      <c r="L152" s="3"/>
      <c r="M152" s="5"/>
      <c r="N152" s="3"/>
      <c r="O152" s="5"/>
      <c r="P152" s="3"/>
      <c r="Q152" s="5"/>
      <c r="R152" s="3"/>
      <c r="S152" s="83"/>
      <c r="T152" s="3"/>
      <c r="U152" s="3"/>
      <c r="V152" s="3"/>
      <c r="W152" s="81"/>
      <c r="X152" s="81"/>
      <c r="Y152" s="81"/>
      <c r="Z152" s="81"/>
    </row>
    <row r="153" spans="1:26" ht="24" customHeight="1" x14ac:dyDescent="0.5">
      <c r="A153" s="3"/>
      <c r="B153" s="3"/>
      <c r="C153" s="3"/>
      <c r="D153" s="3"/>
      <c r="E153" s="3"/>
      <c r="F153" s="3"/>
      <c r="G153" s="83"/>
      <c r="H153" s="3"/>
      <c r="I153" s="3"/>
      <c r="J153" s="5"/>
      <c r="K153" s="3"/>
      <c r="L153" s="3"/>
      <c r="M153" s="5"/>
      <c r="N153" s="3"/>
      <c r="O153" s="5"/>
      <c r="P153" s="3"/>
      <c r="Q153" s="5"/>
      <c r="R153" s="3"/>
      <c r="S153" s="83"/>
      <c r="T153" s="3"/>
      <c r="U153" s="3"/>
      <c r="V153" s="3"/>
      <c r="W153" s="81"/>
      <c r="X153" s="81"/>
      <c r="Y153" s="81"/>
      <c r="Z153" s="81"/>
    </row>
    <row r="154" spans="1:26" ht="24" customHeight="1" x14ac:dyDescent="0.5">
      <c r="A154" s="3"/>
      <c r="B154" s="3"/>
      <c r="C154" s="3"/>
      <c r="D154" s="3"/>
      <c r="E154" s="3"/>
      <c r="F154" s="3"/>
      <c r="G154" s="83"/>
      <c r="H154" s="3"/>
      <c r="I154" s="3"/>
      <c r="J154" s="5"/>
      <c r="K154" s="3"/>
      <c r="L154" s="3"/>
      <c r="M154" s="5"/>
      <c r="N154" s="3"/>
      <c r="O154" s="5"/>
      <c r="P154" s="3"/>
      <c r="Q154" s="5"/>
      <c r="R154" s="3"/>
      <c r="S154" s="83"/>
      <c r="T154" s="3"/>
      <c r="U154" s="3"/>
      <c r="V154" s="3"/>
      <c r="W154" s="81"/>
      <c r="X154" s="81"/>
      <c r="Y154" s="81"/>
      <c r="Z154" s="81"/>
    </row>
    <row r="155" spans="1:26" ht="24" customHeight="1" x14ac:dyDescent="0.5">
      <c r="A155" s="3"/>
      <c r="B155" s="3"/>
      <c r="C155" s="3"/>
      <c r="D155" s="3"/>
      <c r="E155" s="3"/>
      <c r="F155" s="3"/>
      <c r="G155" s="83"/>
      <c r="H155" s="3"/>
      <c r="I155" s="3"/>
      <c r="J155" s="5"/>
      <c r="K155" s="3"/>
      <c r="L155" s="3"/>
      <c r="M155" s="5"/>
      <c r="N155" s="3"/>
      <c r="O155" s="5"/>
      <c r="P155" s="3"/>
      <c r="Q155" s="5"/>
      <c r="R155" s="3"/>
      <c r="S155" s="83"/>
      <c r="T155" s="3"/>
      <c r="U155" s="3"/>
      <c r="V155" s="3"/>
      <c r="W155" s="81"/>
      <c r="X155" s="81"/>
      <c r="Y155" s="81"/>
      <c r="Z155" s="81"/>
    </row>
    <row r="156" spans="1:26" ht="24" customHeight="1" x14ac:dyDescent="0.5">
      <c r="A156" s="3"/>
      <c r="B156" s="3"/>
      <c r="C156" s="3"/>
      <c r="D156" s="3"/>
      <c r="E156" s="3"/>
      <c r="F156" s="3"/>
      <c r="G156" s="83"/>
      <c r="H156" s="3"/>
      <c r="I156" s="3"/>
      <c r="J156" s="5"/>
      <c r="K156" s="3"/>
      <c r="L156" s="3"/>
      <c r="M156" s="5"/>
      <c r="N156" s="3"/>
      <c r="O156" s="5"/>
      <c r="P156" s="3"/>
      <c r="Q156" s="5"/>
      <c r="R156" s="3"/>
      <c r="S156" s="83"/>
      <c r="T156" s="3"/>
      <c r="U156" s="3"/>
      <c r="V156" s="3"/>
      <c r="W156" s="81"/>
      <c r="X156" s="81"/>
      <c r="Y156" s="81"/>
      <c r="Z156" s="81"/>
    </row>
    <row r="157" spans="1:26" ht="24" customHeight="1" x14ac:dyDescent="0.5">
      <c r="A157" s="3"/>
      <c r="B157" s="3"/>
      <c r="C157" s="3"/>
      <c r="D157" s="3"/>
      <c r="E157" s="3"/>
      <c r="F157" s="3"/>
      <c r="G157" s="83"/>
      <c r="H157" s="3"/>
      <c r="I157" s="3"/>
      <c r="J157" s="5"/>
      <c r="K157" s="3"/>
      <c r="L157" s="3"/>
      <c r="M157" s="5"/>
      <c r="N157" s="3"/>
      <c r="O157" s="5"/>
      <c r="P157" s="3"/>
      <c r="Q157" s="5"/>
      <c r="R157" s="3"/>
      <c r="S157" s="83"/>
      <c r="T157" s="3"/>
      <c r="U157" s="3"/>
      <c r="V157" s="3"/>
      <c r="W157" s="81"/>
      <c r="X157" s="81"/>
      <c r="Y157" s="81"/>
      <c r="Z157" s="81"/>
    </row>
    <row r="158" spans="1:26" ht="24" customHeight="1" x14ac:dyDescent="0.5">
      <c r="A158" s="3"/>
      <c r="B158" s="3"/>
      <c r="C158" s="3"/>
      <c r="D158" s="3"/>
      <c r="E158" s="3"/>
      <c r="F158" s="3"/>
      <c r="G158" s="83"/>
      <c r="H158" s="3"/>
      <c r="I158" s="3"/>
      <c r="J158" s="5"/>
      <c r="K158" s="3"/>
      <c r="L158" s="3"/>
      <c r="M158" s="5"/>
      <c r="N158" s="3"/>
      <c r="O158" s="5"/>
      <c r="P158" s="3"/>
      <c r="Q158" s="5"/>
      <c r="R158" s="3"/>
      <c r="S158" s="83"/>
      <c r="T158" s="3"/>
      <c r="U158" s="3"/>
      <c r="V158" s="3"/>
      <c r="W158" s="81"/>
      <c r="X158" s="81"/>
      <c r="Y158" s="81"/>
      <c r="Z158" s="81"/>
    </row>
    <row r="159" spans="1:26" ht="24" customHeight="1" x14ac:dyDescent="0.5">
      <c r="A159" s="3"/>
      <c r="B159" s="3"/>
      <c r="C159" s="3"/>
      <c r="D159" s="3"/>
      <c r="E159" s="3"/>
      <c r="F159" s="3"/>
      <c r="G159" s="83"/>
      <c r="H159" s="3"/>
      <c r="I159" s="3"/>
      <c r="J159" s="5"/>
      <c r="K159" s="3"/>
      <c r="L159" s="3"/>
      <c r="M159" s="5"/>
      <c r="N159" s="3"/>
      <c r="O159" s="5"/>
      <c r="P159" s="3"/>
      <c r="Q159" s="5"/>
      <c r="R159" s="3"/>
      <c r="S159" s="83"/>
      <c r="T159" s="3"/>
      <c r="U159" s="3"/>
      <c r="V159" s="3"/>
      <c r="W159" s="81"/>
      <c r="X159" s="81"/>
      <c r="Y159" s="81"/>
      <c r="Z159" s="81"/>
    </row>
    <row r="160" spans="1:26" ht="24" customHeight="1" x14ac:dyDescent="0.5">
      <c r="A160" s="3"/>
      <c r="B160" s="3"/>
      <c r="C160" s="3"/>
      <c r="D160" s="3"/>
      <c r="E160" s="3"/>
      <c r="F160" s="3"/>
      <c r="G160" s="83"/>
      <c r="H160" s="3"/>
      <c r="I160" s="3"/>
      <c r="J160" s="5"/>
      <c r="K160" s="3"/>
      <c r="L160" s="3"/>
      <c r="M160" s="5"/>
      <c r="N160" s="3"/>
      <c r="O160" s="5"/>
      <c r="P160" s="3"/>
      <c r="Q160" s="5"/>
      <c r="R160" s="3"/>
      <c r="S160" s="83"/>
      <c r="T160" s="3"/>
      <c r="U160" s="3"/>
      <c r="V160" s="3"/>
      <c r="W160" s="81"/>
      <c r="X160" s="81"/>
      <c r="Y160" s="81"/>
      <c r="Z160" s="81"/>
    </row>
    <row r="161" spans="1:26" ht="24" customHeight="1" x14ac:dyDescent="0.5">
      <c r="A161" s="3"/>
      <c r="B161" s="3"/>
      <c r="C161" s="3"/>
      <c r="D161" s="3"/>
      <c r="E161" s="3"/>
      <c r="F161" s="3"/>
      <c r="G161" s="83"/>
      <c r="H161" s="3"/>
      <c r="I161" s="3"/>
      <c r="J161" s="5"/>
      <c r="K161" s="3"/>
      <c r="L161" s="3"/>
      <c r="M161" s="5"/>
      <c r="N161" s="3"/>
      <c r="O161" s="5"/>
      <c r="P161" s="3"/>
      <c r="Q161" s="5"/>
      <c r="R161" s="3"/>
      <c r="S161" s="83"/>
      <c r="T161" s="3"/>
      <c r="U161" s="3"/>
      <c r="V161" s="3"/>
      <c r="W161" s="81"/>
      <c r="X161" s="81"/>
      <c r="Y161" s="81"/>
      <c r="Z161" s="81"/>
    </row>
    <row r="162" spans="1:26" ht="24" customHeight="1" x14ac:dyDescent="0.5">
      <c r="A162" s="3"/>
      <c r="B162" s="3"/>
      <c r="C162" s="3"/>
      <c r="D162" s="3"/>
      <c r="E162" s="3"/>
      <c r="F162" s="3"/>
      <c r="G162" s="83"/>
      <c r="H162" s="3"/>
      <c r="I162" s="3"/>
      <c r="J162" s="5"/>
      <c r="K162" s="3"/>
      <c r="L162" s="3"/>
      <c r="M162" s="5"/>
      <c r="N162" s="3"/>
      <c r="O162" s="5"/>
      <c r="P162" s="3"/>
      <c r="Q162" s="5"/>
      <c r="R162" s="3"/>
      <c r="S162" s="83"/>
      <c r="T162" s="3"/>
      <c r="U162" s="3"/>
      <c r="V162" s="3"/>
      <c r="W162" s="81"/>
      <c r="X162" s="81"/>
      <c r="Y162" s="81"/>
      <c r="Z162" s="81"/>
    </row>
    <row r="163" spans="1:26" ht="24" customHeight="1" x14ac:dyDescent="0.5">
      <c r="A163" s="3"/>
      <c r="B163" s="3"/>
      <c r="C163" s="3"/>
      <c r="D163" s="3"/>
      <c r="E163" s="3"/>
      <c r="F163" s="3"/>
      <c r="G163" s="83"/>
      <c r="H163" s="3"/>
      <c r="I163" s="3"/>
      <c r="J163" s="5"/>
      <c r="K163" s="3"/>
      <c r="L163" s="3"/>
      <c r="M163" s="5"/>
      <c r="N163" s="3"/>
      <c r="O163" s="5"/>
      <c r="P163" s="3"/>
      <c r="Q163" s="5"/>
      <c r="R163" s="3"/>
      <c r="S163" s="83"/>
      <c r="T163" s="3"/>
      <c r="U163" s="3"/>
      <c r="V163" s="3"/>
      <c r="W163" s="81"/>
      <c r="X163" s="81"/>
      <c r="Y163" s="81"/>
      <c r="Z163" s="81"/>
    </row>
    <row r="164" spans="1:26" ht="24" customHeight="1" x14ac:dyDescent="0.5">
      <c r="A164" s="3"/>
      <c r="B164" s="3"/>
      <c r="C164" s="3"/>
      <c r="D164" s="3"/>
      <c r="E164" s="3"/>
      <c r="F164" s="3"/>
      <c r="G164" s="83"/>
      <c r="H164" s="3"/>
      <c r="I164" s="3"/>
      <c r="J164" s="5"/>
      <c r="K164" s="3"/>
      <c r="L164" s="3"/>
      <c r="M164" s="5"/>
      <c r="N164" s="3"/>
      <c r="O164" s="5"/>
      <c r="P164" s="3"/>
      <c r="Q164" s="5"/>
      <c r="R164" s="3"/>
      <c r="S164" s="83"/>
      <c r="T164" s="3"/>
      <c r="U164" s="3"/>
      <c r="V164" s="3"/>
      <c r="W164" s="81"/>
      <c r="X164" s="81"/>
      <c r="Y164" s="81"/>
      <c r="Z164" s="81"/>
    </row>
    <row r="165" spans="1:26" ht="24" customHeight="1" x14ac:dyDescent="0.5">
      <c r="A165" s="3"/>
      <c r="B165" s="3"/>
      <c r="C165" s="3"/>
      <c r="D165" s="3"/>
      <c r="E165" s="3"/>
      <c r="F165" s="3"/>
      <c r="G165" s="83"/>
      <c r="H165" s="3"/>
      <c r="I165" s="3"/>
      <c r="J165" s="5"/>
      <c r="K165" s="3"/>
      <c r="L165" s="3"/>
      <c r="M165" s="5"/>
      <c r="N165" s="3"/>
      <c r="O165" s="5"/>
      <c r="P165" s="3"/>
      <c r="Q165" s="5"/>
      <c r="R165" s="3"/>
      <c r="S165" s="83"/>
      <c r="T165" s="3"/>
      <c r="U165" s="3"/>
      <c r="V165" s="3"/>
      <c r="W165" s="81"/>
      <c r="X165" s="81"/>
      <c r="Y165" s="81"/>
      <c r="Z165" s="81"/>
    </row>
    <row r="166" spans="1:26" ht="24" customHeight="1" x14ac:dyDescent="0.5">
      <c r="A166" s="3"/>
      <c r="B166" s="3"/>
      <c r="C166" s="3"/>
      <c r="D166" s="3"/>
      <c r="E166" s="3"/>
      <c r="F166" s="3"/>
      <c r="G166" s="83"/>
      <c r="H166" s="3"/>
      <c r="I166" s="3"/>
      <c r="J166" s="5"/>
      <c r="K166" s="3"/>
      <c r="L166" s="3"/>
      <c r="M166" s="5"/>
      <c r="N166" s="3"/>
      <c r="O166" s="5"/>
      <c r="P166" s="3"/>
      <c r="Q166" s="5"/>
      <c r="R166" s="3"/>
      <c r="S166" s="83"/>
      <c r="T166" s="3"/>
      <c r="U166" s="3"/>
      <c r="V166" s="3"/>
      <c r="W166" s="81"/>
      <c r="X166" s="81"/>
      <c r="Y166" s="81"/>
      <c r="Z166" s="81"/>
    </row>
    <row r="167" spans="1:26" ht="24" customHeight="1" x14ac:dyDescent="0.5">
      <c r="A167" s="3"/>
      <c r="B167" s="3"/>
      <c r="C167" s="3"/>
      <c r="D167" s="3"/>
      <c r="E167" s="3"/>
      <c r="F167" s="3"/>
      <c r="G167" s="83"/>
      <c r="H167" s="3"/>
      <c r="I167" s="3"/>
      <c r="J167" s="5"/>
      <c r="K167" s="3"/>
      <c r="L167" s="3"/>
      <c r="M167" s="5"/>
      <c r="N167" s="3"/>
      <c r="O167" s="5"/>
      <c r="P167" s="3"/>
      <c r="Q167" s="5"/>
      <c r="R167" s="3"/>
      <c r="S167" s="83"/>
      <c r="T167" s="3"/>
      <c r="U167" s="3"/>
      <c r="V167" s="3"/>
      <c r="W167" s="81"/>
      <c r="X167" s="81"/>
      <c r="Y167" s="81"/>
      <c r="Z167" s="81"/>
    </row>
    <row r="168" spans="1:26" ht="24" customHeight="1" x14ac:dyDescent="0.5">
      <c r="A168" s="3"/>
      <c r="B168" s="3"/>
      <c r="C168" s="3"/>
      <c r="D168" s="3"/>
      <c r="E168" s="3"/>
      <c r="F168" s="3"/>
      <c r="G168" s="83"/>
      <c r="H168" s="3"/>
      <c r="I168" s="3"/>
      <c r="J168" s="5"/>
      <c r="K168" s="3"/>
      <c r="L168" s="3"/>
      <c r="M168" s="5"/>
      <c r="N168" s="3"/>
      <c r="O168" s="5"/>
      <c r="P168" s="3"/>
      <c r="Q168" s="5"/>
      <c r="R168" s="3"/>
      <c r="S168" s="83"/>
      <c r="T168" s="3"/>
      <c r="U168" s="3"/>
      <c r="V168" s="3"/>
      <c r="W168" s="81"/>
      <c r="X168" s="81"/>
      <c r="Y168" s="81"/>
      <c r="Z168" s="81"/>
    </row>
    <row r="169" spans="1:26" ht="24" customHeight="1" x14ac:dyDescent="0.5">
      <c r="A169" s="3"/>
      <c r="B169" s="3"/>
      <c r="C169" s="3"/>
      <c r="D169" s="3"/>
      <c r="E169" s="3"/>
      <c r="F169" s="3"/>
      <c r="G169" s="83"/>
      <c r="H169" s="3"/>
      <c r="I169" s="3"/>
      <c r="J169" s="5"/>
      <c r="K169" s="3"/>
      <c r="L169" s="3"/>
      <c r="M169" s="5"/>
      <c r="N169" s="3"/>
      <c r="O169" s="5"/>
      <c r="P169" s="3"/>
      <c r="Q169" s="5"/>
      <c r="R169" s="3"/>
      <c r="S169" s="83"/>
      <c r="T169" s="3"/>
      <c r="U169" s="3"/>
      <c r="V169" s="3"/>
      <c r="W169" s="81"/>
      <c r="X169" s="81"/>
      <c r="Y169" s="81"/>
      <c r="Z169" s="81"/>
    </row>
    <row r="170" spans="1:26" ht="24" customHeight="1" x14ac:dyDescent="0.5">
      <c r="A170" s="3"/>
      <c r="B170" s="3"/>
      <c r="C170" s="3"/>
      <c r="D170" s="3"/>
      <c r="E170" s="3"/>
      <c r="F170" s="3"/>
      <c r="G170" s="83"/>
      <c r="H170" s="3"/>
      <c r="I170" s="3"/>
      <c r="J170" s="5"/>
      <c r="K170" s="3"/>
      <c r="L170" s="3"/>
      <c r="M170" s="5"/>
      <c r="N170" s="3"/>
      <c r="O170" s="5"/>
      <c r="P170" s="3"/>
      <c r="Q170" s="5"/>
      <c r="R170" s="3"/>
      <c r="S170" s="83"/>
      <c r="T170" s="3"/>
      <c r="U170" s="3"/>
      <c r="V170" s="3"/>
      <c r="W170" s="81"/>
      <c r="X170" s="81"/>
      <c r="Y170" s="81"/>
      <c r="Z170" s="81"/>
    </row>
    <row r="171" spans="1:26" ht="24" customHeight="1" x14ac:dyDescent="0.5">
      <c r="A171" s="3"/>
      <c r="B171" s="3"/>
      <c r="C171" s="3"/>
      <c r="D171" s="3"/>
      <c r="E171" s="3"/>
      <c r="F171" s="3"/>
      <c r="G171" s="83"/>
      <c r="H171" s="3"/>
      <c r="I171" s="3"/>
      <c r="J171" s="5"/>
      <c r="K171" s="3"/>
      <c r="L171" s="3"/>
      <c r="M171" s="5"/>
      <c r="N171" s="3"/>
      <c r="O171" s="5"/>
      <c r="P171" s="3"/>
      <c r="Q171" s="5"/>
      <c r="R171" s="3"/>
      <c r="S171" s="83"/>
      <c r="T171" s="3"/>
      <c r="U171" s="3"/>
      <c r="V171" s="3"/>
      <c r="W171" s="81"/>
      <c r="X171" s="81"/>
      <c r="Y171" s="81"/>
      <c r="Z171" s="81"/>
    </row>
    <row r="172" spans="1:26" ht="24" customHeight="1" x14ac:dyDescent="0.5">
      <c r="A172" s="3"/>
      <c r="B172" s="3"/>
      <c r="C172" s="3"/>
      <c r="D172" s="3"/>
      <c r="E172" s="3"/>
      <c r="F172" s="3"/>
      <c r="G172" s="83"/>
      <c r="H172" s="3"/>
      <c r="I172" s="3"/>
      <c r="J172" s="5"/>
      <c r="K172" s="3"/>
      <c r="L172" s="3"/>
      <c r="M172" s="5"/>
      <c r="N172" s="3"/>
      <c r="O172" s="5"/>
      <c r="P172" s="3"/>
      <c r="Q172" s="5"/>
      <c r="R172" s="3"/>
      <c r="S172" s="83"/>
      <c r="T172" s="3"/>
      <c r="U172" s="3"/>
      <c r="V172" s="3"/>
      <c r="W172" s="81"/>
      <c r="X172" s="81"/>
      <c r="Y172" s="81"/>
      <c r="Z172" s="81"/>
    </row>
    <row r="173" spans="1:26" ht="24" customHeight="1" x14ac:dyDescent="0.5">
      <c r="A173" s="3"/>
      <c r="B173" s="3"/>
      <c r="C173" s="3"/>
      <c r="D173" s="3"/>
      <c r="E173" s="3"/>
      <c r="F173" s="3"/>
      <c r="G173" s="83"/>
      <c r="H173" s="3"/>
      <c r="I173" s="3"/>
      <c r="J173" s="5"/>
      <c r="K173" s="3"/>
      <c r="L173" s="3"/>
      <c r="M173" s="5"/>
      <c r="N173" s="3"/>
      <c r="O173" s="5"/>
      <c r="P173" s="3"/>
      <c r="Q173" s="5"/>
      <c r="R173" s="3"/>
      <c r="S173" s="83"/>
      <c r="T173" s="3"/>
      <c r="U173" s="3"/>
      <c r="V173" s="3"/>
      <c r="W173" s="81"/>
      <c r="X173" s="81"/>
      <c r="Y173" s="81"/>
      <c r="Z173" s="81"/>
    </row>
    <row r="174" spans="1:26" ht="24" customHeight="1" x14ac:dyDescent="0.5">
      <c r="A174" s="3"/>
      <c r="B174" s="3"/>
      <c r="C174" s="3"/>
      <c r="D174" s="3"/>
      <c r="E174" s="3"/>
      <c r="F174" s="3"/>
      <c r="G174" s="83"/>
      <c r="H174" s="3"/>
      <c r="I174" s="3"/>
      <c r="J174" s="5"/>
      <c r="K174" s="3"/>
      <c r="L174" s="3"/>
      <c r="M174" s="5"/>
      <c r="N174" s="3"/>
      <c r="O174" s="5"/>
      <c r="P174" s="3"/>
      <c r="Q174" s="5"/>
      <c r="R174" s="3"/>
      <c r="S174" s="83"/>
      <c r="T174" s="3"/>
      <c r="U174" s="3"/>
      <c r="V174" s="3"/>
      <c r="W174" s="81"/>
      <c r="X174" s="81"/>
      <c r="Y174" s="81"/>
      <c r="Z174" s="81"/>
    </row>
    <row r="175" spans="1:26" ht="24" customHeight="1" x14ac:dyDescent="0.5">
      <c r="A175" s="3"/>
      <c r="B175" s="3"/>
      <c r="C175" s="3"/>
      <c r="D175" s="3"/>
      <c r="E175" s="3"/>
      <c r="F175" s="3"/>
      <c r="G175" s="83"/>
      <c r="H175" s="3"/>
      <c r="I175" s="3"/>
      <c r="J175" s="5"/>
      <c r="K175" s="3"/>
      <c r="L175" s="3"/>
      <c r="M175" s="5"/>
      <c r="N175" s="3"/>
      <c r="O175" s="5"/>
      <c r="P175" s="3"/>
      <c r="Q175" s="5"/>
      <c r="R175" s="3"/>
      <c r="S175" s="83"/>
      <c r="T175" s="3"/>
      <c r="U175" s="3"/>
      <c r="V175" s="3"/>
      <c r="W175" s="81"/>
      <c r="X175" s="81"/>
      <c r="Y175" s="81"/>
      <c r="Z175" s="81"/>
    </row>
    <row r="176" spans="1:26" ht="24" customHeight="1" x14ac:dyDescent="0.5">
      <c r="A176" s="3"/>
      <c r="B176" s="3"/>
      <c r="C176" s="3"/>
      <c r="D176" s="3"/>
      <c r="E176" s="3"/>
      <c r="F176" s="3"/>
      <c r="G176" s="83"/>
      <c r="H176" s="3"/>
      <c r="I176" s="3"/>
      <c r="J176" s="5"/>
      <c r="K176" s="3"/>
      <c r="L176" s="3"/>
      <c r="M176" s="5"/>
      <c r="N176" s="3"/>
      <c r="O176" s="5"/>
      <c r="P176" s="3"/>
      <c r="Q176" s="5"/>
      <c r="R176" s="3"/>
      <c r="S176" s="83"/>
      <c r="T176" s="3"/>
      <c r="U176" s="3"/>
      <c r="V176" s="3"/>
      <c r="W176" s="81"/>
      <c r="X176" s="81"/>
      <c r="Y176" s="81"/>
      <c r="Z176" s="81"/>
    </row>
    <row r="177" spans="1:26" ht="24" customHeight="1" x14ac:dyDescent="0.5">
      <c r="A177" s="3"/>
      <c r="B177" s="3"/>
      <c r="C177" s="3"/>
      <c r="D177" s="3"/>
      <c r="E177" s="3"/>
      <c r="F177" s="3"/>
      <c r="G177" s="83"/>
      <c r="H177" s="3"/>
      <c r="I177" s="3"/>
      <c r="J177" s="5"/>
      <c r="K177" s="3"/>
      <c r="L177" s="3"/>
      <c r="M177" s="5"/>
      <c r="N177" s="3"/>
      <c r="O177" s="5"/>
      <c r="P177" s="3"/>
      <c r="Q177" s="5"/>
      <c r="R177" s="3"/>
      <c r="S177" s="83"/>
      <c r="T177" s="3"/>
      <c r="U177" s="3"/>
      <c r="V177" s="3"/>
      <c r="W177" s="81"/>
      <c r="X177" s="81"/>
      <c r="Y177" s="81"/>
      <c r="Z177" s="81"/>
    </row>
    <row r="178" spans="1:26" ht="24" customHeight="1" x14ac:dyDescent="0.5">
      <c r="A178" s="3"/>
      <c r="B178" s="3"/>
      <c r="C178" s="3"/>
      <c r="D178" s="3"/>
      <c r="E178" s="3"/>
      <c r="F178" s="3"/>
      <c r="G178" s="83"/>
      <c r="H178" s="3"/>
      <c r="I178" s="3"/>
      <c r="J178" s="5"/>
      <c r="K178" s="3"/>
      <c r="L178" s="3"/>
      <c r="M178" s="5"/>
      <c r="N178" s="3"/>
      <c r="O178" s="5"/>
      <c r="P178" s="3"/>
      <c r="Q178" s="5"/>
      <c r="R178" s="3"/>
      <c r="S178" s="83"/>
      <c r="T178" s="3"/>
      <c r="U178" s="3"/>
      <c r="V178" s="3"/>
      <c r="W178" s="81"/>
      <c r="X178" s="81"/>
      <c r="Y178" s="81"/>
      <c r="Z178" s="81"/>
    </row>
    <row r="179" spans="1:26" ht="24" customHeight="1" x14ac:dyDescent="0.5">
      <c r="A179" s="3"/>
      <c r="B179" s="3"/>
      <c r="C179" s="3"/>
      <c r="D179" s="3"/>
      <c r="E179" s="3"/>
      <c r="F179" s="3"/>
      <c r="G179" s="83"/>
      <c r="H179" s="3"/>
      <c r="I179" s="3"/>
      <c r="J179" s="5"/>
      <c r="K179" s="3"/>
      <c r="L179" s="3"/>
      <c r="M179" s="5"/>
      <c r="N179" s="3"/>
      <c r="O179" s="5"/>
      <c r="P179" s="3"/>
      <c r="Q179" s="5"/>
      <c r="R179" s="3"/>
      <c r="S179" s="83"/>
      <c r="T179" s="3"/>
      <c r="U179" s="3"/>
      <c r="V179" s="3"/>
      <c r="W179" s="81"/>
      <c r="X179" s="81"/>
      <c r="Y179" s="81"/>
      <c r="Z179" s="81"/>
    </row>
    <row r="180" spans="1:26" ht="24" customHeight="1" x14ac:dyDescent="0.5">
      <c r="A180" s="3"/>
      <c r="B180" s="3"/>
      <c r="C180" s="3"/>
      <c r="D180" s="3"/>
      <c r="E180" s="3"/>
      <c r="F180" s="3"/>
      <c r="G180" s="83"/>
      <c r="H180" s="3"/>
      <c r="I180" s="3"/>
      <c r="J180" s="5"/>
      <c r="K180" s="3"/>
      <c r="L180" s="3"/>
      <c r="M180" s="5"/>
      <c r="N180" s="3"/>
      <c r="O180" s="5"/>
      <c r="P180" s="3"/>
      <c r="Q180" s="5"/>
      <c r="R180" s="3"/>
      <c r="S180" s="83"/>
      <c r="T180" s="3"/>
      <c r="U180" s="3"/>
      <c r="V180" s="3"/>
      <c r="W180" s="81"/>
      <c r="X180" s="81"/>
      <c r="Y180" s="81"/>
      <c r="Z180" s="81"/>
    </row>
    <row r="181" spans="1:26" ht="24" customHeight="1" x14ac:dyDescent="0.5">
      <c r="A181" s="3"/>
      <c r="B181" s="3"/>
      <c r="C181" s="3"/>
      <c r="D181" s="3"/>
      <c r="E181" s="3"/>
      <c r="F181" s="3"/>
      <c r="G181" s="83"/>
      <c r="H181" s="3"/>
      <c r="I181" s="3"/>
      <c r="J181" s="5"/>
      <c r="K181" s="3"/>
      <c r="L181" s="3"/>
      <c r="M181" s="5"/>
      <c r="N181" s="3"/>
      <c r="O181" s="5"/>
      <c r="P181" s="3"/>
      <c r="Q181" s="5"/>
      <c r="R181" s="3"/>
      <c r="S181" s="83"/>
      <c r="T181" s="3"/>
      <c r="U181" s="3"/>
      <c r="V181" s="3"/>
      <c r="W181" s="81"/>
      <c r="X181" s="81"/>
      <c r="Y181" s="81"/>
      <c r="Z181" s="81"/>
    </row>
    <row r="182" spans="1:26" ht="24" customHeight="1" x14ac:dyDescent="0.5">
      <c r="A182" s="3"/>
      <c r="B182" s="3"/>
      <c r="C182" s="3"/>
      <c r="D182" s="3"/>
      <c r="E182" s="3"/>
      <c r="F182" s="3"/>
      <c r="G182" s="83"/>
      <c r="H182" s="3"/>
      <c r="I182" s="3"/>
      <c r="J182" s="5"/>
      <c r="K182" s="3"/>
      <c r="L182" s="3"/>
      <c r="M182" s="5"/>
      <c r="N182" s="3"/>
      <c r="O182" s="5"/>
      <c r="P182" s="3"/>
      <c r="Q182" s="5"/>
      <c r="R182" s="3"/>
      <c r="S182" s="83"/>
      <c r="T182" s="3"/>
      <c r="U182" s="3"/>
      <c r="V182" s="3"/>
      <c r="W182" s="81"/>
      <c r="X182" s="81"/>
      <c r="Y182" s="81"/>
      <c r="Z182" s="81"/>
    </row>
    <row r="183" spans="1:26" ht="24" customHeight="1" x14ac:dyDescent="0.5">
      <c r="A183" s="3"/>
      <c r="B183" s="3"/>
      <c r="C183" s="3"/>
      <c r="D183" s="3"/>
      <c r="E183" s="3"/>
      <c r="F183" s="3"/>
      <c r="G183" s="83"/>
      <c r="H183" s="3"/>
      <c r="I183" s="3"/>
      <c r="J183" s="5"/>
      <c r="K183" s="3"/>
      <c r="L183" s="3"/>
      <c r="M183" s="5"/>
      <c r="N183" s="3"/>
      <c r="O183" s="5"/>
      <c r="P183" s="3"/>
      <c r="Q183" s="5"/>
      <c r="R183" s="3"/>
      <c r="S183" s="83"/>
      <c r="T183" s="3"/>
      <c r="U183" s="3"/>
      <c r="V183" s="3"/>
      <c r="W183" s="81"/>
      <c r="X183" s="81"/>
      <c r="Y183" s="81"/>
      <c r="Z183" s="81"/>
    </row>
    <row r="184" spans="1:26" ht="24" customHeight="1" x14ac:dyDescent="0.5">
      <c r="A184" s="3"/>
      <c r="B184" s="3"/>
      <c r="C184" s="3"/>
      <c r="D184" s="3"/>
      <c r="E184" s="3"/>
      <c r="F184" s="3"/>
      <c r="G184" s="83"/>
      <c r="H184" s="3"/>
      <c r="I184" s="3"/>
      <c r="J184" s="5"/>
      <c r="K184" s="3"/>
      <c r="L184" s="3"/>
      <c r="M184" s="5"/>
      <c r="N184" s="3"/>
      <c r="O184" s="5"/>
      <c r="P184" s="3"/>
      <c r="Q184" s="5"/>
      <c r="R184" s="3"/>
      <c r="S184" s="83"/>
      <c r="T184" s="3"/>
      <c r="U184" s="3"/>
      <c r="V184" s="3"/>
      <c r="W184" s="81"/>
      <c r="X184" s="81"/>
      <c r="Y184" s="81"/>
      <c r="Z184" s="81"/>
    </row>
    <row r="185" spans="1:26" ht="24" customHeight="1" x14ac:dyDescent="0.5">
      <c r="A185" s="3"/>
      <c r="B185" s="3"/>
      <c r="C185" s="3"/>
      <c r="D185" s="3"/>
      <c r="E185" s="3"/>
      <c r="F185" s="3"/>
      <c r="G185" s="83"/>
      <c r="H185" s="3"/>
      <c r="I185" s="3"/>
      <c r="J185" s="5"/>
      <c r="K185" s="3"/>
      <c r="L185" s="3"/>
      <c r="M185" s="5"/>
      <c r="N185" s="3"/>
      <c r="O185" s="5"/>
      <c r="P185" s="3"/>
      <c r="Q185" s="5"/>
      <c r="R185" s="3"/>
      <c r="S185" s="83"/>
      <c r="T185" s="3"/>
      <c r="U185" s="3"/>
      <c r="V185" s="3"/>
      <c r="W185" s="81"/>
      <c r="X185" s="81"/>
      <c r="Y185" s="81"/>
      <c r="Z185" s="81"/>
    </row>
    <row r="186" spans="1:26" ht="24" customHeight="1" x14ac:dyDescent="0.5">
      <c r="A186" s="3"/>
      <c r="B186" s="3"/>
      <c r="C186" s="3"/>
      <c r="D186" s="3"/>
      <c r="E186" s="3"/>
      <c r="F186" s="3"/>
      <c r="G186" s="83"/>
      <c r="H186" s="3"/>
      <c r="I186" s="3"/>
      <c r="J186" s="5"/>
      <c r="K186" s="3"/>
      <c r="L186" s="3"/>
      <c r="M186" s="5"/>
      <c r="N186" s="3"/>
      <c r="O186" s="5"/>
      <c r="P186" s="3"/>
      <c r="Q186" s="5"/>
      <c r="R186" s="3"/>
      <c r="S186" s="83"/>
      <c r="T186" s="3"/>
      <c r="U186" s="3"/>
      <c r="V186" s="3"/>
      <c r="W186" s="81"/>
      <c r="X186" s="81"/>
      <c r="Y186" s="81"/>
      <c r="Z186" s="81"/>
    </row>
    <row r="187" spans="1:26" ht="24" customHeight="1" x14ac:dyDescent="0.5">
      <c r="A187" s="3"/>
      <c r="B187" s="3"/>
      <c r="C187" s="3"/>
      <c r="D187" s="3"/>
      <c r="E187" s="3"/>
      <c r="F187" s="3"/>
      <c r="G187" s="83"/>
      <c r="H187" s="3"/>
      <c r="I187" s="3"/>
      <c r="J187" s="5"/>
      <c r="K187" s="3"/>
      <c r="L187" s="3"/>
      <c r="M187" s="5"/>
      <c r="N187" s="3"/>
      <c r="O187" s="5"/>
      <c r="P187" s="3"/>
      <c r="Q187" s="5"/>
      <c r="R187" s="3"/>
      <c r="S187" s="83"/>
      <c r="T187" s="3"/>
      <c r="U187" s="3"/>
      <c r="V187" s="3"/>
      <c r="W187" s="81"/>
      <c r="X187" s="81"/>
      <c r="Y187" s="81"/>
      <c r="Z187" s="81"/>
    </row>
    <row r="188" spans="1:26" ht="24" customHeight="1" x14ac:dyDescent="0.5">
      <c r="A188" s="3"/>
      <c r="B188" s="3"/>
      <c r="C188" s="3"/>
      <c r="D188" s="3"/>
      <c r="E188" s="3"/>
      <c r="F188" s="3"/>
      <c r="G188" s="83"/>
      <c r="H188" s="3"/>
      <c r="I188" s="3"/>
      <c r="J188" s="5"/>
      <c r="K188" s="3"/>
      <c r="L188" s="3"/>
      <c r="M188" s="5"/>
      <c r="N188" s="3"/>
      <c r="O188" s="5"/>
      <c r="P188" s="3"/>
      <c r="Q188" s="5"/>
      <c r="R188" s="3"/>
      <c r="S188" s="83"/>
      <c r="T188" s="3"/>
      <c r="U188" s="3"/>
      <c r="V188" s="3"/>
      <c r="W188" s="81"/>
      <c r="X188" s="81"/>
      <c r="Y188" s="81"/>
      <c r="Z188" s="81"/>
    </row>
    <row r="189" spans="1:26" ht="24" customHeight="1" x14ac:dyDescent="0.5">
      <c r="A189" s="3"/>
      <c r="B189" s="3"/>
      <c r="C189" s="3"/>
      <c r="D189" s="3"/>
      <c r="E189" s="3"/>
      <c r="F189" s="3"/>
      <c r="G189" s="83"/>
      <c r="H189" s="3"/>
      <c r="I189" s="3"/>
      <c r="J189" s="5"/>
      <c r="K189" s="3"/>
      <c r="L189" s="3"/>
      <c r="M189" s="5"/>
      <c r="N189" s="3"/>
      <c r="O189" s="5"/>
      <c r="P189" s="3"/>
      <c r="Q189" s="5"/>
      <c r="R189" s="3"/>
      <c r="S189" s="83"/>
      <c r="T189" s="3"/>
      <c r="U189" s="3"/>
      <c r="V189" s="3"/>
      <c r="W189" s="81"/>
      <c r="X189" s="81"/>
      <c r="Y189" s="81"/>
      <c r="Z189" s="81"/>
    </row>
    <row r="190" spans="1:26" ht="24" customHeight="1" x14ac:dyDescent="0.5">
      <c r="A190" s="3"/>
      <c r="B190" s="3"/>
      <c r="C190" s="3"/>
      <c r="D190" s="3"/>
      <c r="E190" s="3"/>
      <c r="F190" s="3"/>
      <c r="G190" s="83"/>
      <c r="H190" s="3"/>
      <c r="I190" s="3"/>
      <c r="J190" s="5"/>
      <c r="K190" s="3"/>
      <c r="L190" s="3"/>
      <c r="M190" s="5"/>
      <c r="N190" s="3"/>
      <c r="O190" s="5"/>
      <c r="P190" s="3"/>
      <c r="Q190" s="5"/>
      <c r="R190" s="3"/>
      <c r="S190" s="83"/>
      <c r="T190" s="3"/>
      <c r="U190" s="3"/>
      <c r="V190" s="3"/>
      <c r="W190" s="81"/>
      <c r="X190" s="81"/>
      <c r="Y190" s="81"/>
      <c r="Z190" s="81"/>
    </row>
    <row r="191" spans="1:26" ht="24" customHeight="1" x14ac:dyDescent="0.5">
      <c r="A191" s="3"/>
      <c r="B191" s="3"/>
      <c r="C191" s="3"/>
      <c r="D191" s="3"/>
      <c r="E191" s="3"/>
      <c r="F191" s="3"/>
      <c r="G191" s="83"/>
      <c r="H191" s="3"/>
      <c r="I191" s="3"/>
      <c r="J191" s="5"/>
      <c r="K191" s="3"/>
      <c r="L191" s="3"/>
      <c r="M191" s="5"/>
      <c r="N191" s="3"/>
      <c r="O191" s="5"/>
      <c r="P191" s="3"/>
      <c r="Q191" s="5"/>
      <c r="R191" s="3"/>
      <c r="S191" s="83"/>
      <c r="T191" s="3"/>
      <c r="U191" s="3"/>
      <c r="V191" s="3"/>
      <c r="W191" s="81"/>
      <c r="X191" s="81"/>
      <c r="Y191" s="81"/>
      <c r="Z191" s="81"/>
    </row>
    <row r="192" spans="1:26" ht="24" customHeight="1" x14ac:dyDescent="0.5">
      <c r="A192" s="3"/>
      <c r="B192" s="3"/>
      <c r="C192" s="3"/>
      <c r="D192" s="3"/>
      <c r="E192" s="3"/>
      <c r="F192" s="3"/>
      <c r="G192" s="83"/>
      <c r="H192" s="3"/>
      <c r="I192" s="3"/>
      <c r="J192" s="5"/>
      <c r="K192" s="3"/>
      <c r="L192" s="3"/>
      <c r="M192" s="5"/>
      <c r="N192" s="3"/>
      <c r="O192" s="5"/>
      <c r="P192" s="3"/>
      <c r="Q192" s="5"/>
      <c r="R192" s="3"/>
      <c r="S192" s="83"/>
      <c r="T192" s="3"/>
      <c r="U192" s="3"/>
      <c r="V192" s="3"/>
      <c r="W192" s="81"/>
      <c r="X192" s="81"/>
      <c r="Y192" s="81"/>
      <c r="Z192" s="81"/>
    </row>
    <row r="193" spans="1:26" ht="24" customHeight="1" x14ac:dyDescent="0.5">
      <c r="A193" s="3"/>
      <c r="B193" s="3"/>
      <c r="C193" s="3"/>
      <c r="D193" s="3"/>
      <c r="E193" s="3"/>
      <c r="F193" s="3"/>
      <c r="G193" s="83"/>
      <c r="H193" s="3"/>
      <c r="I193" s="3"/>
      <c r="J193" s="5"/>
      <c r="K193" s="3"/>
      <c r="L193" s="3"/>
      <c r="M193" s="5"/>
      <c r="N193" s="3"/>
      <c r="O193" s="5"/>
      <c r="P193" s="3"/>
      <c r="Q193" s="5"/>
      <c r="R193" s="3"/>
      <c r="S193" s="83"/>
      <c r="T193" s="3"/>
      <c r="U193" s="3"/>
      <c r="V193" s="3"/>
      <c r="W193" s="81"/>
      <c r="X193" s="81"/>
      <c r="Y193" s="81"/>
      <c r="Z193" s="81"/>
    </row>
    <row r="194" spans="1:26" ht="24" customHeight="1" x14ac:dyDescent="0.5">
      <c r="A194" s="3"/>
      <c r="B194" s="3"/>
      <c r="C194" s="3"/>
      <c r="D194" s="3"/>
      <c r="E194" s="3"/>
      <c r="F194" s="3"/>
      <c r="G194" s="83"/>
      <c r="H194" s="3"/>
      <c r="I194" s="3"/>
      <c r="J194" s="5"/>
      <c r="K194" s="3"/>
      <c r="L194" s="3"/>
      <c r="M194" s="5"/>
      <c r="N194" s="3"/>
      <c r="O194" s="5"/>
      <c r="P194" s="3"/>
      <c r="Q194" s="5"/>
      <c r="R194" s="3"/>
      <c r="S194" s="83"/>
      <c r="T194" s="3"/>
      <c r="U194" s="3"/>
      <c r="V194" s="3"/>
      <c r="W194" s="81"/>
      <c r="X194" s="81"/>
      <c r="Y194" s="81"/>
      <c r="Z194" s="81"/>
    </row>
    <row r="195" spans="1:26" ht="24" customHeight="1" x14ac:dyDescent="0.5">
      <c r="A195" s="3"/>
      <c r="B195" s="3"/>
      <c r="C195" s="3"/>
      <c r="D195" s="3"/>
      <c r="E195" s="3"/>
      <c r="F195" s="3"/>
      <c r="G195" s="83"/>
      <c r="H195" s="3"/>
      <c r="I195" s="3"/>
      <c r="J195" s="5"/>
      <c r="K195" s="3"/>
      <c r="L195" s="3"/>
      <c r="M195" s="5"/>
      <c r="N195" s="3"/>
      <c r="O195" s="5"/>
      <c r="P195" s="3"/>
      <c r="Q195" s="5"/>
      <c r="R195" s="3"/>
      <c r="S195" s="83"/>
      <c r="T195" s="3"/>
      <c r="U195" s="3"/>
      <c r="V195" s="3"/>
      <c r="W195" s="81"/>
      <c r="X195" s="81"/>
      <c r="Y195" s="81"/>
      <c r="Z195" s="81"/>
    </row>
    <row r="196" spans="1:26" ht="24" customHeight="1" x14ac:dyDescent="0.5">
      <c r="A196" s="3"/>
      <c r="B196" s="3"/>
      <c r="C196" s="3"/>
      <c r="D196" s="3"/>
      <c r="E196" s="3"/>
      <c r="F196" s="3"/>
      <c r="G196" s="83"/>
      <c r="H196" s="3"/>
      <c r="I196" s="3"/>
      <c r="J196" s="5"/>
      <c r="K196" s="3"/>
      <c r="L196" s="3"/>
      <c r="M196" s="5"/>
      <c r="N196" s="3"/>
      <c r="O196" s="5"/>
      <c r="P196" s="3"/>
      <c r="Q196" s="5"/>
      <c r="R196" s="3"/>
      <c r="S196" s="83"/>
      <c r="T196" s="3"/>
      <c r="U196" s="3"/>
      <c r="V196" s="3"/>
      <c r="W196" s="81"/>
      <c r="X196" s="81"/>
      <c r="Y196" s="81"/>
      <c r="Z196" s="81"/>
    </row>
    <row r="197" spans="1:26" ht="24" customHeight="1" x14ac:dyDescent="0.5">
      <c r="A197" s="3"/>
      <c r="B197" s="3"/>
      <c r="C197" s="3"/>
      <c r="D197" s="3"/>
      <c r="E197" s="3"/>
      <c r="F197" s="3"/>
      <c r="G197" s="83"/>
      <c r="H197" s="3"/>
      <c r="I197" s="3"/>
      <c r="J197" s="5"/>
      <c r="K197" s="3"/>
      <c r="L197" s="3"/>
      <c r="M197" s="5"/>
      <c r="N197" s="3"/>
      <c r="O197" s="5"/>
      <c r="P197" s="3"/>
      <c r="Q197" s="5"/>
      <c r="R197" s="3"/>
      <c r="S197" s="83"/>
      <c r="T197" s="3"/>
      <c r="U197" s="3"/>
      <c r="V197" s="3"/>
      <c r="W197" s="81"/>
      <c r="X197" s="81"/>
      <c r="Y197" s="81"/>
      <c r="Z197" s="81"/>
    </row>
    <row r="198" spans="1:26" ht="24" customHeight="1" x14ac:dyDescent="0.5">
      <c r="A198" s="3"/>
      <c r="B198" s="3"/>
      <c r="C198" s="3"/>
      <c r="D198" s="3"/>
      <c r="E198" s="3"/>
      <c r="F198" s="3"/>
      <c r="G198" s="83"/>
      <c r="H198" s="3"/>
      <c r="I198" s="3"/>
      <c r="J198" s="5"/>
      <c r="K198" s="3"/>
      <c r="L198" s="3"/>
      <c r="M198" s="5"/>
      <c r="N198" s="3"/>
      <c r="O198" s="5"/>
      <c r="P198" s="3"/>
      <c r="Q198" s="5"/>
      <c r="R198" s="3"/>
      <c r="S198" s="83"/>
      <c r="T198" s="3"/>
      <c r="U198" s="3"/>
      <c r="V198" s="3"/>
      <c r="W198" s="81"/>
      <c r="X198" s="81"/>
      <c r="Y198" s="81"/>
      <c r="Z198" s="81"/>
    </row>
    <row r="199" spans="1:26" ht="24" customHeight="1" x14ac:dyDescent="0.5">
      <c r="A199" s="3"/>
      <c r="B199" s="3"/>
      <c r="C199" s="3"/>
      <c r="D199" s="3"/>
      <c r="E199" s="3"/>
      <c r="F199" s="3"/>
      <c r="G199" s="83"/>
      <c r="H199" s="3"/>
      <c r="I199" s="3"/>
      <c r="J199" s="5"/>
      <c r="K199" s="3"/>
      <c r="L199" s="3"/>
      <c r="M199" s="5"/>
      <c r="N199" s="3"/>
      <c r="O199" s="5"/>
      <c r="P199" s="3"/>
      <c r="Q199" s="5"/>
      <c r="R199" s="3"/>
      <c r="S199" s="83"/>
      <c r="T199" s="3"/>
      <c r="U199" s="3"/>
      <c r="V199" s="3"/>
      <c r="W199" s="81"/>
      <c r="X199" s="81"/>
      <c r="Y199" s="81"/>
      <c r="Z199" s="81"/>
    </row>
    <row r="200" spans="1:26" ht="24" customHeight="1" x14ac:dyDescent="0.5">
      <c r="A200" s="3"/>
      <c r="B200" s="3"/>
      <c r="C200" s="3"/>
      <c r="D200" s="3"/>
      <c r="E200" s="3"/>
      <c r="F200" s="3"/>
      <c r="G200" s="83"/>
      <c r="H200" s="3"/>
      <c r="I200" s="3"/>
      <c r="J200" s="5"/>
      <c r="K200" s="3"/>
      <c r="L200" s="3"/>
      <c r="M200" s="5"/>
      <c r="N200" s="3"/>
      <c r="O200" s="5"/>
      <c r="P200" s="3"/>
      <c r="Q200" s="5"/>
      <c r="R200" s="3"/>
      <c r="S200" s="83"/>
      <c r="T200" s="3"/>
      <c r="U200" s="3"/>
      <c r="V200" s="3"/>
      <c r="W200" s="81"/>
      <c r="X200" s="81"/>
      <c r="Y200" s="81"/>
      <c r="Z200" s="81"/>
    </row>
    <row r="201" spans="1:26" ht="24" customHeight="1" x14ac:dyDescent="0.5">
      <c r="A201" s="3"/>
      <c r="B201" s="3"/>
      <c r="C201" s="3"/>
      <c r="D201" s="3"/>
      <c r="E201" s="3"/>
      <c r="F201" s="3"/>
      <c r="G201" s="83"/>
      <c r="H201" s="3"/>
      <c r="I201" s="3"/>
      <c r="J201" s="5"/>
      <c r="K201" s="3"/>
      <c r="L201" s="3"/>
      <c r="M201" s="5"/>
      <c r="N201" s="3"/>
      <c r="O201" s="5"/>
      <c r="P201" s="3"/>
      <c r="Q201" s="5"/>
      <c r="R201" s="3"/>
      <c r="S201" s="83"/>
      <c r="T201" s="3"/>
      <c r="U201" s="3"/>
      <c r="V201" s="3"/>
      <c r="W201" s="81"/>
      <c r="X201" s="81"/>
      <c r="Y201" s="81"/>
      <c r="Z201" s="81"/>
    </row>
    <row r="202" spans="1:26" ht="24" customHeight="1" x14ac:dyDescent="0.5">
      <c r="A202" s="3"/>
      <c r="B202" s="3"/>
      <c r="C202" s="3"/>
      <c r="D202" s="3"/>
      <c r="E202" s="3"/>
      <c r="F202" s="3"/>
      <c r="G202" s="83"/>
      <c r="H202" s="3"/>
      <c r="I202" s="3"/>
      <c r="J202" s="5"/>
      <c r="K202" s="3"/>
      <c r="L202" s="3"/>
      <c r="M202" s="5"/>
      <c r="N202" s="3"/>
      <c r="O202" s="5"/>
      <c r="P202" s="3"/>
      <c r="Q202" s="5"/>
      <c r="R202" s="3"/>
      <c r="S202" s="83"/>
      <c r="T202" s="3"/>
      <c r="U202" s="3"/>
      <c r="V202" s="3"/>
      <c r="W202" s="81"/>
      <c r="X202" s="81"/>
      <c r="Y202" s="81"/>
      <c r="Z202" s="81"/>
    </row>
    <row r="203" spans="1:26" ht="24" customHeight="1" x14ac:dyDescent="0.5">
      <c r="A203" s="3"/>
      <c r="B203" s="3"/>
      <c r="C203" s="3"/>
      <c r="D203" s="3"/>
      <c r="E203" s="3"/>
      <c r="F203" s="3"/>
      <c r="G203" s="83"/>
      <c r="H203" s="3"/>
      <c r="I203" s="3"/>
      <c r="J203" s="5"/>
      <c r="K203" s="3"/>
      <c r="L203" s="3"/>
      <c r="M203" s="5"/>
      <c r="N203" s="3"/>
      <c r="O203" s="5"/>
      <c r="P203" s="3"/>
      <c r="Q203" s="5"/>
      <c r="R203" s="3"/>
      <c r="S203" s="83"/>
      <c r="T203" s="3"/>
      <c r="U203" s="3"/>
      <c r="V203" s="3"/>
      <c r="W203" s="81"/>
      <c r="X203" s="81"/>
      <c r="Y203" s="81"/>
      <c r="Z203" s="81"/>
    </row>
    <row r="204" spans="1:26" ht="24" customHeight="1" x14ac:dyDescent="0.5">
      <c r="A204" s="3"/>
      <c r="B204" s="3"/>
      <c r="C204" s="3"/>
      <c r="D204" s="3"/>
      <c r="E204" s="3"/>
      <c r="F204" s="3"/>
      <c r="G204" s="83"/>
      <c r="H204" s="3"/>
      <c r="I204" s="3"/>
      <c r="J204" s="5"/>
      <c r="K204" s="3"/>
      <c r="L204" s="3"/>
      <c r="M204" s="5"/>
      <c r="N204" s="3"/>
      <c r="O204" s="5"/>
      <c r="P204" s="3"/>
      <c r="Q204" s="5"/>
      <c r="R204" s="3"/>
      <c r="S204" s="83"/>
      <c r="T204" s="3"/>
      <c r="U204" s="3"/>
      <c r="V204" s="3"/>
      <c r="W204" s="81"/>
      <c r="X204" s="81"/>
      <c r="Y204" s="81"/>
      <c r="Z204" s="81"/>
    </row>
    <row r="205" spans="1:26" ht="24" customHeight="1" x14ac:dyDescent="0.5">
      <c r="A205" s="3"/>
      <c r="B205" s="3"/>
      <c r="C205" s="3"/>
      <c r="D205" s="3"/>
      <c r="E205" s="3"/>
      <c r="F205" s="3"/>
      <c r="G205" s="83"/>
      <c r="H205" s="3"/>
      <c r="I205" s="3"/>
      <c r="J205" s="5"/>
      <c r="K205" s="3"/>
      <c r="L205" s="3"/>
      <c r="M205" s="5"/>
      <c r="N205" s="3"/>
      <c r="O205" s="5"/>
      <c r="P205" s="3"/>
      <c r="Q205" s="5"/>
      <c r="R205" s="3"/>
      <c r="S205" s="83"/>
      <c r="T205" s="3"/>
      <c r="U205" s="3"/>
      <c r="V205" s="3"/>
      <c r="W205" s="81"/>
      <c r="X205" s="81"/>
      <c r="Y205" s="81"/>
      <c r="Z205" s="81"/>
    </row>
    <row r="206" spans="1:26" ht="24" customHeight="1" x14ac:dyDescent="0.5">
      <c r="A206" s="3"/>
      <c r="B206" s="3"/>
      <c r="C206" s="3"/>
      <c r="D206" s="3"/>
      <c r="E206" s="3"/>
      <c r="F206" s="3"/>
      <c r="G206" s="83"/>
      <c r="H206" s="3"/>
      <c r="I206" s="3"/>
      <c r="J206" s="5"/>
      <c r="K206" s="3"/>
      <c r="L206" s="3"/>
      <c r="M206" s="5"/>
      <c r="N206" s="3"/>
      <c r="O206" s="5"/>
      <c r="P206" s="3"/>
      <c r="Q206" s="5"/>
      <c r="R206" s="3"/>
      <c r="S206" s="83"/>
      <c r="T206" s="3"/>
      <c r="U206" s="3"/>
      <c r="V206" s="3"/>
      <c r="W206" s="81"/>
      <c r="X206" s="81"/>
      <c r="Y206" s="81"/>
      <c r="Z206" s="81"/>
    </row>
    <row r="207" spans="1:26" ht="24" customHeight="1" x14ac:dyDescent="0.5">
      <c r="A207" s="3"/>
      <c r="B207" s="3"/>
      <c r="C207" s="3"/>
      <c r="D207" s="3"/>
      <c r="E207" s="3"/>
      <c r="F207" s="3"/>
      <c r="G207" s="83"/>
      <c r="H207" s="3"/>
      <c r="I207" s="3"/>
      <c r="J207" s="5"/>
      <c r="K207" s="3"/>
      <c r="L207" s="3"/>
      <c r="M207" s="5"/>
      <c r="N207" s="3"/>
      <c r="O207" s="5"/>
      <c r="P207" s="3"/>
      <c r="Q207" s="5"/>
      <c r="R207" s="3"/>
      <c r="S207" s="83"/>
      <c r="T207" s="3"/>
      <c r="U207" s="3"/>
      <c r="V207" s="3"/>
      <c r="W207" s="81"/>
      <c r="X207" s="81"/>
      <c r="Y207" s="81"/>
      <c r="Z207" s="81"/>
    </row>
    <row r="208" spans="1:26" ht="24" customHeight="1" x14ac:dyDescent="0.5">
      <c r="A208" s="3"/>
      <c r="B208" s="3"/>
      <c r="C208" s="3"/>
      <c r="D208" s="3"/>
      <c r="E208" s="3"/>
      <c r="F208" s="3"/>
      <c r="G208" s="83"/>
      <c r="H208" s="3"/>
      <c r="I208" s="3"/>
      <c r="J208" s="5"/>
      <c r="K208" s="3"/>
      <c r="L208" s="3"/>
      <c r="M208" s="5"/>
      <c r="N208" s="3"/>
      <c r="O208" s="5"/>
      <c r="P208" s="3"/>
      <c r="Q208" s="5"/>
      <c r="R208" s="3"/>
      <c r="S208" s="83"/>
      <c r="T208" s="3"/>
      <c r="U208" s="3"/>
      <c r="V208" s="3"/>
      <c r="W208" s="81"/>
      <c r="X208" s="81"/>
      <c r="Y208" s="81"/>
      <c r="Z208" s="81"/>
    </row>
    <row r="209" spans="1:26" ht="24" customHeight="1" x14ac:dyDescent="0.5">
      <c r="A209" s="3"/>
      <c r="B209" s="3"/>
      <c r="C209" s="3"/>
      <c r="D209" s="3"/>
      <c r="E209" s="3"/>
      <c r="F209" s="3"/>
      <c r="G209" s="83"/>
      <c r="H209" s="3"/>
      <c r="I209" s="3"/>
      <c r="J209" s="5"/>
      <c r="K209" s="3"/>
      <c r="L209" s="3"/>
      <c r="M209" s="5"/>
      <c r="N209" s="3"/>
      <c r="O209" s="5"/>
      <c r="P209" s="3"/>
      <c r="Q209" s="5"/>
      <c r="R209" s="3"/>
      <c r="S209" s="83"/>
      <c r="T209" s="3"/>
      <c r="U209" s="3"/>
      <c r="V209" s="3"/>
      <c r="W209" s="81"/>
      <c r="X209" s="81"/>
      <c r="Y209" s="81"/>
      <c r="Z209" s="81"/>
    </row>
    <row r="210" spans="1:26" ht="24" customHeight="1" x14ac:dyDescent="0.5">
      <c r="A210" s="3"/>
      <c r="B210" s="3"/>
      <c r="C210" s="3"/>
      <c r="D210" s="3"/>
      <c r="E210" s="3"/>
      <c r="F210" s="3"/>
      <c r="G210" s="83"/>
      <c r="H210" s="3"/>
      <c r="I210" s="3"/>
      <c r="J210" s="5"/>
      <c r="K210" s="3"/>
      <c r="L210" s="3"/>
      <c r="M210" s="5"/>
      <c r="N210" s="3"/>
      <c r="O210" s="5"/>
      <c r="P210" s="3"/>
      <c r="Q210" s="5"/>
      <c r="R210" s="3"/>
      <c r="S210" s="83"/>
      <c r="T210" s="3"/>
      <c r="U210" s="3"/>
      <c r="V210" s="3"/>
      <c r="W210" s="81"/>
      <c r="X210" s="81"/>
      <c r="Y210" s="81"/>
      <c r="Z210" s="81"/>
    </row>
    <row r="211" spans="1:26" ht="24" customHeight="1" x14ac:dyDescent="0.5">
      <c r="A211" s="3"/>
      <c r="B211" s="3"/>
      <c r="C211" s="3"/>
      <c r="D211" s="3"/>
      <c r="E211" s="3"/>
      <c r="F211" s="3"/>
      <c r="G211" s="83"/>
      <c r="H211" s="3"/>
      <c r="I211" s="3"/>
      <c r="J211" s="5"/>
      <c r="K211" s="3"/>
      <c r="L211" s="3"/>
      <c r="M211" s="5"/>
      <c r="N211" s="3"/>
      <c r="O211" s="5"/>
      <c r="P211" s="3"/>
      <c r="Q211" s="5"/>
      <c r="R211" s="3"/>
      <c r="S211" s="83"/>
      <c r="T211" s="3"/>
      <c r="U211" s="3"/>
      <c r="V211" s="3"/>
      <c r="W211" s="81"/>
      <c r="X211" s="81"/>
      <c r="Y211" s="81"/>
      <c r="Z211" s="81"/>
    </row>
    <row r="212" spans="1:26" ht="24" customHeight="1" x14ac:dyDescent="0.5">
      <c r="A212" s="3"/>
      <c r="B212" s="3"/>
      <c r="C212" s="3"/>
      <c r="D212" s="3"/>
      <c r="E212" s="3"/>
      <c r="F212" s="3"/>
      <c r="G212" s="83"/>
      <c r="H212" s="3"/>
      <c r="I212" s="3"/>
      <c r="J212" s="5"/>
      <c r="K212" s="3"/>
      <c r="L212" s="3"/>
      <c r="M212" s="5"/>
      <c r="N212" s="3"/>
      <c r="O212" s="5"/>
      <c r="P212" s="3"/>
      <c r="Q212" s="5"/>
      <c r="R212" s="3"/>
      <c r="S212" s="83"/>
      <c r="T212" s="3"/>
      <c r="U212" s="3"/>
      <c r="V212" s="3"/>
      <c r="W212" s="81"/>
      <c r="X212" s="81"/>
      <c r="Y212" s="81"/>
      <c r="Z212" s="81"/>
    </row>
    <row r="213" spans="1:26" ht="24" customHeight="1" x14ac:dyDescent="0.5">
      <c r="A213" s="3"/>
      <c r="B213" s="3"/>
      <c r="C213" s="3"/>
      <c r="D213" s="3"/>
      <c r="E213" s="3"/>
      <c r="F213" s="3"/>
      <c r="G213" s="83"/>
      <c r="H213" s="3"/>
      <c r="I213" s="3"/>
      <c r="J213" s="5"/>
      <c r="K213" s="3"/>
      <c r="L213" s="3"/>
      <c r="M213" s="5"/>
      <c r="N213" s="3"/>
      <c r="O213" s="5"/>
      <c r="P213" s="3"/>
      <c r="Q213" s="5"/>
      <c r="R213" s="3"/>
      <c r="S213" s="83"/>
      <c r="T213" s="3"/>
      <c r="U213" s="3"/>
      <c r="V213" s="3"/>
      <c r="W213" s="81"/>
      <c r="X213" s="81"/>
      <c r="Y213" s="81"/>
      <c r="Z213" s="81"/>
    </row>
    <row r="214" spans="1:26" ht="24" customHeight="1" x14ac:dyDescent="0.5">
      <c r="A214" s="3"/>
      <c r="B214" s="3"/>
      <c r="C214" s="3"/>
      <c r="D214" s="3"/>
      <c r="E214" s="3"/>
      <c r="F214" s="3"/>
      <c r="G214" s="83"/>
      <c r="H214" s="3"/>
      <c r="I214" s="3"/>
      <c r="J214" s="5"/>
      <c r="K214" s="3"/>
      <c r="L214" s="3"/>
      <c r="M214" s="5"/>
      <c r="N214" s="3"/>
      <c r="O214" s="5"/>
      <c r="P214" s="3"/>
      <c r="Q214" s="5"/>
      <c r="R214" s="3"/>
      <c r="S214" s="83"/>
      <c r="T214" s="3"/>
      <c r="U214" s="3"/>
      <c r="V214" s="3"/>
      <c r="W214" s="81"/>
      <c r="X214" s="81"/>
      <c r="Y214" s="81"/>
      <c r="Z214" s="81"/>
    </row>
    <row r="215" spans="1:26" ht="24" customHeight="1" x14ac:dyDescent="0.5">
      <c r="A215" s="3"/>
      <c r="B215" s="3"/>
      <c r="C215" s="3"/>
      <c r="D215" s="3"/>
      <c r="E215" s="3"/>
      <c r="F215" s="3"/>
      <c r="G215" s="83"/>
      <c r="H215" s="3"/>
      <c r="I215" s="3"/>
      <c r="J215" s="5"/>
      <c r="K215" s="3"/>
      <c r="L215" s="3"/>
      <c r="M215" s="5"/>
      <c r="N215" s="3"/>
      <c r="O215" s="5"/>
      <c r="P215" s="3"/>
      <c r="Q215" s="5"/>
      <c r="R215" s="3"/>
      <c r="S215" s="83"/>
      <c r="T215" s="3"/>
      <c r="U215" s="3"/>
      <c r="V215" s="3"/>
      <c r="W215" s="81"/>
      <c r="X215" s="81"/>
      <c r="Y215" s="81"/>
      <c r="Z215" s="81"/>
    </row>
    <row r="216" spans="1:26" ht="24" customHeight="1" x14ac:dyDescent="0.5">
      <c r="A216" s="3"/>
      <c r="B216" s="3"/>
      <c r="C216" s="3"/>
      <c r="D216" s="3"/>
      <c r="E216" s="3"/>
      <c r="F216" s="3"/>
      <c r="G216" s="83"/>
      <c r="H216" s="3"/>
      <c r="I216" s="3"/>
      <c r="J216" s="5"/>
      <c r="K216" s="3"/>
      <c r="L216" s="3"/>
      <c r="M216" s="5"/>
      <c r="N216" s="3"/>
      <c r="O216" s="5"/>
      <c r="P216" s="3"/>
      <c r="Q216" s="5"/>
      <c r="R216" s="3"/>
      <c r="S216" s="83"/>
      <c r="T216" s="3"/>
      <c r="U216" s="3"/>
      <c r="V216" s="3"/>
      <c r="W216" s="81"/>
      <c r="X216" s="81"/>
      <c r="Y216" s="81"/>
      <c r="Z216" s="81"/>
    </row>
    <row r="217" spans="1:26" ht="24" customHeight="1" x14ac:dyDescent="0.5">
      <c r="A217" s="3"/>
      <c r="B217" s="3"/>
      <c r="C217" s="3"/>
      <c r="D217" s="3"/>
      <c r="E217" s="3"/>
      <c r="F217" s="3"/>
      <c r="G217" s="83"/>
      <c r="H217" s="3"/>
      <c r="I217" s="3"/>
      <c r="J217" s="5"/>
      <c r="K217" s="3"/>
      <c r="L217" s="3"/>
      <c r="M217" s="5"/>
      <c r="N217" s="3"/>
      <c r="O217" s="5"/>
      <c r="P217" s="3"/>
      <c r="Q217" s="5"/>
      <c r="R217" s="3"/>
      <c r="S217" s="83"/>
      <c r="T217" s="3"/>
      <c r="U217" s="3"/>
      <c r="V217" s="3"/>
      <c r="W217" s="81"/>
      <c r="X217" s="81"/>
      <c r="Y217" s="81"/>
      <c r="Z217" s="81"/>
    </row>
    <row r="218" spans="1:26" ht="24" customHeight="1" x14ac:dyDescent="0.5">
      <c r="A218" s="3"/>
      <c r="B218" s="3"/>
      <c r="C218" s="3"/>
      <c r="D218" s="3"/>
      <c r="E218" s="3"/>
      <c r="F218" s="3"/>
      <c r="G218" s="83"/>
      <c r="H218" s="3"/>
      <c r="I218" s="3"/>
      <c r="J218" s="5"/>
      <c r="K218" s="3"/>
      <c r="L218" s="3"/>
      <c r="M218" s="5"/>
      <c r="N218" s="3"/>
      <c r="O218" s="5"/>
      <c r="P218" s="3"/>
      <c r="Q218" s="5"/>
      <c r="R218" s="3"/>
      <c r="S218" s="83"/>
      <c r="T218" s="3"/>
      <c r="U218" s="3"/>
      <c r="V218" s="3"/>
      <c r="W218" s="81"/>
      <c r="X218" s="81"/>
      <c r="Y218" s="81"/>
      <c r="Z218" s="81"/>
    </row>
    <row r="219" spans="1:26" ht="24" customHeight="1" x14ac:dyDescent="0.5">
      <c r="A219" s="3"/>
      <c r="B219" s="3"/>
      <c r="C219" s="3"/>
      <c r="D219" s="3"/>
      <c r="E219" s="3"/>
      <c r="F219" s="3"/>
      <c r="G219" s="83"/>
      <c r="H219" s="3"/>
      <c r="I219" s="3"/>
      <c r="J219" s="5"/>
      <c r="K219" s="3"/>
      <c r="L219" s="3"/>
      <c r="M219" s="5"/>
      <c r="N219" s="3"/>
      <c r="O219" s="5"/>
      <c r="P219" s="3"/>
      <c r="Q219" s="5"/>
      <c r="R219" s="3"/>
      <c r="S219" s="83"/>
      <c r="T219" s="3"/>
      <c r="U219" s="3"/>
      <c r="V219" s="3"/>
      <c r="W219" s="81"/>
      <c r="X219" s="81"/>
      <c r="Y219" s="81"/>
      <c r="Z219" s="81"/>
    </row>
    <row r="220" spans="1:26" ht="24" customHeight="1" x14ac:dyDescent="0.5">
      <c r="A220" s="3"/>
      <c r="B220" s="3"/>
      <c r="C220" s="3"/>
      <c r="D220" s="3"/>
      <c r="E220" s="3"/>
      <c r="F220" s="3"/>
      <c r="G220" s="83"/>
      <c r="H220" s="3"/>
      <c r="I220" s="3"/>
      <c r="J220" s="5"/>
      <c r="K220" s="3"/>
      <c r="L220" s="3"/>
      <c r="M220" s="5"/>
      <c r="N220" s="3"/>
      <c r="O220" s="5"/>
      <c r="P220" s="3"/>
      <c r="Q220" s="5"/>
      <c r="R220" s="3"/>
      <c r="S220" s="83"/>
      <c r="T220" s="3"/>
      <c r="U220" s="3"/>
      <c r="V220" s="3"/>
      <c r="W220" s="81"/>
      <c r="X220" s="81"/>
      <c r="Y220" s="81"/>
      <c r="Z220" s="81"/>
    </row>
    <row r="221" spans="1:26" ht="24" customHeight="1" x14ac:dyDescent="0.5">
      <c r="A221" s="3"/>
      <c r="B221" s="3"/>
      <c r="C221" s="3"/>
      <c r="D221" s="3"/>
      <c r="E221" s="3"/>
      <c r="F221" s="3"/>
      <c r="G221" s="83"/>
      <c r="H221" s="3"/>
      <c r="I221" s="3"/>
      <c r="J221" s="5"/>
      <c r="K221" s="3"/>
      <c r="L221" s="3"/>
      <c r="M221" s="5"/>
      <c r="N221" s="3"/>
      <c r="O221" s="5"/>
      <c r="P221" s="3"/>
      <c r="Q221" s="5"/>
      <c r="R221" s="3"/>
      <c r="S221" s="83"/>
      <c r="T221" s="3"/>
      <c r="U221" s="3"/>
      <c r="V221" s="3"/>
      <c r="W221" s="81"/>
      <c r="X221" s="81"/>
      <c r="Y221" s="81"/>
      <c r="Z221" s="81"/>
    </row>
    <row r="222" spans="1:26" ht="24" customHeight="1" x14ac:dyDescent="0.5">
      <c r="A222" s="3"/>
      <c r="B222" s="3"/>
      <c r="C222" s="3"/>
      <c r="D222" s="3"/>
      <c r="E222" s="3"/>
      <c r="F222" s="3"/>
      <c r="G222" s="83"/>
      <c r="H222" s="3"/>
      <c r="I222" s="3"/>
      <c r="J222" s="5"/>
      <c r="K222" s="3"/>
      <c r="L222" s="3"/>
      <c r="M222" s="5"/>
      <c r="N222" s="3"/>
      <c r="O222" s="5"/>
      <c r="P222" s="3"/>
      <c r="Q222" s="5"/>
      <c r="R222" s="3"/>
      <c r="S222" s="83"/>
      <c r="T222" s="3"/>
      <c r="U222" s="3"/>
      <c r="V222" s="3"/>
      <c r="W222" s="81"/>
      <c r="X222" s="81"/>
      <c r="Y222" s="81"/>
      <c r="Z222" s="81"/>
    </row>
    <row r="223" spans="1:26" ht="24" customHeight="1" x14ac:dyDescent="0.5">
      <c r="A223" s="3"/>
      <c r="B223" s="3"/>
      <c r="C223" s="3"/>
      <c r="D223" s="3"/>
      <c r="E223" s="3"/>
      <c r="F223" s="3"/>
      <c r="G223" s="83"/>
      <c r="H223" s="3"/>
      <c r="I223" s="3"/>
      <c r="J223" s="5"/>
      <c r="K223" s="3"/>
      <c r="L223" s="3"/>
      <c r="M223" s="5"/>
      <c r="N223" s="3"/>
      <c r="O223" s="5"/>
      <c r="P223" s="3"/>
      <c r="Q223" s="5"/>
      <c r="R223" s="3"/>
      <c r="S223" s="83"/>
      <c r="T223" s="3"/>
      <c r="U223" s="3"/>
      <c r="V223" s="3"/>
      <c r="W223" s="81"/>
      <c r="X223" s="81"/>
      <c r="Y223" s="81"/>
      <c r="Z223" s="81"/>
    </row>
    <row r="224" spans="1:26" ht="24" customHeight="1" x14ac:dyDescent="0.5">
      <c r="A224" s="3"/>
      <c r="B224" s="3"/>
      <c r="C224" s="3"/>
      <c r="D224" s="3"/>
      <c r="E224" s="3"/>
      <c r="F224" s="3"/>
      <c r="G224" s="83"/>
      <c r="H224" s="3"/>
      <c r="I224" s="3"/>
      <c r="J224" s="5"/>
      <c r="K224" s="3"/>
      <c r="L224" s="3"/>
      <c r="M224" s="5"/>
      <c r="N224" s="3"/>
      <c r="O224" s="5"/>
      <c r="P224" s="3"/>
      <c r="Q224" s="5"/>
      <c r="R224" s="3"/>
      <c r="S224" s="83"/>
      <c r="T224" s="3"/>
      <c r="U224" s="3"/>
      <c r="V224" s="3"/>
      <c r="W224" s="81"/>
      <c r="X224" s="81"/>
      <c r="Y224" s="81"/>
      <c r="Z224" s="81"/>
    </row>
    <row r="225" spans="1:26" ht="24" customHeight="1" x14ac:dyDescent="0.5">
      <c r="A225" s="3"/>
      <c r="B225" s="3"/>
      <c r="C225" s="3"/>
      <c r="D225" s="3"/>
      <c r="E225" s="3"/>
      <c r="F225" s="3"/>
      <c r="G225" s="83"/>
      <c r="H225" s="3"/>
      <c r="I225" s="3"/>
      <c r="J225" s="5"/>
      <c r="K225" s="3"/>
      <c r="L225" s="3"/>
      <c r="M225" s="5"/>
      <c r="N225" s="3"/>
      <c r="O225" s="5"/>
      <c r="P225" s="3"/>
      <c r="Q225" s="5"/>
      <c r="R225" s="3"/>
      <c r="S225" s="83"/>
      <c r="T225" s="3"/>
      <c r="U225" s="3"/>
      <c r="V225" s="3"/>
      <c r="W225" s="81"/>
      <c r="X225" s="81"/>
      <c r="Y225" s="81"/>
      <c r="Z225" s="81"/>
    </row>
    <row r="226" spans="1:26" ht="24" customHeight="1" x14ac:dyDescent="0.5">
      <c r="A226" s="3"/>
      <c r="B226" s="3"/>
      <c r="C226" s="3"/>
      <c r="D226" s="3"/>
      <c r="E226" s="3"/>
      <c r="F226" s="3"/>
      <c r="G226" s="83"/>
      <c r="H226" s="3"/>
      <c r="I226" s="3"/>
      <c r="J226" s="5"/>
      <c r="K226" s="3"/>
      <c r="L226" s="3"/>
      <c r="M226" s="5"/>
      <c r="N226" s="3"/>
      <c r="O226" s="5"/>
      <c r="P226" s="3"/>
      <c r="Q226" s="5"/>
      <c r="R226" s="3"/>
      <c r="S226" s="83"/>
      <c r="T226" s="3"/>
      <c r="U226" s="3"/>
      <c r="V226" s="3"/>
      <c r="W226" s="81"/>
      <c r="X226" s="81"/>
      <c r="Y226" s="81"/>
      <c r="Z226" s="81"/>
    </row>
    <row r="227" spans="1:26" ht="24" customHeight="1" x14ac:dyDescent="0.5">
      <c r="A227" s="3"/>
      <c r="B227" s="3"/>
      <c r="C227" s="3"/>
      <c r="D227" s="3"/>
      <c r="E227" s="3"/>
      <c r="F227" s="3"/>
      <c r="G227" s="83"/>
      <c r="H227" s="3"/>
      <c r="I227" s="3"/>
      <c r="J227" s="5"/>
      <c r="K227" s="3"/>
      <c r="L227" s="3"/>
      <c r="M227" s="5"/>
      <c r="N227" s="3"/>
      <c r="O227" s="5"/>
      <c r="P227" s="3"/>
      <c r="Q227" s="5"/>
      <c r="R227" s="3"/>
      <c r="S227" s="83"/>
      <c r="T227" s="3"/>
      <c r="U227" s="3"/>
      <c r="V227" s="3"/>
      <c r="W227" s="81"/>
      <c r="X227" s="81"/>
      <c r="Y227" s="81"/>
      <c r="Z227" s="81"/>
    </row>
    <row r="228" spans="1:26" ht="24" customHeight="1" x14ac:dyDescent="0.5">
      <c r="A228" s="3"/>
      <c r="B228" s="3"/>
      <c r="C228" s="3"/>
      <c r="D228" s="3"/>
      <c r="E228" s="3"/>
      <c r="F228" s="3"/>
      <c r="G228" s="83"/>
      <c r="H228" s="3"/>
      <c r="I228" s="3"/>
      <c r="J228" s="5"/>
      <c r="K228" s="3"/>
      <c r="L228" s="3"/>
      <c r="M228" s="5"/>
      <c r="N228" s="3"/>
      <c r="O228" s="5"/>
      <c r="P228" s="3"/>
      <c r="Q228" s="5"/>
      <c r="R228" s="3"/>
      <c r="S228" s="83"/>
      <c r="T228" s="3"/>
      <c r="U228" s="3"/>
      <c r="V228" s="3"/>
      <c r="W228" s="81"/>
      <c r="X228" s="81"/>
      <c r="Y228" s="81"/>
      <c r="Z228" s="81"/>
    </row>
    <row r="229" spans="1:26" ht="24" customHeight="1" x14ac:dyDescent="0.5">
      <c r="A229" s="3"/>
      <c r="B229" s="3"/>
      <c r="C229" s="3"/>
      <c r="D229" s="3"/>
      <c r="E229" s="3"/>
      <c r="F229" s="3"/>
      <c r="G229" s="83"/>
      <c r="H229" s="3"/>
      <c r="I229" s="3"/>
      <c r="J229" s="5"/>
      <c r="K229" s="3"/>
      <c r="L229" s="3"/>
      <c r="M229" s="5"/>
      <c r="N229" s="3"/>
      <c r="O229" s="5"/>
      <c r="P229" s="3"/>
      <c r="Q229" s="5"/>
      <c r="R229" s="3"/>
      <c r="S229" s="83"/>
      <c r="T229" s="3"/>
      <c r="U229" s="3"/>
      <c r="V229" s="3"/>
      <c r="W229" s="81"/>
      <c r="X229" s="81"/>
      <c r="Y229" s="81"/>
      <c r="Z229" s="81"/>
    </row>
    <row r="230" spans="1:26" ht="24" customHeight="1" x14ac:dyDescent="0.5">
      <c r="A230" s="3"/>
      <c r="B230" s="3"/>
      <c r="C230" s="3"/>
      <c r="D230" s="3"/>
      <c r="E230" s="3"/>
      <c r="F230" s="3"/>
      <c r="G230" s="83"/>
      <c r="H230" s="3"/>
      <c r="I230" s="3"/>
      <c r="J230" s="5"/>
      <c r="K230" s="3"/>
      <c r="L230" s="3"/>
      <c r="M230" s="5"/>
      <c r="N230" s="3"/>
      <c r="O230" s="5"/>
      <c r="P230" s="3"/>
      <c r="Q230" s="5"/>
      <c r="R230" s="3"/>
      <c r="S230" s="83"/>
      <c r="T230" s="3"/>
      <c r="U230" s="3"/>
      <c r="V230" s="3"/>
      <c r="W230" s="81"/>
      <c r="X230" s="81"/>
      <c r="Y230" s="81"/>
      <c r="Z230" s="81"/>
    </row>
    <row r="231" spans="1:26" ht="24" customHeight="1" x14ac:dyDescent="0.5">
      <c r="A231" s="3"/>
      <c r="B231" s="3"/>
      <c r="C231" s="3"/>
      <c r="D231" s="3"/>
      <c r="E231" s="3"/>
      <c r="F231" s="3"/>
      <c r="G231" s="83"/>
      <c r="H231" s="3"/>
      <c r="I231" s="3"/>
      <c r="J231" s="5"/>
      <c r="K231" s="3"/>
      <c r="L231" s="3"/>
      <c r="M231" s="5"/>
      <c r="N231" s="3"/>
      <c r="O231" s="5"/>
      <c r="P231" s="3"/>
      <c r="Q231" s="5"/>
      <c r="R231" s="3"/>
      <c r="S231" s="83"/>
      <c r="T231" s="3"/>
      <c r="U231" s="3"/>
      <c r="V231" s="3"/>
      <c r="W231" s="81"/>
      <c r="X231" s="81"/>
      <c r="Y231" s="81"/>
      <c r="Z231" s="81"/>
    </row>
    <row r="232" spans="1:26" ht="24" customHeight="1" x14ac:dyDescent="0.5">
      <c r="A232" s="3"/>
      <c r="B232" s="3"/>
      <c r="C232" s="3"/>
      <c r="D232" s="3"/>
      <c r="E232" s="3"/>
      <c r="F232" s="3"/>
      <c r="G232" s="83"/>
      <c r="H232" s="3"/>
      <c r="I232" s="3"/>
      <c r="J232" s="5"/>
      <c r="K232" s="3"/>
      <c r="L232" s="3"/>
      <c r="M232" s="5"/>
      <c r="N232" s="3"/>
      <c r="O232" s="5"/>
      <c r="P232" s="3"/>
      <c r="Q232" s="5"/>
      <c r="R232" s="3"/>
      <c r="S232" s="83"/>
      <c r="T232" s="3"/>
      <c r="U232" s="3"/>
      <c r="V232" s="3"/>
      <c r="W232" s="81"/>
      <c r="X232" s="81"/>
      <c r="Y232" s="81"/>
      <c r="Z232" s="81"/>
    </row>
    <row r="233" spans="1:26" ht="24" customHeight="1" x14ac:dyDescent="0.5">
      <c r="A233" s="3"/>
      <c r="B233" s="3"/>
      <c r="C233" s="3"/>
      <c r="D233" s="3"/>
      <c r="E233" s="3"/>
      <c r="F233" s="3"/>
      <c r="G233" s="83"/>
      <c r="H233" s="3"/>
      <c r="I233" s="3"/>
      <c r="J233" s="5"/>
      <c r="K233" s="3"/>
      <c r="L233" s="3"/>
      <c r="M233" s="5"/>
      <c r="N233" s="3"/>
      <c r="O233" s="5"/>
      <c r="P233" s="3"/>
      <c r="Q233" s="5"/>
      <c r="R233" s="3"/>
      <c r="S233" s="83"/>
      <c r="T233" s="3"/>
      <c r="U233" s="3"/>
      <c r="V233" s="3"/>
      <c r="W233" s="81"/>
      <c r="X233" s="81"/>
      <c r="Y233" s="81"/>
      <c r="Z233" s="81"/>
    </row>
    <row r="234" spans="1:26" ht="24" customHeight="1" x14ac:dyDescent="0.5">
      <c r="A234" s="3"/>
      <c r="B234" s="3"/>
      <c r="C234" s="3"/>
      <c r="D234" s="3"/>
      <c r="E234" s="3"/>
      <c r="F234" s="3"/>
      <c r="G234" s="83"/>
      <c r="H234" s="3"/>
      <c r="I234" s="3"/>
      <c r="J234" s="5"/>
      <c r="K234" s="3"/>
      <c r="L234" s="3"/>
      <c r="M234" s="5"/>
      <c r="N234" s="3"/>
      <c r="O234" s="5"/>
      <c r="P234" s="3"/>
      <c r="Q234" s="5"/>
      <c r="R234" s="3"/>
      <c r="S234" s="83"/>
      <c r="T234" s="3"/>
      <c r="U234" s="3"/>
      <c r="V234" s="3"/>
      <c r="W234" s="81"/>
      <c r="X234" s="81"/>
      <c r="Y234" s="81"/>
      <c r="Z234" s="81"/>
    </row>
    <row r="235" spans="1:26" ht="24" customHeight="1" x14ac:dyDescent="0.5">
      <c r="A235" s="3"/>
      <c r="B235" s="3"/>
      <c r="C235" s="3"/>
      <c r="D235" s="3"/>
      <c r="E235" s="3"/>
      <c r="F235" s="3"/>
      <c r="G235" s="83"/>
      <c r="H235" s="3"/>
      <c r="I235" s="3"/>
      <c r="J235" s="5"/>
      <c r="K235" s="3"/>
      <c r="L235" s="3"/>
      <c r="M235" s="5"/>
      <c r="N235" s="3"/>
      <c r="O235" s="5"/>
      <c r="P235" s="3"/>
      <c r="Q235" s="5"/>
      <c r="R235" s="3"/>
      <c r="S235" s="83"/>
      <c r="T235" s="3"/>
      <c r="U235" s="3"/>
      <c r="V235" s="3"/>
      <c r="W235" s="81"/>
      <c r="X235" s="81"/>
      <c r="Y235" s="81"/>
      <c r="Z235" s="81"/>
    </row>
    <row r="236" spans="1:26" ht="24" customHeight="1" x14ac:dyDescent="0.5">
      <c r="A236" s="3"/>
      <c r="B236" s="3"/>
      <c r="C236" s="3"/>
      <c r="D236" s="3"/>
      <c r="E236" s="3"/>
      <c r="F236" s="3"/>
      <c r="G236" s="83"/>
      <c r="H236" s="3"/>
      <c r="I236" s="3"/>
      <c r="J236" s="5"/>
      <c r="K236" s="3"/>
      <c r="L236" s="3"/>
      <c r="M236" s="5"/>
      <c r="N236" s="3"/>
      <c r="O236" s="5"/>
      <c r="P236" s="3"/>
      <c r="Q236" s="5"/>
      <c r="R236" s="3"/>
      <c r="S236" s="83"/>
      <c r="T236" s="3"/>
      <c r="U236" s="3"/>
      <c r="V236" s="3"/>
      <c r="W236" s="81"/>
      <c r="X236" s="81"/>
      <c r="Y236" s="81"/>
      <c r="Z236" s="81"/>
    </row>
    <row r="237" spans="1:26" ht="24" customHeight="1" x14ac:dyDescent="0.5">
      <c r="A237" s="3"/>
      <c r="B237" s="3"/>
      <c r="C237" s="3"/>
      <c r="D237" s="3"/>
      <c r="E237" s="3"/>
      <c r="F237" s="3"/>
      <c r="G237" s="83"/>
      <c r="H237" s="3"/>
      <c r="I237" s="3"/>
      <c r="J237" s="5"/>
      <c r="K237" s="3"/>
      <c r="L237" s="3"/>
      <c r="M237" s="5"/>
      <c r="N237" s="3"/>
      <c r="O237" s="5"/>
      <c r="P237" s="3"/>
      <c r="Q237" s="5"/>
      <c r="R237" s="3"/>
      <c r="S237" s="83"/>
      <c r="T237" s="3"/>
      <c r="U237" s="3"/>
      <c r="V237" s="3"/>
      <c r="W237" s="81"/>
      <c r="X237" s="81"/>
      <c r="Y237" s="81"/>
      <c r="Z237" s="81"/>
    </row>
    <row r="238" spans="1:26" ht="24" customHeight="1" x14ac:dyDescent="0.5">
      <c r="A238" s="3"/>
      <c r="B238" s="3"/>
      <c r="C238" s="3"/>
      <c r="D238" s="3"/>
      <c r="E238" s="3"/>
      <c r="F238" s="3"/>
      <c r="G238" s="83"/>
      <c r="H238" s="3"/>
      <c r="I238" s="3"/>
      <c r="J238" s="5"/>
      <c r="K238" s="3"/>
      <c r="L238" s="3"/>
      <c r="M238" s="5"/>
      <c r="N238" s="3"/>
      <c r="O238" s="5"/>
      <c r="P238" s="3"/>
      <c r="Q238" s="5"/>
      <c r="R238" s="3"/>
      <c r="S238" s="83"/>
      <c r="T238" s="3"/>
      <c r="U238" s="3"/>
      <c r="V238" s="3"/>
      <c r="W238" s="81"/>
      <c r="X238" s="81"/>
      <c r="Y238" s="81"/>
      <c r="Z238" s="81"/>
    </row>
    <row r="239" spans="1:26" ht="24" customHeight="1" x14ac:dyDescent="0.5">
      <c r="A239" s="3"/>
      <c r="B239" s="3"/>
      <c r="C239" s="3"/>
      <c r="D239" s="3"/>
      <c r="E239" s="3"/>
      <c r="F239" s="3"/>
      <c r="G239" s="83"/>
      <c r="H239" s="3"/>
      <c r="I239" s="3"/>
      <c r="J239" s="5"/>
      <c r="K239" s="3"/>
      <c r="L239" s="3"/>
      <c r="M239" s="5"/>
      <c r="N239" s="3"/>
      <c r="O239" s="5"/>
      <c r="P239" s="3"/>
      <c r="Q239" s="5"/>
      <c r="R239" s="3"/>
      <c r="S239" s="83"/>
      <c r="T239" s="3"/>
      <c r="U239" s="3"/>
      <c r="V239" s="3"/>
      <c r="W239" s="81"/>
      <c r="X239" s="81"/>
      <c r="Y239" s="81"/>
      <c r="Z239" s="81"/>
    </row>
    <row r="240" spans="1:26" ht="24" customHeight="1" x14ac:dyDescent="0.5">
      <c r="A240" s="3"/>
      <c r="B240" s="3"/>
      <c r="C240" s="3"/>
      <c r="D240" s="3"/>
      <c r="E240" s="3"/>
      <c r="F240" s="3"/>
      <c r="G240" s="83"/>
      <c r="H240" s="3"/>
      <c r="I240" s="3"/>
      <c r="J240" s="5"/>
      <c r="K240" s="3"/>
      <c r="L240" s="3"/>
      <c r="M240" s="5"/>
      <c r="N240" s="3"/>
      <c r="O240" s="5"/>
      <c r="P240" s="3"/>
      <c r="Q240" s="5"/>
      <c r="R240" s="3"/>
      <c r="S240" s="83"/>
      <c r="T240" s="3"/>
      <c r="U240" s="3"/>
      <c r="V240" s="3"/>
      <c r="W240" s="81"/>
      <c r="X240" s="81"/>
      <c r="Y240" s="81"/>
      <c r="Z240" s="81"/>
    </row>
    <row r="241" spans="1:26" ht="24" customHeight="1" x14ac:dyDescent="0.5">
      <c r="A241" s="3"/>
      <c r="B241" s="3"/>
      <c r="C241" s="3"/>
      <c r="D241" s="3"/>
      <c r="E241" s="3"/>
      <c r="F241" s="3"/>
      <c r="G241" s="83"/>
      <c r="H241" s="3"/>
      <c r="I241" s="3"/>
      <c r="J241" s="5"/>
      <c r="K241" s="3"/>
      <c r="L241" s="3"/>
      <c r="M241" s="5"/>
      <c r="N241" s="3"/>
      <c r="O241" s="5"/>
      <c r="P241" s="3"/>
      <c r="Q241" s="5"/>
      <c r="R241" s="3"/>
      <c r="S241" s="83"/>
      <c r="T241" s="3"/>
      <c r="U241" s="3"/>
      <c r="V241" s="3"/>
      <c r="W241" s="81"/>
      <c r="X241" s="81"/>
      <c r="Y241" s="81"/>
      <c r="Z241" s="81"/>
    </row>
    <row r="242" spans="1:26" ht="24" customHeight="1" x14ac:dyDescent="0.5">
      <c r="A242" s="3"/>
      <c r="B242" s="3"/>
      <c r="C242" s="3"/>
      <c r="D242" s="3"/>
      <c r="E242" s="3"/>
      <c r="F242" s="3"/>
      <c r="G242" s="83"/>
      <c r="H242" s="3"/>
      <c r="I242" s="3"/>
      <c r="J242" s="5"/>
      <c r="K242" s="3"/>
      <c r="L242" s="3"/>
      <c r="M242" s="5"/>
      <c r="N242" s="3"/>
      <c r="O242" s="5"/>
      <c r="P242" s="3"/>
      <c r="Q242" s="5"/>
      <c r="R242" s="3"/>
      <c r="S242" s="83"/>
      <c r="T242" s="3"/>
      <c r="U242" s="3"/>
      <c r="V242" s="3"/>
      <c r="W242" s="81"/>
      <c r="X242" s="81"/>
      <c r="Y242" s="81"/>
      <c r="Z242" s="81"/>
    </row>
    <row r="243" spans="1:26" ht="24" customHeight="1" x14ac:dyDescent="0.5">
      <c r="A243" s="3"/>
      <c r="B243" s="3"/>
      <c r="C243" s="3"/>
      <c r="D243" s="3"/>
      <c r="E243" s="3"/>
      <c r="F243" s="3"/>
      <c r="G243" s="83"/>
      <c r="H243" s="3"/>
      <c r="I243" s="3"/>
      <c r="J243" s="5"/>
      <c r="K243" s="3"/>
      <c r="L243" s="3"/>
      <c r="M243" s="5"/>
      <c r="N243" s="3"/>
      <c r="O243" s="5"/>
      <c r="P243" s="3"/>
      <c r="Q243" s="5"/>
      <c r="R243" s="3"/>
      <c r="S243" s="83"/>
      <c r="T243" s="3"/>
      <c r="U243" s="3"/>
      <c r="V243" s="3"/>
      <c r="W243" s="81"/>
      <c r="X243" s="81"/>
      <c r="Y243" s="81"/>
      <c r="Z243" s="81"/>
    </row>
    <row r="244" spans="1:26" ht="24" customHeight="1" x14ac:dyDescent="0.5">
      <c r="A244" s="3"/>
      <c r="B244" s="3"/>
      <c r="C244" s="3"/>
      <c r="D244" s="3"/>
      <c r="E244" s="3"/>
      <c r="F244" s="3"/>
      <c r="G244" s="83"/>
      <c r="H244" s="3"/>
      <c r="I244" s="3"/>
      <c r="J244" s="5"/>
      <c r="K244" s="3"/>
      <c r="L244" s="3"/>
      <c r="M244" s="5"/>
      <c r="N244" s="3"/>
      <c r="O244" s="5"/>
      <c r="P244" s="3"/>
      <c r="Q244" s="5"/>
      <c r="R244" s="3"/>
      <c r="S244" s="83"/>
      <c r="T244" s="3"/>
      <c r="U244" s="3"/>
      <c r="V244" s="3"/>
      <c r="W244" s="81"/>
      <c r="X244" s="81"/>
      <c r="Y244" s="81"/>
      <c r="Z244" s="81"/>
    </row>
    <row r="245" spans="1:26" ht="24" customHeight="1" x14ac:dyDescent="0.5">
      <c r="A245" s="3"/>
      <c r="B245" s="3"/>
      <c r="C245" s="3"/>
      <c r="D245" s="3"/>
      <c r="E245" s="3"/>
      <c r="F245" s="3"/>
      <c r="G245" s="83"/>
      <c r="H245" s="3"/>
      <c r="I245" s="3"/>
      <c r="J245" s="5"/>
      <c r="K245" s="3"/>
      <c r="L245" s="3"/>
      <c r="M245" s="5"/>
      <c r="N245" s="3"/>
      <c r="O245" s="5"/>
      <c r="P245" s="3"/>
      <c r="Q245" s="5"/>
      <c r="R245" s="3"/>
      <c r="S245" s="83"/>
      <c r="T245" s="3"/>
      <c r="U245" s="3"/>
      <c r="V245" s="3"/>
      <c r="W245" s="81"/>
      <c r="X245" s="81"/>
      <c r="Y245" s="81"/>
      <c r="Z245" s="81"/>
    </row>
    <row r="246" spans="1:26" ht="24" customHeight="1" x14ac:dyDescent="0.5">
      <c r="A246" s="3"/>
      <c r="B246" s="3"/>
      <c r="C246" s="3"/>
      <c r="D246" s="3"/>
      <c r="E246" s="3"/>
      <c r="F246" s="3"/>
      <c r="G246" s="83"/>
      <c r="H246" s="3"/>
      <c r="I246" s="3"/>
      <c r="J246" s="5"/>
      <c r="K246" s="3"/>
      <c r="L246" s="3"/>
      <c r="M246" s="5"/>
      <c r="N246" s="3"/>
      <c r="O246" s="5"/>
      <c r="P246" s="3"/>
      <c r="Q246" s="5"/>
      <c r="R246" s="3"/>
      <c r="S246" s="83"/>
      <c r="T246" s="3"/>
      <c r="U246" s="3"/>
      <c r="V246" s="3"/>
      <c r="W246" s="81"/>
      <c r="X246" s="81"/>
      <c r="Y246" s="81"/>
      <c r="Z246" s="81"/>
    </row>
    <row r="247" spans="1:26" ht="24" customHeight="1" x14ac:dyDescent="0.5">
      <c r="A247" s="3"/>
      <c r="B247" s="3"/>
      <c r="C247" s="3"/>
      <c r="D247" s="3"/>
      <c r="E247" s="3"/>
      <c r="F247" s="3"/>
      <c r="G247" s="83"/>
      <c r="H247" s="3"/>
      <c r="I247" s="3"/>
      <c r="J247" s="5"/>
      <c r="K247" s="3"/>
      <c r="L247" s="3"/>
      <c r="M247" s="5"/>
      <c r="N247" s="3"/>
      <c r="O247" s="5"/>
      <c r="P247" s="3"/>
      <c r="Q247" s="5"/>
      <c r="R247" s="3"/>
      <c r="S247" s="83"/>
      <c r="T247" s="3"/>
      <c r="U247" s="3"/>
      <c r="V247" s="3"/>
      <c r="W247" s="81"/>
      <c r="X247" s="81"/>
      <c r="Y247" s="81"/>
      <c r="Z247" s="81"/>
    </row>
    <row r="248" spans="1:26" ht="24" customHeight="1" x14ac:dyDescent="0.5">
      <c r="A248" s="3"/>
      <c r="B248" s="3"/>
      <c r="C248" s="3"/>
      <c r="D248" s="3"/>
      <c r="E248" s="3"/>
      <c r="F248" s="3"/>
      <c r="G248" s="83"/>
      <c r="H248" s="3"/>
      <c r="I248" s="3"/>
      <c r="J248" s="5"/>
      <c r="K248" s="3"/>
      <c r="L248" s="3"/>
      <c r="M248" s="5"/>
      <c r="N248" s="3"/>
      <c r="O248" s="5"/>
      <c r="P248" s="3"/>
      <c r="Q248" s="5"/>
      <c r="R248" s="3"/>
      <c r="S248" s="83"/>
      <c r="T248" s="3"/>
      <c r="U248" s="3"/>
      <c r="V248" s="3"/>
      <c r="W248" s="81"/>
      <c r="X248" s="81"/>
      <c r="Y248" s="81"/>
      <c r="Z248" s="81"/>
    </row>
    <row r="249" spans="1:26" ht="24" customHeight="1" x14ac:dyDescent="0.5">
      <c r="A249" s="3"/>
      <c r="B249" s="3"/>
      <c r="C249" s="3"/>
      <c r="D249" s="3"/>
      <c r="E249" s="3"/>
      <c r="F249" s="3"/>
      <c r="G249" s="83"/>
      <c r="H249" s="3"/>
      <c r="I249" s="3"/>
      <c r="J249" s="5"/>
      <c r="K249" s="3"/>
      <c r="L249" s="3"/>
      <c r="M249" s="5"/>
      <c r="N249" s="3"/>
      <c r="O249" s="5"/>
      <c r="P249" s="3"/>
      <c r="Q249" s="5"/>
      <c r="R249" s="3"/>
      <c r="S249" s="83"/>
      <c r="T249" s="3"/>
      <c r="U249" s="3"/>
      <c r="V249" s="3"/>
      <c r="W249" s="81"/>
      <c r="X249" s="81"/>
      <c r="Y249" s="81"/>
      <c r="Z249" s="81"/>
    </row>
    <row r="250" spans="1:26" ht="24" customHeight="1" x14ac:dyDescent="0.5">
      <c r="A250" s="3"/>
      <c r="B250" s="3"/>
      <c r="C250" s="3"/>
      <c r="D250" s="3"/>
      <c r="E250" s="3"/>
      <c r="F250" s="3"/>
      <c r="G250" s="83"/>
      <c r="H250" s="3"/>
      <c r="I250" s="3"/>
      <c r="J250" s="5"/>
      <c r="K250" s="3"/>
      <c r="L250" s="3"/>
      <c r="M250" s="5"/>
      <c r="N250" s="3"/>
      <c r="O250" s="5"/>
      <c r="P250" s="3"/>
      <c r="Q250" s="5"/>
      <c r="R250" s="3"/>
      <c r="S250" s="83"/>
      <c r="T250" s="3"/>
      <c r="U250" s="3"/>
      <c r="V250" s="3"/>
      <c r="W250" s="81"/>
      <c r="X250" s="81"/>
      <c r="Y250" s="81"/>
      <c r="Z250" s="81"/>
    </row>
    <row r="251" spans="1:26" ht="24" customHeight="1" x14ac:dyDescent="0.5">
      <c r="A251" s="3"/>
      <c r="B251" s="3"/>
      <c r="C251" s="3"/>
      <c r="D251" s="3"/>
      <c r="E251" s="3"/>
      <c r="F251" s="3"/>
      <c r="G251" s="83"/>
      <c r="H251" s="3"/>
      <c r="I251" s="3"/>
      <c r="J251" s="5"/>
      <c r="K251" s="3"/>
      <c r="L251" s="3"/>
      <c r="M251" s="5"/>
      <c r="N251" s="3"/>
      <c r="O251" s="5"/>
      <c r="P251" s="3"/>
      <c r="Q251" s="5"/>
      <c r="R251" s="3"/>
      <c r="S251" s="83"/>
      <c r="T251" s="3"/>
      <c r="U251" s="3"/>
      <c r="V251" s="3"/>
      <c r="W251" s="81"/>
      <c r="X251" s="81"/>
      <c r="Y251" s="81"/>
      <c r="Z251" s="81"/>
    </row>
    <row r="252" spans="1:26" ht="24" customHeight="1" x14ac:dyDescent="0.5">
      <c r="A252" s="3"/>
      <c r="B252" s="3"/>
      <c r="C252" s="3"/>
      <c r="D252" s="3"/>
      <c r="E252" s="3"/>
      <c r="F252" s="3"/>
      <c r="G252" s="83"/>
      <c r="H252" s="3"/>
      <c r="I252" s="3"/>
      <c r="J252" s="5"/>
      <c r="K252" s="3"/>
      <c r="L252" s="3"/>
      <c r="M252" s="5"/>
      <c r="N252" s="3"/>
      <c r="O252" s="5"/>
      <c r="P252" s="3"/>
      <c r="Q252" s="5"/>
      <c r="R252" s="3"/>
      <c r="S252" s="83"/>
      <c r="T252" s="3"/>
      <c r="U252" s="3"/>
      <c r="V252" s="3"/>
      <c r="W252" s="81"/>
      <c r="X252" s="81"/>
      <c r="Y252" s="81"/>
      <c r="Z252" s="81"/>
    </row>
    <row r="253" spans="1:26" ht="24" customHeight="1" x14ac:dyDescent="0.5">
      <c r="A253" s="3"/>
      <c r="B253" s="3"/>
      <c r="C253" s="3"/>
      <c r="D253" s="3"/>
      <c r="E253" s="3"/>
      <c r="F253" s="3"/>
      <c r="G253" s="83"/>
      <c r="H253" s="3"/>
      <c r="I253" s="3"/>
      <c r="J253" s="5"/>
      <c r="K253" s="3"/>
      <c r="L253" s="3"/>
      <c r="M253" s="5"/>
      <c r="N253" s="3"/>
      <c r="O253" s="5"/>
      <c r="P253" s="3"/>
      <c r="Q253" s="5"/>
      <c r="R253" s="3"/>
      <c r="S253" s="83"/>
      <c r="T253" s="3"/>
      <c r="U253" s="3"/>
      <c r="V253" s="3"/>
      <c r="W253" s="81"/>
      <c r="X253" s="81"/>
      <c r="Y253" s="81"/>
      <c r="Z253" s="81"/>
    </row>
    <row r="254" spans="1:26" ht="24" customHeight="1" x14ac:dyDescent="0.5">
      <c r="A254" s="3"/>
      <c r="B254" s="3"/>
      <c r="C254" s="3"/>
      <c r="D254" s="3"/>
      <c r="E254" s="3"/>
      <c r="F254" s="3"/>
      <c r="G254" s="83"/>
      <c r="H254" s="3"/>
      <c r="I254" s="3"/>
      <c r="J254" s="5"/>
      <c r="K254" s="3"/>
      <c r="L254" s="3"/>
      <c r="M254" s="5"/>
      <c r="N254" s="3"/>
      <c r="O254" s="5"/>
      <c r="P254" s="3"/>
      <c r="Q254" s="5"/>
      <c r="R254" s="3"/>
      <c r="S254" s="83"/>
      <c r="T254" s="3"/>
      <c r="U254" s="3"/>
      <c r="V254" s="3"/>
      <c r="W254" s="81"/>
      <c r="X254" s="81"/>
      <c r="Y254" s="81"/>
      <c r="Z254" s="81"/>
    </row>
    <row r="255" spans="1:26" ht="24" customHeight="1" x14ac:dyDescent="0.5">
      <c r="A255" s="3"/>
      <c r="B255" s="3"/>
      <c r="C255" s="3"/>
      <c r="D255" s="3"/>
      <c r="E255" s="3"/>
      <c r="F255" s="3"/>
      <c r="G255" s="83"/>
      <c r="H255" s="3"/>
      <c r="I255" s="3"/>
      <c r="J255" s="5"/>
      <c r="K255" s="3"/>
      <c r="L255" s="3"/>
      <c r="M255" s="5"/>
      <c r="N255" s="3"/>
      <c r="O255" s="5"/>
      <c r="P255" s="3"/>
      <c r="Q255" s="5"/>
      <c r="R255" s="3"/>
      <c r="S255" s="83"/>
      <c r="T255" s="3"/>
      <c r="U255" s="3"/>
      <c r="V255" s="3"/>
      <c r="W255" s="81"/>
      <c r="X255" s="81"/>
      <c r="Y255" s="81"/>
      <c r="Z255" s="81"/>
    </row>
    <row r="256" spans="1:26" ht="24" customHeight="1" x14ac:dyDescent="0.5">
      <c r="A256" s="3"/>
      <c r="B256" s="3"/>
      <c r="C256" s="3"/>
      <c r="D256" s="3"/>
      <c r="E256" s="3"/>
      <c r="F256" s="3"/>
      <c r="G256" s="83"/>
      <c r="H256" s="3"/>
      <c r="I256" s="3"/>
      <c r="J256" s="5"/>
      <c r="K256" s="3"/>
      <c r="L256" s="3"/>
      <c r="M256" s="5"/>
      <c r="N256" s="3"/>
      <c r="O256" s="5"/>
      <c r="P256" s="3"/>
      <c r="Q256" s="5"/>
      <c r="R256" s="3"/>
      <c r="S256" s="83"/>
      <c r="T256" s="3"/>
      <c r="U256" s="3"/>
      <c r="V256" s="3"/>
      <c r="W256" s="81"/>
      <c r="X256" s="81"/>
      <c r="Y256" s="81"/>
      <c r="Z256" s="81"/>
    </row>
    <row r="257" spans="1:26" ht="24" customHeight="1" x14ac:dyDescent="0.5">
      <c r="A257" s="3"/>
      <c r="B257" s="3"/>
      <c r="C257" s="3"/>
      <c r="D257" s="3"/>
      <c r="E257" s="3"/>
      <c r="F257" s="3"/>
      <c r="G257" s="83"/>
      <c r="H257" s="3"/>
      <c r="I257" s="3"/>
      <c r="J257" s="5"/>
      <c r="K257" s="3"/>
      <c r="L257" s="3"/>
      <c r="M257" s="5"/>
      <c r="N257" s="3"/>
      <c r="O257" s="5"/>
      <c r="P257" s="3"/>
      <c r="Q257" s="5"/>
      <c r="R257" s="3"/>
      <c r="S257" s="83"/>
      <c r="T257" s="3"/>
      <c r="U257" s="3"/>
      <c r="V257" s="3"/>
      <c r="W257" s="81"/>
      <c r="X257" s="81"/>
      <c r="Y257" s="81"/>
      <c r="Z257" s="81"/>
    </row>
    <row r="258" spans="1:26" ht="24" customHeight="1" x14ac:dyDescent="0.5">
      <c r="A258" s="3"/>
      <c r="B258" s="3"/>
      <c r="C258" s="3"/>
      <c r="D258" s="3"/>
      <c r="E258" s="3"/>
      <c r="F258" s="3"/>
      <c r="G258" s="83"/>
      <c r="H258" s="3"/>
      <c r="I258" s="3"/>
      <c r="J258" s="5"/>
      <c r="K258" s="3"/>
      <c r="L258" s="3"/>
      <c r="M258" s="5"/>
      <c r="N258" s="3"/>
      <c r="O258" s="5"/>
      <c r="P258" s="3"/>
      <c r="Q258" s="5"/>
      <c r="R258" s="3"/>
      <c r="S258" s="83"/>
      <c r="T258" s="3"/>
      <c r="U258" s="3"/>
      <c r="V258" s="3"/>
      <c r="W258" s="81"/>
      <c r="X258" s="81"/>
      <c r="Y258" s="81"/>
      <c r="Z258" s="81"/>
    </row>
    <row r="259" spans="1:26" ht="24" customHeight="1" x14ac:dyDescent="0.5">
      <c r="A259" s="3"/>
      <c r="B259" s="3"/>
      <c r="C259" s="3"/>
      <c r="D259" s="3"/>
      <c r="E259" s="3"/>
      <c r="F259" s="3"/>
      <c r="G259" s="83"/>
      <c r="H259" s="3"/>
      <c r="I259" s="3"/>
      <c r="J259" s="5"/>
      <c r="K259" s="3"/>
      <c r="L259" s="3"/>
      <c r="M259" s="5"/>
      <c r="N259" s="3"/>
      <c r="O259" s="5"/>
      <c r="P259" s="3"/>
      <c r="Q259" s="5"/>
      <c r="R259" s="3"/>
      <c r="S259" s="83"/>
      <c r="T259" s="3"/>
      <c r="U259" s="3"/>
      <c r="V259" s="3"/>
      <c r="W259" s="81"/>
      <c r="X259" s="81"/>
      <c r="Y259" s="81"/>
      <c r="Z259" s="81"/>
    </row>
    <row r="260" spans="1:26" ht="24" customHeight="1" x14ac:dyDescent="0.5">
      <c r="A260" s="3"/>
      <c r="B260" s="3"/>
      <c r="C260" s="3"/>
      <c r="D260" s="3"/>
      <c r="E260" s="3"/>
      <c r="F260" s="3"/>
      <c r="G260" s="83"/>
      <c r="H260" s="3"/>
      <c r="I260" s="3"/>
      <c r="J260" s="5"/>
      <c r="K260" s="3"/>
      <c r="L260" s="3"/>
      <c r="M260" s="5"/>
      <c r="N260" s="3"/>
      <c r="O260" s="5"/>
      <c r="P260" s="3"/>
      <c r="Q260" s="5"/>
      <c r="R260" s="3"/>
      <c r="S260" s="83"/>
      <c r="T260" s="3"/>
      <c r="U260" s="3"/>
      <c r="V260" s="3"/>
      <c r="W260" s="81"/>
      <c r="X260" s="81"/>
      <c r="Y260" s="81"/>
      <c r="Z260" s="81"/>
    </row>
    <row r="261" spans="1:26" ht="24" customHeight="1" x14ac:dyDescent="0.5">
      <c r="A261" s="3"/>
      <c r="B261" s="3"/>
      <c r="C261" s="3"/>
      <c r="D261" s="3"/>
      <c r="E261" s="3"/>
      <c r="F261" s="3"/>
      <c r="G261" s="83"/>
      <c r="H261" s="3"/>
      <c r="I261" s="3"/>
      <c r="J261" s="5"/>
      <c r="K261" s="3"/>
      <c r="L261" s="3"/>
      <c r="M261" s="5"/>
      <c r="N261" s="3"/>
      <c r="O261" s="5"/>
      <c r="P261" s="3"/>
      <c r="Q261" s="5"/>
      <c r="R261" s="3"/>
      <c r="S261" s="83"/>
      <c r="T261" s="3"/>
      <c r="U261" s="3"/>
      <c r="V261" s="3"/>
      <c r="W261" s="81"/>
      <c r="X261" s="81"/>
      <c r="Y261" s="81"/>
      <c r="Z261" s="81"/>
    </row>
    <row r="262" spans="1:26" ht="24" customHeight="1" x14ac:dyDescent="0.5">
      <c r="A262" s="3"/>
      <c r="B262" s="3"/>
      <c r="C262" s="3"/>
      <c r="D262" s="3"/>
      <c r="E262" s="3"/>
      <c r="F262" s="3"/>
      <c r="G262" s="83"/>
      <c r="H262" s="3"/>
      <c r="I262" s="3"/>
      <c r="J262" s="5"/>
      <c r="K262" s="3"/>
      <c r="L262" s="3"/>
      <c r="M262" s="5"/>
      <c r="N262" s="3"/>
      <c r="O262" s="5"/>
      <c r="P262" s="3"/>
      <c r="Q262" s="5"/>
      <c r="R262" s="3"/>
      <c r="S262" s="83"/>
      <c r="T262" s="3"/>
      <c r="U262" s="3"/>
      <c r="V262" s="3"/>
      <c r="W262" s="81"/>
      <c r="X262" s="81"/>
      <c r="Y262" s="81"/>
      <c r="Z262" s="81"/>
    </row>
    <row r="263" spans="1:26" ht="24" customHeight="1" x14ac:dyDescent="0.5">
      <c r="A263" s="3"/>
      <c r="B263" s="3"/>
      <c r="C263" s="3"/>
      <c r="D263" s="3"/>
      <c r="E263" s="3"/>
      <c r="F263" s="3"/>
      <c r="G263" s="83"/>
      <c r="H263" s="3"/>
      <c r="I263" s="3"/>
      <c r="J263" s="5"/>
      <c r="K263" s="3"/>
      <c r="L263" s="3"/>
      <c r="M263" s="5"/>
      <c r="N263" s="3"/>
      <c r="O263" s="5"/>
      <c r="P263" s="3"/>
      <c r="Q263" s="5"/>
      <c r="R263" s="3"/>
      <c r="S263" s="83"/>
      <c r="T263" s="3"/>
      <c r="U263" s="3"/>
      <c r="V263" s="3"/>
      <c r="W263" s="81"/>
      <c r="X263" s="81"/>
      <c r="Y263" s="81"/>
      <c r="Z263" s="81"/>
    </row>
    <row r="264" spans="1:26" ht="24" customHeight="1" x14ac:dyDescent="0.5">
      <c r="A264" s="3"/>
      <c r="B264" s="3"/>
      <c r="C264" s="3"/>
      <c r="D264" s="3"/>
      <c r="E264" s="3"/>
      <c r="F264" s="3"/>
      <c r="G264" s="83"/>
      <c r="H264" s="3"/>
      <c r="I264" s="3"/>
      <c r="J264" s="5"/>
      <c r="K264" s="3"/>
      <c r="L264" s="3"/>
      <c r="M264" s="5"/>
      <c r="N264" s="3"/>
      <c r="O264" s="5"/>
      <c r="P264" s="3"/>
      <c r="Q264" s="5"/>
      <c r="R264" s="3"/>
      <c r="S264" s="83"/>
      <c r="T264" s="3"/>
      <c r="U264" s="3"/>
      <c r="V264" s="3"/>
      <c r="W264" s="81"/>
      <c r="X264" s="81"/>
      <c r="Y264" s="81"/>
      <c r="Z264" s="81"/>
    </row>
    <row r="265" spans="1:26" ht="24" customHeight="1" x14ac:dyDescent="0.5">
      <c r="A265" s="3"/>
      <c r="B265" s="3"/>
      <c r="C265" s="3"/>
      <c r="D265" s="3"/>
      <c r="E265" s="3"/>
      <c r="F265" s="3"/>
      <c r="G265" s="83"/>
      <c r="H265" s="3"/>
      <c r="I265" s="3"/>
      <c r="J265" s="5"/>
      <c r="K265" s="3"/>
      <c r="L265" s="3"/>
      <c r="M265" s="5"/>
      <c r="N265" s="3"/>
      <c r="O265" s="5"/>
      <c r="P265" s="3"/>
      <c r="Q265" s="5"/>
      <c r="R265" s="3"/>
      <c r="S265" s="83"/>
      <c r="T265" s="3"/>
      <c r="U265" s="3"/>
      <c r="V265" s="3"/>
      <c r="W265" s="81"/>
      <c r="X265" s="81"/>
      <c r="Y265" s="81"/>
      <c r="Z265" s="81"/>
    </row>
    <row r="266" spans="1:26" ht="24" customHeight="1" x14ac:dyDescent="0.5">
      <c r="A266" s="3"/>
      <c r="B266" s="3"/>
      <c r="C266" s="3"/>
      <c r="D266" s="3"/>
      <c r="E266" s="3"/>
      <c r="F266" s="3"/>
      <c r="G266" s="83"/>
      <c r="H266" s="3"/>
      <c r="I266" s="3"/>
      <c r="J266" s="5"/>
      <c r="K266" s="3"/>
      <c r="L266" s="3"/>
      <c r="M266" s="5"/>
      <c r="N266" s="3"/>
      <c r="O266" s="5"/>
      <c r="P266" s="3"/>
      <c r="Q266" s="5"/>
      <c r="R266" s="3"/>
      <c r="S266" s="83"/>
      <c r="T266" s="3"/>
      <c r="U266" s="3"/>
      <c r="V266" s="3"/>
      <c r="W266" s="81"/>
      <c r="X266" s="81"/>
      <c r="Y266" s="81"/>
      <c r="Z266" s="81"/>
    </row>
    <row r="267" spans="1:26" ht="24" customHeight="1" x14ac:dyDescent="0.5">
      <c r="A267" s="3"/>
      <c r="B267" s="3"/>
      <c r="C267" s="3"/>
      <c r="D267" s="3"/>
      <c r="E267" s="3"/>
      <c r="F267" s="3"/>
      <c r="G267" s="83"/>
      <c r="H267" s="3"/>
      <c r="I267" s="3"/>
      <c r="J267" s="5"/>
      <c r="K267" s="3"/>
      <c r="L267" s="3"/>
      <c r="M267" s="5"/>
      <c r="N267" s="3"/>
      <c r="O267" s="5"/>
      <c r="P267" s="3"/>
      <c r="Q267" s="5"/>
      <c r="R267" s="3"/>
      <c r="S267" s="83"/>
      <c r="T267" s="3"/>
      <c r="U267" s="3"/>
      <c r="V267" s="3"/>
      <c r="W267" s="81"/>
      <c r="X267" s="81"/>
      <c r="Y267" s="81"/>
      <c r="Z267" s="81"/>
    </row>
    <row r="268" spans="1:26" ht="24" customHeight="1" x14ac:dyDescent="0.5">
      <c r="A268" s="3"/>
      <c r="B268" s="3"/>
      <c r="C268" s="3"/>
      <c r="D268" s="3"/>
      <c r="E268" s="3"/>
      <c r="F268" s="3"/>
      <c r="G268" s="83"/>
      <c r="H268" s="3"/>
      <c r="I268" s="3"/>
      <c r="J268" s="5"/>
      <c r="K268" s="3"/>
      <c r="L268" s="3"/>
      <c r="M268" s="5"/>
      <c r="N268" s="3"/>
      <c r="O268" s="5"/>
      <c r="P268" s="3"/>
      <c r="Q268" s="5"/>
      <c r="R268" s="3"/>
      <c r="S268" s="83"/>
      <c r="T268" s="3"/>
      <c r="U268" s="3"/>
      <c r="V268" s="3"/>
      <c r="W268" s="81"/>
      <c r="X268" s="81"/>
      <c r="Y268" s="81"/>
      <c r="Z268" s="81"/>
    </row>
    <row r="269" spans="1:26" ht="24" customHeight="1" x14ac:dyDescent="0.5">
      <c r="A269" s="3"/>
      <c r="B269" s="3"/>
      <c r="C269" s="3"/>
      <c r="D269" s="3"/>
      <c r="E269" s="3"/>
      <c r="F269" s="3"/>
      <c r="G269" s="83"/>
      <c r="H269" s="3"/>
      <c r="I269" s="3"/>
      <c r="J269" s="5"/>
      <c r="K269" s="3"/>
      <c r="L269" s="3"/>
      <c r="M269" s="5"/>
      <c r="N269" s="3"/>
      <c r="O269" s="5"/>
      <c r="P269" s="3"/>
      <c r="Q269" s="5"/>
      <c r="R269" s="3"/>
      <c r="S269" s="83"/>
      <c r="T269" s="3"/>
      <c r="U269" s="3"/>
      <c r="V269" s="3"/>
      <c r="W269" s="81"/>
      <c r="X269" s="81"/>
      <c r="Y269" s="81"/>
      <c r="Z269" s="81"/>
    </row>
    <row r="270" spans="1:26" ht="24" customHeight="1" x14ac:dyDescent="0.5">
      <c r="A270" s="3"/>
      <c r="B270" s="3"/>
      <c r="C270" s="3"/>
      <c r="D270" s="3"/>
      <c r="E270" s="3"/>
      <c r="F270" s="3"/>
      <c r="G270" s="83"/>
      <c r="H270" s="3"/>
      <c r="I270" s="3"/>
      <c r="J270" s="5"/>
      <c r="K270" s="3"/>
      <c r="L270" s="3"/>
      <c r="M270" s="5"/>
      <c r="N270" s="3"/>
      <c r="O270" s="5"/>
      <c r="P270" s="3"/>
      <c r="Q270" s="5"/>
      <c r="R270" s="3"/>
      <c r="S270" s="83"/>
      <c r="T270" s="3"/>
      <c r="U270" s="3"/>
      <c r="V270" s="3"/>
      <c r="W270" s="81"/>
      <c r="X270" s="81"/>
      <c r="Y270" s="81"/>
      <c r="Z270" s="81"/>
    </row>
    <row r="271" spans="1:26" ht="24" customHeight="1" x14ac:dyDescent="0.5">
      <c r="A271" s="3"/>
      <c r="B271" s="3"/>
      <c r="C271" s="3"/>
      <c r="D271" s="3"/>
      <c r="E271" s="3"/>
      <c r="F271" s="3"/>
      <c r="G271" s="83"/>
      <c r="H271" s="3"/>
      <c r="I271" s="3"/>
      <c r="J271" s="5"/>
      <c r="K271" s="3"/>
      <c r="L271" s="3"/>
      <c r="M271" s="5"/>
      <c r="N271" s="3"/>
      <c r="O271" s="5"/>
      <c r="P271" s="3"/>
      <c r="Q271" s="5"/>
      <c r="R271" s="3"/>
      <c r="S271" s="83"/>
      <c r="T271" s="3"/>
      <c r="U271" s="3"/>
      <c r="V271" s="3"/>
      <c r="W271" s="81"/>
      <c r="X271" s="81"/>
      <c r="Y271" s="81"/>
      <c r="Z271" s="81"/>
    </row>
    <row r="272" spans="1:26" ht="24" customHeight="1" x14ac:dyDescent="0.5">
      <c r="A272" s="3"/>
      <c r="B272" s="3"/>
      <c r="C272" s="3"/>
      <c r="D272" s="3"/>
      <c r="E272" s="3"/>
      <c r="F272" s="3"/>
      <c r="G272" s="83"/>
      <c r="H272" s="3"/>
      <c r="I272" s="3"/>
      <c r="J272" s="5"/>
      <c r="K272" s="3"/>
      <c r="L272" s="3"/>
      <c r="M272" s="5"/>
      <c r="N272" s="3"/>
      <c r="O272" s="5"/>
      <c r="P272" s="3"/>
      <c r="Q272" s="5"/>
      <c r="R272" s="3"/>
      <c r="S272" s="83"/>
      <c r="T272" s="3"/>
      <c r="U272" s="3"/>
      <c r="V272" s="3"/>
      <c r="W272" s="81"/>
      <c r="X272" s="81"/>
      <c r="Y272" s="81"/>
      <c r="Z272" s="81"/>
    </row>
    <row r="273" spans="1:26" ht="24" customHeight="1" x14ac:dyDescent="0.5">
      <c r="A273" s="3"/>
      <c r="B273" s="3"/>
      <c r="C273" s="3"/>
      <c r="D273" s="3"/>
      <c r="E273" s="3"/>
      <c r="F273" s="3"/>
      <c r="G273" s="83"/>
      <c r="H273" s="3"/>
      <c r="I273" s="3"/>
      <c r="J273" s="5"/>
      <c r="K273" s="3"/>
      <c r="L273" s="3"/>
      <c r="M273" s="5"/>
      <c r="N273" s="3"/>
      <c r="O273" s="5"/>
      <c r="P273" s="3"/>
      <c r="Q273" s="5"/>
      <c r="R273" s="3"/>
      <c r="S273" s="83"/>
      <c r="T273" s="3"/>
      <c r="U273" s="3"/>
      <c r="V273" s="3"/>
      <c r="W273" s="81"/>
      <c r="X273" s="81"/>
      <c r="Y273" s="81"/>
      <c r="Z273" s="81"/>
    </row>
    <row r="274" spans="1:26" ht="24" customHeight="1" x14ac:dyDescent="0.5">
      <c r="A274" s="3"/>
      <c r="B274" s="3"/>
      <c r="C274" s="3"/>
      <c r="D274" s="3"/>
      <c r="E274" s="3"/>
      <c r="F274" s="3"/>
      <c r="G274" s="83"/>
      <c r="H274" s="3"/>
      <c r="I274" s="3"/>
      <c r="J274" s="5"/>
      <c r="K274" s="3"/>
      <c r="L274" s="3"/>
      <c r="M274" s="5"/>
      <c r="N274" s="3"/>
      <c r="O274" s="5"/>
      <c r="P274" s="3"/>
      <c r="Q274" s="5"/>
      <c r="R274" s="3"/>
      <c r="S274" s="83"/>
      <c r="T274" s="3"/>
      <c r="U274" s="3"/>
      <c r="V274" s="3"/>
      <c r="W274" s="81"/>
      <c r="X274" s="81"/>
      <c r="Y274" s="81"/>
      <c r="Z274" s="81"/>
    </row>
    <row r="275" spans="1:26" ht="24" customHeight="1" x14ac:dyDescent="0.5">
      <c r="A275" s="3"/>
      <c r="B275" s="3"/>
      <c r="C275" s="3"/>
      <c r="D275" s="3"/>
      <c r="E275" s="3"/>
      <c r="F275" s="3"/>
      <c r="G275" s="83"/>
      <c r="H275" s="3"/>
      <c r="I275" s="3"/>
      <c r="J275" s="5"/>
      <c r="K275" s="3"/>
      <c r="L275" s="3"/>
      <c r="M275" s="5"/>
      <c r="N275" s="3"/>
      <c r="O275" s="5"/>
      <c r="P275" s="3"/>
      <c r="Q275" s="5"/>
      <c r="R275" s="3"/>
      <c r="S275" s="83"/>
      <c r="T275" s="3"/>
      <c r="U275" s="3"/>
      <c r="V275" s="3"/>
      <c r="W275" s="81"/>
      <c r="X275" s="81"/>
      <c r="Y275" s="81"/>
      <c r="Z275" s="81"/>
    </row>
    <row r="276" spans="1:26" ht="24" customHeight="1" x14ac:dyDescent="0.5">
      <c r="A276" s="3"/>
      <c r="B276" s="3"/>
      <c r="C276" s="3"/>
      <c r="D276" s="3"/>
      <c r="E276" s="3"/>
      <c r="F276" s="3"/>
      <c r="G276" s="83"/>
      <c r="H276" s="3"/>
      <c r="I276" s="3"/>
      <c r="J276" s="5"/>
      <c r="K276" s="3"/>
      <c r="L276" s="3"/>
      <c r="M276" s="5"/>
      <c r="N276" s="3"/>
      <c r="O276" s="5"/>
      <c r="P276" s="3"/>
      <c r="Q276" s="5"/>
      <c r="R276" s="3"/>
      <c r="S276" s="83"/>
      <c r="T276" s="3"/>
      <c r="U276" s="3"/>
      <c r="V276" s="3"/>
      <c r="W276" s="81"/>
      <c r="X276" s="81"/>
      <c r="Y276" s="81"/>
      <c r="Z276" s="81"/>
    </row>
    <row r="277" spans="1:26" ht="24" customHeight="1" x14ac:dyDescent="0.5">
      <c r="A277" s="3"/>
      <c r="B277" s="3"/>
      <c r="C277" s="3"/>
      <c r="D277" s="3"/>
      <c r="E277" s="3"/>
      <c r="F277" s="3"/>
      <c r="G277" s="83"/>
      <c r="H277" s="3"/>
      <c r="I277" s="3"/>
      <c r="J277" s="5"/>
      <c r="K277" s="3"/>
      <c r="L277" s="3"/>
      <c r="M277" s="5"/>
      <c r="N277" s="3"/>
      <c r="O277" s="5"/>
      <c r="P277" s="3"/>
      <c r="Q277" s="5"/>
      <c r="R277" s="3"/>
      <c r="S277" s="83"/>
      <c r="T277" s="3"/>
      <c r="U277" s="3"/>
      <c r="V277" s="3"/>
      <c r="W277" s="81"/>
      <c r="X277" s="81"/>
      <c r="Y277" s="81"/>
      <c r="Z277" s="81"/>
    </row>
    <row r="278" spans="1:26" ht="24" customHeight="1" x14ac:dyDescent="0.5">
      <c r="A278" s="3"/>
      <c r="B278" s="3"/>
      <c r="C278" s="3"/>
      <c r="D278" s="3"/>
      <c r="E278" s="3"/>
      <c r="F278" s="3"/>
      <c r="G278" s="83"/>
      <c r="H278" s="3"/>
      <c r="I278" s="3"/>
      <c r="J278" s="5"/>
      <c r="K278" s="3"/>
      <c r="L278" s="3"/>
      <c r="M278" s="5"/>
      <c r="N278" s="3"/>
      <c r="O278" s="5"/>
      <c r="P278" s="3"/>
      <c r="Q278" s="5"/>
      <c r="R278" s="3"/>
      <c r="S278" s="83"/>
      <c r="T278" s="3"/>
      <c r="U278" s="3"/>
      <c r="V278" s="3"/>
      <c r="W278" s="81"/>
      <c r="X278" s="81"/>
      <c r="Y278" s="81"/>
      <c r="Z278" s="81"/>
    </row>
    <row r="279" spans="1:26" ht="24" customHeight="1" x14ac:dyDescent="0.5">
      <c r="A279" s="3"/>
      <c r="B279" s="3"/>
      <c r="C279" s="3"/>
      <c r="D279" s="3"/>
      <c r="E279" s="3"/>
      <c r="F279" s="3"/>
      <c r="G279" s="83"/>
      <c r="H279" s="3"/>
      <c r="I279" s="3"/>
      <c r="J279" s="5"/>
      <c r="K279" s="3"/>
      <c r="L279" s="3"/>
      <c r="M279" s="5"/>
      <c r="N279" s="3"/>
      <c r="O279" s="5"/>
      <c r="P279" s="3"/>
      <c r="Q279" s="5"/>
      <c r="R279" s="3"/>
      <c r="S279" s="83"/>
      <c r="T279" s="3"/>
      <c r="U279" s="3"/>
      <c r="V279" s="3"/>
      <c r="W279" s="81"/>
      <c r="X279" s="81"/>
      <c r="Y279" s="81"/>
      <c r="Z279" s="81"/>
    </row>
    <row r="280" spans="1:26" ht="24" customHeight="1" x14ac:dyDescent="0.5">
      <c r="A280" s="3"/>
      <c r="B280" s="3"/>
      <c r="C280" s="3"/>
      <c r="D280" s="3"/>
      <c r="E280" s="3"/>
      <c r="F280" s="3"/>
      <c r="G280" s="83"/>
      <c r="H280" s="3"/>
      <c r="I280" s="3"/>
      <c r="J280" s="5"/>
      <c r="K280" s="3"/>
      <c r="L280" s="3"/>
      <c r="M280" s="5"/>
      <c r="N280" s="3"/>
      <c r="O280" s="5"/>
      <c r="P280" s="3"/>
      <c r="Q280" s="5"/>
      <c r="R280" s="3"/>
      <c r="S280" s="83"/>
      <c r="T280" s="3"/>
      <c r="U280" s="3"/>
      <c r="V280" s="3"/>
      <c r="W280" s="81"/>
      <c r="X280" s="81"/>
      <c r="Y280" s="81"/>
      <c r="Z280" s="81"/>
    </row>
    <row r="281" spans="1:26" ht="24" customHeight="1" x14ac:dyDescent="0.5">
      <c r="A281" s="3"/>
      <c r="B281" s="3"/>
      <c r="C281" s="3"/>
      <c r="D281" s="3"/>
      <c r="E281" s="3"/>
      <c r="F281" s="3"/>
      <c r="G281" s="83"/>
      <c r="H281" s="3"/>
      <c r="I281" s="3"/>
      <c r="J281" s="5"/>
      <c r="K281" s="3"/>
      <c r="L281" s="3"/>
      <c r="M281" s="5"/>
      <c r="N281" s="3"/>
      <c r="O281" s="5"/>
      <c r="P281" s="3"/>
      <c r="Q281" s="5"/>
      <c r="R281" s="3"/>
      <c r="S281" s="83"/>
      <c r="T281" s="3"/>
      <c r="U281" s="3"/>
      <c r="V281" s="3"/>
      <c r="W281" s="81"/>
      <c r="X281" s="81"/>
      <c r="Y281" s="81"/>
      <c r="Z281" s="81"/>
    </row>
    <row r="282" spans="1:26" ht="24" customHeight="1" x14ac:dyDescent="0.5">
      <c r="A282" s="3"/>
      <c r="B282" s="3"/>
      <c r="C282" s="3"/>
      <c r="D282" s="3"/>
      <c r="E282" s="3"/>
      <c r="F282" s="3"/>
      <c r="G282" s="83"/>
      <c r="H282" s="3"/>
      <c r="I282" s="3"/>
      <c r="J282" s="5"/>
      <c r="K282" s="3"/>
      <c r="L282" s="3"/>
      <c r="M282" s="5"/>
      <c r="N282" s="3"/>
      <c r="O282" s="5"/>
      <c r="P282" s="3"/>
      <c r="Q282" s="5"/>
      <c r="R282" s="3"/>
      <c r="S282" s="83"/>
      <c r="T282" s="3"/>
      <c r="U282" s="3"/>
      <c r="V282" s="3"/>
      <c r="W282" s="81"/>
      <c r="X282" s="81"/>
      <c r="Y282" s="81"/>
      <c r="Z282" s="81"/>
    </row>
    <row r="283" spans="1:26" ht="24" customHeight="1" x14ac:dyDescent="0.5">
      <c r="A283" s="3"/>
      <c r="B283" s="3"/>
      <c r="C283" s="3"/>
      <c r="D283" s="3"/>
      <c r="E283" s="3"/>
      <c r="F283" s="3"/>
      <c r="G283" s="83"/>
      <c r="H283" s="3"/>
      <c r="I283" s="3"/>
      <c r="J283" s="5"/>
      <c r="K283" s="3"/>
      <c r="L283" s="3"/>
      <c r="M283" s="5"/>
      <c r="N283" s="3"/>
      <c r="O283" s="5"/>
      <c r="P283" s="3"/>
      <c r="Q283" s="5"/>
      <c r="R283" s="3"/>
      <c r="S283" s="83"/>
      <c r="T283" s="3"/>
      <c r="U283" s="3"/>
      <c r="V283" s="3"/>
      <c r="W283" s="81"/>
      <c r="X283" s="81"/>
      <c r="Y283" s="81"/>
      <c r="Z283" s="81"/>
    </row>
    <row r="284" spans="1:26" ht="24" customHeight="1" x14ac:dyDescent="0.5">
      <c r="A284" s="3"/>
      <c r="B284" s="3"/>
      <c r="C284" s="3"/>
      <c r="D284" s="3"/>
      <c r="E284" s="3"/>
      <c r="F284" s="3"/>
      <c r="G284" s="83"/>
      <c r="H284" s="3"/>
      <c r="I284" s="3"/>
      <c r="J284" s="5"/>
      <c r="K284" s="3"/>
      <c r="L284" s="3"/>
      <c r="M284" s="5"/>
      <c r="N284" s="3"/>
      <c r="O284" s="5"/>
      <c r="P284" s="3"/>
      <c r="Q284" s="5"/>
      <c r="R284" s="3"/>
      <c r="S284" s="83"/>
      <c r="T284" s="3"/>
      <c r="U284" s="3"/>
      <c r="V284" s="3"/>
      <c r="W284" s="81"/>
      <c r="X284" s="81"/>
      <c r="Y284" s="81"/>
      <c r="Z284" s="81"/>
    </row>
    <row r="285" spans="1:26" ht="24" customHeight="1" x14ac:dyDescent="0.5">
      <c r="A285" s="3"/>
      <c r="B285" s="3"/>
      <c r="C285" s="3"/>
      <c r="D285" s="3"/>
      <c r="E285" s="3"/>
      <c r="F285" s="3"/>
      <c r="G285" s="83"/>
      <c r="H285" s="3"/>
      <c r="I285" s="3"/>
      <c r="J285" s="5"/>
      <c r="K285" s="3"/>
      <c r="L285" s="3"/>
      <c r="M285" s="5"/>
      <c r="N285" s="3"/>
      <c r="O285" s="5"/>
      <c r="P285" s="3"/>
      <c r="Q285" s="5"/>
      <c r="R285" s="3"/>
      <c r="S285" s="83"/>
      <c r="T285" s="3"/>
      <c r="U285" s="3"/>
      <c r="V285" s="3"/>
      <c r="W285" s="81"/>
      <c r="X285" s="81"/>
      <c r="Y285" s="81"/>
      <c r="Z285" s="81"/>
    </row>
    <row r="286" spans="1:26" ht="24" customHeight="1" x14ac:dyDescent="0.5">
      <c r="A286" s="3"/>
      <c r="B286" s="3"/>
      <c r="C286" s="3"/>
      <c r="D286" s="3"/>
      <c r="E286" s="3"/>
      <c r="F286" s="3"/>
      <c r="G286" s="83"/>
      <c r="H286" s="3"/>
      <c r="I286" s="3"/>
      <c r="J286" s="5"/>
      <c r="K286" s="3"/>
      <c r="L286" s="3"/>
      <c r="M286" s="5"/>
      <c r="N286" s="3"/>
      <c r="O286" s="5"/>
      <c r="P286" s="3"/>
      <c r="Q286" s="5"/>
      <c r="R286" s="3"/>
      <c r="S286" s="83"/>
      <c r="T286" s="3"/>
      <c r="U286" s="3"/>
      <c r="V286" s="3"/>
      <c r="W286" s="81"/>
      <c r="X286" s="81"/>
      <c r="Y286" s="81"/>
      <c r="Z286" s="81"/>
    </row>
    <row r="287" spans="1:26" ht="24" customHeight="1" x14ac:dyDescent="0.5">
      <c r="A287" s="3"/>
      <c r="B287" s="3"/>
      <c r="C287" s="3"/>
      <c r="D287" s="3"/>
      <c r="E287" s="3"/>
      <c r="F287" s="3"/>
      <c r="G287" s="83"/>
      <c r="H287" s="3"/>
      <c r="I287" s="3"/>
      <c r="J287" s="5"/>
      <c r="K287" s="3"/>
      <c r="L287" s="3"/>
      <c r="M287" s="5"/>
      <c r="N287" s="3"/>
      <c r="O287" s="5"/>
      <c r="P287" s="3"/>
      <c r="Q287" s="5"/>
      <c r="R287" s="3"/>
      <c r="S287" s="83"/>
      <c r="T287" s="3"/>
      <c r="U287" s="3"/>
      <c r="V287" s="3"/>
      <c r="W287" s="81"/>
      <c r="X287" s="81"/>
      <c r="Y287" s="81"/>
      <c r="Z287" s="81"/>
    </row>
    <row r="288" spans="1:26" ht="24" customHeight="1" x14ac:dyDescent="0.5">
      <c r="A288" s="3"/>
      <c r="B288" s="3"/>
      <c r="C288" s="3"/>
      <c r="D288" s="3"/>
      <c r="E288" s="3"/>
      <c r="F288" s="3"/>
      <c r="G288" s="83"/>
      <c r="H288" s="3"/>
      <c r="I288" s="3"/>
      <c r="J288" s="5"/>
      <c r="K288" s="3"/>
      <c r="L288" s="3"/>
      <c r="M288" s="5"/>
      <c r="N288" s="3"/>
      <c r="O288" s="5"/>
      <c r="P288" s="3"/>
      <c r="Q288" s="5"/>
      <c r="R288" s="3"/>
      <c r="S288" s="83"/>
      <c r="T288" s="3"/>
      <c r="U288" s="3"/>
      <c r="V288" s="3"/>
      <c r="W288" s="81"/>
      <c r="X288" s="81"/>
      <c r="Y288" s="81"/>
      <c r="Z288" s="81"/>
    </row>
    <row r="289" spans="1:26" ht="24" customHeight="1" x14ac:dyDescent="0.5">
      <c r="A289" s="3"/>
      <c r="B289" s="3"/>
      <c r="C289" s="3"/>
      <c r="D289" s="3"/>
      <c r="E289" s="3"/>
      <c r="F289" s="3"/>
      <c r="G289" s="83"/>
      <c r="H289" s="3"/>
      <c r="I289" s="3"/>
      <c r="J289" s="5"/>
      <c r="K289" s="3"/>
      <c r="L289" s="3"/>
      <c r="M289" s="5"/>
      <c r="N289" s="3"/>
      <c r="O289" s="5"/>
      <c r="P289" s="3"/>
      <c r="Q289" s="5"/>
      <c r="R289" s="3"/>
      <c r="S289" s="83"/>
      <c r="T289" s="3"/>
      <c r="U289" s="3"/>
      <c r="V289" s="3"/>
      <c r="W289" s="81"/>
      <c r="X289" s="81"/>
      <c r="Y289" s="81"/>
      <c r="Z289" s="81"/>
    </row>
    <row r="290" spans="1:26" ht="24" customHeight="1" x14ac:dyDescent="0.5">
      <c r="A290" s="3"/>
      <c r="B290" s="3"/>
      <c r="C290" s="3"/>
      <c r="D290" s="3"/>
      <c r="E290" s="3"/>
      <c r="F290" s="3"/>
      <c r="G290" s="83"/>
      <c r="H290" s="3"/>
      <c r="I290" s="3"/>
      <c r="J290" s="5"/>
      <c r="K290" s="3"/>
      <c r="L290" s="3"/>
      <c r="M290" s="5"/>
      <c r="N290" s="3"/>
      <c r="O290" s="5"/>
      <c r="P290" s="3"/>
      <c r="Q290" s="5"/>
      <c r="R290" s="3"/>
      <c r="S290" s="83"/>
      <c r="T290" s="3"/>
      <c r="U290" s="3"/>
      <c r="V290" s="3"/>
      <c r="W290" s="81"/>
      <c r="X290" s="81"/>
      <c r="Y290" s="81"/>
      <c r="Z290" s="81"/>
    </row>
    <row r="291" spans="1:26" ht="24" customHeight="1" x14ac:dyDescent="0.5">
      <c r="A291" s="3"/>
      <c r="B291" s="3"/>
      <c r="C291" s="3"/>
      <c r="D291" s="3"/>
      <c r="E291" s="3"/>
      <c r="F291" s="3"/>
      <c r="G291" s="83"/>
      <c r="H291" s="3"/>
      <c r="I291" s="3"/>
      <c r="J291" s="5"/>
      <c r="K291" s="3"/>
      <c r="L291" s="3"/>
      <c r="M291" s="5"/>
      <c r="N291" s="3"/>
      <c r="O291" s="5"/>
      <c r="P291" s="3"/>
      <c r="Q291" s="5"/>
      <c r="R291" s="3"/>
      <c r="S291" s="83"/>
      <c r="T291" s="3"/>
      <c r="U291" s="3"/>
      <c r="V291" s="3"/>
      <c r="W291" s="81"/>
      <c r="X291" s="81"/>
      <c r="Y291" s="81"/>
      <c r="Z291" s="81"/>
    </row>
    <row r="292" spans="1:26" ht="24" customHeight="1" x14ac:dyDescent="0.5">
      <c r="A292" s="3"/>
      <c r="B292" s="3"/>
      <c r="C292" s="3"/>
      <c r="D292" s="3"/>
      <c r="E292" s="3"/>
      <c r="F292" s="3"/>
      <c r="G292" s="83"/>
      <c r="H292" s="3"/>
      <c r="I292" s="3"/>
      <c r="J292" s="5"/>
      <c r="K292" s="3"/>
      <c r="L292" s="3"/>
      <c r="M292" s="5"/>
      <c r="N292" s="3"/>
      <c r="O292" s="5"/>
      <c r="P292" s="3"/>
      <c r="Q292" s="5"/>
      <c r="R292" s="3"/>
      <c r="S292" s="83"/>
      <c r="T292" s="3"/>
      <c r="U292" s="3"/>
      <c r="V292" s="3"/>
      <c r="W292" s="81"/>
      <c r="X292" s="81"/>
      <c r="Y292" s="81"/>
      <c r="Z292" s="81"/>
    </row>
    <row r="293" spans="1:26" ht="24" customHeight="1" x14ac:dyDescent="0.5">
      <c r="A293" s="3"/>
      <c r="B293" s="3"/>
      <c r="C293" s="3"/>
      <c r="D293" s="3"/>
      <c r="E293" s="3"/>
      <c r="F293" s="3"/>
      <c r="G293" s="83"/>
      <c r="H293" s="3"/>
      <c r="I293" s="3"/>
      <c r="J293" s="5"/>
      <c r="K293" s="3"/>
      <c r="L293" s="3"/>
      <c r="M293" s="5"/>
      <c r="N293" s="3"/>
      <c r="O293" s="5"/>
      <c r="P293" s="3"/>
      <c r="Q293" s="5"/>
      <c r="R293" s="3"/>
      <c r="S293" s="83"/>
      <c r="T293" s="3"/>
      <c r="U293" s="3"/>
      <c r="V293" s="3"/>
      <c r="W293" s="81"/>
      <c r="X293" s="81"/>
      <c r="Y293" s="81"/>
      <c r="Z293" s="81"/>
    </row>
    <row r="294" spans="1:26" ht="24" customHeight="1" x14ac:dyDescent="0.5">
      <c r="A294" s="3"/>
      <c r="B294" s="3"/>
      <c r="C294" s="3"/>
      <c r="D294" s="3"/>
      <c r="E294" s="3"/>
      <c r="F294" s="3"/>
      <c r="G294" s="83"/>
      <c r="H294" s="3"/>
      <c r="I294" s="3"/>
      <c r="J294" s="5"/>
      <c r="K294" s="3"/>
      <c r="L294" s="3"/>
      <c r="M294" s="5"/>
      <c r="N294" s="3"/>
      <c r="O294" s="5"/>
      <c r="P294" s="3"/>
      <c r="Q294" s="5"/>
      <c r="R294" s="3"/>
      <c r="S294" s="83"/>
      <c r="T294" s="3"/>
      <c r="U294" s="3"/>
      <c r="V294" s="3"/>
      <c r="W294" s="81"/>
      <c r="X294" s="81"/>
      <c r="Y294" s="81"/>
      <c r="Z294" s="81"/>
    </row>
    <row r="295" spans="1:26" ht="24" customHeight="1" x14ac:dyDescent="0.5">
      <c r="A295" s="3"/>
      <c r="B295" s="3"/>
      <c r="C295" s="3"/>
      <c r="D295" s="3"/>
      <c r="E295" s="3"/>
      <c r="F295" s="3"/>
      <c r="G295" s="83"/>
      <c r="H295" s="3"/>
      <c r="I295" s="3"/>
      <c r="J295" s="5"/>
      <c r="K295" s="3"/>
      <c r="L295" s="3"/>
      <c r="M295" s="5"/>
      <c r="N295" s="3"/>
      <c r="O295" s="5"/>
      <c r="P295" s="3"/>
      <c r="Q295" s="5"/>
      <c r="R295" s="3"/>
      <c r="S295" s="83"/>
      <c r="T295" s="3"/>
      <c r="U295" s="3"/>
      <c r="V295" s="3"/>
      <c r="W295" s="81"/>
      <c r="X295" s="81"/>
      <c r="Y295" s="81"/>
      <c r="Z295" s="81"/>
    </row>
    <row r="296" spans="1:26" ht="24" customHeight="1" x14ac:dyDescent="0.5">
      <c r="A296" s="3"/>
      <c r="B296" s="3"/>
      <c r="C296" s="3"/>
      <c r="D296" s="3"/>
      <c r="E296" s="3"/>
      <c r="F296" s="3"/>
      <c r="G296" s="83"/>
      <c r="H296" s="3"/>
      <c r="I296" s="3"/>
      <c r="J296" s="5"/>
      <c r="K296" s="3"/>
      <c r="L296" s="3"/>
      <c r="M296" s="5"/>
      <c r="N296" s="3"/>
      <c r="O296" s="5"/>
      <c r="P296" s="3"/>
      <c r="Q296" s="5"/>
      <c r="R296" s="3"/>
      <c r="S296" s="83"/>
      <c r="T296" s="3"/>
      <c r="U296" s="3"/>
      <c r="V296" s="3"/>
      <c r="W296" s="81"/>
      <c r="X296" s="81"/>
      <c r="Y296" s="81"/>
      <c r="Z296" s="81"/>
    </row>
    <row r="297" spans="1:26" ht="24" customHeight="1" x14ac:dyDescent="0.5">
      <c r="A297" s="3"/>
      <c r="B297" s="3"/>
      <c r="C297" s="3"/>
      <c r="D297" s="3"/>
      <c r="E297" s="3"/>
      <c r="F297" s="3"/>
      <c r="G297" s="83"/>
      <c r="H297" s="3"/>
      <c r="I297" s="3"/>
      <c r="J297" s="5"/>
      <c r="K297" s="3"/>
      <c r="L297" s="3"/>
      <c r="M297" s="5"/>
      <c r="N297" s="3"/>
      <c r="O297" s="5"/>
      <c r="P297" s="3"/>
      <c r="Q297" s="5"/>
      <c r="R297" s="3"/>
      <c r="S297" s="83"/>
      <c r="T297" s="3"/>
      <c r="U297" s="3"/>
      <c r="V297" s="3"/>
      <c r="W297" s="81"/>
      <c r="X297" s="81"/>
      <c r="Y297" s="81"/>
      <c r="Z297" s="81"/>
    </row>
    <row r="298" spans="1:26" ht="24" customHeight="1" x14ac:dyDescent="0.5">
      <c r="A298" s="3"/>
      <c r="B298" s="3"/>
      <c r="C298" s="3"/>
      <c r="D298" s="3"/>
      <c r="E298" s="3"/>
      <c r="F298" s="3"/>
      <c r="G298" s="83"/>
      <c r="H298" s="3"/>
      <c r="I298" s="3"/>
      <c r="J298" s="5"/>
      <c r="K298" s="3"/>
      <c r="L298" s="3"/>
      <c r="M298" s="5"/>
      <c r="N298" s="3"/>
      <c r="O298" s="5"/>
      <c r="P298" s="3"/>
      <c r="Q298" s="5"/>
      <c r="R298" s="3"/>
      <c r="S298" s="83"/>
      <c r="T298" s="3"/>
      <c r="U298" s="3"/>
      <c r="V298" s="3"/>
      <c r="W298" s="81"/>
      <c r="X298" s="81"/>
      <c r="Y298" s="81"/>
      <c r="Z298" s="81"/>
    </row>
    <row r="299" spans="1:26" ht="24" customHeight="1" x14ac:dyDescent="0.5">
      <c r="A299" s="3"/>
      <c r="B299" s="3"/>
      <c r="C299" s="3"/>
      <c r="D299" s="3"/>
      <c r="E299" s="3"/>
      <c r="F299" s="3"/>
      <c r="G299" s="83"/>
      <c r="H299" s="3"/>
      <c r="I299" s="3"/>
      <c r="J299" s="5"/>
      <c r="K299" s="3"/>
      <c r="L299" s="3"/>
      <c r="M299" s="5"/>
      <c r="N299" s="3"/>
      <c r="O299" s="5"/>
      <c r="P299" s="3"/>
      <c r="Q299" s="5"/>
      <c r="R299" s="3"/>
      <c r="S299" s="83"/>
      <c r="T299" s="3"/>
      <c r="U299" s="3"/>
      <c r="V299" s="3"/>
      <c r="W299" s="81"/>
      <c r="X299" s="81"/>
      <c r="Y299" s="81"/>
      <c r="Z299" s="81"/>
    </row>
    <row r="300" spans="1:26" ht="24" customHeight="1" x14ac:dyDescent="0.5">
      <c r="A300" s="3"/>
      <c r="B300" s="3"/>
      <c r="C300" s="3"/>
      <c r="D300" s="3"/>
      <c r="E300" s="3"/>
      <c r="F300" s="3"/>
      <c r="G300" s="83"/>
      <c r="H300" s="3"/>
      <c r="I300" s="3"/>
      <c r="J300" s="5"/>
      <c r="K300" s="3"/>
      <c r="L300" s="3"/>
      <c r="M300" s="5"/>
      <c r="N300" s="3"/>
      <c r="O300" s="5"/>
      <c r="P300" s="3"/>
      <c r="Q300" s="5"/>
      <c r="R300" s="3"/>
      <c r="S300" s="83"/>
      <c r="T300" s="3"/>
      <c r="U300" s="3"/>
      <c r="V300" s="3"/>
      <c r="W300" s="81"/>
      <c r="X300" s="81"/>
      <c r="Y300" s="81"/>
      <c r="Z300" s="81"/>
    </row>
    <row r="301" spans="1:26" ht="24" customHeight="1" x14ac:dyDescent="0.5">
      <c r="A301" s="3"/>
      <c r="B301" s="3"/>
      <c r="C301" s="3"/>
      <c r="D301" s="3"/>
      <c r="E301" s="3"/>
      <c r="F301" s="3"/>
      <c r="G301" s="83"/>
      <c r="H301" s="3"/>
      <c r="I301" s="3"/>
      <c r="J301" s="5"/>
      <c r="K301" s="3"/>
      <c r="L301" s="3"/>
      <c r="M301" s="5"/>
      <c r="N301" s="3"/>
      <c r="O301" s="5"/>
      <c r="P301" s="3"/>
      <c r="Q301" s="5"/>
      <c r="R301" s="3"/>
      <c r="S301" s="83"/>
      <c r="T301" s="3"/>
      <c r="U301" s="3"/>
      <c r="V301" s="3"/>
      <c r="W301" s="81"/>
      <c r="X301" s="81"/>
      <c r="Y301" s="81"/>
      <c r="Z301" s="81"/>
    </row>
    <row r="302" spans="1:26" ht="24" customHeight="1" x14ac:dyDescent="0.5">
      <c r="A302" s="3"/>
      <c r="B302" s="3"/>
      <c r="C302" s="3"/>
      <c r="D302" s="3"/>
      <c r="E302" s="3"/>
      <c r="F302" s="3"/>
      <c r="G302" s="83"/>
      <c r="H302" s="3"/>
      <c r="I302" s="3"/>
      <c r="J302" s="5"/>
      <c r="K302" s="3"/>
      <c r="L302" s="3"/>
      <c r="M302" s="5"/>
      <c r="N302" s="3"/>
      <c r="O302" s="5"/>
      <c r="P302" s="3"/>
      <c r="Q302" s="5"/>
      <c r="R302" s="3"/>
      <c r="S302" s="83"/>
      <c r="T302" s="3"/>
      <c r="U302" s="3"/>
      <c r="V302" s="3"/>
      <c r="W302" s="81"/>
      <c r="X302" s="81"/>
      <c r="Y302" s="81"/>
      <c r="Z302" s="81"/>
    </row>
    <row r="303" spans="1:26" ht="24" customHeight="1" x14ac:dyDescent="0.5">
      <c r="A303" s="3"/>
      <c r="B303" s="3"/>
      <c r="C303" s="3"/>
      <c r="D303" s="3"/>
      <c r="E303" s="3"/>
      <c r="F303" s="3"/>
      <c r="G303" s="83"/>
      <c r="H303" s="3"/>
      <c r="I303" s="3"/>
      <c r="J303" s="5"/>
      <c r="K303" s="3"/>
      <c r="L303" s="3"/>
      <c r="M303" s="5"/>
      <c r="N303" s="3"/>
      <c r="O303" s="5"/>
      <c r="P303" s="3"/>
      <c r="Q303" s="5"/>
      <c r="R303" s="3"/>
      <c r="S303" s="83"/>
      <c r="T303" s="3"/>
      <c r="U303" s="3"/>
      <c r="V303" s="3"/>
      <c r="W303" s="81"/>
      <c r="X303" s="81"/>
      <c r="Y303" s="81"/>
      <c r="Z303" s="81"/>
    </row>
    <row r="304" spans="1:26" ht="24" customHeight="1" x14ac:dyDescent="0.5">
      <c r="A304" s="3"/>
      <c r="B304" s="3"/>
      <c r="C304" s="3"/>
      <c r="D304" s="3"/>
      <c r="E304" s="3"/>
      <c r="F304" s="3"/>
      <c r="G304" s="83"/>
      <c r="H304" s="3"/>
      <c r="I304" s="3"/>
      <c r="J304" s="5"/>
      <c r="K304" s="3"/>
      <c r="L304" s="3"/>
      <c r="M304" s="5"/>
      <c r="N304" s="3"/>
      <c r="O304" s="5"/>
      <c r="P304" s="3"/>
      <c r="Q304" s="5"/>
      <c r="R304" s="3"/>
      <c r="S304" s="83"/>
      <c r="T304" s="3"/>
      <c r="U304" s="3"/>
      <c r="V304" s="3"/>
      <c r="W304" s="81"/>
      <c r="X304" s="81"/>
      <c r="Y304" s="81"/>
      <c r="Z304" s="81"/>
    </row>
    <row r="305" spans="1:26" ht="24" customHeight="1" x14ac:dyDescent="0.5">
      <c r="A305" s="3"/>
      <c r="B305" s="3"/>
      <c r="C305" s="3"/>
      <c r="D305" s="3"/>
      <c r="E305" s="3"/>
      <c r="F305" s="3"/>
      <c r="G305" s="83"/>
      <c r="H305" s="3"/>
      <c r="I305" s="3"/>
      <c r="J305" s="5"/>
      <c r="K305" s="3"/>
      <c r="L305" s="3"/>
      <c r="M305" s="5"/>
      <c r="N305" s="3"/>
      <c r="O305" s="5"/>
      <c r="P305" s="3"/>
      <c r="Q305" s="5"/>
      <c r="R305" s="3"/>
      <c r="S305" s="83"/>
      <c r="T305" s="3"/>
      <c r="U305" s="3"/>
      <c r="V305" s="3"/>
      <c r="W305" s="81"/>
      <c r="X305" s="81"/>
      <c r="Y305" s="81"/>
      <c r="Z305" s="81"/>
    </row>
    <row r="306" spans="1:26" ht="24" customHeight="1" x14ac:dyDescent="0.5">
      <c r="A306" s="3"/>
      <c r="B306" s="3"/>
      <c r="C306" s="3"/>
      <c r="D306" s="3"/>
      <c r="E306" s="3"/>
      <c r="F306" s="3"/>
      <c r="G306" s="83"/>
      <c r="H306" s="3"/>
      <c r="I306" s="3"/>
      <c r="J306" s="5"/>
      <c r="K306" s="3"/>
      <c r="L306" s="3"/>
      <c r="M306" s="5"/>
      <c r="N306" s="3"/>
      <c r="O306" s="5"/>
      <c r="P306" s="3"/>
      <c r="Q306" s="5"/>
      <c r="R306" s="3"/>
      <c r="S306" s="83"/>
      <c r="T306" s="3"/>
      <c r="U306" s="3"/>
      <c r="V306" s="3"/>
      <c r="W306" s="81"/>
      <c r="X306" s="81"/>
      <c r="Y306" s="81"/>
      <c r="Z306" s="81"/>
    </row>
    <row r="307" spans="1:26" ht="24" customHeight="1" x14ac:dyDescent="0.5">
      <c r="A307" s="3"/>
      <c r="B307" s="3"/>
      <c r="C307" s="3"/>
      <c r="D307" s="3"/>
      <c r="E307" s="3"/>
      <c r="F307" s="3"/>
      <c r="G307" s="83"/>
      <c r="H307" s="3"/>
      <c r="I307" s="3"/>
      <c r="J307" s="5"/>
      <c r="K307" s="3"/>
      <c r="L307" s="3"/>
      <c r="M307" s="5"/>
      <c r="N307" s="3"/>
      <c r="O307" s="5"/>
      <c r="P307" s="3"/>
      <c r="Q307" s="5"/>
      <c r="R307" s="3"/>
      <c r="S307" s="83"/>
      <c r="T307" s="3"/>
      <c r="U307" s="3"/>
      <c r="V307" s="3"/>
      <c r="W307" s="81"/>
      <c r="X307" s="81"/>
      <c r="Y307" s="81"/>
      <c r="Z307" s="81"/>
    </row>
    <row r="308" spans="1:26" ht="24" customHeight="1" x14ac:dyDescent="0.5">
      <c r="A308" s="3"/>
      <c r="B308" s="3"/>
      <c r="C308" s="3"/>
      <c r="D308" s="3"/>
      <c r="E308" s="3"/>
      <c r="F308" s="3"/>
      <c r="G308" s="83"/>
      <c r="H308" s="3"/>
      <c r="I308" s="3"/>
      <c r="J308" s="5"/>
      <c r="K308" s="3"/>
      <c r="L308" s="3"/>
      <c r="M308" s="5"/>
      <c r="N308" s="3"/>
      <c r="O308" s="5"/>
      <c r="P308" s="3"/>
      <c r="Q308" s="5"/>
      <c r="R308" s="3"/>
      <c r="S308" s="83"/>
      <c r="T308" s="3"/>
      <c r="U308" s="3"/>
      <c r="V308" s="3"/>
      <c r="W308" s="81"/>
      <c r="X308" s="81"/>
      <c r="Y308" s="81"/>
      <c r="Z308" s="81"/>
    </row>
    <row r="309" spans="1:26" ht="24" customHeight="1" x14ac:dyDescent="0.5">
      <c r="A309" s="3"/>
      <c r="B309" s="3"/>
      <c r="C309" s="3"/>
      <c r="D309" s="3"/>
      <c r="E309" s="3"/>
      <c r="F309" s="3"/>
      <c r="G309" s="83"/>
      <c r="H309" s="3"/>
      <c r="I309" s="3"/>
      <c r="J309" s="5"/>
      <c r="K309" s="3"/>
      <c r="L309" s="3"/>
      <c r="M309" s="5"/>
      <c r="N309" s="3"/>
      <c r="O309" s="5"/>
      <c r="P309" s="3"/>
      <c r="Q309" s="5"/>
      <c r="R309" s="3"/>
      <c r="S309" s="83"/>
      <c r="T309" s="3"/>
      <c r="U309" s="3"/>
      <c r="V309" s="3"/>
      <c r="W309" s="81"/>
      <c r="X309" s="81"/>
      <c r="Y309" s="81"/>
      <c r="Z309" s="81"/>
    </row>
    <row r="310" spans="1:26" ht="24" customHeight="1" x14ac:dyDescent="0.5">
      <c r="A310" s="3"/>
      <c r="B310" s="3"/>
      <c r="C310" s="3"/>
      <c r="D310" s="3"/>
      <c r="E310" s="3"/>
      <c r="F310" s="3"/>
      <c r="G310" s="83"/>
      <c r="H310" s="3"/>
      <c r="I310" s="3"/>
      <c r="J310" s="5"/>
      <c r="K310" s="3"/>
      <c r="L310" s="3"/>
      <c r="M310" s="5"/>
      <c r="N310" s="3"/>
      <c r="O310" s="5"/>
      <c r="P310" s="3"/>
      <c r="Q310" s="5"/>
      <c r="R310" s="3"/>
      <c r="S310" s="83"/>
      <c r="T310" s="3"/>
      <c r="U310" s="3"/>
      <c r="V310" s="3"/>
      <c r="W310" s="81"/>
      <c r="X310" s="81"/>
      <c r="Y310" s="81"/>
      <c r="Z310" s="81"/>
    </row>
    <row r="311" spans="1:26" ht="24" customHeight="1" x14ac:dyDescent="0.5">
      <c r="A311" s="3"/>
      <c r="B311" s="3"/>
      <c r="C311" s="3"/>
      <c r="D311" s="3"/>
      <c r="E311" s="3"/>
      <c r="F311" s="3"/>
      <c r="G311" s="83"/>
      <c r="H311" s="3"/>
      <c r="I311" s="3"/>
      <c r="J311" s="5"/>
      <c r="K311" s="3"/>
      <c r="L311" s="3"/>
      <c r="M311" s="5"/>
      <c r="N311" s="3"/>
      <c r="O311" s="5"/>
      <c r="P311" s="3"/>
      <c r="Q311" s="5"/>
      <c r="R311" s="3"/>
      <c r="S311" s="83"/>
      <c r="T311" s="3"/>
      <c r="U311" s="3"/>
      <c r="V311" s="3"/>
      <c r="W311" s="81"/>
      <c r="X311" s="81"/>
      <c r="Y311" s="81"/>
      <c r="Z311" s="81"/>
    </row>
    <row r="312" spans="1:26" ht="24" customHeight="1" x14ac:dyDescent="0.5">
      <c r="A312" s="3"/>
      <c r="B312" s="3"/>
      <c r="C312" s="3"/>
      <c r="D312" s="3"/>
      <c r="E312" s="3"/>
      <c r="F312" s="3"/>
      <c r="G312" s="83"/>
      <c r="H312" s="3"/>
      <c r="I312" s="3"/>
      <c r="J312" s="5"/>
      <c r="K312" s="3"/>
      <c r="L312" s="3"/>
      <c r="M312" s="5"/>
      <c r="N312" s="3"/>
      <c r="O312" s="5"/>
      <c r="P312" s="3"/>
      <c r="Q312" s="5"/>
      <c r="R312" s="3"/>
      <c r="S312" s="83"/>
      <c r="T312" s="3"/>
      <c r="U312" s="3"/>
      <c r="V312" s="3"/>
      <c r="W312" s="81"/>
      <c r="X312" s="81"/>
      <c r="Y312" s="81"/>
      <c r="Z312" s="81"/>
    </row>
    <row r="313" spans="1:26" ht="24" customHeight="1" x14ac:dyDescent="0.5">
      <c r="A313" s="3"/>
      <c r="B313" s="3"/>
      <c r="C313" s="3"/>
      <c r="D313" s="3"/>
      <c r="E313" s="3"/>
      <c r="F313" s="3"/>
      <c r="G313" s="83"/>
      <c r="H313" s="3"/>
      <c r="I313" s="3"/>
      <c r="J313" s="5"/>
      <c r="K313" s="3"/>
      <c r="L313" s="3"/>
      <c r="M313" s="5"/>
      <c r="N313" s="3"/>
      <c r="O313" s="5"/>
      <c r="P313" s="3"/>
      <c r="Q313" s="5"/>
      <c r="R313" s="3"/>
      <c r="S313" s="83"/>
      <c r="T313" s="3"/>
      <c r="U313" s="3"/>
      <c r="V313" s="3"/>
      <c r="W313" s="81"/>
      <c r="X313" s="81"/>
      <c r="Y313" s="81"/>
      <c r="Z313" s="81"/>
    </row>
    <row r="314" spans="1:26" ht="24" customHeight="1" x14ac:dyDescent="0.5">
      <c r="A314" s="3"/>
      <c r="B314" s="3"/>
      <c r="C314" s="3"/>
      <c r="D314" s="3"/>
      <c r="E314" s="3"/>
      <c r="F314" s="3"/>
      <c r="G314" s="83"/>
      <c r="H314" s="3"/>
      <c r="I314" s="3"/>
      <c r="J314" s="5"/>
      <c r="K314" s="3"/>
      <c r="L314" s="3"/>
      <c r="M314" s="5"/>
      <c r="N314" s="3"/>
      <c r="O314" s="5"/>
      <c r="P314" s="3"/>
      <c r="Q314" s="5"/>
      <c r="R314" s="3"/>
      <c r="S314" s="83"/>
      <c r="T314" s="3"/>
      <c r="U314" s="3"/>
      <c r="V314" s="3"/>
      <c r="W314" s="81"/>
      <c r="X314" s="81"/>
      <c r="Y314" s="81"/>
      <c r="Z314" s="81"/>
    </row>
    <row r="315" spans="1:26" ht="24" customHeight="1" x14ac:dyDescent="0.5">
      <c r="A315" s="81"/>
      <c r="B315" s="81"/>
      <c r="C315" s="81"/>
      <c r="D315" s="81"/>
      <c r="E315" s="81"/>
      <c r="F315" s="81"/>
      <c r="G315" s="105"/>
      <c r="H315" s="81"/>
      <c r="I315" s="81"/>
      <c r="J315" s="82"/>
      <c r="K315" s="81"/>
      <c r="L315" s="81"/>
      <c r="M315" s="82"/>
      <c r="N315" s="81"/>
      <c r="O315" s="82"/>
      <c r="P315" s="81"/>
      <c r="Q315" s="82"/>
      <c r="R315" s="81"/>
      <c r="S315" s="105"/>
      <c r="T315" s="81"/>
      <c r="U315" s="81"/>
      <c r="V315" s="81"/>
      <c r="W315" s="81"/>
      <c r="X315" s="81"/>
      <c r="Y315" s="81"/>
      <c r="Z315" s="81"/>
    </row>
    <row r="316" spans="1:26" ht="24" customHeight="1" x14ac:dyDescent="0.5">
      <c r="A316" s="81"/>
      <c r="B316" s="81"/>
      <c r="C316" s="81"/>
      <c r="D316" s="81"/>
      <c r="E316" s="81"/>
      <c r="F316" s="81"/>
      <c r="G316" s="105"/>
      <c r="H316" s="81"/>
      <c r="I316" s="81"/>
      <c r="J316" s="82"/>
      <c r="K316" s="81"/>
      <c r="L316" s="81"/>
      <c r="M316" s="82"/>
      <c r="N316" s="81"/>
      <c r="O316" s="82"/>
      <c r="P316" s="81"/>
      <c r="Q316" s="82"/>
      <c r="R316" s="81"/>
      <c r="S316" s="105"/>
      <c r="T316" s="81"/>
      <c r="U316" s="81"/>
      <c r="V316" s="81"/>
      <c r="W316" s="81"/>
      <c r="X316" s="81"/>
      <c r="Y316" s="81"/>
      <c r="Z316" s="81"/>
    </row>
    <row r="317" spans="1:26" ht="24" customHeight="1" x14ac:dyDescent="0.5">
      <c r="A317" s="81"/>
      <c r="B317" s="81"/>
      <c r="C317" s="81"/>
      <c r="D317" s="81"/>
      <c r="E317" s="81"/>
      <c r="F317" s="81"/>
      <c r="G317" s="105"/>
      <c r="H317" s="81"/>
      <c r="I317" s="81"/>
      <c r="J317" s="82"/>
      <c r="K317" s="81"/>
      <c r="L317" s="81"/>
      <c r="M317" s="82"/>
      <c r="N317" s="81"/>
      <c r="O317" s="82"/>
      <c r="P317" s="81"/>
      <c r="Q317" s="82"/>
      <c r="R317" s="81"/>
      <c r="S317" s="105"/>
      <c r="T317" s="81"/>
      <c r="U317" s="81"/>
      <c r="V317" s="81"/>
      <c r="W317" s="81"/>
      <c r="X317" s="81"/>
      <c r="Y317" s="81"/>
      <c r="Z317" s="81"/>
    </row>
    <row r="318" spans="1:26" ht="24" customHeight="1" x14ac:dyDescent="0.5">
      <c r="A318" s="81"/>
      <c r="B318" s="81"/>
      <c r="C318" s="81"/>
      <c r="D318" s="81"/>
      <c r="E318" s="81"/>
      <c r="F318" s="81"/>
      <c r="G318" s="105"/>
      <c r="H318" s="81"/>
      <c r="I318" s="81"/>
      <c r="J318" s="82"/>
      <c r="K318" s="81"/>
      <c r="L318" s="81"/>
      <c r="M318" s="82"/>
      <c r="N318" s="81"/>
      <c r="O318" s="82"/>
      <c r="P318" s="81"/>
      <c r="Q318" s="82"/>
      <c r="R318" s="81"/>
      <c r="S318" s="105"/>
      <c r="T318" s="81"/>
      <c r="U318" s="81"/>
      <c r="V318" s="81"/>
      <c r="W318" s="81"/>
      <c r="X318" s="81"/>
      <c r="Y318" s="81"/>
      <c r="Z318" s="81"/>
    </row>
    <row r="319" spans="1:26" ht="24" customHeight="1" x14ac:dyDescent="0.5">
      <c r="A319" s="81"/>
      <c r="B319" s="81"/>
      <c r="C319" s="81"/>
      <c r="D319" s="81"/>
      <c r="E319" s="81"/>
      <c r="F319" s="81"/>
      <c r="G319" s="105"/>
      <c r="H319" s="81"/>
      <c r="I319" s="81"/>
      <c r="J319" s="82"/>
      <c r="K319" s="81"/>
      <c r="L319" s="81"/>
      <c r="M319" s="82"/>
      <c r="N319" s="81"/>
      <c r="O319" s="82"/>
      <c r="P319" s="81"/>
      <c r="Q319" s="82"/>
      <c r="R319" s="81"/>
      <c r="S319" s="105"/>
      <c r="T319" s="81"/>
      <c r="U319" s="81"/>
      <c r="V319" s="81"/>
      <c r="W319" s="81"/>
      <c r="X319" s="81"/>
      <c r="Y319" s="81"/>
      <c r="Z319" s="81"/>
    </row>
    <row r="320" spans="1:26" ht="24" customHeight="1" x14ac:dyDescent="0.5">
      <c r="A320" s="81"/>
      <c r="B320" s="81"/>
      <c r="C320" s="81"/>
      <c r="D320" s="81"/>
      <c r="E320" s="81"/>
      <c r="F320" s="81"/>
      <c r="G320" s="105"/>
      <c r="H320" s="81"/>
      <c r="I320" s="81"/>
      <c r="J320" s="82"/>
      <c r="K320" s="81"/>
      <c r="L320" s="81"/>
      <c r="M320" s="82"/>
      <c r="N320" s="81"/>
      <c r="O320" s="82"/>
      <c r="P320" s="81"/>
      <c r="Q320" s="82"/>
      <c r="R320" s="81"/>
      <c r="S320" s="105"/>
      <c r="T320" s="81"/>
      <c r="U320" s="81"/>
      <c r="V320" s="81"/>
      <c r="W320" s="81"/>
      <c r="X320" s="81"/>
      <c r="Y320" s="81"/>
      <c r="Z320" s="81"/>
    </row>
    <row r="321" spans="1:26" ht="24" customHeight="1" x14ac:dyDescent="0.5">
      <c r="A321" s="81"/>
      <c r="B321" s="81"/>
      <c r="C321" s="81"/>
      <c r="D321" s="81"/>
      <c r="E321" s="81"/>
      <c r="F321" s="81"/>
      <c r="G321" s="105"/>
      <c r="H321" s="81"/>
      <c r="I321" s="81"/>
      <c r="J321" s="82"/>
      <c r="K321" s="81"/>
      <c r="L321" s="81"/>
      <c r="M321" s="82"/>
      <c r="N321" s="81"/>
      <c r="O321" s="82"/>
      <c r="P321" s="81"/>
      <c r="Q321" s="82"/>
      <c r="R321" s="81"/>
      <c r="S321" s="105"/>
      <c r="T321" s="81"/>
      <c r="U321" s="81"/>
      <c r="V321" s="81"/>
      <c r="W321" s="81"/>
      <c r="X321" s="81"/>
      <c r="Y321" s="81"/>
      <c r="Z321" s="81"/>
    </row>
    <row r="322" spans="1:26" ht="24" customHeight="1" x14ac:dyDescent="0.5">
      <c r="A322" s="81"/>
      <c r="B322" s="81"/>
      <c r="C322" s="81"/>
      <c r="D322" s="81"/>
      <c r="E322" s="81"/>
      <c r="F322" s="81"/>
      <c r="G322" s="105"/>
      <c r="H322" s="81"/>
      <c r="I322" s="81"/>
      <c r="J322" s="82"/>
      <c r="K322" s="81"/>
      <c r="L322" s="81"/>
      <c r="M322" s="82"/>
      <c r="N322" s="81"/>
      <c r="O322" s="82"/>
      <c r="P322" s="81"/>
      <c r="Q322" s="82"/>
      <c r="R322" s="81"/>
      <c r="S322" s="105"/>
      <c r="T322" s="81"/>
      <c r="U322" s="81"/>
      <c r="V322" s="81"/>
      <c r="W322" s="81"/>
      <c r="X322" s="81"/>
      <c r="Y322" s="81"/>
      <c r="Z322" s="81"/>
    </row>
    <row r="323" spans="1:26" ht="24" customHeight="1" x14ac:dyDescent="0.5">
      <c r="A323" s="81"/>
      <c r="B323" s="81"/>
      <c r="C323" s="81"/>
      <c r="D323" s="81"/>
      <c r="E323" s="81"/>
      <c r="F323" s="81"/>
      <c r="G323" s="105"/>
      <c r="H323" s="81"/>
      <c r="I323" s="81"/>
      <c r="J323" s="82"/>
      <c r="K323" s="81"/>
      <c r="L323" s="81"/>
      <c r="M323" s="82"/>
      <c r="N323" s="81"/>
      <c r="O323" s="82"/>
      <c r="P323" s="81"/>
      <c r="Q323" s="82"/>
      <c r="R323" s="81"/>
      <c r="S323" s="105"/>
      <c r="T323" s="81"/>
      <c r="U323" s="81"/>
      <c r="V323" s="81"/>
      <c r="W323" s="81"/>
      <c r="X323" s="81"/>
      <c r="Y323" s="81"/>
      <c r="Z323" s="81"/>
    </row>
    <row r="324" spans="1:26" ht="24" customHeight="1" x14ac:dyDescent="0.5">
      <c r="A324" s="81"/>
      <c r="B324" s="81"/>
      <c r="C324" s="81"/>
      <c r="D324" s="81"/>
      <c r="E324" s="81"/>
      <c r="F324" s="81"/>
      <c r="G324" s="105"/>
      <c r="H324" s="81"/>
      <c r="I324" s="81"/>
      <c r="J324" s="82"/>
      <c r="K324" s="81"/>
      <c r="L324" s="81"/>
      <c r="M324" s="82"/>
      <c r="N324" s="81"/>
      <c r="O324" s="82"/>
      <c r="P324" s="81"/>
      <c r="Q324" s="82"/>
      <c r="R324" s="81"/>
      <c r="S324" s="105"/>
      <c r="T324" s="81"/>
      <c r="U324" s="81"/>
      <c r="V324" s="81"/>
      <c r="W324" s="81"/>
      <c r="X324" s="81"/>
      <c r="Y324" s="81"/>
      <c r="Z324" s="81"/>
    </row>
    <row r="325" spans="1:26" ht="24" customHeight="1" x14ac:dyDescent="0.5">
      <c r="A325" s="81"/>
      <c r="B325" s="81"/>
      <c r="C325" s="81"/>
      <c r="D325" s="81"/>
      <c r="E325" s="81"/>
      <c r="F325" s="81"/>
      <c r="G325" s="105"/>
      <c r="H325" s="81"/>
      <c r="I325" s="81"/>
      <c r="J325" s="82"/>
      <c r="K325" s="81"/>
      <c r="L325" s="81"/>
      <c r="M325" s="82"/>
      <c r="N325" s="81"/>
      <c r="O325" s="82"/>
      <c r="P325" s="81"/>
      <c r="Q325" s="82"/>
      <c r="R325" s="81"/>
      <c r="S325" s="105"/>
      <c r="T325" s="81"/>
      <c r="U325" s="81"/>
      <c r="V325" s="81"/>
      <c r="W325" s="81"/>
      <c r="X325" s="81"/>
      <c r="Y325" s="81"/>
      <c r="Z325" s="81"/>
    </row>
    <row r="326" spans="1:26" ht="24" customHeight="1" x14ac:dyDescent="0.5">
      <c r="A326" s="81"/>
      <c r="B326" s="81"/>
      <c r="C326" s="81"/>
      <c r="D326" s="81"/>
      <c r="E326" s="81"/>
      <c r="F326" s="81"/>
      <c r="G326" s="105"/>
      <c r="H326" s="81"/>
      <c r="I326" s="81"/>
      <c r="J326" s="82"/>
      <c r="K326" s="81"/>
      <c r="L326" s="81"/>
      <c r="M326" s="82"/>
      <c r="N326" s="81"/>
      <c r="O326" s="82"/>
      <c r="P326" s="81"/>
      <c r="Q326" s="82"/>
      <c r="R326" s="81"/>
      <c r="S326" s="105"/>
      <c r="T326" s="81"/>
      <c r="U326" s="81"/>
      <c r="V326" s="81"/>
      <c r="W326" s="81"/>
      <c r="X326" s="81"/>
      <c r="Y326" s="81"/>
      <c r="Z326" s="81"/>
    </row>
    <row r="327" spans="1:26" ht="24" customHeight="1" x14ac:dyDescent="0.5">
      <c r="A327" s="81"/>
      <c r="B327" s="81"/>
      <c r="C327" s="81"/>
      <c r="D327" s="81"/>
      <c r="E327" s="81"/>
      <c r="F327" s="81"/>
      <c r="G327" s="105"/>
      <c r="H327" s="81"/>
      <c r="I327" s="81"/>
      <c r="J327" s="82"/>
      <c r="K327" s="81"/>
      <c r="L327" s="81"/>
      <c r="M327" s="82"/>
      <c r="N327" s="81"/>
      <c r="O327" s="82"/>
      <c r="P327" s="81"/>
      <c r="Q327" s="82"/>
      <c r="R327" s="81"/>
      <c r="S327" s="105"/>
      <c r="T327" s="81"/>
      <c r="U327" s="81"/>
      <c r="V327" s="81"/>
      <c r="W327" s="81"/>
      <c r="X327" s="81"/>
      <c r="Y327" s="81"/>
      <c r="Z327" s="81"/>
    </row>
    <row r="328" spans="1:26" ht="24" customHeight="1" x14ac:dyDescent="0.5">
      <c r="A328" s="81"/>
      <c r="B328" s="81"/>
      <c r="C328" s="81"/>
      <c r="D328" s="81"/>
      <c r="E328" s="81"/>
      <c r="F328" s="81"/>
      <c r="G328" s="105"/>
      <c r="H328" s="81"/>
      <c r="I328" s="81"/>
      <c r="J328" s="82"/>
      <c r="K328" s="81"/>
      <c r="L328" s="81"/>
      <c r="M328" s="82"/>
      <c r="N328" s="81"/>
      <c r="O328" s="82"/>
      <c r="P328" s="81"/>
      <c r="Q328" s="82"/>
      <c r="R328" s="81"/>
      <c r="S328" s="105"/>
      <c r="T328" s="81"/>
      <c r="U328" s="81"/>
      <c r="V328" s="81"/>
      <c r="W328" s="81"/>
      <c r="X328" s="81"/>
      <c r="Y328" s="81"/>
      <c r="Z328" s="81"/>
    </row>
    <row r="329" spans="1:26" ht="24" customHeight="1" x14ac:dyDescent="0.5">
      <c r="A329" s="81"/>
      <c r="B329" s="81"/>
      <c r="C329" s="81"/>
      <c r="D329" s="81"/>
      <c r="E329" s="81"/>
      <c r="F329" s="81"/>
      <c r="G329" s="105"/>
      <c r="H329" s="81"/>
      <c r="I329" s="81"/>
      <c r="J329" s="82"/>
      <c r="K329" s="81"/>
      <c r="L329" s="81"/>
      <c r="M329" s="82"/>
      <c r="N329" s="81"/>
      <c r="O329" s="82"/>
      <c r="P329" s="81"/>
      <c r="Q329" s="82"/>
      <c r="R329" s="81"/>
      <c r="S329" s="105"/>
      <c r="T329" s="81"/>
      <c r="U329" s="81"/>
      <c r="V329" s="81"/>
      <c r="W329" s="81"/>
      <c r="X329" s="81"/>
      <c r="Y329" s="81"/>
      <c r="Z329" s="81"/>
    </row>
    <row r="330" spans="1:26" ht="24" customHeight="1" x14ac:dyDescent="0.5">
      <c r="A330" s="81"/>
      <c r="B330" s="81"/>
      <c r="C330" s="81"/>
      <c r="D330" s="81"/>
      <c r="E330" s="81"/>
      <c r="F330" s="81"/>
      <c r="G330" s="105"/>
      <c r="H330" s="81"/>
      <c r="I330" s="81"/>
      <c r="J330" s="82"/>
      <c r="K330" s="81"/>
      <c r="L330" s="81"/>
      <c r="M330" s="82"/>
      <c r="N330" s="81"/>
      <c r="O330" s="82"/>
      <c r="P330" s="81"/>
      <c r="Q330" s="82"/>
      <c r="R330" s="81"/>
      <c r="S330" s="105"/>
      <c r="T330" s="81"/>
      <c r="U330" s="81"/>
      <c r="V330" s="81"/>
      <c r="W330" s="81"/>
      <c r="X330" s="81"/>
      <c r="Y330" s="81"/>
      <c r="Z330" s="81"/>
    </row>
    <row r="331" spans="1:26" ht="24" customHeight="1" x14ac:dyDescent="0.5">
      <c r="A331" s="81"/>
      <c r="B331" s="81"/>
      <c r="C331" s="81"/>
      <c r="D331" s="81"/>
      <c r="E331" s="81"/>
      <c r="F331" s="81"/>
      <c r="G331" s="105"/>
      <c r="H331" s="81"/>
      <c r="I331" s="81"/>
      <c r="J331" s="82"/>
      <c r="K331" s="81"/>
      <c r="L331" s="81"/>
      <c r="M331" s="82"/>
      <c r="N331" s="81"/>
      <c r="O331" s="82"/>
      <c r="P331" s="81"/>
      <c r="Q331" s="82"/>
      <c r="R331" s="81"/>
      <c r="S331" s="105"/>
      <c r="T331" s="81"/>
      <c r="U331" s="81"/>
      <c r="V331" s="81"/>
      <c r="W331" s="81"/>
      <c r="X331" s="81"/>
      <c r="Y331" s="81"/>
      <c r="Z331" s="81"/>
    </row>
    <row r="332" spans="1:26" ht="24" customHeight="1" x14ac:dyDescent="0.5">
      <c r="A332" s="81"/>
      <c r="B332" s="81"/>
      <c r="C332" s="81"/>
      <c r="D332" s="81"/>
      <c r="E332" s="81"/>
      <c r="F332" s="81"/>
      <c r="G332" s="105"/>
      <c r="H332" s="81"/>
      <c r="I332" s="81"/>
      <c r="J332" s="82"/>
      <c r="K332" s="81"/>
      <c r="L332" s="81"/>
      <c r="M332" s="82"/>
      <c r="N332" s="81"/>
      <c r="O332" s="82"/>
      <c r="P332" s="81"/>
      <c r="Q332" s="82"/>
      <c r="R332" s="81"/>
      <c r="S332" s="105"/>
      <c r="T332" s="81"/>
      <c r="U332" s="81"/>
      <c r="V332" s="81"/>
      <c r="W332" s="81"/>
      <c r="X332" s="81"/>
      <c r="Y332" s="81"/>
      <c r="Z332" s="81"/>
    </row>
    <row r="333" spans="1:26" ht="24" customHeight="1" x14ac:dyDescent="0.5">
      <c r="A333" s="81"/>
      <c r="B333" s="81"/>
      <c r="C333" s="81"/>
      <c r="D333" s="81"/>
      <c r="E333" s="81"/>
      <c r="F333" s="81"/>
      <c r="G333" s="105"/>
      <c r="H333" s="81"/>
      <c r="I333" s="81"/>
      <c r="J333" s="82"/>
      <c r="K333" s="81"/>
      <c r="L333" s="81"/>
      <c r="M333" s="82"/>
      <c r="N333" s="81"/>
      <c r="O333" s="82"/>
      <c r="P333" s="81"/>
      <c r="Q333" s="82"/>
      <c r="R333" s="81"/>
      <c r="S333" s="105"/>
      <c r="T333" s="81"/>
      <c r="U333" s="81"/>
      <c r="V333" s="81"/>
      <c r="W333" s="81"/>
      <c r="X333" s="81"/>
      <c r="Y333" s="81"/>
      <c r="Z333" s="81"/>
    </row>
    <row r="334" spans="1:26" ht="24" customHeight="1" x14ac:dyDescent="0.5">
      <c r="A334" s="81"/>
      <c r="B334" s="81"/>
      <c r="C334" s="81"/>
      <c r="D334" s="81"/>
      <c r="E334" s="81"/>
      <c r="F334" s="81"/>
      <c r="G334" s="105"/>
      <c r="H334" s="81"/>
      <c r="I334" s="81"/>
      <c r="J334" s="82"/>
      <c r="K334" s="81"/>
      <c r="L334" s="81"/>
      <c r="M334" s="82"/>
      <c r="N334" s="81"/>
      <c r="O334" s="82"/>
      <c r="P334" s="81"/>
      <c r="Q334" s="82"/>
      <c r="R334" s="81"/>
      <c r="S334" s="105"/>
      <c r="T334" s="81"/>
      <c r="U334" s="81"/>
      <c r="V334" s="81"/>
      <c r="W334" s="81"/>
      <c r="X334" s="81"/>
      <c r="Y334" s="81"/>
      <c r="Z334" s="81"/>
    </row>
    <row r="335" spans="1:26" ht="24" customHeight="1" x14ac:dyDescent="0.5">
      <c r="A335" s="81"/>
      <c r="B335" s="81"/>
      <c r="C335" s="81"/>
      <c r="D335" s="81"/>
      <c r="E335" s="81"/>
      <c r="F335" s="81"/>
      <c r="G335" s="105"/>
      <c r="H335" s="81"/>
      <c r="I335" s="81"/>
      <c r="J335" s="82"/>
      <c r="K335" s="81"/>
      <c r="L335" s="81"/>
      <c r="M335" s="82"/>
      <c r="N335" s="81"/>
      <c r="O335" s="82"/>
      <c r="P335" s="81"/>
      <c r="Q335" s="82"/>
      <c r="R335" s="81"/>
      <c r="S335" s="105"/>
      <c r="T335" s="81"/>
      <c r="U335" s="81"/>
      <c r="V335" s="81"/>
      <c r="W335" s="81"/>
      <c r="X335" s="81"/>
      <c r="Y335" s="81"/>
      <c r="Z335" s="81"/>
    </row>
    <row r="336" spans="1:26" ht="24" customHeight="1" x14ac:dyDescent="0.5">
      <c r="A336" s="81"/>
      <c r="B336" s="81"/>
      <c r="C336" s="81"/>
      <c r="D336" s="81"/>
      <c r="E336" s="81"/>
      <c r="F336" s="81"/>
      <c r="G336" s="105"/>
      <c r="H336" s="81"/>
      <c r="I336" s="81"/>
      <c r="J336" s="82"/>
      <c r="K336" s="81"/>
      <c r="L336" s="81"/>
      <c r="M336" s="82"/>
      <c r="N336" s="81"/>
      <c r="O336" s="82"/>
      <c r="P336" s="81"/>
      <c r="Q336" s="82"/>
      <c r="R336" s="81"/>
      <c r="S336" s="105"/>
      <c r="T336" s="81"/>
      <c r="U336" s="81"/>
      <c r="V336" s="81"/>
      <c r="W336" s="81"/>
      <c r="X336" s="81"/>
      <c r="Y336" s="81"/>
      <c r="Z336" s="81"/>
    </row>
    <row r="337" spans="1:26" ht="24" customHeight="1" x14ac:dyDescent="0.5">
      <c r="A337" s="81"/>
      <c r="B337" s="81"/>
      <c r="C337" s="81"/>
      <c r="D337" s="81"/>
      <c r="E337" s="81"/>
      <c r="F337" s="81"/>
      <c r="G337" s="105"/>
      <c r="H337" s="81"/>
      <c r="I337" s="81"/>
      <c r="J337" s="82"/>
      <c r="K337" s="81"/>
      <c r="L337" s="81"/>
      <c r="M337" s="82"/>
      <c r="N337" s="81"/>
      <c r="O337" s="82"/>
      <c r="P337" s="81"/>
      <c r="Q337" s="82"/>
      <c r="R337" s="81"/>
      <c r="S337" s="105"/>
      <c r="T337" s="81"/>
      <c r="U337" s="81"/>
      <c r="V337" s="81"/>
      <c r="W337" s="81"/>
      <c r="X337" s="81"/>
      <c r="Y337" s="81"/>
      <c r="Z337" s="81"/>
    </row>
    <row r="338" spans="1:26" ht="24" customHeight="1" x14ac:dyDescent="0.5">
      <c r="A338" s="81"/>
      <c r="B338" s="81"/>
      <c r="C338" s="81"/>
      <c r="D338" s="81"/>
      <c r="E338" s="81"/>
      <c r="F338" s="81"/>
      <c r="G338" s="105"/>
      <c r="H338" s="81"/>
      <c r="I338" s="81"/>
      <c r="J338" s="82"/>
      <c r="K338" s="81"/>
      <c r="L338" s="81"/>
      <c r="M338" s="82"/>
      <c r="N338" s="81"/>
      <c r="O338" s="82"/>
      <c r="P338" s="81"/>
      <c r="Q338" s="82"/>
      <c r="R338" s="81"/>
      <c r="S338" s="105"/>
      <c r="T338" s="81"/>
      <c r="U338" s="81"/>
      <c r="V338" s="81"/>
      <c r="W338" s="81"/>
      <c r="X338" s="81"/>
      <c r="Y338" s="81"/>
      <c r="Z338" s="81"/>
    </row>
    <row r="339" spans="1:26" ht="24" customHeight="1" x14ac:dyDescent="0.5">
      <c r="A339" s="81"/>
      <c r="B339" s="81"/>
      <c r="C339" s="81"/>
      <c r="D339" s="81"/>
      <c r="E339" s="81"/>
      <c r="F339" s="81"/>
      <c r="G339" s="105"/>
      <c r="H339" s="81"/>
      <c r="I339" s="81"/>
      <c r="J339" s="82"/>
      <c r="K339" s="81"/>
      <c r="L339" s="81"/>
      <c r="M339" s="82"/>
      <c r="N339" s="81"/>
      <c r="O339" s="82"/>
      <c r="P339" s="81"/>
      <c r="Q339" s="82"/>
      <c r="R339" s="81"/>
      <c r="S339" s="105"/>
      <c r="T339" s="81"/>
      <c r="U339" s="81"/>
      <c r="V339" s="81"/>
      <c r="W339" s="81"/>
      <c r="X339" s="81"/>
      <c r="Y339" s="81"/>
      <c r="Z339" s="81"/>
    </row>
    <row r="340" spans="1:26" ht="24" customHeight="1" x14ac:dyDescent="0.5">
      <c r="A340" s="81"/>
      <c r="B340" s="81"/>
      <c r="C340" s="81"/>
      <c r="D340" s="81"/>
      <c r="E340" s="81"/>
      <c r="F340" s="81"/>
      <c r="G340" s="105"/>
      <c r="H340" s="81"/>
      <c r="I340" s="81"/>
      <c r="J340" s="82"/>
      <c r="K340" s="81"/>
      <c r="L340" s="81"/>
      <c r="M340" s="82"/>
      <c r="N340" s="81"/>
      <c r="O340" s="82"/>
      <c r="P340" s="81"/>
      <c r="Q340" s="82"/>
      <c r="R340" s="81"/>
      <c r="S340" s="105"/>
      <c r="T340" s="81"/>
      <c r="U340" s="81"/>
      <c r="V340" s="81"/>
      <c r="W340" s="81"/>
      <c r="X340" s="81"/>
      <c r="Y340" s="81"/>
      <c r="Z340" s="81"/>
    </row>
    <row r="341" spans="1:26" ht="24" customHeight="1" x14ac:dyDescent="0.5">
      <c r="A341" s="81"/>
      <c r="B341" s="81"/>
      <c r="C341" s="81"/>
      <c r="D341" s="81"/>
      <c r="E341" s="81"/>
      <c r="F341" s="81"/>
      <c r="G341" s="105"/>
      <c r="H341" s="81"/>
      <c r="I341" s="81"/>
      <c r="J341" s="82"/>
      <c r="K341" s="81"/>
      <c r="L341" s="81"/>
      <c r="M341" s="82"/>
      <c r="N341" s="81"/>
      <c r="O341" s="82"/>
      <c r="P341" s="81"/>
      <c r="Q341" s="82"/>
      <c r="R341" s="81"/>
      <c r="S341" s="105"/>
      <c r="T341" s="81"/>
      <c r="U341" s="81"/>
      <c r="V341" s="81"/>
      <c r="W341" s="81"/>
      <c r="X341" s="81"/>
      <c r="Y341" s="81"/>
      <c r="Z341" s="81"/>
    </row>
    <row r="342" spans="1:26" ht="24" customHeight="1" x14ac:dyDescent="0.5">
      <c r="A342" s="81"/>
      <c r="B342" s="81"/>
      <c r="C342" s="81"/>
      <c r="D342" s="81"/>
      <c r="E342" s="81"/>
      <c r="F342" s="81"/>
      <c r="G342" s="105"/>
      <c r="H342" s="81"/>
      <c r="I342" s="81"/>
      <c r="J342" s="82"/>
      <c r="K342" s="81"/>
      <c r="L342" s="81"/>
      <c r="M342" s="82"/>
      <c r="N342" s="81"/>
      <c r="O342" s="82"/>
      <c r="P342" s="81"/>
      <c r="Q342" s="82"/>
      <c r="R342" s="81"/>
      <c r="S342" s="105"/>
      <c r="T342" s="81"/>
      <c r="U342" s="81"/>
      <c r="V342" s="81"/>
      <c r="W342" s="81"/>
      <c r="X342" s="81"/>
      <c r="Y342" s="81"/>
      <c r="Z342" s="81"/>
    </row>
    <row r="343" spans="1:26" ht="24" customHeight="1" x14ac:dyDescent="0.5">
      <c r="A343" s="81"/>
      <c r="B343" s="81"/>
      <c r="C343" s="81"/>
      <c r="D343" s="81"/>
      <c r="E343" s="81"/>
      <c r="F343" s="81"/>
      <c r="G343" s="105"/>
      <c r="H343" s="81"/>
      <c r="I343" s="81"/>
      <c r="J343" s="82"/>
      <c r="K343" s="81"/>
      <c r="L343" s="81"/>
      <c r="M343" s="82"/>
      <c r="N343" s="81"/>
      <c r="O343" s="82"/>
      <c r="P343" s="81"/>
      <c r="Q343" s="82"/>
      <c r="R343" s="81"/>
      <c r="S343" s="105"/>
      <c r="T343" s="81"/>
      <c r="U343" s="81"/>
      <c r="V343" s="81"/>
      <c r="W343" s="81"/>
      <c r="X343" s="81"/>
      <c r="Y343" s="81"/>
      <c r="Z343" s="81"/>
    </row>
    <row r="344" spans="1:26" ht="24" customHeight="1" x14ac:dyDescent="0.5">
      <c r="A344" s="81"/>
      <c r="B344" s="81"/>
      <c r="C344" s="81"/>
      <c r="D344" s="81"/>
      <c r="E344" s="81"/>
      <c r="F344" s="81"/>
      <c r="G344" s="105"/>
      <c r="H344" s="81"/>
      <c r="I344" s="81"/>
      <c r="J344" s="82"/>
      <c r="K344" s="81"/>
      <c r="L344" s="81"/>
      <c r="M344" s="82"/>
      <c r="N344" s="81"/>
      <c r="O344" s="82"/>
      <c r="P344" s="81"/>
      <c r="Q344" s="82"/>
      <c r="R344" s="81"/>
      <c r="S344" s="105"/>
      <c r="T344" s="81"/>
      <c r="U344" s="81"/>
      <c r="V344" s="81"/>
      <c r="W344" s="81"/>
      <c r="X344" s="81"/>
      <c r="Y344" s="81"/>
      <c r="Z344" s="81"/>
    </row>
    <row r="345" spans="1:26" ht="24" customHeight="1" x14ac:dyDescent="0.5">
      <c r="A345" s="81"/>
      <c r="B345" s="81"/>
      <c r="C345" s="81"/>
      <c r="D345" s="81"/>
      <c r="E345" s="81"/>
      <c r="F345" s="81"/>
      <c r="G345" s="105"/>
      <c r="H345" s="81"/>
      <c r="I345" s="81"/>
      <c r="J345" s="82"/>
      <c r="K345" s="81"/>
      <c r="L345" s="81"/>
      <c r="M345" s="82"/>
      <c r="N345" s="81"/>
      <c r="O345" s="82"/>
      <c r="P345" s="81"/>
      <c r="Q345" s="82"/>
      <c r="R345" s="81"/>
      <c r="S345" s="105"/>
      <c r="T345" s="81"/>
      <c r="U345" s="81"/>
      <c r="V345" s="81"/>
      <c r="W345" s="81"/>
      <c r="X345" s="81"/>
      <c r="Y345" s="81"/>
      <c r="Z345" s="81"/>
    </row>
    <row r="346" spans="1:26" ht="24" customHeight="1" x14ac:dyDescent="0.5">
      <c r="A346" s="81"/>
      <c r="B346" s="81"/>
      <c r="C346" s="81"/>
      <c r="D346" s="81"/>
      <c r="E346" s="81"/>
      <c r="F346" s="81"/>
      <c r="G346" s="105"/>
      <c r="H346" s="81"/>
      <c r="I346" s="81"/>
      <c r="J346" s="82"/>
      <c r="K346" s="81"/>
      <c r="L346" s="81"/>
      <c r="M346" s="82"/>
      <c r="N346" s="81"/>
      <c r="O346" s="82"/>
      <c r="P346" s="81"/>
      <c r="Q346" s="82"/>
      <c r="R346" s="81"/>
      <c r="S346" s="105"/>
      <c r="T346" s="81"/>
      <c r="U346" s="81"/>
      <c r="V346" s="81"/>
      <c r="W346" s="81"/>
      <c r="X346" s="81"/>
      <c r="Y346" s="81"/>
      <c r="Z346" s="81"/>
    </row>
    <row r="347" spans="1:26" ht="24" customHeight="1" x14ac:dyDescent="0.5">
      <c r="A347" s="81"/>
      <c r="B347" s="81"/>
      <c r="C347" s="81"/>
      <c r="D347" s="81"/>
      <c r="E347" s="81"/>
      <c r="F347" s="81"/>
      <c r="G347" s="105"/>
      <c r="H347" s="81"/>
      <c r="I347" s="81"/>
      <c r="J347" s="82"/>
      <c r="K347" s="81"/>
      <c r="L347" s="81"/>
      <c r="M347" s="82"/>
      <c r="N347" s="81"/>
      <c r="O347" s="82"/>
      <c r="P347" s="81"/>
      <c r="Q347" s="82"/>
      <c r="R347" s="81"/>
      <c r="S347" s="105"/>
      <c r="T347" s="81"/>
      <c r="U347" s="81"/>
      <c r="V347" s="81"/>
      <c r="W347" s="81"/>
      <c r="X347" s="81"/>
      <c r="Y347" s="81"/>
      <c r="Z347" s="81"/>
    </row>
    <row r="348" spans="1:26" ht="24" customHeight="1" x14ac:dyDescent="0.5">
      <c r="A348" s="81"/>
      <c r="B348" s="81"/>
      <c r="C348" s="81"/>
      <c r="D348" s="81"/>
      <c r="E348" s="81"/>
      <c r="F348" s="81"/>
      <c r="G348" s="105"/>
      <c r="H348" s="81"/>
      <c r="I348" s="81"/>
      <c r="J348" s="82"/>
      <c r="K348" s="81"/>
      <c r="L348" s="81"/>
      <c r="M348" s="82"/>
      <c r="N348" s="81"/>
      <c r="O348" s="82"/>
      <c r="P348" s="81"/>
      <c r="Q348" s="82"/>
      <c r="R348" s="81"/>
      <c r="S348" s="105"/>
      <c r="T348" s="81"/>
      <c r="U348" s="81"/>
      <c r="V348" s="81"/>
      <c r="W348" s="81"/>
      <c r="X348" s="81"/>
      <c r="Y348" s="81"/>
      <c r="Z348" s="81"/>
    </row>
    <row r="349" spans="1:26" ht="24" customHeight="1" x14ac:dyDescent="0.5">
      <c r="A349" s="81"/>
      <c r="B349" s="81"/>
      <c r="C349" s="81"/>
      <c r="D349" s="81"/>
      <c r="E349" s="81"/>
      <c r="F349" s="81"/>
      <c r="G349" s="105"/>
      <c r="H349" s="81"/>
      <c r="I349" s="81"/>
      <c r="J349" s="82"/>
      <c r="K349" s="81"/>
      <c r="L349" s="81"/>
      <c r="M349" s="82"/>
      <c r="N349" s="81"/>
      <c r="O349" s="82"/>
      <c r="P349" s="81"/>
      <c r="Q349" s="82"/>
      <c r="R349" s="81"/>
      <c r="S349" s="105"/>
      <c r="T349" s="81"/>
      <c r="U349" s="81"/>
      <c r="V349" s="81"/>
      <c r="W349" s="81"/>
      <c r="X349" s="81"/>
      <c r="Y349" s="81"/>
      <c r="Z349" s="81"/>
    </row>
    <row r="350" spans="1:26" ht="24" customHeight="1" x14ac:dyDescent="0.5">
      <c r="A350" s="81"/>
      <c r="B350" s="81"/>
      <c r="C350" s="81"/>
      <c r="D350" s="81"/>
      <c r="E350" s="81"/>
      <c r="F350" s="81"/>
      <c r="G350" s="105"/>
      <c r="H350" s="81"/>
      <c r="I350" s="81"/>
      <c r="J350" s="82"/>
      <c r="K350" s="81"/>
      <c r="L350" s="81"/>
      <c r="M350" s="82"/>
      <c r="N350" s="81"/>
      <c r="O350" s="82"/>
      <c r="P350" s="81"/>
      <c r="Q350" s="82"/>
      <c r="R350" s="81"/>
      <c r="S350" s="105"/>
      <c r="T350" s="81"/>
      <c r="U350" s="81"/>
      <c r="V350" s="81"/>
      <c r="W350" s="81"/>
      <c r="X350" s="81"/>
      <c r="Y350" s="81"/>
      <c r="Z350" s="81"/>
    </row>
    <row r="351" spans="1:26" ht="24" customHeight="1" x14ac:dyDescent="0.5">
      <c r="A351" s="81"/>
      <c r="B351" s="81"/>
      <c r="C351" s="81"/>
      <c r="D351" s="81"/>
      <c r="E351" s="81"/>
      <c r="F351" s="81"/>
      <c r="G351" s="105"/>
      <c r="H351" s="81"/>
      <c r="I351" s="81"/>
      <c r="J351" s="82"/>
      <c r="K351" s="81"/>
      <c r="L351" s="81"/>
      <c r="M351" s="82"/>
      <c r="N351" s="81"/>
      <c r="O351" s="82"/>
      <c r="P351" s="81"/>
      <c r="Q351" s="82"/>
      <c r="R351" s="81"/>
      <c r="S351" s="105"/>
      <c r="T351" s="81"/>
      <c r="U351" s="81"/>
      <c r="V351" s="81"/>
      <c r="W351" s="81"/>
      <c r="X351" s="81"/>
      <c r="Y351" s="81"/>
      <c r="Z351" s="81"/>
    </row>
    <row r="352" spans="1:26" ht="24" customHeight="1" x14ac:dyDescent="0.5">
      <c r="A352" s="81"/>
      <c r="B352" s="81"/>
      <c r="C352" s="81"/>
      <c r="D352" s="81"/>
      <c r="E352" s="81"/>
      <c r="F352" s="81"/>
      <c r="G352" s="105"/>
      <c r="H352" s="81"/>
      <c r="I352" s="81"/>
      <c r="J352" s="82"/>
      <c r="K352" s="81"/>
      <c r="L352" s="81"/>
      <c r="M352" s="82"/>
      <c r="N352" s="81"/>
      <c r="O352" s="82"/>
      <c r="P352" s="81"/>
      <c r="Q352" s="82"/>
      <c r="R352" s="81"/>
      <c r="S352" s="105"/>
      <c r="T352" s="81"/>
      <c r="U352" s="81"/>
      <c r="V352" s="81"/>
      <c r="W352" s="81"/>
      <c r="X352" s="81"/>
      <c r="Y352" s="81"/>
      <c r="Z352" s="81"/>
    </row>
    <row r="353" spans="1:26" ht="24" customHeight="1" x14ac:dyDescent="0.5">
      <c r="A353" s="81"/>
      <c r="B353" s="81"/>
      <c r="C353" s="81"/>
      <c r="D353" s="81"/>
      <c r="E353" s="81"/>
      <c r="F353" s="81"/>
      <c r="G353" s="105"/>
      <c r="H353" s="81"/>
      <c r="I353" s="81"/>
      <c r="J353" s="82"/>
      <c r="K353" s="81"/>
      <c r="L353" s="81"/>
      <c r="M353" s="82"/>
      <c r="N353" s="81"/>
      <c r="O353" s="82"/>
      <c r="P353" s="81"/>
      <c r="Q353" s="82"/>
      <c r="R353" s="81"/>
      <c r="S353" s="105"/>
      <c r="T353" s="81"/>
      <c r="U353" s="81"/>
      <c r="V353" s="81"/>
      <c r="W353" s="81"/>
      <c r="X353" s="81"/>
      <c r="Y353" s="81"/>
      <c r="Z353" s="81"/>
    </row>
    <row r="354" spans="1:26" ht="24" customHeight="1" x14ac:dyDescent="0.5">
      <c r="A354" s="81"/>
      <c r="B354" s="81"/>
      <c r="C354" s="81"/>
      <c r="D354" s="81"/>
      <c r="E354" s="81"/>
      <c r="F354" s="81"/>
      <c r="G354" s="105"/>
      <c r="H354" s="81"/>
      <c r="I354" s="81"/>
      <c r="J354" s="82"/>
      <c r="K354" s="81"/>
      <c r="L354" s="81"/>
      <c r="M354" s="82"/>
      <c r="N354" s="81"/>
      <c r="O354" s="82"/>
      <c r="P354" s="81"/>
      <c r="Q354" s="82"/>
      <c r="R354" s="81"/>
      <c r="S354" s="105"/>
      <c r="T354" s="81"/>
      <c r="U354" s="81"/>
      <c r="V354" s="81"/>
      <c r="W354" s="81"/>
      <c r="X354" s="81"/>
      <c r="Y354" s="81"/>
      <c r="Z354" s="81"/>
    </row>
    <row r="355" spans="1:26" ht="24" customHeight="1" x14ac:dyDescent="0.5">
      <c r="A355" s="81"/>
      <c r="B355" s="81"/>
      <c r="C355" s="81"/>
      <c r="D355" s="81"/>
      <c r="E355" s="81"/>
      <c r="F355" s="81"/>
      <c r="G355" s="105"/>
      <c r="H355" s="81"/>
      <c r="I355" s="81"/>
      <c r="J355" s="82"/>
      <c r="K355" s="81"/>
      <c r="L355" s="81"/>
      <c r="M355" s="82"/>
      <c r="N355" s="81"/>
      <c r="O355" s="82"/>
      <c r="P355" s="81"/>
      <c r="Q355" s="82"/>
      <c r="R355" s="81"/>
      <c r="S355" s="105"/>
      <c r="T355" s="81"/>
      <c r="U355" s="81"/>
      <c r="V355" s="81"/>
      <c r="W355" s="81"/>
      <c r="X355" s="81"/>
      <c r="Y355" s="81"/>
      <c r="Z355" s="81"/>
    </row>
    <row r="356" spans="1:26" ht="24" customHeight="1" x14ac:dyDescent="0.5">
      <c r="A356" s="81"/>
      <c r="B356" s="81"/>
      <c r="C356" s="81"/>
      <c r="D356" s="81"/>
      <c r="E356" s="81"/>
      <c r="F356" s="81"/>
      <c r="G356" s="105"/>
      <c r="H356" s="81"/>
      <c r="I356" s="81"/>
      <c r="J356" s="82"/>
      <c r="K356" s="81"/>
      <c r="L356" s="81"/>
      <c r="M356" s="82"/>
      <c r="N356" s="81"/>
      <c r="O356" s="82"/>
      <c r="P356" s="81"/>
      <c r="Q356" s="82"/>
      <c r="R356" s="81"/>
      <c r="S356" s="105"/>
      <c r="T356" s="81"/>
      <c r="U356" s="81"/>
      <c r="V356" s="81"/>
      <c r="W356" s="81"/>
      <c r="X356" s="81"/>
      <c r="Y356" s="81"/>
      <c r="Z356" s="81"/>
    </row>
    <row r="357" spans="1:26" ht="24" customHeight="1" x14ac:dyDescent="0.5">
      <c r="A357" s="81"/>
      <c r="B357" s="81"/>
      <c r="C357" s="81"/>
      <c r="D357" s="81"/>
      <c r="E357" s="81"/>
      <c r="F357" s="81"/>
      <c r="G357" s="105"/>
      <c r="H357" s="81"/>
      <c r="I357" s="81"/>
      <c r="J357" s="82"/>
      <c r="K357" s="81"/>
      <c r="L357" s="81"/>
      <c r="M357" s="82"/>
      <c r="N357" s="81"/>
      <c r="O357" s="82"/>
      <c r="P357" s="81"/>
      <c r="Q357" s="82"/>
      <c r="R357" s="81"/>
      <c r="S357" s="105"/>
      <c r="T357" s="81"/>
      <c r="U357" s="81"/>
      <c r="V357" s="81"/>
      <c r="W357" s="81"/>
      <c r="X357" s="81"/>
      <c r="Y357" s="81"/>
      <c r="Z357" s="81"/>
    </row>
    <row r="358" spans="1:26" ht="24" customHeight="1" x14ac:dyDescent="0.5">
      <c r="A358" s="81"/>
      <c r="B358" s="81"/>
      <c r="C358" s="81"/>
      <c r="D358" s="81"/>
      <c r="E358" s="81"/>
      <c r="F358" s="81"/>
      <c r="G358" s="105"/>
      <c r="H358" s="81"/>
      <c r="I358" s="81"/>
      <c r="J358" s="82"/>
      <c r="K358" s="81"/>
      <c r="L358" s="81"/>
      <c r="M358" s="82"/>
      <c r="N358" s="81"/>
      <c r="O358" s="82"/>
      <c r="P358" s="81"/>
      <c r="Q358" s="82"/>
      <c r="R358" s="81"/>
      <c r="S358" s="105"/>
      <c r="T358" s="81"/>
      <c r="U358" s="81"/>
      <c r="V358" s="81"/>
      <c r="W358" s="81"/>
      <c r="X358" s="81"/>
      <c r="Y358" s="81"/>
      <c r="Z358" s="81"/>
    </row>
    <row r="359" spans="1:26" ht="24" customHeight="1" x14ac:dyDescent="0.5">
      <c r="A359" s="81"/>
      <c r="B359" s="81"/>
      <c r="C359" s="81"/>
      <c r="D359" s="81"/>
      <c r="E359" s="81"/>
      <c r="F359" s="81"/>
      <c r="G359" s="105"/>
      <c r="H359" s="81"/>
      <c r="I359" s="81"/>
      <c r="J359" s="82"/>
      <c r="K359" s="81"/>
      <c r="L359" s="81"/>
      <c r="M359" s="82"/>
      <c r="N359" s="81"/>
      <c r="O359" s="82"/>
      <c r="P359" s="81"/>
      <c r="Q359" s="82"/>
      <c r="R359" s="81"/>
      <c r="S359" s="105"/>
      <c r="T359" s="81"/>
      <c r="U359" s="81"/>
      <c r="V359" s="81"/>
      <c r="W359" s="81"/>
      <c r="X359" s="81"/>
      <c r="Y359" s="81"/>
      <c r="Z359" s="81"/>
    </row>
    <row r="360" spans="1:26" ht="24" customHeight="1" x14ac:dyDescent="0.5">
      <c r="A360" s="81"/>
      <c r="B360" s="81"/>
      <c r="C360" s="81"/>
      <c r="D360" s="81"/>
      <c r="E360" s="81"/>
      <c r="F360" s="81"/>
      <c r="G360" s="105"/>
      <c r="H360" s="81"/>
      <c r="I360" s="81"/>
      <c r="J360" s="82"/>
      <c r="K360" s="81"/>
      <c r="L360" s="81"/>
      <c r="M360" s="82"/>
      <c r="N360" s="81"/>
      <c r="O360" s="82"/>
      <c r="P360" s="81"/>
      <c r="Q360" s="82"/>
      <c r="R360" s="81"/>
      <c r="S360" s="105"/>
      <c r="T360" s="81"/>
      <c r="U360" s="81"/>
      <c r="V360" s="81"/>
      <c r="W360" s="81"/>
      <c r="X360" s="81"/>
      <c r="Y360" s="81"/>
      <c r="Z360" s="81"/>
    </row>
    <row r="361" spans="1:26" ht="24" customHeight="1" x14ac:dyDescent="0.5">
      <c r="A361" s="81"/>
      <c r="B361" s="81"/>
      <c r="C361" s="81"/>
      <c r="D361" s="81"/>
      <c r="E361" s="81"/>
      <c r="F361" s="81"/>
      <c r="G361" s="105"/>
      <c r="H361" s="81"/>
      <c r="I361" s="81"/>
      <c r="J361" s="82"/>
      <c r="K361" s="81"/>
      <c r="L361" s="81"/>
      <c r="M361" s="82"/>
      <c r="N361" s="81"/>
      <c r="O361" s="82"/>
      <c r="P361" s="81"/>
      <c r="Q361" s="82"/>
      <c r="R361" s="81"/>
      <c r="S361" s="105"/>
      <c r="T361" s="81"/>
      <c r="U361" s="81"/>
      <c r="V361" s="81"/>
      <c r="W361" s="81"/>
      <c r="X361" s="81"/>
      <c r="Y361" s="81"/>
      <c r="Z361" s="81"/>
    </row>
    <row r="362" spans="1:26" ht="24" customHeight="1" x14ac:dyDescent="0.5">
      <c r="A362" s="81"/>
      <c r="B362" s="81"/>
      <c r="C362" s="81"/>
      <c r="D362" s="81"/>
      <c r="E362" s="81"/>
      <c r="F362" s="81"/>
      <c r="G362" s="105"/>
      <c r="H362" s="81"/>
      <c r="I362" s="81"/>
      <c r="J362" s="82"/>
      <c r="K362" s="81"/>
      <c r="L362" s="81"/>
      <c r="M362" s="82"/>
      <c r="N362" s="81"/>
      <c r="O362" s="82"/>
      <c r="P362" s="81"/>
      <c r="Q362" s="82"/>
      <c r="R362" s="81"/>
      <c r="S362" s="105"/>
      <c r="T362" s="81"/>
      <c r="U362" s="81"/>
      <c r="V362" s="81"/>
      <c r="W362" s="81"/>
      <c r="X362" s="81"/>
      <c r="Y362" s="81"/>
      <c r="Z362" s="81"/>
    </row>
    <row r="363" spans="1:26" ht="24" customHeight="1" x14ac:dyDescent="0.5">
      <c r="A363" s="81"/>
      <c r="B363" s="81"/>
      <c r="C363" s="81"/>
      <c r="D363" s="81"/>
      <c r="E363" s="81"/>
      <c r="F363" s="81"/>
      <c r="G363" s="105"/>
      <c r="H363" s="81"/>
      <c r="I363" s="81"/>
      <c r="J363" s="82"/>
      <c r="K363" s="81"/>
      <c r="L363" s="81"/>
      <c r="M363" s="82"/>
      <c r="N363" s="81"/>
      <c r="O363" s="82"/>
      <c r="P363" s="81"/>
      <c r="Q363" s="82"/>
      <c r="R363" s="81"/>
      <c r="S363" s="105"/>
      <c r="T363" s="81"/>
      <c r="U363" s="81"/>
      <c r="V363" s="81"/>
      <c r="W363" s="81"/>
      <c r="X363" s="81"/>
      <c r="Y363" s="81"/>
      <c r="Z363" s="81"/>
    </row>
    <row r="364" spans="1:26" ht="24" customHeight="1" x14ac:dyDescent="0.5">
      <c r="A364" s="81"/>
      <c r="B364" s="81"/>
      <c r="C364" s="81"/>
      <c r="D364" s="81"/>
      <c r="E364" s="81"/>
      <c r="F364" s="81"/>
      <c r="G364" s="105"/>
      <c r="H364" s="81"/>
      <c r="I364" s="81"/>
      <c r="J364" s="82"/>
      <c r="K364" s="81"/>
      <c r="L364" s="81"/>
      <c r="M364" s="82"/>
      <c r="N364" s="81"/>
      <c r="O364" s="82"/>
      <c r="P364" s="81"/>
      <c r="Q364" s="82"/>
      <c r="R364" s="81"/>
      <c r="S364" s="105"/>
      <c r="T364" s="81"/>
      <c r="U364" s="81"/>
      <c r="V364" s="81"/>
      <c r="W364" s="81"/>
      <c r="X364" s="81"/>
      <c r="Y364" s="81"/>
      <c r="Z364" s="81"/>
    </row>
    <row r="365" spans="1:26" ht="24" customHeight="1" x14ac:dyDescent="0.5">
      <c r="A365" s="81"/>
      <c r="B365" s="81"/>
      <c r="C365" s="81"/>
      <c r="D365" s="81"/>
      <c r="E365" s="81"/>
      <c r="F365" s="81"/>
      <c r="G365" s="105"/>
      <c r="H365" s="81"/>
      <c r="I365" s="81"/>
      <c r="J365" s="82"/>
      <c r="K365" s="81"/>
      <c r="L365" s="81"/>
      <c r="M365" s="82"/>
      <c r="N365" s="81"/>
      <c r="O365" s="82"/>
      <c r="P365" s="81"/>
      <c r="Q365" s="82"/>
      <c r="R365" s="81"/>
      <c r="S365" s="105"/>
      <c r="T365" s="81"/>
      <c r="U365" s="81"/>
      <c r="V365" s="81"/>
      <c r="W365" s="81"/>
      <c r="X365" s="81"/>
      <c r="Y365" s="81"/>
      <c r="Z365" s="81"/>
    </row>
    <row r="366" spans="1:26" ht="24" customHeight="1" x14ac:dyDescent="0.5">
      <c r="A366" s="81"/>
      <c r="B366" s="81"/>
      <c r="C366" s="81"/>
      <c r="D366" s="81"/>
      <c r="E366" s="81"/>
      <c r="F366" s="81"/>
      <c r="G366" s="105"/>
      <c r="H366" s="81"/>
      <c r="I366" s="81"/>
      <c r="J366" s="82"/>
      <c r="K366" s="81"/>
      <c r="L366" s="81"/>
      <c r="M366" s="82"/>
      <c r="N366" s="81"/>
      <c r="O366" s="82"/>
      <c r="P366" s="81"/>
      <c r="Q366" s="82"/>
      <c r="R366" s="81"/>
      <c r="S366" s="105"/>
      <c r="T366" s="81"/>
      <c r="U366" s="81"/>
      <c r="V366" s="81"/>
      <c r="W366" s="81"/>
      <c r="X366" s="81"/>
      <c r="Y366" s="81"/>
      <c r="Z366" s="81"/>
    </row>
    <row r="367" spans="1:26" ht="24" customHeight="1" x14ac:dyDescent="0.5">
      <c r="A367" s="81"/>
      <c r="B367" s="81"/>
      <c r="C367" s="81"/>
      <c r="D367" s="81"/>
      <c r="E367" s="81"/>
      <c r="F367" s="81"/>
      <c r="G367" s="105"/>
      <c r="H367" s="81"/>
      <c r="I367" s="81"/>
      <c r="J367" s="82"/>
      <c r="K367" s="81"/>
      <c r="L367" s="81"/>
      <c r="M367" s="82"/>
      <c r="N367" s="81"/>
      <c r="O367" s="82"/>
      <c r="P367" s="81"/>
      <c r="Q367" s="82"/>
      <c r="R367" s="81"/>
      <c r="S367" s="105"/>
      <c r="T367" s="81"/>
      <c r="U367" s="81"/>
      <c r="V367" s="81"/>
      <c r="W367" s="81"/>
      <c r="X367" s="81"/>
      <c r="Y367" s="81"/>
      <c r="Z367" s="81"/>
    </row>
    <row r="368" spans="1:26" ht="24" customHeight="1" x14ac:dyDescent="0.5">
      <c r="A368" s="81"/>
      <c r="B368" s="81"/>
      <c r="C368" s="81"/>
      <c r="D368" s="81"/>
      <c r="E368" s="81"/>
      <c r="F368" s="81"/>
      <c r="G368" s="105"/>
      <c r="H368" s="81"/>
      <c r="I368" s="81"/>
      <c r="J368" s="82"/>
      <c r="K368" s="81"/>
      <c r="L368" s="81"/>
      <c r="M368" s="82"/>
      <c r="N368" s="81"/>
      <c r="O368" s="82"/>
      <c r="P368" s="81"/>
      <c r="Q368" s="82"/>
      <c r="R368" s="81"/>
      <c r="S368" s="105"/>
      <c r="T368" s="81"/>
      <c r="U368" s="81"/>
      <c r="V368" s="81"/>
      <c r="W368" s="81"/>
      <c r="X368" s="81"/>
      <c r="Y368" s="81"/>
      <c r="Z368" s="81"/>
    </row>
    <row r="369" spans="1:26" ht="24" customHeight="1" x14ac:dyDescent="0.5">
      <c r="A369" s="81"/>
      <c r="B369" s="81"/>
      <c r="C369" s="81"/>
      <c r="D369" s="81"/>
      <c r="E369" s="81"/>
      <c r="F369" s="81"/>
      <c r="G369" s="105"/>
      <c r="H369" s="81"/>
      <c r="I369" s="81"/>
      <c r="J369" s="82"/>
      <c r="K369" s="81"/>
      <c r="L369" s="81"/>
      <c r="M369" s="82"/>
      <c r="N369" s="81"/>
      <c r="O369" s="82"/>
      <c r="P369" s="81"/>
      <c r="Q369" s="82"/>
      <c r="R369" s="81"/>
      <c r="S369" s="105"/>
      <c r="T369" s="81"/>
      <c r="U369" s="81"/>
      <c r="V369" s="81"/>
      <c r="W369" s="81"/>
      <c r="X369" s="81"/>
      <c r="Y369" s="81"/>
      <c r="Z369" s="81"/>
    </row>
    <row r="370" spans="1:26" ht="24" customHeight="1" x14ac:dyDescent="0.5">
      <c r="A370" s="81"/>
      <c r="B370" s="81"/>
      <c r="C370" s="81"/>
      <c r="D370" s="81"/>
      <c r="E370" s="81"/>
      <c r="F370" s="81"/>
      <c r="G370" s="105"/>
      <c r="H370" s="81"/>
      <c r="I370" s="81"/>
      <c r="J370" s="82"/>
      <c r="K370" s="81"/>
      <c r="L370" s="81"/>
      <c r="M370" s="82"/>
      <c r="N370" s="81"/>
      <c r="O370" s="82"/>
      <c r="P370" s="81"/>
      <c r="Q370" s="82"/>
      <c r="R370" s="81"/>
      <c r="S370" s="105"/>
      <c r="T370" s="81"/>
      <c r="U370" s="81"/>
      <c r="V370" s="81"/>
      <c r="W370" s="81"/>
      <c r="X370" s="81"/>
      <c r="Y370" s="81"/>
      <c r="Z370" s="81"/>
    </row>
    <row r="371" spans="1:26" ht="24" customHeight="1" x14ac:dyDescent="0.5">
      <c r="A371" s="81"/>
      <c r="B371" s="81"/>
      <c r="C371" s="81"/>
      <c r="D371" s="81"/>
      <c r="E371" s="81"/>
      <c r="F371" s="81"/>
      <c r="G371" s="105"/>
      <c r="H371" s="81"/>
      <c r="I371" s="81"/>
      <c r="J371" s="82"/>
      <c r="K371" s="81"/>
      <c r="L371" s="81"/>
      <c r="M371" s="82"/>
      <c r="N371" s="81"/>
      <c r="O371" s="82"/>
      <c r="P371" s="81"/>
      <c r="Q371" s="82"/>
      <c r="R371" s="81"/>
      <c r="S371" s="105"/>
      <c r="T371" s="81"/>
      <c r="U371" s="81"/>
      <c r="V371" s="81"/>
      <c r="W371" s="81"/>
      <c r="X371" s="81"/>
      <c r="Y371" s="81"/>
      <c r="Z371" s="81"/>
    </row>
    <row r="372" spans="1:26" ht="24" customHeight="1" x14ac:dyDescent="0.5">
      <c r="A372" s="81"/>
      <c r="B372" s="81"/>
      <c r="C372" s="81"/>
      <c r="D372" s="81"/>
      <c r="E372" s="81"/>
      <c r="F372" s="81"/>
      <c r="G372" s="105"/>
      <c r="H372" s="81"/>
      <c r="I372" s="81"/>
      <c r="J372" s="82"/>
      <c r="K372" s="81"/>
      <c r="L372" s="81"/>
      <c r="M372" s="82"/>
      <c r="N372" s="81"/>
      <c r="O372" s="82"/>
      <c r="P372" s="81"/>
      <c r="Q372" s="82"/>
      <c r="R372" s="81"/>
      <c r="S372" s="105"/>
      <c r="T372" s="81"/>
      <c r="U372" s="81"/>
      <c r="V372" s="81"/>
      <c r="W372" s="81"/>
      <c r="X372" s="81"/>
      <c r="Y372" s="81"/>
      <c r="Z372" s="81"/>
    </row>
    <row r="373" spans="1:26" ht="24" customHeight="1" x14ac:dyDescent="0.5">
      <c r="A373" s="81"/>
      <c r="B373" s="81"/>
      <c r="C373" s="81"/>
      <c r="D373" s="81"/>
      <c r="E373" s="81"/>
      <c r="F373" s="81"/>
      <c r="G373" s="105"/>
      <c r="H373" s="81"/>
      <c r="I373" s="81"/>
      <c r="J373" s="82"/>
      <c r="K373" s="81"/>
      <c r="L373" s="81"/>
      <c r="M373" s="82"/>
      <c r="N373" s="81"/>
      <c r="O373" s="82"/>
      <c r="P373" s="81"/>
      <c r="Q373" s="82"/>
      <c r="R373" s="81"/>
      <c r="S373" s="105"/>
      <c r="T373" s="81"/>
      <c r="U373" s="81"/>
      <c r="V373" s="81"/>
      <c r="W373" s="81"/>
      <c r="X373" s="81"/>
      <c r="Y373" s="81"/>
      <c r="Z373" s="81"/>
    </row>
    <row r="374" spans="1:26" ht="24" customHeight="1" x14ac:dyDescent="0.5">
      <c r="A374" s="81"/>
      <c r="B374" s="81"/>
      <c r="C374" s="81"/>
      <c r="D374" s="81"/>
      <c r="E374" s="81"/>
      <c r="F374" s="81"/>
      <c r="G374" s="105"/>
      <c r="H374" s="81"/>
      <c r="I374" s="81"/>
      <c r="J374" s="82"/>
      <c r="K374" s="81"/>
      <c r="L374" s="81"/>
      <c r="M374" s="82"/>
      <c r="N374" s="81"/>
      <c r="O374" s="82"/>
      <c r="P374" s="81"/>
      <c r="Q374" s="82"/>
      <c r="R374" s="81"/>
      <c r="S374" s="105"/>
      <c r="T374" s="81"/>
      <c r="U374" s="81"/>
      <c r="V374" s="81"/>
      <c r="W374" s="81"/>
      <c r="X374" s="81"/>
      <c r="Y374" s="81"/>
      <c r="Z374" s="81"/>
    </row>
    <row r="375" spans="1:26" ht="24" customHeight="1" x14ac:dyDescent="0.5">
      <c r="A375" s="81"/>
      <c r="B375" s="81"/>
      <c r="C375" s="81"/>
      <c r="D375" s="81"/>
      <c r="E375" s="81"/>
      <c r="F375" s="81"/>
      <c r="G375" s="105"/>
      <c r="H375" s="81"/>
      <c r="I375" s="81"/>
      <c r="J375" s="82"/>
      <c r="K375" s="81"/>
      <c r="L375" s="81"/>
      <c r="M375" s="82"/>
      <c r="N375" s="81"/>
      <c r="O375" s="82"/>
      <c r="P375" s="81"/>
      <c r="Q375" s="82"/>
      <c r="R375" s="81"/>
      <c r="S375" s="105"/>
      <c r="T375" s="81"/>
      <c r="U375" s="81"/>
      <c r="V375" s="81"/>
      <c r="W375" s="81"/>
      <c r="X375" s="81"/>
      <c r="Y375" s="81"/>
      <c r="Z375" s="81"/>
    </row>
    <row r="376" spans="1:26" ht="24" customHeight="1" x14ac:dyDescent="0.5">
      <c r="A376" s="81"/>
      <c r="B376" s="81"/>
      <c r="C376" s="81"/>
      <c r="D376" s="81"/>
      <c r="E376" s="81"/>
      <c r="F376" s="81"/>
      <c r="G376" s="105"/>
      <c r="H376" s="81"/>
      <c r="I376" s="81"/>
      <c r="J376" s="82"/>
      <c r="K376" s="81"/>
      <c r="L376" s="81"/>
      <c r="M376" s="82"/>
      <c r="N376" s="81"/>
      <c r="O376" s="82"/>
      <c r="P376" s="81"/>
      <c r="Q376" s="82"/>
      <c r="R376" s="81"/>
      <c r="S376" s="105"/>
      <c r="T376" s="81"/>
      <c r="U376" s="81"/>
      <c r="V376" s="81"/>
      <c r="W376" s="81"/>
      <c r="X376" s="81"/>
      <c r="Y376" s="81"/>
      <c r="Z376" s="81"/>
    </row>
    <row r="377" spans="1:26" ht="24" customHeight="1" x14ac:dyDescent="0.5">
      <c r="A377" s="81"/>
      <c r="B377" s="81"/>
      <c r="C377" s="81"/>
      <c r="D377" s="81"/>
      <c r="E377" s="81"/>
      <c r="F377" s="81"/>
      <c r="G377" s="105"/>
      <c r="H377" s="81"/>
      <c r="I377" s="81"/>
      <c r="J377" s="82"/>
      <c r="K377" s="81"/>
      <c r="L377" s="81"/>
      <c r="M377" s="82"/>
      <c r="N377" s="81"/>
      <c r="O377" s="82"/>
      <c r="P377" s="81"/>
      <c r="Q377" s="82"/>
      <c r="R377" s="81"/>
      <c r="S377" s="105"/>
      <c r="T377" s="81"/>
      <c r="U377" s="81"/>
      <c r="V377" s="81"/>
      <c r="W377" s="81"/>
      <c r="X377" s="81"/>
      <c r="Y377" s="81"/>
      <c r="Z377" s="81"/>
    </row>
    <row r="378" spans="1:26" ht="24" customHeight="1" x14ac:dyDescent="0.5">
      <c r="A378" s="81"/>
      <c r="B378" s="81"/>
      <c r="C378" s="81"/>
      <c r="D378" s="81"/>
      <c r="E378" s="81"/>
      <c r="F378" s="81"/>
      <c r="G378" s="105"/>
      <c r="H378" s="81"/>
      <c r="I378" s="81"/>
      <c r="J378" s="82"/>
      <c r="K378" s="81"/>
      <c r="L378" s="81"/>
      <c r="M378" s="82"/>
      <c r="N378" s="81"/>
      <c r="O378" s="82"/>
      <c r="P378" s="81"/>
      <c r="Q378" s="82"/>
      <c r="R378" s="81"/>
      <c r="S378" s="105"/>
      <c r="T378" s="81"/>
      <c r="U378" s="81"/>
      <c r="V378" s="81"/>
      <c r="W378" s="81"/>
      <c r="X378" s="81"/>
      <c r="Y378" s="81"/>
      <c r="Z378" s="81"/>
    </row>
    <row r="379" spans="1:26" ht="24" customHeight="1" x14ac:dyDescent="0.5">
      <c r="A379" s="81"/>
      <c r="B379" s="81"/>
      <c r="C379" s="81"/>
      <c r="D379" s="81"/>
      <c r="E379" s="81"/>
      <c r="F379" s="81"/>
      <c r="G379" s="105"/>
      <c r="H379" s="81"/>
      <c r="I379" s="81"/>
      <c r="J379" s="82"/>
      <c r="K379" s="81"/>
      <c r="L379" s="81"/>
      <c r="M379" s="82"/>
      <c r="N379" s="81"/>
      <c r="O379" s="82"/>
      <c r="P379" s="81"/>
      <c r="Q379" s="82"/>
      <c r="R379" s="81"/>
      <c r="S379" s="105"/>
      <c r="T379" s="81"/>
      <c r="U379" s="81"/>
      <c r="V379" s="81"/>
      <c r="W379" s="81"/>
      <c r="X379" s="81"/>
      <c r="Y379" s="81"/>
      <c r="Z379" s="81"/>
    </row>
    <row r="380" spans="1:26" ht="24" customHeight="1" x14ac:dyDescent="0.5">
      <c r="A380" s="81"/>
      <c r="B380" s="81"/>
      <c r="C380" s="81"/>
      <c r="D380" s="81"/>
      <c r="E380" s="81"/>
      <c r="F380" s="81"/>
      <c r="G380" s="105"/>
      <c r="H380" s="81"/>
      <c r="I380" s="81"/>
      <c r="J380" s="82"/>
      <c r="K380" s="81"/>
      <c r="L380" s="81"/>
      <c r="M380" s="82"/>
      <c r="N380" s="81"/>
      <c r="O380" s="82"/>
      <c r="P380" s="81"/>
      <c r="Q380" s="82"/>
      <c r="R380" s="81"/>
      <c r="S380" s="105"/>
      <c r="T380" s="81"/>
      <c r="U380" s="81"/>
      <c r="V380" s="81"/>
      <c r="W380" s="81"/>
      <c r="X380" s="81"/>
      <c r="Y380" s="81"/>
      <c r="Z380" s="81"/>
    </row>
    <row r="381" spans="1:26" ht="24" customHeight="1" x14ac:dyDescent="0.5">
      <c r="A381" s="81"/>
      <c r="B381" s="81"/>
      <c r="C381" s="81"/>
      <c r="D381" s="81"/>
      <c r="E381" s="81"/>
      <c r="F381" s="81"/>
      <c r="G381" s="105"/>
      <c r="H381" s="81"/>
      <c r="I381" s="81"/>
      <c r="J381" s="82"/>
      <c r="K381" s="81"/>
      <c r="L381" s="81"/>
      <c r="M381" s="82"/>
      <c r="N381" s="81"/>
      <c r="O381" s="82"/>
      <c r="P381" s="81"/>
      <c r="Q381" s="82"/>
      <c r="R381" s="81"/>
      <c r="S381" s="105"/>
      <c r="T381" s="81"/>
      <c r="U381" s="81"/>
      <c r="V381" s="81"/>
      <c r="W381" s="81"/>
      <c r="X381" s="81"/>
      <c r="Y381" s="81"/>
      <c r="Z381" s="81"/>
    </row>
    <row r="382" spans="1:26" ht="24" customHeight="1" x14ac:dyDescent="0.5">
      <c r="A382" s="81"/>
      <c r="B382" s="81"/>
      <c r="C382" s="81"/>
      <c r="D382" s="81"/>
      <c r="E382" s="81"/>
      <c r="F382" s="81"/>
      <c r="G382" s="105"/>
      <c r="H382" s="81"/>
      <c r="I382" s="81"/>
      <c r="J382" s="82"/>
      <c r="K382" s="81"/>
      <c r="L382" s="81"/>
      <c r="M382" s="82"/>
      <c r="N382" s="81"/>
      <c r="O382" s="82"/>
      <c r="P382" s="81"/>
      <c r="Q382" s="82"/>
      <c r="R382" s="81"/>
      <c r="S382" s="105"/>
      <c r="T382" s="81"/>
      <c r="U382" s="81"/>
      <c r="V382" s="81"/>
      <c r="W382" s="81"/>
      <c r="X382" s="81"/>
      <c r="Y382" s="81"/>
      <c r="Z382" s="81"/>
    </row>
    <row r="383" spans="1:26" ht="24" customHeight="1" x14ac:dyDescent="0.5">
      <c r="A383" s="81"/>
      <c r="B383" s="81"/>
      <c r="C383" s="81"/>
      <c r="D383" s="81"/>
      <c r="E383" s="81"/>
      <c r="F383" s="81"/>
      <c r="G383" s="105"/>
      <c r="H383" s="81"/>
      <c r="I383" s="81"/>
      <c r="J383" s="82"/>
      <c r="K383" s="81"/>
      <c r="L383" s="81"/>
      <c r="M383" s="82"/>
      <c r="N383" s="81"/>
      <c r="O383" s="82"/>
      <c r="P383" s="81"/>
      <c r="Q383" s="82"/>
      <c r="R383" s="81"/>
      <c r="S383" s="105"/>
      <c r="T383" s="81"/>
      <c r="U383" s="81"/>
      <c r="V383" s="81"/>
      <c r="W383" s="81"/>
      <c r="X383" s="81"/>
      <c r="Y383" s="81"/>
      <c r="Z383" s="81"/>
    </row>
    <row r="384" spans="1:26" ht="24" customHeight="1" x14ac:dyDescent="0.5">
      <c r="A384" s="81"/>
      <c r="B384" s="81"/>
      <c r="C384" s="81"/>
      <c r="D384" s="81"/>
      <c r="E384" s="81"/>
      <c r="F384" s="81"/>
      <c r="G384" s="105"/>
      <c r="H384" s="81"/>
      <c r="I384" s="81"/>
      <c r="J384" s="82"/>
      <c r="K384" s="81"/>
      <c r="L384" s="81"/>
      <c r="M384" s="82"/>
      <c r="N384" s="81"/>
      <c r="O384" s="82"/>
      <c r="P384" s="81"/>
      <c r="Q384" s="82"/>
      <c r="R384" s="81"/>
      <c r="S384" s="105"/>
      <c r="T384" s="81"/>
      <c r="U384" s="81"/>
      <c r="V384" s="81"/>
      <c r="W384" s="81"/>
      <c r="X384" s="81"/>
      <c r="Y384" s="81"/>
      <c r="Z384" s="81"/>
    </row>
    <row r="385" spans="1:26" ht="24" customHeight="1" x14ac:dyDescent="0.5">
      <c r="A385" s="81"/>
      <c r="B385" s="81"/>
      <c r="C385" s="81"/>
      <c r="D385" s="81"/>
      <c r="E385" s="81"/>
      <c r="F385" s="81"/>
      <c r="G385" s="105"/>
      <c r="H385" s="81"/>
      <c r="I385" s="81"/>
      <c r="J385" s="82"/>
      <c r="K385" s="81"/>
      <c r="L385" s="81"/>
      <c r="M385" s="82"/>
      <c r="N385" s="81"/>
      <c r="O385" s="82"/>
      <c r="P385" s="81"/>
      <c r="Q385" s="82"/>
      <c r="R385" s="81"/>
      <c r="S385" s="105"/>
      <c r="T385" s="81"/>
      <c r="U385" s="81"/>
      <c r="V385" s="81"/>
      <c r="W385" s="81"/>
      <c r="X385" s="81"/>
      <c r="Y385" s="81"/>
      <c r="Z385" s="81"/>
    </row>
    <row r="386" spans="1:26" ht="24" customHeight="1" x14ac:dyDescent="0.5">
      <c r="A386" s="81"/>
      <c r="B386" s="81"/>
      <c r="C386" s="81"/>
      <c r="D386" s="81"/>
      <c r="E386" s="81"/>
      <c r="F386" s="81"/>
      <c r="G386" s="105"/>
      <c r="H386" s="81"/>
      <c r="I386" s="81"/>
      <c r="J386" s="82"/>
      <c r="K386" s="81"/>
      <c r="L386" s="81"/>
      <c r="M386" s="82"/>
      <c r="N386" s="81"/>
      <c r="O386" s="82"/>
      <c r="P386" s="81"/>
      <c r="Q386" s="82"/>
      <c r="R386" s="81"/>
      <c r="S386" s="105"/>
      <c r="T386" s="81"/>
      <c r="U386" s="81"/>
      <c r="V386" s="81"/>
      <c r="W386" s="81"/>
      <c r="X386" s="81"/>
      <c r="Y386" s="81"/>
      <c r="Z386" s="81"/>
    </row>
    <row r="387" spans="1:26" ht="24" customHeight="1" x14ac:dyDescent="0.5">
      <c r="A387" s="81"/>
      <c r="B387" s="81"/>
      <c r="C387" s="81"/>
      <c r="D387" s="81"/>
      <c r="E387" s="81"/>
      <c r="F387" s="81"/>
      <c r="G387" s="105"/>
      <c r="H387" s="81"/>
      <c r="I387" s="81"/>
      <c r="J387" s="82"/>
      <c r="K387" s="81"/>
      <c r="L387" s="81"/>
      <c r="M387" s="82"/>
      <c r="N387" s="81"/>
      <c r="O387" s="82"/>
      <c r="P387" s="81"/>
      <c r="Q387" s="82"/>
      <c r="R387" s="81"/>
      <c r="S387" s="105"/>
      <c r="T387" s="81"/>
      <c r="U387" s="81"/>
      <c r="V387" s="81"/>
      <c r="W387" s="81"/>
      <c r="X387" s="81"/>
      <c r="Y387" s="81"/>
      <c r="Z387" s="81"/>
    </row>
    <row r="388" spans="1:26" ht="24" customHeight="1" x14ac:dyDescent="0.5">
      <c r="A388" s="81"/>
      <c r="B388" s="81"/>
      <c r="C388" s="81"/>
      <c r="D388" s="81"/>
      <c r="E388" s="81"/>
      <c r="F388" s="81"/>
      <c r="G388" s="105"/>
      <c r="H388" s="81"/>
      <c r="I388" s="81"/>
      <c r="J388" s="82"/>
      <c r="K388" s="81"/>
      <c r="L388" s="81"/>
      <c r="M388" s="82"/>
      <c r="N388" s="81"/>
      <c r="O388" s="82"/>
      <c r="P388" s="81"/>
      <c r="Q388" s="82"/>
      <c r="R388" s="81"/>
      <c r="S388" s="105"/>
      <c r="T388" s="81"/>
      <c r="U388" s="81"/>
      <c r="V388" s="81"/>
      <c r="W388" s="81"/>
      <c r="X388" s="81"/>
      <c r="Y388" s="81"/>
      <c r="Z388" s="81"/>
    </row>
    <row r="389" spans="1:26" ht="24" customHeight="1" x14ac:dyDescent="0.5">
      <c r="A389" s="81"/>
      <c r="B389" s="81"/>
      <c r="C389" s="81"/>
      <c r="D389" s="81"/>
      <c r="E389" s="81"/>
      <c r="F389" s="81"/>
      <c r="G389" s="105"/>
      <c r="H389" s="81"/>
      <c r="I389" s="81"/>
      <c r="J389" s="82"/>
      <c r="K389" s="81"/>
      <c r="L389" s="81"/>
      <c r="M389" s="82"/>
      <c r="N389" s="81"/>
      <c r="O389" s="82"/>
      <c r="P389" s="81"/>
      <c r="Q389" s="82"/>
      <c r="R389" s="81"/>
      <c r="S389" s="105"/>
      <c r="T389" s="81"/>
      <c r="U389" s="81"/>
      <c r="V389" s="81"/>
      <c r="W389" s="81"/>
      <c r="X389" s="81"/>
      <c r="Y389" s="81"/>
      <c r="Z389" s="81"/>
    </row>
    <row r="390" spans="1:26" ht="24" customHeight="1" x14ac:dyDescent="0.5">
      <c r="A390" s="81"/>
      <c r="B390" s="81"/>
      <c r="C390" s="81"/>
      <c r="D390" s="81"/>
      <c r="E390" s="81"/>
      <c r="F390" s="81"/>
      <c r="G390" s="105"/>
      <c r="H390" s="81"/>
      <c r="I390" s="81"/>
      <c r="J390" s="82"/>
      <c r="K390" s="81"/>
      <c r="L390" s="81"/>
      <c r="M390" s="82"/>
      <c r="N390" s="81"/>
      <c r="O390" s="82"/>
      <c r="P390" s="81"/>
      <c r="Q390" s="82"/>
      <c r="R390" s="81"/>
      <c r="S390" s="105"/>
      <c r="T390" s="81"/>
      <c r="U390" s="81"/>
      <c r="V390" s="81"/>
      <c r="W390" s="81"/>
      <c r="X390" s="81"/>
      <c r="Y390" s="81"/>
      <c r="Z390" s="81"/>
    </row>
    <row r="391" spans="1:26" ht="24" customHeight="1" x14ac:dyDescent="0.5">
      <c r="A391" s="81"/>
      <c r="B391" s="81"/>
      <c r="C391" s="81"/>
      <c r="D391" s="81"/>
      <c r="E391" s="81"/>
      <c r="F391" s="81"/>
      <c r="G391" s="105"/>
      <c r="H391" s="81"/>
      <c r="I391" s="81"/>
      <c r="J391" s="82"/>
      <c r="K391" s="81"/>
      <c r="L391" s="81"/>
      <c r="M391" s="82"/>
      <c r="N391" s="81"/>
      <c r="O391" s="82"/>
      <c r="P391" s="81"/>
      <c r="Q391" s="82"/>
      <c r="R391" s="81"/>
      <c r="S391" s="105"/>
      <c r="T391" s="81"/>
      <c r="U391" s="81"/>
      <c r="V391" s="81"/>
      <c r="W391" s="81"/>
      <c r="X391" s="81"/>
      <c r="Y391" s="81"/>
      <c r="Z391" s="81"/>
    </row>
    <row r="392" spans="1:26" ht="24" customHeight="1" x14ac:dyDescent="0.5">
      <c r="A392" s="81"/>
      <c r="B392" s="81"/>
      <c r="C392" s="81"/>
      <c r="D392" s="81"/>
      <c r="E392" s="81"/>
      <c r="F392" s="81"/>
      <c r="G392" s="105"/>
      <c r="H392" s="81"/>
      <c r="I392" s="81"/>
      <c r="J392" s="82"/>
      <c r="K392" s="81"/>
      <c r="L392" s="81"/>
      <c r="M392" s="82"/>
      <c r="N392" s="81"/>
      <c r="O392" s="82"/>
      <c r="P392" s="81"/>
      <c r="Q392" s="82"/>
      <c r="R392" s="81"/>
      <c r="S392" s="105"/>
      <c r="T392" s="81"/>
      <c r="U392" s="81"/>
      <c r="V392" s="81"/>
      <c r="W392" s="81"/>
      <c r="X392" s="81"/>
      <c r="Y392" s="81"/>
      <c r="Z392" s="81"/>
    </row>
    <row r="393" spans="1:26" ht="24" customHeight="1" x14ac:dyDescent="0.5">
      <c r="A393" s="81"/>
      <c r="B393" s="81"/>
      <c r="C393" s="81"/>
      <c r="D393" s="81"/>
      <c r="E393" s="81"/>
      <c r="F393" s="81"/>
      <c r="G393" s="105"/>
      <c r="H393" s="81"/>
      <c r="I393" s="81"/>
      <c r="J393" s="82"/>
      <c r="K393" s="81"/>
      <c r="L393" s="81"/>
      <c r="M393" s="82"/>
      <c r="N393" s="81"/>
      <c r="O393" s="82"/>
      <c r="P393" s="81"/>
      <c r="Q393" s="82"/>
      <c r="R393" s="81"/>
      <c r="S393" s="105"/>
      <c r="T393" s="81"/>
      <c r="U393" s="81"/>
      <c r="V393" s="81"/>
      <c r="W393" s="81"/>
      <c r="X393" s="81"/>
      <c r="Y393" s="81"/>
      <c r="Z393" s="81"/>
    </row>
    <row r="394" spans="1:26" ht="24" customHeight="1" x14ac:dyDescent="0.5">
      <c r="A394" s="81"/>
      <c r="B394" s="81"/>
      <c r="C394" s="81"/>
      <c r="D394" s="81"/>
      <c r="E394" s="81"/>
      <c r="F394" s="81"/>
      <c r="G394" s="105"/>
      <c r="H394" s="81"/>
      <c r="I394" s="81"/>
      <c r="J394" s="82"/>
      <c r="K394" s="81"/>
      <c r="L394" s="81"/>
      <c r="M394" s="82"/>
      <c r="N394" s="81"/>
      <c r="O394" s="82"/>
      <c r="P394" s="81"/>
      <c r="Q394" s="82"/>
      <c r="R394" s="81"/>
      <c r="S394" s="105"/>
      <c r="T394" s="81"/>
      <c r="U394" s="81"/>
      <c r="V394" s="81"/>
      <c r="W394" s="81"/>
      <c r="X394" s="81"/>
      <c r="Y394" s="81"/>
      <c r="Z394" s="81"/>
    </row>
    <row r="395" spans="1:26" ht="24" customHeight="1" x14ac:dyDescent="0.5">
      <c r="A395" s="81"/>
      <c r="B395" s="81"/>
      <c r="C395" s="81"/>
      <c r="D395" s="81"/>
      <c r="E395" s="81"/>
      <c r="F395" s="81"/>
      <c r="G395" s="105"/>
      <c r="H395" s="81"/>
      <c r="I395" s="81"/>
      <c r="J395" s="82"/>
      <c r="K395" s="81"/>
      <c r="L395" s="81"/>
      <c r="M395" s="82"/>
      <c r="N395" s="81"/>
      <c r="O395" s="82"/>
      <c r="P395" s="81"/>
      <c r="Q395" s="82"/>
      <c r="R395" s="81"/>
      <c r="S395" s="105"/>
      <c r="T395" s="81"/>
      <c r="U395" s="81"/>
      <c r="V395" s="81"/>
      <c r="W395" s="81"/>
      <c r="X395" s="81"/>
      <c r="Y395" s="81"/>
      <c r="Z395" s="81"/>
    </row>
    <row r="396" spans="1:26" ht="24" customHeight="1" x14ac:dyDescent="0.5">
      <c r="A396" s="81"/>
      <c r="B396" s="81"/>
      <c r="C396" s="81"/>
      <c r="D396" s="81"/>
      <c r="E396" s="81"/>
      <c r="F396" s="81"/>
      <c r="G396" s="105"/>
      <c r="H396" s="81"/>
      <c r="I396" s="81"/>
      <c r="J396" s="82"/>
      <c r="K396" s="81"/>
      <c r="L396" s="81"/>
      <c r="M396" s="82"/>
      <c r="N396" s="81"/>
      <c r="O396" s="82"/>
      <c r="P396" s="81"/>
      <c r="Q396" s="82"/>
      <c r="R396" s="81"/>
      <c r="S396" s="105"/>
      <c r="T396" s="81"/>
      <c r="U396" s="81"/>
      <c r="V396" s="81"/>
      <c r="W396" s="81"/>
      <c r="X396" s="81"/>
      <c r="Y396" s="81"/>
      <c r="Z396" s="81"/>
    </row>
    <row r="397" spans="1:26" ht="24" customHeight="1" x14ac:dyDescent="0.5">
      <c r="A397" s="81"/>
      <c r="B397" s="81"/>
      <c r="C397" s="81"/>
      <c r="D397" s="81"/>
      <c r="E397" s="81"/>
      <c r="F397" s="81"/>
      <c r="G397" s="105"/>
      <c r="H397" s="81"/>
      <c r="I397" s="81"/>
      <c r="J397" s="82"/>
      <c r="K397" s="81"/>
      <c r="L397" s="81"/>
      <c r="M397" s="82"/>
      <c r="N397" s="81"/>
      <c r="O397" s="82"/>
      <c r="P397" s="81"/>
      <c r="Q397" s="82"/>
      <c r="R397" s="81"/>
      <c r="S397" s="105"/>
      <c r="T397" s="81"/>
      <c r="U397" s="81"/>
      <c r="V397" s="81"/>
      <c r="W397" s="81"/>
      <c r="X397" s="81"/>
      <c r="Y397" s="81"/>
      <c r="Z397" s="81"/>
    </row>
    <row r="398" spans="1:26" ht="24" customHeight="1" x14ac:dyDescent="0.5">
      <c r="A398" s="81"/>
      <c r="B398" s="81"/>
      <c r="C398" s="81"/>
      <c r="D398" s="81"/>
      <c r="E398" s="81"/>
      <c r="F398" s="81"/>
      <c r="G398" s="105"/>
      <c r="H398" s="81"/>
      <c r="I398" s="81"/>
      <c r="J398" s="82"/>
      <c r="K398" s="81"/>
      <c r="L398" s="81"/>
      <c r="M398" s="82"/>
      <c r="N398" s="81"/>
      <c r="O398" s="82"/>
      <c r="P398" s="81"/>
      <c r="Q398" s="82"/>
      <c r="R398" s="81"/>
      <c r="S398" s="105"/>
      <c r="T398" s="81"/>
      <c r="U398" s="81"/>
      <c r="V398" s="81"/>
      <c r="W398" s="81"/>
      <c r="X398" s="81"/>
      <c r="Y398" s="81"/>
      <c r="Z398" s="81"/>
    </row>
    <row r="399" spans="1:26" ht="24" customHeight="1" x14ac:dyDescent="0.5">
      <c r="A399" s="81"/>
      <c r="B399" s="81"/>
      <c r="C399" s="81"/>
      <c r="D399" s="81"/>
      <c r="E399" s="81"/>
      <c r="F399" s="81"/>
      <c r="G399" s="105"/>
      <c r="H399" s="81"/>
      <c r="I399" s="81"/>
      <c r="J399" s="82"/>
      <c r="K399" s="81"/>
      <c r="L399" s="81"/>
      <c r="M399" s="82"/>
      <c r="N399" s="81"/>
      <c r="O399" s="82"/>
      <c r="P399" s="81"/>
      <c r="Q399" s="82"/>
      <c r="R399" s="81"/>
      <c r="S399" s="105"/>
      <c r="T399" s="81"/>
      <c r="U399" s="81"/>
      <c r="V399" s="81"/>
      <c r="W399" s="81"/>
      <c r="X399" s="81"/>
      <c r="Y399" s="81"/>
      <c r="Z399" s="81"/>
    </row>
    <row r="400" spans="1:26" ht="24" customHeight="1" x14ac:dyDescent="0.5">
      <c r="A400" s="81"/>
      <c r="B400" s="81"/>
      <c r="C400" s="81"/>
      <c r="D400" s="81"/>
      <c r="E400" s="81"/>
      <c r="F400" s="81"/>
      <c r="G400" s="105"/>
      <c r="H400" s="81"/>
      <c r="I400" s="81"/>
      <c r="J400" s="82"/>
      <c r="K400" s="81"/>
      <c r="L400" s="81"/>
      <c r="M400" s="82"/>
      <c r="N400" s="81"/>
      <c r="O400" s="82"/>
      <c r="P400" s="81"/>
      <c r="Q400" s="82"/>
      <c r="R400" s="81"/>
      <c r="S400" s="105"/>
      <c r="T400" s="81"/>
      <c r="U400" s="81"/>
      <c r="V400" s="81"/>
      <c r="W400" s="81"/>
      <c r="X400" s="81"/>
      <c r="Y400" s="81"/>
      <c r="Z400" s="81"/>
    </row>
    <row r="401" spans="1:26" ht="24" customHeight="1" x14ac:dyDescent="0.5">
      <c r="A401" s="81"/>
      <c r="B401" s="81"/>
      <c r="C401" s="81"/>
      <c r="D401" s="81"/>
      <c r="E401" s="81"/>
      <c r="F401" s="81"/>
      <c r="G401" s="105"/>
      <c r="H401" s="81"/>
      <c r="I401" s="81"/>
      <c r="J401" s="82"/>
      <c r="K401" s="81"/>
      <c r="L401" s="81"/>
      <c r="M401" s="82"/>
      <c r="N401" s="81"/>
      <c r="O401" s="82"/>
      <c r="P401" s="81"/>
      <c r="Q401" s="82"/>
      <c r="R401" s="81"/>
      <c r="S401" s="105"/>
      <c r="T401" s="81"/>
      <c r="U401" s="81"/>
      <c r="V401" s="81"/>
      <c r="W401" s="81"/>
      <c r="X401" s="81"/>
      <c r="Y401" s="81"/>
      <c r="Z401" s="81"/>
    </row>
    <row r="402" spans="1:26" ht="24" customHeight="1" x14ac:dyDescent="0.5">
      <c r="A402" s="81"/>
      <c r="B402" s="81"/>
      <c r="C402" s="81"/>
      <c r="D402" s="81"/>
      <c r="E402" s="81"/>
      <c r="F402" s="81"/>
      <c r="G402" s="105"/>
      <c r="H402" s="81"/>
      <c r="I402" s="81"/>
      <c r="J402" s="82"/>
      <c r="K402" s="81"/>
      <c r="L402" s="81"/>
      <c r="M402" s="82"/>
      <c r="N402" s="81"/>
      <c r="O402" s="82"/>
      <c r="P402" s="81"/>
      <c r="Q402" s="82"/>
      <c r="R402" s="81"/>
      <c r="S402" s="105"/>
      <c r="T402" s="81"/>
      <c r="U402" s="81"/>
      <c r="V402" s="81"/>
      <c r="W402" s="81"/>
      <c r="X402" s="81"/>
      <c r="Y402" s="81"/>
      <c r="Z402" s="81"/>
    </row>
    <row r="403" spans="1:26" ht="24" customHeight="1" x14ac:dyDescent="0.5">
      <c r="A403" s="81"/>
      <c r="B403" s="81"/>
      <c r="C403" s="81"/>
      <c r="D403" s="81"/>
      <c r="E403" s="81"/>
      <c r="F403" s="81"/>
      <c r="G403" s="105"/>
      <c r="H403" s="81"/>
      <c r="I403" s="81"/>
      <c r="J403" s="82"/>
      <c r="K403" s="81"/>
      <c r="L403" s="81"/>
      <c r="M403" s="82"/>
      <c r="N403" s="81"/>
      <c r="O403" s="82"/>
      <c r="P403" s="81"/>
      <c r="Q403" s="82"/>
      <c r="R403" s="81"/>
      <c r="S403" s="105"/>
      <c r="T403" s="81"/>
      <c r="U403" s="81"/>
      <c r="V403" s="81"/>
      <c r="W403" s="81"/>
      <c r="X403" s="81"/>
      <c r="Y403" s="81"/>
      <c r="Z403" s="81"/>
    </row>
    <row r="404" spans="1:26" ht="24" customHeight="1" x14ac:dyDescent="0.5">
      <c r="A404" s="81"/>
      <c r="B404" s="81"/>
      <c r="C404" s="81"/>
      <c r="D404" s="81"/>
      <c r="E404" s="81"/>
      <c r="F404" s="81"/>
      <c r="G404" s="105"/>
      <c r="H404" s="81"/>
      <c r="I404" s="81"/>
      <c r="J404" s="82"/>
      <c r="K404" s="81"/>
      <c r="L404" s="81"/>
      <c r="M404" s="82"/>
      <c r="N404" s="81"/>
      <c r="O404" s="82"/>
      <c r="P404" s="81"/>
      <c r="Q404" s="82"/>
      <c r="R404" s="81"/>
      <c r="S404" s="105"/>
      <c r="T404" s="81"/>
      <c r="U404" s="81"/>
      <c r="V404" s="81"/>
      <c r="W404" s="81"/>
      <c r="X404" s="81"/>
      <c r="Y404" s="81"/>
      <c r="Z404" s="81"/>
    </row>
    <row r="405" spans="1:26" ht="24" customHeight="1" x14ac:dyDescent="0.5">
      <c r="A405" s="81"/>
      <c r="B405" s="81"/>
      <c r="C405" s="81"/>
      <c r="D405" s="81"/>
      <c r="E405" s="81"/>
      <c r="F405" s="81"/>
      <c r="G405" s="105"/>
      <c r="H405" s="81"/>
      <c r="I405" s="81"/>
      <c r="J405" s="82"/>
      <c r="K405" s="81"/>
      <c r="L405" s="81"/>
      <c r="M405" s="82"/>
      <c r="N405" s="81"/>
      <c r="O405" s="82"/>
      <c r="P405" s="81"/>
      <c r="Q405" s="82"/>
      <c r="R405" s="81"/>
      <c r="S405" s="105"/>
      <c r="T405" s="81"/>
      <c r="U405" s="81"/>
      <c r="V405" s="81"/>
      <c r="W405" s="81"/>
      <c r="X405" s="81"/>
      <c r="Y405" s="81"/>
      <c r="Z405" s="81"/>
    </row>
    <row r="406" spans="1:26" ht="24" customHeight="1" x14ac:dyDescent="0.5">
      <c r="A406" s="81"/>
      <c r="B406" s="81"/>
      <c r="C406" s="81"/>
      <c r="D406" s="81"/>
      <c r="E406" s="81"/>
      <c r="F406" s="81"/>
      <c r="G406" s="105"/>
      <c r="H406" s="81"/>
      <c r="I406" s="81"/>
      <c r="J406" s="82"/>
      <c r="K406" s="81"/>
      <c r="L406" s="81"/>
      <c r="M406" s="82"/>
      <c r="N406" s="81"/>
      <c r="O406" s="82"/>
      <c r="P406" s="81"/>
      <c r="Q406" s="82"/>
      <c r="R406" s="81"/>
      <c r="S406" s="105"/>
      <c r="T406" s="81"/>
      <c r="U406" s="81"/>
      <c r="V406" s="81"/>
      <c r="W406" s="81"/>
      <c r="X406" s="81"/>
      <c r="Y406" s="81"/>
      <c r="Z406" s="81"/>
    </row>
    <row r="407" spans="1:26" ht="24" customHeight="1" x14ac:dyDescent="0.5">
      <c r="A407" s="81"/>
      <c r="B407" s="81"/>
      <c r="C407" s="81"/>
      <c r="D407" s="81"/>
      <c r="E407" s="81"/>
      <c r="F407" s="81"/>
      <c r="G407" s="105"/>
      <c r="H407" s="81"/>
      <c r="I407" s="81"/>
      <c r="J407" s="82"/>
      <c r="K407" s="81"/>
      <c r="L407" s="81"/>
      <c r="M407" s="82"/>
      <c r="N407" s="81"/>
      <c r="O407" s="82"/>
      <c r="P407" s="81"/>
      <c r="Q407" s="82"/>
      <c r="R407" s="81"/>
      <c r="S407" s="105"/>
      <c r="T407" s="81"/>
      <c r="U407" s="81"/>
      <c r="V407" s="81"/>
      <c r="W407" s="81"/>
      <c r="X407" s="81"/>
      <c r="Y407" s="81"/>
      <c r="Z407" s="81"/>
    </row>
    <row r="408" spans="1:26" ht="24" customHeight="1" x14ac:dyDescent="0.5">
      <c r="A408" s="81"/>
      <c r="B408" s="81"/>
      <c r="C408" s="81"/>
      <c r="D408" s="81"/>
      <c r="E408" s="81"/>
      <c r="F408" s="81"/>
      <c r="G408" s="105"/>
      <c r="H408" s="81"/>
      <c r="I408" s="81"/>
      <c r="J408" s="82"/>
      <c r="K408" s="81"/>
      <c r="L408" s="81"/>
      <c r="M408" s="82"/>
      <c r="N408" s="81"/>
      <c r="O408" s="82"/>
      <c r="P408" s="81"/>
      <c r="Q408" s="82"/>
      <c r="R408" s="81"/>
      <c r="S408" s="105"/>
      <c r="T408" s="81"/>
      <c r="U408" s="81"/>
      <c r="V408" s="81"/>
      <c r="W408" s="81"/>
      <c r="X408" s="81"/>
      <c r="Y408" s="81"/>
      <c r="Z408" s="81"/>
    </row>
    <row r="409" spans="1:26" ht="24" customHeight="1" x14ac:dyDescent="0.5">
      <c r="A409" s="81"/>
      <c r="B409" s="81"/>
      <c r="C409" s="81"/>
      <c r="D409" s="81"/>
      <c r="E409" s="81"/>
      <c r="F409" s="81"/>
      <c r="G409" s="105"/>
      <c r="H409" s="81"/>
      <c r="I409" s="81"/>
      <c r="J409" s="82"/>
      <c r="K409" s="81"/>
      <c r="L409" s="81"/>
      <c r="M409" s="82"/>
      <c r="N409" s="81"/>
      <c r="O409" s="82"/>
      <c r="P409" s="81"/>
      <c r="Q409" s="82"/>
      <c r="R409" s="81"/>
      <c r="S409" s="105"/>
      <c r="T409" s="81"/>
      <c r="U409" s="81"/>
      <c r="V409" s="81"/>
      <c r="W409" s="81"/>
      <c r="X409" s="81"/>
      <c r="Y409" s="81"/>
      <c r="Z409" s="81"/>
    </row>
    <row r="410" spans="1:26" ht="24" customHeight="1" x14ac:dyDescent="0.5">
      <c r="A410" s="81"/>
      <c r="B410" s="81"/>
      <c r="C410" s="81"/>
      <c r="D410" s="81"/>
      <c r="E410" s="81"/>
      <c r="F410" s="81"/>
      <c r="G410" s="105"/>
      <c r="H410" s="81"/>
      <c r="I410" s="81"/>
      <c r="J410" s="82"/>
      <c r="K410" s="81"/>
      <c r="L410" s="81"/>
      <c r="M410" s="82"/>
      <c r="N410" s="81"/>
      <c r="O410" s="82"/>
      <c r="P410" s="81"/>
      <c r="Q410" s="82"/>
      <c r="R410" s="81"/>
      <c r="S410" s="105"/>
      <c r="T410" s="81"/>
      <c r="U410" s="81"/>
      <c r="V410" s="81"/>
      <c r="W410" s="81"/>
      <c r="X410" s="81"/>
      <c r="Y410" s="81"/>
      <c r="Z410" s="81"/>
    </row>
    <row r="411" spans="1:26" ht="24" customHeight="1" x14ac:dyDescent="0.5">
      <c r="A411" s="81"/>
      <c r="B411" s="81"/>
      <c r="C411" s="81"/>
      <c r="D411" s="81"/>
      <c r="E411" s="81"/>
      <c r="F411" s="81"/>
      <c r="G411" s="105"/>
      <c r="H411" s="81"/>
      <c r="I411" s="81"/>
      <c r="J411" s="82"/>
      <c r="K411" s="81"/>
      <c r="L411" s="81"/>
      <c r="M411" s="82"/>
      <c r="N411" s="81"/>
      <c r="O411" s="82"/>
      <c r="P411" s="81"/>
      <c r="Q411" s="82"/>
      <c r="R411" s="81"/>
      <c r="S411" s="105"/>
      <c r="T411" s="81"/>
      <c r="U411" s="81"/>
      <c r="V411" s="81"/>
      <c r="W411" s="81"/>
      <c r="X411" s="81"/>
      <c r="Y411" s="81"/>
      <c r="Z411" s="81"/>
    </row>
    <row r="412" spans="1:26" ht="24" customHeight="1" x14ac:dyDescent="0.5">
      <c r="A412" s="81"/>
      <c r="B412" s="81"/>
      <c r="C412" s="81"/>
      <c r="D412" s="81"/>
      <c r="E412" s="81"/>
      <c r="F412" s="81"/>
      <c r="G412" s="105"/>
      <c r="H412" s="81"/>
      <c r="I412" s="81"/>
      <c r="J412" s="82"/>
      <c r="K412" s="81"/>
      <c r="L412" s="81"/>
      <c r="M412" s="82"/>
      <c r="N412" s="81"/>
      <c r="O412" s="82"/>
      <c r="P412" s="81"/>
      <c r="Q412" s="82"/>
      <c r="R412" s="81"/>
      <c r="S412" s="105"/>
      <c r="T412" s="81"/>
      <c r="U412" s="81"/>
      <c r="V412" s="81"/>
      <c r="W412" s="81"/>
      <c r="X412" s="81"/>
      <c r="Y412" s="81"/>
      <c r="Z412" s="81"/>
    </row>
    <row r="413" spans="1:26" ht="24" customHeight="1" x14ac:dyDescent="0.5">
      <c r="A413" s="81"/>
      <c r="B413" s="81"/>
      <c r="C413" s="81"/>
      <c r="D413" s="81"/>
      <c r="E413" s="81"/>
      <c r="F413" s="81"/>
      <c r="G413" s="105"/>
      <c r="H413" s="81"/>
      <c r="I413" s="81"/>
      <c r="J413" s="82"/>
      <c r="K413" s="81"/>
      <c r="L413" s="81"/>
      <c r="M413" s="82"/>
      <c r="N413" s="81"/>
      <c r="O413" s="82"/>
      <c r="P413" s="81"/>
      <c r="Q413" s="82"/>
      <c r="R413" s="81"/>
      <c r="S413" s="105"/>
      <c r="T413" s="81"/>
      <c r="U413" s="81"/>
      <c r="V413" s="81"/>
      <c r="W413" s="81"/>
      <c r="X413" s="81"/>
      <c r="Y413" s="81"/>
      <c r="Z413" s="81"/>
    </row>
    <row r="414" spans="1:26" ht="24" customHeight="1" x14ac:dyDescent="0.5">
      <c r="A414" s="81"/>
      <c r="B414" s="81"/>
      <c r="C414" s="81"/>
      <c r="D414" s="81"/>
      <c r="E414" s="81"/>
      <c r="F414" s="81"/>
      <c r="G414" s="105"/>
      <c r="H414" s="81"/>
      <c r="I414" s="81"/>
      <c r="J414" s="82"/>
      <c r="K414" s="81"/>
      <c r="L414" s="81"/>
      <c r="M414" s="82"/>
      <c r="N414" s="81"/>
      <c r="O414" s="82"/>
      <c r="P414" s="81"/>
      <c r="Q414" s="82"/>
      <c r="R414" s="81"/>
      <c r="S414" s="105"/>
      <c r="T414" s="81"/>
      <c r="U414" s="81"/>
      <c r="V414" s="81"/>
      <c r="W414" s="81"/>
      <c r="X414" s="81"/>
      <c r="Y414" s="81"/>
      <c r="Z414" s="81"/>
    </row>
    <row r="415" spans="1:26" ht="24" customHeight="1" x14ac:dyDescent="0.5">
      <c r="A415" s="81"/>
      <c r="B415" s="81"/>
      <c r="C415" s="81"/>
      <c r="D415" s="81"/>
      <c r="E415" s="81"/>
      <c r="F415" s="81"/>
      <c r="G415" s="105"/>
      <c r="H415" s="81"/>
      <c r="I415" s="81"/>
      <c r="J415" s="82"/>
      <c r="K415" s="81"/>
      <c r="L415" s="81"/>
      <c r="M415" s="82"/>
      <c r="N415" s="81"/>
      <c r="O415" s="82"/>
      <c r="P415" s="81"/>
      <c r="Q415" s="82"/>
      <c r="R415" s="81"/>
      <c r="S415" s="105"/>
      <c r="T415" s="81"/>
      <c r="U415" s="81"/>
      <c r="V415" s="81"/>
      <c r="W415" s="81"/>
      <c r="X415" s="81"/>
      <c r="Y415" s="81"/>
      <c r="Z415" s="81"/>
    </row>
    <row r="416" spans="1:26" ht="24" customHeight="1" x14ac:dyDescent="0.5">
      <c r="A416" s="81"/>
      <c r="B416" s="81"/>
      <c r="C416" s="81"/>
      <c r="D416" s="81"/>
      <c r="E416" s="81"/>
      <c r="F416" s="81"/>
      <c r="G416" s="105"/>
      <c r="H416" s="81"/>
      <c r="I416" s="81"/>
      <c r="J416" s="82"/>
      <c r="K416" s="81"/>
      <c r="L416" s="81"/>
      <c r="M416" s="82"/>
      <c r="N416" s="81"/>
      <c r="O416" s="82"/>
      <c r="P416" s="81"/>
      <c r="Q416" s="82"/>
      <c r="R416" s="81"/>
      <c r="S416" s="105"/>
      <c r="T416" s="81"/>
      <c r="U416" s="81"/>
      <c r="V416" s="81"/>
      <c r="W416" s="81"/>
      <c r="X416" s="81"/>
      <c r="Y416" s="81"/>
      <c r="Z416" s="81"/>
    </row>
    <row r="417" spans="1:26" ht="24" customHeight="1" x14ac:dyDescent="0.5">
      <c r="A417" s="81"/>
      <c r="B417" s="81"/>
      <c r="C417" s="81"/>
      <c r="D417" s="81"/>
      <c r="E417" s="81"/>
      <c r="F417" s="81"/>
      <c r="G417" s="105"/>
      <c r="H417" s="81"/>
      <c r="I417" s="81"/>
      <c r="J417" s="82"/>
      <c r="K417" s="81"/>
      <c r="L417" s="81"/>
      <c r="M417" s="82"/>
      <c r="N417" s="81"/>
      <c r="O417" s="82"/>
      <c r="P417" s="81"/>
      <c r="Q417" s="82"/>
      <c r="R417" s="81"/>
      <c r="S417" s="105"/>
      <c r="T417" s="81"/>
      <c r="U417" s="81"/>
      <c r="V417" s="81"/>
      <c r="W417" s="81"/>
      <c r="X417" s="81"/>
      <c r="Y417" s="81"/>
      <c r="Z417" s="81"/>
    </row>
    <row r="418" spans="1:26" ht="24" customHeight="1" x14ac:dyDescent="0.5">
      <c r="A418" s="81"/>
      <c r="B418" s="81"/>
      <c r="C418" s="81"/>
      <c r="D418" s="81"/>
      <c r="E418" s="81"/>
      <c r="F418" s="81"/>
      <c r="G418" s="105"/>
      <c r="H418" s="81"/>
      <c r="I418" s="81"/>
      <c r="J418" s="82"/>
      <c r="K418" s="81"/>
      <c r="L418" s="81"/>
      <c r="M418" s="82"/>
      <c r="N418" s="81"/>
      <c r="O418" s="82"/>
      <c r="P418" s="81"/>
      <c r="Q418" s="82"/>
      <c r="R418" s="81"/>
      <c r="S418" s="105"/>
      <c r="T418" s="81"/>
      <c r="U418" s="81"/>
      <c r="V418" s="81"/>
      <c r="W418" s="81"/>
      <c r="X418" s="81"/>
      <c r="Y418" s="81"/>
      <c r="Z418" s="81"/>
    </row>
    <row r="419" spans="1:26" ht="24" customHeight="1" x14ac:dyDescent="0.5">
      <c r="A419" s="81"/>
      <c r="B419" s="81"/>
      <c r="C419" s="81"/>
      <c r="D419" s="81"/>
      <c r="E419" s="81"/>
      <c r="F419" s="81"/>
      <c r="G419" s="105"/>
      <c r="H419" s="81"/>
      <c r="I419" s="81"/>
      <c r="J419" s="82"/>
      <c r="K419" s="81"/>
      <c r="L419" s="81"/>
      <c r="M419" s="82"/>
      <c r="N419" s="81"/>
      <c r="O419" s="82"/>
      <c r="P419" s="81"/>
      <c r="Q419" s="82"/>
      <c r="R419" s="81"/>
      <c r="S419" s="105"/>
      <c r="T419" s="81"/>
      <c r="U419" s="81"/>
      <c r="V419" s="81"/>
      <c r="W419" s="81"/>
      <c r="X419" s="81"/>
      <c r="Y419" s="81"/>
      <c r="Z419" s="81"/>
    </row>
    <row r="420" spans="1:26" ht="24" customHeight="1" x14ac:dyDescent="0.5">
      <c r="A420" s="81"/>
      <c r="B420" s="81"/>
      <c r="C420" s="81"/>
      <c r="D420" s="81"/>
      <c r="E420" s="81"/>
      <c r="F420" s="81"/>
      <c r="G420" s="105"/>
      <c r="H420" s="81"/>
      <c r="I420" s="81"/>
      <c r="J420" s="82"/>
      <c r="K420" s="81"/>
      <c r="L420" s="81"/>
      <c r="M420" s="82"/>
      <c r="N420" s="81"/>
      <c r="O420" s="82"/>
      <c r="P420" s="81"/>
      <c r="Q420" s="82"/>
      <c r="R420" s="81"/>
      <c r="S420" s="105"/>
      <c r="T420" s="81"/>
      <c r="U420" s="81"/>
      <c r="V420" s="81"/>
      <c r="W420" s="81"/>
      <c r="X420" s="81"/>
      <c r="Y420" s="81"/>
      <c r="Z420" s="81"/>
    </row>
    <row r="421" spans="1:26" ht="24" customHeight="1" x14ac:dyDescent="0.5">
      <c r="A421" s="81"/>
      <c r="B421" s="81"/>
      <c r="C421" s="81"/>
      <c r="D421" s="81"/>
      <c r="E421" s="81"/>
      <c r="F421" s="81"/>
      <c r="G421" s="105"/>
      <c r="H421" s="81"/>
      <c r="I421" s="81"/>
      <c r="J421" s="82"/>
      <c r="K421" s="81"/>
      <c r="L421" s="81"/>
      <c r="M421" s="82"/>
      <c r="N421" s="81"/>
      <c r="O421" s="82"/>
      <c r="P421" s="81"/>
      <c r="Q421" s="82"/>
      <c r="R421" s="81"/>
      <c r="S421" s="105"/>
      <c r="T421" s="81"/>
      <c r="U421" s="81"/>
      <c r="V421" s="81"/>
      <c r="W421" s="81"/>
      <c r="X421" s="81"/>
      <c r="Y421" s="81"/>
      <c r="Z421" s="81"/>
    </row>
    <row r="422" spans="1:26" ht="24" customHeight="1" x14ac:dyDescent="0.5">
      <c r="A422" s="81"/>
      <c r="B422" s="81"/>
      <c r="C422" s="81"/>
      <c r="D422" s="81"/>
      <c r="E422" s="81"/>
      <c r="F422" s="81"/>
      <c r="G422" s="105"/>
      <c r="H422" s="81"/>
      <c r="I422" s="81"/>
      <c r="J422" s="82"/>
      <c r="K422" s="81"/>
      <c r="L422" s="81"/>
      <c r="M422" s="82"/>
      <c r="N422" s="81"/>
      <c r="O422" s="82"/>
      <c r="P422" s="81"/>
      <c r="Q422" s="82"/>
      <c r="R422" s="81"/>
      <c r="S422" s="105"/>
      <c r="T422" s="81"/>
      <c r="U422" s="81"/>
      <c r="V422" s="81"/>
      <c r="W422" s="81"/>
      <c r="X422" s="81"/>
      <c r="Y422" s="81"/>
      <c r="Z422" s="81"/>
    </row>
    <row r="423" spans="1:26" ht="24" customHeight="1" x14ac:dyDescent="0.5">
      <c r="A423" s="81"/>
      <c r="B423" s="81"/>
      <c r="C423" s="81"/>
      <c r="D423" s="81"/>
      <c r="E423" s="81"/>
      <c r="F423" s="81"/>
      <c r="G423" s="105"/>
      <c r="H423" s="81"/>
      <c r="I423" s="81"/>
      <c r="J423" s="82"/>
      <c r="K423" s="81"/>
      <c r="L423" s="81"/>
      <c r="M423" s="82"/>
      <c r="N423" s="81"/>
      <c r="O423" s="82"/>
      <c r="P423" s="81"/>
      <c r="Q423" s="82"/>
      <c r="R423" s="81"/>
      <c r="S423" s="105"/>
      <c r="T423" s="81"/>
      <c r="U423" s="81"/>
      <c r="V423" s="81"/>
      <c r="W423" s="81"/>
      <c r="X423" s="81"/>
      <c r="Y423" s="81"/>
      <c r="Z423" s="81"/>
    </row>
    <row r="424" spans="1:26" ht="24" customHeight="1" x14ac:dyDescent="0.5">
      <c r="A424" s="81"/>
      <c r="B424" s="81"/>
      <c r="C424" s="81"/>
      <c r="D424" s="81"/>
      <c r="E424" s="81"/>
      <c r="F424" s="81"/>
      <c r="G424" s="105"/>
      <c r="H424" s="81"/>
      <c r="I424" s="81"/>
      <c r="J424" s="82"/>
      <c r="K424" s="81"/>
      <c r="L424" s="81"/>
      <c r="M424" s="82"/>
      <c r="N424" s="81"/>
      <c r="O424" s="82"/>
      <c r="P424" s="81"/>
      <c r="Q424" s="82"/>
      <c r="R424" s="81"/>
      <c r="S424" s="105"/>
      <c r="T424" s="81"/>
      <c r="U424" s="81"/>
      <c r="V424" s="81"/>
      <c r="W424" s="81"/>
      <c r="X424" s="81"/>
      <c r="Y424" s="81"/>
      <c r="Z424" s="81"/>
    </row>
    <row r="425" spans="1:26" ht="24" customHeight="1" x14ac:dyDescent="0.5">
      <c r="A425" s="81"/>
      <c r="B425" s="81"/>
      <c r="C425" s="81"/>
      <c r="D425" s="81"/>
      <c r="E425" s="81"/>
      <c r="F425" s="81"/>
      <c r="G425" s="105"/>
      <c r="H425" s="81"/>
      <c r="I425" s="81"/>
      <c r="J425" s="82"/>
      <c r="K425" s="81"/>
      <c r="L425" s="81"/>
      <c r="M425" s="82"/>
      <c r="N425" s="81"/>
      <c r="O425" s="82"/>
      <c r="P425" s="81"/>
      <c r="Q425" s="82"/>
      <c r="R425" s="81"/>
      <c r="S425" s="105"/>
      <c r="T425" s="81"/>
      <c r="U425" s="81"/>
      <c r="V425" s="81"/>
      <c r="W425" s="81"/>
      <c r="X425" s="81"/>
      <c r="Y425" s="81"/>
      <c r="Z425" s="81"/>
    </row>
    <row r="426" spans="1:26" ht="24" customHeight="1" x14ac:dyDescent="0.5">
      <c r="A426" s="81"/>
      <c r="B426" s="81"/>
      <c r="C426" s="81"/>
      <c r="D426" s="81"/>
      <c r="E426" s="81"/>
      <c r="F426" s="81"/>
      <c r="G426" s="105"/>
      <c r="H426" s="81"/>
      <c r="I426" s="81"/>
      <c r="J426" s="82"/>
      <c r="K426" s="81"/>
      <c r="L426" s="81"/>
      <c r="M426" s="82"/>
      <c r="N426" s="81"/>
      <c r="O426" s="82"/>
      <c r="P426" s="81"/>
      <c r="Q426" s="82"/>
      <c r="R426" s="81"/>
      <c r="S426" s="105"/>
      <c r="T426" s="81"/>
      <c r="U426" s="81"/>
      <c r="V426" s="81"/>
      <c r="W426" s="81"/>
      <c r="X426" s="81"/>
      <c r="Y426" s="81"/>
      <c r="Z426" s="81"/>
    </row>
    <row r="427" spans="1:26" ht="24" customHeight="1" x14ac:dyDescent="0.5">
      <c r="A427" s="81"/>
      <c r="B427" s="81"/>
      <c r="C427" s="81"/>
      <c r="D427" s="81"/>
      <c r="E427" s="81"/>
      <c r="F427" s="81"/>
      <c r="G427" s="105"/>
      <c r="H427" s="81"/>
      <c r="I427" s="81"/>
      <c r="J427" s="82"/>
      <c r="K427" s="81"/>
      <c r="L427" s="81"/>
      <c r="M427" s="82"/>
      <c r="N427" s="81"/>
      <c r="O427" s="82"/>
      <c r="P427" s="81"/>
      <c r="Q427" s="82"/>
      <c r="R427" s="81"/>
      <c r="S427" s="105"/>
      <c r="T427" s="81"/>
      <c r="U427" s="81"/>
      <c r="V427" s="81"/>
      <c r="W427" s="81"/>
      <c r="X427" s="81"/>
      <c r="Y427" s="81"/>
      <c r="Z427" s="81"/>
    </row>
    <row r="428" spans="1:26" ht="24" customHeight="1" x14ac:dyDescent="0.5">
      <c r="A428" s="81"/>
      <c r="B428" s="81"/>
      <c r="C428" s="81"/>
      <c r="D428" s="81"/>
      <c r="E428" s="81"/>
      <c r="F428" s="81"/>
      <c r="G428" s="105"/>
      <c r="H428" s="81"/>
      <c r="I428" s="81"/>
      <c r="J428" s="82"/>
      <c r="K428" s="81"/>
      <c r="L428" s="81"/>
      <c r="M428" s="82"/>
      <c r="N428" s="81"/>
      <c r="O428" s="82"/>
      <c r="P428" s="81"/>
      <c r="Q428" s="82"/>
      <c r="R428" s="81"/>
      <c r="S428" s="105"/>
      <c r="T428" s="81"/>
      <c r="U428" s="81"/>
      <c r="V428" s="81"/>
      <c r="W428" s="81"/>
      <c r="X428" s="81"/>
      <c r="Y428" s="81"/>
      <c r="Z428" s="81"/>
    </row>
    <row r="429" spans="1:26" ht="24" customHeight="1" x14ac:dyDescent="0.5">
      <c r="A429" s="81"/>
      <c r="B429" s="81"/>
      <c r="C429" s="81"/>
      <c r="D429" s="81"/>
      <c r="E429" s="81"/>
      <c r="F429" s="81"/>
      <c r="G429" s="105"/>
      <c r="H429" s="81"/>
      <c r="I429" s="81"/>
      <c r="J429" s="82"/>
      <c r="K429" s="81"/>
      <c r="L429" s="81"/>
      <c r="M429" s="82"/>
      <c r="N429" s="81"/>
      <c r="O429" s="82"/>
      <c r="P429" s="81"/>
      <c r="Q429" s="82"/>
      <c r="R429" s="81"/>
      <c r="S429" s="105"/>
      <c r="T429" s="81"/>
      <c r="U429" s="81"/>
      <c r="V429" s="81"/>
      <c r="W429" s="81"/>
      <c r="X429" s="81"/>
      <c r="Y429" s="81"/>
      <c r="Z429" s="81"/>
    </row>
    <row r="430" spans="1:26" ht="24" customHeight="1" x14ac:dyDescent="0.5">
      <c r="A430" s="81"/>
      <c r="B430" s="81"/>
      <c r="C430" s="81"/>
      <c r="D430" s="81"/>
      <c r="E430" s="81"/>
      <c r="F430" s="81"/>
      <c r="G430" s="105"/>
      <c r="H430" s="81"/>
      <c r="I430" s="81"/>
      <c r="J430" s="82"/>
      <c r="K430" s="81"/>
      <c r="L430" s="81"/>
      <c r="M430" s="82"/>
      <c r="N430" s="81"/>
      <c r="O430" s="82"/>
      <c r="P430" s="81"/>
      <c r="Q430" s="82"/>
      <c r="R430" s="81"/>
      <c r="S430" s="105"/>
      <c r="T430" s="81"/>
      <c r="U430" s="81"/>
      <c r="V430" s="81"/>
      <c r="W430" s="81"/>
      <c r="X430" s="81"/>
      <c r="Y430" s="81"/>
      <c r="Z430" s="81"/>
    </row>
    <row r="431" spans="1:26" ht="24" customHeight="1" x14ac:dyDescent="0.5">
      <c r="A431" s="81"/>
      <c r="B431" s="81"/>
      <c r="C431" s="81"/>
      <c r="D431" s="81"/>
      <c r="E431" s="81"/>
      <c r="F431" s="81"/>
      <c r="G431" s="105"/>
      <c r="H431" s="81"/>
      <c r="I431" s="81"/>
      <c r="J431" s="82"/>
      <c r="K431" s="81"/>
      <c r="L431" s="81"/>
      <c r="M431" s="82"/>
      <c r="N431" s="81"/>
      <c r="O431" s="82"/>
      <c r="P431" s="81"/>
      <c r="Q431" s="82"/>
      <c r="R431" s="81"/>
      <c r="S431" s="105"/>
      <c r="T431" s="81"/>
      <c r="U431" s="81"/>
      <c r="V431" s="81"/>
      <c r="W431" s="81"/>
      <c r="X431" s="81"/>
      <c r="Y431" s="81"/>
      <c r="Z431" s="81"/>
    </row>
    <row r="432" spans="1:26" ht="24" customHeight="1" x14ac:dyDescent="0.5">
      <c r="A432" s="81"/>
      <c r="B432" s="81"/>
      <c r="C432" s="81"/>
      <c r="D432" s="81"/>
      <c r="E432" s="81"/>
      <c r="F432" s="81"/>
      <c r="G432" s="105"/>
      <c r="H432" s="81"/>
      <c r="I432" s="81"/>
      <c r="J432" s="82"/>
      <c r="K432" s="81"/>
      <c r="L432" s="81"/>
      <c r="M432" s="82"/>
      <c r="N432" s="81"/>
      <c r="O432" s="82"/>
      <c r="P432" s="81"/>
      <c r="Q432" s="82"/>
      <c r="R432" s="81"/>
      <c r="S432" s="105"/>
      <c r="T432" s="81"/>
      <c r="U432" s="81"/>
      <c r="V432" s="81"/>
      <c r="W432" s="81"/>
      <c r="X432" s="81"/>
      <c r="Y432" s="81"/>
      <c r="Z432" s="81"/>
    </row>
    <row r="433" spans="1:26" ht="24" customHeight="1" x14ac:dyDescent="0.5">
      <c r="A433" s="81"/>
      <c r="B433" s="81"/>
      <c r="C433" s="81"/>
      <c r="D433" s="81"/>
      <c r="E433" s="81"/>
      <c r="F433" s="81"/>
      <c r="G433" s="105"/>
      <c r="H433" s="81"/>
      <c r="I433" s="81"/>
      <c r="J433" s="82"/>
      <c r="K433" s="81"/>
      <c r="L433" s="81"/>
      <c r="M433" s="82"/>
      <c r="N433" s="81"/>
      <c r="O433" s="82"/>
      <c r="P433" s="81"/>
      <c r="Q433" s="82"/>
      <c r="R433" s="81"/>
      <c r="S433" s="105"/>
      <c r="T433" s="81"/>
      <c r="U433" s="81"/>
      <c r="V433" s="81"/>
      <c r="W433" s="81"/>
      <c r="X433" s="81"/>
      <c r="Y433" s="81"/>
      <c r="Z433" s="81"/>
    </row>
    <row r="434" spans="1:26" ht="24" customHeight="1" x14ac:dyDescent="0.5">
      <c r="A434" s="81"/>
      <c r="B434" s="81"/>
      <c r="C434" s="81"/>
      <c r="D434" s="81"/>
      <c r="E434" s="81"/>
      <c r="F434" s="81"/>
      <c r="G434" s="105"/>
      <c r="H434" s="81"/>
      <c r="I434" s="81"/>
      <c r="J434" s="82"/>
      <c r="K434" s="81"/>
      <c r="L434" s="81"/>
      <c r="M434" s="82"/>
      <c r="N434" s="81"/>
      <c r="O434" s="82"/>
      <c r="P434" s="81"/>
      <c r="Q434" s="82"/>
      <c r="R434" s="81"/>
      <c r="S434" s="105"/>
      <c r="T434" s="81"/>
      <c r="U434" s="81"/>
      <c r="V434" s="81"/>
      <c r="W434" s="81"/>
      <c r="X434" s="81"/>
      <c r="Y434" s="81"/>
      <c r="Z434" s="81"/>
    </row>
    <row r="435" spans="1:26" ht="24" customHeight="1" x14ac:dyDescent="0.5">
      <c r="A435" s="81"/>
      <c r="B435" s="81"/>
      <c r="C435" s="81"/>
      <c r="D435" s="81"/>
      <c r="E435" s="81"/>
      <c r="F435" s="81"/>
      <c r="G435" s="105"/>
      <c r="H435" s="81"/>
      <c r="I435" s="81"/>
      <c r="J435" s="82"/>
      <c r="K435" s="81"/>
      <c r="L435" s="81"/>
      <c r="M435" s="82"/>
      <c r="N435" s="81"/>
      <c r="O435" s="82"/>
      <c r="P435" s="81"/>
      <c r="Q435" s="82"/>
      <c r="R435" s="81"/>
      <c r="S435" s="105"/>
      <c r="T435" s="81"/>
      <c r="U435" s="81"/>
      <c r="V435" s="81"/>
      <c r="W435" s="81"/>
      <c r="X435" s="81"/>
      <c r="Y435" s="81"/>
      <c r="Z435" s="81"/>
    </row>
    <row r="436" spans="1:26" ht="24" customHeight="1" x14ac:dyDescent="0.5">
      <c r="A436" s="81"/>
      <c r="B436" s="81"/>
      <c r="C436" s="81"/>
      <c r="D436" s="81"/>
      <c r="E436" s="81"/>
      <c r="F436" s="81"/>
      <c r="G436" s="105"/>
      <c r="H436" s="81"/>
      <c r="I436" s="81"/>
      <c r="J436" s="82"/>
      <c r="K436" s="81"/>
      <c r="L436" s="81"/>
      <c r="M436" s="82"/>
      <c r="N436" s="81"/>
      <c r="O436" s="82"/>
      <c r="P436" s="81"/>
      <c r="Q436" s="82"/>
      <c r="R436" s="81"/>
      <c r="S436" s="105"/>
      <c r="T436" s="81"/>
      <c r="U436" s="81"/>
      <c r="V436" s="81"/>
      <c r="W436" s="81"/>
      <c r="X436" s="81"/>
      <c r="Y436" s="81"/>
      <c r="Z436" s="81"/>
    </row>
    <row r="437" spans="1:26" ht="24" customHeight="1" x14ac:dyDescent="0.5">
      <c r="A437" s="81"/>
      <c r="B437" s="81"/>
      <c r="C437" s="81"/>
      <c r="D437" s="81"/>
      <c r="E437" s="81"/>
      <c r="F437" s="81"/>
      <c r="G437" s="105"/>
      <c r="H437" s="81"/>
      <c r="I437" s="81"/>
      <c r="J437" s="82"/>
      <c r="K437" s="81"/>
      <c r="L437" s="81"/>
      <c r="M437" s="82"/>
      <c r="N437" s="81"/>
      <c r="O437" s="82"/>
      <c r="P437" s="81"/>
      <c r="Q437" s="82"/>
      <c r="R437" s="81"/>
      <c r="S437" s="105"/>
      <c r="T437" s="81"/>
      <c r="U437" s="81"/>
      <c r="V437" s="81"/>
      <c r="W437" s="81"/>
      <c r="X437" s="81"/>
      <c r="Y437" s="81"/>
      <c r="Z437" s="81"/>
    </row>
    <row r="438" spans="1:26" ht="24" customHeight="1" x14ac:dyDescent="0.5">
      <c r="A438" s="81"/>
      <c r="B438" s="81"/>
      <c r="C438" s="81"/>
      <c r="D438" s="81"/>
      <c r="E438" s="81"/>
      <c r="F438" s="81"/>
      <c r="G438" s="105"/>
      <c r="H438" s="81"/>
      <c r="I438" s="81"/>
      <c r="J438" s="82"/>
      <c r="K438" s="81"/>
      <c r="L438" s="81"/>
      <c r="M438" s="82"/>
      <c r="N438" s="81"/>
      <c r="O438" s="82"/>
      <c r="P438" s="81"/>
      <c r="Q438" s="82"/>
      <c r="R438" s="81"/>
      <c r="S438" s="105"/>
      <c r="T438" s="81"/>
      <c r="U438" s="81"/>
      <c r="V438" s="81"/>
      <c r="W438" s="81"/>
      <c r="X438" s="81"/>
      <c r="Y438" s="81"/>
      <c r="Z438" s="81"/>
    </row>
    <row r="439" spans="1:26" ht="24" customHeight="1" x14ac:dyDescent="0.5">
      <c r="A439" s="81"/>
      <c r="B439" s="81"/>
      <c r="C439" s="81"/>
      <c r="D439" s="81"/>
      <c r="E439" s="81"/>
      <c r="F439" s="81"/>
      <c r="G439" s="105"/>
      <c r="H439" s="81"/>
      <c r="I439" s="81"/>
      <c r="J439" s="82"/>
      <c r="K439" s="81"/>
      <c r="L439" s="81"/>
      <c r="M439" s="82"/>
      <c r="N439" s="81"/>
      <c r="O439" s="82"/>
      <c r="P439" s="81"/>
      <c r="Q439" s="82"/>
      <c r="R439" s="81"/>
      <c r="S439" s="105"/>
      <c r="T439" s="81"/>
      <c r="U439" s="81"/>
      <c r="V439" s="81"/>
      <c r="W439" s="81"/>
      <c r="X439" s="81"/>
      <c r="Y439" s="81"/>
      <c r="Z439" s="81"/>
    </row>
    <row r="440" spans="1:26" ht="24" customHeight="1" x14ac:dyDescent="0.5">
      <c r="A440" s="81"/>
      <c r="B440" s="81"/>
      <c r="C440" s="81"/>
      <c r="D440" s="81"/>
      <c r="E440" s="81"/>
      <c r="F440" s="81"/>
      <c r="G440" s="105"/>
      <c r="H440" s="81"/>
      <c r="I440" s="81"/>
      <c r="J440" s="82"/>
      <c r="K440" s="81"/>
      <c r="L440" s="81"/>
      <c r="M440" s="82"/>
      <c r="N440" s="81"/>
      <c r="O440" s="82"/>
      <c r="P440" s="81"/>
      <c r="Q440" s="82"/>
      <c r="R440" s="81"/>
      <c r="S440" s="105"/>
      <c r="T440" s="81"/>
      <c r="U440" s="81"/>
      <c r="V440" s="81"/>
      <c r="W440" s="81"/>
      <c r="X440" s="81"/>
      <c r="Y440" s="81"/>
      <c r="Z440" s="81"/>
    </row>
    <row r="441" spans="1:26" ht="24" customHeight="1" x14ac:dyDescent="0.5">
      <c r="A441" s="81"/>
      <c r="B441" s="81"/>
      <c r="C441" s="81"/>
      <c r="D441" s="81"/>
      <c r="E441" s="81"/>
      <c r="F441" s="81"/>
      <c r="G441" s="105"/>
      <c r="H441" s="81"/>
      <c r="I441" s="81"/>
      <c r="J441" s="82"/>
      <c r="K441" s="81"/>
      <c r="L441" s="81"/>
      <c r="M441" s="82"/>
      <c r="N441" s="81"/>
      <c r="O441" s="82"/>
      <c r="P441" s="81"/>
      <c r="Q441" s="82"/>
      <c r="R441" s="81"/>
      <c r="S441" s="105"/>
      <c r="T441" s="81"/>
      <c r="U441" s="81"/>
      <c r="V441" s="81"/>
      <c r="W441" s="81"/>
      <c r="X441" s="81"/>
      <c r="Y441" s="81"/>
      <c r="Z441" s="81"/>
    </row>
    <row r="442" spans="1:26" ht="24" customHeight="1" x14ac:dyDescent="0.5">
      <c r="A442" s="81"/>
      <c r="B442" s="81"/>
      <c r="C442" s="81"/>
      <c r="D442" s="81"/>
      <c r="E442" s="81"/>
      <c r="F442" s="81"/>
      <c r="G442" s="105"/>
      <c r="H442" s="81"/>
      <c r="I442" s="81"/>
      <c r="J442" s="82"/>
      <c r="K442" s="81"/>
      <c r="L442" s="81"/>
      <c r="M442" s="82"/>
      <c r="N442" s="81"/>
      <c r="O442" s="82"/>
      <c r="P442" s="81"/>
      <c r="Q442" s="82"/>
      <c r="R442" s="81"/>
      <c r="S442" s="105"/>
      <c r="T442" s="81"/>
      <c r="U442" s="81"/>
      <c r="V442" s="81"/>
      <c r="W442" s="81"/>
      <c r="X442" s="81"/>
      <c r="Y442" s="81"/>
      <c r="Z442" s="81"/>
    </row>
    <row r="443" spans="1:26" ht="24" customHeight="1" x14ac:dyDescent="0.5">
      <c r="A443" s="81"/>
      <c r="B443" s="81"/>
      <c r="C443" s="81"/>
      <c r="D443" s="81"/>
      <c r="E443" s="81"/>
      <c r="F443" s="81"/>
      <c r="G443" s="105"/>
      <c r="H443" s="81"/>
      <c r="I443" s="81"/>
      <c r="J443" s="82"/>
      <c r="K443" s="81"/>
      <c r="L443" s="81"/>
      <c r="M443" s="82"/>
      <c r="N443" s="81"/>
      <c r="O443" s="82"/>
      <c r="P443" s="81"/>
      <c r="Q443" s="82"/>
      <c r="R443" s="81"/>
      <c r="S443" s="105"/>
      <c r="T443" s="81"/>
      <c r="U443" s="81"/>
      <c r="V443" s="81"/>
      <c r="W443" s="81"/>
      <c r="X443" s="81"/>
      <c r="Y443" s="81"/>
      <c r="Z443" s="81"/>
    </row>
    <row r="444" spans="1:26" ht="24" customHeight="1" x14ac:dyDescent="0.5">
      <c r="A444" s="81"/>
      <c r="B444" s="81"/>
      <c r="C444" s="81"/>
      <c r="D444" s="81"/>
      <c r="E444" s="81"/>
      <c r="F444" s="81"/>
      <c r="G444" s="105"/>
      <c r="H444" s="81"/>
      <c r="I444" s="81"/>
      <c r="J444" s="82"/>
      <c r="K444" s="81"/>
      <c r="L444" s="81"/>
      <c r="M444" s="82"/>
      <c r="N444" s="81"/>
      <c r="O444" s="82"/>
      <c r="P444" s="81"/>
      <c r="Q444" s="82"/>
      <c r="R444" s="81"/>
      <c r="S444" s="105"/>
      <c r="T444" s="81"/>
      <c r="U444" s="81"/>
      <c r="V444" s="81"/>
      <c r="W444" s="81"/>
      <c r="X444" s="81"/>
      <c r="Y444" s="81"/>
      <c r="Z444" s="81"/>
    </row>
    <row r="445" spans="1:26" ht="24" customHeight="1" x14ac:dyDescent="0.5">
      <c r="A445" s="81"/>
      <c r="B445" s="81"/>
      <c r="C445" s="81"/>
      <c r="D445" s="81"/>
      <c r="E445" s="81"/>
      <c r="F445" s="81"/>
      <c r="G445" s="105"/>
      <c r="H445" s="81"/>
      <c r="I445" s="81"/>
      <c r="J445" s="82"/>
      <c r="K445" s="81"/>
      <c r="L445" s="81"/>
      <c r="M445" s="82"/>
      <c r="N445" s="81"/>
      <c r="O445" s="82"/>
      <c r="P445" s="81"/>
      <c r="Q445" s="82"/>
      <c r="R445" s="81"/>
      <c r="S445" s="105"/>
      <c r="T445" s="81"/>
      <c r="U445" s="81"/>
      <c r="V445" s="81"/>
      <c r="W445" s="81"/>
      <c r="X445" s="81"/>
      <c r="Y445" s="81"/>
      <c r="Z445" s="81"/>
    </row>
    <row r="446" spans="1:26" ht="24" customHeight="1" x14ac:dyDescent="0.5">
      <c r="A446" s="81"/>
      <c r="B446" s="81"/>
      <c r="C446" s="81"/>
      <c r="D446" s="81"/>
      <c r="E446" s="81"/>
      <c r="F446" s="81"/>
      <c r="G446" s="105"/>
      <c r="H446" s="81"/>
      <c r="I446" s="81"/>
      <c r="J446" s="82"/>
      <c r="K446" s="81"/>
      <c r="L446" s="81"/>
      <c r="M446" s="82"/>
      <c r="N446" s="81"/>
      <c r="O446" s="82"/>
      <c r="P446" s="81"/>
      <c r="Q446" s="82"/>
      <c r="R446" s="81"/>
      <c r="S446" s="105"/>
      <c r="T446" s="81"/>
      <c r="U446" s="81"/>
      <c r="V446" s="81"/>
      <c r="W446" s="81"/>
      <c r="X446" s="81"/>
      <c r="Y446" s="81"/>
      <c r="Z446" s="81"/>
    </row>
    <row r="447" spans="1:26" ht="24" customHeight="1" x14ac:dyDescent="0.5">
      <c r="A447" s="81"/>
      <c r="B447" s="81"/>
      <c r="C447" s="81"/>
      <c r="D447" s="81"/>
      <c r="E447" s="81"/>
      <c r="F447" s="81"/>
      <c r="G447" s="105"/>
      <c r="H447" s="81"/>
      <c r="I447" s="81"/>
      <c r="J447" s="82"/>
      <c r="K447" s="81"/>
      <c r="L447" s="81"/>
      <c r="M447" s="82"/>
      <c r="N447" s="81"/>
      <c r="O447" s="82"/>
      <c r="P447" s="81"/>
      <c r="Q447" s="82"/>
      <c r="R447" s="81"/>
      <c r="S447" s="105"/>
      <c r="T447" s="81"/>
      <c r="U447" s="81"/>
      <c r="V447" s="81"/>
      <c r="W447" s="81"/>
      <c r="X447" s="81"/>
      <c r="Y447" s="81"/>
      <c r="Z447" s="81"/>
    </row>
    <row r="448" spans="1:26" ht="24" customHeight="1" x14ac:dyDescent="0.5">
      <c r="A448" s="81"/>
      <c r="B448" s="81"/>
      <c r="C448" s="81"/>
      <c r="D448" s="81"/>
      <c r="E448" s="81"/>
      <c r="F448" s="81"/>
      <c r="G448" s="105"/>
      <c r="H448" s="81"/>
      <c r="I448" s="81"/>
      <c r="J448" s="82"/>
      <c r="K448" s="81"/>
      <c r="L448" s="81"/>
      <c r="M448" s="82"/>
      <c r="N448" s="81"/>
      <c r="O448" s="82"/>
      <c r="P448" s="81"/>
      <c r="Q448" s="82"/>
      <c r="R448" s="81"/>
      <c r="S448" s="105"/>
      <c r="T448" s="81"/>
      <c r="U448" s="81"/>
      <c r="V448" s="81"/>
      <c r="W448" s="81"/>
      <c r="X448" s="81"/>
      <c r="Y448" s="81"/>
      <c r="Z448" s="81"/>
    </row>
    <row r="449" spans="1:26" ht="24" customHeight="1" x14ac:dyDescent="0.5">
      <c r="A449" s="81"/>
      <c r="B449" s="81"/>
      <c r="C449" s="81"/>
      <c r="D449" s="81"/>
      <c r="E449" s="81"/>
      <c r="F449" s="81"/>
      <c r="G449" s="105"/>
      <c r="H449" s="81"/>
      <c r="I449" s="81"/>
      <c r="J449" s="82"/>
      <c r="K449" s="81"/>
      <c r="L449" s="81"/>
      <c r="M449" s="82"/>
      <c r="N449" s="81"/>
      <c r="O449" s="82"/>
      <c r="P449" s="81"/>
      <c r="Q449" s="82"/>
      <c r="R449" s="81"/>
      <c r="S449" s="105"/>
      <c r="T449" s="81"/>
      <c r="U449" s="81"/>
      <c r="V449" s="81"/>
      <c r="W449" s="81"/>
      <c r="X449" s="81"/>
      <c r="Y449" s="81"/>
      <c r="Z449" s="81"/>
    </row>
    <row r="450" spans="1:26" ht="24" customHeight="1" x14ac:dyDescent="0.5">
      <c r="A450" s="81"/>
      <c r="B450" s="81"/>
      <c r="C450" s="81"/>
      <c r="D450" s="81"/>
      <c r="E450" s="81"/>
      <c r="F450" s="81"/>
      <c r="G450" s="105"/>
      <c r="H450" s="81"/>
      <c r="I450" s="81"/>
      <c r="J450" s="82"/>
      <c r="K450" s="81"/>
      <c r="L450" s="81"/>
      <c r="M450" s="82"/>
      <c r="N450" s="81"/>
      <c r="O450" s="82"/>
      <c r="P450" s="81"/>
      <c r="Q450" s="82"/>
      <c r="R450" s="81"/>
      <c r="S450" s="105"/>
      <c r="T450" s="81"/>
      <c r="U450" s="81"/>
      <c r="V450" s="81"/>
      <c r="W450" s="81"/>
      <c r="X450" s="81"/>
      <c r="Y450" s="81"/>
      <c r="Z450" s="81"/>
    </row>
    <row r="451" spans="1:26" ht="24" customHeight="1" x14ac:dyDescent="0.5">
      <c r="A451" s="81"/>
      <c r="B451" s="81"/>
      <c r="C451" s="81"/>
      <c r="D451" s="81"/>
      <c r="E451" s="81"/>
      <c r="F451" s="81"/>
      <c r="G451" s="105"/>
      <c r="H451" s="81"/>
      <c r="I451" s="81"/>
      <c r="J451" s="82"/>
      <c r="K451" s="81"/>
      <c r="L451" s="81"/>
      <c r="M451" s="82"/>
      <c r="N451" s="81"/>
      <c r="O451" s="82"/>
      <c r="P451" s="81"/>
      <c r="Q451" s="82"/>
      <c r="R451" s="81"/>
      <c r="S451" s="105"/>
      <c r="T451" s="81"/>
      <c r="U451" s="81"/>
      <c r="V451" s="81"/>
      <c r="W451" s="81"/>
      <c r="X451" s="81"/>
      <c r="Y451" s="81"/>
      <c r="Z451" s="81"/>
    </row>
    <row r="452" spans="1:26" ht="24" customHeight="1" x14ac:dyDescent="0.5">
      <c r="A452" s="81"/>
      <c r="B452" s="81"/>
      <c r="C452" s="81"/>
      <c r="D452" s="81"/>
      <c r="E452" s="81"/>
      <c r="F452" s="81"/>
      <c r="G452" s="105"/>
      <c r="H452" s="81"/>
      <c r="I452" s="81"/>
      <c r="J452" s="82"/>
      <c r="K452" s="81"/>
      <c r="L452" s="81"/>
      <c r="M452" s="82"/>
      <c r="N452" s="81"/>
      <c r="O452" s="82"/>
      <c r="P452" s="81"/>
      <c r="Q452" s="82"/>
      <c r="R452" s="81"/>
      <c r="S452" s="105"/>
      <c r="T452" s="81"/>
      <c r="U452" s="81"/>
      <c r="V452" s="81"/>
      <c r="W452" s="81"/>
      <c r="X452" s="81"/>
      <c r="Y452" s="81"/>
      <c r="Z452" s="81"/>
    </row>
    <row r="453" spans="1:26" ht="24" customHeight="1" x14ac:dyDescent="0.5">
      <c r="A453" s="81"/>
      <c r="B453" s="81"/>
      <c r="C453" s="81"/>
      <c r="D453" s="81"/>
      <c r="E453" s="81"/>
      <c r="F453" s="81"/>
      <c r="G453" s="105"/>
      <c r="H453" s="81"/>
      <c r="I453" s="81"/>
      <c r="J453" s="82"/>
      <c r="K453" s="81"/>
      <c r="L453" s="81"/>
      <c r="M453" s="82"/>
      <c r="N453" s="81"/>
      <c r="O453" s="82"/>
      <c r="P453" s="81"/>
      <c r="Q453" s="82"/>
      <c r="R453" s="81"/>
      <c r="S453" s="105"/>
      <c r="T453" s="81"/>
      <c r="U453" s="81"/>
      <c r="V453" s="81"/>
      <c r="W453" s="81"/>
      <c r="X453" s="81"/>
      <c r="Y453" s="81"/>
      <c r="Z453" s="81"/>
    </row>
    <row r="454" spans="1:26" ht="24" customHeight="1" x14ac:dyDescent="0.5">
      <c r="A454" s="81"/>
      <c r="B454" s="81"/>
      <c r="C454" s="81"/>
      <c r="D454" s="81"/>
      <c r="E454" s="81"/>
      <c r="F454" s="81"/>
      <c r="G454" s="105"/>
      <c r="H454" s="81"/>
      <c r="I454" s="81"/>
      <c r="J454" s="82"/>
      <c r="K454" s="81"/>
      <c r="L454" s="81"/>
      <c r="M454" s="82"/>
      <c r="N454" s="81"/>
      <c r="O454" s="82"/>
      <c r="P454" s="81"/>
      <c r="Q454" s="82"/>
      <c r="R454" s="81"/>
      <c r="S454" s="105"/>
      <c r="T454" s="81"/>
      <c r="U454" s="81"/>
      <c r="V454" s="81"/>
      <c r="W454" s="81"/>
      <c r="X454" s="81"/>
      <c r="Y454" s="81"/>
      <c r="Z454" s="81"/>
    </row>
    <row r="455" spans="1:26" ht="24" customHeight="1" x14ac:dyDescent="0.5">
      <c r="A455" s="81"/>
      <c r="B455" s="81"/>
      <c r="C455" s="81"/>
      <c r="D455" s="81"/>
      <c r="E455" s="81"/>
      <c r="F455" s="81"/>
      <c r="G455" s="105"/>
      <c r="H455" s="81"/>
      <c r="I455" s="81"/>
      <c r="J455" s="82"/>
      <c r="K455" s="81"/>
      <c r="L455" s="81"/>
      <c r="M455" s="82"/>
      <c r="N455" s="81"/>
      <c r="O455" s="82"/>
      <c r="P455" s="81"/>
      <c r="Q455" s="82"/>
      <c r="R455" s="81"/>
      <c r="S455" s="105"/>
      <c r="T455" s="81"/>
      <c r="U455" s="81"/>
      <c r="V455" s="81"/>
      <c r="W455" s="81"/>
      <c r="X455" s="81"/>
      <c r="Y455" s="81"/>
      <c r="Z455" s="81"/>
    </row>
    <row r="456" spans="1:26" ht="24" customHeight="1" x14ac:dyDescent="0.5">
      <c r="A456" s="81"/>
      <c r="B456" s="81"/>
      <c r="C456" s="81"/>
      <c r="D456" s="81"/>
      <c r="E456" s="81"/>
      <c r="F456" s="81"/>
      <c r="G456" s="105"/>
      <c r="H456" s="81"/>
      <c r="I456" s="81"/>
      <c r="J456" s="82"/>
      <c r="K456" s="81"/>
      <c r="L456" s="81"/>
      <c r="M456" s="82"/>
      <c r="N456" s="81"/>
      <c r="O456" s="82"/>
      <c r="P456" s="81"/>
      <c r="Q456" s="82"/>
      <c r="R456" s="81"/>
      <c r="S456" s="105"/>
      <c r="T456" s="81"/>
      <c r="U456" s="81"/>
      <c r="V456" s="81"/>
      <c r="W456" s="81"/>
      <c r="X456" s="81"/>
      <c r="Y456" s="81"/>
      <c r="Z456" s="81"/>
    </row>
    <row r="457" spans="1:26" ht="24" customHeight="1" x14ac:dyDescent="0.5">
      <c r="A457" s="81"/>
      <c r="B457" s="81"/>
      <c r="C457" s="81"/>
      <c r="D457" s="81"/>
      <c r="E457" s="81"/>
      <c r="F457" s="81"/>
      <c r="G457" s="105"/>
      <c r="H457" s="81"/>
      <c r="I457" s="81"/>
      <c r="J457" s="82"/>
      <c r="K457" s="81"/>
      <c r="L457" s="81"/>
      <c r="M457" s="82"/>
      <c r="N457" s="81"/>
      <c r="O457" s="82"/>
      <c r="P457" s="81"/>
      <c r="Q457" s="82"/>
      <c r="R457" s="81"/>
      <c r="S457" s="105"/>
      <c r="T457" s="81"/>
      <c r="U457" s="81"/>
      <c r="V457" s="81"/>
      <c r="W457" s="81"/>
      <c r="X457" s="81"/>
      <c r="Y457" s="81"/>
      <c r="Z457" s="81"/>
    </row>
    <row r="458" spans="1:26" ht="24" customHeight="1" x14ac:dyDescent="0.5">
      <c r="A458" s="81"/>
      <c r="B458" s="81"/>
      <c r="C458" s="81"/>
      <c r="D458" s="81"/>
      <c r="E458" s="81"/>
      <c r="F458" s="81"/>
      <c r="G458" s="105"/>
      <c r="H458" s="81"/>
      <c r="I458" s="81"/>
      <c r="J458" s="82"/>
      <c r="K458" s="81"/>
      <c r="L458" s="81"/>
      <c r="M458" s="82"/>
      <c r="N458" s="81"/>
      <c r="O458" s="82"/>
      <c r="P458" s="81"/>
      <c r="Q458" s="82"/>
      <c r="R458" s="81"/>
      <c r="S458" s="105"/>
      <c r="T458" s="81"/>
      <c r="U458" s="81"/>
      <c r="V458" s="81"/>
      <c r="W458" s="81"/>
      <c r="X458" s="81"/>
      <c r="Y458" s="81"/>
      <c r="Z458" s="81"/>
    </row>
    <row r="459" spans="1:26" ht="24" customHeight="1" x14ac:dyDescent="0.5">
      <c r="A459" s="81"/>
      <c r="B459" s="81"/>
      <c r="C459" s="81"/>
      <c r="D459" s="81"/>
      <c r="E459" s="81"/>
      <c r="F459" s="81"/>
      <c r="G459" s="105"/>
      <c r="H459" s="81"/>
      <c r="I459" s="81"/>
      <c r="J459" s="82"/>
      <c r="K459" s="81"/>
      <c r="L459" s="81"/>
      <c r="M459" s="82"/>
      <c r="N459" s="81"/>
      <c r="O459" s="82"/>
      <c r="P459" s="81"/>
      <c r="Q459" s="82"/>
      <c r="R459" s="81"/>
      <c r="S459" s="105"/>
      <c r="T459" s="81"/>
      <c r="U459" s="81"/>
      <c r="V459" s="81"/>
      <c r="W459" s="81"/>
      <c r="X459" s="81"/>
      <c r="Y459" s="81"/>
      <c r="Z459" s="81"/>
    </row>
    <row r="460" spans="1:26" ht="24" customHeight="1" x14ac:dyDescent="0.5">
      <c r="A460" s="81"/>
      <c r="B460" s="81"/>
      <c r="C460" s="81"/>
      <c r="D460" s="81"/>
      <c r="E460" s="81"/>
      <c r="F460" s="81"/>
      <c r="G460" s="105"/>
      <c r="H460" s="81"/>
      <c r="I460" s="81"/>
      <c r="J460" s="82"/>
      <c r="K460" s="81"/>
      <c r="L460" s="81"/>
      <c r="M460" s="82"/>
      <c r="N460" s="81"/>
      <c r="O460" s="82"/>
      <c r="P460" s="81"/>
      <c r="Q460" s="82"/>
      <c r="R460" s="81"/>
      <c r="S460" s="105"/>
      <c r="T460" s="81"/>
      <c r="U460" s="81"/>
      <c r="V460" s="81"/>
      <c r="W460" s="81"/>
      <c r="X460" s="81"/>
      <c r="Y460" s="81"/>
      <c r="Z460" s="81"/>
    </row>
    <row r="461" spans="1:26" ht="24" customHeight="1" x14ac:dyDescent="0.5">
      <c r="A461" s="81"/>
      <c r="B461" s="81"/>
      <c r="C461" s="81"/>
      <c r="D461" s="81"/>
      <c r="E461" s="81"/>
      <c r="F461" s="81"/>
      <c r="G461" s="105"/>
      <c r="H461" s="81"/>
      <c r="I461" s="81"/>
      <c r="J461" s="82"/>
      <c r="K461" s="81"/>
      <c r="L461" s="81"/>
      <c r="M461" s="82"/>
      <c r="N461" s="81"/>
      <c r="O461" s="82"/>
      <c r="P461" s="81"/>
      <c r="Q461" s="82"/>
      <c r="R461" s="81"/>
      <c r="S461" s="105"/>
      <c r="T461" s="81"/>
      <c r="U461" s="81"/>
      <c r="V461" s="81"/>
      <c r="W461" s="81"/>
      <c r="X461" s="81"/>
      <c r="Y461" s="81"/>
      <c r="Z461" s="81"/>
    </row>
    <row r="462" spans="1:26" ht="24" customHeight="1" x14ac:dyDescent="0.5">
      <c r="A462" s="81"/>
      <c r="B462" s="81"/>
      <c r="C462" s="81"/>
      <c r="D462" s="81"/>
      <c r="E462" s="81"/>
      <c r="F462" s="81"/>
      <c r="G462" s="105"/>
      <c r="H462" s="81"/>
      <c r="I462" s="81"/>
      <c r="J462" s="82"/>
      <c r="K462" s="81"/>
      <c r="L462" s="81"/>
      <c r="M462" s="82"/>
      <c r="N462" s="81"/>
      <c r="O462" s="82"/>
      <c r="P462" s="81"/>
      <c r="Q462" s="82"/>
      <c r="R462" s="81"/>
      <c r="S462" s="105"/>
      <c r="T462" s="81"/>
      <c r="U462" s="81"/>
      <c r="V462" s="81"/>
      <c r="W462" s="81"/>
      <c r="X462" s="81"/>
      <c r="Y462" s="81"/>
      <c r="Z462" s="81"/>
    </row>
    <row r="463" spans="1:26" ht="24" customHeight="1" x14ac:dyDescent="0.5">
      <c r="A463" s="81"/>
      <c r="B463" s="81"/>
      <c r="C463" s="81"/>
      <c r="D463" s="81"/>
      <c r="E463" s="81"/>
      <c r="F463" s="81"/>
      <c r="G463" s="105"/>
      <c r="H463" s="81"/>
      <c r="I463" s="81"/>
      <c r="J463" s="82"/>
      <c r="K463" s="81"/>
      <c r="L463" s="81"/>
      <c r="M463" s="82"/>
      <c r="N463" s="81"/>
      <c r="O463" s="82"/>
      <c r="P463" s="81"/>
      <c r="Q463" s="82"/>
      <c r="R463" s="81"/>
      <c r="S463" s="105"/>
      <c r="T463" s="81"/>
      <c r="U463" s="81"/>
      <c r="V463" s="81"/>
      <c r="W463" s="81"/>
      <c r="X463" s="81"/>
      <c r="Y463" s="81"/>
      <c r="Z463" s="81"/>
    </row>
    <row r="464" spans="1:26" ht="24" customHeight="1" x14ac:dyDescent="0.5">
      <c r="A464" s="81"/>
      <c r="B464" s="81"/>
      <c r="C464" s="81"/>
      <c r="D464" s="81"/>
      <c r="E464" s="81"/>
      <c r="F464" s="81"/>
      <c r="G464" s="105"/>
      <c r="H464" s="81"/>
      <c r="I464" s="81"/>
      <c r="J464" s="82"/>
      <c r="K464" s="81"/>
      <c r="L464" s="81"/>
      <c r="M464" s="82"/>
      <c r="N464" s="81"/>
      <c r="O464" s="82"/>
      <c r="P464" s="81"/>
      <c r="Q464" s="82"/>
      <c r="R464" s="81"/>
      <c r="S464" s="105"/>
      <c r="T464" s="81"/>
      <c r="U464" s="81"/>
      <c r="V464" s="81"/>
      <c r="W464" s="81"/>
      <c r="X464" s="81"/>
      <c r="Y464" s="81"/>
      <c r="Z464" s="81"/>
    </row>
    <row r="465" spans="1:26" ht="24" customHeight="1" x14ac:dyDescent="0.5">
      <c r="A465" s="81"/>
      <c r="B465" s="81"/>
      <c r="C465" s="81"/>
      <c r="D465" s="81"/>
      <c r="E465" s="81"/>
      <c r="F465" s="81"/>
      <c r="G465" s="105"/>
      <c r="H465" s="81"/>
      <c r="I465" s="81"/>
      <c r="J465" s="82"/>
      <c r="K465" s="81"/>
      <c r="L465" s="81"/>
      <c r="M465" s="82"/>
      <c r="N465" s="81"/>
      <c r="O465" s="82"/>
      <c r="P465" s="81"/>
      <c r="Q465" s="82"/>
      <c r="R465" s="81"/>
      <c r="S465" s="105"/>
      <c r="T465" s="81"/>
      <c r="U465" s="81"/>
      <c r="V465" s="81"/>
      <c r="W465" s="81"/>
      <c r="X465" s="81"/>
      <c r="Y465" s="81"/>
      <c r="Z465" s="81"/>
    </row>
    <row r="466" spans="1:26" ht="24" customHeight="1" x14ac:dyDescent="0.5">
      <c r="A466" s="81"/>
      <c r="B466" s="81"/>
      <c r="C466" s="81"/>
      <c r="D466" s="81"/>
      <c r="E466" s="81"/>
      <c r="F466" s="81"/>
      <c r="G466" s="105"/>
      <c r="H466" s="81"/>
      <c r="I466" s="81"/>
      <c r="J466" s="82"/>
      <c r="K466" s="81"/>
      <c r="L466" s="81"/>
      <c r="M466" s="82"/>
      <c r="N466" s="81"/>
      <c r="O466" s="82"/>
      <c r="P466" s="81"/>
      <c r="Q466" s="82"/>
      <c r="R466" s="81"/>
      <c r="S466" s="105"/>
      <c r="T466" s="81"/>
      <c r="U466" s="81"/>
      <c r="V466" s="81"/>
      <c r="W466" s="81"/>
      <c r="X466" s="81"/>
      <c r="Y466" s="81"/>
      <c r="Z466" s="81"/>
    </row>
    <row r="467" spans="1:26" ht="24" customHeight="1" x14ac:dyDescent="0.5">
      <c r="A467" s="81"/>
      <c r="B467" s="81"/>
      <c r="C467" s="81"/>
      <c r="D467" s="81"/>
      <c r="E467" s="81"/>
      <c r="F467" s="81"/>
      <c r="G467" s="105"/>
      <c r="H467" s="81"/>
      <c r="I467" s="81"/>
      <c r="J467" s="82"/>
      <c r="K467" s="81"/>
      <c r="L467" s="81"/>
      <c r="M467" s="82"/>
      <c r="N467" s="81"/>
      <c r="O467" s="82"/>
      <c r="P467" s="81"/>
      <c r="Q467" s="82"/>
      <c r="R467" s="81"/>
      <c r="S467" s="105"/>
      <c r="T467" s="81"/>
      <c r="U467" s="81"/>
      <c r="V467" s="81"/>
      <c r="W467" s="81"/>
      <c r="X467" s="81"/>
      <c r="Y467" s="81"/>
      <c r="Z467" s="81"/>
    </row>
    <row r="468" spans="1:26" ht="24" customHeight="1" x14ac:dyDescent="0.5">
      <c r="A468" s="81"/>
      <c r="B468" s="81"/>
      <c r="C468" s="81"/>
      <c r="D468" s="81"/>
      <c r="E468" s="81"/>
      <c r="F468" s="81"/>
      <c r="G468" s="105"/>
      <c r="H468" s="81"/>
      <c r="I468" s="81"/>
      <c r="J468" s="82"/>
      <c r="K468" s="81"/>
      <c r="L468" s="81"/>
      <c r="M468" s="82"/>
      <c r="N468" s="81"/>
      <c r="O468" s="82"/>
      <c r="P468" s="81"/>
      <c r="Q468" s="82"/>
      <c r="R468" s="81"/>
      <c r="S468" s="105"/>
      <c r="T468" s="81"/>
      <c r="U468" s="81"/>
      <c r="V468" s="81"/>
      <c r="W468" s="81"/>
      <c r="X468" s="81"/>
      <c r="Y468" s="81"/>
      <c r="Z468" s="81"/>
    </row>
    <row r="469" spans="1:26" ht="24" customHeight="1" x14ac:dyDescent="0.5">
      <c r="A469" s="81"/>
      <c r="B469" s="81"/>
      <c r="C469" s="81"/>
      <c r="D469" s="81"/>
      <c r="E469" s="81"/>
      <c r="F469" s="81"/>
      <c r="G469" s="105"/>
      <c r="H469" s="81"/>
      <c r="I469" s="81"/>
      <c r="J469" s="82"/>
      <c r="K469" s="81"/>
      <c r="L469" s="81"/>
      <c r="M469" s="82"/>
      <c r="N469" s="81"/>
      <c r="O469" s="82"/>
      <c r="P469" s="81"/>
      <c r="Q469" s="82"/>
      <c r="R469" s="81"/>
      <c r="S469" s="105"/>
      <c r="T469" s="81"/>
      <c r="U469" s="81"/>
      <c r="V469" s="81"/>
      <c r="W469" s="81"/>
      <c r="X469" s="81"/>
      <c r="Y469" s="81"/>
      <c r="Z469" s="81"/>
    </row>
    <row r="470" spans="1:26" ht="24" customHeight="1" x14ac:dyDescent="0.5">
      <c r="A470" s="81"/>
      <c r="B470" s="81"/>
      <c r="C470" s="81"/>
      <c r="D470" s="81"/>
      <c r="E470" s="81"/>
      <c r="F470" s="81"/>
      <c r="G470" s="105"/>
      <c r="H470" s="81"/>
      <c r="I470" s="81"/>
      <c r="J470" s="82"/>
      <c r="K470" s="81"/>
      <c r="L470" s="81"/>
      <c r="M470" s="82"/>
      <c r="N470" s="81"/>
      <c r="O470" s="82"/>
      <c r="P470" s="81"/>
      <c r="Q470" s="82"/>
      <c r="R470" s="81"/>
      <c r="S470" s="105"/>
      <c r="T470" s="81"/>
      <c r="U470" s="81"/>
      <c r="V470" s="81"/>
      <c r="W470" s="81"/>
      <c r="X470" s="81"/>
      <c r="Y470" s="81"/>
      <c r="Z470" s="81"/>
    </row>
    <row r="471" spans="1:26" ht="24" customHeight="1" x14ac:dyDescent="0.5">
      <c r="A471" s="81"/>
      <c r="B471" s="81"/>
      <c r="C471" s="81"/>
      <c r="D471" s="81"/>
      <c r="E471" s="81"/>
      <c r="F471" s="81"/>
      <c r="G471" s="105"/>
      <c r="H471" s="81"/>
      <c r="I471" s="81"/>
      <c r="J471" s="82"/>
      <c r="K471" s="81"/>
      <c r="L471" s="81"/>
      <c r="M471" s="82"/>
      <c r="N471" s="81"/>
      <c r="O471" s="82"/>
      <c r="P471" s="81"/>
      <c r="Q471" s="82"/>
      <c r="R471" s="81"/>
      <c r="S471" s="105"/>
      <c r="T471" s="81"/>
      <c r="U471" s="81"/>
      <c r="V471" s="81"/>
      <c r="W471" s="81"/>
      <c r="X471" s="81"/>
      <c r="Y471" s="81"/>
      <c r="Z471" s="81"/>
    </row>
    <row r="472" spans="1:26" ht="24" customHeight="1" x14ac:dyDescent="0.5">
      <c r="A472" s="81"/>
      <c r="B472" s="81"/>
      <c r="C472" s="81"/>
      <c r="D472" s="81"/>
      <c r="E472" s="81"/>
      <c r="F472" s="81"/>
      <c r="G472" s="105"/>
      <c r="H472" s="81"/>
      <c r="I472" s="81"/>
      <c r="J472" s="82"/>
      <c r="K472" s="81"/>
      <c r="L472" s="81"/>
      <c r="M472" s="82"/>
      <c r="N472" s="81"/>
      <c r="O472" s="82"/>
      <c r="P472" s="81"/>
      <c r="Q472" s="82"/>
      <c r="R472" s="81"/>
      <c r="S472" s="105"/>
      <c r="T472" s="81"/>
      <c r="U472" s="81"/>
      <c r="V472" s="81"/>
      <c r="W472" s="81"/>
      <c r="X472" s="81"/>
      <c r="Y472" s="81"/>
      <c r="Z472" s="81"/>
    </row>
    <row r="473" spans="1:26" ht="24" customHeight="1" x14ac:dyDescent="0.5">
      <c r="A473" s="81"/>
      <c r="B473" s="81"/>
      <c r="C473" s="81"/>
      <c r="D473" s="81"/>
      <c r="E473" s="81"/>
      <c r="F473" s="81"/>
      <c r="G473" s="105"/>
      <c r="H473" s="81"/>
      <c r="I473" s="81"/>
      <c r="J473" s="82"/>
      <c r="K473" s="81"/>
      <c r="L473" s="81"/>
      <c r="M473" s="82"/>
      <c r="N473" s="81"/>
      <c r="O473" s="82"/>
      <c r="P473" s="81"/>
      <c r="Q473" s="82"/>
      <c r="R473" s="81"/>
      <c r="S473" s="105"/>
      <c r="T473" s="81"/>
      <c r="U473" s="81"/>
      <c r="V473" s="81"/>
      <c r="W473" s="81"/>
      <c r="X473" s="81"/>
      <c r="Y473" s="81"/>
      <c r="Z473" s="81"/>
    </row>
    <row r="474" spans="1:26" ht="24" customHeight="1" x14ac:dyDescent="0.5">
      <c r="A474" s="81"/>
      <c r="B474" s="81"/>
      <c r="C474" s="81"/>
      <c r="D474" s="81"/>
      <c r="E474" s="81"/>
      <c r="F474" s="81"/>
      <c r="G474" s="105"/>
      <c r="H474" s="81"/>
      <c r="I474" s="81"/>
      <c r="J474" s="82"/>
      <c r="K474" s="81"/>
      <c r="L474" s="81"/>
      <c r="M474" s="82"/>
      <c r="N474" s="81"/>
      <c r="O474" s="82"/>
      <c r="P474" s="81"/>
      <c r="Q474" s="82"/>
      <c r="R474" s="81"/>
      <c r="S474" s="105"/>
      <c r="T474" s="81"/>
      <c r="U474" s="81"/>
      <c r="V474" s="81"/>
      <c r="W474" s="81"/>
      <c r="X474" s="81"/>
      <c r="Y474" s="81"/>
      <c r="Z474" s="81"/>
    </row>
    <row r="475" spans="1:26" ht="24" customHeight="1" x14ac:dyDescent="0.5">
      <c r="A475" s="81"/>
      <c r="B475" s="81"/>
      <c r="C475" s="81"/>
      <c r="D475" s="81"/>
      <c r="E475" s="81"/>
      <c r="F475" s="81"/>
      <c r="G475" s="105"/>
      <c r="H475" s="81"/>
      <c r="I475" s="81"/>
      <c r="J475" s="82"/>
      <c r="K475" s="81"/>
      <c r="L475" s="81"/>
      <c r="M475" s="82"/>
      <c r="N475" s="81"/>
      <c r="O475" s="82"/>
      <c r="P475" s="81"/>
      <c r="Q475" s="82"/>
      <c r="R475" s="81"/>
      <c r="S475" s="105"/>
      <c r="T475" s="81"/>
      <c r="U475" s="81"/>
      <c r="V475" s="81"/>
      <c r="W475" s="81"/>
      <c r="X475" s="81"/>
      <c r="Y475" s="81"/>
      <c r="Z475" s="81"/>
    </row>
    <row r="476" spans="1:26" ht="24" customHeight="1" x14ac:dyDescent="0.5">
      <c r="A476" s="81"/>
      <c r="B476" s="81"/>
      <c r="C476" s="81"/>
      <c r="D476" s="81"/>
      <c r="E476" s="81"/>
      <c r="F476" s="81"/>
      <c r="G476" s="105"/>
      <c r="H476" s="81"/>
      <c r="I476" s="81"/>
      <c r="J476" s="82"/>
      <c r="K476" s="81"/>
      <c r="L476" s="81"/>
      <c r="M476" s="82"/>
      <c r="N476" s="81"/>
      <c r="O476" s="82"/>
      <c r="P476" s="81"/>
      <c r="Q476" s="82"/>
      <c r="R476" s="81"/>
      <c r="S476" s="105"/>
      <c r="T476" s="81"/>
      <c r="U476" s="81"/>
      <c r="V476" s="81"/>
      <c r="W476" s="81"/>
      <c r="X476" s="81"/>
      <c r="Y476" s="81"/>
      <c r="Z476" s="81"/>
    </row>
    <row r="477" spans="1:26" ht="24" customHeight="1" x14ac:dyDescent="0.5">
      <c r="A477" s="81"/>
      <c r="B477" s="81"/>
      <c r="C477" s="81"/>
      <c r="D477" s="81"/>
      <c r="E477" s="81"/>
      <c r="F477" s="81"/>
      <c r="G477" s="105"/>
      <c r="H477" s="81"/>
      <c r="I477" s="81"/>
      <c r="J477" s="82"/>
      <c r="K477" s="81"/>
      <c r="L477" s="81"/>
      <c r="M477" s="82"/>
      <c r="N477" s="81"/>
      <c r="O477" s="82"/>
      <c r="P477" s="81"/>
      <c r="Q477" s="82"/>
      <c r="R477" s="81"/>
      <c r="S477" s="105"/>
      <c r="T477" s="81"/>
      <c r="U477" s="81"/>
      <c r="V477" s="81"/>
      <c r="W477" s="81"/>
      <c r="X477" s="81"/>
      <c r="Y477" s="81"/>
      <c r="Z477" s="81"/>
    </row>
    <row r="478" spans="1:26" ht="24" customHeight="1" x14ac:dyDescent="0.5">
      <c r="A478" s="81"/>
      <c r="B478" s="81"/>
      <c r="C478" s="81"/>
      <c r="D478" s="81"/>
      <c r="E478" s="81"/>
      <c r="F478" s="81"/>
      <c r="G478" s="105"/>
      <c r="H478" s="81"/>
      <c r="I478" s="81"/>
      <c r="J478" s="82"/>
      <c r="K478" s="81"/>
      <c r="L478" s="81"/>
      <c r="M478" s="82"/>
      <c r="N478" s="81"/>
      <c r="O478" s="82"/>
      <c r="P478" s="81"/>
      <c r="Q478" s="82"/>
      <c r="R478" s="81"/>
      <c r="S478" s="105"/>
      <c r="T478" s="81"/>
      <c r="U478" s="81"/>
      <c r="V478" s="81"/>
      <c r="W478" s="81"/>
      <c r="X478" s="81"/>
      <c r="Y478" s="81"/>
      <c r="Z478" s="81"/>
    </row>
    <row r="479" spans="1:26" ht="24" customHeight="1" x14ac:dyDescent="0.5">
      <c r="A479" s="81"/>
      <c r="B479" s="81"/>
      <c r="C479" s="81"/>
      <c r="D479" s="81"/>
      <c r="E479" s="81"/>
      <c r="F479" s="81"/>
      <c r="G479" s="105"/>
      <c r="H479" s="81"/>
      <c r="I479" s="81"/>
      <c r="J479" s="82"/>
      <c r="K479" s="81"/>
      <c r="L479" s="81"/>
      <c r="M479" s="82"/>
      <c r="N479" s="81"/>
      <c r="O479" s="82"/>
      <c r="P479" s="81"/>
      <c r="Q479" s="82"/>
      <c r="R479" s="81"/>
      <c r="S479" s="105"/>
      <c r="T479" s="81"/>
      <c r="U479" s="81"/>
      <c r="V479" s="81"/>
      <c r="W479" s="81"/>
      <c r="X479" s="81"/>
      <c r="Y479" s="81"/>
      <c r="Z479" s="81"/>
    </row>
    <row r="480" spans="1:26" ht="24" customHeight="1" x14ac:dyDescent="0.5">
      <c r="A480" s="81"/>
      <c r="B480" s="81"/>
      <c r="C480" s="81"/>
      <c r="D480" s="81"/>
      <c r="E480" s="81"/>
      <c r="F480" s="81"/>
      <c r="G480" s="105"/>
      <c r="H480" s="81"/>
      <c r="I480" s="81"/>
      <c r="J480" s="82"/>
      <c r="K480" s="81"/>
      <c r="L480" s="81"/>
      <c r="M480" s="82"/>
      <c r="N480" s="81"/>
      <c r="O480" s="82"/>
      <c r="P480" s="81"/>
      <c r="Q480" s="82"/>
      <c r="R480" s="81"/>
      <c r="S480" s="105"/>
      <c r="T480" s="81"/>
      <c r="U480" s="81"/>
      <c r="V480" s="81"/>
      <c r="W480" s="81"/>
      <c r="X480" s="81"/>
      <c r="Y480" s="81"/>
      <c r="Z480" s="81"/>
    </row>
    <row r="481" spans="1:26" ht="24" customHeight="1" x14ac:dyDescent="0.5">
      <c r="A481" s="81"/>
      <c r="B481" s="81"/>
      <c r="C481" s="81"/>
      <c r="D481" s="81"/>
      <c r="E481" s="81"/>
      <c r="F481" s="81"/>
      <c r="G481" s="105"/>
      <c r="H481" s="81"/>
      <c r="I481" s="81"/>
      <c r="J481" s="82"/>
      <c r="K481" s="81"/>
      <c r="L481" s="81"/>
      <c r="M481" s="82"/>
      <c r="N481" s="81"/>
      <c r="O481" s="82"/>
      <c r="P481" s="81"/>
      <c r="Q481" s="82"/>
      <c r="R481" s="81"/>
      <c r="S481" s="105"/>
      <c r="T481" s="81"/>
      <c r="U481" s="81"/>
      <c r="V481" s="81"/>
      <c r="W481" s="81"/>
      <c r="X481" s="81"/>
      <c r="Y481" s="81"/>
      <c r="Z481" s="81"/>
    </row>
    <row r="482" spans="1:26" ht="24" customHeight="1" x14ac:dyDescent="0.5">
      <c r="A482" s="81"/>
      <c r="B482" s="81"/>
      <c r="C482" s="81"/>
      <c r="D482" s="81"/>
      <c r="E482" s="81"/>
      <c r="F482" s="81"/>
      <c r="G482" s="105"/>
      <c r="H482" s="81"/>
      <c r="I482" s="81"/>
      <c r="J482" s="82"/>
      <c r="K482" s="81"/>
      <c r="L482" s="81"/>
      <c r="M482" s="82"/>
      <c r="N482" s="81"/>
      <c r="O482" s="82"/>
      <c r="P482" s="81"/>
      <c r="Q482" s="82"/>
      <c r="R482" s="81"/>
      <c r="S482" s="105"/>
      <c r="T482" s="81"/>
      <c r="U482" s="81"/>
      <c r="V482" s="81"/>
      <c r="W482" s="81"/>
      <c r="X482" s="81"/>
      <c r="Y482" s="81"/>
      <c r="Z482" s="81"/>
    </row>
    <row r="483" spans="1:26" ht="24" customHeight="1" x14ac:dyDescent="0.5">
      <c r="A483" s="81"/>
      <c r="B483" s="81"/>
      <c r="C483" s="81"/>
      <c r="D483" s="81"/>
      <c r="E483" s="81"/>
      <c r="F483" s="81"/>
      <c r="G483" s="105"/>
      <c r="H483" s="81"/>
      <c r="I483" s="81"/>
      <c r="J483" s="82"/>
      <c r="K483" s="81"/>
      <c r="L483" s="81"/>
      <c r="M483" s="82"/>
      <c r="N483" s="81"/>
      <c r="O483" s="82"/>
      <c r="P483" s="81"/>
      <c r="Q483" s="82"/>
      <c r="R483" s="81"/>
      <c r="S483" s="105"/>
      <c r="T483" s="81"/>
      <c r="U483" s="81"/>
      <c r="V483" s="81"/>
      <c r="W483" s="81"/>
      <c r="X483" s="81"/>
      <c r="Y483" s="81"/>
      <c r="Z483" s="81"/>
    </row>
    <row r="484" spans="1:26" ht="24" customHeight="1" x14ac:dyDescent="0.5">
      <c r="A484" s="81"/>
      <c r="B484" s="81"/>
      <c r="C484" s="81"/>
      <c r="D484" s="81"/>
      <c r="E484" s="81"/>
      <c r="F484" s="81"/>
      <c r="G484" s="105"/>
      <c r="H484" s="81"/>
      <c r="I484" s="81"/>
      <c r="J484" s="82"/>
      <c r="K484" s="81"/>
      <c r="L484" s="81"/>
      <c r="M484" s="82"/>
      <c r="N484" s="81"/>
      <c r="O484" s="82"/>
      <c r="P484" s="81"/>
      <c r="Q484" s="82"/>
      <c r="R484" s="81"/>
      <c r="S484" s="105"/>
      <c r="T484" s="81"/>
      <c r="U484" s="81"/>
      <c r="V484" s="81"/>
      <c r="W484" s="81"/>
      <c r="X484" s="81"/>
      <c r="Y484" s="81"/>
      <c r="Z484" s="81"/>
    </row>
    <row r="485" spans="1:26" ht="24" customHeight="1" x14ac:dyDescent="0.5">
      <c r="A485" s="81"/>
      <c r="B485" s="81"/>
      <c r="C485" s="81"/>
      <c r="D485" s="81"/>
      <c r="E485" s="81"/>
      <c r="F485" s="81"/>
      <c r="G485" s="105"/>
      <c r="H485" s="81"/>
      <c r="I485" s="81"/>
      <c r="J485" s="82"/>
      <c r="K485" s="81"/>
      <c r="L485" s="81"/>
      <c r="M485" s="82"/>
      <c r="N485" s="81"/>
      <c r="O485" s="82"/>
      <c r="P485" s="81"/>
      <c r="Q485" s="82"/>
      <c r="R485" s="81"/>
      <c r="S485" s="105"/>
      <c r="T485" s="81"/>
      <c r="U485" s="81"/>
      <c r="V485" s="81"/>
      <c r="W485" s="81"/>
      <c r="X485" s="81"/>
      <c r="Y485" s="81"/>
      <c r="Z485" s="81"/>
    </row>
    <row r="486" spans="1:26" ht="24" customHeight="1" x14ac:dyDescent="0.5">
      <c r="A486" s="81"/>
      <c r="B486" s="81"/>
      <c r="C486" s="81"/>
      <c r="D486" s="81"/>
      <c r="E486" s="81"/>
      <c r="F486" s="81"/>
      <c r="G486" s="105"/>
      <c r="H486" s="81"/>
      <c r="I486" s="81"/>
      <c r="J486" s="82"/>
      <c r="K486" s="81"/>
      <c r="L486" s="81"/>
      <c r="M486" s="82"/>
      <c r="N486" s="81"/>
      <c r="O486" s="82"/>
      <c r="P486" s="81"/>
      <c r="Q486" s="82"/>
      <c r="R486" s="81"/>
      <c r="S486" s="105"/>
      <c r="T486" s="81"/>
      <c r="U486" s="81"/>
      <c r="V486" s="81"/>
      <c r="W486" s="81"/>
      <c r="X486" s="81"/>
      <c r="Y486" s="81"/>
      <c r="Z486" s="81"/>
    </row>
    <row r="487" spans="1:26" ht="24" customHeight="1" x14ac:dyDescent="0.5">
      <c r="A487" s="81"/>
      <c r="B487" s="81"/>
      <c r="C487" s="81"/>
      <c r="D487" s="81"/>
      <c r="E487" s="81"/>
      <c r="F487" s="81"/>
      <c r="G487" s="105"/>
      <c r="H487" s="81"/>
      <c r="I487" s="81"/>
      <c r="J487" s="82"/>
      <c r="K487" s="81"/>
      <c r="L487" s="81"/>
      <c r="M487" s="82"/>
      <c r="N487" s="81"/>
      <c r="O487" s="82"/>
      <c r="P487" s="81"/>
      <c r="Q487" s="82"/>
      <c r="R487" s="81"/>
      <c r="S487" s="105"/>
      <c r="T487" s="81"/>
      <c r="U487" s="81"/>
      <c r="V487" s="81"/>
      <c r="W487" s="81"/>
      <c r="X487" s="81"/>
      <c r="Y487" s="81"/>
      <c r="Z487" s="81"/>
    </row>
    <row r="488" spans="1:26" ht="24" customHeight="1" x14ac:dyDescent="0.5">
      <c r="A488" s="81"/>
      <c r="B488" s="81"/>
      <c r="C488" s="81"/>
      <c r="D488" s="81"/>
      <c r="E488" s="81"/>
      <c r="F488" s="81"/>
      <c r="G488" s="105"/>
      <c r="H488" s="81"/>
      <c r="I488" s="81"/>
      <c r="J488" s="82"/>
      <c r="K488" s="81"/>
      <c r="L488" s="81"/>
      <c r="M488" s="82"/>
      <c r="N488" s="81"/>
      <c r="O488" s="82"/>
      <c r="P488" s="81"/>
      <c r="Q488" s="82"/>
      <c r="R488" s="81"/>
      <c r="S488" s="105"/>
      <c r="T488" s="81"/>
      <c r="U488" s="81"/>
      <c r="V488" s="81"/>
      <c r="W488" s="81"/>
      <c r="X488" s="81"/>
      <c r="Y488" s="81"/>
      <c r="Z488" s="81"/>
    </row>
    <row r="489" spans="1:26" ht="24" customHeight="1" x14ac:dyDescent="0.5">
      <c r="A489" s="81"/>
      <c r="B489" s="81"/>
      <c r="C489" s="81"/>
      <c r="D489" s="81"/>
      <c r="E489" s="81"/>
      <c r="F489" s="81"/>
      <c r="G489" s="105"/>
      <c r="H489" s="81"/>
      <c r="I489" s="81"/>
      <c r="J489" s="82"/>
      <c r="K489" s="81"/>
      <c r="L489" s="81"/>
      <c r="M489" s="82"/>
      <c r="N489" s="81"/>
      <c r="O489" s="82"/>
      <c r="P489" s="81"/>
      <c r="Q489" s="82"/>
      <c r="R489" s="81"/>
      <c r="S489" s="105"/>
      <c r="T489" s="81"/>
      <c r="U489" s="81"/>
      <c r="V489" s="81"/>
      <c r="W489" s="81"/>
      <c r="X489" s="81"/>
      <c r="Y489" s="81"/>
      <c r="Z489" s="81"/>
    </row>
    <row r="490" spans="1:26" ht="24" customHeight="1" x14ac:dyDescent="0.5">
      <c r="A490" s="81"/>
      <c r="B490" s="81"/>
      <c r="C490" s="81"/>
      <c r="D490" s="81"/>
      <c r="E490" s="81"/>
      <c r="F490" s="81"/>
      <c r="G490" s="105"/>
      <c r="H490" s="81"/>
      <c r="I490" s="81"/>
      <c r="J490" s="82"/>
      <c r="K490" s="81"/>
      <c r="L490" s="81"/>
      <c r="M490" s="82"/>
      <c r="N490" s="81"/>
      <c r="O490" s="82"/>
      <c r="P490" s="81"/>
      <c r="Q490" s="82"/>
      <c r="R490" s="81"/>
      <c r="S490" s="105"/>
      <c r="T490" s="81"/>
      <c r="U490" s="81"/>
      <c r="V490" s="81"/>
      <c r="W490" s="81"/>
      <c r="X490" s="81"/>
      <c r="Y490" s="81"/>
      <c r="Z490" s="81"/>
    </row>
    <row r="491" spans="1:26" ht="24" customHeight="1" x14ac:dyDescent="0.5">
      <c r="A491" s="81"/>
      <c r="B491" s="81"/>
      <c r="C491" s="81"/>
      <c r="D491" s="81"/>
      <c r="E491" s="81"/>
      <c r="F491" s="81"/>
      <c r="G491" s="105"/>
      <c r="H491" s="81"/>
      <c r="I491" s="81"/>
      <c r="J491" s="82"/>
      <c r="K491" s="81"/>
      <c r="L491" s="81"/>
      <c r="M491" s="82"/>
      <c r="N491" s="81"/>
      <c r="O491" s="82"/>
      <c r="P491" s="81"/>
      <c r="Q491" s="82"/>
      <c r="R491" s="81"/>
      <c r="S491" s="105"/>
      <c r="T491" s="81"/>
      <c r="U491" s="81"/>
      <c r="V491" s="81"/>
      <c r="W491" s="81"/>
      <c r="X491" s="81"/>
      <c r="Y491" s="81"/>
      <c r="Z491" s="81"/>
    </row>
    <row r="492" spans="1:26" ht="24" customHeight="1" x14ac:dyDescent="0.5">
      <c r="A492" s="81"/>
      <c r="B492" s="81"/>
      <c r="C492" s="81"/>
      <c r="D492" s="81"/>
      <c r="E492" s="81"/>
      <c r="F492" s="81"/>
      <c r="G492" s="105"/>
      <c r="H492" s="81"/>
      <c r="I492" s="81"/>
      <c r="J492" s="82"/>
      <c r="K492" s="81"/>
      <c r="L492" s="81"/>
      <c r="M492" s="82"/>
      <c r="N492" s="81"/>
      <c r="O492" s="82"/>
      <c r="P492" s="81"/>
      <c r="Q492" s="82"/>
      <c r="R492" s="81"/>
      <c r="S492" s="105"/>
      <c r="T492" s="81"/>
      <c r="U492" s="81"/>
      <c r="V492" s="81"/>
      <c r="W492" s="81"/>
      <c r="X492" s="81"/>
      <c r="Y492" s="81"/>
      <c r="Z492" s="81"/>
    </row>
    <row r="493" spans="1:26" ht="24" customHeight="1" x14ac:dyDescent="0.5">
      <c r="A493" s="81"/>
      <c r="B493" s="81"/>
      <c r="C493" s="81"/>
      <c r="D493" s="81"/>
      <c r="E493" s="81"/>
      <c r="F493" s="81"/>
      <c r="G493" s="105"/>
      <c r="H493" s="81"/>
      <c r="I493" s="81"/>
      <c r="J493" s="82"/>
      <c r="K493" s="81"/>
      <c r="L493" s="81"/>
      <c r="M493" s="82"/>
      <c r="N493" s="81"/>
      <c r="O493" s="82"/>
      <c r="P493" s="81"/>
      <c r="Q493" s="82"/>
      <c r="R493" s="81"/>
      <c r="S493" s="105"/>
      <c r="T493" s="81"/>
      <c r="U493" s="81"/>
      <c r="V493" s="81"/>
      <c r="W493" s="81"/>
      <c r="X493" s="81"/>
      <c r="Y493" s="81"/>
      <c r="Z493" s="81"/>
    </row>
    <row r="494" spans="1:26" ht="24" customHeight="1" x14ac:dyDescent="0.5">
      <c r="A494" s="81"/>
      <c r="B494" s="81"/>
      <c r="C494" s="81"/>
      <c r="D494" s="81"/>
      <c r="E494" s="81"/>
      <c r="F494" s="81"/>
      <c r="G494" s="105"/>
      <c r="H494" s="81"/>
      <c r="I494" s="81"/>
      <c r="J494" s="82"/>
      <c r="K494" s="81"/>
      <c r="L494" s="81"/>
      <c r="M494" s="82"/>
      <c r="N494" s="81"/>
      <c r="O494" s="82"/>
      <c r="P494" s="81"/>
      <c r="Q494" s="82"/>
      <c r="R494" s="81"/>
      <c r="S494" s="105"/>
      <c r="T494" s="81"/>
      <c r="U494" s="81"/>
      <c r="V494" s="81"/>
      <c r="W494" s="81"/>
      <c r="X494" s="81"/>
      <c r="Y494" s="81"/>
      <c r="Z494" s="81"/>
    </row>
    <row r="495" spans="1:26" ht="24" customHeight="1" x14ac:dyDescent="0.5">
      <c r="A495" s="81"/>
      <c r="B495" s="81"/>
      <c r="C495" s="81"/>
      <c r="D495" s="81"/>
      <c r="E495" s="81"/>
      <c r="F495" s="81"/>
      <c r="G495" s="105"/>
      <c r="H495" s="81"/>
      <c r="I495" s="81"/>
      <c r="J495" s="82"/>
      <c r="K495" s="81"/>
      <c r="L495" s="81"/>
      <c r="M495" s="82"/>
      <c r="N495" s="81"/>
      <c r="O495" s="82"/>
      <c r="P495" s="81"/>
      <c r="Q495" s="82"/>
      <c r="R495" s="81"/>
      <c r="S495" s="105"/>
      <c r="T495" s="81"/>
      <c r="U495" s="81"/>
      <c r="V495" s="81"/>
      <c r="W495" s="81"/>
      <c r="X495" s="81"/>
      <c r="Y495" s="81"/>
      <c r="Z495" s="81"/>
    </row>
    <row r="496" spans="1:26" ht="24" customHeight="1" x14ac:dyDescent="0.5">
      <c r="A496" s="81"/>
      <c r="B496" s="81"/>
      <c r="C496" s="81"/>
      <c r="D496" s="81"/>
      <c r="E496" s="81"/>
      <c r="F496" s="81"/>
      <c r="G496" s="105"/>
      <c r="H496" s="81"/>
      <c r="I496" s="81"/>
      <c r="J496" s="82"/>
      <c r="K496" s="81"/>
      <c r="L496" s="81"/>
      <c r="M496" s="82"/>
      <c r="N496" s="81"/>
      <c r="O496" s="82"/>
      <c r="P496" s="81"/>
      <c r="Q496" s="82"/>
      <c r="R496" s="81"/>
      <c r="S496" s="105"/>
      <c r="T496" s="81"/>
      <c r="U496" s="81"/>
      <c r="V496" s="81"/>
      <c r="W496" s="81"/>
      <c r="X496" s="81"/>
      <c r="Y496" s="81"/>
      <c r="Z496" s="81"/>
    </row>
    <row r="497" spans="1:26" ht="24" customHeight="1" x14ac:dyDescent="0.5">
      <c r="A497" s="81"/>
      <c r="B497" s="81"/>
      <c r="C497" s="81"/>
      <c r="D497" s="81"/>
      <c r="E497" s="81"/>
      <c r="F497" s="81"/>
      <c r="G497" s="105"/>
      <c r="H497" s="81"/>
      <c r="I497" s="81"/>
      <c r="J497" s="82"/>
      <c r="K497" s="81"/>
      <c r="L497" s="81"/>
      <c r="M497" s="82"/>
      <c r="N497" s="81"/>
      <c r="O497" s="82"/>
      <c r="P497" s="81"/>
      <c r="Q497" s="82"/>
      <c r="R497" s="81"/>
      <c r="S497" s="105"/>
      <c r="T497" s="81"/>
      <c r="U497" s="81"/>
      <c r="V497" s="81"/>
      <c r="W497" s="81"/>
      <c r="X497" s="81"/>
      <c r="Y497" s="81"/>
      <c r="Z497" s="81"/>
    </row>
    <row r="498" spans="1:26" ht="24" customHeight="1" x14ac:dyDescent="0.5">
      <c r="A498" s="81"/>
      <c r="B498" s="81"/>
      <c r="C498" s="81"/>
      <c r="D498" s="81"/>
      <c r="E498" s="81"/>
      <c r="F498" s="81"/>
      <c r="G498" s="105"/>
      <c r="H498" s="81"/>
      <c r="I498" s="81"/>
      <c r="J498" s="82"/>
      <c r="K498" s="81"/>
      <c r="L498" s="81"/>
      <c r="M498" s="82"/>
      <c r="N498" s="81"/>
      <c r="O498" s="82"/>
      <c r="P498" s="81"/>
      <c r="Q498" s="82"/>
      <c r="R498" s="81"/>
      <c r="S498" s="105"/>
      <c r="T498" s="81"/>
      <c r="U498" s="81"/>
      <c r="V498" s="81"/>
      <c r="W498" s="81"/>
      <c r="X498" s="81"/>
      <c r="Y498" s="81"/>
      <c r="Z498" s="81"/>
    </row>
    <row r="499" spans="1:26" ht="24" customHeight="1" x14ac:dyDescent="0.5">
      <c r="A499" s="81"/>
      <c r="B499" s="81"/>
      <c r="C499" s="81"/>
      <c r="D499" s="81"/>
      <c r="E499" s="81"/>
      <c r="F499" s="81"/>
      <c r="G499" s="105"/>
      <c r="H499" s="81"/>
      <c r="I499" s="81"/>
      <c r="J499" s="82"/>
      <c r="K499" s="81"/>
      <c r="L499" s="81"/>
      <c r="M499" s="82"/>
      <c r="N499" s="81"/>
      <c r="O499" s="82"/>
      <c r="P499" s="81"/>
      <c r="Q499" s="82"/>
      <c r="R499" s="81"/>
      <c r="S499" s="105"/>
      <c r="T499" s="81"/>
      <c r="U499" s="81"/>
      <c r="V499" s="81"/>
      <c r="W499" s="81"/>
      <c r="X499" s="81"/>
      <c r="Y499" s="81"/>
      <c r="Z499" s="81"/>
    </row>
    <row r="500" spans="1:26" ht="24" customHeight="1" x14ac:dyDescent="0.5">
      <c r="A500" s="81"/>
      <c r="B500" s="81"/>
      <c r="C500" s="81"/>
      <c r="D500" s="81"/>
      <c r="E500" s="81"/>
      <c r="F500" s="81"/>
      <c r="G500" s="105"/>
      <c r="H500" s="81"/>
      <c r="I500" s="81"/>
      <c r="J500" s="82"/>
      <c r="K500" s="81"/>
      <c r="L500" s="81"/>
      <c r="M500" s="82"/>
      <c r="N500" s="81"/>
      <c r="O500" s="82"/>
      <c r="P500" s="81"/>
      <c r="Q500" s="82"/>
      <c r="R500" s="81"/>
      <c r="S500" s="105"/>
      <c r="T500" s="81"/>
      <c r="U500" s="81"/>
      <c r="V500" s="81"/>
      <c r="W500" s="81"/>
      <c r="X500" s="81"/>
      <c r="Y500" s="81"/>
      <c r="Z500" s="81"/>
    </row>
    <row r="501" spans="1:26" ht="24" customHeight="1" x14ac:dyDescent="0.5">
      <c r="A501" s="81"/>
      <c r="B501" s="81"/>
      <c r="C501" s="81"/>
      <c r="D501" s="81"/>
      <c r="E501" s="81"/>
      <c r="F501" s="81"/>
      <c r="G501" s="105"/>
      <c r="H501" s="81"/>
      <c r="I501" s="81"/>
      <c r="J501" s="82"/>
      <c r="K501" s="81"/>
      <c r="L501" s="81"/>
      <c r="M501" s="82"/>
      <c r="N501" s="81"/>
      <c r="O501" s="82"/>
      <c r="P501" s="81"/>
      <c r="Q501" s="82"/>
      <c r="R501" s="81"/>
      <c r="S501" s="105"/>
      <c r="T501" s="81"/>
      <c r="U501" s="81"/>
      <c r="V501" s="81"/>
      <c r="W501" s="81"/>
      <c r="X501" s="81"/>
      <c r="Y501" s="81"/>
      <c r="Z501" s="81"/>
    </row>
    <row r="502" spans="1:26" ht="24" customHeight="1" x14ac:dyDescent="0.5">
      <c r="A502" s="81"/>
      <c r="B502" s="81"/>
      <c r="C502" s="81"/>
      <c r="D502" s="81"/>
      <c r="E502" s="81"/>
      <c r="F502" s="81"/>
      <c r="G502" s="105"/>
      <c r="H502" s="81"/>
      <c r="I502" s="81"/>
      <c r="J502" s="82"/>
      <c r="K502" s="81"/>
      <c r="L502" s="81"/>
      <c r="M502" s="82"/>
      <c r="N502" s="81"/>
      <c r="O502" s="82"/>
      <c r="P502" s="81"/>
      <c r="Q502" s="82"/>
      <c r="R502" s="81"/>
      <c r="S502" s="105"/>
      <c r="T502" s="81"/>
      <c r="U502" s="81"/>
      <c r="V502" s="81"/>
      <c r="W502" s="81"/>
      <c r="X502" s="81"/>
      <c r="Y502" s="81"/>
      <c r="Z502" s="81"/>
    </row>
    <row r="503" spans="1:26" ht="24" customHeight="1" x14ac:dyDescent="0.5">
      <c r="A503" s="81"/>
      <c r="B503" s="81"/>
      <c r="C503" s="81"/>
      <c r="D503" s="81"/>
      <c r="E503" s="81"/>
      <c r="F503" s="81"/>
      <c r="G503" s="105"/>
      <c r="H503" s="81"/>
      <c r="I503" s="81"/>
      <c r="J503" s="82"/>
      <c r="K503" s="81"/>
      <c r="L503" s="81"/>
      <c r="M503" s="82"/>
      <c r="N503" s="81"/>
      <c r="O503" s="82"/>
      <c r="P503" s="81"/>
      <c r="Q503" s="82"/>
      <c r="R503" s="81"/>
      <c r="S503" s="105"/>
      <c r="T503" s="81"/>
      <c r="U503" s="81"/>
      <c r="V503" s="81"/>
      <c r="W503" s="81"/>
      <c r="X503" s="81"/>
      <c r="Y503" s="81"/>
      <c r="Z503" s="81"/>
    </row>
    <row r="504" spans="1:26" ht="24" customHeight="1" x14ac:dyDescent="0.5">
      <c r="A504" s="81"/>
      <c r="B504" s="81"/>
      <c r="C504" s="81"/>
      <c r="D504" s="81"/>
      <c r="E504" s="81"/>
      <c r="F504" s="81"/>
      <c r="G504" s="105"/>
      <c r="H504" s="81"/>
      <c r="I504" s="81"/>
      <c r="J504" s="82"/>
      <c r="K504" s="81"/>
      <c r="L504" s="81"/>
      <c r="M504" s="82"/>
      <c r="N504" s="81"/>
      <c r="O504" s="82"/>
      <c r="P504" s="81"/>
      <c r="Q504" s="82"/>
      <c r="R504" s="81"/>
      <c r="S504" s="105"/>
      <c r="T504" s="81"/>
      <c r="U504" s="81"/>
      <c r="V504" s="81"/>
      <c r="W504" s="81"/>
      <c r="X504" s="81"/>
      <c r="Y504" s="81"/>
      <c r="Z504" s="81"/>
    </row>
    <row r="505" spans="1:26" ht="24" customHeight="1" x14ac:dyDescent="0.5">
      <c r="A505" s="81"/>
      <c r="B505" s="81"/>
      <c r="C505" s="81"/>
      <c r="D505" s="81"/>
      <c r="E505" s="81"/>
      <c r="F505" s="81"/>
      <c r="G505" s="105"/>
      <c r="H505" s="81"/>
      <c r="I505" s="81"/>
      <c r="J505" s="82"/>
      <c r="K505" s="81"/>
      <c r="L505" s="81"/>
      <c r="M505" s="82"/>
      <c r="N505" s="81"/>
      <c r="O505" s="82"/>
      <c r="P505" s="81"/>
      <c r="Q505" s="82"/>
      <c r="R505" s="81"/>
      <c r="S505" s="105"/>
      <c r="T505" s="81"/>
      <c r="U505" s="81"/>
      <c r="V505" s="81"/>
      <c r="W505" s="81"/>
      <c r="X505" s="81"/>
      <c r="Y505" s="81"/>
      <c r="Z505" s="81"/>
    </row>
    <row r="506" spans="1:26" ht="24" customHeight="1" x14ac:dyDescent="0.5">
      <c r="A506" s="81"/>
      <c r="B506" s="81"/>
      <c r="C506" s="81"/>
      <c r="D506" s="81"/>
      <c r="E506" s="81"/>
      <c r="F506" s="81"/>
      <c r="G506" s="105"/>
      <c r="H506" s="81"/>
      <c r="I506" s="81"/>
      <c r="J506" s="82"/>
      <c r="K506" s="81"/>
      <c r="L506" s="81"/>
      <c r="M506" s="82"/>
      <c r="N506" s="81"/>
      <c r="O506" s="82"/>
      <c r="P506" s="81"/>
      <c r="Q506" s="82"/>
      <c r="R506" s="81"/>
      <c r="S506" s="105"/>
      <c r="T506" s="81"/>
      <c r="U506" s="81"/>
      <c r="V506" s="81"/>
      <c r="W506" s="81"/>
      <c r="X506" s="81"/>
      <c r="Y506" s="81"/>
      <c r="Z506" s="81"/>
    </row>
    <row r="507" spans="1:26" ht="24" customHeight="1" x14ac:dyDescent="0.5">
      <c r="A507" s="81"/>
      <c r="B507" s="81"/>
      <c r="C507" s="81"/>
      <c r="D507" s="81"/>
      <c r="E507" s="81"/>
      <c r="F507" s="81"/>
      <c r="G507" s="105"/>
      <c r="H507" s="81"/>
      <c r="I507" s="81"/>
      <c r="J507" s="82"/>
      <c r="K507" s="81"/>
      <c r="L507" s="81"/>
      <c r="M507" s="82"/>
      <c r="N507" s="81"/>
      <c r="O507" s="82"/>
      <c r="P507" s="81"/>
      <c r="Q507" s="82"/>
      <c r="R507" s="81"/>
      <c r="S507" s="105"/>
      <c r="T507" s="81"/>
      <c r="U507" s="81"/>
      <c r="V507" s="81"/>
      <c r="W507" s="81"/>
      <c r="X507" s="81"/>
      <c r="Y507" s="81"/>
      <c r="Z507" s="81"/>
    </row>
    <row r="508" spans="1:26" ht="24" customHeight="1" x14ac:dyDescent="0.5">
      <c r="A508" s="81"/>
      <c r="B508" s="81"/>
      <c r="C508" s="81"/>
      <c r="D508" s="81"/>
      <c r="E508" s="81"/>
      <c r="F508" s="81"/>
      <c r="G508" s="105"/>
      <c r="H508" s="81"/>
      <c r="I508" s="81"/>
      <c r="J508" s="82"/>
      <c r="K508" s="81"/>
      <c r="L508" s="81"/>
      <c r="M508" s="82"/>
      <c r="N508" s="81"/>
      <c r="O508" s="82"/>
      <c r="P508" s="81"/>
      <c r="Q508" s="82"/>
      <c r="R508" s="81"/>
      <c r="S508" s="105"/>
      <c r="T508" s="81"/>
      <c r="U508" s="81"/>
      <c r="V508" s="81"/>
      <c r="W508" s="81"/>
      <c r="X508" s="81"/>
      <c r="Y508" s="81"/>
      <c r="Z508" s="81"/>
    </row>
    <row r="509" spans="1:26" ht="24" customHeight="1" x14ac:dyDescent="0.5">
      <c r="A509" s="81"/>
      <c r="B509" s="81"/>
      <c r="C509" s="81"/>
      <c r="D509" s="81"/>
      <c r="E509" s="81"/>
      <c r="F509" s="81"/>
      <c r="G509" s="105"/>
      <c r="H509" s="81"/>
      <c r="I509" s="81"/>
      <c r="J509" s="82"/>
      <c r="K509" s="81"/>
      <c r="L509" s="81"/>
      <c r="M509" s="82"/>
      <c r="N509" s="81"/>
      <c r="O509" s="82"/>
      <c r="P509" s="81"/>
      <c r="Q509" s="82"/>
      <c r="R509" s="81"/>
      <c r="S509" s="105"/>
      <c r="T509" s="81"/>
      <c r="U509" s="81"/>
      <c r="V509" s="81"/>
      <c r="W509" s="81"/>
      <c r="X509" s="81"/>
      <c r="Y509" s="81"/>
      <c r="Z509" s="81"/>
    </row>
    <row r="510" spans="1:26" ht="24" customHeight="1" x14ac:dyDescent="0.5">
      <c r="A510" s="81"/>
      <c r="B510" s="81"/>
      <c r="C510" s="81"/>
      <c r="D510" s="81"/>
      <c r="E510" s="81"/>
      <c r="F510" s="81"/>
      <c r="G510" s="105"/>
      <c r="H510" s="81"/>
      <c r="I510" s="81"/>
      <c r="J510" s="82"/>
      <c r="K510" s="81"/>
      <c r="L510" s="81"/>
      <c r="M510" s="82"/>
      <c r="N510" s="81"/>
      <c r="O510" s="82"/>
      <c r="P510" s="81"/>
      <c r="Q510" s="82"/>
      <c r="R510" s="81"/>
      <c r="S510" s="105"/>
      <c r="T510" s="81"/>
      <c r="U510" s="81"/>
      <c r="V510" s="81"/>
      <c r="W510" s="81"/>
      <c r="X510" s="81"/>
      <c r="Y510" s="81"/>
      <c r="Z510" s="81"/>
    </row>
    <row r="511" spans="1:26" ht="24" customHeight="1" x14ac:dyDescent="0.5">
      <c r="A511" s="81"/>
      <c r="B511" s="81"/>
      <c r="C511" s="81"/>
      <c r="D511" s="81"/>
      <c r="E511" s="81"/>
      <c r="F511" s="81"/>
      <c r="G511" s="105"/>
      <c r="H511" s="81"/>
      <c r="I511" s="81"/>
      <c r="J511" s="82"/>
      <c r="K511" s="81"/>
      <c r="L511" s="81"/>
      <c r="M511" s="82"/>
      <c r="N511" s="81"/>
      <c r="O511" s="82"/>
      <c r="P511" s="81"/>
      <c r="Q511" s="82"/>
      <c r="R511" s="81"/>
      <c r="S511" s="105"/>
      <c r="T511" s="81"/>
      <c r="U511" s="81"/>
      <c r="V511" s="81"/>
      <c r="W511" s="81"/>
      <c r="X511" s="81"/>
      <c r="Y511" s="81"/>
      <c r="Z511" s="81"/>
    </row>
    <row r="512" spans="1:26" ht="24" customHeight="1" x14ac:dyDescent="0.5">
      <c r="A512" s="81"/>
      <c r="B512" s="81"/>
      <c r="C512" s="81"/>
      <c r="D512" s="81"/>
      <c r="E512" s="81"/>
      <c r="F512" s="81"/>
      <c r="G512" s="105"/>
      <c r="H512" s="81"/>
      <c r="I512" s="81"/>
      <c r="J512" s="82"/>
      <c r="K512" s="81"/>
      <c r="L512" s="81"/>
      <c r="M512" s="82"/>
      <c r="N512" s="81"/>
      <c r="O512" s="82"/>
      <c r="P512" s="81"/>
      <c r="Q512" s="82"/>
      <c r="R512" s="81"/>
      <c r="S512" s="105"/>
      <c r="T512" s="81"/>
      <c r="U512" s="81"/>
      <c r="V512" s="81"/>
      <c r="W512" s="81"/>
      <c r="X512" s="81"/>
      <c r="Y512" s="81"/>
      <c r="Z512" s="81"/>
    </row>
    <row r="513" spans="1:26" ht="24" customHeight="1" x14ac:dyDescent="0.5">
      <c r="A513" s="81"/>
      <c r="B513" s="81"/>
      <c r="C513" s="81"/>
      <c r="D513" s="81"/>
      <c r="E513" s="81"/>
      <c r="F513" s="81"/>
      <c r="G513" s="105"/>
      <c r="H513" s="81"/>
      <c r="I513" s="81"/>
      <c r="J513" s="82"/>
      <c r="K513" s="81"/>
      <c r="L513" s="81"/>
      <c r="M513" s="82"/>
      <c r="N513" s="81"/>
      <c r="O513" s="82"/>
      <c r="P513" s="81"/>
      <c r="Q513" s="82"/>
      <c r="R513" s="81"/>
      <c r="S513" s="105"/>
      <c r="T513" s="81"/>
      <c r="U513" s="81"/>
      <c r="V513" s="81"/>
      <c r="W513" s="81"/>
      <c r="X513" s="81"/>
      <c r="Y513" s="81"/>
      <c r="Z513" s="81"/>
    </row>
    <row r="514" spans="1:26" ht="24" customHeight="1" x14ac:dyDescent="0.5">
      <c r="A514" s="81"/>
      <c r="B514" s="81"/>
      <c r="C514" s="81"/>
      <c r="D514" s="81"/>
      <c r="E514" s="81"/>
      <c r="F514" s="81"/>
      <c r="G514" s="105"/>
      <c r="H514" s="81"/>
      <c r="I514" s="81"/>
      <c r="J514" s="82"/>
      <c r="K514" s="81"/>
      <c r="L514" s="81"/>
      <c r="M514" s="82"/>
      <c r="N514" s="81"/>
      <c r="O514" s="82"/>
      <c r="P514" s="81"/>
      <c r="Q514" s="82"/>
      <c r="R514" s="81"/>
      <c r="S514" s="105"/>
      <c r="T514" s="81"/>
      <c r="U514" s="81"/>
      <c r="V514" s="81"/>
      <c r="W514" s="81"/>
      <c r="X514" s="81"/>
      <c r="Y514" s="81"/>
      <c r="Z514" s="81"/>
    </row>
    <row r="515" spans="1:26" ht="24" customHeight="1" x14ac:dyDescent="0.5">
      <c r="A515" s="81"/>
      <c r="B515" s="81"/>
      <c r="C515" s="81"/>
      <c r="D515" s="81"/>
      <c r="E515" s="81"/>
      <c r="F515" s="81"/>
      <c r="G515" s="105"/>
      <c r="H515" s="81"/>
      <c r="I515" s="81"/>
      <c r="J515" s="82"/>
      <c r="K515" s="81"/>
      <c r="L515" s="81"/>
      <c r="M515" s="82"/>
      <c r="N515" s="81"/>
      <c r="O515" s="82"/>
      <c r="P515" s="81"/>
      <c r="Q515" s="82"/>
      <c r="R515" s="81"/>
      <c r="S515" s="105"/>
      <c r="T515" s="81"/>
      <c r="U515" s="81"/>
      <c r="V515" s="81"/>
      <c r="W515" s="81"/>
      <c r="X515" s="81"/>
      <c r="Y515" s="81"/>
      <c r="Z515" s="81"/>
    </row>
    <row r="516" spans="1:26" ht="24" customHeight="1" x14ac:dyDescent="0.5">
      <c r="A516" s="81"/>
      <c r="B516" s="81"/>
      <c r="C516" s="81"/>
      <c r="D516" s="81"/>
      <c r="E516" s="81"/>
      <c r="F516" s="81"/>
      <c r="G516" s="105"/>
      <c r="H516" s="81"/>
      <c r="I516" s="81"/>
      <c r="J516" s="82"/>
      <c r="K516" s="81"/>
      <c r="L516" s="81"/>
      <c r="M516" s="82"/>
      <c r="N516" s="81"/>
      <c r="O516" s="82"/>
      <c r="P516" s="81"/>
      <c r="Q516" s="82"/>
      <c r="R516" s="81"/>
      <c r="S516" s="105"/>
      <c r="T516" s="81"/>
      <c r="U516" s="81"/>
      <c r="V516" s="81"/>
      <c r="W516" s="81"/>
      <c r="X516" s="81"/>
      <c r="Y516" s="81"/>
      <c r="Z516" s="81"/>
    </row>
    <row r="517" spans="1:26" ht="24" customHeight="1" x14ac:dyDescent="0.5">
      <c r="A517" s="81"/>
      <c r="B517" s="81"/>
      <c r="C517" s="81"/>
      <c r="D517" s="81"/>
      <c r="E517" s="81"/>
      <c r="F517" s="81"/>
      <c r="G517" s="105"/>
      <c r="H517" s="81"/>
      <c r="I517" s="81"/>
      <c r="J517" s="82"/>
      <c r="K517" s="81"/>
      <c r="L517" s="81"/>
      <c r="M517" s="82"/>
      <c r="N517" s="81"/>
      <c r="O517" s="82"/>
      <c r="P517" s="81"/>
      <c r="Q517" s="82"/>
      <c r="R517" s="81"/>
      <c r="S517" s="105"/>
      <c r="T517" s="81"/>
      <c r="U517" s="81"/>
      <c r="V517" s="81"/>
      <c r="W517" s="81"/>
      <c r="X517" s="81"/>
      <c r="Y517" s="81"/>
      <c r="Z517" s="81"/>
    </row>
    <row r="518" spans="1:26" ht="24" customHeight="1" x14ac:dyDescent="0.5">
      <c r="A518" s="81"/>
      <c r="B518" s="81"/>
      <c r="C518" s="81"/>
      <c r="D518" s="81"/>
      <c r="E518" s="81"/>
      <c r="F518" s="81"/>
      <c r="G518" s="105"/>
      <c r="H518" s="81"/>
      <c r="I518" s="81"/>
      <c r="J518" s="82"/>
      <c r="K518" s="81"/>
      <c r="L518" s="81"/>
      <c r="M518" s="82"/>
      <c r="N518" s="81"/>
      <c r="O518" s="82"/>
      <c r="P518" s="81"/>
      <c r="Q518" s="82"/>
      <c r="R518" s="81"/>
      <c r="S518" s="105"/>
      <c r="T518" s="81"/>
      <c r="U518" s="81"/>
      <c r="V518" s="81"/>
      <c r="W518" s="81"/>
      <c r="X518" s="81"/>
      <c r="Y518" s="81"/>
      <c r="Z518" s="81"/>
    </row>
    <row r="519" spans="1:26" ht="24" customHeight="1" x14ac:dyDescent="0.5">
      <c r="A519" s="81"/>
      <c r="B519" s="81"/>
      <c r="C519" s="81"/>
      <c r="D519" s="81"/>
      <c r="E519" s="81"/>
      <c r="F519" s="81"/>
      <c r="G519" s="105"/>
      <c r="H519" s="81"/>
      <c r="I519" s="81"/>
      <c r="J519" s="82"/>
      <c r="K519" s="81"/>
      <c r="L519" s="81"/>
      <c r="M519" s="82"/>
      <c r="N519" s="81"/>
      <c r="O519" s="82"/>
      <c r="P519" s="81"/>
      <c r="Q519" s="82"/>
      <c r="R519" s="81"/>
      <c r="S519" s="105"/>
      <c r="T519" s="81"/>
      <c r="U519" s="81"/>
      <c r="V519" s="81"/>
      <c r="W519" s="81"/>
      <c r="X519" s="81"/>
      <c r="Y519" s="81"/>
      <c r="Z519" s="81"/>
    </row>
    <row r="520" spans="1:26" ht="24" customHeight="1" x14ac:dyDescent="0.5">
      <c r="A520" s="81"/>
      <c r="B520" s="81"/>
      <c r="C520" s="81"/>
      <c r="D520" s="81"/>
      <c r="E520" s="81"/>
      <c r="F520" s="81"/>
      <c r="G520" s="105"/>
      <c r="H520" s="81"/>
      <c r="I520" s="81"/>
      <c r="J520" s="82"/>
      <c r="K520" s="81"/>
      <c r="L520" s="81"/>
      <c r="M520" s="82"/>
      <c r="N520" s="81"/>
      <c r="O520" s="82"/>
      <c r="P520" s="81"/>
      <c r="Q520" s="82"/>
      <c r="R520" s="81"/>
      <c r="S520" s="105"/>
      <c r="T520" s="81"/>
      <c r="U520" s="81"/>
      <c r="V520" s="81"/>
      <c r="W520" s="81"/>
      <c r="X520" s="81"/>
      <c r="Y520" s="81"/>
      <c r="Z520" s="81"/>
    </row>
    <row r="521" spans="1:26" ht="24" customHeight="1" x14ac:dyDescent="0.5">
      <c r="A521" s="81"/>
      <c r="B521" s="81"/>
      <c r="C521" s="81"/>
      <c r="D521" s="81"/>
      <c r="E521" s="81"/>
      <c r="F521" s="81"/>
      <c r="G521" s="105"/>
      <c r="H521" s="81"/>
      <c r="I521" s="81"/>
      <c r="J521" s="82"/>
      <c r="K521" s="81"/>
      <c r="L521" s="81"/>
      <c r="M521" s="82"/>
      <c r="N521" s="81"/>
      <c r="O521" s="82"/>
      <c r="P521" s="81"/>
      <c r="Q521" s="82"/>
      <c r="R521" s="81"/>
      <c r="S521" s="105"/>
      <c r="T521" s="81"/>
      <c r="U521" s="81"/>
      <c r="V521" s="81"/>
      <c r="W521" s="81"/>
      <c r="X521" s="81"/>
      <c r="Y521" s="81"/>
      <c r="Z521" s="81"/>
    </row>
    <row r="522" spans="1:26" ht="24" customHeight="1" x14ac:dyDescent="0.5">
      <c r="A522" s="81"/>
      <c r="B522" s="81"/>
      <c r="C522" s="81"/>
      <c r="D522" s="81"/>
      <c r="E522" s="81"/>
      <c r="F522" s="81"/>
      <c r="G522" s="105"/>
      <c r="H522" s="81"/>
      <c r="I522" s="81"/>
      <c r="J522" s="82"/>
      <c r="K522" s="81"/>
      <c r="L522" s="81"/>
      <c r="M522" s="82"/>
      <c r="N522" s="81"/>
      <c r="O522" s="82"/>
      <c r="P522" s="81"/>
      <c r="Q522" s="82"/>
      <c r="R522" s="81"/>
      <c r="S522" s="105"/>
      <c r="T522" s="81"/>
      <c r="U522" s="81"/>
      <c r="V522" s="81"/>
      <c r="W522" s="81"/>
      <c r="X522" s="81"/>
      <c r="Y522" s="81"/>
      <c r="Z522" s="81"/>
    </row>
    <row r="523" spans="1:26" ht="24" customHeight="1" x14ac:dyDescent="0.5">
      <c r="A523" s="81"/>
      <c r="B523" s="81"/>
      <c r="C523" s="81"/>
      <c r="D523" s="81"/>
      <c r="E523" s="81"/>
      <c r="F523" s="81"/>
      <c r="G523" s="105"/>
      <c r="H523" s="81"/>
      <c r="I523" s="81"/>
      <c r="J523" s="82"/>
      <c r="K523" s="81"/>
      <c r="L523" s="81"/>
      <c r="M523" s="82"/>
      <c r="N523" s="81"/>
      <c r="O523" s="82"/>
      <c r="P523" s="81"/>
      <c r="Q523" s="82"/>
      <c r="R523" s="81"/>
      <c r="S523" s="105"/>
      <c r="T523" s="81"/>
      <c r="U523" s="81"/>
      <c r="V523" s="81"/>
      <c r="W523" s="81"/>
      <c r="X523" s="81"/>
      <c r="Y523" s="81"/>
      <c r="Z523" s="81"/>
    </row>
    <row r="524" spans="1:26" ht="24" customHeight="1" x14ac:dyDescent="0.5">
      <c r="A524" s="81"/>
      <c r="B524" s="81"/>
      <c r="C524" s="81"/>
      <c r="D524" s="81"/>
      <c r="E524" s="81"/>
      <c r="F524" s="81"/>
      <c r="G524" s="105"/>
      <c r="H524" s="81"/>
      <c r="I524" s="81"/>
      <c r="J524" s="82"/>
      <c r="K524" s="81"/>
      <c r="L524" s="81"/>
      <c r="M524" s="82"/>
      <c r="N524" s="81"/>
      <c r="O524" s="82"/>
      <c r="P524" s="81"/>
      <c r="Q524" s="82"/>
      <c r="R524" s="81"/>
      <c r="S524" s="105"/>
      <c r="T524" s="81"/>
      <c r="U524" s="81"/>
      <c r="V524" s="81"/>
      <c r="W524" s="81"/>
      <c r="X524" s="81"/>
      <c r="Y524" s="81"/>
      <c r="Z524" s="81"/>
    </row>
    <row r="525" spans="1:26" ht="24" customHeight="1" x14ac:dyDescent="0.5">
      <c r="A525" s="81"/>
      <c r="B525" s="81"/>
      <c r="C525" s="81"/>
      <c r="D525" s="81"/>
      <c r="E525" s="81"/>
      <c r="F525" s="81"/>
      <c r="G525" s="105"/>
      <c r="H525" s="81"/>
      <c r="I525" s="81"/>
      <c r="J525" s="82"/>
      <c r="K525" s="81"/>
      <c r="L525" s="81"/>
      <c r="M525" s="82"/>
      <c r="N525" s="81"/>
      <c r="O525" s="82"/>
      <c r="P525" s="81"/>
      <c r="Q525" s="82"/>
      <c r="R525" s="81"/>
      <c r="S525" s="105"/>
      <c r="T525" s="81"/>
      <c r="U525" s="81"/>
      <c r="V525" s="81"/>
      <c r="W525" s="81"/>
      <c r="X525" s="81"/>
      <c r="Y525" s="81"/>
      <c r="Z525" s="81"/>
    </row>
    <row r="526" spans="1:26" ht="24" customHeight="1" x14ac:dyDescent="0.5">
      <c r="A526" s="81"/>
      <c r="B526" s="81"/>
      <c r="C526" s="81"/>
      <c r="D526" s="81"/>
      <c r="E526" s="81"/>
      <c r="F526" s="81"/>
      <c r="G526" s="105"/>
      <c r="H526" s="81"/>
      <c r="I526" s="81"/>
      <c r="J526" s="82"/>
      <c r="K526" s="81"/>
      <c r="L526" s="81"/>
      <c r="M526" s="82"/>
      <c r="N526" s="81"/>
      <c r="O526" s="82"/>
      <c r="P526" s="81"/>
      <c r="Q526" s="82"/>
      <c r="R526" s="81"/>
      <c r="S526" s="105"/>
      <c r="T526" s="81"/>
      <c r="U526" s="81"/>
      <c r="V526" s="81"/>
      <c r="W526" s="81"/>
      <c r="X526" s="81"/>
      <c r="Y526" s="81"/>
      <c r="Z526" s="81"/>
    </row>
    <row r="527" spans="1:26" ht="24" customHeight="1" x14ac:dyDescent="0.5">
      <c r="A527" s="81"/>
      <c r="B527" s="81"/>
      <c r="C527" s="81"/>
      <c r="D527" s="81"/>
      <c r="E527" s="81"/>
      <c r="F527" s="81"/>
      <c r="G527" s="105"/>
      <c r="H527" s="81"/>
      <c r="I527" s="81"/>
      <c r="J527" s="82"/>
      <c r="K527" s="81"/>
      <c r="L527" s="81"/>
      <c r="M527" s="82"/>
      <c r="N527" s="81"/>
      <c r="O527" s="82"/>
      <c r="P527" s="81"/>
      <c r="Q527" s="82"/>
      <c r="R527" s="81"/>
      <c r="S527" s="105"/>
      <c r="T527" s="81"/>
      <c r="U527" s="81"/>
      <c r="V527" s="81"/>
      <c r="W527" s="81"/>
      <c r="X527" s="81"/>
      <c r="Y527" s="81"/>
      <c r="Z527" s="81"/>
    </row>
    <row r="528" spans="1:26" ht="24" customHeight="1" x14ac:dyDescent="0.5">
      <c r="A528" s="81"/>
      <c r="B528" s="81"/>
      <c r="C528" s="81"/>
      <c r="D528" s="81"/>
      <c r="E528" s="81"/>
      <c r="F528" s="81"/>
      <c r="G528" s="105"/>
      <c r="H528" s="81"/>
      <c r="I528" s="81"/>
      <c r="J528" s="82"/>
      <c r="K528" s="81"/>
      <c r="L528" s="81"/>
      <c r="M528" s="82"/>
      <c r="N528" s="81"/>
      <c r="O528" s="82"/>
      <c r="P528" s="81"/>
      <c r="Q528" s="82"/>
      <c r="R528" s="81"/>
      <c r="S528" s="105"/>
      <c r="T528" s="81"/>
      <c r="U528" s="81"/>
      <c r="V528" s="81"/>
      <c r="W528" s="81"/>
      <c r="X528" s="81"/>
      <c r="Y528" s="81"/>
      <c r="Z528" s="81"/>
    </row>
    <row r="529" spans="1:26" ht="24" customHeight="1" x14ac:dyDescent="0.5">
      <c r="A529" s="81"/>
      <c r="B529" s="81"/>
      <c r="C529" s="81"/>
      <c r="D529" s="81"/>
      <c r="E529" s="81"/>
      <c r="F529" s="81"/>
      <c r="G529" s="105"/>
      <c r="H529" s="81"/>
      <c r="I529" s="81"/>
      <c r="J529" s="82"/>
      <c r="K529" s="81"/>
      <c r="L529" s="81"/>
      <c r="M529" s="82"/>
      <c r="N529" s="81"/>
      <c r="O529" s="82"/>
      <c r="P529" s="81"/>
      <c r="Q529" s="82"/>
      <c r="R529" s="81"/>
      <c r="S529" s="105"/>
      <c r="T529" s="81"/>
      <c r="U529" s="81"/>
      <c r="V529" s="81"/>
      <c r="W529" s="81"/>
      <c r="X529" s="81"/>
      <c r="Y529" s="81"/>
      <c r="Z529" s="81"/>
    </row>
    <row r="530" spans="1:26" ht="24" customHeight="1" x14ac:dyDescent="0.5">
      <c r="A530" s="81"/>
      <c r="B530" s="81"/>
      <c r="C530" s="81"/>
      <c r="D530" s="81"/>
      <c r="E530" s="81"/>
      <c r="F530" s="81"/>
      <c r="G530" s="105"/>
      <c r="H530" s="81"/>
      <c r="I530" s="81"/>
      <c r="J530" s="82"/>
      <c r="K530" s="81"/>
      <c r="L530" s="81"/>
      <c r="M530" s="82"/>
      <c r="N530" s="81"/>
      <c r="O530" s="82"/>
      <c r="P530" s="81"/>
      <c r="Q530" s="82"/>
      <c r="R530" s="81"/>
      <c r="S530" s="105"/>
      <c r="T530" s="81"/>
      <c r="U530" s="81"/>
      <c r="V530" s="81"/>
      <c r="W530" s="81"/>
      <c r="X530" s="81"/>
      <c r="Y530" s="81"/>
      <c r="Z530" s="81"/>
    </row>
    <row r="531" spans="1:26" ht="24" customHeight="1" x14ac:dyDescent="0.5">
      <c r="A531" s="81"/>
      <c r="B531" s="81"/>
      <c r="C531" s="81"/>
      <c r="D531" s="81"/>
      <c r="E531" s="81"/>
      <c r="F531" s="81"/>
      <c r="G531" s="105"/>
      <c r="H531" s="81"/>
      <c r="I531" s="81"/>
      <c r="J531" s="82"/>
      <c r="K531" s="81"/>
      <c r="L531" s="81"/>
      <c r="M531" s="82"/>
      <c r="N531" s="81"/>
      <c r="O531" s="82"/>
      <c r="P531" s="81"/>
      <c r="Q531" s="82"/>
      <c r="R531" s="81"/>
      <c r="S531" s="105"/>
      <c r="T531" s="81"/>
      <c r="U531" s="81"/>
      <c r="V531" s="81"/>
      <c r="W531" s="81"/>
      <c r="X531" s="81"/>
      <c r="Y531" s="81"/>
      <c r="Z531" s="81"/>
    </row>
    <row r="532" spans="1:26" ht="24" customHeight="1" x14ac:dyDescent="0.5">
      <c r="A532" s="81"/>
      <c r="B532" s="81"/>
      <c r="C532" s="81"/>
      <c r="D532" s="81"/>
      <c r="E532" s="81"/>
      <c r="F532" s="81"/>
      <c r="G532" s="105"/>
      <c r="H532" s="81"/>
      <c r="I532" s="81"/>
      <c r="J532" s="82"/>
      <c r="K532" s="81"/>
      <c r="L532" s="81"/>
      <c r="M532" s="82"/>
      <c r="N532" s="81"/>
      <c r="O532" s="82"/>
      <c r="P532" s="81"/>
      <c r="Q532" s="82"/>
      <c r="R532" s="81"/>
      <c r="S532" s="105"/>
      <c r="T532" s="81"/>
      <c r="U532" s="81"/>
      <c r="V532" s="81"/>
      <c r="W532" s="81"/>
      <c r="X532" s="81"/>
      <c r="Y532" s="81"/>
      <c r="Z532" s="81"/>
    </row>
    <row r="533" spans="1:26" ht="24" customHeight="1" x14ac:dyDescent="0.5">
      <c r="A533" s="81"/>
      <c r="B533" s="81"/>
      <c r="C533" s="81"/>
      <c r="D533" s="81"/>
      <c r="E533" s="81"/>
      <c r="F533" s="81"/>
      <c r="G533" s="105"/>
      <c r="H533" s="81"/>
      <c r="I533" s="81"/>
      <c r="J533" s="82"/>
      <c r="K533" s="81"/>
      <c r="L533" s="81"/>
      <c r="M533" s="82"/>
      <c r="N533" s="81"/>
      <c r="O533" s="82"/>
      <c r="P533" s="81"/>
      <c r="Q533" s="82"/>
      <c r="R533" s="81"/>
      <c r="S533" s="105"/>
      <c r="T533" s="81"/>
      <c r="U533" s="81"/>
      <c r="V533" s="81"/>
      <c r="W533" s="81"/>
      <c r="X533" s="81"/>
      <c r="Y533" s="81"/>
      <c r="Z533" s="81"/>
    </row>
    <row r="534" spans="1:26" ht="24" customHeight="1" x14ac:dyDescent="0.5">
      <c r="A534" s="81"/>
      <c r="B534" s="81"/>
      <c r="C534" s="81"/>
      <c r="D534" s="81"/>
      <c r="E534" s="81"/>
      <c r="F534" s="81"/>
      <c r="G534" s="105"/>
      <c r="H534" s="81"/>
      <c r="I534" s="81"/>
      <c r="J534" s="82"/>
      <c r="K534" s="81"/>
      <c r="L534" s="81"/>
      <c r="M534" s="82"/>
      <c r="N534" s="81"/>
      <c r="O534" s="82"/>
      <c r="P534" s="81"/>
      <c r="Q534" s="82"/>
      <c r="R534" s="81"/>
      <c r="S534" s="105"/>
      <c r="T534" s="81"/>
      <c r="U534" s="81"/>
      <c r="V534" s="81"/>
      <c r="W534" s="81"/>
      <c r="X534" s="81"/>
      <c r="Y534" s="81"/>
      <c r="Z534" s="81"/>
    </row>
    <row r="535" spans="1:26" ht="24" customHeight="1" x14ac:dyDescent="0.5">
      <c r="A535" s="81"/>
      <c r="B535" s="81"/>
      <c r="C535" s="81"/>
      <c r="D535" s="81"/>
      <c r="E535" s="81"/>
      <c r="F535" s="81"/>
      <c r="G535" s="105"/>
      <c r="H535" s="81"/>
      <c r="I535" s="81"/>
      <c r="J535" s="82"/>
      <c r="K535" s="81"/>
      <c r="L535" s="81"/>
      <c r="M535" s="82"/>
      <c r="N535" s="81"/>
      <c r="O535" s="82"/>
      <c r="P535" s="81"/>
      <c r="Q535" s="82"/>
      <c r="R535" s="81"/>
      <c r="S535" s="105"/>
      <c r="T535" s="81"/>
      <c r="U535" s="81"/>
      <c r="V535" s="81"/>
      <c r="W535" s="81"/>
      <c r="X535" s="81"/>
      <c r="Y535" s="81"/>
      <c r="Z535" s="81"/>
    </row>
    <row r="536" spans="1:26" ht="24" customHeight="1" x14ac:dyDescent="0.5">
      <c r="A536" s="81"/>
      <c r="B536" s="81"/>
      <c r="C536" s="81"/>
      <c r="D536" s="81"/>
      <c r="E536" s="81"/>
      <c r="F536" s="81"/>
      <c r="G536" s="105"/>
      <c r="H536" s="81"/>
      <c r="I536" s="81"/>
      <c r="J536" s="82"/>
      <c r="K536" s="81"/>
      <c r="L536" s="81"/>
      <c r="M536" s="82"/>
      <c r="N536" s="81"/>
      <c r="O536" s="82"/>
      <c r="P536" s="81"/>
      <c r="Q536" s="82"/>
      <c r="R536" s="81"/>
      <c r="S536" s="105"/>
      <c r="T536" s="81"/>
      <c r="U536" s="81"/>
      <c r="V536" s="81"/>
      <c r="W536" s="81"/>
      <c r="X536" s="81"/>
      <c r="Y536" s="81"/>
      <c r="Z536" s="81"/>
    </row>
    <row r="537" spans="1:26" ht="24" customHeight="1" x14ac:dyDescent="0.5">
      <c r="A537" s="81"/>
      <c r="B537" s="81"/>
      <c r="C537" s="81"/>
      <c r="D537" s="81"/>
      <c r="E537" s="81"/>
      <c r="F537" s="81"/>
      <c r="G537" s="105"/>
      <c r="H537" s="81"/>
      <c r="I537" s="81"/>
      <c r="J537" s="82"/>
      <c r="K537" s="81"/>
      <c r="L537" s="81"/>
      <c r="M537" s="82"/>
      <c r="N537" s="81"/>
      <c r="O537" s="82"/>
      <c r="P537" s="81"/>
      <c r="Q537" s="82"/>
      <c r="R537" s="81"/>
      <c r="S537" s="105"/>
      <c r="T537" s="81"/>
      <c r="U537" s="81"/>
      <c r="V537" s="81"/>
      <c r="W537" s="81"/>
      <c r="X537" s="81"/>
      <c r="Y537" s="81"/>
      <c r="Z537" s="81"/>
    </row>
    <row r="538" spans="1:26" ht="24" customHeight="1" x14ac:dyDescent="0.5">
      <c r="A538" s="81"/>
      <c r="B538" s="81"/>
      <c r="C538" s="81"/>
      <c r="D538" s="81"/>
      <c r="E538" s="81"/>
      <c r="F538" s="81"/>
      <c r="G538" s="105"/>
      <c r="H538" s="81"/>
      <c r="I538" s="81"/>
      <c r="J538" s="82"/>
      <c r="K538" s="81"/>
      <c r="L538" s="81"/>
      <c r="M538" s="82"/>
      <c r="N538" s="81"/>
      <c r="O538" s="82"/>
      <c r="P538" s="81"/>
      <c r="Q538" s="82"/>
      <c r="R538" s="81"/>
      <c r="S538" s="105"/>
      <c r="T538" s="81"/>
      <c r="U538" s="81"/>
      <c r="V538" s="81"/>
      <c r="W538" s="81"/>
      <c r="X538" s="81"/>
      <c r="Y538" s="81"/>
      <c r="Z538" s="81"/>
    </row>
    <row r="539" spans="1:26" ht="24" customHeight="1" x14ac:dyDescent="0.5">
      <c r="A539" s="81"/>
      <c r="B539" s="81"/>
      <c r="C539" s="81"/>
      <c r="D539" s="81"/>
      <c r="E539" s="81"/>
      <c r="F539" s="81"/>
      <c r="G539" s="105"/>
      <c r="H539" s="81"/>
      <c r="I539" s="81"/>
      <c r="J539" s="82"/>
      <c r="K539" s="81"/>
      <c r="L539" s="81"/>
      <c r="M539" s="82"/>
      <c r="N539" s="81"/>
      <c r="O539" s="82"/>
      <c r="P539" s="81"/>
      <c r="Q539" s="82"/>
      <c r="R539" s="81"/>
      <c r="S539" s="105"/>
      <c r="T539" s="81"/>
      <c r="U539" s="81"/>
      <c r="V539" s="81"/>
      <c r="W539" s="81"/>
      <c r="X539" s="81"/>
      <c r="Y539" s="81"/>
      <c r="Z539" s="81"/>
    </row>
    <row r="540" spans="1:26" ht="24" customHeight="1" x14ac:dyDescent="0.5">
      <c r="A540" s="81"/>
      <c r="B540" s="81"/>
      <c r="C540" s="81"/>
      <c r="D540" s="81"/>
      <c r="E540" s="81"/>
      <c r="F540" s="81"/>
      <c r="G540" s="105"/>
      <c r="H540" s="81"/>
      <c r="I540" s="81"/>
      <c r="J540" s="82"/>
      <c r="K540" s="81"/>
      <c r="L540" s="81"/>
      <c r="M540" s="82"/>
      <c r="N540" s="81"/>
      <c r="O540" s="82"/>
      <c r="P540" s="81"/>
      <c r="Q540" s="82"/>
      <c r="R540" s="81"/>
      <c r="S540" s="105"/>
      <c r="T540" s="81"/>
      <c r="U540" s="81"/>
      <c r="V540" s="81"/>
      <c r="W540" s="81"/>
      <c r="X540" s="81"/>
      <c r="Y540" s="81"/>
      <c r="Z540" s="81"/>
    </row>
    <row r="541" spans="1:26" ht="24" customHeight="1" x14ac:dyDescent="0.5">
      <c r="A541" s="81"/>
      <c r="B541" s="81"/>
      <c r="C541" s="81"/>
      <c r="D541" s="81"/>
      <c r="E541" s="81"/>
      <c r="F541" s="81"/>
      <c r="G541" s="105"/>
      <c r="H541" s="81"/>
      <c r="I541" s="81"/>
      <c r="J541" s="82"/>
      <c r="K541" s="81"/>
      <c r="L541" s="81"/>
      <c r="M541" s="82"/>
      <c r="N541" s="81"/>
      <c r="O541" s="82"/>
      <c r="P541" s="81"/>
      <c r="Q541" s="82"/>
      <c r="R541" s="81"/>
      <c r="S541" s="105"/>
      <c r="T541" s="81"/>
      <c r="U541" s="81"/>
      <c r="V541" s="81"/>
      <c r="W541" s="81"/>
      <c r="X541" s="81"/>
      <c r="Y541" s="81"/>
      <c r="Z541" s="81"/>
    </row>
    <row r="542" spans="1:26" ht="24" customHeight="1" x14ac:dyDescent="0.5">
      <c r="A542" s="81"/>
      <c r="B542" s="81"/>
      <c r="C542" s="81"/>
      <c r="D542" s="81"/>
      <c r="E542" s="81"/>
      <c r="F542" s="81"/>
      <c r="G542" s="105"/>
      <c r="H542" s="81"/>
      <c r="I542" s="81"/>
      <c r="J542" s="82"/>
      <c r="K542" s="81"/>
      <c r="L542" s="81"/>
      <c r="M542" s="82"/>
      <c r="N542" s="81"/>
      <c r="O542" s="82"/>
      <c r="P542" s="81"/>
      <c r="Q542" s="82"/>
      <c r="R542" s="81"/>
      <c r="S542" s="105"/>
      <c r="T542" s="81"/>
      <c r="U542" s="81"/>
      <c r="V542" s="81"/>
      <c r="W542" s="81"/>
      <c r="X542" s="81"/>
      <c r="Y542" s="81"/>
      <c r="Z542" s="81"/>
    </row>
    <row r="543" spans="1:26" ht="24" customHeight="1" x14ac:dyDescent="0.5">
      <c r="A543" s="81"/>
      <c r="B543" s="81"/>
      <c r="C543" s="81"/>
      <c r="D543" s="81"/>
      <c r="E543" s="81"/>
      <c r="F543" s="81"/>
      <c r="G543" s="105"/>
      <c r="H543" s="81"/>
      <c r="I543" s="81"/>
      <c r="J543" s="82"/>
      <c r="K543" s="81"/>
      <c r="L543" s="81"/>
      <c r="M543" s="82"/>
      <c r="N543" s="81"/>
      <c r="O543" s="82"/>
      <c r="P543" s="81"/>
      <c r="Q543" s="82"/>
      <c r="R543" s="81"/>
      <c r="S543" s="105"/>
      <c r="T543" s="81"/>
      <c r="U543" s="81"/>
      <c r="V543" s="81"/>
      <c r="W543" s="81"/>
      <c r="X543" s="81"/>
      <c r="Y543" s="81"/>
      <c r="Z543" s="81"/>
    </row>
    <row r="544" spans="1:26" ht="24" customHeight="1" x14ac:dyDescent="0.5">
      <c r="A544" s="81"/>
      <c r="B544" s="81"/>
      <c r="C544" s="81"/>
      <c r="D544" s="81"/>
      <c r="E544" s="81"/>
      <c r="F544" s="81"/>
      <c r="G544" s="105"/>
      <c r="H544" s="81"/>
      <c r="I544" s="81"/>
      <c r="J544" s="82"/>
      <c r="K544" s="81"/>
      <c r="L544" s="81"/>
      <c r="M544" s="82"/>
      <c r="N544" s="81"/>
      <c r="O544" s="82"/>
      <c r="P544" s="81"/>
      <c r="Q544" s="82"/>
      <c r="R544" s="81"/>
      <c r="S544" s="105"/>
      <c r="T544" s="81"/>
      <c r="U544" s="81"/>
      <c r="V544" s="81"/>
      <c r="W544" s="81"/>
      <c r="X544" s="81"/>
      <c r="Y544" s="81"/>
      <c r="Z544" s="81"/>
    </row>
    <row r="545" spans="1:26" ht="24" customHeight="1" x14ac:dyDescent="0.5">
      <c r="A545" s="81"/>
      <c r="B545" s="81"/>
      <c r="C545" s="81"/>
      <c r="D545" s="81"/>
      <c r="E545" s="81"/>
      <c r="F545" s="81"/>
      <c r="G545" s="105"/>
      <c r="H545" s="81"/>
      <c r="I545" s="81"/>
      <c r="J545" s="82"/>
      <c r="K545" s="81"/>
      <c r="L545" s="81"/>
      <c r="M545" s="82"/>
      <c r="N545" s="81"/>
      <c r="O545" s="82"/>
      <c r="P545" s="81"/>
      <c r="Q545" s="82"/>
      <c r="R545" s="81"/>
      <c r="S545" s="105"/>
      <c r="T545" s="81"/>
      <c r="U545" s="81"/>
      <c r="V545" s="81"/>
      <c r="W545" s="81"/>
      <c r="X545" s="81"/>
      <c r="Y545" s="81"/>
      <c r="Z545" s="81"/>
    </row>
    <row r="546" spans="1:26" ht="24" customHeight="1" x14ac:dyDescent="0.5">
      <c r="A546" s="81"/>
      <c r="B546" s="81"/>
      <c r="C546" s="81"/>
      <c r="D546" s="81"/>
      <c r="E546" s="81"/>
      <c r="F546" s="81"/>
      <c r="G546" s="105"/>
      <c r="H546" s="81"/>
      <c r="I546" s="81"/>
      <c r="J546" s="82"/>
      <c r="K546" s="81"/>
      <c r="L546" s="81"/>
      <c r="M546" s="82"/>
      <c r="N546" s="81"/>
      <c r="O546" s="82"/>
      <c r="P546" s="81"/>
      <c r="Q546" s="82"/>
      <c r="R546" s="81"/>
      <c r="S546" s="105"/>
      <c r="T546" s="81"/>
      <c r="U546" s="81"/>
      <c r="V546" s="81"/>
      <c r="W546" s="81"/>
      <c r="X546" s="81"/>
      <c r="Y546" s="81"/>
      <c r="Z546" s="81"/>
    </row>
    <row r="547" spans="1:26" ht="24" customHeight="1" x14ac:dyDescent="0.5">
      <c r="A547" s="81"/>
      <c r="B547" s="81"/>
      <c r="C547" s="81"/>
      <c r="D547" s="81"/>
      <c r="E547" s="81"/>
      <c r="F547" s="81"/>
      <c r="G547" s="105"/>
      <c r="H547" s="81"/>
      <c r="I547" s="81"/>
      <c r="J547" s="82"/>
      <c r="K547" s="81"/>
      <c r="L547" s="81"/>
      <c r="M547" s="82"/>
      <c r="N547" s="81"/>
      <c r="O547" s="82"/>
      <c r="P547" s="81"/>
      <c r="Q547" s="82"/>
      <c r="R547" s="81"/>
      <c r="S547" s="105"/>
      <c r="T547" s="81"/>
      <c r="U547" s="81"/>
      <c r="V547" s="81"/>
      <c r="W547" s="81"/>
      <c r="X547" s="81"/>
      <c r="Y547" s="81"/>
      <c r="Z547" s="81"/>
    </row>
    <row r="548" spans="1:26" ht="24" customHeight="1" x14ac:dyDescent="0.5">
      <c r="A548" s="81"/>
      <c r="B548" s="81"/>
      <c r="C548" s="81"/>
      <c r="D548" s="81"/>
      <c r="E548" s="81"/>
      <c r="F548" s="81"/>
      <c r="G548" s="105"/>
      <c r="H548" s="81"/>
      <c r="I548" s="81"/>
      <c r="J548" s="82"/>
      <c r="K548" s="81"/>
      <c r="L548" s="81"/>
      <c r="M548" s="82"/>
      <c r="N548" s="81"/>
      <c r="O548" s="82"/>
      <c r="P548" s="81"/>
      <c r="Q548" s="82"/>
      <c r="R548" s="81"/>
      <c r="S548" s="105"/>
      <c r="T548" s="81"/>
      <c r="U548" s="81"/>
      <c r="V548" s="81"/>
      <c r="W548" s="81"/>
      <c r="X548" s="81"/>
      <c r="Y548" s="81"/>
      <c r="Z548" s="81"/>
    </row>
    <row r="549" spans="1:26" ht="24" customHeight="1" x14ac:dyDescent="0.5">
      <c r="A549" s="81"/>
      <c r="B549" s="81"/>
      <c r="C549" s="81"/>
      <c r="D549" s="81"/>
      <c r="E549" s="81"/>
      <c r="F549" s="81"/>
      <c r="G549" s="105"/>
      <c r="H549" s="81"/>
      <c r="I549" s="81"/>
      <c r="J549" s="82"/>
      <c r="K549" s="81"/>
      <c r="L549" s="81"/>
      <c r="M549" s="82"/>
      <c r="N549" s="81"/>
      <c r="O549" s="82"/>
      <c r="P549" s="81"/>
      <c r="Q549" s="82"/>
      <c r="R549" s="81"/>
      <c r="S549" s="105"/>
      <c r="T549" s="81"/>
      <c r="U549" s="81"/>
      <c r="V549" s="81"/>
      <c r="W549" s="81"/>
      <c r="X549" s="81"/>
      <c r="Y549" s="81"/>
      <c r="Z549" s="81"/>
    </row>
    <row r="550" spans="1:26" ht="24" customHeight="1" x14ac:dyDescent="0.5">
      <c r="A550" s="81"/>
      <c r="B550" s="81"/>
      <c r="C550" s="81"/>
      <c r="D550" s="81"/>
      <c r="E550" s="81"/>
      <c r="F550" s="81"/>
      <c r="G550" s="105"/>
      <c r="H550" s="81"/>
      <c r="I550" s="81"/>
      <c r="J550" s="82"/>
      <c r="K550" s="81"/>
      <c r="L550" s="81"/>
      <c r="M550" s="82"/>
      <c r="N550" s="81"/>
      <c r="O550" s="82"/>
      <c r="P550" s="81"/>
      <c r="Q550" s="82"/>
      <c r="R550" s="81"/>
      <c r="S550" s="105"/>
      <c r="T550" s="81"/>
      <c r="U550" s="81"/>
      <c r="V550" s="81"/>
      <c r="W550" s="81"/>
      <c r="X550" s="81"/>
      <c r="Y550" s="81"/>
      <c r="Z550" s="81"/>
    </row>
    <row r="551" spans="1:26" ht="24" customHeight="1" x14ac:dyDescent="0.5">
      <c r="A551" s="81"/>
      <c r="B551" s="81"/>
      <c r="C551" s="81"/>
      <c r="D551" s="81"/>
      <c r="E551" s="81"/>
      <c r="F551" s="81"/>
      <c r="G551" s="105"/>
      <c r="H551" s="81"/>
      <c r="I551" s="81"/>
      <c r="J551" s="82"/>
      <c r="K551" s="81"/>
      <c r="L551" s="81"/>
      <c r="M551" s="82"/>
      <c r="N551" s="81"/>
      <c r="O551" s="82"/>
      <c r="P551" s="81"/>
      <c r="Q551" s="82"/>
      <c r="R551" s="81"/>
      <c r="S551" s="105"/>
      <c r="T551" s="81"/>
      <c r="U551" s="81"/>
      <c r="V551" s="81"/>
      <c r="W551" s="81"/>
      <c r="X551" s="81"/>
      <c r="Y551" s="81"/>
      <c r="Z551" s="81"/>
    </row>
    <row r="552" spans="1:26" ht="24" customHeight="1" x14ac:dyDescent="0.5">
      <c r="A552" s="81"/>
      <c r="B552" s="81"/>
      <c r="C552" s="81"/>
      <c r="D552" s="81"/>
      <c r="E552" s="81"/>
      <c r="F552" s="81"/>
      <c r="G552" s="105"/>
      <c r="H552" s="81"/>
      <c r="I552" s="81"/>
      <c r="J552" s="82"/>
      <c r="K552" s="81"/>
      <c r="L552" s="81"/>
      <c r="M552" s="82"/>
      <c r="N552" s="81"/>
      <c r="O552" s="82"/>
      <c r="P552" s="81"/>
      <c r="Q552" s="82"/>
      <c r="R552" s="81"/>
      <c r="S552" s="105"/>
      <c r="T552" s="81"/>
      <c r="U552" s="81"/>
      <c r="V552" s="81"/>
      <c r="W552" s="81"/>
      <c r="X552" s="81"/>
      <c r="Y552" s="81"/>
      <c r="Z552" s="81"/>
    </row>
    <row r="553" spans="1:26" ht="24" customHeight="1" x14ac:dyDescent="0.5">
      <c r="A553" s="81"/>
      <c r="B553" s="81"/>
      <c r="C553" s="81"/>
      <c r="D553" s="81"/>
      <c r="E553" s="81"/>
      <c r="F553" s="81"/>
      <c r="G553" s="105"/>
      <c r="H553" s="81"/>
      <c r="I553" s="81"/>
      <c r="J553" s="82"/>
      <c r="K553" s="81"/>
      <c r="L553" s="81"/>
      <c r="M553" s="82"/>
      <c r="N553" s="81"/>
      <c r="O553" s="82"/>
      <c r="P553" s="81"/>
      <c r="Q553" s="82"/>
      <c r="R553" s="81"/>
      <c r="S553" s="105"/>
      <c r="T553" s="81"/>
      <c r="U553" s="81"/>
      <c r="V553" s="81"/>
      <c r="W553" s="81"/>
      <c r="X553" s="81"/>
      <c r="Y553" s="81"/>
      <c r="Z553" s="81"/>
    </row>
    <row r="554" spans="1:26" ht="24" customHeight="1" x14ac:dyDescent="0.5">
      <c r="A554" s="81"/>
      <c r="B554" s="81"/>
      <c r="C554" s="81"/>
      <c r="D554" s="81"/>
      <c r="E554" s="81"/>
      <c r="F554" s="81"/>
      <c r="G554" s="105"/>
      <c r="H554" s="81"/>
      <c r="I554" s="81"/>
      <c r="J554" s="82"/>
      <c r="K554" s="81"/>
      <c r="L554" s="81"/>
      <c r="M554" s="82"/>
      <c r="N554" s="81"/>
      <c r="O554" s="82"/>
      <c r="P554" s="81"/>
      <c r="Q554" s="82"/>
      <c r="R554" s="81"/>
      <c r="S554" s="105"/>
      <c r="T554" s="81"/>
      <c r="U554" s="81"/>
      <c r="V554" s="81"/>
      <c r="W554" s="81"/>
      <c r="X554" s="81"/>
      <c r="Y554" s="81"/>
      <c r="Z554" s="81"/>
    </row>
    <row r="555" spans="1:26" ht="24" customHeight="1" x14ac:dyDescent="0.5">
      <c r="A555" s="81"/>
      <c r="B555" s="81"/>
      <c r="C555" s="81"/>
      <c r="D555" s="81"/>
      <c r="E555" s="81"/>
      <c r="F555" s="81"/>
      <c r="G555" s="105"/>
      <c r="H555" s="81"/>
      <c r="I555" s="81"/>
      <c r="J555" s="82"/>
      <c r="K555" s="81"/>
      <c r="L555" s="81"/>
      <c r="M555" s="82"/>
      <c r="N555" s="81"/>
      <c r="O555" s="82"/>
      <c r="P555" s="81"/>
      <c r="Q555" s="82"/>
      <c r="R555" s="81"/>
      <c r="S555" s="105"/>
      <c r="T555" s="81"/>
      <c r="U555" s="81"/>
      <c r="V555" s="81"/>
      <c r="W555" s="81"/>
      <c r="X555" s="81"/>
      <c r="Y555" s="81"/>
      <c r="Z555" s="81"/>
    </row>
    <row r="556" spans="1:26" ht="24" customHeight="1" x14ac:dyDescent="0.5">
      <c r="A556" s="81"/>
      <c r="B556" s="81"/>
      <c r="C556" s="81"/>
      <c r="D556" s="81"/>
      <c r="E556" s="81"/>
      <c r="F556" s="81"/>
      <c r="G556" s="105"/>
      <c r="H556" s="81"/>
      <c r="I556" s="81"/>
      <c r="J556" s="82"/>
      <c r="K556" s="81"/>
      <c r="L556" s="81"/>
      <c r="M556" s="82"/>
      <c r="N556" s="81"/>
      <c r="O556" s="82"/>
      <c r="P556" s="81"/>
      <c r="Q556" s="82"/>
      <c r="R556" s="81"/>
      <c r="S556" s="105"/>
      <c r="T556" s="81"/>
      <c r="U556" s="81"/>
      <c r="V556" s="81"/>
      <c r="W556" s="81"/>
      <c r="X556" s="81"/>
      <c r="Y556" s="81"/>
      <c r="Z556" s="81"/>
    </row>
    <row r="557" spans="1:26" ht="24" customHeight="1" x14ac:dyDescent="0.5">
      <c r="A557" s="81"/>
      <c r="B557" s="81"/>
      <c r="C557" s="81"/>
      <c r="D557" s="81"/>
      <c r="E557" s="81"/>
      <c r="F557" s="81"/>
      <c r="G557" s="105"/>
      <c r="H557" s="81"/>
      <c r="I557" s="81"/>
      <c r="J557" s="82"/>
      <c r="K557" s="81"/>
      <c r="L557" s="81"/>
      <c r="M557" s="82"/>
      <c r="N557" s="81"/>
      <c r="O557" s="82"/>
      <c r="P557" s="81"/>
      <c r="Q557" s="82"/>
      <c r="R557" s="81"/>
      <c r="S557" s="105"/>
      <c r="T557" s="81"/>
      <c r="U557" s="81"/>
      <c r="V557" s="81"/>
      <c r="W557" s="81"/>
      <c r="X557" s="81"/>
      <c r="Y557" s="81"/>
      <c r="Z557" s="81"/>
    </row>
    <row r="558" spans="1:26" ht="24" customHeight="1" x14ac:dyDescent="0.5">
      <c r="A558" s="81"/>
      <c r="B558" s="81"/>
      <c r="C558" s="81"/>
      <c r="D558" s="81"/>
      <c r="E558" s="81"/>
      <c r="F558" s="81"/>
      <c r="G558" s="105"/>
      <c r="H558" s="81"/>
      <c r="I558" s="81"/>
      <c r="J558" s="82"/>
      <c r="K558" s="81"/>
      <c r="L558" s="81"/>
      <c r="M558" s="82"/>
      <c r="N558" s="81"/>
      <c r="O558" s="82"/>
      <c r="P558" s="81"/>
      <c r="Q558" s="82"/>
      <c r="R558" s="81"/>
      <c r="S558" s="105"/>
      <c r="T558" s="81"/>
      <c r="U558" s="81"/>
      <c r="V558" s="81"/>
      <c r="W558" s="81"/>
      <c r="X558" s="81"/>
      <c r="Y558" s="81"/>
      <c r="Z558" s="81"/>
    </row>
    <row r="559" spans="1:26" ht="24" customHeight="1" x14ac:dyDescent="0.5">
      <c r="A559" s="81"/>
      <c r="B559" s="81"/>
      <c r="C559" s="81"/>
      <c r="D559" s="81"/>
      <c r="E559" s="81"/>
      <c r="F559" s="81"/>
      <c r="G559" s="105"/>
      <c r="H559" s="81"/>
      <c r="I559" s="81"/>
      <c r="J559" s="82"/>
      <c r="K559" s="81"/>
      <c r="L559" s="81"/>
      <c r="M559" s="82"/>
      <c r="N559" s="81"/>
      <c r="O559" s="82"/>
      <c r="P559" s="81"/>
      <c r="Q559" s="82"/>
      <c r="R559" s="81"/>
      <c r="S559" s="105"/>
      <c r="T559" s="81"/>
      <c r="U559" s="81"/>
      <c r="V559" s="81"/>
      <c r="W559" s="81"/>
      <c r="X559" s="81"/>
      <c r="Y559" s="81"/>
      <c r="Z559" s="81"/>
    </row>
    <row r="560" spans="1:26" ht="24" customHeight="1" x14ac:dyDescent="0.5">
      <c r="A560" s="81"/>
      <c r="B560" s="81"/>
      <c r="C560" s="81"/>
      <c r="D560" s="81"/>
      <c r="E560" s="81"/>
      <c r="F560" s="81"/>
      <c r="G560" s="105"/>
      <c r="H560" s="81"/>
      <c r="I560" s="81"/>
      <c r="J560" s="82"/>
      <c r="K560" s="81"/>
      <c r="L560" s="81"/>
      <c r="M560" s="82"/>
      <c r="N560" s="81"/>
      <c r="O560" s="82"/>
      <c r="P560" s="81"/>
      <c r="Q560" s="82"/>
      <c r="R560" s="81"/>
      <c r="S560" s="105"/>
      <c r="T560" s="81"/>
      <c r="U560" s="81"/>
      <c r="V560" s="81"/>
      <c r="W560" s="81"/>
      <c r="X560" s="81"/>
      <c r="Y560" s="81"/>
      <c r="Z560" s="81"/>
    </row>
    <row r="561" spans="1:26" ht="24" customHeight="1" x14ac:dyDescent="0.5">
      <c r="A561" s="81"/>
      <c r="B561" s="81"/>
      <c r="C561" s="81"/>
      <c r="D561" s="81"/>
      <c r="E561" s="81"/>
      <c r="F561" s="81"/>
      <c r="G561" s="105"/>
      <c r="H561" s="81"/>
      <c r="I561" s="81"/>
      <c r="J561" s="82"/>
      <c r="K561" s="81"/>
      <c r="L561" s="81"/>
      <c r="M561" s="82"/>
      <c r="N561" s="81"/>
      <c r="O561" s="82"/>
      <c r="P561" s="81"/>
      <c r="Q561" s="82"/>
      <c r="R561" s="81"/>
      <c r="S561" s="105"/>
      <c r="T561" s="81"/>
      <c r="U561" s="81"/>
      <c r="V561" s="81"/>
      <c r="W561" s="81"/>
      <c r="X561" s="81"/>
      <c r="Y561" s="81"/>
      <c r="Z561" s="81"/>
    </row>
    <row r="562" spans="1:26" ht="24" customHeight="1" x14ac:dyDescent="0.5">
      <c r="A562" s="81"/>
      <c r="B562" s="81"/>
      <c r="C562" s="81"/>
      <c r="D562" s="81"/>
      <c r="E562" s="81"/>
      <c r="F562" s="81"/>
      <c r="G562" s="105"/>
      <c r="H562" s="81"/>
      <c r="I562" s="81"/>
      <c r="J562" s="82"/>
      <c r="K562" s="81"/>
      <c r="L562" s="81"/>
      <c r="M562" s="82"/>
      <c r="N562" s="81"/>
      <c r="O562" s="82"/>
      <c r="P562" s="81"/>
      <c r="Q562" s="82"/>
      <c r="R562" s="81"/>
      <c r="S562" s="105"/>
      <c r="T562" s="81"/>
      <c r="U562" s="81"/>
      <c r="V562" s="81"/>
      <c r="W562" s="81"/>
      <c r="X562" s="81"/>
      <c r="Y562" s="81"/>
      <c r="Z562" s="81"/>
    </row>
    <row r="563" spans="1:26" ht="24" customHeight="1" x14ac:dyDescent="0.5">
      <c r="A563" s="81"/>
      <c r="B563" s="81"/>
      <c r="C563" s="81"/>
      <c r="D563" s="81"/>
      <c r="E563" s="81"/>
      <c r="F563" s="81"/>
      <c r="G563" s="105"/>
      <c r="H563" s="81"/>
      <c r="I563" s="81"/>
      <c r="J563" s="82"/>
      <c r="K563" s="81"/>
      <c r="L563" s="81"/>
      <c r="M563" s="82"/>
      <c r="N563" s="81"/>
      <c r="O563" s="82"/>
      <c r="P563" s="81"/>
      <c r="Q563" s="82"/>
      <c r="R563" s="81"/>
      <c r="S563" s="105"/>
      <c r="T563" s="81"/>
      <c r="U563" s="81"/>
      <c r="V563" s="81"/>
      <c r="W563" s="81"/>
      <c r="X563" s="81"/>
      <c r="Y563" s="81"/>
      <c r="Z563" s="81"/>
    </row>
    <row r="564" spans="1:26" ht="24" customHeight="1" x14ac:dyDescent="0.5">
      <c r="A564" s="81"/>
      <c r="B564" s="81"/>
      <c r="C564" s="81"/>
      <c r="D564" s="81"/>
      <c r="E564" s="81"/>
      <c r="F564" s="81"/>
      <c r="G564" s="105"/>
      <c r="H564" s="81"/>
      <c r="I564" s="81"/>
      <c r="J564" s="82"/>
      <c r="K564" s="81"/>
      <c r="L564" s="81"/>
      <c r="M564" s="82"/>
      <c r="N564" s="81"/>
      <c r="O564" s="82"/>
      <c r="P564" s="81"/>
      <c r="Q564" s="82"/>
      <c r="R564" s="81"/>
      <c r="S564" s="105"/>
      <c r="T564" s="81"/>
      <c r="U564" s="81"/>
      <c r="V564" s="81"/>
      <c r="W564" s="81"/>
      <c r="X564" s="81"/>
      <c r="Y564" s="81"/>
      <c r="Z564" s="81"/>
    </row>
    <row r="565" spans="1:26" ht="24" customHeight="1" x14ac:dyDescent="0.5">
      <c r="A565" s="81"/>
      <c r="B565" s="81"/>
      <c r="C565" s="81"/>
      <c r="D565" s="81"/>
      <c r="E565" s="81"/>
      <c r="F565" s="81"/>
      <c r="G565" s="105"/>
      <c r="H565" s="81"/>
      <c r="I565" s="81"/>
      <c r="J565" s="82"/>
      <c r="K565" s="81"/>
      <c r="L565" s="81"/>
      <c r="M565" s="82"/>
      <c r="N565" s="81"/>
      <c r="O565" s="82"/>
      <c r="P565" s="81"/>
      <c r="Q565" s="82"/>
      <c r="R565" s="81"/>
      <c r="S565" s="105"/>
      <c r="T565" s="81"/>
      <c r="U565" s="81"/>
      <c r="V565" s="81"/>
      <c r="W565" s="81"/>
      <c r="X565" s="81"/>
      <c r="Y565" s="81"/>
      <c r="Z565" s="81"/>
    </row>
    <row r="566" spans="1:26" ht="24" customHeight="1" x14ac:dyDescent="0.5">
      <c r="A566" s="81"/>
      <c r="B566" s="81"/>
      <c r="C566" s="81"/>
      <c r="D566" s="81"/>
      <c r="E566" s="81"/>
      <c r="F566" s="81"/>
      <c r="G566" s="105"/>
      <c r="H566" s="81"/>
      <c r="I566" s="81"/>
      <c r="J566" s="82"/>
      <c r="K566" s="81"/>
      <c r="L566" s="81"/>
      <c r="M566" s="82"/>
      <c r="N566" s="81"/>
      <c r="O566" s="82"/>
      <c r="P566" s="81"/>
      <c r="Q566" s="82"/>
      <c r="R566" s="81"/>
      <c r="S566" s="105"/>
      <c r="T566" s="81"/>
      <c r="U566" s="81"/>
      <c r="V566" s="81"/>
      <c r="W566" s="81"/>
      <c r="X566" s="81"/>
      <c r="Y566" s="81"/>
      <c r="Z566" s="81"/>
    </row>
    <row r="567" spans="1:26" ht="24" customHeight="1" x14ac:dyDescent="0.5">
      <c r="A567" s="81"/>
      <c r="B567" s="81"/>
      <c r="C567" s="81"/>
      <c r="D567" s="81"/>
      <c r="E567" s="81"/>
      <c r="F567" s="81"/>
      <c r="G567" s="105"/>
      <c r="H567" s="81"/>
      <c r="I567" s="81"/>
      <c r="J567" s="82"/>
      <c r="K567" s="81"/>
      <c r="L567" s="81"/>
      <c r="M567" s="82"/>
      <c r="N567" s="81"/>
      <c r="O567" s="82"/>
      <c r="P567" s="81"/>
      <c r="Q567" s="82"/>
      <c r="R567" s="81"/>
      <c r="S567" s="105"/>
      <c r="T567" s="81"/>
      <c r="U567" s="81"/>
      <c r="V567" s="81"/>
      <c r="W567" s="81"/>
      <c r="X567" s="81"/>
      <c r="Y567" s="81"/>
      <c r="Z567" s="81"/>
    </row>
    <row r="568" spans="1:26" ht="24" customHeight="1" x14ac:dyDescent="0.5">
      <c r="A568" s="81"/>
      <c r="B568" s="81"/>
      <c r="C568" s="81"/>
      <c r="D568" s="81"/>
      <c r="E568" s="81"/>
      <c r="F568" s="81"/>
      <c r="G568" s="105"/>
      <c r="H568" s="81"/>
      <c r="I568" s="81"/>
      <c r="J568" s="82"/>
      <c r="K568" s="81"/>
      <c r="L568" s="81"/>
      <c r="M568" s="82"/>
      <c r="N568" s="81"/>
      <c r="O568" s="82"/>
      <c r="P568" s="81"/>
      <c r="Q568" s="82"/>
      <c r="R568" s="81"/>
      <c r="S568" s="105"/>
      <c r="T568" s="81"/>
      <c r="U568" s="81"/>
      <c r="V568" s="81"/>
      <c r="W568" s="81"/>
      <c r="X568" s="81"/>
      <c r="Y568" s="81"/>
      <c r="Z568" s="81"/>
    </row>
    <row r="569" spans="1:26" ht="24" customHeight="1" x14ac:dyDescent="0.5">
      <c r="A569" s="81"/>
      <c r="B569" s="81"/>
      <c r="C569" s="81"/>
      <c r="D569" s="81"/>
      <c r="E569" s="81"/>
      <c r="F569" s="81"/>
      <c r="G569" s="105"/>
      <c r="H569" s="81"/>
      <c r="I569" s="81"/>
      <c r="J569" s="82"/>
      <c r="K569" s="81"/>
      <c r="L569" s="81"/>
      <c r="M569" s="82"/>
      <c r="N569" s="81"/>
      <c r="O569" s="82"/>
      <c r="P569" s="81"/>
      <c r="Q569" s="82"/>
      <c r="R569" s="81"/>
      <c r="S569" s="105"/>
      <c r="T569" s="81"/>
      <c r="U569" s="81"/>
      <c r="V569" s="81"/>
      <c r="W569" s="81"/>
      <c r="X569" s="81"/>
      <c r="Y569" s="81"/>
      <c r="Z569" s="81"/>
    </row>
    <row r="570" spans="1:26" ht="24" customHeight="1" x14ac:dyDescent="0.5">
      <c r="A570" s="81"/>
      <c r="B570" s="81"/>
      <c r="C570" s="81"/>
      <c r="D570" s="81"/>
      <c r="E570" s="81"/>
      <c r="F570" s="81"/>
      <c r="G570" s="105"/>
      <c r="H570" s="81"/>
      <c r="I570" s="81"/>
      <c r="J570" s="82"/>
      <c r="K570" s="81"/>
      <c r="L570" s="81"/>
      <c r="M570" s="82"/>
      <c r="N570" s="81"/>
      <c r="O570" s="82"/>
      <c r="P570" s="81"/>
      <c r="Q570" s="82"/>
      <c r="R570" s="81"/>
      <c r="S570" s="105"/>
      <c r="T570" s="81"/>
      <c r="U570" s="81"/>
      <c r="V570" s="81"/>
      <c r="W570" s="81"/>
      <c r="X570" s="81"/>
      <c r="Y570" s="81"/>
      <c r="Z570" s="81"/>
    </row>
    <row r="571" spans="1:26" ht="24" customHeight="1" x14ac:dyDescent="0.5">
      <c r="A571" s="81"/>
      <c r="B571" s="81"/>
      <c r="C571" s="81"/>
      <c r="D571" s="81"/>
      <c r="E571" s="81"/>
      <c r="F571" s="81"/>
      <c r="G571" s="105"/>
      <c r="H571" s="81"/>
      <c r="I571" s="81"/>
      <c r="J571" s="82"/>
      <c r="K571" s="81"/>
      <c r="L571" s="81"/>
      <c r="M571" s="82"/>
      <c r="N571" s="81"/>
      <c r="O571" s="82"/>
      <c r="P571" s="81"/>
      <c r="Q571" s="82"/>
      <c r="R571" s="81"/>
      <c r="S571" s="105"/>
      <c r="T571" s="81"/>
      <c r="U571" s="81"/>
      <c r="V571" s="81"/>
      <c r="W571" s="81"/>
      <c r="X571" s="81"/>
      <c r="Y571" s="81"/>
      <c r="Z571" s="81"/>
    </row>
    <row r="572" spans="1:26" ht="24" customHeight="1" x14ac:dyDescent="0.5">
      <c r="A572" s="81"/>
      <c r="B572" s="81"/>
      <c r="C572" s="81"/>
      <c r="D572" s="81"/>
      <c r="E572" s="81"/>
      <c r="F572" s="81"/>
      <c r="G572" s="105"/>
      <c r="H572" s="81"/>
      <c r="I572" s="81"/>
      <c r="J572" s="82"/>
      <c r="K572" s="81"/>
      <c r="L572" s="81"/>
      <c r="M572" s="82"/>
      <c r="N572" s="81"/>
      <c r="O572" s="82"/>
      <c r="P572" s="81"/>
      <c r="Q572" s="82"/>
      <c r="R572" s="81"/>
      <c r="S572" s="105"/>
      <c r="T572" s="81"/>
      <c r="U572" s="81"/>
      <c r="V572" s="81"/>
      <c r="W572" s="81"/>
      <c r="X572" s="81"/>
      <c r="Y572" s="81"/>
      <c r="Z572" s="81"/>
    </row>
    <row r="573" spans="1:26" ht="24" customHeight="1" x14ac:dyDescent="0.5">
      <c r="A573" s="81"/>
      <c r="B573" s="81"/>
      <c r="C573" s="81"/>
      <c r="D573" s="81"/>
      <c r="E573" s="81"/>
      <c r="F573" s="81"/>
      <c r="G573" s="105"/>
      <c r="H573" s="81"/>
      <c r="I573" s="81"/>
      <c r="J573" s="82"/>
      <c r="K573" s="81"/>
      <c r="L573" s="81"/>
      <c r="M573" s="82"/>
      <c r="N573" s="81"/>
      <c r="O573" s="82"/>
      <c r="P573" s="81"/>
      <c r="Q573" s="82"/>
      <c r="R573" s="81"/>
      <c r="S573" s="105"/>
      <c r="T573" s="81"/>
      <c r="U573" s="81"/>
      <c r="V573" s="81"/>
      <c r="W573" s="81"/>
      <c r="X573" s="81"/>
      <c r="Y573" s="81"/>
      <c r="Z573" s="81"/>
    </row>
    <row r="574" spans="1:26" ht="24" customHeight="1" x14ac:dyDescent="0.5">
      <c r="A574" s="81"/>
      <c r="B574" s="81"/>
      <c r="C574" s="81"/>
      <c r="D574" s="81"/>
      <c r="E574" s="81"/>
      <c r="F574" s="81"/>
      <c r="G574" s="105"/>
      <c r="H574" s="81"/>
      <c r="I574" s="81"/>
      <c r="J574" s="82"/>
      <c r="K574" s="81"/>
      <c r="L574" s="81"/>
      <c r="M574" s="82"/>
      <c r="N574" s="81"/>
      <c r="O574" s="82"/>
      <c r="P574" s="81"/>
      <c r="Q574" s="82"/>
      <c r="R574" s="81"/>
      <c r="S574" s="105"/>
      <c r="T574" s="81"/>
      <c r="U574" s="81"/>
      <c r="V574" s="81"/>
      <c r="W574" s="81"/>
      <c r="X574" s="81"/>
      <c r="Y574" s="81"/>
      <c r="Z574" s="81"/>
    </row>
    <row r="575" spans="1:26" ht="24" customHeight="1" x14ac:dyDescent="0.5">
      <c r="A575" s="81"/>
      <c r="B575" s="81"/>
      <c r="C575" s="81"/>
      <c r="D575" s="81"/>
      <c r="E575" s="81"/>
      <c r="F575" s="81"/>
      <c r="G575" s="105"/>
      <c r="H575" s="81"/>
      <c r="I575" s="81"/>
      <c r="J575" s="82"/>
      <c r="K575" s="81"/>
      <c r="L575" s="81"/>
      <c r="M575" s="82"/>
      <c r="N575" s="81"/>
      <c r="O575" s="82"/>
      <c r="P575" s="81"/>
      <c r="Q575" s="82"/>
      <c r="R575" s="81"/>
      <c r="S575" s="105"/>
      <c r="T575" s="81"/>
      <c r="U575" s="81"/>
      <c r="V575" s="81"/>
      <c r="W575" s="81"/>
      <c r="X575" s="81"/>
      <c r="Y575" s="81"/>
      <c r="Z575" s="81"/>
    </row>
    <row r="576" spans="1:26" ht="24" customHeight="1" x14ac:dyDescent="0.5">
      <c r="A576" s="81"/>
      <c r="B576" s="81"/>
      <c r="C576" s="81"/>
      <c r="D576" s="81"/>
      <c r="E576" s="81"/>
      <c r="F576" s="81"/>
      <c r="G576" s="105"/>
      <c r="H576" s="81"/>
      <c r="I576" s="81"/>
      <c r="J576" s="82"/>
      <c r="K576" s="81"/>
      <c r="L576" s="81"/>
      <c r="M576" s="82"/>
      <c r="N576" s="81"/>
      <c r="O576" s="82"/>
      <c r="P576" s="81"/>
      <c r="Q576" s="82"/>
      <c r="R576" s="81"/>
      <c r="S576" s="105"/>
      <c r="T576" s="81"/>
      <c r="U576" s="81"/>
      <c r="V576" s="81"/>
      <c r="W576" s="81"/>
      <c r="X576" s="81"/>
      <c r="Y576" s="81"/>
      <c r="Z576" s="81"/>
    </row>
    <row r="577" spans="1:26" ht="24" customHeight="1" x14ac:dyDescent="0.5">
      <c r="A577" s="81"/>
      <c r="B577" s="81"/>
      <c r="C577" s="81"/>
      <c r="D577" s="81"/>
      <c r="E577" s="81"/>
      <c r="F577" s="81"/>
      <c r="G577" s="105"/>
      <c r="H577" s="81"/>
      <c r="I577" s="81"/>
      <c r="J577" s="82"/>
      <c r="K577" s="81"/>
      <c r="L577" s="81"/>
      <c r="M577" s="82"/>
      <c r="N577" s="81"/>
      <c r="O577" s="82"/>
      <c r="P577" s="81"/>
      <c r="Q577" s="82"/>
      <c r="R577" s="81"/>
      <c r="S577" s="105"/>
      <c r="T577" s="81"/>
      <c r="U577" s="81"/>
      <c r="V577" s="81"/>
      <c r="W577" s="81"/>
      <c r="X577" s="81"/>
      <c r="Y577" s="81"/>
      <c r="Z577" s="81"/>
    </row>
    <row r="578" spans="1:26" ht="24" customHeight="1" x14ac:dyDescent="0.5">
      <c r="A578" s="81"/>
      <c r="B578" s="81"/>
      <c r="C578" s="81"/>
      <c r="D578" s="81"/>
      <c r="E578" s="81"/>
      <c r="F578" s="81"/>
      <c r="G578" s="105"/>
      <c r="H578" s="81"/>
      <c r="I578" s="81"/>
      <c r="J578" s="82"/>
      <c r="K578" s="81"/>
      <c r="L578" s="81"/>
      <c r="M578" s="82"/>
      <c r="N578" s="81"/>
      <c r="O578" s="82"/>
      <c r="P578" s="81"/>
      <c r="Q578" s="82"/>
      <c r="R578" s="81"/>
      <c r="S578" s="105"/>
      <c r="T578" s="81"/>
      <c r="U578" s="81"/>
      <c r="V578" s="81"/>
      <c r="W578" s="81"/>
      <c r="X578" s="81"/>
      <c r="Y578" s="81"/>
      <c r="Z578" s="81"/>
    </row>
    <row r="579" spans="1:26" ht="24" customHeight="1" x14ac:dyDescent="0.5">
      <c r="A579" s="81"/>
      <c r="B579" s="81"/>
      <c r="C579" s="81"/>
      <c r="D579" s="81"/>
      <c r="E579" s="81"/>
      <c r="F579" s="81"/>
      <c r="G579" s="105"/>
      <c r="H579" s="81"/>
      <c r="I579" s="81"/>
      <c r="J579" s="82"/>
      <c r="K579" s="81"/>
      <c r="L579" s="81"/>
      <c r="M579" s="82"/>
      <c r="N579" s="81"/>
      <c r="O579" s="82"/>
      <c r="P579" s="81"/>
      <c r="Q579" s="82"/>
      <c r="R579" s="81"/>
      <c r="S579" s="105"/>
      <c r="T579" s="81"/>
      <c r="U579" s="81"/>
      <c r="V579" s="81"/>
      <c r="W579" s="81"/>
      <c r="X579" s="81"/>
      <c r="Y579" s="81"/>
      <c r="Z579" s="81"/>
    </row>
    <row r="580" spans="1:26" ht="24" customHeight="1" x14ac:dyDescent="0.5">
      <c r="A580" s="81"/>
      <c r="B580" s="81"/>
      <c r="C580" s="81"/>
      <c r="D580" s="81"/>
      <c r="E580" s="81"/>
      <c r="F580" s="81"/>
      <c r="G580" s="105"/>
      <c r="H580" s="81"/>
      <c r="I580" s="81"/>
      <c r="J580" s="82"/>
      <c r="K580" s="81"/>
      <c r="L580" s="81"/>
      <c r="M580" s="82"/>
      <c r="N580" s="81"/>
      <c r="O580" s="82"/>
      <c r="P580" s="81"/>
      <c r="Q580" s="82"/>
      <c r="R580" s="81"/>
      <c r="S580" s="105"/>
      <c r="T580" s="81"/>
      <c r="U580" s="81"/>
      <c r="V580" s="81"/>
      <c r="W580" s="81"/>
      <c r="X580" s="81"/>
      <c r="Y580" s="81"/>
      <c r="Z580" s="81"/>
    </row>
    <row r="581" spans="1:26" ht="24" customHeight="1" x14ac:dyDescent="0.5">
      <c r="A581" s="81"/>
      <c r="B581" s="81"/>
      <c r="C581" s="81"/>
      <c r="D581" s="81"/>
      <c r="E581" s="81"/>
      <c r="F581" s="81"/>
      <c r="G581" s="105"/>
      <c r="H581" s="81"/>
      <c r="I581" s="81"/>
      <c r="J581" s="82"/>
      <c r="K581" s="81"/>
      <c r="L581" s="81"/>
      <c r="M581" s="82"/>
      <c r="N581" s="81"/>
      <c r="O581" s="82"/>
      <c r="P581" s="81"/>
      <c r="Q581" s="82"/>
      <c r="R581" s="81"/>
      <c r="S581" s="105"/>
      <c r="T581" s="81"/>
      <c r="U581" s="81"/>
      <c r="V581" s="81"/>
      <c r="W581" s="81"/>
      <c r="X581" s="81"/>
      <c r="Y581" s="81"/>
      <c r="Z581" s="81"/>
    </row>
    <row r="582" spans="1:26" ht="24" customHeight="1" x14ac:dyDescent="0.5">
      <c r="A582" s="81"/>
      <c r="B582" s="81"/>
      <c r="C582" s="81"/>
      <c r="D582" s="81"/>
      <c r="E582" s="81"/>
      <c r="F582" s="81"/>
      <c r="G582" s="105"/>
      <c r="H582" s="81"/>
      <c r="I582" s="81"/>
      <c r="J582" s="82"/>
      <c r="K582" s="81"/>
      <c r="L582" s="81"/>
      <c r="M582" s="82"/>
      <c r="N582" s="81"/>
      <c r="O582" s="82"/>
      <c r="P582" s="81"/>
      <c r="Q582" s="82"/>
      <c r="R582" s="81"/>
      <c r="S582" s="105"/>
      <c r="T582" s="81"/>
      <c r="U582" s="81"/>
      <c r="V582" s="81"/>
      <c r="W582" s="81"/>
      <c r="X582" s="81"/>
      <c r="Y582" s="81"/>
      <c r="Z582" s="81"/>
    </row>
    <row r="583" spans="1:26" ht="24" customHeight="1" x14ac:dyDescent="0.5">
      <c r="A583" s="81"/>
      <c r="B583" s="81"/>
      <c r="C583" s="81"/>
      <c r="D583" s="81"/>
      <c r="E583" s="81"/>
      <c r="F583" s="81"/>
      <c r="G583" s="105"/>
      <c r="H583" s="81"/>
      <c r="I583" s="81"/>
      <c r="J583" s="82"/>
      <c r="K583" s="81"/>
      <c r="L583" s="81"/>
      <c r="M583" s="82"/>
      <c r="N583" s="81"/>
      <c r="O583" s="82"/>
      <c r="P583" s="81"/>
      <c r="Q583" s="82"/>
      <c r="R583" s="81"/>
      <c r="S583" s="105"/>
      <c r="T583" s="81"/>
      <c r="U583" s="81"/>
      <c r="V583" s="81"/>
      <c r="W583" s="81"/>
      <c r="X583" s="81"/>
      <c r="Y583" s="81"/>
      <c r="Z583" s="81"/>
    </row>
    <row r="584" spans="1:26" ht="24" customHeight="1" x14ac:dyDescent="0.5">
      <c r="A584" s="81"/>
      <c r="B584" s="81"/>
      <c r="C584" s="81"/>
      <c r="D584" s="81"/>
      <c r="E584" s="81"/>
      <c r="F584" s="81"/>
      <c r="G584" s="105"/>
      <c r="H584" s="81"/>
      <c r="I584" s="81"/>
      <c r="J584" s="82"/>
      <c r="K584" s="81"/>
      <c r="L584" s="81"/>
      <c r="M584" s="82"/>
      <c r="N584" s="81"/>
      <c r="O584" s="82"/>
      <c r="P584" s="81"/>
      <c r="Q584" s="82"/>
      <c r="R584" s="81"/>
      <c r="S584" s="105"/>
      <c r="T584" s="81"/>
      <c r="U584" s="81"/>
      <c r="V584" s="81"/>
      <c r="W584" s="81"/>
      <c r="X584" s="81"/>
      <c r="Y584" s="81"/>
      <c r="Z584" s="81"/>
    </row>
    <row r="585" spans="1:26" ht="24" customHeight="1" x14ac:dyDescent="0.5">
      <c r="A585" s="81"/>
      <c r="B585" s="81"/>
      <c r="C585" s="81"/>
      <c r="D585" s="81"/>
      <c r="E585" s="81"/>
      <c r="F585" s="81"/>
      <c r="G585" s="105"/>
      <c r="H585" s="81"/>
      <c r="I585" s="81"/>
      <c r="J585" s="82"/>
      <c r="K585" s="81"/>
      <c r="L585" s="81"/>
      <c r="M585" s="82"/>
      <c r="N585" s="81"/>
      <c r="O585" s="82"/>
      <c r="P585" s="81"/>
      <c r="Q585" s="82"/>
      <c r="R585" s="81"/>
      <c r="S585" s="105"/>
      <c r="T585" s="81"/>
      <c r="U585" s="81"/>
      <c r="V585" s="81"/>
      <c r="W585" s="81"/>
      <c r="X585" s="81"/>
      <c r="Y585" s="81"/>
      <c r="Z585" s="81"/>
    </row>
    <row r="586" spans="1:26" ht="24" customHeight="1" x14ac:dyDescent="0.5">
      <c r="A586" s="81"/>
      <c r="B586" s="81"/>
      <c r="C586" s="81"/>
      <c r="D586" s="81"/>
      <c r="E586" s="81"/>
      <c r="F586" s="81"/>
      <c r="G586" s="105"/>
      <c r="H586" s="81"/>
      <c r="I586" s="81"/>
      <c r="J586" s="82"/>
      <c r="K586" s="81"/>
      <c r="L586" s="81"/>
      <c r="M586" s="82"/>
      <c r="N586" s="81"/>
      <c r="O586" s="82"/>
      <c r="P586" s="81"/>
      <c r="Q586" s="82"/>
      <c r="R586" s="81"/>
      <c r="S586" s="105"/>
      <c r="T586" s="81"/>
      <c r="U586" s="81"/>
      <c r="V586" s="81"/>
      <c r="W586" s="81"/>
      <c r="X586" s="81"/>
      <c r="Y586" s="81"/>
      <c r="Z586" s="81"/>
    </row>
    <row r="587" spans="1:26" ht="24" customHeight="1" x14ac:dyDescent="0.5">
      <c r="A587" s="81"/>
      <c r="B587" s="81"/>
      <c r="C587" s="81"/>
      <c r="D587" s="81"/>
      <c r="E587" s="81"/>
      <c r="F587" s="81"/>
      <c r="G587" s="105"/>
      <c r="H587" s="81"/>
      <c r="I587" s="81"/>
      <c r="J587" s="82"/>
      <c r="K587" s="81"/>
      <c r="L587" s="81"/>
      <c r="M587" s="82"/>
      <c r="N587" s="81"/>
      <c r="O587" s="82"/>
      <c r="P587" s="81"/>
      <c r="Q587" s="82"/>
      <c r="R587" s="81"/>
      <c r="S587" s="105"/>
      <c r="T587" s="81"/>
      <c r="U587" s="81"/>
      <c r="V587" s="81"/>
      <c r="W587" s="81"/>
      <c r="X587" s="81"/>
      <c r="Y587" s="81"/>
      <c r="Z587" s="81"/>
    </row>
    <row r="588" spans="1:26" ht="24" customHeight="1" x14ac:dyDescent="0.5">
      <c r="A588" s="81"/>
      <c r="B588" s="81"/>
      <c r="C588" s="81"/>
      <c r="D588" s="81"/>
      <c r="E588" s="81"/>
      <c r="F588" s="81"/>
      <c r="G588" s="105"/>
      <c r="H588" s="81"/>
      <c r="I588" s="81"/>
      <c r="J588" s="82"/>
      <c r="K588" s="81"/>
      <c r="L588" s="81"/>
      <c r="M588" s="82"/>
      <c r="N588" s="81"/>
      <c r="O588" s="82"/>
      <c r="P588" s="81"/>
      <c r="Q588" s="82"/>
      <c r="R588" s="81"/>
      <c r="S588" s="105"/>
      <c r="T588" s="81"/>
      <c r="U588" s="81"/>
      <c r="V588" s="81"/>
      <c r="W588" s="81"/>
      <c r="X588" s="81"/>
      <c r="Y588" s="81"/>
      <c r="Z588" s="81"/>
    </row>
    <row r="589" spans="1:26" ht="24" customHeight="1" x14ac:dyDescent="0.5">
      <c r="A589" s="81"/>
      <c r="B589" s="81"/>
      <c r="C589" s="81"/>
      <c r="D589" s="81"/>
      <c r="E589" s="81"/>
      <c r="F589" s="81"/>
      <c r="G589" s="105"/>
      <c r="H589" s="81"/>
      <c r="I589" s="81"/>
      <c r="J589" s="82"/>
      <c r="K589" s="81"/>
      <c r="L589" s="81"/>
      <c r="M589" s="82"/>
      <c r="N589" s="81"/>
      <c r="O589" s="82"/>
      <c r="P589" s="81"/>
      <c r="Q589" s="82"/>
      <c r="R589" s="81"/>
      <c r="S589" s="105"/>
      <c r="T589" s="81"/>
      <c r="U589" s="81"/>
      <c r="V589" s="81"/>
      <c r="W589" s="81"/>
      <c r="X589" s="81"/>
      <c r="Y589" s="81"/>
      <c r="Z589" s="81"/>
    </row>
    <row r="590" spans="1:26" ht="24" customHeight="1" x14ac:dyDescent="0.5">
      <c r="A590" s="81"/>
      <c r="B590" s="81"/>
      <c r="C590" s="81"/>
      <c r="D590" s="81"/>
      <c r="E590" s="81"/>
      <c r="F590" s="81"/>
      <c r="G590" s="105"/>
      <c r="H590" s="81"/>
      <c r="I590" s="81"/>
      <c r="J590" s="82"/>
      <c r="K590" s="81"/>
      <c r="L590" s="81"/>
      <c r="M590" s="82"/>
      <c r="N590" s="81"/>
      <c r="O590" s="82"/>
      <c r="P590" s="81"/>
      <c r="Q590" s="82"/>
      <c r="R590" s="81"/>
      <c r="S590" s="105"/>
      <c r="T590" s="81"/>
      <c r="U590" s="81"/>
      <c r="V590" s="81"/>
      <c r="W590" s="81"/>
      <c r="X590" s="81"/>
      <c r="Y590" s="81"/>
      <c r="Z590" s="81"/>
    </row>
    <row r="591" spans="1:26" ht="24" customHeight="1" x14ac:dyDescent="0.5">
      <c r="A591" s="81"/>
      <c r="B591" s="81"/>
      <c r="C591" s="81"/>
      <c r="D591" s="81"/>
      <c r="E591" s="81"/>
      <c r="F591" s="81"/>
      <c r="G591" s="105"/>
      <c r="H591" s="81"/>
      <c r="I591" s="81"/>
      <c r="J591" s="82"/>
      <c r="K591" s="81"/>
      <c r="L591" s="81"/>
      <c r="M591" s="82"/>
      <c r="N591" s="81"/>
      <c r="O591" s="82"/>
      <c r="P591" s="81"/>
      <c r="Q591" s="82"/>
      <c r="R591" s="81"/>
      <c r="S591" s="105"/>
      <c r="T591" s="81"/>
      <c r="U591" s="81"/>
      <c r="V591" s="81"/>
      <c r="W591" s="81"/>
      <c r="X591" s="81"/>
      <c r="Y591" s="81"/>
      <c r="Z591" s="81"/>
    </row>
    <row r="592" spans="1:26" ht="24" customHeight="1" x14ac:dyDescent="0.5">
      <c r="A592" s="81"/>
      <c r="B592" s="81"/>
      <c r="C592" s="81"/>
      <c r="D592" s="81"/>
      <c r="E592" s="81"/>
      <c r="F592" s="81"/>
      <c r="G592" s="105"/>
      <c r="H592" s="81"/>
      <c r="I592" s="81"/>
      <c r="J592" s="82"/>
      <c r="K592" s="81"/>
      <c r="L592" s="81"/>
      <c r="M592" s="82"/>
      <c r="N592" s="81"/>
      <c r="O592" s="82"/>
      <c r="P592" s="81"/>
      <c r="Q592" s="82"/>
      <c r="R592" s="81"/>
      <c r="S592" s="105"/>
      <c r="T592" s="81"/>
      <c r="U592" s="81"/>
      <c r="V592" s="81"/>
      <c r="W592" s="81"/>
      <c r="X592" s="81"/>
      <c r="Y592" s="81"/>
      <c r="Z592" s="81"/>
    </row>
    <row r="593" spans="1:26" ht="24" customHeight="1" x14ac:dyDescent="0.5">
      <c r="A593" s="81"/>
      <c r="B593" s="81"/>
      <c r="C593" s="81"/>
      <c r="D593" s="81"/>
      <c r="E593" s="81"/>
      <c r="F593" s="81"/>
      <c r="G593" s="105"/>
      <c r="H593" s="81"/>
      <c r="I593" s="81"/>
      <c r="J593" s="82"/>
      <c r="K593" s="81"/>
      <c r="L593" s="81"/>
      <c r="M593" s="82"/>
      <c r="N593" s="81"/>
      <c r="O593" s="82"/>
      <c r="P593" s="81"/>
      <c r="Q593" s="82"/>
      <c r="R593" s="81"/>
      <c r="S593" s="105"/>
      <c r="T593" s="81"/>
      <c r="U593" s="81"/>
      <c r="V593" s="81"/>
      <c r="W593" s="81"/>
      <c r="X593" s="81"/>
      <c r="Y593" s="81"/>
      <c r="Z593" s="81"/>
    </row>
    <row r="594" spans="1:26" ht="24" customHeight="1" x14ac:dyDescent="0.5">
      <c r="A594" s="81"/>
      <c r="B594" s="81"/>
      <c r="C594" s="81"/>
      <c r="D594" s="81"/>
      <c r="E594" s="81"/>
      <c r="F594" s="81"/>
      <c r="G594" s="105"/>
      <c r="H594" s="81"/>
      <c r="I594" s="81"/>
      <c r="J594" s="82"/>
      <c r="K594" s="81"/>
      <c r="L594" s="81"/>
      <c r="M594" s="82"/>
      <c r="N594" s="81"/>
      <c r="O594" s="82"/>
      <c r="P594" s="81"/>
      <c r="Q594" s="82"/>
      <c r="R594" s="81"/>
      <c r="S594" s="105"/>
      <c r="T594" s="81"/>
      <c r="U594" s="81"/>
      <c r="V594" s="81"/>
      <c r="W594" s="81"/>
      <c r="X594" s="81"/>
      <c r="Y594" s="81"/>
      <c r="Z594" s="81"/>
    </row>
    <row r="595" spans="1:26" ht="24" customHeight="1" x14ac:dyDescent="0.5">
      <c r="A595" s="81"/>
      <c r="B595" s="81"/>
      <c r="C595" s="81"/>
      <c r="D595" s="81"/>
      <c r="E595" s="81"/>
      <c r="F595" s="81"/>
      <c r="G595" s="105"/>
      <c r="H595" s="81"/>
      <c r="I595" s="81"/>
      <c r="J595" s="82"/>
      <c r="K595" s="81"/>
      <c r="L595" s="81"/>
      <c r="M595" s="82"/>
      <c r="N595" s="81"/>
      <c r="O595" s="82"/>
      <c r="P595" s="81"/>
      <c r="Q595" s="82"/>
      <c r="R595" s="81"/>
      <c r="S595" s="105"/>
      <c r="T595" s="81"/>
      <c r="U595" s="81"/>
      <c r="V595" s="81"/>
      <c r="W595" s="81"/>
      <c r="X595" s="81"/>
      <c r="Y595" s="81"/>
      <c r="Z595" s="81"/>
    </row>
    <row r="596" spans="1:26" ht="24" customHeight="1" x14ac:dyDescent="0.5">
      <c r="A596" s="81"/>
      <c r="B596" s="81"/>
      <c r="C596" s="81"/>
      <c r="D596" s="81"/>
      <c r="E596" s="81"/>
      <c r="F596" s="81"/>
      <c r="G596" s="105"/>
      <c r="H596" s="81"/>
      <c r="I596" s="81"/>
      <c r="J596" s="82"/>
      <c r="K596" s="81"/>
      <c r="L596" s="81"/>
      <c r="M596" s="82"/>
      <c r="N596" s="81"/>
      <c r="O596" s="82"/>
      <c r="P596" s="81"/>
      <c r="Q596" s="82"/>
      <c r="R596" s="81"/>
      <c r="S596" s="105"/>
      <c r="T596" s="81"/>
      <c r="U596" s="81"/>
      <c r="V596" s="81"/>
      <c r="W596" s="81"/>
      <c r="X596" s="81"/>
      <c r="Y596" s="81"/>
      <c r="Z596" s="81"/>
    </row>
    <row r="597" spans="1:26" ht="24" customHeight="1" x14ac:dyDescent="0.5">
      <c r="A597" s="81"/>
      <c r="B597" s="81"/>
      <c r="C597" s="81"/>
      <c r="D597" s="81"/>
      <c r="E597" s="81"/>
      <c r="F597" s="81"/>
      <c r="G597" s="105"/>
      <c r="H597" s="81"/>
      <c r="I597" s="81"/>
      <c r="J597" s="82"/>
      <c r="K597" s="81"/>
      <c r="L597" s="81"/>
      <c r="M597" s="82"/>
      <c r="N597" s="81"/>
      <c r="O597" s="82"/>
      <c r="P597" s="81"/>
      <c r="Q597" s="82"/>
      <c r="R597" s="81"/>
      <c r="S597" s="105"/>
      <c r="T597" s="81"/>
      <c r="U597" s="81"/>
      <c r="V597" s="81"/>
      <c r="W597" s="81"/>
      <c r="X597" s="81"/>
      <c r="Y597" s="81"/>
      <c r="Z597" s="81"/>
    </row>
    <row r="598" spans="1:26" ht="24" customHeight="1" x14ac:dyDescent="0.5">
      <c r="A598" s="81"/>
      <c r="B598" s="81"/>
      <c r="C598" s="81"/>
      <c r="D598" s="81"/>
      <c r="E598" s="81"/>
      <c r="F598" s="81"/>
      <c r="G598" s="105"/>
      <c r="H598" s="81"/>
      <c r="I598" s="81"/>
      <c r="J598" s="82"/>
      <c r="K598" s="81"/>
      <c r="L598" s="81"/>
      <c r="M598" s="82"/>
      <c r="N598" s="81"/>
      <c r="O598" s="82"/>
      <c r="P598" s="81"/>
      <c r="Q598" s="82"/>
      <c r="R598" s="81"/>
      <c r="S598" s="105"/>
      <c r="T598" s="81"/>
      <c r="U598" s="81"/>
      <c r="V598" s="81"/>
      <c r="W598" s="81"/>
      <c r="X598" s="81"/>
      <c r="Y598" s="81"/>
      <c r="Z598" s="81"/>
    </row>
    <row r="599" spans="1:26" ht="24" customHeight="1" x14ac:dyDescent="0.5">
      <c r="A599" s="81"/>
      <c r="B599" s="81"/>
      <c r="C599" s="81"/>
      <c r="D599" s="81"/>
      <c r="E599" s="81"/>
      <c r="F599" s="81"/>
      <c r="G599" s="105"/>
      <c r="H599" s="81"/>
      <c r="I599" s="81"/>
      <c r="J599" s="82"/>
      <c r="K599" s="81"/>
      <c r="L599" s="81"/>
      <c r="M599" s="82"/>
      <c r="N599" s="81"/>
      <c r="O599" s="82"/>
      <c r="P599" s="81"/>
      <c r="Q599" s="82"/>
      <c r="R599" s="81"/>
      <c r="S599" s="105"/>
      <c r="T599" s="81"/>
      <c r="U599" s="81"/>
      <c r="V599" s="81"/>
      <c r="W599" s="81"/>
      <c r="X599" s="81"/>
      <c r="Y599" s="81"/>
      <c r="Z599" s="81"/>
    </row>
    <row r="600" spans="1:26" ht="24" customHeight="1" x14ac:dyDescent="0.5">
      <c r="A600" s="81"/>
      <c r="B600" s="81"/>
      <c r="C600" s="81"/>
      <c r="D600" s="81"/>
      <c r="E600" s="81"/>
      <c r="F600" s="81"/>
      <c r="G600" s="105"/>
      <c r="H600" s="81"/>
      <c r="I600" s="81"/>
      <c r="J600" s="82"/>
      <c r="K600" s="81"/>
      <c r="L600" s="81"/>
      <c r="M600" s="82"/>
      <c r="N600" s="81"/>
      <c r="O600" s="82"/>
      <c r="P600" s="81"/>
      <c r="Q600" s="82"/>
      <c r="R600" s="81"/>
      <c r="S600" s="105"/>
      <c r="T600" s="81"/>
      <c r="U600" s="81"/>
      <c r="V600" s="81"/>
      <c r="W600" s="81"/>
      <c r="X600" s="81"/>
      <c r="Y600" s="81"/>
      <c r="Z600" s="81"/>
    </row>
    <row r="601" spans="1:26" ht="24" customHeight="1" x14ac:dyDescent="0.5">
      <c r="A601" s="81"/>
      <c r="B601" s="81"/>
      <c r="C601" s="81"/>
      <c r="D601" s="81"/>
      <c r="E601" s="81"/>
      <c r="F601" s="81"/>
      <c r="G601" s="105"/>
      <c r="H601" s="81"/>
      <c r="I601" s="81"/>
      <c r="J601" s="82"/>
      <c r="K601" s="81"/>
      <c r="L601" s="81"/>
      <c r="M601" s="82"/>
      <c r="N601" s="81"/>
      <c r="O601" s="82"/>
      <c r="P601" s="81"/>
      <c r="Q601" s="82"/>
      <c r="R601" s="81"/>
      <c r="S601" s="105"/>
      <c r="T601" s="81"/>
      <c r="U601" s="81"/>
      <c r="V601" s="81"/>
      <c r="W601" s="81"/>
      <c r="X601" s="81"/>
      <c r="Y601" s="81"/>
      <c r="Z601" s="81"/>
    </row>
    <row r="602" spans="1:26" ht="24" customHeight="1" x14ac:dyDescent="0.5">
      <c r="A602" s="81"/>
      <c r="B602" s="81"/>
      <c r="C602" s="81"/>
      <c r="D602" s="81"/>
      <c r="E602" s="81"/>
      <c r="F602" s="81"/>
      <c r="G602" s="105"/>
      <c r="H602" s="81"/>
      <c r="I602" s="81"/>
      <c r="J602" s="82"/>
      <c r="K602" s="81"/>
      <c r="L602" s="81"/>
      <c r="M602" s="82"/>
      <c r="N602" s="81"/>
      <c r="O602" s="82"/>
      <c r="P602" s="81"/>
      <c r="Q602" s="82"/>
      <c r="R602" s="81"/>
      <c r="S602" s="105"/>
      <c r="T602" s="81"/>
      <c r="U602" s="81"/>
      <c r="V602" s="81"/>
      <c r="W602" s="81"/>
      <c r="X602" s="81"/>
      <c r="Y602" s="81"/>
      <c r="Z602" s="81"/>
    </row>
    <row r="603" spans="1:26" ht="24" customHeight="1" x14ac:dyDescent="0.5">
      <c r="A603" s="81"/>
      <c r="B603" s="81"/>
      <c r="C603" s="81"/>
      <c r="D603" s="81"/>
      <c r="E603" s="81"/>
      <c r="F603" s="81"/>
      <c r="G603" s="105"/>
      <c r="H603" s="81"/>
      <c r="I603" s="81"/>
      <c r="J603" s="82"/>
      <c r="K603" s="81"/>
      <c r="L603" s="81"/>
      <c r="M603" s="82"/>
      <c r="N603" s="81"/>
      <c r="O603" s="82"/>
      <c r="P603" s="81"/>
      <c r="Q603" s="82"/>
      <c r="R603" s="81"/>
      <c r="S603" s="105"/>
      <c r="T603" s="81"/>
      <c r="U603" s="81"/>
      <c r="V603" s="81"/>
      <c r="W603" s="81"/>
      <c r="X603" s="81"/>
      <c r="Y603" s="81"/>
      <c r="Z603" s="81"/>
    </row>
    <row r="604" spans="1:26" ht="24" customHeight="1" x14ac:dyDescent="0.5">
      <c r="A604" s="81"/>
      <c r="B604" s="81"/>
      <c r="C604" s="81"/>
      <c r="D604" s="81"/>
      <c r="E604" s="81"/>
      <c r="F604" s="81"/>
      <c r="G604" s="105"/>
      <c r="H604" s="81"/>
      <c r="I604" s="81"/>
      <c r="J604" s="82"/>
      <c r="K604" s="81"/>
      <c r="L604" s="81"/>
      <c r="M604" s="82"/>
      <c r="N604" s="81"/>
      <c r="O604" s="82"/>
      <c r="P604" s="81"/>
      <c r="Q604" s="82"/>
      <c r="R604" s="81"/>
      <c r="S604" s="105"/>
      <c r="T604" s="81"/>
      <c r="U604" s="81"/>
      <c r="V604" s="81"/>
      <c r="W604" s="81"/>
      <c r="X604" s="81"/>
      <c r="Y604" s="81"/>
      <c r="Z604" s="81"/>
    </row>
    <row r="605" spans="1:26" ht="24" customHeight="1" x14ac:dyDescent="0.5">
      <c r="A605" s="81"/>
      <c r="B605" s="81"/>
      <c r="C605" s="81"/>
      <c r="D605" s="81"/>
      <c r="E605" s="81"/>
      <c r="F605" s="81"/>
      <c r="G605" s="105"/>
      <c r="H605" s="81"/>
      <c r="I605" s="81"/>
      <c r="J605" s="82"/>
      <c r="K605" s="81"/>
      <c r="L605" s="81"/>
      <c r="M605" s="82"/>
      <c r="N605" s="81"/>
      <c r="O605" s="82"/>
      <c r="P605" s="81"/>
      <c r="Q605" s="82"/>
      <c r="R605" s="81"/>
      <c r="S605" s="105"/>
      <c r="T605" s="81"/>
      <c r="U605" s="81"/>
      <c r="V605" s="81"/>
      <c r="W605" s="81"/>
      <c r="X605" s="81"/>
      <c r="Y605" s="81"/>
      <c r="Z605" s="81"/>
    </row>
    <row r="606" spans="1:26" ht="24" customHeight="1" x14ac:dyDescent="0.5">
      <c r="A606" s="81"/>
      <c r="B606" s="81"/>
      <c r="C606" s="81"/>
      <c r="D606" s="81"/>
      <c r="E606" s="81"/>
      <c r="F606" s="81"/>
      <c r="G606" s="105"/>
      <c r="H606" s="81"/>
      <c r="I606" s="81"/>
      <c r="J606" s="82"/>
      <c r="K606" s="81"/>
      <c r="L606" s="81"/>
      <c r="M606" s="82"/>
      <c r="N606" s="81"/>
      <c r="O606" s="82"/>
      <c r="P606" s="81"/>
      <c r="Q606" s="82"/>
      <c r="R606" s="81"/>
      <c r="S606" s="105"/>
      <c r="T606" s="81"/>
      <c r="U606" s="81"/>
      <c r="V606" s="81"/>
      <c r="W606" s="81"/>
      <c r="X606" s="81"/>
      <c r="Y606" s="81"/>
      <c r="Z606" s="81"/>
    </row>
    <row r="607" spans="1:26" ht="24" customHeight="1" x14ac:dyDescent="0.5">
      <c r="A607" s="81"/>
      <c r="B607" s="81"/>
      <c r="C607" s="81"/>
      <c r="D607" s="81"/>
      <c r="E607" s="81"/>
      <c r="F607" s="81"/>
      <c r="G607" s="105"/>
      <c r="H607" s="81"/>
      <c r="I607" s="81"/>
      <c r="J607" s="82"/>
      <c r="K607" s="81"/>
      <c r="L607" s="81"/>
      <c r="M607" s="82"/>
      <c r="N607" s="81"/>
      <c r="O607" s="82"/>
      <c r="P607" s="81"/>
      <c r="Q607" s="82"/>
      <c r="R607" s="81"/>
      <c r="S607" s="105"/>
      <c r="T607" s="81"/>
      <c r="U607" s="81"/>
      <c r="V607" s="81"/>
      <c r="W607" s="81"/>
      <c r="X607" s="81"/>
      <c r="Y607" s="81"/>
      <c r="Z607" s="81"/>
    </row>
    <row r="608" spans="1:26" ht="24" customHeight="1" x14ac:dyDescent="0.5">
      <c r="A608" s="81"/>
      <c r="B608" s="81"/>
      <c r="C608" s="81"/>
      <c r="D608" s="81"/>
      <c r="E608" s="81"/>
      <c r="F608" s="81"/>
      <c r="G608" s="105"/>
      <c r="H608" s="81"/>
      <c r="I608" s="81"/>
      <c r="J608" s="82"/>
      <c r="K608" s="81"/>
      <c r="L608" s="81"/>
      <c r="M608" s="82"/>
      <c r="N608" s="81"/>
      <c r="O608" s="82"/>
      <c r="P608" s="81"/>
      <c r="Q608" s="82"/>
      <c r="R608" s="81"/>
      <c r="S608" s="105"/>
      <c r="T608" s="81"/>
      <c r="U608" s="81"/>
      <c r="V608" s="81"/>
      <c r="W608" s="81"/>
      <c r="X608" s="81"/>
      <c r="Y608" s="81"/>
      <c r="Z608" s="81"/>
    </row>
    <row r="609" spans="1:26" ht="24" customHeight="1" x14ac:dyDescent="0.5">
      <c r="A609" s="81"/>
      <c r="B609" s="81"/>
      <c r="C609" s="81"/>
      <c r="D609" s="81"/>
      <c r="E609" s="81"/>
      <c r="F609" s="81"/>
      <c r="G609" s="105"/>
      <c r="H609" s="81"/>
      <c r="I609" s="81"/>
      <c r="J609" s="82"/>
      <c r="K609" s="81"/>
      <c r="L609" s="81"/>
      <c r="M609" s="82"/>
      <c r="N609" s="81"/>
      <c r="O609" s="82"/>
      <c r="P609" s="81"/>
      <c r="Q609" s="82"/>
      <c r="R609" s="81"/>
      <c r="S609" s="105"/>
      <c r="T609" s="81"/>
      <c r="U609" s="81"/>
      <c r="V609" s="81"/>
      <c r="W609" s="81"/>
      <c r="X609" s="81"/>
      <c r="Y609" s="81"/>
      <c r="Z609" s="81"/>
    </row>
    <row r="610" spans="1:26" ht="24" customHeight="1" x14ac:dyDescent="0.5">
      <c r="A610" s="81"/>
      <c r="B610" s="81"/>
      <c r="C610" s="81"/>
      <c r="D610" s="81"/>
      <c r="E610" s="81"/>
      <c r="F610" s="81"/>
      <c r="G610" s="105"/>
      <c r="H610" s="81"/>
      <c r="I610" s="81"/>
      <c r="J610" s="82"/>
      <c r="K610" s="81"/>
      <c r="L610" s="81"/>
      <c r="M610" s="82"/>
      <c r="N610" s="81"/>
      <c r="O610" s="82"/>
      <c r="P610" s="81"/>
      <c r="Q610" s="82"/>
      <c r="R610" s="81"/>
      <c r="S610" s="105"/>
      <c r="T610" s="81"/>
      <c r="U610" s="81"/>
      <c r="V610" s="81"/>
      <c r="W610" s="81"/>
      <c r="X610" s="81"/>
      <c r="Y610" s="81"/>
      <c r="Z610" s="81"/>
    </row>
    <row r="611" spans="1:26" ht="24" customHeight="1" x14ac:dyDescent="0.5">
      <c r="A611" s="81"/>
      <c r="B611" s="81"/>
      <c r="C611" s="81"/>
      <c r="D611" s="81"/>
      <c r="E611" s="81"/>
      <c r="F611" s="81"/>
      <c r="G611" s="105"/>
      <c r="H611" s="81"/>
      <c r="I611" s="81"/>
      <c r="J611" s="82"/>
      <c r="K611" s="81"/>
      <c r="L611" s="81"/>
      <c r="M611" s="82"/>
      <c r="N611" s="81"/>
      <c r="O611" s="82"/>
      <c r="P611" s="81"/>
      <c r="Q611" s="82"/>
      <c r="R611" s="81"/>
      <c r="S611" s="105"/>
      <c r="T611" s="81"/>
      <c r="U611" s="81"/>
      <c r="V611" s="81"/>
      <c r="W611" s="81"/>
      <c r="X611" s="81"/>
      <c r="Y611" s="81"/>
      <c r="Z611" s="81"/>
    </row>
    <row r="612" spans="1:26" ht="24" customHeight="1" x14ac:dyDescent="0.5">
      <c r="A612" s="81"/>
      <c r="B612" s="81"/>
      <c r="C612" s="81"/>
      <c r="D612" s="81"/>
      <c r="E612" s="81"/>
      <c r="F612" s="81"/>
      <c r="G612" s="105"/>
      <c r="H612" s="81"/>
      <c r="I612" s="81"/>
      <c r="J612" s="82"/>
      <c r="K612" s="81"/>
      <c r="L612" s="81"/>
      <c r="M612" s="82"/>
      <c r="N612" s="81"/>
      <c r="O612" s="82"/>
      <c r="P612" s="81"/>
      <c r="Q612" s="82"/>
      <c r="R612" s="81"/>
      <c r="S612" s="105"/>
      <c r="T612" s="81"/>
      <c r="U612" s="81"/>
      <c r="V612" s="81"/>
      <c r="W612" s="81"/>
      <c r="X612" s="81"/>
      <c r="Y612" s="81"/>
      <c r="Z612" s="81"/>
    </row>
    <row r="613" spans="1:26" ht="24" customHeight="1" x14ac:dyDescent="0.5">
      <c r="A613" s="81"/>
      <c r="B613" s="81"/>
      <c r="C613" s="81"/>
      <c r="D613" s="81"/>
      <c r="E613" s="81"/>
      <c r="F613" s="81"/>
      <c r="G613" s="105"/>
      <c r="H613" s="81"/>
      <c r="I613" s="81"/>
      <c r="J613" s="82"/>
      <c r="K613" s="81"/>
      <c r="L613" s="81"/>
      <c r="M613" s="82"/>
      <c r="N613" s="81"/>
      <c r="O613" s="82"/>
      <c r="P613" s="81"/>
      <c r="Q613" s="82"/>
      <c r="R613" s="81"/>
      <c r="S613" s="105"/>
      <c r="T613" s="81"/>
      <c r="U613" s="81"/>
      <c r="V613" s="81"/>
      <c r="W613" s="81"/>
      <c r="X613" s="81"/>
      <c r="Y613" s="81"/>
      <c r="Z613" s="81"/>
    </row>
    <row r="614" spans="1:26" ht="24" customHeight="1" x14ac:dyDescent="0.5">
      <c r="A614" s="81"/>
      <c r="B614" s="81"/>
      <c r="C614" s="81"/>
      <c r="D614" s="81"/>
      <c r="E614" s="81"/>
      <c r="F614" s="81"/>
      <c r="G614" s="105"/>
      <c r="H614" s="81"/>
      <c r="I614" s="81"/>
      <c r="J614" s="82"/>
      <c r="K614" s="81"/>
      <c r="L614" s="81"/>
      <c r="M614" s="82"/>
      <c r="N614" s="81"/>
      <c r="O614" s="82"/>
      <c r="P614" s="81"/>
      <c r="Q614" s="82"/>
      <c r="R614" s="81"/>
      <c r="S614" s="105"/>
      <c r="T614" s="81"/>
      <c r="U614" s="81"/>
      <c r="V614" s="81"/>
      <c r="W614" s="81"/>
      <c r="X614" s="81"/>
      <c r="Y614" s="81"/>
      <c r="Z614" s="81"/>
    </row>
    <row r="615" spans="1:26" ht="24" customHeight="1" x14ac:dyDescent="0.5">
      <c r="A615" s="81"/>
      <c r="B615" s="81"/>
      <c r="C615" s="81"/>
      <c r="D615" s="81"/>
      <c r="E615" s="81"/>
      <c r="F615" s="81"/>
      <c r="G615" s="105"/>
      <c r="H615" s="81"/>
      <c r="I615" s="81"/>
      <c r="J615" s="82"/>
      <c r="K615" s="81"/>
      <c r="L615" s="81"/>
      <c r="M615" s="82"/>
      <c r="N615" s="81"/>
      <c r="O615" s="82"/>
      <c r="P615" s="81"/>
      <c r="Q615" s="82"/>
      <c r="R615" s="81"/>
      <c r="S615" s="105"/>
      <c r="T615" s="81"/>
      <c r="U615" s="81"/>
      <c r="V615" s="81"/>
      <c r="W615" s="81"/>
      <c r="X615" s="81"/>
      <c r="Y615" s="81"/>
      <c r="Z615" s="81"/>
    </row>
    <row r="616" spans="1:26" ht="24" customHeight="1" x14ac:dyDescent="0.5">
      <c r="A616" s="81"/>
      <c r="B616" s="81"/>
      <c r="C616" s="81"/>
      <c r="D616" s="81"/>
      <c r="E616" s="81"/>
      <c r="F616" s="81"/>
      <c r="G616" s="105"/>
      <c r="H616" s="81"/>
      <c r="I616" s="81"/>
      <c r="J616" s="82"/>
      <c r="K616" s="81"/>
      <c r="L616" s="81"/>
      <c r="M616" s="82"/>
      <c r="N616" s="81"/>
      <c r="O616" s="82"/>
      <c r="P616" s="81"/>
      <c r="Q616" s="82"/>
      <c r="R616" s="81"/>
      <c r="S616" s="105"/>
      <c r="T616" s="81"/>
      <c r="U616" s="81"/>
      <c r="V616" s="81"/>
      <c r="W616" s="81"/>
      <c r="X616" s="81"/>
      <c r="Y616" s="81"/>
      <c r="Z616" s="81"/>
    </row>
    <row r="617" spans="1:26" ht="24" customHeight="1" x14ac:dyDescent="0.5">
      <c r="A617" s="81"/>
      <c r="B617" s="81"/>
      <c r="C617" s="81"/>
      <c r="D617" s="81"/>
      <c r="E617" s="81"/>
      <c r="F617" s="81"/>
      <c r="G617" s="105"/>
      <c r="H617" s="81"/>
      <c r="I617" s="81"/>
      <c r="J617" s="82"/>
      <c r="K617" s="81"/>
      <c r="L617" s="81"/>
      <c r="M617" s="82"/>
      <c r="N617" s="81"/>
      <c r="O617" s="82"/>
      <c r="P617" s="81"/>
      <c r="Q617" s="82"/>
      <c r="R617" s="81"/>
      <c r="S617" s="105"/>
      <c r="T617" s="81"/>
      <c r="U617" s="81"/>
      <c r="V617" s="81"/>
      <c r="W617" s="81"/>
      <c r="X617" s="81"/>
      <c r="Y617" s="81"/>
      <c r="Z617" s="81"/>
    </row>
    <row r="618" spans="1:26" ht="24" customHeight="1" x14ac:dyDescent="0.5">
      <c r="A618" s="81"/>
      <c r="B618" s="81"/>
      <c r="C618" s="81"/>
      <c r="D618" s="81"/>
      <c r="E618" s="81"/>
      <c r="F618" s="81"/>
      <c r="G618" s="105"/>
      <c r="H618" s="81"/>
      <c r="I618" s="81"/>
      <c r="J618" s="82"/>
      <c r="K618" s="81"/>
      <c r="L618" s="81"/>
      <c r="M618" s="82"/>
      <c r="N618" s="81"/>
      <c r="O618" s="82"/>
      <c r="P618" s="81"/>
      <c r="Q618" s="82"/>
      <c r="R618" s="81"/>
      <c r="S618" s="105"/>
      <c r="T618" s="81"/>
      <c r="U618" s="81"/>
      <c r="V618" s="81"/>
      <c r="W618" s="81"/>
      <c r="X618" s="81"/>
      <c r="Y618" s="81"/>
      <c r="Z618" s="81"/>
    </row>
    <row r="619" spans="1:26" ht="24" customHeight="1" x14ac:dyDescent="0.5">
      <c r="A619" s="81"/>
      <c r="B619" s="81"/>
      <c r="C619" s="81"/>
      <c r="D619" s="81"/>
      <c r="E619" s="81"/>
      <c r="F619" s="81"/>
      <c r="G619" s="105"/>
      <c r="H619" s="81"/>
      <c r="I619" s="81"/>
      <c r="J619" s="82"/>
      <c r="K619" s="81"/>
      <c r="L619" s="81"/>
      <c r="M619" s="82"/>
      <c r="N619" s="81"/>
      <c r="O619" s="82"/>
      <c r="P619" s="81"/>
      <c r="Q619" s="82"/>
      <c r="R619" s="81"/>
      <c r="S619" s="105"/>
      <c r="T619" s="81"/>
      <c r="U619" s="81"/>
      <c r="V619" s="81"/>
      <c r="W619" s="81"/>
      <c r="X619" s="81"/>
      <c r="Y619" s="81"/>
      <c r="Z619" s="81"/>
    </row>
    <row r="620" spans="1:26" ht="24" customHeight="1" x14ac:dyDescent="0.5">
      <c r="A620" s="81"/>
      <c r="B620" s="81"/>
      <c r="C620" s="81"/>
      <c r="D620" s="81"/>
      <c r="E620" s="81"/>
      <c r="F620" s="81"/>
      <c r="G620" s="105"/>
      <c r="H620" s="81"/>
      <c r="I620" s="81"/>
      <c r="J620" s="82"/>
      <c r="K620" s="81"/>
      <c r="L620" s="81"/>
      <c r="M620" s="82"/>
      <c r="N620" s="81"/>
      <c r="O620" s="82"/>
      <c r="P620" s="81"/>
      <c r="Q620" s="82"/>
      <c r="R620" s="81"/>
      <c r="S620" s="105"/>
      <c r="T620" s="81"/>
      <c r="U620" s="81"/>
      <c r="V620" s="81"/>
      <c r="W620" s="81"/>
      <c r="X620" s="81"/>
      <c r="Y620" s="81"/>
      <c r="Z620" s="81"/>
    </row>
    <row r="621" spans="1:26" ht="24" customHeight="1" x14ac:dyDescent="0.5">
      <c r="A621" s="81"/>
      <c r="B621" s="81"/>
      <c r="C621" s="81"/>
      <c r="D621" s="81"/>
      <c r="E621" s="81"/>
      <c r="F621" s="81"/>
      <c r="G621" s="105"/>
      <c r="H621" s="81"/>
      <c r="I621" s="81"/>
      <c r="J621" s="82"/>
      <c r="K621" s="81"/>
      <c r="L621" s="81"/>
      <c r="M621" s="82"/>
      <c r="N621" s="81"/>
      <c r="O621" s="82"/>
      <c r="P621" s="81"/>
      <c r="Q621" s="82"/>
      <c r="R621" s="81"/>
      <c r="S621" s="105"/>
      <c r="T621" s="81"/>
      <c r="U621" s="81"/>
      <c r="V621" s="81"/>
      <c r="W621" s="81"/>
      <c r="X621" s="81"/>
      <c r="Y621" s="81"/>
      <c r="Z621" s="81"/>
    </row>
    <row r="622" spans="1:26" ht="24" customHeight="1" x14ac:dyDescent="0.5">
      <c r="A622" s="81"/>
      <c r="B622" s="81"/>
      <c r="C622" s="81"/>
      <c r="D622" s="81"/>
      <c r="E622" s="81"/>
      <c r="F622" s="81"/>
      <c r="G622" s="105"/>
      <c r="H622" s="81"/>
      <c r="I622" s="81"/>
      <c r="J622" s="82"/>
      <c r="K622" s="81"/>
      <c r="L622" s="81"/>
      <c r="M622" s="82"/>
      <c r="N622" s="81"/>
      <c r="O622" s="82"/>
      <c r="P622" s="81"/>
      <c r="Q622" s="82"/>
      <c r="R622" s="81"/>
      <c r="S622" s="105"/>
      <c r="T622" s="81"/>
      <c r="U622" s="81"/>
      <c r="V622" s="81"/>
      <c r="W622" s="81"/>
      <c r="X622" s="81"/>
      <c r="Y622" s="81"/>
      <c r="Z622" s="81"/>
    </row>
    <row r="623" spans="1:26" ht="24" customHeight="1" x14ac:dyDescent="0.5">
      <c r="A623" s="81"/>
      <c r="B623" s="81"/>
      <c r="C623" s="81"/>
      <c r="D623" s="81"/>
      <c r="E623" s="81"/>
      <c r="F623" s="81"/>
      <c r="G623" s="105"/>
      <c r="H623" s="81"/>
      <c r="I623" s="81"/>
      <c r="J623" s="82"/>
      <c r="K623" s="81"/>
      <c r="L623" s="81"/>
      <c r="M623" s="82"/>
      <c r="N623" s="81"/>
      <c r="O623" s="82"/>
      <c r="P623" s="81"/>
      <c r="Q623" s="82"/>
      <c r="R623" s="81"/>
      <c r="S623" s="105"/>
      <c r="T623" s="81"/>
      <c r="U623" s="81"/>
      <c r="V623" s="81"/>
      <c r="W623" s="81"/>
      <c r="X623" s="81"/>
      <c r="Y623" s="81"/>
      <c r="Z623" s="81"/>
    </row>
    <row r="624" spans="1:26" ht="24" customHeight="1" x14ac:dyDescent="0.5">
      <c r="A624" s="81"/>
      <c r="B624" s="81"/>
      <c r="C624" s="81"/>
      <c r="D624" s="81"/>
      <c r="E624" s="81"/>
      <c r="F624" s="81"/>
      <c r="G624" s="105"/>
      <c r="H624" s="81"/>
      <c r="I624" s="81"/>
      <c r="J624" s="82"/>
      <c r="K624" s="81"/>
      <c r="L624" s="81"/>
      <c r="M624" s="82"/>
      <c r="N624" s="81"/>
      <c r="O624" s="82"/>
      <c r="P624" s="81"/>
      <c r="Q624" s="82"/>
      <c r="R624" s="81"/>
      <c r="S624" s="105"/>
      <c r="T624" s="81"/>
      <c r="U624" s="81"/>
      <c r="V624" s="81"/>
      <c r="W624" s="81"/>
      <c r="X624" s="81"/>
      <c r="Y624" s="81"/>
      <c r="Z624" s="81"/>
    </row>
    <row r="625" spans="1:26" ht="24" customHeight="1" x14ac:dyDescent="0.5">
      <c r="A625" s="81"/>
      <c r="B625" s="81"/>
      <c r="C625" s="81"/>
      <c r="D625" s="81"/>
      <c r="E625" s="81"/>
      <c r="F625" s="81"/>
      <c r="G625" s="105"/>
      <c r="H625" s="81"/>
      <c r="I625" s="81"/>
      <c r="J625" s="82"/>
      <c r="K625" s="81"/>
      <c r="L625" s="81"/>
      <c r="M625" s="82"/>
      <c r="N625" s="81"/>
      <c r="O625" s="82"/>
      <c r="P625" s="81"/>
      <c r="Q625" s="82"/>
      <c r="R625" s="81"/>
      <c r="S625" s="105"/>
      <c r="T625" s="81"/>
      <c r="U625" s="81"/>
      <c r="V625" s="81"/>
      <c r="W625" s="81"/>
      <c r="X625" s="81"/>
      <c r="Y625" s="81"/>
      <c r="Z625" s="81"/>
    </row>
    <row r="626" spans="1:26" ht="24" customHeight="1" x14ac:dyDescent="0.5">
      <c r="A626" s="81"/>
      <c r="B626" s="81"/>
      <c r="C626" s="81"/>
      <c r="D626" s="81"/>
      <c r="E626" s="81"/>
      <c r="F626" s="81"/>
      <c r="G626" s="105"/>
      <c r="H626" s="81"/>
      <c r="I626" s="81"/>
      <c r="J626" s="82"/>
      <c r="K626" s="81"/>
      <c r="L626" s="81"/>
      <c r="M626" s="82"/>
      <c r="N626" s="81"/>
      <c r="O626" s="82"/>
      <c r="P626" s="81"/>
      <c r="Q626" s="82"/>
      <c r="R626" s="81"/>
      <c r="S626" s="105"/>
      <c r="T626" s="81"/>
      <c r="U626" s="81"/>
      <c r="V626" s="81"/>
      <c r="W626" s="81"/>
      <c r="X626" s="81"/>
      <c r="Y626" s="81"/>
      <c r="Z626" s="81"/>
    </row>
    <row r="627" spans="1:26" ht="24" customHeight="1" x14ac:dyDescent="0.5">
      <c r="A627" s="81"/>
      <c r="B627" s="81"/>
      <c r="C627" s="81"/>
      <c r="D627" s="81"/>
      <c r="E627" s="81"/>
      <c r="F627" s="81"/>
      <c r="G627" s="105"/>
      <c r="H627" s="81"/>
      <c r="I627" s="81"/>
      <c r="J627" s="82"/>
      <c r="K627" s="81"/>
      <c r="L627" s="81"/>
      <c r="M627" s="82"/>
      <c r="N627" s="81"/>
      <c r="O627" s="82"/>
      <c r="P627" s="81"/>
      <c r="Q627" s="82"/>
      <c r="R627" s="81"/>
      <c r="S627" s="105"/>
      <c r="T627" s="81"/>
      <c r="U627" s="81"/>
      <c r="V627" s="81"/>
      <c r="W627" s="81"/>
      <c r="X627" s="81"/>
      <c r="Y627" s="81"/>
      <c r="Z627" s="81"/>
    </row>
    <row r="628" spans="1:26" ht="24" customHeight="1" x14ac:dyDescent="0.5">
      <c r="A628" s="81"/>
      <c r="B628" s="81"/>
      <c r="C628" s="81"/>
      <c r="D628" s="81"/>
      <c r="E628" s="81"/>
      <c r="F628" s="81"/>
      <c r="G628" s="105"/>
      <c r="H628" s="81"/>
      <c r="I628" s="81"/>
      <c r="J628" s="82"/>
      <c r="K628" s="81"/>
      <c r="L628" s="81"/>
      <c r="M628" s="82"/>
      <c r="N628" s="81"/>
      <c r="O628" s="82"/>
      <c r="P628" s="81"/>
      <c r="Q628" s="82"/>
      <c r="R628" s="81"/>
      <c r="S628" s="105"/>
      <c r="T628" s="81"/>
      <c r="U628" s="81"/>
      <c r="V628" s="81"/>
      <c r="W628" s="81"/>
      <c r="X628" s="81"/>
      <c r="Y628" s="81"/>
      <c r="Z628" s="81"/>
    </row>
    <row r="629" spans="1:26" ht="24" customHeight="1" x14ac:dyDescent="0.5">
      <c r="A629" s="81"/>
      <c r="B629" s="81"/>
      <c r="C629" s="81"/>
      <c r="D629" s="81"/>
      <c r="E629" s="81"/>
      <c r="F629" s="81"/>
      <c r="G629" s="105"/>
      <c r="H629" s="81"/>
      <c r="I629" s="81"/>
      <c r="J629" s="82"/>
      <c r="K629" s="81"/>
      <c r="L629" s="81"/>
      <c r="M629" s="82"/>
      <c r="N629" s="81"/>
      <c r="O629" s="82"/>
      <c r="P629" s="81"/>
      <c r="Q629" s="82"/>
      <c r="R629" s="81"/>
      <c r="S629" s="105"/>
      <c r="T629" s="81"/>
      <c r="U629" s="81"/>
      <c r="V629" s="81"/>
      <c r="W629" s="81"/>
      <c r="X629" s="81"/>
      <c r="Y629" s="81"/>
      <c r="Z629" s="81"/>
    </row>
    <row r="630" spans="1:26" ht="24" customHeight="1" x14ac:dyDescent="0.5">
      <c r="A630" s="81"/>
      <c r="B630" s="81"/>
      <c r="C630" s="81"/>
      <c r="D630" s="81"/>
      <c r="E630" s="81"/>
      <c r="F630" s="81"/>
      <c r="G630" s="105"/>
      <c r="H630" s="81"/>
      <c r="I630" s="81"/>
      <c r="J630" s="82"/>
      <c r="K630" s="81"/>
      <c r="L630" s="81"/>
      <c r="M630" s="82"/>
      <c r="N630" s="81"/>
      <c r="O630" s="82"/>
      <c r="P630" s="81"/>
      <c r="Q630" s="82"/>
      <c r="R630" s="81"/>
      <c r="S630" s="105"/>
      <c r="T630" s="81"/>
      <c r="U630" s="81"/>
      <c r="V630" s="81"/>
      <c r="W630" s="81"/>
      <c r="X630" s="81"/>
      <c r="Y630" s="81"/>
      <c r="Z630" s="81"/>
    </row>
    <row r="631" spans="1:26" ht="24" customHeight="1" x14ac:dyDescent="0.5">
      <c r="A631" s="81"/>
      <c r="B631" s="81"/>
      <c r="C631" s="81"/>
      <c r="D631" s="81"/>
      <c r="E631" s="81"/>
      <c r="F631" s="81"/>
      <c r="G631" s="105"/>
      <c r="H631" s="81"/>
      <c r="I631" s="81"/>
      <c r="J631" s="82"/>
      <c r="K631" s="81"/>
      <c r="L631" s="81"/>
      <c r="M631" s="82"/>
      <c r="N631" s="81"/>
      <c r="O631" s="82"/>
      <c r="P631" s="81"/>
      <c r="Q631" s="82"/>
      <c r="R631" s="81"/>
      <c r="S631" s="105"/>
      <c r="T631" s="81"/>
      <c r="U631" s="81"/>
      <c r="V631" s="81"/>
      <c r="W631" s="81"/>
      <c r="X631" s="81"/>
      <c r="Y631" s="81"/>
      <c r="Z631" s="81"/>
    </row>
    <row r="632" spans="1:26" ht="24" customHeight="1" x14ac:dyDescent="0.5">
      <c r="A632" s="81"/>
      <c r="B632" s="81"/>
      <c r="C632" s="81"/>
      <c r="D632" s="81"/>
      <c r="E632" s="81"/>
      <c r="F632" s="81"/>
      <c r="G632" s="105"/>
      <c r="H632" s="81"/>
      <c r="I632" s="81"/>
      <c r="J632" s="82"/>
      <c r="K632" s="81"/>
      <c r="L632" s="81"/>
      <c r="M632" s="82"/>
      <c r="N632" s="81"/>
      <c r="O632" s="82"/>
      <c r="P632" s="81"/>
      <c r="Q632" s="82"/>
      <c r="R632" s="81"/>
      <c r="S632" s="105"/>
      <c r="T632" s="81"/>
      <c r="U632" s="81"/>
      <c r="V632" s="81"/>
      <c r="W632" s="81"/>
      <c r="X632" s="81"/>
      <c r="Y632" s="81"/>
      <c r="Z632" s="81"/>
    </row>
    <row r="633" spans="1:26" ht="24" customHeight="1" x14ac:dyDescent="0.5">
      <c r="A633" s="81"/>
      <c r="B633" s="81"/>
      <c r="C633" s="81"/>
      <c r="D633" s="81"/>
      <c r="E633" s="81"/>
      <c r="F633" s="81"/>
      <c r="G633" s="105"/>
      <c r="H633" s="81"/>
      <c r="I633" s="81"/>
      <c r="J633" s="82"/>
      <c r="K633" s="81"/>
      <c r="L633" s="81"/>
      <c r="M633" s="82"/>
      <c r="N633" s="81"/>
      <c r="O633" s="82"/>
      <c r="P633" s="81"/>
      <c r="Q633" s="82"/>
      <c r="R633" s="81"/>
      <c r="S633" s="105"/>
      <c r="T633" s="81"/>
      <c r="U633" s="81"/>
      <c r="V633" s="81"/>
      <c r="W633" s="81"/>
      <c r="X633" s="81"/>
      <c r="Y633" s="81"/>
      <c r="Z633" s="81"/>
    </row>
    <row r="634" spans="1:26" ht="24" customHeight="1" x14ac:dyDescent="0.5">
      <c r="A634" s="81"/>
      <c r="B634" s="81"/>
      <c r="C634" s="81"/>
      <c r="D634" s="81"/>
      <c r="E634" s="81"/>
      <c r="F634" s="81"/>
      <c r="G634" s="105"/>
      <c r="H634" s="81"/>
      <c r="I634" s="81"/>
      <c r="J634" s="82"/>
      <c r="K634" s="81"/>
      <c r="L634" s="81"/>
      <c r="M634" s="82"/>
      <c r="N634" s="81"/>
      <c r="O634" s="82"/>
      <c r="P634" s="81"/>
      <c r="Q634" s="82"/>
      <c r="R634" s="81"/>
      <c r="S634" s="105"/>
      <c r="T634" s="81"/>
      <c r="U634" s="81"/>
      <c r="V634" s="81"/>
      <c r="W634" s="81"/>
      <c r="X634" s="81"/>
      <c r="Y634" s="81"/>
      <c r="Z634" s="81"/>
    </row>
    <row r="635" spans="1:26" ht="24" customHeight="1" x14ac:dyDescent="0.5">
      <c r="A635" s="81"/>
      <c r="B635" s="81"/>
      <c r="C635" s="81"/>
      <c r="D635" s="81"/>
      <c r="E635" s="81"/>
      <c r="F635" s="81"/>
      <c r="G635" s="105"/>
      <c r="H635" s="81"/>
      <c r="I635" s="81"/>
      <c r="J635" s="82"/>
      <c r="K635" s="81"/>
      <c r="L635" s="81"/>
      <c r="M635" s="82"/>
      <c r="N635" s="81"/>
      <c r="O635" s="82"/>
      <c r="P635" s="81"/>
      <c r="Q635" s="82"/>
      <c r="R635" s="81"/>
      <c r="S635" s="105"/>
      <c r="T635" s="81"/>
      <c r="U635" s="81"/>
      <c r="V635" s="81"/>
      <c r="W635" s="81"/>
      <c r="X635" s="81"/>
      <c r="Y635" s="81"/>
      <c r="Z635" s="81"/>
    </row>
    <row r="636" spans="1:26" ht="24" customHeight="1" x14ac:dyDescent="0.5">
      <c r="A636" s="81"/>
      <c r="B636" s="81"/>
      <c r="C636" s="81"/>
      <c r="D636" s="81"/>
      <c r="E636" s="81"/>
      <c r="F636" s="81"/>
      <c r="G636" s="105"/>
      <c r="H636" s="81"/>
      <c r="I636" s="81"/>
      <c r="J636" s="82"/>
      <c r="K636" s="81"/>
      <c r="L636" s="81"/>
      <c r="M636" s="82"/>
      <c r="N636" s="81"/>
      <c r="O636" s="82"/>
      <c r="P636" s="81"/>
      <c r="Q636" s="82"/>
      <c r="R636" s="81"/>
      <c r="S636" s="105"/>
      <c r="T636" s="81"/>
      <c r="U636" s="81"/>
      <c r="V636" s="81"/>
      <c r="W636" s="81"/>
      <c r="X636" s="81"/>
      <c r="Y636" s="81"/>
      <c r="Z636" s="81"/>
    </row>
    <row r="637" spans="1:26" ht="24" customHeight="1" x14ac:dyDescent="0.5">
      <c r="A637" s="81"/>
      <c r="B637" s="81"/>
      <c r="C637" s="81"/>
      <c r="D637" s="81"/>
      <c r="E637" s="81"/>
      <c r="F637" s="81"/>
      <c r="G637" s="105"/>
      <c r="H637" s="81"/>
      <c r="I637" s="81"/>
      <c r="J637" s="82"/>
      <c r="K637" s="81"/>
      <c r="L637" s="81"/>
      <c r="M637" s="82"/>
      <c r="N637" s="81"/>
      <c r="O637" s="82"/>
      <c r="P637" s="81"/>
      <c r="Q637" s="82"/>
      <c r="R637" s="81"/>
      <c r="S637" s="105"/>
      <c r="T637" s="81"/>
      <c r="U637" s="81"/>
      <c r="V637" s="81"/>
      <c r="W637" s="81"/>
      <c r="X637" s="81"/>
      <c r="Y637" s="81"/>
      <c r="Z637" s="81"/>
    </row>
    <row r="638" spans="1:26" ht="24" customHeight="1" x14ac:dyDescent="0.5">
      <c r="A638" s="81"/>
      <c r="B638" s="81"/>
      <c r="C638" s="81"/>
      <c r="D638" s="81"/>
      <c r="E638" s="81"/>
      <c r="F638" s="81"/>
      <c r="G638" s="105"/>
      <c r="H638" s="81"/>
      <c r="I638" s="81"/>
      <c r="J638" s="82"/>
      <c r="K638" s="81"/>
      <c r="L638" s="81"/>
      <c r="M638" s="82"/>
      <c r="N638" s="81"/>
      <c r="O638" s="82"/>
      <c r="P638" s="81"/>
      <c r="Q638" s="82"/>
      <c r="R638" s="81"/>
      <c r="S638" s="105"/>
      <c r="T638" s="81"/>
      <c r="U638" s="81"/>
      <c r="V638" s="81"/>
      <c r="W638" s="81"/>
      <c r="X638" s="81"/>
      <c r="Y638" s="81"/>
      <c r="Z638" s="81"/>
    </row>
    <row r="639" spans="1:26" ht="24" customHeight="1" x14ac:dyDescent="0.5">
      <c r="A639" s="81"/>
      <c r="B639" s="81"/>
      <c r="C639" s="81"/>
      <c r="D639" s="81"/>
      <c r="E639" s="81"/>
      <c r="F639" s="81"/>
      <c r="G639" s="105"/>
      <c r="H639" s="81"/>
      <c r="I639" s="81"/>
      <c r="J639" s="82"/>
      <c r="K639" s="81"/>
      <c r="L639" s="81"/>
      <c r="M639" s="82"/>
      <c r="N639" s="81"/>
      <c r="O639" s="82"/>
      <c r="P639" s="81"/>
      <c r="Q639" s="82"/>
      <c r="R639" s="81"/>
      <c r="S639" s="105"/>
      <c r="T639" s="81"/>
      <c r="U639" s="81"/>
      <c r="V639" s="81"/>
      <c r="W639" s="81"/>
      <c r="X639" s="81"/>
      <c r="Y639" s="81"/>
      <c r="Z639" s="81"/>
    </row>
    <row r="640" spans="1:26" ht="24" customHeight="1" x14ac:dyDescent="0.5">
      <c r="A640" s="81"/>
      <c r="B640" s="81"/>
      <c r="C640" s="81"/>
      <c r="D640" s="81"/>
      <c r="E640" s="81"/>
      <c r="F640" s="81"/>
      <c r="G640" s="105"/>
      <c r="H640" s="81"/>
      <c r="I640" s="81"/>
      <c r="J640" s="82"/>
      <c r="K640" s="81"/>
      <c r="L640" s="81"/>
      <c r="M640" s="82"/>
      <c r="N640" s="81"/>
      <c r="O640" s="82"/>
      <c r="P640" s="81"/>
      <c r="Q640" s="82"/>
      <c r="R640" s="81"/>
      <c r="S640" s="105"/>
      <c r="T640" s="81"/>
      <c r="U640" s="81"/>
      <c r="V640" s="81"/>
      <c r="W640" s="81"/>
      <c r="X640" s="81"/>
      <c r="Y640" s="81"/>
      <c r="Z640" s="81"/>
    </row>
    <row r="641" spans="1:26" ht="24" customHeight="1" x14ac:dyDescent="0.5">
      <c r="A641" s="81"/>
      <c r="B641" s="81"/>
      <c r="C641" s="81"/>
      <c r="D641" s="81"/>
      <c r="E641" s="81"/>
      <c r="F641" s="81"/>
      <c r="G641" s="105"/>
      <c r="H641" s="81"/>
      <c r="I641" s="81"/>
      <c r="J641" s="82"/>
      <c r="K641" s="81"/>
      <c r="L641" s="81"/>
      <c r="M641" s="82"/>
      <c r="N641" s="81"/>
      <c r="O641" s="82"/>
      <c r="P641" s="81"/>
      <c r="Q641" s="82"/>
      <c r="R641" s="81"/>
      <c r="S641" s="105"/>
      <c r="T641" s="81"/>
      <c r="U641" s="81"/>
      <c r="V641" s="81"/>
      <c r="W641" s="81"/>
      <c r="X641" s="81"/>
      <c r="Y641" s="81"/>
      <c r="Z641" s="81"/>
    </row>
    <row r="642" spans="1:26" ht="24" customHeight="1" x14ac:dyDescent="0.5">
      <c r="A642" s="81"/>
      <c r="B642" s="81"/>
      <c r="C642" s="81"/>
      <c r="D642" s="81"/>
      <c r="E642" s="81"/>
      <c r="F642" s="81"/>
      <c r="G642" s="105"/>
      <c r="H642" s="81"/>
      <c r="I642" s="81"/>
      <c r="J642" s="82"/>
      <c r="K642" s="81"/>
      <c r="L642" s="81"/>
      <c r="M642" s="82"/>
      <c r="N642" s="81"/>
      <c r="O642" s="82"/>
      <c r="P642" s="81"/>
      <c r="Q642" s="82"/>
      <c r="R642" s="81"/>
      <c r="S642" s="105"/>
      <c r="T642" s="81"/>
      <c r="U642" s="81"/>
      <c r="V642" s="81"/>
      <c r="W642" s="81"/>
      <c r="X642" s="81"/>
      <c r="Y642" s="81"/>
      <c r="Z642" s="81"/>
    </row>
    <row r="643" spans="1:26" ht="24" customHeight="1" x14ac:dyDescent="0.5">
      <c r="A643" s="81"/>
      <c r="B643" s="81"/>
      <c r="C643" s="81"/>
      <c r="D643" s="81"/>
      <c r="E643" s="81"/>
      <c r="F643" s="81"/>
      <c r="G643" s="105"/>
      <c r="H643" s="81"/>
      <c r="I643" s="81"/>
      <c r="J643" s="82"/>
      <c r="K643" s="81"/>
      <c r="L643" s="81"/>
      <c r="M643" s="82"/>
      <c r="N643" s="81"/>
      <c r="O643" s="82"/>
      <c r="P643" s="81"/>
      <c r="Q643" s="82"/>
      <c r="R643" s="81"/>
      <c r="S643" s="105"/>
      <c r="T643" s="81"/>
      <c r="U643" s="81"/>
      <c r="V643" s="81"/>
      <c r="W643" s="81"/>
      <c r="X643" s="81"/>
      <c r="Y643" s="81"/>
      <c r="Z643" s="81"/>
    </row>
    <row r="644" spans="1:26" ht="24" customHeight="1" x14ac:dyDescent="0.5">
      <c r="A644" s="81"/>
      <c r="B644" s="81"/>
      <c r="C644" s="81"/>
      <c r="D644" s="81"/>
      <c r="E644" s="81"/>
      <c r="F644" s="81"/>
      <c r="G644" s="105"/>
      <c r="H644" s="81"/>
      <c r="I644" s="81"/>
      <c r="J644" s="82"/>
      <c r="K644" s="81"/>
      <c r="L644" s="81"/>
      <c r="M644" s="82"/>
      <c r="N644" s="81"/>
      <c r="O644" s="82"/>
      <c r="P644" s="81"/>
      <c r="Q644" s="82"/>
      <c r="R644" s="81"/>
      <c r="S644" s="105"/>
      <c r="T644" s="81"/>
      <c r="U644" s="81"/>
      <c r="V644" s="81"/>
      <c r="W644" s="81"/>
      <c r="X644" s="81"/>
      <c r="Y644" s="81"/>
      <c r="Z644" s="81"/>
    </row>
    <row r="645" spans="1:26" ht="24" customHeight="1" x14ac:dyDescent="0.5">
      <c r="A645" s="81"/>
      <c r="B645" s="81"/>
      <c r="C645" s="81"/>
      <c r="D645" s="81"/>
      <c r="E645" s="81"/>
      <c r="F645" s="81"/>
      <c r="G645" s="105"/>
      <c r="H645" s="81"/>
      <c r="I645" s="81"/>
      <c r="J645" s="82"/>
      <c r="K645" s="81"/>
      <c r="L645" s="81"/>
      <c r="M645" s="82"/>
      <c r="N645" s="81"/>
      <c r="O645" s="82"/>
      <c r="P645" s="81"/>
      <c r="Q645" s="82"/>
      <c r="R645" s="81"/>
      <c r="S645" s="105"/>
      <c r="T645" s="81"/>
      <c r="U645" s="81"/>
      <c r="V645" s="81"/>
      <c r="W645" s="81"/>
      <c r="X645" s="81"/>
      <c r="Y645" s="81"/>
      <c r="Z645" s="81"/>
    </row>
    <row r="646" spans="1:26" ht="24" customHeight="1" x14ac:dyDescent="0.5">
      <c r="A646" s="81"/>
      <c r="B646" s="81"/>
      <c r="C646" s="81"/>
      <c r="D646" s="81"/>
      <c r="E646" s="81"/>
      <c r="F646" s="81"/>
      <c r="G646" s="105"/>
      <c r="H646" s="81"/>
      <c r="I646" s="81"/>
      <c r="J646" s="82"/>
      <c r="K646" s="81"/>
      <c r="L646" s="81"/>
      <c r="M646" s="82"/>
      <c r="N646" s="81"/>
      <c r="O646" s="82"/>
      <c r="P646" s="81"/>
      <c r="Q646" s="82"/>
      <c r="R646" s="81"/>
      <c r="S646" s="105"/>
      <c r="T646" s="81"/>
      <c r="U646" s="81"/>
      <c r="V646" s="81"/>
      <c r="W646" s="81"/>
      <c r="X646" s="81"/>
      <c r="Y646" s="81"/>
      <c r="Z646" s="81"/>
    </row>
    <row r="647" spans="1:26" ht="24" customHeight="1" x14ac:dyDescent="0.5">
      <c r="A647" s="81"/>
      <c r="B647" s="81"/>
      <c r="C647" s="81"/>
      <c r="D647" s="81"/>
      <c r="E647" s="81"/>
      <c r="F647" s="81"/>
      <c r="G647" s="105"/>
      <c r="H647" s="81"/>
      <c r="I647" s="81"/>
      <c r="J647" s="82"/>
      <c r="K647" s="81"/>
      <c r="L647" s="81"/>
      <c r="M647" s="82"/>
      <c r="N647" s="81"/>
      <c r="O647" s="82"/>
      <c r="P647" s="81"/>
      <c r="Q647" s="82"/>
      <c r="R647" s="81"/>
      <c r="S647" s="105"/>
      <c r="T647" s="81"/>
      <c r="U647" s="81"/>
      <c r="V647" s="81"/>
      <c r="W647" s="81"/>
      <c r="X647" s="81"/>
      <c r="Y647" s="81"/>
      <c r="Z647" s="81"/>
    </row>
    <row r="648" spans="1:26" ht="24" customHeight="1" x14ac:dyDescent="0.5">
      <c r="A648" s="81"/>
      <c r="B648" s="81"/>
      <c r="C648" s="81"/>
      <c r="D648" s="81"/>
      <c r="E648" s="81"/>
      <c r="F648" s="81"/>
      <c r="G648" s="105"/>
      <c r="H648" s="81"/>
      <c r="I648" s="81"/>
      <c r="J648" s="82"/>
      <c r="K648" s="81"/>
      <c r="L648" s="81"/>
      <c r="M648" s="82"/>
      <c r="N648" s="81"/>
      <c r="O648" s="82"/>
      <c r="P648" s="81"/>
      <c r="Q648" s="82"/>
      <c r="R648" s="81"/>
      <c r="S648" s="105"/>
      <c r="T648" s="81"/>
      <c r="U648" s="81"/>
      <c r="V648" s="81"/>
      <c r="W648" s="81"/>
      <c r="X648" s="81"/>
      <c r="Y648" s="81"/>
      <c r="Z648" s="81"/>
    </row>
    <row r="649" spans="1:26" ht="24" customHeight="1" x14ac:dyDescent="0.5">
      <c r="A649" s="81"/>
      <c r="B649" s="81"/>
      <c r="C649" s="81"/>
      <c r="D649" s="81"/>
      <c r="E649" s="81"/>
      <c r="F649" s="81"/>
      <c r="G649" s="105"/>
      <c r="H649" s="81"/>
      <c r="I649" s="81"/>
      <c r="J649" s="82"/>
      <c r="K649" s="81"/>
      <c r="L649" s="81"/>
      <c r="M649" s="82"/>
      <c r="N649" s="81"/>
      <c r="O649" s="82"/>
      <c r="P649" s="81"/>
      <c r="Q649" s="82"/>
      <c r="R649" s="81"/>
      <c r="S649" s="105"/>
      <c r="T649" s="81"/>
      <c r="U649" s="81"/>
      <c r="V649" s="81"/>
      <c r="W649" s="81"/>
      <c r="X649" s="81"/>
      <c r="Y649" s="81"/>
      <c r="Z649" s="81"/>
    </row>
    <row r="650" spans="1:26" ht="24" customHeight="1" x14ac:dyDescent="0.5">
      <c r="A650" s="81"/>
      <c r="B650" s="81"/>
      <c r="C650" s="81"/>
      <c r="D650" s="81"/>
      <c r="E650" s="81"/>
      <c r="F650" s="81"/>
      <c r="G650" s="105"/>
      <c r="H650" s="81"/>
      <c r="I650" s="81"/>
      <c r="J650" s="82"/>
      <c r="K650" s="81"/>
      <c r="L650" s="81"/>
      <c r="M650" s="82"/>
      <c r="N650" s="81"/>
      <c r="O650" s="82"/>
      <c r="P650" s="81"/>
      <c r="Q650" s="82"/>
      <c r="R650" s="81"/>
      <c r="S650" s="105"/>
      <c r="T650" s="81"/>
      <c r="U650" s="81"/>
      <c r="V650" s="81"/>
      <c r="W650" s="81"/>
      <c r="X650" s="81"/>
      <c r="Y650" s="81"/>
      <c r="Z650" s="81"/>
    </row>
    <row r="651" spans="1:26" ht="24" customHeight="1" x14ac:dyDescent="0.5">
      <c r="A651" s="81"/>
      <c r="B651" s="81"/>
      <c r="C651" s="81"/>
      <c r="D651" s="81"/>
      <c r="E651" s="81"/>
      <c r="F651" s="81"/>
      <c r="G651" s="105"/>
      <c r="H651" s="81"/>
      <c r="I651" s="81"/>
      <c r="J651" s="82"/>
      <c r="K651" s="81"/>
      <c r="L651" s="81"/>
      <c r="M651" s="82"/>
      <c r="N651" s="81"/>
      <c r="O651" s="82"/>
      <c r="P651" s="81"/>
      <c r="Q651" s="82"/>
      <c r="R651" s="81"/>
      <c r="S651" s="105"/>
      <c r="T651" s="81"/>
      <c r="U651" s="81"/>
      <c r="V651" s="81"/>
      <c r="W651" s="81"/>
      <c r="X651" s="81"/>
      <c r="Y651" s="81"/>
      <c r="Z651" s="81"/>
    </row>
    <row r="652" spans="1:26" ht="24" customHeight="1" x14ac:dyDescent="0.5">
      <c r="A652" s="81"/>
      <c r="B652" s="81"/>
      <c r="C652" s="81"/>
      <c r="D652" s="81"/>
      <c r="E652" s="81"/>
      <c r="F652" s="81"/>
      <c r="G652" s="105"/>
      <c r="H652" s="81"/>
      <c r="I652" s="81"/>
      <c r="J652" s="82"/>
      <c r="K652" s="81"/>
      <c r="L652" s="81"/>
      <c r="M652" s="82"/>
      <c r="N652" s="81"/>
      <c r="O652" s="82"/>
      <c r="P652" s="81"/>
      <c r="Q652" s="82"/>
      <c r="R652" s="81"/>
      <c r="S652" s="105"/>
      <c r="T652" s="81"/>
      <c r="U652" s="81"/>
      <c r="V652" s="81"/>
      <c r="W652" s="81"/>
      <c r="X652" s="81"/>
      <c r="Y652" s="81"/>
      <c r="Z652" s="81"/>
    </row>
    <row r="653" spans="1:26" ht="24" customHeight="1" x14ac:dyDescent="0.5">
      <c r="A653" s="81"/>
      <c r="B653" s="81"/>
      <c r="C653" s="81"/>
      <c r="D653" s="81"/>
      <c r="E653" s="81"/>
      <c r="F653" s="81"/>
      <c r="G653" s="105"/>
      <c r="H653" s="81"/>
      <c r="I653" s="81"/>
      <c r="J653" s="82"/>
      <c r="K653" s="81"/>
      <c r="L653" s="81"/>
      <c r="M653" s="82"/>
      <c r="N653" s="81"/>
      <c r="O653" s="82"/>
      <c r="P653" s="81"/>
      <c r="Q653" s="82"/>
      <c r="R653" s="81"/>
      <c r="S653" s="105"/>
      <c r="T653" s="81"/>
      <c r="U653" s="81"/>
      <c r="V653" s="81"/>
      <c r="W653" s="81"/>
      <c r="X653" s="81"/>
      <c r="Y653" s="81"/>
      <c r="Z653" s="81"/>
    </row>
    <row r="654" spans="1:26" ht="24" customHeight="1" x14ac:dyDescent="0.5">
      <c r="A654" s="81"/>
      <c r="B654" s="81"/>
      <c r="C654" s="81"/>
      <c r="D654" s="81"/>
      <c r="E654" s="81"/>
      <c r="F654" s="81"/>
      <c r="G654" s="105"/>
      <c r="H654" s="81"/>
      <c r="I654" s="81"/>
      <c r="J654" s="82"/>
      <c r="K654" s="81"/>
      <c r="L654" s="81"/>
      <c r="M654" s="82"/>
      <c r="N654" s="81"/>
      <c r="O654" s="82"/>
      <c r="P654" s="81"/>
      <c r="Q654" s="82"/>
      <c r="R654" s="81"/>
      <c r="S654" s="105"/>
      <c r="T654" s="81"/>
      <c r="U654" s="81"/>
      <c r="V654" s="81"/>
      <c r="W654" s="81"/>
      <c r="X654" s="81"/>
      <c r="Y654" s="81"/>
      <c r="Z654" s="81"/>
    </row>
    <row r="655" spans="1:26" ht="24" customHeight="1" x14ac:dyDescent="0.5">
      <c r="A655" s="81"/>
      <c r="B655" s="81"/>
      <c r="C655" s="81"/>
      <c r="D655" s="81"/>
      <c r="E655" s="81"/>
      <c r="F655" s="81"/>
      <c r="G655" s="105"/>
      <c r="H655" s="81"/>
      <c r="I655" s="81"/>
      <c r="J655" s="82"/>
      <c r="K655" s="81"/>
      <c r="L655" s="81"/>
      <c r="M655" s="82"/>
      <c r="N655" s="81"/>
      <c r="O655" s="82"/>
      <c r="P655" s="81"/>
      <c r="Q655" s="82"/>
      <c r="R655" s="81"/>
      <c r="S655" s="105"/>
      <c r="T655" s="81"/>
      <c r="U655" s="81"/>
      <c r="V655" s="81"/>
      <c r="W655" s="81"/>
      <c r="X655" s="81"/>
      <c r="Y655" s="81"/>
      <c r="Z655" s="81"/>
    </row>
    <row r="656" spans="1:26" ht="24" customHeight="1" x14ac:dyDescent="0.5">
      <c r="A656" s="81"/>
      <c r="B656" s="81"/>
      <c r="C656" s="81"/>
      <c r="D656" s="81"/>
      <c r="E656" s="81"/>
      <c r="F656" s="81"/>
      <c r="G656" s="105"/>
      <c r="H656" s="81"/>
      <c r="I656" s="81"/>
      <c r="J656" s="82"/>
      <c r="K656" s="81"/>
      <c r="L656" s="81"/>
      <c r="M656" s="82"/>
      <c r="N656" s="81"/>
      <c r="O656" s="82"/>
      <c r="P656" s="81"/>
      <c r="Q656" s="82"/>
      <c r="R656" s="81"/>
      <c r="S656" s="105"/>
      <c r="T656" s="81"/>
      <c r="U656" s="81"/>
      <c r="V656" s="81"/>
      <c r="W656" s="81"/>
      <c r="X656" s="81"/>
      <c r="Y656" s="81"/>
      <c r="Z656" s="81"/>
    </row>
    <row r="657" spans="1:26" ht="24" customHeight="1" x14ac:dyDescent="0.5">
      <c r="A657" s="81"/>
      <c r="B657" s="81"/>
      <c r="C657" s="81"/>
      <c r="D657" s="81"/>
      <c r="E657" s="81"/>
      <c r="F657" s="81"/>
      <c r="G657" s="105"/>
      <c r="H657" s="81"/>
      <c r="I657" s="81"/>
      <c r="J657" s="82"/>
      <c r="K657" s="81"/>
      <c r="L657" s="81"/>
      <c r="M657" s="82"/>
      <c r="N657" s="81"/>
      <c r="O657" s="82"/>
      <c r="P657" s="81"/>
      <c r="Q657" s="82"/>
      <c r="R657" s="81"/>
      <c r="S657" s="105"/>
      <c r="T657" s="81"/>
      <c r="U657" s="81"/>
      <c r="V657" s="81"/>
      <c r="W657" s="81"/>
      <c r="X657" s="81"/>
      <c r="Y657" s="81"/>
      <c r="Z657" s="81"/>
    </row>
    <row r="658" spans="1:26" ht="24" customHeight="1" x14ac:dyDescent="0.5">
      <c r="A658" s="81"/>
      <c r="B658" s="81"/>
      <c r="C658" s="81"/>
      <c r="D658" s="81"/>
      <c r="E658" s="81"/>
      <c r="F658" s="81"/>
      <c r="G658" s="105"/>
      <c r="H658" s="81"/>
      <c r="I658" s="81"/>
      <c r="J658" s="82"/>
      <c r="K658" s="81"/>
      <c r="L658" s="81"/>
      <c r="M658" s="82"/>
      <c r="N658" s="81"/>
      <c r="O658" s="82"/>
      <c r="P658" s="81"/>
      <c r="Q658" s="82"/>
      <c r="R658" s="81"/>
      <c r="S658" s="105"/>
      <c r="T658" s="81"/>
      <c r="U658" s="81"/>
      <c r="V658" s="81"/>
      <c r="W658" s="81"/>
      <c r="X658" s="81"/>
      <c r="Y658" s="81"/>
      <c r="Z658" s="81"/>
    </row>
    <row r="659" spans="1:26" ht="24" customHeight="1" x14ac:dyDescent="0.5">
      <c r="A659" s="81"/>
      <c r="B659" s="81"/>
      <c r="C659" s="81"/>
      <c r="D659" s="81"/>
      <c r="E659" s="81"/>
      <c r="F659" s="81"/>
      <c r="G659" s="105"/>
      <c r="H659" s="81"/>
      <c r="I659" s="81"/>
      <c r="J659" s="82"/>
      <c r="K659" s="81"/>
      <c r="L659" s="81"/>
      <c r="M659" s="82"/>
      <c r="N659" s="81"/>
      <c r="O659" s="82"/>
      <c r="P659" s="81"/>
      <c r="Q659" s="82"/>
      <c r="R659" s="81"/>
      <c r="S659" s="105"/>
      <c r="T659" s="81"/>
      <c r="U659" s="81"/>
      <c r="V659" s="81"/>
      <c r="W659" s="81"/>
      <c r="X659" s="81"/>
      <c r="Y659" s="81"/>
      <c r="Z659" s="81"/>
    </row>
    <row r="660" spans="1:26" ht="24" customHeight="1" x14ac:dyDescent="0.5">
      <c r="A660" s="81"/>
      <c r="B660" s="81"/>
      <c r="C660" s="81"/>
      <c r="D660" s="81"/>
      <c r="E660" s="81"/>
      <c r="F660" s="81"/>
      <c r="G660" s="105"/>
      <c r="H660" s="81"/>
      <c r="I660" s="81"/>
      <c r="J660" s="82"/>
      <c r="K660" s="81"/>
      <c r="L660" s="81"/>
      <c r="M660" s="82"/>
      <c r="N660" s="81"/>
      <c r="O660" s="82"/>
      <c r="P660" s="81"/>
      <c r="Q660" s="82"/>
      <c r="R660" s="81"/>
      <c r="S660" s="105"/>
      <c r="T660" s="81"/>
      <c r="U660" s="81"/>
      <c r="V660" s="81"/>
      <c r="W660" s="81"/>
      <c r="X660" s="81"/>
      <c r="Y660" s="81"/>
      <c r="Z660" s="81"/>
    </row>
    <row r="661" spans="1:26" ht="24" customHeight="1" x14ac:dyDescent="0.5">
      <c r="A661" s="81"/>
      <c r="B661" s="81"/>
      <c r="C661" s="81"/>
      <c r="D661" s="81"/>
      <c r="E661" s="81"/>
      <c r="F661" s="81"/>
      <c r="G661" s="105"/>
      <c r="H661" s="81"/>
      <c r="I661" s="81"/>
      <c r="J661" s="82"/>
      <c r="K661" s="81"/>
      <c r="L661" s="81"/>
      <c r="M661" s="82"/>
      <c r="N661" s="81"/>
      <c r="O661" s="82"/>
      <c r="P661" s="81"/>
      <c r="Q661" s="82"/>
      <c r="R661" s="81"/>
      <c r="S661" s="105"/>
      <c r="T661" s="81"/>
      <c r="U661" s="81"/>
      <c r="V661" s="81"/>
      <c r="W661" s="81"/>
      <c r="X661" s="81"/>
      <c r="Y661" s="81"/>
      <c r="Z661" s="81"/>
    </row>
    <row r="662" spans="1:26" ht="24" customHeight="1" x14ac:dyDescent="0.5">
      <c r="A662" s="81"/>
      <c r="B662" s="81"/>
      <c r="C662" s="81"/>
      <c r="D662" s="81"/>
      <c r="E662" s="81"/>
      <c r="F662" s="81"/>
      <c r="G662" s="105"/>
      <c r="H662" s="81"/>
      <c r="I662" s="81"/>
      <c r="J662" s="82"/>
      <c r="K662" s="81"/>
      <c r="L662" s="81"/>
      <c r="M662" s="82"/>
      <c r="N662" s="81"/>
      <c r="O662" s="82"/>
      <c r="P662" s="81"/>
      <c r="Q662" s="82"/>
      <c r="R662" s="81"/>
      <c r="S662" s="105"/>
      <c r="T662" s="81"/>
      <c r="U662" s="81"/>
      <c r="V662" s="81"/>
      <c r="W662" s="81"/>
      <c r="X662" s="81"/>
      <c r="Y662" s="81"/>
      <c r="Z662" s="81"/>
    </row>
    <row r="663" spans="1:26" ht="24" customHeight="1" x14ac:dyDescent="0.5">
      <c r="A663" s="81"/>
      <c r="B663" s="81"/>
      <c r="C663" s="81"/>
      <c r="D663" s="81"/>
      <c r="E663" s="81"/>
      <c r="F663" s="81"/>
      <c r="G663" s="105"/>
      <c r="H663" s="81"/>
      <c r="I663" s="81"/>
      <c r="J663" s="82"/>
      <c r="K663" s="81"/>
      <c r="L663" s="81"/>
      <c r="M663" s="82"/>
      <c r="N663" s="81"/>
      <c r="O663" s="82"/>
      <c r="P663" s="81"/>
      <c r="Q663" s="82"/>
      <c r="R663" s="81"/>
      <c r="S663" s="105"/>
      <c r="T663" s="81"/>
      <c r="U663" s="81"/>
      <c r="V663" s="81"/>
      <c r="W663" s="81"/>
      <c r="X663" s="81"/>
      <c r="Y663" s="81"/>
      <c r="Z663" s="81"/>
    </row>
    <row r="664" spans="1:26" ht="24" customHeight="1" x14ac:dyDescent="0.5">
      <c r="A664" s="81"/>
      <c r="B664" s="81"/>
      <c r="C664" s="81"/>
      <c r="D664" s="81"/>
      <c r="E664" s="81"/>
      <c r="F664" s="81"/>
      <c r="G664" s="105"/>
      <c r="H664" s="81"/>
      <c r="I664" s="81"/>
      <c r="J664" s="82"/>
      <c r="K664" s="81"/>
      <c r="L664" s="81"/>
      <c r="M664" s="82"/>
      <c r="N664" s="81"/>
      <c r="O664" s="82"/>
      <c r="P664" s="81"/>
      <c r="Q664" s="82"/>
      <c r="R664" s="81"/>
      <c r="S664" s="105"/>
      <c r="T664" s="81"/>
      <c r="U664" s="81"/>
      <c r="V664" s="81"/>
      <c r="W664" s="81"/>
      <c r="X664" s="81"/>
      <c r="Y664" s="81"/>
      <c r="Z664" s="81"/>
    </row>
    <row r="665" spans="1:26" ht="24" customHeight="1" x14ac:dyDescent="0.5">
      <c r="A665" s="81"/>
      <c r="B665" s="81"/>
      <c r="C665" s="81"/>
      <c r="D665" s="81"/>
      <c r="E665" s="81"/>
      <c r="F665" s="81"/>
      <c r="G665" s="105"/>
      <c r="H665" s="81"/>
      <c r="I665" s="81"/>
      <c r="J665" s="82"/>
      <c r="K665" s="81"/>
      <c r="L665" s="81"/>
      <c r="M665" s="82"/>
      <c r="N665" s="81"/>
      <c r="O665" s="82"/>
      <c r="P665" s="81"/>
      <c r="Q665" s="82"/>
      <c r="R665" s="81"/>
      <c r="S665" s="105"/>
      <c r="T665" s="81"/>
      <c r="U665" s="81"/>
      <c r="V665" s="81"/>
      <c r="W665" s="81"/>
      <c r="X665" s="81"/>
      <c r="Y665" s="81"/>
      <c r="Z665" s="81"/>
    </row>
    <row r="666" spans="1:26" ht="24" customHeight="1" x14ac:dyDescent="0.5">
      <c r="A666" s="81"/>
      <c r="B666" s="81"/>
      <c r="C666" s="81"/>
      <c r="D666" s="81"/>
      <c r="E666" s="81"/>
      <c r="F666" s="81"/>
      <c r="G666" s="105"/>
      <c r="H666" s="81"/>
      <c r="I666" s="81"/>
      <c r="J666" s="82"/>
      <c r="K666" s="81"/>
      <c r="L666" s="81"/>
      <c r="M666" s="82"/>
      <c r="N666" s="81"/>
      <c r="O666" s="82"/>
      <c r="P666" s="81"/>
      <c r="Q666" s="82"/>
      <c r="R666" s="81"/>
      <c r="S666" s="105"/>
      <c r="T666" s="81"/>
      <c r="U666" s="81"/>
      <c r="V666" s="81"/>
      <c r="W666" s="81"/>
      <c r="X666" s="81"/>
      <c r="Y666" s="81"/>
      <c r="Z666" s="81"/>
    </row>
    <row r="667" spans="1:26" ht="24" customHeight="1" x14ac:dyDescent="0.5">
      <c r="A667" s="81"/>
      <c r="B667" s="81"/>
      <c r="C667" s="81"/>
      <c r="D667" s="81"/>
      <c r="E667" s="81"/>
      <c r="F667" s="81"/>
      <c r="G667" s="105"/>
      <c r="H667" s="81"/>
      <c r="I667" s="81"/>
      <c r="J667" s="82"/>
      <c r="K667" s="81"/>
      <c r="L667" s="81"/>
      <c r="M667" s="82"/>
      <c r="N667" s="81"/>
      <c r="O667" s="82"/>
      <c r="P667" s="81"/>
      <c r="Q667" s="82"/>
      <c r="R667" s="81"/>
      <c r="S667" s="105"/>
      <c r="T667" s="81"/>
      <c r="U667" s="81"/>
      <c r="V667" s="81"/>
      <c r="W667" s="81"/>
      <c r="X667" s="81"/>
      <c r="Y667" s="81"/>
      <c r="Z667" s="81"/>
    </row>
    <row r="668" spans="1:26" ht="24" customHeight="1" x14ac:dyDescent="0.5">
      <c r="A668" s="81"/>
      <c r="B668" s="81"/>
      <c r="C668" s="81"/>
      <c r="D668" s="81"/>
      <c r="E668" s="81"/>
      <c r="F668" s="81"/>
      <c r="G668" s="105"/>
      <c r="H668" s="81"/>
      <c r="I668" s="81"/>
      <c r="J668" s="82"/>
      <c r="K668" s="81"/>
      <c r="L668" s="81"/>
      <c r="M668" s="82"/>
      <c r="N668" s="81"/>
      <c r="O668" s="82"/>
      <c r="P668" s="81"/>
      <c r="Q668" s="82"/>
      <c r="R668" s="81"/>
      <c r="S668" s="105"/>
      <c r="T668" s="81"/>
      <c r="U668" s="81"/>
      <c r="V668" s="81"/>
      <c r="W668" s="81"/>
      <c r="X668" s="81"/>
      <c r="Y668" s="81"/>
      <c r="Z668" s="81"/>
    </row>
    <row r="669" spans="1:26" ht="24" customHeight="1" x14ac:dyDescent="0.5">
      <c r="A669" s="81"/>
      <c r="B669" s="81"/>
      <c r="C669" s="81"/>
      <c r="D669" s="81"/>
      <c r="E669" s="81"/>
      <c r="F669" s="81"/>
      <c r="G669" s="105"/>
      <c r="H669" s="81"/>
      <c r="I669" s="81"/>
      <c r="J669" s="82"/>
      <c r="K669" s="81"/>
      <c r="L669" s="81"/>
      <c r="M669" s="82"/>
      <c r="N669" s="81"/>
      <c r="O669" s="82"/>
      <c r="P669" s="81"/>
      <c r="Q669" s="82"/>
      <c r="R669" s="81"/>
      <c r="S669" s="105"/>
      <c r="T669" s="81"/>
      <c r="U669" s="81"/>
      <c r="V669" s="81"/>
      <c r="W669" s="81"/>
      <c r="X669" s="81"/>
      <c r="Y669" s="81"/>
      <c r="Z669" s="81"/>
    </row>
    <row r="670" spans="1:26" ht="24" customHeight="1" x14ac:dyDescent="0.5">
      <c r="A670" s="81"/>
      <c r="B670" s="81"/>
      <c r="C670" s="81"/>
      <c r="D670" s="81"/>
      <c r="E670" s="81"/>
      <c r="F670" s="81"/>
      <c r="G670" s="105"/>
      <c r="H670" s="81"/>
      <c r="I670" s="81"/>
      <c r="J670" s="82"/>
      <c r="K670" s="81"/>
      <c r="L670" s="81"/>
      <c r="M670" s="82"/>
      <c r="N670" s="81"/>
      <c r="O670" s="82"/>
      <c r="P670" s="81"/>
      <c r="Q670" s="82"/>
      <c r="R670" s="81"/>
      <c r="S670" s="105"/>
      <c r="T670" s="81"/>
      <c r="U670" s="81"/>
      <c r="V670" s="81"/>
      <c r="W670" s="81"/>
      <c r="X670" s="81"/>
      <c r="Y670" s="81"/>
      <c r="Z670" s="81"/>
    </row>
    <row r="671" spans="1:26" ht="24" customHeight="1" x14ac:dyDescent="0.5">
      <c r="A671" s="81"/>
      <c r="B671" s="81"/>
      <c r="C671" s="81"/>
      <c r="D671" s="81"/>
      <c r="E671" s="81"/>
      <c r="F671" s="81"/>
      <c r="G671" s="105"/>
      <c r="H671" s="81"/>
      <c r="I671" s="81"/>
      <c r="J671" s="82"/>
      <c r="K671" s="81"/>
      <c r="L671" s="81"/>
      <c r="M671" s="82"/>
      <c r="N671" s="81"/>
      <c r="O671" s="82"/>
      <c r="P671" s="81"/>
      <c r="Q671" s="82"/>
      <c r="R671" s="81"/>
      <c r="S671" s="105"/>
      <c r="T671" s="81"/>
      <c r="U671" s="81"/>
      <c r="V671" s="81"/>
      <c r="W671" s="81"/>
      <c r="X671" s="81"/>
      <c r="Y671" s="81"/>
      <c r="Z671" s="81"/>
    </row>
    <row r="672" spans="1:26" ht="24" customHeight="1" x14ac:dyDescent="0.5">
      <c r="A672" s="81"/>
      <c r="B672" s="81"/>
      <c r="C672" s="81"/>
      <c r="D672" s="81"/>
      <c r="E672" s="81"/>
      <c r="F672" s="81"/>
      <c r="G672" s="105"/>
      <c r="H672" s="81"/>
      <c r="I672" s="81"/>
      <c r="J672" s="82"/>
      <c r="K672" s="81"/>
      <c r="L672" s="81"/>
      <c r="M672" s="82"/>
      <c r="N672" s="81"/>
      <c r="O672" s="82"/>
      <c r="P672" s="81"/>
      <c r="Q672" s="82"/>
      <c r="R672" s="81"/>
      <c r="S672" s="105"/>
      <c r="T672" s="81"/>
      <c r="U672" s="81"/>
      <c r="V672" s="81"/>
      <c r="W672" s="81"/>
      <c r="X672" s="81"/>
      <c r="Y672" s="81"/>
      <c r="Z672" s="81"/>
    </row>
    <row r="673" spans="1:26" ht="24" customHeight="1" x14ac:dyDescent="0.5">
      <c r="A673" s="81"/>
      <c r="B673" s="81"/>
      <c r="C673" s="81"/>
      <c r="D673" s="81"/>
      <c r="E673" s="81"/>
      <c r="F673" s="81"/>
      <c r="G673" s="105"/>
      <c r="H673" s="81"/>
      <c r="I673" s="81"/>
      <c r="J673" s="82"/>
      <c r="K673" s="81"/>
      <c r="L673" s="81"/>
      <c r="M673" s="82"/>
      <c r="N673" s="81"/>
      <c r="O673" s="82"/>
      <c r="P673" s="81"/>
      <c r="Q673" s="82"/>
      <c r="R673" s="81"/>
      <c r="S673" s="105"/>
      <c r="T673" s="81"/>
      <c r="U673" s="81"/>
      <c r="V673" s="81"/>
      <c r="W673" s="81"/>
      <c r="X673" s="81"/>
      <c r="Y673" s="81"/>
      <c r="Z673" s="81"/>
    </row>
    <row r="674" spans="1:26" ht="24" customHeight="1" x14ac:dyDescent="0.5">
      <c r="A674" s="81"/>
      <c r="B674" s="81"/>
      <c r="C674" s="81"/>
      <c r="D674" s="81"/>
      <c r="E674" s="81"/>
      <c r="F674" s="81"/>
      <c r="G674" s="105"/>
      <c r="H674" s="81"/>
      <c r="I674" s="81"/>
      <c r="J674" s="82"/>
      <c r="K674" s="81"/>
      <c r="L674" s="81"/>
      <c r="M674" s="82"/>
      <c r="N674" s="81"/>
      <c r="O674" s="82"/>
      <c r="P674" s="81"/>
      <c r="Q674" s="82"/>
      <c r="R674" s="81"/>
      <c r="S674" s="105"/>
      <c r="T674" s="81"/>
      <c r="U674" s="81"/>
      <c r="V674" s="81"/>
      <c r="W674" s="81"/>
      <c r="X674" s="81"/>
      <c r="Y674" s="81"/>
      <c r="Z674" s="81"/>
    </row>
    <row r="675" spans="1:26" ht="24" customHeight="1" x14ac:dyDescent="0.5">
      <c r="A675" s="81"/>
      <c r="B675" s="81"/>
      <c r="C675" s="81"/>
      <c r="D675" s="81"/>
      <c r="E675" s="81"/>
      <c r="F675" s="81"/>
      <c r="G675" s="105"/>
      <c r="H675" s="81"/>
      <c r="I675" s="81"/>
      <c r="J675" s="82"/>
      <c r="K675" s="81"/>
      <c r="L675" s="81"/>
      <c r="M675" s="82"/>
      <c r="N675" s="81"/>
      <c r="O675" s="82"/>
      <c r="P675" s="81"/>
      <c r="Q675" s="82"/>
      <c r="R675" s="81"/>
      <c r="S675" s="105"/>
      <c r="T675" s="81"/>
      <c r="U675" s="81"/>
      <c r="V675" s="81"/>
      <c r="W675" s="81"/>
      <c r="X675" s="81"/>
      <c r="Y675" s="81"/>
      <c r="Z675" s="81"/>
    </row>
    <row r="676" spans="1:26" ht="24" customHeight="1" x14ac:dyDescent="0.5">
      <c r="A676" s="81"/>
      <c r="B676" s="81"/>
      <c r="C676" s="81"/>
      <c r="D676" s="81"/>
      <c r="E676" s="81"/>
      <c r="F676" s="81"/>
      <c r="G676" s="105"/>
      <c r="H676" s="81"/>
      <c r="I676" s="81"/>
      <c r="J676" s="82"/>
      <c r="K676" s="81"/>
      <c r="L676" s="81"/>
      <c r="M676" s="82"/>
      <c r="N676" s="81"/>
      <c r="O676" s="82"/>
      <c r="P676" s="81"/>
      <c r="Q676" s="82"/>
      <c r="R676" s="81"/>
      <c r="S676" s="105"/>
      <c r="T676" s="81"/>
      <c r="U676" s="81"/>
      <c r="V676" s="81"/>
      <c r="W676" s="81"/>
      <c r="X676" s="81"/>
      <c r="Y676" s="81"/>
      <c r="Z676" s="81"/>
    </row>
    <row r="677" spans="1:26" ht="24" customHeight="1" x14ac:dyDescent="0.5">
      <c r="A677" s="81"/>
      <c r="B677" s="81"/>
      <c r="C677" s="81"/>
      <c r="D677" s="81"/>
      <c r="E677" s="81"/>
      <c r="F677" s="81"/>
      <c r="G677" s="105"/>
      <c r="H677" s="81"/>
      <c r="I677" s="81"/>
      <c r="J677" s="82"/>
      <c r="K677" s="81"/>
      <c r="L677" s="81"/>
      <c r="M677" s="82"/>
      <c r="N677" s="81"/>
      <c r="O677" s="82"/>
      <c r="P677" s="81"/>
      <c r="Q677" s="82"/>
      <c r="R677" s="81"/>
      <c r="S677" s="105"/>
      <c r="T677" s="81"/>
      <c r="U677" s="81"/>
      <c r="V677" s="81"/>
      <c r="W677" s="81"/>
      <c r="X677" s="81"/>
      <c r="Y677" s="81"/>
      <c r="Z677" s="81"/>
    </row>
    <row r="678" spans="1:26" ht="24" customHeight="1" x14ac:dyDescent="0.5">
      <c r="A678" s="81"/>
      <c r="B678" s="81"/>
      <c r="C678" s="81"/>
      <c r="D678" s="81"/>
      <c r="E678" s="81"/>
      <c r="F678" s="81"/>
      <c r="G678" s="105"/>
      <c r="H678" s="81"/>
      <c r="I678" s="81"/>
      <c r="J678" s="82"/>
      <c r="K678" s="81"/>
      <c r="L678" s="81"/>
      <c r="M678" s="82"/>
      <c r="N678" s="81"/>
      <c r="O678" s="82"/>
      <c r="P678" s="81"/>
      <c r="Q678" s="82"/>
      <c r="R678" s="81"/>
      <c r="S678" s="105"/>
      <c r="T678" s="81"/>
      <c r="U678" s="81"/>
      <c r="V678" s="81"/>
      <c r="W678" s="81"/>
      <c r="X678" s="81"/>
      <c r="Y678" s="81"/>
      <c r="Z678" s="81"/>
    </row>
    <row r="679" spans="1:26" ht="24" customHeight="1" x14ac:dyDescent="0.5">
      <c r="A679" s="81"/>
      <c r="B679" s="81"/>
      <c r="C679" s="81"/>
      <c r="D679" s="81"/>
      <c r="E679" s="81"/>
      <c r="F679" s="81"/>
      <c r="G679" s="105"/>
      <c r="H679" s="81"/>
      <c r="I679" s="81"/>
      <c r="J679" s="82"/>
      <c r="K679" s="81"/>
      <c r="L679" s="81"/>
      <c r="M679" s="82"/>
      <c r="N679" s="81"/>
      <c r="O679" s="82"/>
      <c r="P679" s="81"/>
      <c r="Q679" s="82"/>
      <c r="R679" s="81"/>
      <c r="S679" s="105"/>
      <c r="T679" s="81"/>
      <c r="U679" s="81"/>
      <c r="V679" s="81"/>
      <c r="W679" s="81"/>
      <c r="X679" s="81"/>
      <c r="Y679" s="81"/>
      <c r="Z679" s="81"/>
    </row>
    <row r="680" spans="1:26" ht="24" customHeight="1" x14ac:dyDescent="0.5">
      <c r="A680" s="81"/>
      <c r="B680" s="81"/>
      <c r="C680" s="81"/>
      <c r="D680" s="81"/>
      <c r="E680" s="81"/>
      <c r="F680" s="81"/>
      <c r="G680" s="105"/>
      <c r="H680" s="81"/>
      <c r="I680" s="81"/>
      <c r="J680" s="82"/>
      <c r="K680" s="81"/>
      <c r="L680" s="81"/>
      <c r="M680" s="82"/>
      <c r="N680" s="81"/>
      <c r="O680" s="82"/>
      <c r="P680" s="81"/>
      <c r="Q680" s="82"/>
      <c r="R680" s="81"/>
      <c r="S680" s="105"/>
      <c r="T680" s="81"/>
      <c r="U680" s="81"/>
      <c r="V680" s="81"/>
      <c r="W680" s="81"/>
      <c r="X680" s="81"/>
      <c r="Y680" s="81"/>
      <c r="Z680" s="81"/>
    </row>
    <row r="681" spans="1:26" ht="24" customHeight="1" x14ac:dyDescent="0.5">
      <c r="A681" s="81"/>
      <c r="B681" s="81"/>
      <c r="C681" s="81"/>
      <c r="D681" s="81"/>
      <c r="E681" s="81"/>
      <c r="F681" s="81"/>
      <c r="G681" s="105"/>
      <c r="H681" s="81"/>
      <c r="I681" s="81"/>
      <c r="J681" s="82"/>
      <c r="K681" s="81"/>
      <c r="L681" s="81"/>
      <c r="M681" s="82"/>
      <c r="N681" s="81"/>
      <c r="O681" s="82"/>
      <c r="P681" s="81"/>
      <c r="Q681" s="82"/>
      <c r="R681" s="81"/>
      <c r="S681" s="105"/>
      <c r="T681" s="81"/>
      <c r="U681" s="81"/>
      <c r="V681" s="81"/>
      <c r="W681" s="81"/>
      <c r="X681" s="81"/>
      <c r="Y681" s="81"/>
      <c r="Z681" s="81"/>
    </row>
    <row r="682" spans="1:26" ht="24" customHeight="1" x14ac:dyDescent="0.5">
      <c r="A682" s="81"/>
      <c r="B682" s="81"/>
      <c r="C682" s="81"/>
      <c r="D682" s="81"/>
      <c r="E682" s="81"/>
      <c r="F682" s="81"/>
      <c r="G682" s="105"/>
      <c r="H682" s="81"/>
      <c r="I682" s="81"/>
      <c r="J682" s="82"/>
      <c r="K682" s="81"/>
      <c r="L682" s="81"/>
      <c r="M682" s="82"/>
      <c r="N682" s="81"/>
      <c r="O682" s="82"/>
      <c r="P682" s="81"/>
      <c r="Q682" s="82"/>
      <c r="R682" s="81"/>
      <c r="S682" s="105"/>
      <c r="T682" s="81"/>
      <c r="U682" s="81"/>
      <c r="V682" s="81"/>
      <c r="W682" s="81"/>
      <c r="X682" s="81"/>
      <c r="Y682" s="81"/>
      <c r="Z682" s="81"/>
    </row>
    <row r="683" spans="1:26" ht="24" customHeight="1" x14ac:dyDescent="0.5">
      <c r="A683" s="81"/>
      <c r="B683" s="81"/>
      <c r="C683" s="81"/>
      <c r="D683" s="81"/>
      <c r="E683" s="81"/>
      <c r="F683" s="81"/>
      <c r="G683" s="105"/>
      <c r="H683" s="81"/>
      <c r="I683" s="81"/>
      <c r="J683" s="82"/>
      <c r="K683" s="81"/>
      <c r="L683" s="81"/>
      <c r="M683" s="82"/>
      <c r="N683" s="81"/>
      <c r="O683" s="82"/>
      <c r="P683" s="81"/>
      <c r="Q683" s="82"/>
      <c r="R683" s="81"/>
      <c r="S683" s="105"/>
      <c r="T683" s="81"/>
      <c r="U683" s="81"/>
      <c r="V683" s="81"/>
      <c r="W683" s="81"/>
      <c r="X683" s="81"/>
      <c r="Y683" s="81"/>
      <c r="Z683" s="81"/>
    </row>
    <row r="684" spans="1:26" ht="24" customHeight="1" x14ac:dyDescent="0.5">
      <c r="A684" s="81"/>
      <c r="B684" s="81"/>
      <c r="C684" s="81"/>
      <c r="D684" s="81"/>
      <c r="E684" s="81"/>
      <c r="F684" s="81"/>
      <c r="G684" s="105"/>
      <c r="H684" s="81"/>
      <c r="I684" s="81"/>
      <c r="J684" s="82"/>
      <c r="K684" s="81"/>
      <c r="L684" s="81"/>
      <c r="M684" s="82"/>
      <c r="N684" s="81"/>
      <c r="O684" s="82"/>
      <c r="P684" s="81"/>
      <c r="Q684" s="82"/>
      <c r="R684" s="81"/>
      <c r="S684" s="105"/>
      <c r="T684" s="81"/>
      <c r="U684" s="81"/>
      <c r="V684" s="81"/>
      <c r="W684" s="81"/>
      <c r="X684" s="81"/>
      <c r="Y684" s="81"/>
      <c r="Z684" s="81"/>
    </row>
    <row r="685" spans="1:26" ht="24" customHeight="1" x14ac:dyDescent="0.5">
      <c r="A685" s="81"/>
      <c r="B685" s="81"/>
      <c r="C685" s="81"/>
      <c r="D685" s="81"/>
      <c r="E685" s="81"/>
      <c r="F685" s="81"/>
      <c r="G685" s="105"/>
      <c r="H685" s="81"/>
      <c r="I685" s="81"/>
      <c r="J685" s="82"/>
      <c r="K685" s="81"/>
      <c r="L685" s="81"/>
      <c r="M685" s="82"/>
      <c r="N685" s="81"/>
      <c r="O685" s="82"/>
      <c r="P685" s="81"/>
      <c r="Q685" s="82"/>
      <c r="R685" s="81"/>
      <c r="S685" s="105"/>
      <c r="T685" s="81"/>
      <c r="U685" s="81"/>
      <c r="V685" s="81"/>
      <c r="W685" s="81"/>
      <c r="X685" s="81"/>
      <c r="Y685" s="81"/>
      <c r="Z685" s="81"/>
    </row>
    <row r="686" spans="1:26" ht="24" customHeight="1" x14ac:dyDescent="0.5">
      <c r="A686" s="81"/>
      <c r="B686" s="81"/>
      <c r="C686" s="81"/>
      <c r="D686" s="81"/>
      <c r="E686" s="81"/>
      <c r="F686" s="81"/>
      <c r="G686" s="105"/>
      <c r="H686" s="81"/>
      <c r="I686" s="81"/>
      <c r="J686" s="82"/>
      <c r="K686" s="81"/>
      <c r="L686" s="81"/>
      <c r="M686" s="82"/>
      <c r="N686" s="81"/>
      <c r="O686" s="82"/>
      <c r="P686" s="81"/>
      <c r="Q686" s="82"/>
      <c r="R686" s="81"/>
      <c r="S686" s="105"/>
      <c r="T686" s="81"/>
      <c r="U686" s="81"/>
      <c r="V686" s="81"/>
      <c r="W686" s="81"/>
      <c r="X686" s="81"/>
      <c r="Y686" s="81"/>
      <c r="Z686" s="81"/>
    </row>
    <row r="687" spans="1:26" ht="24" customHeight="1" x14ac:dyDescent="0.5">
      <c r="A687" s="81"/>
      <c r="B687" s="81"/>
      <c r="C687" s="81"/>
      <c r="D687" s="81"/>
      <c r="E687" s="81"/>
      <c r="F687" s="81"/>
      <c r="G687" s="105"/>
      <c r="H687" s="81"/>
      <c r="I687" s="81"/>
      <c r="J687" s="82"/>
      <c r="K687" s="81"/>
      <c r="L687" s="81"/>
      <c r="M687" s="82"/>
      <c r="N687" s="81"/>
      <c r="O687" s="82"/>
      <c r="P687" s="81"/>
      <c r="Q687" s="82"/>
      <c r="R687" s="81"/>
      <c r="S687" s="105"/>
      <c r="T687" s="81"/>
      <c r="U687" s="81"/>
      <c r="V687" s="81"/>
      <c r="W687" s="81"/>
      <c r="X687" s="81"/>
      <c r="Y687" s="81"/>
      <c r="Z687" s="81"/>
    </row>
    <row r="688" spans="1:26" ht="24" customHeight="1" x14ac:dyDescent="0.5">
      <c r="A688" s="81"/>
      <c r="B688" s="81"/>
      <c r="C688" s="81"/>
      <c r="D688" s="81"/>
      <c r="E688" s="81"/>
      <c r="F688" s="81"/>
      <c r="G688" s="105"/>
      <c r="H688" s="81"/>
      <c r="I688" s="81"/>
      <c r="J688" s="82"/>
      <c r="K688" s="81"/>
      <c r="L688" s="81"/>
      <c r="M688" s="82"/>
      <c r="N688" s="81"/>
      <c r="O688" s="82"/>
      <c r="P688" s="81"/>
      <c r="Q688" s="82"/>
      <c r="R688" s="81"/>
      <c r="S688" s="105"/>
      <c r="T688" s="81"/>
      <c r="U688" s="81"/>
      <c r="V688" s="81"/>
      <c r="W688" s="81"/>
      <c r="X688" s="81"/>
      <c r="Y688" s="81"/>
      <c r="Z688" s="81"/>
    </row>
    <row r="689" spans="1:26" ht="24" customHeight="1" x14ac:dyDescent="0.5">
      <c r="A689" s="81"/>
      <c r="B689" s="81"/>
      <c r="C689" s="81"/>
      <c r="D689" s="81"/>
      <c r="E689" s="81"/>
      <c r="F689" s="81"/>
      <c r="G689" s="105"/>
      <c r="H689" s="81"/>
      <c r="I689" s="81"/>
      <c r="J689" s="82"/>
      <c r="K689" s="81"/>
      <c r="L689" s="81"/>
      <c r="M689" s="82"/>
      <c r="N689" s="81"/>
      <c r="O689" s="82"/>
      <c r="P689" s="81"/>
      <c r="Q689" s="82"/>
      <c r="R689" s="81"/>
      <c r="S689" s="105"/>
      <c r="T689" s="81"/>
      <c r="U689" s="81"/>
      <c r="V689" s="81"/>
      <c r="W689" s="81"/>
      <c r="X689" s="81"/>
      <c r="Y689" s="81"/>
      <c r="Z689" s="81"/>
    </row>
    <row r="690" spans="1:26" ht="24" customHeight="1" x14ac:dyDescent="0.5">
      <c r="A690" s="81"/>
      <c r="B690" s="81"/>
      <c r="C690" s="81"/>
      <c r="D690" s="81"/>
      <c r="E690" s="81"/>
      <c r="F690" s="81"/>
      <c r="G690" s="105"/>
      <c r="H690" s="81"/>
      <c r="I690" s="81"/>
      <c r="J690" s="82"/>
      <c r="K690" s="81"/>
      <c r="L690" s="81"/>
      <c r="M690" s="82"/>
      <c r="N690" s="81"/>
      <c r="O690" s="82"/>
      <c r="P690" s="81"/>
      <c r="Q690" s="82"/>
      <c r="R690" s="81"/>
      <c r="S690" s="105"/>
      <c r="T690" s="81"/>
      <c r="U690" s="81"/>
      <c r="V690" s="81"/>
      <c r="W690" s="81"/>
      <c r="X690" s="81"/>
      <c r="Y690" s="81"/>
      <c r="Z690" s="81"/>
    </row>
    <row r="691" spans="1:26" ht="24" customHeight="1" x14ac:dyDescent="0.5">
      <c r="A691" s="81"/>
      <c r="B691" s="81"/>
      <c r="C691" s="81"/>
      <c r="D691" s="81"/>
      <c r="E691" s="81"/>
      <c r="F691" s="81"/>
      <c r="G691" s="105"/>
      <c r="H691" s="81"/>
      <c r="I691" s="81"/>
      <c r="J691" s="82"/>
      <c r="K691" s="81"/>
      <c r="L691" s="81"/>
      <c r="M691" s="82"/>
      <c r="N691" s="81"/>
      <c r="O691" s="82"/>
      <c r="P691" s="81"/>
      <c r="Q691" s="82"/>
      <c r="R691" s="81"/>
      <c r="S691" s="105"/>
      <c r="T691" s="81"/>
      <c r="U691" s="81"/>
      <c r="V691" s="81"/>
      <c r="W691" s="81"/>
      <c r="X691" s="81"/>
      <c r="Y691" s="81"/>
      <c r="Z691" s="81"/>
    </row>
    <row r="692" spans="1:26" ht="24" customHeight="1" x14ac:dyDescent="0.5">
      <c r="A692" s="81"/>
      <c r="B692" s="81"/>
      <c r="C692" s="81"/>
      <c r="D692" s="81"/>
      <c r="E692" s="81"/>
      <c r="F692" s="81"/>
      <c r="G692" s="105"/>
      <c r="H692" s="81"/>
      <c r="I692" s="81"/>
      <c r="J692" s="82"/>
      <c r="K692" s="81"/>
      <c r="L692" s="81"/>
      <c r="M692" s="82"/>
      <c r="N692" s="81"/>
      <c r="O692" s="82"/>
      <c r="P692" s="81"/>
      <c r="Q692" s="82"/>
      <c r="R692" s="81"/>
      <c r="S692" s="105"/>
      <c r="T692" s="81"/>
      <c r="U692" s="81"/>
      <c r="V692" s="81"/>
      <c r="W692" s="81"/>
      <c r="X692" s="81"/>
      <c r="Y692" s="81"/>
      <c r="Z692" s="81"/>
    </row>
    <row r="693" spans="1:26" ht="24" customHeight="1" x14ac:dyDescent="0.5">
      <c r="A693" s="81"/>
      <c r="B693" s="81"/>
      <c r="C693" s="81"/>
      <c r="D693" s="81"/>
      <c r="E693" s="81"/>
      <c r="F693" s="81"/>
      <c r="G693" s="105"/>
      <c r="H693" s="81"/>
      <c r="I693" s="81"/>
      <c r="J693" s="82"/>
      <c r="K693" s="81"/>
      <c r="L693" s="81"/>
      <c r="M693" s="82"/>
      <c r="N693" s="81"/>
      <c r="O693" s="82"/>
      <c r="P693" s="81"/>
      <c r="Q693" s="82"/>
      <c r="R693" s="81"/>
      <c r="S693" s="105"/>
      <c r="T693" s="81"/>
      <c r="U693" s="81"/>
      <c r="V693" s="81"/>
      <c r="W693" s="81"/>
      <c r="X693" s="81"/>
      <c r="Y693" s="81"/>
      <c r="Z693" s="81"/>
    </row>
    <row r="694" spans="1:26" ht="24" customHeight="1" x14ac:dyDescent="0.5">
      <c r="A694" s="81"/>
      <c r="B694" s="81"/>
      <c r="C694" s="81"/>
      <c r="D694" s="81"/>
      <c r="E694" s="81"/>
      <c r="F694" s="81"/>
      <c r="G694" s="105"/>
      <c r="H694" s="81"/>
      <c r="I694" s="81"/>
      <c r="J694" s="82"/>
      <c r="K694" s="81"/>
      <c r="L694" s="81"/>
      <c r="M694" s="82"/>
      <c r="N694" s="81"/>
      <c r="O694" s="82"/>
      <c r="P694" s="81"/>
      <c r="Q694" s="82"/>
      <c r="R694" s="81"/>
      <c r="S694" s="105"/>
      <c r="T694" s="81"/>
      <c r="U694" s="81"/>
      <c r="V694" s="81"/>
      <c r="W694" s="81"/>
      <c r="X694" s="81"/>
      <c r="Y694" s="81"/>
      <c r="Z694" s="81"/>
    </row>
    <row r="695" spans="1:26" ht="24" customHeight="1" x14ac:dyDescent="0.5">
      <c r="A695" s="81"/>
      <c r="B695" s="81"/>
      <c r="C695" s="81"/>
      <c r="D695" s="81"/>
      <c r="E695" s="81"/>
      <c r="F695" s="81"/>
      <c r="G695" s="105"/>
      <c r="H695" s="81"/>
      <c r="I695" s="81"/>
      <c r="J695" s="82"/>
      <c r="K695" s="81"/>
      <c r="L695" s="81"/>
      <c r="M695" s="82"/>
      <c r="N695" s="81"/>
      <c r="O695" s="82"/>
      <c r="P695" s="81"/>
      <c r="Q695" s="82"/>
      <c r="R695" s="81"/>
      <c r="S695" s="105"/>
      <c r="T695" s="81"/>
      <c r="U695" s="81"/>
      <c r="V695" s="81"/>
      <c r="W695" s="81"/>
      <c r="X695" s="81"/>
      <c r="Y695" s="81"/>
      <c r="Z695" s="81"/>
    </row>
    <row r="696" spans="1:26" ht="24" customHeight="1" x14ac:dyDescent="0.5">
      <c r="A696" s="81"/>
      <c r="B696" s="81"/>
      <c r="C696" s="81"/>
      <c r="D696" s="81"/>
      <c r="E696" s="81"/>
      <c r="F696" s="81"/>
      <c r="G696" s="105"/>
      <c r="H696" s="81"/>
      <c r="I696" s="81"/>
      <c r="J696" s="82"/>
      <c r="K696" s="81"/>
      <c r="L696" s="81"/>
      <c r="M696" s="82"/>
      <c r="N696" s="81"/>
      <c r="O696" s="82"/>
      <c r="P696" s="81"/>
      <c r="Q696" s="82"/>
      <c r="R696" s="81"/>
      <c r="S696" s="105"/>
      <c r="T696" s="81"/>
      <c r="U696" s="81"/>
      <c r="V696" s="81"/>
      <c r="W696" s="81"/>
      <c r="X696" s="81"/>
      <c r="Y696" s="81"/>
      <c r="Z696" s="81"/>
    </row>
    <row r="697" spans="1:26" ht="24" customHeight="1" x14ac:dyDescent="0.5">
      <c r="A697" s="81"/>
      <c r="B697" s="81"/>
      <c r="C697" s="81"/>
      <c r="D697" s="81"/>
      <c r="E697" s="81"/>
      <c r="F697" s="81"/>
      <c r="G697" s="105"/>
      <c r="H697" s="81"/>
      <c r="I697" s="81"/>
      <c r="J697" s="82"/>
      <c r="K697" s="81"/>
      <c r="L697" s="81"/>
      <c r="M697" s="82"/>
      <c r="N697" s="81"/>
      <c r="O697" s="82"/>
      <c r="P697" s="81"/>
      <c r="Q697" s="82"/>
      <c r="R697" s="81"/>
      <c r="S697" s="105"/>
      <c r="T697" s="81"/>
      <c r="U697" s="81"/>
      <c r="V697" s="81"/>
      <c r="W697" s="81"/>
      <c r="X697" s="81"/>
      <c r="Y697" s="81"/>
      <c r="Z697" s="81"/>
    </row>
    <row r="698" spans="1:26" ht="24" customHeight="1" x14ac:dyDescent="0.5">
      <c r="A698" s="81"/>
      <c r="B698" s="81"/>
      <c r="C698" s="81"/>
      <c r="D698" s="81"/>
      <c r="E698" s="81"/>
      <c r="F698" s="81"/>
      <c r="G698" s="105"/>
      <c r="H698" s="81"/>
      <c r="I698" s="81"/>
      <c r="J698" s="82"/>
      <c r="K698" s="81"/>
      <c r="L698" s="81"/>
      <c r="M698" s="82"/>
      <c r="N698" s="81"/>
      <c r="O698" s="82"/>
      <c r="P698" s="81"/>
      <c r="Q698" s="82"/>
      <c r="R698" s="81"/>
      <c r="S698" s="105"/>
      <c r="T698" s="81"/>
      <c r="U698" s="81"/>
      <c r="V698" s="81"/>
      <c r="W698" s="81"/>
      <c r="X698" s="81"/>
      <c r="Y698" s="81"/>
      <c r="Z698" s="81"/>
    </row>
    <row r="699" spans="1:26" ht="24" customHeight="1" x14ac:dyDescent="0.5">
      <c r="A699" s="81"/>
      <c r="B699" s="81"/>
      <c r="C699" s="81"/>
      <c r="D699" s="81"/>
      <c r="E699" s="81"/>
      <c r="F699" s="81"/>
      <c r="G699" s="105"/>
      <c r="H699" s="81"/>
      <c r="I699" s="81"/>
      <c r="J699" s="82"/>
      <c r="K699" s="81"/>
      <c r="L699" s="81"/>
      <c r="M699" s="82"/>
      <c r="N699" s="81"/>
      <c r="O699" s="82"/>
      <c r="P699" s="81"/>
      <c r="Q699" s="82"/>
      <c r="R699" s="81"/>
      <c r="S699" s="105"/>
      <c r="T699" s="81"/>
      <c r="U699" s="81"/>
      <c r="V699" s="81"/>
      <c r="W699" s="81"/>
      <c r="X699" s="81"/>
      <c r="Y699" s="81"/>
      <c r="Z699" s="81"/>
    </row>
    <row r="700" spans="1:26" ht="24" customHeight="1" x14ac:dyDescent="0.5">
      <c r="A700" s="81"/>
      <c r="B700" s="81"/>
      <c r="C700" s="81"/>
      <c r="D700" s="81"/>
      <c r="E700" s="81"/>
      <c r="F700" s="81"/>
      <c r="G700" s="105"/>
      <c r="H700" s="81"/>
      <c r="I700" s="81"/>
      <c r="J700" s="82"/>
      <c r="K700" s="81"/>
      <c r="L700" s="81"/>
      <c r="M700" s="82"/>
      <c r="N700" s="81"/>
      <c r="O700" s="82"/>
      <c r="P700" s="81"/>
      <c r="Q700" s="82"/>
      <c r="R700" s="81"/>
      <c r="S700" s="105"/>
      <c r="T700" s="81"/>
      <c r="U700" s="81"/>
      <c r="V700" s="81"/>
      <c r="W700" s="81"/>
      <c r="X700" s="81"/>
      <c r="Y700" s="81"/>
      <c r="Z700" s="81"/>
    </row>
    <row r="701" spans="1:26" ht="24" customHeight="1" x14ac:dyDescent="0.5">
      <c r="A701" s="81"/>
      <c r="B701" s="81"/>
      <c r="C701" s="81"/>
      <c r="D701" s="81"/>
      <c r="E701" s="81"/>
      <c r="F701" s="81"/>
      <c r="G701" s="105"/>
      <c r="H701" s="81"/>
      <c r="I701" s="81"/>
      <c r="J701" s="82"/>
      <c r="K701" s="81"/>
      <c r="L701" s="81"/>
      <c r="M701" s="82"/>
      <c r="N701" s="81"/>
      <c r="O701" s="82"/>
      <c r="P701" s="81"/>
      <c r="Q701" s="82"/>
      <c r="R701" s="81"/>
      <c r="S701" s="105"/>
      <c r="T701" s="81"/>
      <c r="U701" s="81"/>
      <c r="V701" s="81"/>
      <c r="W701" s="81"/>
      <c r="X701" s="81"/>
      <c r="Y701" s="81"/>
      <c r="Z701" s="81"/>
    </row>
    <row r="702" spans="1:26" ht="24" customHeight="1" x14ac:dyDescent="0.5">
      <c r="A702" s="81"/>
      <c r="B702" s="81"/>
      <c r="C702" s="81"/>
      <c r="D702" s="81"/>
      <c r="E702" s="81"/>
      <c r="F702" s="81"/>
      <c r="G702" s="105"/>
      <c r="H702" s="81"/>
      <c r="I702" s="81"/>
      <c r="J702" s="82"/>
      <c r="K702" s="81"/>
      <c r="L702" s="81"/>
      <c r="M702" s="82"/>
      <c r="N702" s="81"/>
      <c r="O702" s="82"/>
      <c r="P702" s="81"/>
      <c r="Q702" s="82"/>
      <c r="R702" s="81"/>
      <c r="S702" s="105"/>
      <c r="T702" s="81"/>
      <c r="U702" s="81"/>
      <c r="V702" s="81"/>
      <c r="W702" s="81"/>
      <c r="X702" s="81"/>
      <c r="Y702" s="81"/>
      <c r="Z702" s="81"/>
    </row>
    <row r="703" spans="1:26" ht="24" customHeight="1" x14ac:dyDescent="0.5">
      <c r="A703" s="81"/>
      <c r="B703" s="81"/>
      <c r="C703" s="81"/>
      <c r="D703" s="81"/>
      <c r="E703" s="81"/>
      <c r="F703" s="81"/>
      <c r="G703" s="105"/>
      <c r="H703" s="81"/>
      <c r="I703" s="81"/>
      <c r="J703" s="82"/>
      <c r="K703" s="81"/>
      <c r="L703" s="81"/>
      <c r="M703" s="82"/>
      <c r="N703" s="81"/>
      <c r="O703" s="82"/>
      <c r="P703" s="81"/>
      <c r="Q703" s="82"/>
      <c r="R703" s="81"/>
      <c r="S703" s="105"/>
      <c r="T703" s="81"/>
      <c r="U703" s="81"/>
      <c r="V703" s="81"/>
      <c r="W703" s="81"/>
      <c r="X703" s="81"/>
      <c r="Y703" s="81"/>
      <c r="Z703" s="81"/>
    </row>
    <row r="704" spans="1:26" ht="24" customHeight="1" x14ac:dyDescent="0.5">
      <c r="A704" s="81"/>
      <c r="B704" s="81"/>
      <c r="C704" s="81"/>
      <c r="D704" s="81"/>
      <c r="E704" s="81"/>
      <c r="F704" s="81"/>
      <c r="G704" s="105"/>
      <c r="H704" s="81"/>
      <c r="I704" s="81"/>
      <c r="J704" s="82"/>
      <c r="K704" s="81"/>
      <c r="L704" s="81"/>
      <c r="M704" s="82"/>
      <c r="N704" s="81"/>
      <c r="O704" s="82"/>
      <c r="P704" s="81"/>
      <c r="Q704" s="82"/>
      <c r="R704" s="81"/>
      <c r="S704" s="105"/>
      <c r="T704" s="81"/>
      <c r="U704" s="81"/>
      <c r="V704" s="81"/>
      <c r="W704" s="81"/>
      <c r="X704" s="81"/>
      <c r="Y704" s="81"/>
      <c r="Z704" s="81"/>
    </row>
    <row r="705" spans="1:26" ht="24" customHeight="1" x14ac:dyDescent="0.5">
      <c r="A705" s="81"/>
      <c r="B705" s="81"/>
      <c r="C705" s="81"/>
      <c r="D705" s="81"/>
      <c r="E705" s="81"/>
      <c r="F705" s="81"/>
      <c r="G705" s="105"/>
      <c r="H705" s="81"/>
      <c r="I705" s="81"/>
      <c r="J705" s="82"/>
      <c r="K705" s="81"/>
      <c r="L705" s="81"/>
      <c r="M705" s="82"/>
      <c r="N705" s="81"/>
      <c r="O705" s="82"/>
      <c r="P705" s="81"/>
      <c r="Q705" s="82"/>
      <c r="R705" s="81"/>
      <c r="S705" s="105"/>
      <c r="T705" s="81"/>
      <c r="U705" s="81"/>
      <c r="V705" s="81"/>
      <c r="W705" s="81"/>
      <c r="X705" s="81"/>
      <c r="Y705" s="81"/>
      <c r="Z705" s="81"/>
    </row>
    <row r="706" spans="1:26" ht="24" customHeight="1" x14ac:dyDescent="0.5">
      <c r="A706" s="81"/>
      <c r="B706" s="81"/>
      <c r="C706" s="81"/>
      <c r="D706" s="81"/>
      <c r="E706" s="81"/>
      <c r="F706" s="81"/>
      <c r="G706" s="105"/>
      <c r="H706" s="81"/>
      <c r="I706" s="81"/>
      <c r="J706" s="82"/>
      <c r="K706" s="81"/>
      <c r="L706" s="81"/>
      <c r="M706" s="82"/>
      <c r="N706" s="81"/>
      <c r="O706" s="82"/>
      <c r="P706" s="81"/>
      <c r="Q706" s="82"/>
      <c r="R706" s="81"/>
      <c r="S706" s="105"/>
      <c r="T706" s="81"/>
      <c r="U706" s="81"/>
      <c r="V706" s="81"/>
      <c r="W706" s="81"/>
      <c r="X706" s="81"/>
      <c r="Y706" s="81"/>
      <c r="Z706" s="81"/>
    </row>
    <row r="707" spans="1:26" ht="24" customHeight="1" x14ac:dyDescent="0.5">
      <c r="A707" s="81"/>
      <c r="B707" s="81"/>
      <c r="C707" s="81"/>
      <c r="D707" s="81"/>
      <c r="E707" s="81"/>
      <c r="F707" s="81"/>
      <c r="G707" s="105"/>
      <c r="H707" s="81"/>
      <c r="I707" s="81"/>
      <c r="J707" s="82"/>
      <c r="K707" s="81"/>
      <c r="L707" s="81"/>
      <c r="M707" s="82"/>
      <c r="N707" s="81"/>
      <c r="O707" s="82"/>
      <c r="P707" s="81"/>
      <c r="Q707" s="82"/>
      <c r="R707" s="81"/>
      <c r="S707" s="105"/>
      <c r="T707" s="81"/>
      <c r="U707" s="81"/>
      <c r="V707" s="81"/>
      <c r="W707" s="81"/>
      <c r="X707" s="81"/>
      <c r="Y707" s="81"/>
      <c r="Z707" s="81"/>
    </row>
    <row r="708" spans="1:26" ht="24" customHeight="1" x14ac:dyDescent="0.5">
      <c r="A708" s="81"/>
      <c r="B708" s="81"/>
      <c r="C708" s="81"/>
      <c r="D708" s="81"/>
      <c r="E708" s="81"/>
      <c r="F708" s="81"/>
      <c r="G708" s="105"/>
      <c r="H708" s="81"/>
      <c r="I708" s="81"/>
      <c r="J708" s="82"/>
      <c r="K708" s="81"/>
      <c r="L708" s="81"/>
      <c r="M708" s="82"/>
      <c r="N708" s="81"/>
      <c r="O708" s="82"/>
      <c r="P708" s="81"/>
      <c r="Q708" s="82"/>
      <c r="R708" s="81"/>
      <c r="S708" s="105"/>
      <c r="T708" s="81"/>
      <c r="U708" s="81"/>
      <c r="V708" s="81"/>
      <c r="W708" s="81"/>
      <c r="X708" s="81"/>
      <c r="Y708" s="81"/>
      <c r="Z708" s="81"/>
    </row>
    <row r="709" spans="1:26" ht="24" customHeight="1" x14ac:dyDescent="0.5">
      <c r="A709" s="81"/>
      <c r="B709" s="81"/>
      <c r="C709" s="81"/>
      <c r="D709" s="81"/>
      <c r="E709" s="81"/>
      <c r="F709" s="81"/>
      <c r="G709" s="105"/>
      <c r="H709" s="81"/>
      <c r="I709" s="81"/>
      <c r="J709" s="82"/>
      <c r="K709" s="81"/>
      <c r="L709" s="81"/>
      <c r="M709" s="82"/>
      <c r="N709" s="81"/>
      <c r="O709" s="82"/>
      <c r="P709" s="81"/>
      <c r="Q709" s="82"/>
      <c r="R709" s="81"/>
      <c r="S709" s="105"/>
      <c r="T709" s="81"/>
      <c r="U709" s="81"/>
      <c r="V709" s="81"/>
      <c r="W709" s="81"/>
      <c r="X709" s="81"/>
      <c r="Y709" s="81"/>
      <c r="Z709" s="81"/>
    </row>
    <row r="710" spans="1:26" ht="24" customHeight="1" x14ac:dyDescent="0.5">
      <c r="A710" s="81"/>
      <c r="B710" s="81"/>
      <c r="C710" s="81"/>
      <c r="D710" s="81"/>
      <c r="E710" s="81"/>
      <c r="F710" s="81"/>
      <c r="G710" s="105"/>
      <c r="H710" s="81"/>
      <c r="I710" s="81"/>
      <c r="J710" s="82"/>
      <c r="K710" s="81"/>
      <c r="L710" s="81"/>
      <c r="M710" s="82"/>
      <c r="N710" s="81"/>
      <c r="O710" s="82"/>
      <c r="P710" s="81"/>
      <c r="Q710" s="82"/>
      <c r="R710" s="81"/>
      <c r="S710" s="105"/>
      <c r="T710" s="81"/>
      <c r="U710" s="81"/>
      <c r="V710" s="81"/>
      <c r="W710" s="81"/>
      <c r="X710" s="81"/>
      <c r="Y710" s="81"/>
      <c r="Z710" s="81"/>
    </row>
    <row r="711" spans="1:26" ht="24" customHeight="1" x14ac:dyDescent="0.5">
      <c r="A711" s="81"/>
      <c r="B711" s="81"/>
      <c r="C711" s="81"/>
      <c r="D711" s="81"/>
      <c r="E711" s="81"/>
      <c r="F711" s="81"/>
      <c r="G711" s="105"/>
      <c r="H711" s="81"/>
      <c r="I711" s="81"/>
      <c r="J711" s="82"/>
      <c r="K711" s="81"/>
      <c r="L711" s="81"/>
      <c r="M711" s="82"/>
      <c r="N711" s="81"/>
      <c r="O711" s="82"/>
      <c r="P711" s="81"/>
      <c r="Q711" s="82"/>
      <c r="R711" s="81"/>
      <c r="S711" s="105"/>
      <c r="T711" s="81"/>
      <c r="U711" s="81"/>
      <c r="V711" s="81"/>
      <c r="W711" s="81"/>
      <c r="X711" s="81"/>
      <c r="Y711" s="81"/>
      <c r="Z711" s="81"/>
    </row>
    <row r="712" spans="1:26" ht="24" customHeight="1" x14ac:dyDescent="0.5">
      <c r="A712" s="81"/>
      <c r="B712" s="81"/>
      <c r="C712" s="81"/>
      <c r="D712" s="81"/>
      <c r="E712" s="81"/>
      <c r="F712" s="81"/>
      <c r="G712" s="105"/>
      <c r="H712" s="81"/>
      <c r="I712" s="81"/>
      <c r="J712" s="82"/>
      <c r="K712" s="81"/>
      <c r="L712" s="81"/>
      <c r="M712" s="82"/>
      <c r="N712" s="81"/>
      <c r="O712" s="82"/>
      <c r="P712" s="81"/>
      <c r="Q712" s="82"/>
      <c r="R712" s="81"/>
      <c r="S712" s="105"/>
      <c r="T712" s="81"/>
      <c r="U712" s="81"/>
      <c r="V712" s="81"/>
      <c r="W712" s="81"/>
      <c r="X712" s="81"/>
      <c r="Y712" s="81"/>
      <c r="Z712" s="81"/>
    </row>
    <row r="713" spans="1:26" ht="24" customHeight="1" x14ac:dyDescent="0.5">
      <c r="A713" s="81"/>
      <c r="B713" s="81"/>
      <c r="C713" s="81"/>
      <c r="D713" s="81"/>
      <c r="E713" s="81"/>
      <c r="F713" s="81"/>
      <c r="G713" s="105"/>
      <c r="H713" s="81"/>
      <c r="I713" s="81"/>
      <c r="J713" s="82"/>
      <c r="K713" s="81"/>
      <c r="L713" s="81"/>
      <c r="M713" s="82"/>
      <c r="N713" s="81"/>
      <c r="O713" s="82"/>
      <c r="P713" s="81"/>
      <c r="Q713" s="82"/>
      <c r="R713" s="81"/>
      <c r="S713" s="105"/>
      <c r="T713" s="81"/>
      <c r="U713" s="81"/>
      <c r="V713" s="81"/>
      <c r="W713" s="81"/>
      <c r="X713" s="81"/>
      <c r="Y713" s="81"/>
      <c r="Z713" s="81"/>
    </row>
    <row r="714" spans="1:26" ht="24" customHeight="1" x14ac:dyDescent="0.5">
      <c r="A714" s="81"/>
      <c r="B714" s="81"/>
      <c r="C714" s="81"/>
      <c r="D714" s="81"/>
      <c r="E714" s="81"/>
      <c r="F714" s="81"/>
      <c r="G714" s="105"/>
      <c r="H714" s="81"/>
      <c r="I714" s="81"/>
      <c r="J714" s="82"/>
      <c r="K714" s="81"/>
      <c r="L714" s="81"/>
      <c r="M714" s="82"/>
      <c r="N714" s="81"/>
      <c r="O714" s="82"/>
      <c r="P714" s="81"/>
      <c r="Q714" s="82"/>
      <c r="R714" s="81"/>
      <c r="S714" s="105"/>
      <c r="T714" s="81"/>
      <c r="U714" s="81"/>
      <c r="V714" s="81"/>
      <c r="W714" s="81"/>
      <c r="X714" s="81"/>
      <c r="Y714" s="81"/>
      <c r="Z714" s="81"/>
    </row>
    <row r="715" spans="1:26" ht="24" customHeight="1" x14ac:dyDescent="0.5">
      <c r="A715" s="81"/>
      <c r="B715" s="81"/>
      <c r="C715" s="81"/>
      <c r="D715" s="81"/>
      <c r="E715" s="81"/>
      <c r="F715" s="81"/>
      <c r="G715" s="105"/>
      <c r="H715" s="81"/>
      <c r="I715" s="81"/>
      <c r="J715" s="82"/>
      <c r="K715" s="81"/>
      <c r="L715" s="81"/>
      <c r="M715" s="82"/>
      <c r="N715" s="81"/>
      <c r="O715" s="82"/>
      <c r="P715" s="81"/>
      <c r="Q715" s="82"/>
      <c r="R715" s="81"/>
      <c r="S715" s="105"/>
      <c r="T715" s="81"/>
      <c r="U715" s="81"/>
      <c r="V715" s="81"/>
      <c r="W715" s="81"/>
      <c r="X715" s="81"/>
      <c r="Y715" s="81"/>
      <c r="Z715" s="81"/>
    </row>
    <row r="716" spans="1:26" ht="24" customHeight="1" x14ac:dyDescent="0.5">
      <c r="A716" s="81"/>
      <c r="B716" s="81"/>
      <c r="C716" s="81"/>
      <c r="D716" s="81"/>
      <c r="E716" s="81"/>
      <c r="F716" s="81"/>
      <c r="G716" s="105"/>
      <c r="H716" s="81"/>
      <c r="I716" s="81"/>
      <c r="J716" s="82"/>
      <c r="K716" s="81"/>
      <c r="L716" s="81"/>
      <c r="M716" s="82"/>
      <c r="N716" s="81"/>
      <c r="O716" s="82"/>
      <c r="P716" s="81"/>
      <c r="Q716" s="82"/>
      <c r="R716" s="81"/>
      <c r="S716" s="105"/>
      <c r="T716" s="81"/>
      <c r="U716" s="81"/>
      <c r="V716" s="81"/>
      <c r="W716" s="81"/>
      <c r="X716" s="81"/>
      <c r="Y716" s="81"/>
      <c r="Z716" s="81"/>
    </row>
    <row r="717" spans="1:26" ht="24" customHeight="1" x14ac:dyDescent="0.5">
      <c r="A717" s="81"/>
      <c r="B717" s="81"/>
      <c r="C717" s="81"/>
      <c r="D717" s="81"/>
      <c r="E717" s="81"/>
      <c r="F717" s="81"/>
      <c r="G717" s="105"/>
      <c r="H717" s="81"/>
      <c r="I717" s="81"/>
      <c r="J717" s="82"/>
      <c r="K717" s="81"/>
      <c r="L717" s="81"/>
      <c r="M717" s="82"/>
      <c r="N717" s="81"/>
      <c r="O717" s="82"/>
      <c r="P717" s="81"/>
      <c r="Q717" s="82"/>
      <c r="R717" s="81"/>
      <c r="S717" s="105"/>
      <c r="T717" s="81"/>
      <c r="U717" s="81"/>
      <c r="V717" s="81"/>
      <c r="W717" s="81"/>
      <c r="X717" s="81"/>
      <c r="Y717" s="81"/>
      <c r="Z717" s="81"/>
    </row>
    <row r="718" spans="1:26" ht="24" customHeight="1" x14ac:dyDescent="0.5">
      <c r="A718" s="81"/>
      <c r="B718" s="81"/>
      <c r="C718" s="81"/>
      <c r="D718" s="81"/>
      <c r="E718" s="81"/>
      <c r="F718" s="81"/>
      <c r="G718" s="105"/>
      <c r="H718" s="81"/>
      <c r="I718" s="81"/>
      <c r="J718" s="82"/>
      <c r="K718" s="81"/>
      <c r="L718" s="81"/>
      <c r="M718" s="82"/>
      <c r="N718" s="81"/>
      <c r="O718" s="82"/>
      <c r="P718" s="81"/>
      <c r="Q718" s="82"/>
      <c r="R718" s="81"/>
      <c r="S718" s="105"/>
      <c r="T718" s="81"/>
      <c r="U718" s="81"/>
      <c r="V718" s="81"/>
      <c r="W718" s="81"/>
      <c r="X718" s="81"/>
      <c r="Y718" s="81"/>
      <c r="Z718" s="81"/>
    </row>
    <row r="719" spans="1:26" ht="24" customHeight="1" x14ac:dyDescent="0.5">
      <c r="A719" s="81"/>
      <c r="B719" s="81"/>
      <c r="C719" s="81"/>
      <c r="D719" s="81"/>
      <c r="E719" s="81"/>
      <c r="F719" s="81"/>
      <c r="G719" s="105"/>
      <c r="H719" s="81"/>
      <c r="I719" s="81"/>
      <c r="J719" s="82"/>
      <c r="K719" s="81"/>
      <c r="L719" s="81"/>
      <c r="M719" s="82"/>
      <c r="N719" s="81"/>
      <c r="O719" s="82"/>
      <c r="P719" s="81"/>
      <c r="Q719" s="82"/>
      <c r="R719" s="81"/>
      <c r="S719" s="105"/>
      <c r="T719" s="81"/>
      <c r="U719" s="81"/>
      <c r="V719" s="81"/>
      <c r="W719" s="81"/>
      <c r="X719" s="81"/>
      <c r="Y719" s="81"/>
      <c r="Z719" s="81"/>
    </row>
    <row r="720" spans="1:26" ht="24" customHeight="1" x14ac:dyDescent="0.5">
      <c r="A720" s="81"/>
      <c r="B720" s="81"/>
      <c r="C720" s="81"/>
      <c r="D720" s="81"/>
      <c r="E720" s="81"/>
      <c r="F720" s="81"/>
      <c r="G720" s="105"/>
      <c r="H720" s="81"/>
      <c r="I720" s="81"/>
      <c r="J720" s="82"/>
      <c r="K720" s="81"/>
      <c r="L720" s="81"/>
      <c r="M720" s="82"/>
      <c r="N720" s="81"/>
      <c r="O720" s="82"/>
      <c r="P720" s="81"/>
      <c r="Q720" s="82"/>
      <c r="R720" s="81"/>
      <c r="S720" s="105"/>
      <c r="T720" s="81"/>
      <c r="U720" s="81"/>
      <c r="V720" s="81"/>
      <c r="W720" s="81"/>
      <c r="X720" s="81"/>
      <c r="Y720" s="81"/>
      <c r="Z720" s="81"/>
    </row>
    <row r="721" spans="1:26" ht="24" customHeight="1" x14ac:dyDescent="0.5">
      <c r="A721" s="81"/>
      <c r="B721" s="81"/>
      <c r="C721" s="81"/>
      <c r="D721" s="81"/>
      <c r="E721" s="81"/>
      <c r="F721" s="81"/>
      <c r="G721" s="105"/>
      <c r="H721" s="81"/>
      <c r="I721" s="81"/>
      <c r="J721" s="82"/>
      <c r="K721" s="81"/>
      <c r="L721" s="81"/>
      <c r="M721" s="82"/>
      <c r="N721" s="81"/>
      <c r="O721" s="82"/>
      <c r="P721" s="81"/>
      <c r="Q721" s="82"/>
      <c r="R721" s="81"/>
      <c r="S721" s="105"/>
      <c r="T721" s="81"/>
      <c r="U721" s="81"/>
      <c r="V721" s="81"/>
      <c r="W721" s="81"/>
      <c r="X721" s="81"/>
      <c r="Y721" s="81"/>
      <c r="Z721" s="81"/>
    </row>
    <row r="722" spans="1:26" ht="24" customHeight="1" x14ac:dyDescent="0.5">
      <c r="A722" s="81"/>
      <c r="B722" s="81"/>
      <c r="C722" s="81"/>
      <c r="D722" s="81"/>
      <c r="E722" s="81"/>
      <c r="F722" s="81"/>
      <c r="G722" s="105"/>
      <c r="H722" s="81"/>
      <c r="I722" s="81"/>
      <c r="J722" s="82"/>
      <c r="K722" s="81"/>
      <c r="L722" s="81"/>
      <c r="M722" s="82"/>
      <c r="N722" s="81"/>
      <c r="O722" s="82"/>
      <c r="P722" s="81"/>
      <c r="Q722" s="82"/>
      <c r="R722" s="81"/>
      <c r="S722" s="105"/>
      <c r="T722" s="81"/>
      <c r="U722" s="81"/>
      <c r="V722" s="81"/>
      <c r="W722" s="81"/>
      <c r="X722" s="81"/>
      <c r="Y722" s="81"/>
      <c r="Z722" s="81"/>
    </row>
    <row r="723" spans="1:26" ht="24" customHeight="1" x14ac:dyDescent="0.5">
      <c r="A723" s="81"/>
      <c r="B723" s="81"/>
      <c r="C723" s="81"/>
      <c r="D723" s="81"/>
      <c r="E723" s="81"/>
      <c r="F723" s="81"/>
      <c r="G723" s="105"/>
      <c r="H723" s="81"/>
      <c r="I723" s="81"/>
      <c r="J723" s="82"/>
      <c r="K723" s="81"/>
      <c r="L723" s="81"/>
      <c r="M723" s="82"/>
      <c r="N723" s="81"/>
      <c r="O723" s="82"/>
      <c r="P723" s="81"/>
      <c r="Q723" s="82"/>
      <c r="R723" s="81"/>
      <c r="S723" s="105"/>
      <c r="T723" s="81"/>
      <c r="U723" s="81"/>
      <c r="V723" s="81"/>
      <c r="W723" s="81"/>
      <c r="X723" s="81"/>
      <c r="Y723" s="81"/>
      <c r="Z723" s="81"/>
    </row>
    <row r="724" spans="1:26" ht="24" customHeight="1" x14ac:dyDescent="0.5">
      <c r="A724" s="81"/>
      <c r="B724" s="81"/>
      <c r="C724" s="81"/>
      <c r="D724" s="81"/>
      <c r="E724" s="81"/>
      <c r="F724" s="81"/>
      <c r="G724" s="105"/>
      <c r="H724" s="81"/>
      <c r="I724" s="81"/>
      <c r="J724" s="82"/>
      <c r="K724" s="81"/>
      <c r="L724" s="81"/>
      <c r="M724" s="82"/>
      <c r="N724" s="81"/>
      <c r="O724" s="82"/>
      <c r="P724" s="81"/>
      <c r="Q724" s="82"/>
      <c r="R724" s="81"/>
      <c r="S724" s="105"/>
      <c r="T724" s="81"/>
      <c r="U724" s="81"/>
      <c r="V724" s="81"/>
      <c r="W724" s="81"/>
      <c r="X724" s="81"/>
      <c r="Y724" s="81"/>
      <c r="Z724" s="81"/>
    </row>
    <row r="725" spans="1:26" ht="24" customHeight="1" x14ac:dyDescent="0.5">
      <c r="A725" s="81"/>
      <c r="B725" s="81"/>
      <c r="C725" s="81"/>
      <c r="D725" s="81"/>
      <c r="E725" s="81"/>
      <c r="F725" s="81"/>
      <c r="G725" s="105"/>
      <c r="H725" s="81"/>
      <c r="I725" s="81"/>
      <c r="J725" s="82"/>
      <c r="K725" s="81"/>
      <c r="L725" s="81"/>
      <c r="M725" s="82"/>
      <c r="N725" s="81"/>
      <c r="O725" s="82"/>
      <c r="P725" s="81"/>
      <c r="Q725" s="82"/>
      <c r="R725" s="81"/>
      <c r="S725" s="105"/>
      <c r="T725" s="81"/>
      <c r="U725" s="81"/>
      <c r="V725" s="81"/>
      <c r="W725" s="81"/>
      <c r="X725" s="81"/>
      <c r="Y725" s="81"/>
      <c r="Z725" s="81"/>
    </row>
    <row r="726" spans="1:26" ht="24" customHeight="1" x14ac:dyDescent="0.5">
      <c r="A726" s="81"/>
      <c r="B726" s="81"/>
      <c r="C726" s="81"/>
      <c r="D726" s="81"/>
      <c r="E726" s="81"/>
      <c r="F726" s="81"/>
      <c r="G726" s="105"/>
      <c r="H726" s="81"/>
      <c r="I726" s="81"/>
      <c r="J726" s="82"/>
      <c r="K726" s="81"/>
      <c r="L726" s="81"/>
      <c r="M726" s="82"/>
      <c r="N726" s="81"/>
      <c r="O726" s="82"/>
      <c r="P726" s="81"/>
      <c r="Q726" s="82"/>
      <c r="R726" s="81"/>
      <c r="S726" s="105"/>
      <c r="T726" s="81"/>
      <c r="U726" s="81"/>
      <c r="V726" s="81"/>
      <c r="W726" s="81"/>
      <c r="X726" s="81"/>
      <c r="Y726" s="81"/>
      <c r="Z726" s="81"/>
    </row>
    <row r="727" spans="1:26" ht="24" customHeight="1" x14ac:dyDescent="0.5">
      <c r="A727" s="81"/>
      <c r="B727" s="81"/>
      <c r="C727" s="81"/>
      <c r="D727" s="81"/>
      <c r="E727" s="81"/>
      <c r="F727" s="81"/>
      <c r="G727" s="105"/>
      <c r="H727" s="81"/>
      <c r="I727" s="81"/>
      <c r="J727" s="82"/>
      <c r="K727" s="81"/>
      <c r="L727" s="81"/>
      <c r="M727" s="82"/>
      <c r="N727" s="81"/>
      <c r="O727" s="82"/>
      <c r="P727" s="81"/>
      <c r="Q727" s="82"/>
      <c r="R727" s="81"/>
      <c r="S727" s="105"/>
      <c r="T727" s="81"/>
      <c r="U727" s="81"/>
      <c r="V727" s="81"/>
      <c r="W727" s="81"/>
      <c r="X727" s="81"/>
      <c r="Y727" s="81"/>
      <c r="Z727" s="81"/>
    </row>
    <row r="728" spans="1:26" ht="24" customHeight="1" x14ac:dyDescent="0.5">
      <c r="A728" s="81"/>
      <c r="B728" s="81"/>
      <c r="C728" s="81"/>
      <c r="D728" s="81"/>
      <c r="E728" s="81"/>
      <c r="F728" s="81"/>
      <c r="G728" s="105"/>
      <c r="H728" s="81"/>
      <c r="I728" s="81"/>
      <c r="J728" s="82"/>
      <c r="K728" s="81"/>
      <c r="L728" s="81"/>
      <c r="M728" s="82"/>
      <c r="N728" s="81"/>
      <c r="O728" s="82"/>
      <c r="P728" s="81"/>
      <c r="Q728" s="82"/>
      <c r="R728" s="81"/>
      <c r="S728" s="105"/>
      <c r="T728" s="81"/>
      <c r="U728" s="81"/>
      <c r="V728" s="81"/>
      <c r="W728" s="81"/>
      <c r="X728" s="81"/>
      <c r="Y728" s="81"/>
      <c r="Z728" s="81"/>
    </row>
    <row r="729" spans="1:26" ht="24" customHeight="1" x14ac:dyDescent="0.5">
      <c r="A729" s="81"/>
      <c r="B729" s="81"/>
      <c r="C729" s="81"/>
      <c r="D729" s="81"/>
      <c r="E729" s="81"/>
      <c r="F729" s="81"/>
      <c r="G729" s="105"/>
      <c r="H729" s="81"/>
      <c r="I729" s="81"/>
      <c r="J729" s="82"/>
      <c r="K729" s="81"/>
      <c r="L729" s="81"/>
      <c r="M729" s="82"/>
      <c r="N729" s="81"/>
      <c r="O729" s="82"/>
      <c r="P729" s="81"/>
      <c r="Q729" s="82"/>
      <c r="R729" s="81"/>
      <c r="S729" s="105"/>
      <c r="T729" s="81"/>
      <c r="U729" s="81"/>
      <c r="V729" s="81"/>
      <c r="W729" s="81"/>
      <c r="X729" s="81"/>
      <c r="Y729" s="81"/>
      <c r="Z729" s="81"/>
    </row>
    <row r="730" spans="1:26" ht="24" customHeight="1" x14ac:dyDescent="0.5">
      <c r="A730" s="81"/>
      <c r="B730" s="81"/>
      <c r="C730" s="81"/>
      <c r="D730" s="81"/>
      <c r="E730" s="81"/>
      <c r="F730" s="81"/>
      <c r="G730" s="105"/>
      <c r="H730" s="81"/>
      <c r="I730" s="81"/>
      <c r="J730" s="82"/>
      <c r="K730" s="81"/>
      <c r="L730" s="81"/>
      <c r="M730" s="82"/>
      <c r="N730" s="81"/>
      <c r="O730" s="82"/>
      <c r="P730" s="81"/>
      <c r="Q730" s="82"/>
      <c r="R730" s="81"/>
      <c r="S730" s="105"/>
      <c r="T730" s="81"/>
      <c r="U730" s="81"/>
      <c r="V730" s="81"/>
      <c r="W730" s="81"/>
      <c r="X730" s="81"/>
      <c r="Y730" s="81"/>
      <c r="Z730" s="81"/>
    </row>
    <row r="731" spans="1:26" ht="24" customHeight="1" x14ac:dyDescent="0.5">
      <c r="A731" s="81"/>
      <c r="B731" s="81"/>
      <c r="C731" s="81"/>
      <c r="D731" s="81"/>
      <c r="E731" s="81"/>
      <c r="F731" s="81"/>
      <c r="G731" s="105"/>
      <c r="H731" s="81"/>
      <c r="I731" s="81"/>
      <c r="J731" s="82"/>
      <c r="K731" s="81"/>
      <c r="L731" s="81"/>
      <c r="M731" s="82"/>
      <c r="N731" s="81"/>
      <c r="O731" s="82"/>
      <c r="P731" s="81"/>
      <c r="Q731" s="82"/>
      <c r="R731" s="81"/>
      <c r="S731" s="105"/>
      <c r="T731" s="81"/>
      <c r="U731" s="81"/>
      <c r="V731" s="81"/>
      <c r="W731" s="81"/>
      <c r="X731" s="81"/>
      <c r="Y731" s="81"/>
      <c r="Z731" s="81"/>
    </row>
    <row r="732" spans="1:26" ht="24" customHeight="1" x14ac:dyDescent="0.5">
      <c r="A732" s="81"/>
      <c r="B732" s="81"/>
      <c r="C732" s="81"/>
      <c r="D732" s="81"/>
      <c r="E732" s="81"/>
      <c r="F732" s="81"/>
      <c r="G732" s="105"/>
      <c r="H732" s="81"/>
      <c r="I732" s="81"/>
      <c r="J732" s="82"/>
      <c r="K732" s="81"/>
      <c r="L732" s="81"/>
      <c r="M732" s="82"/>
      <c r="N732" s="81"/>
      <c r="O732" s="82"/>
      <c r="P732" s="81"/>
      <c r="Q732" s="82"/>
      <c r="R732" s="81"/>
      <c r="S732" s="105"/>
      <c r="T732" s="81"/>
      <c r="U732" s="81"/>
      <c r="V732" s="81"/>
      <c r="W732" s="81"/>
      <c r="X732" s="81"/>
      <c r="Y732" s="81"/>
      <c r="Z732" s="81"/>
    </row>
    <row r="733" spans="1:26" ht="24" customHeight="1" x14ac:dyDescent="0.5">
      <c r="A733" s="81"/>
      <c r="B733" s="81"/>
      <c r="C733" s="81"/>
      <c r="D733" s="81"/>
      <c r="E733" s="81"/>
      <c r="F733" s="81"/>
      <c r="G733" s="105"/>
      <c r="H733" s="81"/>
      <c r="I733" s="81"/>
      <c r="J733" s="82"/>
      <c r="K733" s="81"/>
      <c r="L733" s="81"/>
      <c r="M733" s="82"/>
      <c r="N733" s="81"/>
      <c r="O733" s="82"/>
      <c r="P733" s="81"/>
      <c r="Q733" s="82"/>
      <c r="R733" s="81"/>
      <c r="S733" s="105"/>
      <c r="T733" s="81"/>
      <c r="U733" s="81"/>
      <c r="V733" s="81"/>
      <c r="W733" s="81"/>
      <c r="X733" s="81"/>
      <c r="Y733" s="81"/>
      <c r="Z733" s="81"/>
    </row>
    <row r="734" spans="1:26" ht="24" customHeight="1" x14ac:dyDescent="0.5">
      <c r="A734" s="81"/>
      <c r="B734" s="81"/>
      <c r="C734" s="81"/>
      <c r="D734" s="81"/>
      <c r="E734" s="81"/>
      <c r="F734" s="81"/>
      <c r="G734" s="105"/>
      <c r="H734" s="81"/>
      <c r="I734" s="81"/>
      <c r="J734" s="82"/>
      <c r="K734" s="81"/>
      <c r="L734" s="81"/>
      <c r="M734" s="82"/>
      <c r="N734" s="81"/>
      <c r="O734" s="82"/>
      <c r="P734" s="81"/>
      <c r="Q734" s="82"/>
      <c r="R734" s="81"/>
      <c r="S734" s="105"/>
      <c r="T734" s="81"/>
      <c r="U734" s="81"/>
      <c r="V734" s="81"/>
      <c r="W734" s="81"/>
      <c r="X734" s="81"/>
      <c r="Y734" s="81"/>
      <c r="Z734" s="81"/>
    </row>
    <row r="735" spans="1:26" ht="24" customHeight="1" x14ac:dyDescent="0.5">
      <c r="A735" s="81"/>
      <c r="B735" s="81"/>
      <c r="C735" s="81"/>
      <c r="D735" s="81"/>
      <c r="E735" s="81"/>
      <c r="F735" s="81"/>
      <c r="G735" s="105"/>
      <c r="H735" s="81"/>
      <c r="I735" s="81"/>
      <c r="J735" s="82"/>
      <c r="K735" s="81"/>
      <c r="L735" s="81"/>
      <c r="M735" s="82"/>
      <c r="N735" s="81"/>
      <c r="O735" s="82"/>
      <c r="P735" s="81"/>
      <c r="Q735" s="82"/>
      <c r="R735" s="81"/>
      <c r="S735" s="105"/>
      <c r="T735" s="81"/>
      <c r="U735" s="81"/>
      <c r="V735" s="81"/>
      <c r="W735" s="81"/>
      <c r="X735" s="81"/>
      <c r="Y735" s="81"/>
      <c r="Z735" s="81"/>
    </row>
    <row r="736" spans="1:26" ht="24" customHeight="1" x14ac:dyDescent="0.5">
      <c r="A736" s="81"/>
      <c r="B736" s="81"/>
      <c r="C736" s="81"/>
      <c r="D736" s="81"/>
      <c r="E736" s="81"/>
      <c r="F736" s="81"/>
      <c r="G736" s="105"/>
      <c r="H736" s="81"/>
      <c r="I736" s="81"/>
      <c r="J736" s="82"/>
      <c r="K736" s="81"/>
      <c r="L736" s="81"/>
      <c r="M736" s="82"/>
      <c r="N736" s="81"/>
      <c r="O736" s="82"/>
      <c r="P736" s="81"/>
      <c r="Q736" s="82"/>
      <c r="R736" s="81"/>
      <c r="S736" s="105"/>
      <c r="T736" s="81"/>
      <c r="U736" s="81"/>
      <c r="V736" s="81"/>
      <c r="W736" s="81"/>
      <c r="X736" s="81"/>
      <c r="Y736" s="81"/>
      <c r="Z736" s="81"/>
    </row>
    <row r="737" spans="1:26" ht="24" customHeight="1" x14ac:dyDescent="0.5">
      <c r="A737" s="81"/>
      <c r="B737" s="81"/>
      <c r="C737" s="81"/>
      <c r="D737" s="81"/>
      <c r="E737" s="81"/>
      <c r="F737" s="81"/>
      <c r="G737" s="105"/>
      <c r="H737" s="81"/>
      <c r="I737" s="81"/>
      <c r="J737" s="82"/>
      <c r="K737" s="81"/>
      <c r="L737" s="81"/>
      <c r="M737" s="82"/>
      <c r="N737" s="81"/>
      <c r="O737" s="82"/>
      <c r="P737" s="81"/>
      <c r="Q737" s="82"/>
      <c r="R737" s="81"/>
      <c r="S737" s="105"/>
      <c r="T737" s="81"/>
      <c r="U737" s="81"/>
      <c r="V737" s="81"/>
      <c r="W737" s="81"/>
      <c r="X737" s="81"/>
      <c r="Y737" s="81"/>
      <c r="Z737" s="81"/>
    </row>
    <row r="738" spans="1:26" ht="24" customHeight="1" x14ac:dyDescent="0.5">
      <c r="A738" s="81"/>
      <c r="B738" s="81"/>
      <c r="C738" s="81"/>
      <c r="D738" s="81"/>
      <c r="E738" s="81"/>
      <c r="F738" s="81"/>
      <c r="G738" s="105"/>
      <c r="H738" s="81"/>
      <c r="I738" s="81"/>
      <c r="J738" s="82"/>
      <c r="K738" s="81"/>
      <c r="L738" s="81"/>
      <c r="M738" s="82"/>
      <c r="N738" s="81"/>
      <c r="O738" s="82"/>
      <c r="P738" s="81"/>
      <c r="Q738" s="82"/>
      <c r="R738" s="81"/>
      <c r="S738" s="105"/>
      <c r="T738" s="81"/>
      <c r="U738" s="81"/>
      <c r="V738" s="81"/>
      <c r="W738" s="81"/>
      <c r="X738" s="81"/>
      <c r="Y738" s="81"/>
      <c r="Z738" s="81"/>
    </row>
    <row r="739" spans="1:26" ht="24" customHeight="1" x14ac:dyDescent="0.5">
      <c r="A739" s="81"/>
      <c r="B739" s="81"/>
      <c r="C739" s="81"/>
      <c r="D739" s="81"/>
      <c r="E739" s="81"/>
      <c r="F739" s="81"/>
      <c r="G739" s="105"/>
      <c r="H739" s="81"/>
      <c r="I739" s="81"/>
      <c r="J739" s="82"/>
      <c r="K739" s="81"/>
      <c r="L739" s="81"/>
      <c r="M739" s="82"/>
      <c r="N739" s="81"/>
      <c r="O739" s="82"/>
      <c r="P739" s="81"/>
      <c r="Q739" s="82"/>
      <c r="R739" s="81"/>
      <c r="S739" s="105"/>
      <c r="T739" s="81"/>
      <c r="U739" s="81"/>
      <c r="V739" s="81"/>
      <c r="W739" s="81"/>
      <c r="X739" s="81"/>
      <c r="Y739" s="81"/>
      <c r="Z739" s="81"/>
    </row>
    <row r="740" spans="1:26" ht="24" customHeight="1" x14ac:dyDescent="0.5">
      <c r="A740" s="81"/>
      <c r="B740" s="81"/>
      <c r="C740" s="81"/>
      <c r="D740" s="81"/>
      <c r="E740" s="81"/>
      <c r="F740" s="81"/>
      <c r="G740" s="105"/>
      <c r="H740" s="81"/>
      <c r="I740" s="81"/>
      <c r="J740" s="82"/>
      <c r="K740" s="81"/>
      <c r="L740" s="81"/>
      <c r="M740" s="82"/>
      <c r="N740" s="81"/>
      <c r="O740" s="82"/>
      <c r="P740" s="81"/>
      <c r="Q740" s="82"/>
      <c r="R740" s="81"/>
      <c r="S740" s="105"/>
      <c r="T740" s="81"/>
      <c r="U740" s="81"/>
      <c r="V740" s="81"/>
      <c r="W740" s="81"/>
      <c r="X740" s="81"/>
      <c r="Y740" s="81"/>
      <c r="Z740" s="81"/>
    </row>
    <row r="741" spans="1:26" ht="24" customHeight="1" x14ac:dyDescent="0.5">
      <c r="A741" s="81"/>
      <c r="B741" s="81"/>
      <c r="C741" s="81"/>
      <c r="D741" s="81"/>
      <c r="E741" s="81"/>
      <c r="F741" s="81"/>
      <c r="G741" s="105"/>
      <c r="H741" s="81"/>
      <c r="I741" s="81"/>
      <c r="J741" s="82"/>
      <c r="K741" s="81"/>
      <c r="L741" s="81"/>
      <c r="M741" s="82"/>
      <c r="N741" s="81"/>
      <c r="O741" s="82"/>
      <c r="P741" s="81"/>
      <c r="Q741" s="82"/>
      <c r="R741" s="81"/>
      <c r="S741" s="105"/>
      <c r="T741" s="81"/>
      <c r="U741" s="81"/>
      <c r="V741" s="81"/>
      <c r="W741" s="81"/>
      <c r="X741" s="81"/>
      <c r="Y741" s="81"/>
      <c r="Z741" s="81"/>
    </row>
    <row r="742" spans="1:26" ht="24" customHeight="1" x14ac:dyDescent="0.5">
      <c r="A742" s="81"/>
      <c r="B742" s="81"/>
      <c r="C742" s="81"/>
      <c r="D742" s="81"/>
      <c r="E742" s="81"/>
      <c r="F742" s="81"/>
      <c r="G742" s="105"/>
      <c r="H742" s="81"/>
      <c r="I742" s="81"/>
      <c r="J742" s="82"/>
      <c r="K742" s="81"/>
      <c r="L742" s="81"/>
      <c r="M742" s="82"/>
      <c r="N742" s="81"/>
      <c r="O742" s="82"/>
      <c r="P742" s="81"/>
      <c r="Q742" s="82"/>
      <c r="R742" s="81"/>
      <c r="S742" s="105"/>
      <c r="T742" s="81"/>
      <c r="U742" s="81"/>
      <c r="V742" s="81"/>
      <c r="W742" s="81"/>
      <c r="X742" s="81"/>
      <c r="Y742" s="81"/>
      <c r="Z742" s="81"/>
    </row>
    <row r="743" spans="1:26" ht="24" customHeight="1" x14ac:dyDescent="0.5">
      <c r="A743" s="81"/>
      <c r="B743" s="81"/>
      <c r="C743" s="81"/>
      <c r="D743" s="81"/>
      <c r="E743" s="81"/>
      <c r="F743" s="81"/>
      <c r="G743" s="105"/>
      <c r="H743" s="81"/>
      <c r="I743" s="81"/>
      <c r="J743" s="82"/>
      <c r="K743" s="81"/>
      <c r="L743" s="81"/>
      <c r="M743" s="82"/>
      <c r="N743" s="81"/>
      <c r="O743" s="82"/>
      <c r="P743" s="81"/>
      <c r="Q743" s="82"/>
      <c r="R743" s="81"/>
      <c r="S743" s="105"/>
      <c r="T743" s="81"/>
      <c r="U743" s="81"/>
      <c r="V743" s="81"/>
      <c r="W743" s="81"/>
      <c r="X743" s="81"/>
      <c r="Y743" s="81"/>
      <c r="Z743" s="81"/>
    </row>
    <row r="744" spans="1:26" ht="24" customHeight="1" x14ac:dyDescent="0.5">
      <c r="A744" s="81"/>
      <c r="B744" s="81"/>
      <c r="C744" s="81"/>
      <c r="D744" s="81"/>
      <c r="E744" s="81"/>
      <c r="F744" s="81"/>
      <c r="G744" s="105"/>
      <c r="H744" s="81"/>
      <c r="I744" s="81"/>
      <c r="J744" s="82"/>
      <c r="K744" s="81"/>
      <c r="L744" s="81"/>
      <c r="M744" s="82"/>
      <c r="N744" s="81"/>
      <c r="O744" s="82"/>
      <c r="P744" s="81"/>
      <c r="Q744" s="82"/>
      <c r="R744" s="81"/>
      <c r="S744" s="105"/>
      <c r="T744" s="81"/>
      <c r="U744" s="81"/>
      <c r="V744" s="81"/>
      <c r="W744" s="81"/>
      <c r="X744" s="81"/>
      <c r="Y744" s="81"/>
      <c r="Z744" s="81"/>
    </row>
    <row r="745" spans="1:26" ht="24" customHeight="1" x14ac:dyDescent="0.5">
      <c r="A745" s="81"/>
      <c r="B745" s="81"/>
      <c r="C745" s="81"/>
      <c r="D745" s="81"/>
      <c r="E745" s="81"/>
      <c r="F745" s="81"/>
      <c r="G745" s="105"/>
      <c r="H745" s="81"/>
      <c r="I745" s="81"/>
      <c r="J745" s="82"/>
      <c r="K745" s="81"/>
      <c r="L745" s="81"/>
      <c r="M745" s="82"/>
      <c r="N745" s="81"/>
      <c r="O745" s="82"/>
      <c r="P745" s="81"/>
      <c r="Q745" s="82"/>
      <c r="R745" s="81"/>
      <c r="S745" s="105"/>
      <c r="T745" s="81"/>
      <c r="U745" s="81"/>
      <c r="V745" s="81"/>
      <c r="W745" s="81"/>
      <c r="X745" s="81"/>
      <c r="Y745" s="81"/>
      <c r="Z745" s="81"/>
    </row>
    <row r="746" spans="1:26" ht="24" customHeight="1" x14ac:dyDescent="0.5">
      <c r="A746" s="81"/>
      <c r="B746" s="81"/>
      <c r="C746" s="81"/>
      <c r="D746" s="81"/>
      <c r="E746" s="81"/>
      <c r="F746" s="81"/>
      <c r="G746" s="105"/>
      <c r="H746" s="81"/>
      <c r="I746" s="81"/>
      <c r="J746" s="82"/>
      <c r="K746" s="81"/>
      <c r="L746" s="81"/>
      <c r="M746" s="82"/>
      <c r="N746" s="81"/>
      <c r="O746" s="82"/>
      <c r="P746" s="81"/>
      <c r="Q746" s="82"/>
      <c r="R746" s="81"/>
      <c r="S746" s="105"/>
      <c r="T746" s="81"/>
      <c r="U746" s="81"/>
      <c r="V746" s="81"/>
      <c r="W746" s="81"/>
      <c r="X746" s="81"/>
      <c r="Y746" s="81"/>
      <c r="Z746" s="81"/>
    </row>
    <row r="747" spans="1:26" ht="24" customHeight="1" x14ac:dyDescent="0.5">
      <c r="A747" s="81"/>
      <c r="B747" s="81"/>
      <c r="C747" s="81"/>
      <c r="D747" s="81"/>
      <c r="E747" s="81"/>
      <c r="F747" s="81"/>
      <c r="G747" s="105"/>
      <c r="H747" s="81"/>
      <c r="I747" s="81"/>
      <c r="J747" s="82"/>
      <c r="K747" s="81"/>
      <c r="L747" s="81"/>
      <c r="M747" s="82"/>
      <c r="N747" s="81"/>
      <c r="O747" s="82"/>
      <c r="P747" s="81"/>
      <c r="Q747" s="82"/>
      <c r="R747" s="81"/>
      <c r="S747" s="105"/>
      <c r="T747" s="81"/>
      <c r="U747" s="81"/>
      <c r="V747" s="81"/>
      <c r="W747" s="81"/>
      <c r="X747" s="81"/>
      <c r="Y747" s="81"/>
      <c r="Z747" s="81"/>
    </row>
    <row r="748" spans="1:26" ht="24" customHeight="1" x14ac:dyDescent="0.5">
      <c r="A748" s="81"/>
      <c r="B748" s="81"/>
      <c r="C748" s="81"/>
      <c r="D748" s="81"/>
      <c r="E748" s="81"/>
      <c r="F748" s="81"/>
      <c r="G748" s="105"/>
      <c r="H748" s="81"/>
      <c r="I748" s="81"/>
      <c r="J748" s="82"/>
      <c r="K748" s="81"/>
      <c r="L748" s="81"/>
      <c r="M748" s="82"/>
      <c r="N748" s="81"/>
      <c r="O748" s="82"/>
      <c r="P748" s="81"/>
      <c r="Q748" s="82"/>
      <c r="R748" s="81"/>
      <c r="S748" s="105"/>
      <c r="T748" s="81"/>
      <c r="U748" s="81"/>
      <c r="V748" s="81"/>
      <c r="W748" s="81"/>
      <c r="X748" s="81"/>
      <c r="Y748" s="81"/>
      <c r="Z748" s="81"/>
    </row>
    <row r="749" spans="1:26" ht="24" customHeight="1" x14ac:dyDescent="0.5">
      <c r="A749" s="81"/>
      <c r="B749" s="81"/>
      <c r="C749" s="81"/>
      <c r="D749" s="81"/>
      <c r="E749" s="81"/>
      <c r="F749" s="81"/>
      <c r="G749" s="105"/>
      <c r="H749" s="81"/>
      <c r="I749" s="81"/>
      <c r="J749" s="82"/>
      <c r="K749" s="81"/>
      <c r="L749" s="81"/>
      <c r="M749" s="82"/>
      <c r="N749" s="81"/>
      <c r="O749" s="82"/>
      <c r="P749" s="81"/>
      <c r="Q749" s="82"/>
      <c r="R749" s="81"/>
      <c r="S749" s="105"/>
      <c r="T749" s="81"/>
      <c r="U749" s="81"/>
      <c r="V749" s="81"/>
      <c r="W749" s="81"/>
      <c r="X749" s="81"/>
      <c r="Y749" s="81"/>
      <c r="Z749" s="81"/>
    </row>
    <row r="750" spans="1:26" ht="24" customHeight="1" x14ac:dyDescent="0.5">
      <c r="A750" s="81"/>
      <c r="B750" s="81"/>
      <c r="C750" s="81"/>
      <c r="D750" s="81"/>
      <c r="E750" s="81"/>
      <c r="F750" s="81"/>
      <c r="G750" s="105"/>
      <c r="H750" s="81"/>
      <c r="I750" s="81"/>
      <c r="J750" s="82"/>
      <c r="K750" s="81"/>
      <c r="L750" s="81"/>
      <c r="M750" s="82"/>
      <c r="N750" s="81"/>
      <c r="O750" s="82"/>
      <c r="P750" s="81"/>
      <c r="Q750" s="82"/>
      <c r="R750" s="81"/>
      <c r="S750" s="105"/>
      <c r="T750" s="81"/>
      <c r="U750" s="81"/>
      <c r="V750" s="81"/>
      <c r="W750" s="81"/>
      <c r="X750" s="81"/>
      <c r="Y750" s="81"/>
      <c r="Z750" s="81"/>
    </row>
    <row r="751" spans="1:26" ht="24" customHeight="1" x14ac:dyDescent="0.5">
      <c r="A751" s="81"/>
      <c r="B751" s="81"/>
      <c r="C751" s="81"/>
      <c r="D751" s="81"/>
      <c r="E751" s="81"/>
      <c r="F751" s="81"/>
      <c r="G751" s="105"/>
      <c r="H751" s="81"/>
      <c r="I751" s="81"/>
      <c r="J751" s="82"/>
      <c r="K751" s="81"/>
      <c r="L751" s="81"/>
      <c r="M751" s="82"/>
      <c r="N751" s="81"/>
      <c r="O751" s="82"/>
      <c r="P751" s="81"/>
      <c r="Q751" s="82"/>
      <c r="R751" s="81"/>
      <c r="S751" s="105"/>
      <c r="T751" s="81"/>
      <c r="U751" s="81"/>
      <c r="V751" s="81"/>
      <c r="W751" s="81"/>
      <c r="X751" s="81"/>
      <c r="Y751" s="81"/>
      <c r="Z751" s="81"/>
    </row>
    <row r="752" spans="1:26" ht="24" customHeight="1" x14ac:dyDescent="0.5">
      <c r="A752" s="81"/>
      <c r="B752" s="81"/>
      <c r="C752" s="81"/>
      <c r="D752" s="81"/>
      <c r="E752" s="81"/>
      <c r="F752" s="81"/>
      <c r="G752" s="105"/>
      <c r="H752" s="81"/>
      <c r="I752" s="81"/>
      <c r="J752" s="82"/>
      <c r="K752" s="81"/>
      <c r="L752" s="81"/>
      <c r="M752" s="82"/>
      <c r="N752" s="81"/>
      <c r="O752" s="82"/>
      <c r="P752" s="81"/>
      <c r="Q752" s="82"/>
      <c r="R752" s="81"/>
      <c r="S752" s="105"/>
      <c r="T752" s="81"/>
      <c r="U752" s="81"/>
      <c r="V752" s="81"/>
      <c r="W752" s="81"/>
      <c r="X752" s="81"/>
      <c r="Y752" s="81"/>
      <c r="Z752" s="81"/>
    </row>
    <row r="753" spans="1:26" ht="24" customHeight="1" x14ac:dyDescent="0.5">
      <c r="A753" s="81"/>
      <c r="B753" s="81"/>
      <c r="C753" s="81"/>
      <c r="D753" s="81"/>
      <c r="E753" s="81"/>
      <c r="F753" s="81"/>
      <c r="G753" s="105"/>
      <c r="H753" s="81"/>
      <c r="I753" s="81"/>
      <c r="J753" s="82"/>
      <c r="K753" s="81"/>
      <c r="L753" s="81"/>
      <c r="M753" s="82"/>
      <c r="N753" s="81"/>
      <c r="O753" s="82"/>
      <c r="P753" s="81"/>
      <c r="Q753" s="82"/>
      <c r="R753" s="81"/>
      <c r="S753" s="105"/>
      <c r="T753" s="81"/>
      <c r="U753" s="81"/>
      <c r="V753" s="81"/>
      <c r="W753" s="81"/>
      <c r="X753" s="81"/>
      <c r="Y753" s="81"/>
      <c r="Z753" s="81"/>
    </row>
    <row r="754" spans="1:26" ht="24" customHeight="1" x14ac:dyDescent="0.5">
      <c r="A754" s="81"/>
      <c r="B754" s="81"/>
      <c r="C754" s="81"/>
      <c r="D754" s="81"/>
      <c r="E754" s="81"/>
      <c r="F754" s="81"/>
      <c r="G754" s="105"/>
      <c r="H754" s="81"/>
      <c r="I754" s="81"/>
      <c r="J754" s="82"/>
      <c r="K754" s="81"/>
      <c r="L754" s="81"/>
      <c r="M754" s="82"/>
      <c r="N754" s="81"/>
      <c r="O754" s="82"/>
      <c r="P754" s="81"/>
      <c r="Q754" s="82"/>
      <c r="R754" s="81"/>
      <c r="S754" s="105"/>
      <c r="T754" s="81"/>
      <c r="U754" s="81"/>
      <c r="V754" s="81"/>
      <c r="W754" s="81"/>
      <c r="X754" s="81"/>
      <c r="Y754" s="81"/>
      <c r="Z754" s="81"/>
    </row>
    <row r="755" spans="1:26" ht="24" customHeight="1" x14ac:dyDescent="0.5">
      <c r="A755" s="81"/>
      <c r="B755" s="81"/>
      <c r="C755" s="81"/>
      <c r="D755" s="81"/>
      <c r="E755" s="81"/>
      <c r="F755" s="81"/>
      <c r="G755" s="105"/>
      <c r="H755" s="81"/>
      <c r="I755" s="81"/>
      <c r="J755" s="82"/>
      <c r="K755" s="81"/>
      <c r="L755" s="81"/>
      <c r="M755" s="82"/>
      <c r="N755" s="81"/>
      <c r="O755" s="82"/>
      <c r="P755" s="81"/>
      <c r="Q755" s="82"/>
      <c r="R755" s="81"/>
      <c r="S755" s="105"/>
      <c r="T755" s="81"/>
      <c r="U755" s="81"/>
      <c r="V755" s="81"/>
      <c r="W755" s="81"/>
      <c r="X755" s="81"/>
      <c r="Y755" s="81"/>
      <c r="Z755" s="81"/>
    </row>
    <row r="756" spans="1:26" ht="24" customHeight="1" x14ac:dyDescent="0.5">
      <c r="A756" s="81"/>
      <c r="B756" s="81"/>
      <c r="C756" s="81"/>
      <c r="D756" s="81"/>
      <c r="E756" s="81"/>
      <c r="F756" s="81"/>
      <c r="G756" s="105"/>
      <c r="H756" s="81"/>
      <c r="I756" s="81"/>
      <c r="J756" s="82"/>
      <c r="K756" s="81"/>
      <c r="L756" s="81"/>
      <c r="M756" s="82"/>
      <c r="N756" s="81"/>
      <c r="O756" s="82"/>
      <c r="P756" s="81"/>
      <c r="Q756" s="82"/>
      <c r="R756" s="81"/>
      <c r="S756" s="105"/>
      <c r="T756" s="81"/>
      <c r="U756" s="81"/>
      <c r="V756" s="81"/>
      <c r="W756" s="81"/>
      <c r="X756" s="81"/>
      <c r="Y756" s="81"/>
      <c r="Z756" s="81"/>
    </row>
    <row r="757" spans="1:26" ht="24" customHeight="1" x14ac:dyDescent="0.5">
      <c r="A757" s="81"/>
      <c r="B757" s="81"/>
      <c r="C757" s="81"/>
      <c r="D757" s="81"/>
      <c r="E757" s="81"/>
      <c r="F757" s="81"/>
      <c r="G757" s="105"/>
      <c r="H757" s="81"/>
      <c r="I757" s="81"/>
      <c r="J757" s="82"/>
      <c r="K757" s="81"/>
      <c r="L757" s="81"/>
      <c r="M757" s="82"/>
      <c r="N757" s="81"/>
      <c r="O757" s="82"/>
      <c r="P757" s="81"/>
      <c r="Q757" s="82"/>
      <c r="R757" s="81"/>
      <c r="S757" s="105"/>
      <c r="T757" s="81"/>
      <c r="U757" s="81"/>
      <c r="V757" s="81"/>
      <c r="W757" s="81"/>
      <c r="X757" s="81"/>
      <c r="Y757" s="81"/>
      <c r="Z757" s="81"/>
    </row>
    <row r="758" spans="1:26" ht="24" customHeight="1" x14ac:dyDescent="0.5">
      <c r="A758" s="81"/>
      <c r="B758" s="81"/>
      <c r="C758" s="81"/>
      <c r="D758" s="81"/>
      <c r="E758" s="81"/>
      <c r="F758" s="81"/>
      <c r="G758" s="105"/>
      <c r="H758" s="81"/>
      <c r="I758" s="81"/>
      <c r="J758" s="82"/>
      <c r="K758" s="81"/>
      <c r="L758" s="81"/>
      <c r="M758" s="82"/>
      <c r="N758" s="81"/>
      <c r="O758" s="82"/>
      <c r="P758" s="81"/>
      <c r="Q758" s="82"/>
      <c r="R758" s="81"/>
      <c r="S758" s="105"/>
      <c r="T758" s="81"/>
      <c r="U758" s="81"/>
      <c r="V758" s="81"/>
      <c r="W758" s="81"/>
      <c r="X758" s="81"/>
      <c r="Y758" s="81"/>
      <c r="Z758" s="81"/>
    </row>
    <row r="759" spans="1:26" ht="24" customHeight="1" x14ac:dyDescent="0.5">
      <c r="A759" s="81"/>
      <c r="B759" s="81"/>
      <c r="C759" s="81"/>
      <c r="D759" s="81"/>
      <c r="E759" s="81"/>
      <c r="F759" s="81"/>
      <c r="G759" s="105"/>
      <c r="H759" s="81"/>
      <c r="I759" s="81"/>
      <c r="J759" s="82"/>
      <c r="K759" s="81"/>
      <c r="L759" s="81"/>
      <c r="M759" s="82"/>
      <c r="N759" s="81"/>
      <c r="O759" s="82"/>
      <c r="P759" s="81"/>
      <c r="Q759" s="82"/>
      <c r="R759" s="81"/>
      <c r="S759" s="105"/>
      <c r="T759" s="81"/>
      <c r="U759" s="81"/>
      <c r="V759" s="81"/>
      <c r="W759" s="81"/>
      <c r="X759" s="81"/>
      <c r="Y759" s="81"/>
      <c r="Z759" s="81"/>
    </row>
    <row r="760" spans="1:26" ht="24" customHeight="1" x14ac:dyDescent="0.5">
      <c r="A760" s="81"/>
      <c r="B760" s="81"/>
      <c r="C760" s="81"/>
      <c r="D760" s="81"/>
      <c r="E760" s="81"/>
      <c r="F760" s="81"/>
      <c r="G760" s="105"/>
      <c r="H760" s="81"/>
      <c r="I760" s="81"/>
      <c r="J760" s="82"/>
      <c r="K760" s="81"/>
      <c r="L760" s="81"/>
      <c r="M760" s="82"/>
      <c r="N760" s="81"/>
      <c r="O760" s="82"/>
      <c r="P760" s="81"/>
      <c r="Q760" s="82"/>
      <c r="R760" s="81"/>
      <c r="S760" s="105"/>
      <c r="T760" s="81"/>
      <c r="U760" s="81"/>
      <c r="V760" s="81"/>
      <c r="W760" s="81"/>
      <c r="X760" s="81"/>
      <c r="Y760" s="81"/>
      <c r="Z760" s="81"/>
    </row>
    <row r="761" spans="1:26" ht="24" customHeight="1" x14ac:dyDescent="0.5">
      <c r="A761" s="81"/>
      <c r="B761" s="81"/>
      <c r="C761" s="81"/>
      <c r="D761" s="81"/>
      <c r="E761" s="81"/>
      <c r="F761" s="81"/>
      <c r="G761" s="105"/>
      <c r="H761" s="81"/>
      <c r="I761" s="81"/>
      <c r="J761" s="82"/>
      <c r="K761" s="81"/>
      <c r="L761" s="81"/>
      <c r="M761" s="82"/>
      <c r="N761" s="81"/>
      <c r="O761" s="82"/>
      <c r="P761" s="81"/>
      <c r="Q761" s="82"/>
      <c r="R761" s="81"/>
      <c r="S761" s="105"/>
      <c r="T761" s="81"/>
      <c r="U761" s="81"/>
      <c r="V761" s="81"/>
      <c r="W761" s="81"/>
      <c r="X761" s="81"/>
      <c r="Y761" s="81"/>
      <c r="Z761" s="81"/>
    </row>
    <row r="762" spans="1:26" ht="24" customHeight="1" x14ac:dyDescent="0.5">
      <c r="A762" s="81"/>
      <c r="B762" s="81"/>
      <c r="C762" s="81"/>
      <c r="D762" s="81"/>
      <c r="E762" s="81"/>
      <c r="F762" s="81"/>
      <c r="G762" s="105"/>
      <c r="H762" s="81"/>
      <c r="I762" s="81"/>
      <c r="J762" s="82"/>
      <c r="K762" s="81"/>
      <c r="L762" s="81"/>
      <c r="M762" s="82"/>
      <c r="N762" s="81"/>
      <c r="O762" s="82"/>
      <c r="P762" s="81"/>
      <c r="Q762" s="82"/>
      <c r="R762" s="81"/>
      <c r="S762" s="105"/>
      <c r="T762" s="81"/>
      <c r="U762" s="81"/>
      <c r="V762" s="81"/>
      <c r="W762" s="81"/>
      <c r="X762" s="81"/>
      <c r="Y762" s="81"/>
      <c r="Z762" s="81"/>
    </row>
    <row r="763" spans="1:26" ht="24" customHeight="1" x14ac:dyDescent="0.5">
      <c r="A763" s="81"/>
      <c r="B763" s="81"/>
      <c r="C763" s="81"/>
      <c r="D763" s="81"/>
      <c r="E763" s="81"/>
      <c r="F763" s="81"/>
      <c r="G763" s="105"/>
      <c r="H763" s="81"/>
      <c r="I763" s="81"/>
      <c r="J763" s="82"/>
      <c r="K763" s="81"/>
      <c r="L763" s="81"/>
      <c r="M763" s="82"/>
      <c r="N763" s="81"/>
      <c r="O763" s="82"/>
      <c r="P763" s="81"/>
      <c r="Q763" s="82"/>
      <c r="R763" s="81"/>
      <c r="S763" s="105"/>
      <c r="T763" s="81"/>
      <c r="U763" s="81"/>
      <c r="V763" s="81"/>
      <c r="W763" s="81"/>
      <c r="X763" s="81"/>
      <c r="Y763" s="81"/>
      <c r="Z763" s="81"/>
    </row>
    <row r="764" spans="1:26" ht="24" customHeight="1" x14ac:dyDescent="0.5">
      <c r="A764" s="81"/>
      <c r="B764" s="81"/>
      <c r="C764" s="81"/>
      <c r="D764" s="81"/>
      <c r="E764" s="81"/>
      <c r="F764" s="81"/>
      <c r="G764" s="105"/>
      <c r="H764" s="81"/>
      <c r="I764" s="81"/>
      <c r="J764" s="82"/>
      <c r="K764" s="81"/>
      <c r="L764" s="81"/>
      <c r="M764" s="82"/>
      <c r="N764" s="81"/>
      <c r="O764" s="82"/>
      <c r="P764" s="81"/>
      <c r="Q764" s="82"/>
      <c r="R764" s="81"/>
      <c r="S764" s="105"/>
      <c r="T764" s="81"/>
      <c r="U764" s="81"/>
      <c r="V764" s="81"/>
      <c r="W764" s="81"/>
      <c r="X764" s="81"/>
      <c r="Y764" s="81"/>
      <c r="Z764" s="81"/>
    </row>
    <row r="765" spans="1:26" ht="24" customHeight="1" x14ac:dyDescent="0.5">
      <c r="A765" s="81"/>
      <c r="B765" s="81"/>
      <c r="C765" s="81"/>
      <c r="D765" s="81"/>
      <c r="E765" s="81"/>
      <c r="F765" s="81"/>
      <c r="G765" s="105"/>
      <c r="H765" s="81"/>
      <c r="I765" s="81"/>
      <c r="J765" s="82"/>
      <c r="K765" s="81"/>
      <c r="L765" s="81"/>
      <c r="M765" s="82"/>
      <c r="N765" s="81"/>
      <c r="O765" s="82"/>
      <c r="P765" s="81"/>
      <c r="Q765" s="82"/>
      <c r="R765" s="81"/>
      <c r="S765" s="105"/>
      <c r="T765" s="81"/>
      <c r="U765" s="81"/>
      <c r="V765" s="81"/>
      <c r="W765" s="81"/>
      <c r="X765" s="81"/>
      <c r="Y765" s="81"/>
      <c r="Z765" s="81"/>
    </row>
    <row r="766" spans="1:26" ht="24" customHeight="1" x14ac:dyDescent="0.5">
      <c r="A766" s="81"/>
      <c r="B766" s="81"/>
      <c r="C766" s="81"/>
      <c r="D766" s="81"/>
      <c r="E766" s="81"/>
      <c r="F766" s="81"/>
      <c r="G766" s="105"/>
      <c r="H766" s="81"/>
      <c r="I766" s="81"/>
      <c r="J766" s="82"/>
      <c r="K766" s="81"/>
      <c r="L766" s="81"/>
      <c r="M766" s="82"/>
      <c r="N766" s="81"/>
      <c r="O766" s="82"/>
      <c r="P766" s="81"/>
      <c r="Q766" s="82"/>
      <c r="R766" s="81"/>
      <c r="S766" s="105"/>
      <c r="T766" s="81"/>
      <c r="U766" s="81"/>
      <c r="V766" s="81"/>
      <c r="W766" s="81"/>
      <c r="X766" s="81"/>
      <c r="Y766" s="81"/>
      <c r="Z766" s="81"/>
    </row>
    <row r="767" spans="1:26" ht="24" customHeight="1" x14ac:dyDescent="0.5">
      <c r="A767" s="81"/>
      <c r="B767" s="81"/>
      <c r="C767" s="81"/>
      <c r="D767" s="81"/>
      <c r="E767" s="81"/>
      <c r="F767" s="81"/>
      <c r="G767" s="105"/>
      <c r="H767" s="81"/>
      <c r="I767" s="81"/>
      <c r="J767" s="82"/>
      <c r="K767" s="81"/>
      <c r="L767" s="81"/>
      <c r="M767" s="82"/>
      <c r="N767" s="81"/>
      <c r="O767" s="82"/>
      <c r="P767" s="81"/>
      <c r="Q767" s="82"/>
      <c r="R767" s="81"/>
      <c r="S767" s="105"/>
      <c r="T767" s="81"/>
      <c r="U767" s="81"/>
      <c r="V767" s="81"/>
      <c r="W767" s="81"/>
      <c r="X767" s="81"/>
      <c r="Y767" s="81"/>
      <c r="Z767" s="81"/>
    </row>
    <row r="768" spans="1:26" ht="24" customHeight="1" x14ac:dyDescent="0.5">
      <c r="A768" s="81"/>
      <c r="B768" s="81"/>
      <c r="C768" s="81"/>
      <c r="D768" s="81"/>
      <c r="E768" s="81"/>
      <c r="F768" s="81"/>
      <c r="G768" s="105"/>
      <c r="H768" s="81"/>
      <c r="I768" s="81"/>
      <c r="J768" s="82"/>
      <c r="K768" s="81"/>
      <c r="L768" s="81"/>
      <c r="M768" s="82"/>
      <c r="N768" s="81"/>
      <c r="O768" s="82"/>
      <c r="P768" s="81"/>
      <c r="Q768" s="82"/>
      <c r="R768" s="81"/>
      <c r="S768" s="105"/>
      <c r="T768" s="81"/>
      <c r="U768" s="81"/>
      <c r="V768" s="81"/>
      <c r="W768" s="81"/>
      <c r="X768" s="81"/>
      <c r="Y768" s="81"/>
      <c r="Z768" s="81"/>
    </row>
    <row r="769" spans="1:26" ht="24" customHeight="1" x14ac:dyDescent="0.5">
      <c r="A769" s="81"/>
      <c r="B769" s="81"/>
      <c r="C769" s="81"/>
      <c r="D769" s="81"/>
      <c r="E769" s="81"/>
      <c r="F769" s="81"/>
      <c r="G769" s="105"/>
      <c r="H769" s="81"/>
      <c r="I769" s="81"/>
      <c r="J769" s="82"/>
      <c r="K769" s="81"/>
      <c r="L769" s="81"/>
      <c r="M769" s="82"/>
      <c r="N769" s="81"/>
      <c r="O769" s="82"/>
      <c r="P769" s="81"/>
      <c r="Q769" s="82"/>
      <c r="R769" s="81"/>
      <c r="S769" s="105"/>
      <c r="T769" s="81"/>
      <c r="U769" s="81"/>
      <c r="V769" s="81"/>
      <c r="W769" s="81"/>
      <c r="X769" s="81"/>
      <c r="Y769" s="81"/>
      <c r="Z769" s="81"/>
    </row>
    <row r="770" spans="1:26" ht="24" customHeight="1" x14ac:dyDescent="0.5">
      <c r="A770" s="81"/>
      <c r="B770" s="81"/>
      <c r="C770" s="81"/>
      <c r="D770" s="81"/>
      <c r="E770" s="81"/>
      <c r="F770" s="81"/>
      <c r="G770" s="105"/>
      <c r="H770" s="81"/>
      <c r="I770" s="81"/>
      <c r="J770" s="82"/>
      <c r="K770" s="81"/>
      <c r="L770" s="81"/>
      <c r="M770" s="82"/>
      <c r="N770" s="81"/>
      <c r="O770" s="82"/>
      <c r="P770" s="81"/>
      <c r="Q770" s="82"/>
      <c r="R770" s="81"/>
      <c r="S770" s="105"/>
      <c r="T770" s="81"/>
      <c r="U770" s="81"/>
      <c r="V770" s="81"/>
      <c r="W770" s="81"/>
      <c r="X770" s="81"/>
      <c r="Y770" s="81"/>
      <c r="Z770" s="81"/>
    </row>
    <row r="771" spans="1:26" ht="24" customHeight="1" x14ac:dyDescent="0.5">
      <c r="A771" s="81"/>
      <c r="B771" s="81"/>
      <c r="C771" s="81"/>
      <c r="D771" s="81"/>
      <c r="E771" s="81"/>
      <c r="F771" s="81"/>
      <c r="G771" s="105"/>
      <c r="H771" s="81"/>
      <c r="I771" s="81"/>
      <c r="J771" s="82"/>
      <c r="K771" s="81"/>
      <c r="L771" s="81"/>
      <c r="M771" s="82"/>
      <c r="N771" s="81"/>
      <c r="O771" s="82"/>
      <c r="P771" s="81"/>
      <c r="Q771" s="82"/>
      <c r="R771" s="81"/>
      <c r="S771" s="105"/>
      <c r="T771" s="81"/>
      <c r="U771" s="81"/>
      <c r="V771" s="81"/>
      <c r="W771" s="81"/>
      <c r="X771" s="81"/>
      <c r="Y771" s="81"/>
      <c r="Z771" s="81"/>
    </row>
    <row r="772" spans="1:26" ht="24" customHeight="1" x14ac:dyDescent="0.5">
      <c r="A772" s="81"/>
      <c r="B772" s="81"/>
      <c r="C772" s="81"/>
      <c r="D772" s="81"/>
      <c r="E772" s="81"/>
      <c r="F772" s="81"/>
      <c r="G772" s="105"/>
      <c r="H772" s="81"/>
      <c r="I772" s="81"/>
      <c r="J772" s="82"/>
      <c r="K772" s="81"/>
      <c r="L772" s="81"/>
      <c r="M772" s="82"/>
      <c r="N772" s="81"/>
      <c r="O772" s="82"/>
      <c r="P772" s="81"/>
      <c r="Q772" s="82"/>
      <c r="R772" s="81"/>
      <c r="S772" s="105"/>
      <c r="T772" s="81"/>
      <c r="U772" s="81"/>
      <c r="V772" s="81"/>
      <c r="W772" s="81"/>
      <c r="X772" s="81"/>
      <c r="Y772" s="81"/>
      <c r="Z772" s="81"/>
    </row>
    <row r="773" spans="1:26" ht="24" customHeight="1" x14ac:dyDescent="0.5">
      <c r="A773" s="81"/>
      <c r="B773" s="81"/>
      <c r="C773" s="81"/>
      <c r="D773" s="81"/>
      <c r="E773" s="81"/>
      <c r="F773" s="81"/>
      <c r="G773" s="105"/>
      <c r="H773" s="81"/>
      <c r="I773" s="81"/>
      <c r="J773" s="82"/>
      <c r="K773" s="81"/>
      <c r="L773" s="81"/>
      <c r="M773" s="82"/>
      <c r="N773" s="81"/>
      <c r="O773" s="82"/>
      <c r="P773" s="81"/>
      <c r="Q773" s="82"/>
      <c r="R773" s="81"/>
      <c r="S773" s="105"/>
      <c r="T773" s="81"/>
      <c r="U773" s="81"/>
      <c r="V773" s="81"/>
      <c r="W773" s="81"/>
      <c r="X773" s="81"/>
      <c r="Y773" s="81"/>
      <c r="Z773" s="81"/>
    </row>
    <row r="774" spans="1:26" ht="24" customHeight="1" x14ac:dyDescent="0.5">
      <c r="A774" s="81"/>
      <c r="B774" s="81"/>
      <c r="C774" s="81"/>
      <c r="D774" s="81"/>
      <c r="E774" s="81"/>
      <c r="F774" s="81"/>
      <c r="G774" s="105"/>
      <c r="H774" s="81"/>
      <c r="I774" s="81"/>
      <c r="J774" s="82"/>
      <c r="K774" s="81"/>
      <c r="L774" s="81"/>
      <c r="M774" s="82"/>
      <c r="N774" s="81"/>
      <c r="O774" s="82"/>
      <c r="P774" s="81"/>
      <c r="Q774" s="82"/>
      <c r="R774" s="81"/>
      <c r="S774" s="105"/>
      <c r="T774" s="81"/>
      <c r="U774" s="81"/>
      <c r="V774" s="81"/>
      <c r="W774" s="81"/>
      <c r="X774" s="81"/>
      <c r="Y774" s="81"/>
      <c r="Z774" s="81"/>
    </row>
    <row r="775" spans="1:26" ht="24" customHeight="1" x14ac:dyDescent="0.5">
      <c r="A775" s="81"/>
      <c r="B775" s="81"/>
      <c r="C775" s="81"/>
      <c r="D775" s="81"/>
      <c r="E775" s="81"/>
      <c r="F775" s="81"/>
      <c r="G775" s="105"/>
      <c r="H775" s="81"/>
      <c r="I775" s="81"/>
      <c r="J775" s="82"/>
      <c r="K775" s="81"/>
      <c r="L775" s="81"/>
      <c r="M775" s="82"/>
      <c r="N775" s="81"/>
      <c r="O775" s="82"/>
      <c r="P775" s="81"/>
      <c r="Q775" s="82"/>
      <c r="R775" s="81"/>
      <c r="S775" s="105"/>
      <c r="T775" s="81"/>
      <c r="U775" s="81"/>
      <c r="V775" s="81"/>
      <c r="W775" s="81"/>
      <c r="X775" s="81"/>
      <c r="Y775" s="81"/>
      <c r="Z775" s="81"/>
    </row>
    <row r="776" spans="1:26" ht="24" customHeight="1" x14ac:dyDescent="0.5">
      <c r="A776" s="81"/>
      <c r="B776" s="81"/>
      <c r="C776" s="81"/>
      <c r="D776" s="81"/>
      <c r="E776" s="81"/>
      <c r="F776" s="81"/>
      <c r="G776" s="105"/>
      <c r="H776" s="81"/>
      <c r="I776" s="81"/>
      <c r="J776" s="82"/>
      <c r="K776" s="81"/>
      <c r="L776" s="81"/>
      <c r="M776" s="82"/>
      <c r="N776" s="81"/>
      <c r="O776" s="82"/>
      <c r="P776" s="81"/>
      <c r="Q776" s="82"/>
      <c r="R776" s="81"/>
      <c r="S776" s="105"/>
      <c r="T776" s="81"/>
      <c r="U776" s="81"/>
      <c r="V776" s="81"/>
      <c r="W776" s="81"/>
      <c r="X776" s="81"/>
      <c r="Y776" s="81"/>
      <c r="Z776" s="81"/>
    </row>
    <row r="777" spans="1:26" ht="24" customHeight="1" x14ac:dyDescent="0.5">
      <c r="A777" s="81"/>
      <c r="B777" s="81"/>
      <c r="C777" s="81"/>
      <c r="D777" s="81"/>
      <c r="E777" s="81"/>
      <c r="F777" s="81"/>
      <c r="G777" s="105"/>
      <c r="H777" s="81"/>
      <c r="I777" s="81"/>
      <c r="J777" s="82"/>
      <c r="K777" s="81"/>
      <c r="L777" s="81"/>
      <c r="M777" s="82"/>
      <c r="N777" s="81"/>
      <c r="O777" s="82"/>
      <c r="P777" s="81"/>
      <c r="Q777" s="82"/>
      <c r="R777" s="81"/>
      <c r="S777" s="105"/>
      <c r="T777" s="81"/>
      <c r="U777" s="81"/>
      <c r="V777" s="81"/>
      <c r="W777" s="81"/>
      <c r="X777" s="81"/>
      <c r="Y777" s="81"/>
      <c r="Z777" s="81"/>
    </row>
    <row r="778" spans="1:26" ht="24" customHeight="1" x14ac:dyDescent="0.5">
      <c r="A778" s="81"/>
      <c r="B778" s="81"/>
      <c r="C778" s="81"/>
      <c r="D778" s="81"/>
      <c r="E778" s="81"/>
      <c r="F778" s="81"/>
      <c r="G778" s="105"/>
      <c r="H778" s="81"/>
      <c r="I778" s="81"/>
      <c r="J778" s="82"/>
      <c r="K778" s="81"/>
      <c r="L778" s="81"/>
      <c r="M778" s="82"/>
      <c r="N778" s="81"/>
      <c r="O778" s="82"/>
      <c r="P778" s="81"/>
      <c r="Q778" s="82"/>
      <c r="R778" s="81"/>
      <c r="S778" s="105"/>
      <c r="T778" s="81"/>
      <c r="U778" s="81"/>
      <c r="V778" s="81"/>
      <c r="W778" s="81"/>
      <c r="X778" s="81"/>
      <c r="Y778" s="81"/>
      <c r="Z778" s="81"/>
    </row>
    <row r="779" spans="1:26" ht="24" customHeight="1" x14ac:dyDescent="0.5">
      <c r="A779" s="81"/>
      <c r="B779" s="81"/>
      <c r="C779" s="81"/>
      <c r="D779" s="81"/>
      <c r="E779" s="81"/>
      <c r="F779" s="81"/>
      <c r="G779" s="105"/>
      <c r="H779" s="81"/>
      <c r="I779" s="81"/>
      <c r="J779" s="82"/>
      <c r="K779" s="81"/>
      <c r="L779" s="81"/>
      <c r="M779" s="82"/>
      <c r="N779" s="81"/>
      <c r="O779" s="82"/>
      <c r="P779" s="81"/>
      <c r="Q779" s="82"/>
      <c r="R779" s="81"/>
      <c r="S779" s="105"/>
      <c r="T779" s="81"/>
      <c r="U779" s="81"/>
      <c r="V779" s="81"/>
      <c r="W779" s="81"/>
      <c r="X779" s="81"/>
      <c r="Y779" s="81"/>
      <c r="Z779" s="81"/>
    </row>
    <row r="780" spans="1:26" ht="24" customHeight="1" x14ac:dyDescent="0.5">
      <c r="A780" s="81"/>
      <c r="B780" s="81"/>
      <c r="C780" s="81"/>
      <c r="D780" s="81"/>
      <c r="E780" s="81"/>
      <c r="F780" s="81"/>
      <c r="G780" s="105"/>
      <c r="H780" s="81"/>
      <c r="I780" s="81"/>
      <c r="J780" s="82"/>
      <c r="K780" s="81"/>
      <c r="L780" s="81"/>
      <c r="M780" s="82"/>
      <c r="N780" s="81"/>
      <c r="O780" s="82"/>
      <c r="P780" s="81"/>
      <c r="Q780" s="82"/>
      <c r="R780" s="81"/>
      <c r="S780" s="105"/>
      <c r="T780" s="81"/>
      <c r="U780" s="81"/>
      <c r="V780" s="81"/>
      <c r="W780" s="81"/>
      <c r="X780" s="81"/>
      <c r="Y780" s="81"/>
      <c r="Z780" s="81"/>
    </row>
    <row r="781" spans="1:26" ht="24" customHeight="1" x14ac:dyDescent="0.5">
      <c r="A781" s="81"/>
      <c r="B781" s="81"/>
      <c r="C781" s="81"/>
      <c r="D781" s="81"/>
      <c r="E781" s="81"/>
      <c r="F781" s="81"/>
      <c r="G781" s="105"/>
      <c r="H781" s="81"/>
      <c r="I781" s="81"/>
      <c r="J781" s="82"/>
      <c r="K781" s="81"/>
      <c r="L781" s="81"/>
      <c r="M781" s="82"/>
      <c r="N781" s="81"/>
      <c r="O781" s="82"/>
      <c r="P781" s="81"/>
      <c r="Q781" s="82"/>
      <c r="R781" s="81"/>
      <c r="S781" s="105"/>
      <c r="T781" s="81"/>
      <c r="U781" s="81"/>
      <c r="V781" s="81"/>
      <c r="W781" s="81"/>
      <c r="X781" s="81"/>
      <c r="Y781" s="81"/>
      <c r="Z781" s="81"/>
    </row>
    <row r="782" spans="1:26" ht="24" customHeight="1" x14ac:dyDescent="0.5">
      <c r="A782" s="81"/>
      <c r="B782" s="81"/>
      <c r="C782" s="81"/>
      <c r="D782" s="81"/>
      <c r="E782" s="81"/>
      <c r="F782" s="81"/>
      <c r="G782" s="105"/>
      <c r="H782" s="81"/>
      <c r="I782" s="81"/>
      <c r="J782" s="82"/>
      <c r="K782" s="81"/>
      <c r="L782" s="81"/>
      <c r="M782" s="82"/>
      <c r="N782" s="81"/>
      <c r="O782" s="82"/>
      <c r="P782" s="81"/>
      <c r="Q782" s="82"/>
      <c r="R782" s="81"/>
      <c r="S782" s="105"/>
      <c r="T782" s="81"/>
      <c r="U782" s="81"/>
      <c r="V782" s="81"/>
      <c r="W782" s="81"/>
      <c r="X782" s="81"/>
      <c r="Y782" s="81"/>
      <c r="Z782" s="81"/>
    </row>
    <row r="783" spans="1:26" ht="24" customHeight="1" x14ac:dyDescent="0.5">
      <c r="A783" s="81"/>
      <c r="B783" s="81"/>
      <c r="C783" s="81"/>
      <c r="D783" s="81"/>
      <c r="E783" s="81"/>
      <c r="F783" s="81"/>
      <c r="G783" s="105"/>
      <c r="H783" s="81"/>
      <c r="I783" s="81"/>
      <c r="J783" s="82"/>
      <c r="K783" s="81"/>
      <c r="L783" s="81"/>
      <c r="M783" s="82"/>
      <c r="N783" s="81"/>
      <c r="O783" s="82"/>
      <c r="P783" s="81"/>
      <c r="Q783" s="82"/>
      <c r="R783" s="81"/>
      <c r="S783" s="105"/>
      <c r="T783" s="81"/>
      <c r="U783" s="81"/>
      <c r="V783" s="81"/>
      <c r="W783" s="81"/>
      <c r="X783" s="81"/>
      <c r="Y783" s="81"/>
      <c r="Z783" s="81"/>
    </row>
    <row r="784" spans="1:26" ht="24" customHeight="1" x14ac:dyDescent="0.5">
      <c r="A784" s="81"/>
      <c r="B784" s="81"/>
      <c r="C784" s="81"/>
      <c r="D784" s="81"/>
      <c r="E784" s="81"/>
      <c r="F784" s="81"/>
      <c r="G784" s="105"/>
      <c r="H784" s="81"/>
      <c r="I784" s="81"/>
      <c r="J784" s="82"/>
      <c r="K784" s="81"/>
      <c r="L784" s="81"/>
      <c r="M784" s="82"/>
      <c r="N784" s="81"/>
      <c r="O784" s="82"/>
      <c r="P784" s="81"/>
      <c r="Q784" s="82"/>
      <c r="R784" s="81"/>
      <c r="S784" s="105"/>
      <c r="T784" s="81"/>
      <c r="U784" s="81"/>
      <c r="V784" s="81"/>
      <c r="W784" s="81"/>
      <c r="X784" s="81"/>
      <c r="Y784" s="81"/>
      <c r="Z784" s="81"/>
    </row>
    <row r="785" spans="1:26" ht="24" customHeight="1" x14ac:dyDescent="0.5">
      <c r="A785" s="81"/>
      <c r="B785" s="81"/>
      <c r="C785" s="81"/>
      <c r="D785" s="81"/>
      <c r="E785" s="81"/>
      <c r="F785" s="81"/>
      <c r="G785" s="105"/>
      <c r="H785" s="81"/>
      <c r="I785" s="81"/>
      <c r="J785" s="82"/>
      <c r="K785" s="81"/>
      <c r="L785" s="81"/>
      <c r="M785" s="82"/>
      <c r="N785" s="81"/>
      <c r="O785" s="82"/>
      <c r="P785" s="81"/>
      <c r="Q785" s="82"/>
      <c r="R785" s="81"/>
      <c r="S785" s="105"/>
      <c r="T785" s="81"/>
      <c r="U785" s="81"/>
      <c r="V785" s="81"/>
      <c r="W785" s="81"/>
      <c r="X785" s="81"/>
      <c r="Y785" s="81"/>
      <c r="Z785" s="81"/>
    </row>
    <row r="786" spans="1:26" ht="24" customHeight="1" x14ac:dyDescent="0.5">
      <c r="A786" s="81"/>
      <c r="B786" s="81"/>
      <c r="C786" s="81"/>
      <c r="D786" s="81"/>
      <c r="E786" s="81"/>
      <c r="F786" s="81"/>
      <c r="G786" s="105"/>
      <c r="H786" s="81"/>
      <c r="I786" s="81"/>
      <c r="J786" s="82"/>
      <c r="K786" s="81"/>
      <c r="L786" s="81"/>
      <c r="M786" s="82"/>
      <c r="N786" s="81"/>
      <c r="O786" s="82"/>
      <c r="P786" s="81"/>
      <c r="Q786" s="82"/>
      <c r="R786" s="81"/>
      <c r="S786" s="105"/>
      <c r="T786" s="81"/>
      <c r="U786" s="81"/>
      <c r="V786" s="81"/>
      <c r="W786" s="81"/>
      <c r="X786" s="81"/>
      <c r="Y786" s="81"/>
      <c r="Z786" s="81"/>
    </row>
    <row r="787" spans="1:26" ht="24" customHeight="1" x14ac:dyDescent="0.5">
      <c r="A787" s="81"/>
      <c r="B787" s="81"/>
      <c r="C787" s="81"/>
      <c r="D787" s="81"/>
      <c r="E787" s="81"/>
      <c r="F787" s="81"/>
      <c r="G787" s="105"/>
      <c r="H787" s="81"/>
      <c r="I787" s="81"/>
      <c r="J787" s="82"/>
      <c r="K787" s="81"/>
      <c r="L787" s="81"/>
      <c r="M787" s="82"/>
      <c r="N787" s="81"/>
      <c r="O787" s="82"/>
      <c r="P787" s="81"/>
      <c r="Q787" s="82"/>
      <c r="R787" s="81"/>
      <c r="S787" s="105"/>
      <c r="T787" s="81"/>
      <c r="U787" s="81"/>
      <c r="V787" s="81"/>
      <c r="W787" s="81"/>
      <c r="X787" s="81"/>
      <c r="Y787" s="81"/>
      <c r="Z787" s="81"/>
    </row>
    <row r="788" spans="1:26" ht="24" customHeight="1" x14ac:dyDescent="0.5">
      <c r="A788" s="81"/>
      <c r="B788" s="81"/>
      <c r="C788" s="81"/>
      <c r="D788" s="81"/>
      <c r="E788" s="81"/>
      <c r="F788" s="81"/>
      <c r="G788" s="105"/>
      <c r="H788" s="81"/>
      <c r="I788" s="81"/>
      <c r="J788" s="82"/>
      <c r="K788" s="81"/>
      <c r="L788" s="81"/>
      <c r="M788" s="82"/>
      <c r="N788" s="81"/>
      <c r="O788" s="82"/>
      <c r="P788" s="81"/>
      <c r="Q788" s="82"/>
      <c r="R788" s="81"/>
      <c r="S788" s="105"/>
      <c r="T788" s="81"/>
      <c r="U788" s="81"/>
      <c r="V788" s="81"/>
      <c r="W788" s="81"/>
      <c r="X788" s="81"/>
      <c r="Y788" s="81"/>
      <c r="Z788" s="81"/>
    </row>
    <row r="789" spans="1:26" ht="24" customHeight="1" x14ac:dyDescent="0.5">
      <c r="A789" s="81"/>
      <c r="B789" s="81"/>
      <c r="C789" s="81"/>
      <c r="D789" s="81"/>
      <c r="E789" s="81"/>
      <c r="F789" s="81"/>
      <c r="G789" s="105"/>
      <c r="H789" s="81"/>
      <c r="I789" s="81"/>
      <c r="J789" s="82"/>
      <c r="K789" s="81"/>
      <c r="L789" s="81"/>
      <c r="M789" s="82"/>
      <c r="N789" s="81"/>
      <c r="O789" s="82"/>
      <c r="P789" s="81"/>
      <c r="Q789" s="82"/>
      <c r="R789" s="81"/>
      <c r="S789" s="105"/>
      <c r="T789" s="81"/>
      <c r="U789" s="81"/>
      <c r="V789" s="81"/>
      <c r="W789" s="81"/>
      <c r="X789" s="81"/>
      <c r="Y789" s="81"/>
      <c r="Z789" s="81"/>
    </row>
    <row r="790" spans="1:26" ht="24" customHeight="1" x14ac:dyDescent="0.5">
      <c r="A790" s="81"/>
      <c r="B790" s="81"/>
      <c r="C790" s="81"/>
      <c r="D790" s="81"/>
      <c r="E790" s="81"/>
      <c r="F790" s="81"/>
      <c r="G790" s="105"/>
      <c r="H790" s="81"/>
      <c r="I790" s="81"/>
      <c r="J790" s="82"/>
      <c r="K790" s="81"/>
      <c r="L790" s="81"/>
      <c r="M790" s="82"/>
      <c r="N790" s="81"/>
      <c r="O790" s="82"/>
      <c r="P790" s="81"/>
      <c r="Q790" s="82"/>
      <c r="R790" s="81"/>
      <c r="S790" s="105"/>
      <c r="T790" s="81"/>
      <c r="U790" s="81"/>
      <c r="V790" s="81"/>
      <c r="W790" s="81"/>
      <c r="X790" s="81"/>
      <c r="Y790" s="81"/>
      <c r="Z790" s="81"/>
    </row>
    <row r="791" spans="1:26" ht="24" customHeight="1" x14ac:dyDescent="0.5">
      <c r="A791" s="81"/>
      <c r="B791" s="81"/>
      <c r="C791" s="81"/>
      <c r="D791" s="81"/>
      <c r="E791" s="81"/>
      <c r="F791" s="81"/>
      <c r="G791" s="105"/>
      <c r="H791" s="81"/>
      <c r="I791" s="81"/>
      <c r="J791" s="82"/>
      <c r="K791" s="81"/>
      <c r="L791" s="81"/>
      <c r="M791" s="82"/>
      <c r="N791" s="81"/>
      <c r="O791" s="82"/>
      <c r="P791" s="81"/>
      <c r="Q791" s="82"/>
      <c r="R791" s="81"/>
      <c r="S791" s="105"/>
      <c r="T791" s="81"/>
      <c r="U791" s="81"/>
      <c r="V791" s="81"/>
      <c r="W791" s="81"/>
      <c r="X791" s="81"/>
      <c r="Y791" s="81"/>
      <c r="Z791" s="81"/>
    </row>
    <row r="792" spans="1:26" ht="24" customHeight="1" x14ac:dyDescent="0.5">
      <c r="A792" s="81"/>
      <c r="B792" s="81"/>
      <c r="C792" s="81"/>
      <c r="D792" s="81"/>
      <c r="E792" s="81"/>
      <c r="F792" s="81"/>
      <c r="G792" s="105"/>
      <c r="H792" s="81"/>
      <c r="I792" s="81"/>
      <c r="J792" s="82"/>
      <c r="K792" s="81"/>
      <c r="L792" s="81"/>
      <c r="M792" s="82"/>
      <c r="N792" s="81"/>
      <c r="O792" s="82"/>
      <c r="P792" s="81"/>
      <c r="Q792" s="82"/>
      <c r="R792" s="81"/>
      <c r="S792" s="105"/>
      <c r="T792" s="81"/>
      <c r="U792" s="81"/>
      <c r="V792" s="81"/>
      <c r="W792" s="81"/>
      <c r="X792" s="81"/>
      <c r="Y792" s="81"/>
      <c r="Z792" s="81"/>
    </row>
    <row r="793" spans="1:26" ht="24" customHeight="1" x14ac:dyDescent="0.5">
      <c r="A793" s="81"/>
      <c r="B793" s="81"/>
      <c r="C793" s="81"/>
      <c r="D793" s="81"/>
      <c r="E793" s="81"/>
      <c r="F793" s="81"/>
      <c r="G793" s="105"/>
      <c r="H793" s="81"/>
      <c r="I793" s="81"/>
      <c r="J793" s="82"/>
      <c r="K793" s="81"/>
      <c r="L793" s="81"/>
      <c r="M793" s="82"/>
      <c r="N793" s="81"/>
      <c r="O793" s="82"/>
      <c r="P793" s="81"/>
      <c r="Q793" s="82"/>
      <c r="R793" s="81"/>
      <c r="S793" s="105"/>
      <c r="T793" s="81"/>
      <c r="U793" s="81"/>
      <c r="V793" s="81"/>
      <c r="W793" s="81"/>
      <c r="X793" s="81"/>
      <c r="Y793" s="81"/>
      <c r="Z793" s="81"/>
    </row>
    <row r="794" spans="1:26" ht="24" customHeight="1" x14ac:dyDescent="0.5">
      <c r="A794" s="81"/>
      <c r="B794" s="81"/>
      <c r="C794" s="81"/>
      <c r="D794" s="81"/>
      <c r="E794" s="81"/>
      <c r="F794" s="81"/>
      <c r="G794" s="105"/>
      <c r="H794" s="81"/>
      <c r="I794" s="81"/>
      <c r="J794" s="82"/>
      <c r="K794" s="81"/>
      <c r="L794" s="81"/>
      <c r="M794" s="82"/>
      <c r="N794" s="81"/>
      <c r="O794" s="82"/>
      <c r="P794" s="81"/>
      <c r="Q794" s="82"/>
      <c r="R794" s="81"/>
      <c r="S794" s="105"/>
      <c r="T794" s="81"/>
      <c r="U794" s="81"/>
      <c r="V794" s="81"/>
      <c r="W794" s="81"/>
      <c r="X794" s="81"/>
      <c r="Y794" s="81"/>
      <c r="Z794" s="81"/>
    </row>
    <row r="795" spans="1:26" ht="24" customHeight="1" x14ac:dyDescent="0.5">
      <c r="A795" s="81"/>
      <c r="B795" s="81"/>
      <c r="C795" s="81"/>
      <c r="D795" s="81"/>
      <c r="E795" s="81"/>
      <c r="F795" s="81"/>
      <c r="G795" s="105"/>
      <c r="H795" s="81"/>
      <c r="I795" s="81"/>
      <c r="J795" s="82"/>
      <c r="K795" s="81"/>
      <c r="L795" s="81"/>
      <c r="M795" s="82"/>
      <c r="N795" s="81"/>
      <c r="O795" s="82"/>
      <c r="P795" s="81"/>
      <c r="Q795" s="82"/>
      <c r="R795" s="81"/>
      <c r="S795" s="105"/>
      <c r="T795" s="81"/>
      <c r="U795" s="81"/>
      <c r="V795" s="81"/>
      <c r="W795" s="81"/>
      <c r="X795" s="81"/>
      <c r="Y795" s="81"/>
      <c r="Z795" s="81"/>
    </row>
    <row r="796" spans="1:26" ht="24" customHeight="1" x14ac:dyDescent="0.5">
      <c r="A796" s="81"/>
      <c r="B796" s="81"/>
      <c r="C796" s="81"/>
      <c r="D796" s="81"/>
      <c r="E796" s="81"/>
      <c r="F796" s="81"/>
      <c r="G796" s="105"/>
      <c r="H796" s="81"/>
      <c r="I796" s="81"/>
      <c r="J796" s="82"/>
      <c r="K796" s="81"/>
      <c r="L796" s="81"/>
      <c r="M796" s="82"/>
      <c r="N796" s="81"/>
      <c r="O796" s="82"/>
      <c r="P796" s="81"/>
      <c r="Q796" s="82"/>
      <c r="R796" s="81"/>
      <c r="S796" s="105"/>
      <c r="T796" s="81"/>
      <c r="U796" s="81"/>
      <c r="V796" s="81"/>
      <c r="W796" s="81"/>
      <c r="X796" s="81"/>
      <c r="Y796" s="81"/>
      <c r="Z796" s="81"/>
    </row>
    <row r="797" spans="1:26" ht="24" customHeight="1" x14ac:dyDescent="0.5">
      <c r="A797" s="81"/>
      <c r="B797" s="81"/>
      <c r="C797" s="81"/>
      <c r="D797" s="81"/>
      <c r="E797" s="81"/>
      <c r="F797" s="81"/>
      <c r="G797" s="105"/>
      <c r="H797" s="81"/>
      <c r="I797" s="81"/>
      <c r="J797" s="82"/>
      <c r="K797" s="81"/>
      <c r="L797" s="81"/>
      <c r="M797" s="82"/>
      <c r="N797" s="81"/>
      <c r="O797" s="82"/>
      <c r="P797" s="81"/>
      <c r="Q797" s="82"/>
      <c r="R797" s="81"/>
      <c r="S797" s="105"/>
      <c r="T797" s="81"/>
      <c r="U797" s="81"/>
      <c r="V797" s="81"/>
      <c r="W797" s="81"/>
      <c r="X797" s="81"/>
      <c r="Y797" s="81"/>
      <c r="Z797" s="81"/>
    </row>
    <row r="798" spans="1:26" ht="24" customHeight="1" x14ac:dyDescent="0.5">
      <c r="A798" s="81"/>
      <c r="B798" s="81"/>
      <c r="C798" s="81"/>
      <c r="D798" s="81"/>
      <c r="E798" s="81"/>
      <c r="F798" s="81"/>
      <c r="G798" s="105"/>
      <c r="H798" s="81"/>
      <c r="I798" s="81"/>
      <c r="J798" s="82"/>
      <c r="K798" s="81"/>
      <c r="L798" s="81"/>
      <c r="M798" s="82"/>
      <c r="N798" s="81"/>
      <c r="O798" s="82"/>
      <c r="P798" s="81"/>
      <c r="Q798" s="82"/>
      <c r="R798" s="81"/>
      <c r="S798" s="105"/>
      <c r="T798" s="81"/>
      <c r="U798" s="81"/>
      <c r="V798" s="81"/>
      <c r="W798" s="81"/>
      <c r="X798" s="81"/>
      <c r="Y798" s="81"/>
      <c r="Z798" s="81"/>
    </row>
    <row r="799" spans="1:26" ht="24" customHeight="1" x14ac:dyDescent="0.5">
      <c r="A799" s="81"/>
      <c r="B799" s="81"/>
      <c r="C799" s="81"/>
      <c r="D799" s="81"/>
      <c r="E799" s="81"/>
      <c r="F799" s="81"/>
      <c r="G799" s="105"/>
      <c r="H799" s="81"/>
      <c r="I799" s="81"/>
      <c r="J799" s="82"/>
      <c r="K799" s="81"/>
      <c r="L799" s="81"/>
      <c r="M799" s="82"/>
      <c r="N799" s="81"/>
      <c r="O799" s="82"/>
      <c r="P799" s="81"/>
      <c r="Q799" s="82"/>
      <c r="R799" s="81"/>
      <c r="S799" s="105"/>
      <c r="T799" s="81"/>
      <c r="U799" s="81"/>
      <c r="V799" s="81"/>
      <c r="W799" s="81"/>
      <c r="X799" s="81"/>
      <c r="Y799" s="81"/>
      <c r="Z799" s="81"/>
    </row>
    <row r="800" spans="1:26" ht="24" customHeight="1" x14ac:dyDescent="0.5">
      <c r="A800" s="81"/>
      <c r="B800" s="81"/>
      <c r="C800" s="81"/>
      <c r="D800" s="81"/>
      <c r="E800" s="81"/>
      <c r="F800" s="81"/>
      <c r="G800" s="105"/>
      <c r="H800" s="81"/>
      <c r="I800" s="81"/>
      <c r="J800" s="82"/>
      <c r="K800" s="81"/>
      <c r="L800" s="81"/>
      <c r="M800" s="82"/>
      <c r="N800" s="81"/>
      <c r="O800" s="82"/>
      <c r="P800" s="81"/>
      <c r="Q800" s="82"/>
      <c r="R800" s="81"/>
      <c r="S800" s="105"/>
      <c r="T800" s="81"/>
      <c r="U800" s="81"/>
      <c r="V800" s="81"/>
      <c r="W800" s="81"/>
      <c r="X800" s="81"/>
      <c r="Y800" s="81"/>
      <c r="Z800" s="81"/>
    </row>
    <row r="801" spans="1:26" ht="24" customHeight="1" x14ac:dyDescent="0.5">
      <c r="A801" s="81"/>
      <c r="B801" s="81"/>
      <c r="C801" s="81"/>
      <c r="D801" s="81"/>
      <c r="E801" s="81"/>
      <c r="F801" s="81"/>
      <c r="G801" s="105"/>
      <c r="H801" s="81"/>
      <c r="I801" s="81"/>
      <c r="J801" s="82"/>
      <c r="K801" s="81"/>
      <c r="L801" s="81"/>
      <c r="M801" s="82"/>
      <c r="N801" s="81"/>
      <c r="O801" s="82"/>
      <c r="P801" s="81"/>
      <c r="Q801" s="82"/>
      <c r="R801" s="81"/>
      <c r="S801" s="105"/>
      <c r="T801" s="81"/>
      <c r="U801" s="81"/>
      <c r="V801" s="81"/>
      <c r="W801" s="81"/>
      <c r="X801" s="81"/>
      <c r="Y801" s="81"/>
      <c r="Z801" s="81"/>
    </row>
    <row r="802" spans="1:26" ht="24" customHeight="1" x14ac:dyDescent="0.5">
      <c r="A802" s="81"/>
      <c r="B802" s="81"/>
      <c r="C802" s="81"/>
      <c r="D802" s="81"/>
      <c r="E802" s="81"/>
      <c r="F802" s="81"/>
      <c r="G802" s="105"/>
      <c r="H802" s="81"/>
      <c r="I802" s="81"/>
      <c r="J802" s="82"/>
      <c r="K802" s="81"/>
      <c r="L802" s="81"/>
      <c r="M802" s="82"/>
      <c r="N802" s="81"/>
      <c r="O802" s="82"/>
      <c r="P802" s="81"/>
      <c r="Q802" s="82"/>
      <c r="R802" s="81"/>
      <c r="S802" s="105"/>
      <c r="T802" s="81"/>
      <c r="U802" s="81"/>
      <c r="V802" s="81"/>
      <c r="W802" s="81"/>
      <c r="X802" s="81"/>
      <c r="Y802" s="81"/>
      <c r="Z802" s="81"/>
    </row>
    <row r="803" spans="1:26" ht="24" customHeight="1" x14ac:dyDescent="0.5">
      <c r="A803" s="81"/>
      <c r="B803" s="81"/>
      <c r="C803" s="81"/>
      <c r="D803" s="81"/>
      <c r="E803" s="81"/>
      <c r="F803" s="81"/>
      <c r="G803" s="105"/>
      <c r="H803" s="81"/>
      <c r="I803" s="81"/>
      <c r="J803" s="82"/>
      <c r="K803" s="81"/>
      <c r="L803" s="81"/>
      <c r="M803" s="82"/>
      <c r="N803" s="81"/>
      <c r="O803" s="82"/>
      <c r="P803" s="81"/>
      <c r="Q803" s="82"/>
      <c r="R803" s="81"/>
      <c r="S803" s="105"/>
      <c r="T803" s="81"/>
      <c r="U803" s="81"/>
      <c r="V803" s="81"/>
      <c r="W803" s="81"/>
      <c r="X803" s="81"/>
      <c r="Y803" s="81"/>
      <c r="Z803" s="81"/>
    </row>
    <row r="804" spans="1:26" ht="24" customHeight="1" x14ac:dyDescent="0.5">
      <c r="A804" s="81"/>
      <c r="B804" s="81"/>
      <c r="C804" s="81"/>
      <c r="D804" s="81"/>
      <c r="E804" s="81"/>
      <c r="F804" s="81"/>
      <c r="G804" s="105"/>
      <c r="H804" s="81"/>
      <c r="I804" s="81"/>
      <c r="J804" s="82"/>
      <c r="K804" s="81"/>
      <c r="L804" s="81"/>
      <c r="M804" s="82"/>
      <c r="N804" s="81"/>
      <c r="O804" s="82"/>
      <c r="P804" s="81"/>
      <c r="Q804" s="82"/>
      <c r="R804" s="81"/>
      <c r="S804" s="105"/>
      <c r="T804" s="81"/>
      <c r="U804" s="81"/>
      <c r="V804" s="81"/>
      <c r="W804" s="81"/>
      <c r="X804" s="81"/>
      <c r="Y804" s="81"/>
      <c r="Z804" s="81"/>
    </row>
    <row r="805" spans="1:26" ht="24" customHeight="1" x14ac:dyDescent="0.5">
      <c r="A805" s="81"/>
      <c r="B805" s="81"/>
      <c r="C805" s="81"/>
      <c r="D805" s="81"/>
      <c r="E805" s="81"/>
      <c r="F805" s="81"/>
      <c r="G805" s="105"/>
      <c r="H805" s="81"/>
      <c r="I805" s="81"/>
      <c r="J805" s="82"/>
      <c r="K805" s="81"/>
      <c r="L805" s="81"/>
      <c r="M805" s="82"/>
      <c r="N805" s="81"/>
      <c r="O805" s="82"/>
      <c r="P805" s="81"/>
      <c r="Q805" s="82"/>
      <c r="R805" s="81"/>
      <c r="S805" s="105"/>
      <c r="T805" s="81"/>
      <c r="U805" s="81"/>
      <c r="V805" s="81"/>
      <c r="W805" s="81"/>
      <c r="X805" s="81"/>
      <c r="Y805" s="81"/>
      <c r="Z805" s="81"/>
    </row>
    <row r="806" spans="1:26" ht="24" customHeight="1" x14ac:dyDescent="0.5">
      <c r="A806" s="81"/>
      <c r="B806" s="81"/>
      <c r="C806" s="81"/>
      <c r="D806" s="81"/>
      <c r="E806" s="81"/>
      <c r="F806" s="81"/>
      <c r="G806" s="105"/>
      <c r="H806" s="81"/>
      <c r="I806" s="81"/>
      <c r="J806" s="82"/>
      <c r="K806" s="81"/>
      <c r="L806" s="81"/>
      <c r="M806" s="82"/>
      <c r="N806" s="81"/>
      <c r="O806" s="82"/>
      <c r="P806" s="81"/>
      <c r="Q806" s="82"/>
      <c r="R806" s="81"/>
      <c r="S806" s="105"/>
      <c r="T806" s="81"/>
      <c r="U806" s="81"/>
      <c r="V806" s="81"/>
      <c r="W806" s="81"/>
      <c r="X806" s="81"/>
      <c r="Y806" s="81"/>
      <c r="Z806" s="81"/>
    </row>
    <row r="807" spans="1:26" ht="24" customHeight="1" x14ac:dyDescent="0.5">
      <c r="A807" s="81"/>
      <c r="B807" s="81"/>
      <c r="C807" s="81"/>
      <c r="D807" s="81"/>
      <c r="E807" s="81"/>
      <c r="F807" s="81"/>
      <c r="G807" s="105"/>
      <c r="H807" s="81"/>
      <c r="I807" s="81"/>
      <c r="J807" s="82"/>
      <c r="K807" s="81"/>
      <c r="L807" s="81"/>
      <c r="M807" s="82"/>
      <c r="N807" s="81"/>
      <c r="O807" s="82"/>
      <c r="P807" s="81"/>
      <c r="Q807" s="82"/>
      <c r="R807" s="81"/>
      <c r="S807" s="105"/>
      <c r="T807" s="81"/>
      <c r="U807" s="81"/>
      <c r="V807" s="81"/>
      <c r="W807" s="81"/>
      <c r="X807" s="81"/>
      <c r="Y807" s="81"/>
      <c r="Z807" s="81"/>
    </row>
    <row r="808" spans="1:26" ht="24" customHeight="1" x14ac:dyDescent="0.5">
      <c r="A808" s="81"/>
      <c r="B808" s="81"/>
      <c r="C808" s="81"/>
      <c r="D808" s="81"/>
      <c r="E808" s="81"/>
      <c r="F808" s="81"/>
      <c r="G808" s="105"/>
      <c r="H808" s="81"/>
      <c r="I808" s="81"/>
      <c r="J808" s="82"/>
      <c r="K808" s="81"/>
      <c r="L808" s="81"/>
      <c r="M808" s="82"/>
      <c r="N808" s="81"/>
      <c r="O808" s="82"/>
      <c r="P808" s="81"/>
      <c r="Q808" s="82"/>
      <c r="R808" s="81"/>
      <c r="S808" s="105"/>
      <c r="T808" s="81"/>
      <c r="U808" s="81"/>
      <c r="V808" s="81"/>
      <c r="W808" s="81"/>
      <c r="X808" s="81"/>
      <c r="Y808" s="81"/>
      <c r="Z808" s="81"/>
    </row>
    <row r="809" spans="1:26" ht="24" customHeight="1" x14ac:dyDescent="0.5">
      <c r="A809" s="81"/>
      <c r="B809" s="81"/>
      <c r="C809" s="81"/>
      <c r="D809" s="81"/>
      <c r="E809" s="81"/>
      <c r="F809" s="81"/>
      <c r="G809" s="105"/>
      <c r="H809" s="81"/>
      <c r="I809" s="81"/>
      <c r="J809" s="82"/>
      <c r="K809" s="81"/>
      <c r="L809" s="81"/>
      <c r="M809" s="82"/>
      <c r="N809" s="81"/>
      <c r="O809" s="82"/>
      <c r="P809" s="81"/>
      <c r="Q809" s="82"/>
      <c r="R809" s="81"/>
      <c r="S809" s="105"/>
      <c r="T809" s="81"/>
      <c r="U809" s="81"/>
      <c r="V809" s="81"/>
      <c r="W809" s="81"/>
      <c r="X809" s="81"/>
      <c r="Y809" s="81"/>
      <c r="Z809" s="81"/>
    </row>
    <row r="810" spans="1:26" ht="24" customHeight="1" x14ac:dyDescent="0.5">
      <c r="A810" s="81"/>
      <c r="B810" s="81"/>
      <c r="C810" s="81"/>
      <c r="D810" s="81"/>
      <c r="E810" s="81"/>
      <c r="F810" s="81"/>
      <c r="G810" s="105"/>
      <c r="H810" s="81"/>
      <c r="I810" s="81"/>
      <c r="J810" s="82"/>
      <c r="K810" s="81"/>
      <c r="L810" s="81"/>
      <c r="M810" s="82"/>
      <c r="N810" s="81"/>
      <c r="O810" s="82"/>
      <c r="P810" s="81"/>
      <c r="Q810" s="82"/>
      <c r="R810" s="81"/>
      <c r="S810" s="105"/>
      <c r="T810" s="81"/>
      <c r="U810" s="81"/>
      <c r="V810" s="81"/>
      <c r="W810" s="81"/>
      <c r="X810" s="81"/>
      <c r="Y810" s="81"/>
      <c r="Z810" s="81"/>
    </row>
    <row r="811" spans="1:26" ht="24" customHeight="1" x14ac:dyDescent="0.5">
      <c r="A811" s="81"/>
      <c r="B811" s="81"/>
      <c r="C811" s="81"/>
      <c r="D811" s="81"/>
      <c r="E811" s="81"/>
      <c r="F811" s="81"/>
      <c r="G811" s="105"/>
      <c r="H811" s="81"/>
      <c r="I811" s="81"/>
      <c r="J811" s="82"/>
      <c r="K811" s="81"/>
      <c r="L811" s="81"/>
      <c r="M811" s="82"/>
      <c r="N811" s="81"/>
      <c r="O811" s="82"/>
      <c r="P811" s="81"/>
      <c r="Q811" s="82"/>
      <c r="R811" s="81"/>
      <c r="S811" s="105"/>
      <c r="T811" s="81"/>
      <c r="U811" s="81"/>
      <c r="V811" s="81"/>
      <c r="W811" s="81"/>
      <c r="X811" s="81"/>
      <c r="Y811" s="81"/>
      <c r="Z811" s="81"/>
    </row>
    <row r="812" spans="1:26" ht="24" customHeight="1" x14ac:dyDescent="0.5">
      <c r="A812" s="81"/>
      <c r="B812" s="81"/>
      <c r="C812" s="81"/>
      <c r="D812" s="81"/>
      <c r="E812" s="81"/>
      <c r="F812" s="81"/>
      <c r="G812" s="105"/>
      <c r="H812" s="81"/>
      <c r="I812" s="81"/>
      <c r="J812" s="82"/>
      <c r="K812" s="81"/>
      <c r="L812" s="81"/>
      <c r="M812" s="82"/>
      <c r="N812" s="81"/>
      <c r="O812" s="82"/>
      <c r="P812" s="81"/>
      <c r="Q812" s="82"/>
      <c r="R812" s="81"/>
      <c r="S812" s="105"/>
      <c r="T812" s="81"/>
      <c r="U812" s="81"/>
      <c r="V812" s="81"/>
      <c r="W812" s="81"/>
      <c r="X812" s="81"/>
      <c r="Y812" s="81"/>
      <c r="Z812" s="81"/>
    </row>
    <row r="813" spans="1:26" ht="24" customHeight="1" x14ac:dyDescent="0.5">
      <c r="A813" s="81"/>
      <c r="B813" s="81"/>
      <c r="C813" s="81"/>
      <c r="D813" s="81"/>
      <c r="E813" s="81"/>
      <c r="F813" s="81"/>
      <c r="G813" s="105"/>
      <c r="H813" s="81"/>
      <c r="I813" s="81"/>
      <c r="J813" s="82"/>
      <c r="K813" s="81"/>
      <c r="L813" s="81"/>
      <c r="M813" s="82"/>
      <c r="N813" s="81"/>
      <c r="O813" s="82"/>
      <c r="P813" s="81"/>
      <c r="Q813" s="82"/>
      <c r="R813" s="81"/>
      <c r="S813" s="105"/>
      <c r="T813" s="81"/>
      <c r="U813" s="81"/>
      <c r="V813" s="81"/>
      <c r="W813" s="81"/>
      <c r="X813" s="81"/>
      <c r="Y813" s="81"/>
      <c r="Z813" s="81"/>
    </row>
    <row r="814" spans="1:26" ht="24" customHeight="1" x14ac:dyDescent="0.5">
      <c r="A814" s="81"/>
      <c r="B814" s="81"/>
      <c r="C814" s="81"/>
      <c r="D814" s="81"/>
      <c r="E814" s="81"/>
      <c r="F814" s="81"/>
      <c r="G814" s="105"/>
      <c r="H814" s="81"/>
      <c r="I814" s="81"/>
      <c r="J814" s="82"/>
      <c r="K814" s="81"/>
      <c r="L814" s="81"/>
      <c r="M814" s="82"/>
      <c r="N814" s="81"/>
      <c r="O814" s="82"/>
      <c r="P814" s="81"/>
      <c r="Q814" s="82"/>
      <c r="R814" s="81"/>
      <c r="S814" s="105"/>
      <c r="T814" s="81"/>
      <c r="U814" s="81"/>
      <c r="V814" s="81"/>
      <c r="W814" s="81"/>
      <c r="X814" s="81"/>
      <c r="Y814" s="81"/>
      <c r="Z814" s="81"/>
    </row>
    <row r="815" spans="1:26" ht="24" customHeight="1" x14ac:dyDescent="0.5">
      <c r="A815" s="81"/>
      <c r="B815" s="81"/>
      <c r="C815" s="81"/>
      <c r="D815" s="81"/>
      <c r="E815" s="81"/>
      <c r="F815" s="81"/>
      <c r="G815" s="105"/>
      <c r="H815" s="81"/>
      <c r="I815" s="81"/>
      <c r="J815" s="82"/>
      <c r="K815" s="81"/>
      <c r="L815" s="81"/>
      <c r="M815" s="82"/>
      <c r="N815" s="81"/>
      <c r="O815" s="82"/>
      <c r="P815" s="81"/>
      <c r="Q815" s="82"/>
      <c r="R815" s="81"/>
      <c r="S815" s="105"/>
      <c r="T815" s="81"/>
      <c r="U815" s="81"/>
      <c r="V815" s="81"/>
      <c r="W815" s="81"/>
      <c r="X815" s="81"/>
      <c r="Y815" s="81"/>
      <c r="Z815" s="81"/>
    </row>
    <row r="816" spans="1:26" ht="24" customHeight="1" x14ac:dyDescent="0.5">
      <c r="A816" s="81"/>
      <c r="B816" s="81"/>
      <c r="C816" s="81"/>
      <c r="D816" s="81"/>
      <c r="E816" s="81"/>
      <c r="F816" s="81"/>
      <c r="G816" s="105"/>
      <c r="H816" s="81"/>
      <c r="I816" s="81"/>
      <c r="J816" s="82"/>
      <c r="K816" s="81"/>
      <c r="L816" s="81"/>
      <c r="M816" s="82"/>
      <c r="N816" s="81"/>
      <c r="O816" s="82"/>
      <c r="P816" s="81"/>
      <c r="Q816" s="82"/>
      <c r="R816" s="81"/>
      <c r="S816" s="105"/>
      <c r="T816" s="81"/>
      <c r="U816" s="81"/>
      <c r="V816" s="81"/>
      <c r="W816" s="81"/>
      <c r="X816" s="81"/>
      <c r="Y816" s="81"/>
      <c r="Z816" s="81"/>
    </row>
    <row r="817" spans="1:26" ht="24" customHeight="1" x14ac:dyDescent="0.5">
      <c r="A817" s="81"/>
      <c r="B817" s="81"/>
      <c r="C817" s="81"/>
      <c r="D817" s="81"/>
      <c r="E817" s="81"/>
      <c r="F817" s="81"/>
      <c r="G817" s="105"/>
      <c r="H817" s="81"/>
      <c r="I817" s="81"/>
      <c r="J817" s="82"/>
      <c r="K817" s="81"/>
      <c r="L817" s="81"/>
      <c r="M817" s="82"/>
      <c r="N817" s="81"/>
      <c r="O817" s="82"/>
      <c r="P817" s="81"/>
      <c r="Q817" s="82"/>
      <c r="R817" s="81"/>
      <c r="S817" s="105"/>
      <c r="T817" s="81"/>
      <c r="U817" s="81"/>
      <c r="V817" s="81"/>
      <c r="W817" s="81"/>
      <c r="X817" s="81"/>
      <c r="Y817" s="81"/>
      <c r="Z817" s="81"/>
    </row>
    <row r="818" spans="1:26" ht="24" customHeight="1" x14ac:dyDescent="0.5">
      <c r="A818" s="81"/>
      <c r="B818" s="81"/>
      <c r="C818" s="81"/>
      <c r="D818" s="81"/>
      <c r="E818" s="81"/>
      <c r="F818" s="81"/>
      <c r="G818" s="105"/>
      <c r="H818" s="81"/>
      <c r="I818" s="81"/>
      <c r="J818" s="82"/>
      <c r="K818" s="81"/>
      <c r="L818" s="81"/>
      <c r="M818" s="82"/>
      <c r="N818" s="81"/>
      <c r="O818" s="82"/>
      <c r="P818" s="81"/>
      <c r="Q818" s="82"/>
      <c r="R818" s="81"/>
      <c r="S818" s="105"/>
      <c r="T818" s="81"/>
      <c r="U818" s="81"/>
      <c r="V818" s="81"/>
      <c r="W818" s="81"/>
      <c r="X818" s="81"/>
      <c r="Y818" s="81"/>
      <c r="Z818" s="81"/>
    </row>
    <row r="819" spans="1:26" ht="24" customHeight="1" x14ac:dyDescent="0.5">
      <c r="A819" s="81"/>
      <c r="B819" s="81"/>
      <c r="C819" s="81"/>
      <c r="D819" s="81"/>
      <c r="E819" s="81"/>
      <c r="F819" s="81"/>
      <c r="G819" s="105"/>
      <c r="H819" s="81"/>
      <c r="I819" s="81"/>
      <c r="J819" s="82"/>
      <c r="K819" s="81"/>
      <c r="L819" s="81"/>
      <c r="M819" s="82"/>
      <c r="N819" s="81"/>
      <c r="O819" s="82"/>
      <c r="P819" s="81"/>
      <c r="Q819" s="82"/>
      <c r="R819" s="81"/>
      <c r="S819" s="105"/>
      <c r="T819" s="81"/>
      <c r="U819" s="81"/>
      <c r="V819" s="81"/>
      <c r="W819" s="81"/>
      <c r="X819" s="81"/>
      <c r="Y819" s="81"/>
      <c r="Z819" s="81"/>
    </row>
    <row r="820" spans="1:26" ht="24" customHeight="1" x14ac:dyDescent="0.5">
      <c r="A820" s="81"/>
      <c r="B820" s="81"/>
      <c r="C820" s="81"/>
      <c r="D820" s="81"/>
      <c r="E820" s="81"/>
      <c r="F820" s="81"/>
      <c r="G820" s="105"/>
      <c r="H820" s="81"/>
      <c r="I820" s="81"/>
      <c r="J820" s="82"/>
      <c r="K820" s="81"/>
      <c r="L820" s="81"/>
      <c r="M820" s="82"/>
      <c r="N820" s="81"/>
      <c r="O820" s="82"/>
      <c r="P820" s="81"/>
      <c r="Q820" s="82"/>
      <c r="R820" s="81"/>
      <c r="S820" s="105"/>
      <c r="T820" s="81"/>
      <c r="U820" s="81"/>
      <c r="V820" s="81"/>
      <c r="W820" s="81"/>
      <c r="X820" s="81"/>
      <c r="Y820" s="81"/>
      <c r="Z820" s="81"/>
    </row>
    <row r="821" spans="1:26" ht="24" customHeight="1" x14ac:dyDescent="0.5">
      <c r="A821" s="81"/>
      <c r="B821" s="81"/>
      <c r="C821" s="81"/>
      <c r="D821" s="81"/>
      <c r="E821" s="81"/>
      <c r="F821" s="81"/>
      <c r="G821" s="105"/>
      <c r="H821" s="81"/>
      <c r="I821" s="81"/>
      <c r="J821" s="82"/>
      <c r="K821" s="81"/>
      <c r="L821" s="81"/>
      <c r="M821" s="82"/>
      <c r="N821" s="81"/>
      <c r="O821" s="82"/>
      <c r="P821" s="81"/>
      <c r="Q821" s="82"/>
      <c r="R821" s="81"/>
      <c r="S821" s="105"/>
      <c r="T821" s="81"/>
      <c r="U821" s="81"/>
      <c r="V821" s="81"/>
      <c r="W821" s="81"/>
      <c r="X821" s="81"/>
      <c r="Y821" s="81"/>
      <c r="Z821" s="81"/>
    </row>
    <row r="822" spans="1:26" ht="24" customHeight="1" x14ac:dyDescent="0.5">
      <c r="A822" s="81"/>
      <c r="B822" s="81"/>
      <c r="C822" s="81"/>
      <c r="D822" s="81"/>
      <c r="E822" s="81"/>
      <c r="F822" s="81"/>
      <c r="G822" s="105"/>
      <c r="H822" s="81"/>
      <c r="I822" s="81"/>
      <c r="J822" s="82"/>
      <c r="K822" s="81"/>
      <c r="L822" s="81"/>
      <c r="M822" s="82"/>
      <c r="N822" s="81"/>
      <c r="O822" s="82"/>
      <c r="P822" s="81"/>
      <c r="Q822" s="82"/>
      <c r="R822" s="81"/>
      <c r="S822" s="105"/>
      <c r="T822" s="81"/>
      <c r="U822" s="81"/>
      <c r="V822" s="81"/>
      <c r="W822" s="81"/>
      <c r="X822" s="81"/>
      <c r="Y822" s="81"/>
      <c r="Z822" s="81"/>
    </row>
    <row r="823" spans="1:26" ht="24" customHeight="1" x14ac:dyDescent="0.5">
      <c r="A823" s="81"/>
      <c r="B823" s="81"/>
      <c r="C823" s="81"/>
      <c r="D823" s="81"/>
      <c r="E823" s="81"/>
      <c r="F823" s="81"/>
      <c r="G823" s="105"/>
      <c r="H823" s="81"/>
      <c r="I823" s="81"/>
      <c r="J823" s="82"/>
      <c r="K823" s="81"/>
      <c r="L823" s="81"/>
      <c r="M823" s="82"/>
      <c r="N823" s="81"/>
      <c r="O823" s="82"/>
      <c r="P823" s="81"/>
      <c r="Q823" s="82"/>
      <c r="R823" s="81"/>
      <c r="S823" s="105"/>
      <c r="T823" s="81"/>
      <c r="U823" s="81"/>
      <c r="V823" s="81"/>
      <c r="W823" s="81"/>
      <c r="X823" s="81"/>
      <c r="Y823" s="81"/>
      <c r="Z823" s="81"/>
    </row>
    <row r="824" spans="1:26" ht="24" customHeight="1" x14ac:dyDescent="0.5">
      <c r="A824" s="81"/>
      <c r="B824" s="81"/>
      <c r="C824" s="81"/>
      <c r="D824" s="81"/>
      <c r="E824" s="81"/>
      <c r="F824" s="81"/>
      <c r="G824" s="105"/>
      <c r="H824" s="81"/>
      <c r="I824" s="81"/>
      <c r="J824" s="82"/>
      <c r="K824" s="81"/>
      <c r="L824" s="81"/>
      <c r="M824" s="82"/>
      <c r="N824" s="81"/>
      <c r="O824" s="82"/>
      <c r="P824" s="81"/>
      <c r="Q824" s="82"/>
      <c r="R824" s="81"/>
      <c r="S824" s="105"/>
      <c r="T824" s="81"/>
      <c r="U824" s="81"/>
      <c r="V824" s="81"/>
      <c r="W824" s="81"/>
      <c r="X824" s="81"/>
      <c r="Y824" s="81"/>
      <c r="Z824" s="81"/>
    </row>
    <row r="825" spans="1:26" ht="24" customHeight="1" x14ac:dyDescent="0.5">
      <c r="A825" s="81"/>
      <c r="B825" s="81"/>
      <c r="C825" s="81"/>
      <c r="D825" s="81"/>
      <c r="E825" s="81"/>
      <c r="F825" s="81"/>
      <c r="G825" s="105"/>
      <c r="H825" s="81"/>
      <c r="I825" s="81"/>
      <c r="J825" s="82"/>
      <c r="K825" s="81"/>
      <c r="L825" s="81"/>
      <c r="M825" s="82"/>
      <c r="N825" s="81"/>
      <c r="O825" s="82"/>
      <c r="P825" s="81"/>
      <c r="Q825" s="82"/>
      <c r="R825" s="81"/>
      <c r="S825" s="105"/>
      <c r="T825" s="81"/>
      <c r="U825" s="81"/>
      <c r="V825" s="81"/>
      <c r="W825" s="81"/>
      <c r="X825" s="81"/>
      <c r="Y825" s="81"/>
      <c r="Z825" s="81"/>
    </row>
    <row r="826" spans="1:26" ht="24" customHeight="1" x14ac:dyDescent="0.5">
      <c r="A826" s="81"/>
      <c r="B826" s="81"/>
      <c r="C826" s="81"/>
      <c r="D826" s="81"/>
      <c r="E826" s="81"/>
      <c r="F826" s="81"/>
      <c r="G826" s="105"/>
      <c r="H826" s="81"/>
      <c r="I826" s="81"/>
      <c r="J826" s="82"/>
      <c r="K826" s="81"/>
      <c r="L826" s="81"/>
      <c r="M826" s="82"/>
      <c r="N826" s="81"/>
      <c r="O826" s="82"/>
      <c r="P826" s="81"/>
      <c r="Q826" s="82"/>
      <c r="R826" s="81"/>
      <c r="S826" s="105"/>
      <c r="T826" s="81"/>
      <c r="U826" s="81"/>
      <c r="V826" s="81"/>
      <c r="W826" s="81"/>
      <c r="X826" s="81"/>
      <c r="Y826" s="81"/>
      <c r="Z826" s="81"/>
    </row>
    <row r="827" spans="1:26" ht="24" customHeight="1" x14ac:dyDescent="0.5">
      <c r="A827" s="81"/>
      <c r="B827" s="81"/>
      <c r="C827" s="81"/>
      <c r="D827" s="81"/>
      <c r="E827" s="81"/>
      <c r="F827" s="81"/>
      <c r="G827" s="105"/>
      <c r="H827" s="81"/>
      <c r="I827" s="81"/>
      <c r="J827" s="82"/>
      <c r="K827" s="81"/>
      <c r="L827" s="81"/>
      <c r="M827" s="82"/>
      <c r="N827" s="81"/>
      <c r="O827" s="82"/>
      <c r="P827" s="81"/>
      <c r="Q827" s="82"/>
      <c r="R827" s="81"/>
      <c r="S827" s="105"/>
      <c r="T827" s="81"/>
      <c r="U827" s="81"/>
      <c r="V827" s="81"/>
      <c r="W827" s="81"/>
      <c r="X827" s="81"/>
      <c r="Y827" s="81"/>
      <c r="Z827" s="81"/>
    </row>
    <row r="828" spans="1:26" ht="24" customHeight="1" x14ac:dyDescent="0.5">
      <c r="A828" s="81"/>
      <c r="B828" s="81"/>
      <c r="C828" s="81"/>
      <c r="D828" s="81"/>
      <c r="E828" s="81"/>
      <c r="F828" s="81"/>
      <c r="G828" s="105"/>
      <c r="H828" s="81"/>
      <c r="I828" s="81"/>
      <c r="J828" s="82"/>
      <c r="K828" s="81"/>
      <c r="L828" s="81"/>
      <c r="M828" s="82"/>
      <c r="N828" s="81"/>
      <c r="O828" s="82"/>
      <c r="P828" s="81"/>
      <c r="Q828" s="82"/>
      <c r="R828" s="81"/>
      <c r="S828" s="105"/>
      <c r="T828" s="81"/>
      <c r="U828" s="81"/>
      <c r="V828" s="81"/>
      <c r="W828" s="81"/>
      <c r="X828" s="81"/>
      <c r="Y828" s="81"/>
      <c r="Z828" s="81"/>
    </row>
    <row r="829" spans="1:26" ht="24" customHeight="1" x14ac:dyDescent="0.5">
      <c r="A829" s="81"/>
      <c r="B829" s="81"/>
      <c r="C829" s="81"/>
      <c r="D829" s="81"/>
      <c r="E829" s="81"/>
      <c r="F829" s="81"/>
      <c r="G829" s="105"/>
      <c r="H829" s="81"/>
      <c r="I829" s="81"/>
      <c r="J829" s="82"/>
      <c r="K829" s="81"/>
      <c r="L829" s="81"/>
      <c r="M829" s="82"/>
      <c r="N829" s="81"/>
      <c r="O829" s="82"/>
      <c r="P829" s="81"/>
      <c r="Q829" s="82"/>
      <c r="R829" s="81"/>
      <c r="S829" s="105"/>
      <c r="T829" s="81"/>
      <c r="U829" s="81"/>
      <c r="V829" s="81"/>
      <c r="W829" s="81"/>
      <c r="X829" s="81"/>
      <c r="Y829" s="81"/>
      <c r="Z829" s="81"/>
    </row>
    <row r="830" spans="1:26" ht="24" customHeight="1" x14ac:dyDescent="0.5">
      <c r="A830" s="81"/>
      <c r="B830" s="81"/>
      <c r="C830" s="81"/>
      <c r="D830" s="81"/>
      <c r="E830" s="81"/>
      <c r="F830" s="81"/>
      <c r="G830" s="105"/>
      <c r="H830" s="81"/>
      <c r="I830" s="81"/>
      <c r="J830" s="82"/>
      <c r="K830" s="81"/>
      <c r="L830" s="81"/>
      <c r="M830" s="82"/>
      <c r="N830" s="81"/>
      <c r="O830" s="82"/>
      <c r="P830" s="81"/>
      <c r="Q830" s="82"/>
      <c r="R830" s="81"/>
      <c r="S830" s="105"/>
      <c r="T830" s="81"/>
      <c r="U830" s="81"/>
      <c r="V830" s="81"/>
      <c r="W830" s="81"/>
      <c r="X830" s="81"/>
      <c r="Y830" s="81"/>
      <c r="Z830" s="81"/>
    </row>
    <row r="831" spans="1:26" ht="24" customHeight="1" x14ac:dyDescent="0.5">
      <c r="A831" s="81"/>
      <c r="B831" s="81"/>
      <c r="C831" s="81"/>
      <c r="D831" s="81"/>
      <c r="E831" s="81"/>
      <c r="F831" s="81"/>
      <c r="G831" s="105"/>
      <c r="H831" s="81"/>
      <c r="I831" s="81"/>
      <c r="J831" s="82"/>
      <c r="K831" s="81"/>
      <c r="L831" s="81"/>
      <c r="M831" s="82"/>
      <c r="N831" s="81"/>
      <c r="O831" s="82"/>
      <c r="P831" s="81"/>
      <c r="Q831" s="82"/>
      <c r="R831" s="81"/>
      <c r="S831" s="105"/>
      <c r="T831" s="81"/>
      <c r="U831" s="81"/>
      <c r="V831" s="81"/>
      <c r="W831" s="81"/>
      <c r="X831" s="81"/>
      <c r="Y831" s="81"/>
      <c r="Z831" s="81"/>
    </row>
    <row r="832" spans="1:26" ht="24" customHeight="1" x14ac:dyDescent="0.5">
      <c r="A832" s="81"/>
      <c r="B832" s="81"/>
      <c r="C832" s="81"/>
      <c r="D832" s="81"/>
      <c r="E832" s="81"/>
      <c r="F832" s="81"/>
      <c r="G832" s="105"/>
      <c r="H832" s="81"/>
      <c r="I832" s="81"/>
      <c r="J832" s="82"/>
      <c r="K832" s="81"/>
      <c r="L832" s="81"/>
      <c r="M832" s="82"/>
      <c r="N832" s="81"/>
      <c r="O832" s="82"/>
      <c r="P832" s="81"/>
      <c r="Q832" s="82"/>
      <c r="R832" s="81"/>
      <c r="S832" s="105"/>
      <c r="T832" s="81"/>
      <c r="U832" s="81"/>
      <c r="V832" s="81"/>
      <c r="W832" s="81"/>
      <c r="X832" s="81"/>
      <c r="Y832" s="81"/>
      <c r="Z832" s="81"/>
    </row>
    <row r="833" spans="1:26" ht="24" customHeight="1" x14ac:dyDescent="0.5">
      <c r="A833" s="81"/>
      <c r="B833" s="81"/>
      <c r="C833" s="81"/>
      <c r="D833" s="81"/>
      <c r="E833" s="81"/>
      <c r="F833" s="81"/>
      <c r="G833" s="105"/>
      <c r="H833" s="81"/>
      <c r="I833" s="81"/>
      <c r="J833" s="82"/>
      <c r="K833" s="81"/>
      <c r="L833" s="81"/>
      <c r="M833" s="82"/>
      <c r="N833" s="81"/>
      <c r="O833" s="82"/>
      <c r="P833" s="81"/>
      <c r="Q833" s="82"/>
      <c r="R833" s="81"/>
      <c r="S833" s="105"/>
      <c r="T833" s="81"/>
      <c r="U833" s="81"/>
      <c r="V833" s="81"/>
      <c r="W833" s="81"/>
      <c r="X833" s="81"/>
      <c r="Y833" s="81"/>
      <c r="Z833" s="81"/>
    </row>
    <row r="834" spans="1:26" ht="24" customHeight="1" x14ac:dyDescent="0.5">
      <c r="A834" s="81"/>
      <c r="B834" s="81"/>
      <c r="C834" s="81"/>
      <c r="D834" s="81"/>
      <c r="E834" s="81"/>
      <c r="F834" s="81"/>
      <c r="G834" s="105"/>
      <c r="H834" s="81"/>
      <c r="I834" s="81"/>
      <c r="J834" s="82"/>
      <c r="K834" s="81"/>
      <c r="L834" s="81"/>
      <c r="M834" s="82"/>
      <c r="N834" s="81"/>
      <c r="O834" s="82"/>
      <c r="P834" s="81"/>
      <c r="Q834" s="82"/>
      <c r="R834" s="81"/>
      <c r="S834" s="105"/>
      <c r="T834" s="81"/>
      <c r="U834" s="81"/>
      <c r="V834" s="81"/>
      <c r="W834" s="81"/>
      <c r="X834" s="81"/>
      <c r="Y834" s="81"/>
      <c r="Z834" s="81"/>
    </row>
    <row r="835" spans="1:26" ht="24" customHeight="1" x14ac:dyDescent="0.5">
      <c r="A835" s="81"/>
      <c r="B835" s="81"/>
      <c r="C835" s="81"/>
      <c r="D835" s="81"/>
      <c r="E835" s="81"/>
      <c r="F835" s="81"/>
      <c r="G835" s="105"/>
      <c r="H835" s="81"/>
      <c r="I835" s="81"/>
      <c r="J835" s="82"/>
      <c r="K835" s="81"/>
      <c r="L835" s="81"/>
      <c r="M835" s="82"/>
      <c r="N835" s="81"/>
      <c r="O835" s="82"/>
      <c r="P835" s="81"/>
      <c r="Q835" s="82"/>
      <c r="R835" s="81"/>
      <c r="S835" s="105"/>
      <c r="T835" s="81"/>
      <c r="U835" s="81"/>
      <c r="V835" s="81"/>
      <c r="W835" s="81"/>
      <c r="X835" s="81"/>
      <c r="Y835" s="81"/>
      <c r="Z835" s="81"/>
    </row>
    <row r="836" spans="1:26" ht="24" customHeight="1" x14ac:dyDescent="0.5">
      <c r="A836" s="81"/>
      <c r="B836" s="81"/>
      <c r="C836" s="81"/>
      <c r="D836" s="81"/>
      <c r="E836" s="81"/>
      <c r="F836" s="81"/>
      <c r="G836" s="105"/>
      <c r="H836" s="81"/>
      <c r="I836" s="81"/>
      <c r="J836" s="82"/>
      <c r="K836" s="81"/>
      <c r="L836" s="81"/>
      <c r="M836" s="82"/>
      <c r="N836" s="81"/>
      <c r="O836" s="82"/>
      <c r="P836" s="81"/>
      <c r="Q836" s="82"/>
      <c r="R836" s="81"/>
      <c r="S836" s="105"/>
      <c r="T836" s="81"/>
      <c r="U836" s="81"/>
      <c r="V836" s="81"/>
      <c r="W836" s="81"/>
      <c r="X836" s="81"/>
      <c r="Y836" s="81"/>
      <c r="Z836" s="81"/>
    </row>
    <row r="837" spans="1:26" ht="24" customHeight="1" x14ac:dyDescent="0.5">
      <c r="A837" s="81"/>
      <c r="B837" s="81"/>
      <c r="C837" s="81"/>
      <c r="D837" s="81"/>
      <c r="E837" s="81"/>
      <c r="F837" s="81"/>
      <c r="G837" s="105"/>
      <c r="H837" s="81"/>
      <c r="I837" s="81"/>
      <c r="J837" s="82"/>
      <c r="K837" s="81"/>
      <c r="L837" s="81"/>
      <c r="M837" s="82"/>
      <c r="N837" s="81"/>
      <c r="O837" s="82"/>
      <c r="P837" s="81"/>
      <c r="Q837" s="82"/>
      <c r="R837" s="81"/>
      <c r="S837" s="105"/>
      <c r="T837" s="81"/>
      <c r="U837" s="81"/>
      <c r="V837" s="81"/>
      <c r="W837" s="81"/>
      <c r="X837" s="81"/>
      <c r="Y837" s="81"/>
      <c r="Z837" s="81"/>
    </row>
    <row r="838" spans="1:26" ht="24" customHeight="1" x14ac:dyDescent="0.5">
      <c r="A838" s="81"/>
      <c r="B838" s="81"/>
      <c r="C838" s="81"/>
      <c r="D838" s="81"/>
      <c r="E838" s="81"/>
      <c r="F838" s="81"/>
      <c r="G838" s="105"/>
      <c r="H838" s="81"/>
      <c r="I838" s="81"/>
      <c r="J838" s="82"/>
      <c r="K838" s="81"/>
      <c r="L838" s="81"/>
      <c r="M838" s="82"/>
      <c r="N838" s="81"/>
      <c r="O838" s="82"/>
      <c r="P838" s="81"/>
      <c r="Q838" s="82"/>
      <c r="R838" s="81"/>
      <c r="S838" s="105"/>
      <c r="T838" s="81"/>
      <c r="U838" s="81"/>
      <c r="V838" s="81"/>
      <c r="W838" s="81"/>
      <c r="X838" s="81"/>
      <c r="Y838" s="81"/>
      <c r="Z838" s="81"/>
    </row>
    <row r="839" spans="1:26" ht="24" customHeight="1" x14ac:dyDescent="0.5">
      <c r="A839" s="81"/>
      <c r="B839" s="81"/>
      <c r="C839" s="81"/>
      <c r="D839" s="81"/>
      <c r="E839" s="81"/>
      <c r="F839" s="81"/>
      <c r="G839" s="105"/>
      <c r="H839" s="81"/>
      <c r="I839" s="81"/>
      <c r="J839" s="82"/>
      <c r="K839" s="81"/>
      <c r="L839" s="81"/>
      <c r="M839" s="82"/>
      <c r="N839" s="81"/>
      <c r="O839" s="82"/>
      <c r="P839" s="81"/>
      <c r="Q839" s="82"/>
      <c r="R839" s="81"/>
      <c r="S839" s="105"/>
      <c r="T839" s="81"/>
      <c r="U839" s="81"/>
      <c r="V839" s="81"/>
      <c r="W839" s="81"/>
      <c r="X839" s="81"/>
      <c r="Y839" s="81"/>
      <c r="Z839" s="81"/>
    </row>
    <row r="840" spans="1:26" ht="24" customHeight="1" x14ac:dyDescent="0.5">
      <c r="A840" s="81"/>
      <c r="B840" s="81"/>
      <c r="C840" s="81"/>
      <c r="D840" s="81"/>
      <c r="E840" s="81"/>
      <c r="F840" s="81"/>
      <c r="G840" s="105"/>
      <c r="H840" s="81"/>
      <c r="I840" s="81"/>
      <c r="J840" s="82"/>
      <c r="K840" s="81"/>
      <c r="L840" s="81"/>
      <c r="M840" s="82"/>
      <c r="N840" s="81"/>
      <c r="O840" s="82"/>
      <c r="P840" s="81"/>
      <c r="Q840" s="82"/>
      <c r="R840" s="81"/>
      <c r="S840" s="105"/>
      <c r="T840" s="81"/>
      <c r="U840" s="81"/>
      <c r="V840" s="81"/>
      <c r="W840" s="81"/>
      <c r="X840" s="81"/>
      <c r="Y840" s="81"/>
      <c r="Z840" s="81"/>
    </row>
    <row r="841" spans="1:26" ht="24" customHeight="1" x14ac:dyDescent="0.5">
      <c r="A841" s="81"/>
      <c r="B841" s="81"/>
      <c r="C841" s="81"/>
      <c r="D841" s="81"/>
      <c r="E841" s="81"/>
      <c r="F841" s="81"/>
      <c r="G841" s="105"/>
      <c r="H841" s="81"/>
      <c r="I841" s="81"/>
      <c r="J841" s="82"/>
      <c r="K841" s="81"/>
      <c r="L841" s="81"/>
      <c r="M841" s="82"/>
      <c r="N841" s="81"/>
      <c r="O841" s="82"/>
      <c r="P841" s="81"/>
      <c r="Q841" s="82"/>
      <c r="R841" s="81"/>
      <c r="S841" s="105"/>
      <c r="T841" s="81"/>
      <c r="U841" s="81"/>
      <c r="V841" s="81"/>
      <c r="W841" s="81"/>
      <c r="X841" s="81"/>
      <c r="Y841" s="81"/>
      <c r="Z841" s="81"/>
    </row>
    <row r="842" spans="1:26" ht="24" customHeight="1" x14ac:dyDescent="0.5">
      <c r="A842" s="81"/>
      <c r="B842" s="81"/>
      <c r="C842" s="81"/>
      <c r="D842" s="81"/>
      <c r="E842" s="81"/>
      <c r="F842" s="81"/>
      <c r="G842" s="105"/>
      <c r="H842" s="81"/>
      <c r="I842" s="81"/>
      <c r="J842" s="82"/>
      <c r="K842" s="81"/>
      <c r="L842" s="81"/>
      <c r="M842" s="82"/>
      <c r="N842" s="81"/>
      <c r="O842" s="82"/>
      <c r="P842" s="81"/>
      <c r="Q842" s="82"/>
      <c r="R842" s="81"/>
      <c r="S842" s="105"/>
      <c r="T842" s="81"/>
      <c r="U842" s="81"/>
      <c r="V842" s="81"/>
      <c r="W842" s="81"/>
      <c r="X842" s="81"/>
      <c r="Y842" s="81"/>
      <c r="Z842" s="81"/>
    </row>
    <row r="843" spans="1:26" ht="24" customHeight="1" x14ac:dyDescent="0.5">
      <c r="A843" s="81"/>
      <c r="B843" s="81"/>
      <c r="C843" s="81"/>
      <c r="D843" s="81"/>
      <c r="E843" s="81"/>
      <c r="F843" s="81"/>
      <c r="G843" s="105"/>
      <c r="H843" s="81"/>
      <c r="I843" s="81"/>
      <c r="J843" s="82"/>
      <c r="K843" s="81"/>
      <c r="L843" s="81"/>
      <c r="M843" s="82"/>
      <c r="N843" s="81"/>
      <c r="O843" s="82"/>
      <c r="P843" s="81"/>
      <c r="Q843" s="82"/>
      <c r="R843" s="81"/>
      <c r="S843" s="105"/>
      <c r="T843" s="81"/>
      <c r="U843" s="81"/>
      <c r="V843" s="81"/>
      <c r="W843" s="81"/>
      <c r="X843" s="81"/>
      <c r="Y843" s="81"/>
      <c r="Z843" s="81"/>
    </row>
    <row r="844" spans="1:26" ht="24" customHeight="1" x14ac:dyDescent="0.5">
      <c r="A844" s="81"/>
      <c r="B844" s="81"/>
      <c r="C844" s="81"/>
      <c r="D844" s="81"/>
      <c r="E844" s="81"/>
      <c r="F844" s="81"/>
      <c r="G844" s="105"/>
      <c r="H844" s="81"/>
      <c r="I844" s="81"/>
      <c r="J844" s="82"/>
      <c r="K844" s="81"/>
      <c r="L844" s="81"/>
      <c r="M844" s="82"/>
      <c r="N844" s="81"/>
      <c r="O844" s="82"/>
      <c r="P844" s="81"/>
      <c r="Q844" s="82"/>
      <c r="R844" s="81"/>
      <c r="S844" s="105"/>
      <c r="T844" s="81"/>
      <c r="U844" s="81"/>
      <c r="V844" s="81"/>
      <c r="W844" s="81"/>
      <c r="X844" s="81"/>
      <c r="Y844" s="81"/>
      <c r="Z844" s="81"/>
    </row>
    <row r="845" spans="1:26" ht="24" customHeight="1" x14ac:dyDescent="0.5">
      <c r="A845" s="81"/>
      <c r="B845" s="81"/>
      <c r="C845" s="81"/>
      <c r="D845" s="81"/>
      <c r="E845" s="81"/>
      <c r="F845" s="81"/>
      <c r="G845" s="105"/>
      <c r="H845" s="81"/>
      <c r="I845" s="81"/>
      <c r="J845" s="82"/>
      <c r="K845" s="81"/>
      <c r="L845" s="81"/>
      <c r="M845" s="82"/>
      <c r="N845" s="81"/>
      <c r="O845" s="82"/>
      <c r="P845" s="81"/>
      <c r="Q845" s="82"/>
      <c r="R845" s="81"/>
      <c r="S845" s="105"/>
      <c r="T845" s="81"/>
      <c r="U845" s="81"/>
      <c r="V845" s="81"/>
      <c r="W845" s="81"/>
      <c r="X845" s="81"/>
      <c r="Y845" s="81"/>
      <c r="Z845" s="81"/>
    </row>
    <row r="846" spans="1:26" ht="24" customHeight="1" x14ac:dyDescent="0.5">
      <c r="A846" s="81"/>
      <c r="B846" s="81"/>
      <c r="C846" s="81"/>
      <c r="D846" s="81"/>
      <c r="E846" s="81"/>
      <c r="F846" s="81"/>
      <c r="G846" s="105"/>
      <c r="H846" s="81"/>
      <c r="I846" s="81"/>
      <c r="J846" s="82"/>
      <c r="K846" s="81"/>
      <c r="L846" s="81"/>
      <c r="M846" s="82"/>
      <c r="N846" s="81"/>
      <c r="O846" s="82"/>
      <c r="P846" s="81"/>
      <c r="Q846" s="82"/>
      <c r="R846" s="81"/>
      <c r="S846" s="105"/>
      <c r="T846" s="81"/>
      <c r="U846" s="81"/>
      <c r="V846" s="81"/>
      <c r="W846" s="81"/>
      <c r="X846" s="81"/>
      <c r="Y846" s="81"/>
      <c r="Z846" s="81"/>
    </row>
    <row r="847" spans="1:26" ht="24" customHeight="1" x14ac:dyDescent="0.5">
      <c r="A847" s="81"/>
      <c r="B847" s="81"/>
      <c r="C847" s="81"/>
      <c r="D847" s="81"/>
      <c r="E847" s="81"/>
      <c r="F847" s="81"/>
      <c r="G847" s="105"/>
      <c r="H847" s="81"/>
      <c r="I847" s="81"/>
      <c r="J847" s="82"/>
      <c r="K847" s="81"/>
      <c r="L847" s="81"/>
      <c r="M847" s="82"/>
      <c r="N847" s="81"/>
      <c r="O847" s="82"/>
      <c r="P847" s="81"/>
      <c r="Q847" s="82"/>
      <c r="R847" s="81"/>
      <c r="S847" s="105"/>
      <c r="T847" s="81"/>
      <c r="U847" s="81"/>
      <c r="V847" s="81"/>
      <c r="W847" s="81"/>
      <c r="X847" s="81"/>
      <c r="Y847" s="81"/>
      <c r="Z847" s="81"/>
    </row>
    <row r="848" spans="1:26" ht="24" customHeight="1" x14ac:dyDescent="0.5">
      <c r="A848" s="81"/>
      <c r="B848" s="81"/>
      <c r="C848" s="81"/>
      <c r="D848" s="81"/>
      <c r="E848" s="81"/>
      <c r="F848" s="81"/>
      <c r="G848" s="105"/>
      <c r="H848" s="81"/>
      <c r="I848" s="81"/>
      <c r="J848" s="82"/>
      <c r="K848" s="81"/>
      <c r="L848" s="81"/>
      <c r="M848" s="82"/>
      <c r="N848" s="81"/>
      <c r="O848" s="82"/>
      <c r="P848" s="81"/>
      <c r="Q848" s="82"/>
      <c r="R848" s="81"/>
      <c r="S848" s="105"/>
      <c r="T848" s="81"/>
      <c r="U848" s="81"/>
      <c r="V848" s="81"/>
      <c r="W848" s="81"/>
      <c r="X848" s="81"/>
      <c r="Y848" s="81"/>
      <c r="Z848" s="81"/>
    </row>
    <row r="849" spans="1:26" ht="24" customHeight="1" x14ac:dyDescent="0.5">
      <c r="A849" s="81"/>
      <c r="B849" s="81"/>
      <c r="C849" s="81"/>
      <c r="D849" s="81"/>
      <c r="E849" s="81"/>
      <c r="F849" s="81"/>
      <c r="G849" s="105"/>
      <c r="H849" s="81"/>
      <c r="I849" s="81"/>
      <c r="J849" s="82"/>
      <c r="K849" s="81"/>
      <c r="L849" s="81"/>
      <c r="M849" s="82"/>
      <c r="N849" s="81"/>
      <c r="O849" s="82"/>
      <c r="P849" s="81"/>
      <c r="Q849" s="82"/>
      <c r="R849" s="81"/>
      <c r="S849" s="105"/>
      <c r="T849" s="81"/>
      <c r="U849" s="81"/>
      <c r="V849" s="81"/>
      <c r="W849" s="81"/>
      <c r="X849" s="81"/>
      <c r="Y849" s="81"/>
      <c r="Z849" s="81"/>
    </row>
    <row r="850" spans="1:26" ht="24" customHeight="1" x14ac:dyDescent="0.5">
      <c r="A850" s="81"/>
      <c r="B850" s="81"/>
      <c r="C850" s="81"/>
      <c r="D850" s="81"/>
      <c r="E850" s="81"/>
      <c r="F850" s="81"/>
      <c r="G850" s="105"/>
      <c r="H850" s="81"/>
      <c r="I850" s="81"/>
      <c r="J850" s="82"/>
      <c r="K850" s="81"/>
      <c r="L850" s="81"/>
      <c r="M850" s="82"/>
      <c r="N850" s="81"/>
      <c r="O850" s="82"/>
      <c r="P850" s="81"/>
      <c r="Q850" s="82"/>
      <c r="R850" s="81"/>
      <c r="S850" s="105"/>
      <c r="T850" s="81"/>
      <c r="U850" s="81"/>
      <c r="V850" s="81"/>
      <c r="W850" s="81"/>
      <c r="X850" s="81"/>
      <c r="Y850" s="81"/>
      <c r="Z850" s="81"/>
    </row>
    <row r="851" spans="1:26" ht="24" customHeight="1" x14ac:dyDescent="0.5">
      <c r="A851" s="81"/>
      <c r="B851" s="81"/>
      <c r="C851" s="81"/>
      <c r="D851" s="81"/>
      <c r="E851" s="81"/>
      <c r="F851" s="81"/>
      <c r="G851" s="105"/>
      <c r="H851" s="81"/>
      <c r="I851" s="81"/>
      <c r="J851" s="82"/>
      <c r="K851" s="81"/>
      <c r="L851" s="81"/>
      <c r="M851" s="82"/>
      <c r="N851" s="81"/>
      <c r="O851" s="82"/>
      <c r="P851" s="81"/>
      <c r="Q851" s="82"/>
      <c r="R851" s="81"/>
      <c r="S851" s="105"/>
      <c r="T851" s="81"/>
      <c r="U851" s="81"/>
      <c r="V851" s="81"/>
      <c r="W851" s="81"/>
      <c r="X851" s="81"/>
      <c r="Y851" s="81"/>
      <c r="Z851" s="81"/>
    </row>
    <row r="852" spans="1:26" ht="24" customHeight="1" x14ac:dyDescent="0.5">
      <c r="A852" s="81"/>
      <c r="B852" s="81"/>
      <c r="C852" s="81"/>
      <c r="D852" s="81"/>
      <c r="E852" s="81"/>
      <c r="F852" s="81"/>
      <c r="G852" s="105"/>
      <c r="H852" s="81"/>
      <c r="I852" s="81"/>
      <c r="J852" s="82"/>
      <c r="K852" s="81"/>
      <c r="L852" s="81"/>
      <c r="M852" s="82"/>
      <c r="N852" s="81"/>
      <c r="O852" s="82"/>
      <c r="P852" s="81"/>
      <c r="Q852" s="82"/>
      <c r="R852" s="81"/>
      <c r="S852" s="105"/>
      <c r="T852" s="81"/>
      <c r="U852" s="81"/>
      <c r="V852" s="81"/>
      <c r="W852" s="81"/>
      <c r="X852" s="81"/>
      <c r="Y852" s="81"/>
      <c r="Z852" s="81"/>
    </row>
    <row r="853" spans="1:26" ht="24" customHeight="1" x14ac:dyDescent="0.5">
      <c r="A853" s="81"/>
      <c r="B853" s="81"/>
      <c r="C853" s="81"/>
      <c r="D853" s="81"/>
      <c r="E853" s="81"/>
      <c r="F853" s="81"/>
      <c r="G853" s="105"/>
      <c r="H853" s="81"/>
      <c r="I853" s="81"/>
      <c r="J853" s="82"/>
      <c r="K853" s="81"/>
      <c r="L853" s="81"/>
      <c r="M853" s="82"/>
      <c r="N853" s="81"/>
      <c r="O853" s="82"/>
      <c r="P853" s="81"/>
      <c r="Q853" s="82"/>
      <c r="R853" s="81"/>
      <c r="S853" s="105"/>
      <c r="T853" s="81"/>
      <c r="U853" s="81"/>
      <c r="V853" s="81"/>
      <c r="W853" s="81"/>
      <c r="X853" s="81"/>
      <c r="Y853" s="81"/>
      <c r="Z853" s="81"/>
    </row>
    <row r="854" spans="1:26" ht="24" customHeight="1" x14ac:dyDescent="0.5">
      <c r="A854" s="81"/>
      <c r="B854" s="81"/>
      <c r="C854" s="81"/>
      <c r="D854" s="81"/>
      <c r="E854" s="81"/>
      <c r="F854" s="81"/>
      <c r="G854" s="105"/>
      <c r="H854" s="81"/>
      <c r="I854" s="81"/>
      <c r="J854" s="82"/>
      <c r="K854" s="81"/>
      <c r="L854" s="81"/>
      <c r="M854" s="82"/>
      <c r="N854" s="81"/>
      <c r="O854" s="82"/>
      <c r="P854" s="81"/>
      <c r="Q854" s="82"/>
      <c r="R854" s="81"/>
      <c r="S854" s="105"/>
      <c r="T854" s="81"/>
      <c r="U854" s="81"/>
      <c r="V854" s="81"/>
      <c r="W854" s="81"/>
      <c r="X854" s="81"/>
      <c r="Y854" s="81"/>
      <c r="Z854" s="81"/>
    </row>
    <row r="855" spans="1:26" ht="24" customHeight="1" x14ac:dyDescent="0.5">
      <c r="A855" s="81"/>
      <c r="B855" s="81"/>
      <c r="C855" s="81"/>
      <c r="D855" s="81"/>
      <c r="E855" s="81"/>
      <c r="F855" s="81"/>
      <c r="G855" s="105"/>
      <c r="H855" s="81"/>
      <c r="I855" s="81"/>
      <c r="J855" s="82"/>
      <c r="K855" s="81"/>
      <c r="L855" s="81"/>
      <c r="M855" s="82"/>
      <c r="N855" s="81"/>
      <c r="O855" s="82"/>
      <c r="P855" s="81"/>
      <c r="Q855" s="82"/>
      <c r="R855" s="81"/>
      <c r="S855" s="105"/>
      <c r="T855" s="81"/>
      <c r="U855" s="81"/>
      <c r="V855" s="81"/>
      <c r="W855" s="81"/>
      <c r="X855" s="81"/>
      <c r="Y855" s="81"/>
      <c r="Z855" s="81"/>
    </row>
    <row r="856" spans="1:26" ht="24" customHeight="1" x14ac:dyDescent="0.5">
      <c r="A856" s="81"/>
      <c r="B856" s="81"/>
      <c r="C856" s="81"/>
      <c r="D856" s="81"/>
      <c r="E856" s="81"/>
      <c r="F856" s="81"/>
      <c r="G856" s="105"/>
      <c r="H856" s="81"/>
      <c r="I856" s="81"/>
      <c r="J856" s="82"/>
      <c r="K856" s="81"/>
      <c r="L856" s="81"/>
      <c r="M856" s="82"/>
      <c r="N856" s="81"/>
      <c r="O856" s="82"/>
      <c r="P856" s="81"/>
      <c r="Q856" s="82"/>
      <c r="R856" s="81"/>
      <c r="S856" s="105"/>
      <c r="T856" s="81"/>
      <c r="U856" s="81"/>
      <c r="V856" s="81"/>
      <c r="W856" s="81"/>
      <c r="X856" s="81"/>
      <c r="Y856" s="81"/>
      <c r="Z856" s="81"/>
    </row>
    <row r="857" spans="1:26" ht="24" customHeight="1" x14ac:dyDescent="0.5">
      <c r="A857" s="81"/>
      <c r="B857" s="81"/>
      <c r="C857" s="81"/>
      <c r="D857" s="81"/>
      <c r="E857" s="81"/>
      <c r="F857" s="81"/>
      <c r="G857" s="105"/>
      <c r="H857" s="81"/>
      <c r="I857" s="81"/>
      <c r="J857" s="82"/>
      <c r="K857" s="81"/>
      <c r="L857" s="81"/>
      <c r="M857" s="82"/>
      <c r="N857" s="81"/>
      <c r="O857" s="82"/>
      <c r="P857" s="81"/>
      <c r="Q857" s="82"/>
      <c r="R857" s="81"/>
      <c r="S857" s="105"/>
      <c r="T857" s="81"/>
      <c r="U857" s="81"/>
      <c r="V857" s="81"/>
      <c r="W857" s="81"/>
      <c r="X857" s="81"/>
      <c r="Y857" s="81"/>
      <c r="Z857" s="81"/>
    </row>
    <row r="858" spans="1:26" ht="24" customHeight="1" x14ac:dyDescent="0.5">
      <c r="A858" s="81"/>
      <c r="B858" s="81"/>
      <c r="C858" s="81"/>
      <c r="D858" s="81"/>
      <c r="E858" s="81"/>
      <c r="F858" s="81"/>
      <c r="G858" s="105"/>
      <c r="H858" s="81"/>
      <c r="I858" s="81"/>
      <c r="J858" s="82"/>
      <c r="K858" s="81"/>
      <c r="L858" s="81"/>
      <c r="M858" s="82"/>
      <c r="N858" s="81"/>
      <c r="O858" s="82"/>
      <c r="P858" s="81"/>
      <c r="Q858" s="82"/>
      <c r="R858" s="81"/>
      <c r="S858" s="105"/>
      <c r="T858" s="81"/>
      <c r="U858" s="81"/>
      <c r="V858" s="81"/>
      <c r="W858" s="81"/>
      <c r="X858" s="81"/>
      <c r="Y858" s="81"/>
      <c r="Z858" s="81"/>
    </row>
    <row r="859" spans="1:26" ht="24" customHeight="1" x14ac:dyDescent="0.5">
      <c r="A859" s="81"/>
      <c r="B859" s="81"/>
      <c r="C859" s="81"/>
      <c r="D859" s="81"/>
      <c r="E859" s="81"/>
      <c r="F859" s="81"/>
      <c r="G859" s="105"/>
      <c r="H859" s="81"/>
      <c r="I859" s="81"/>
      <c r="J859" s="82"/>
      <c r="K859" s="81"/>
      <c r="L859" s="81"/>
      <c r="M859" s="82"/>
      <c r="N859" s="81"/>
      <c r="O859" s="82"/>
      <c r="P859" s="81"/>
      <c r="Q859" s="82"/>
      <c r="R859" s="81"/>
      <c r="S859" s="105"/>
      <c r="T859" s="81"/>
      <c r="U859" s="81"/>
      <c r="V859" s="81"/>
      <c r="W859" s="81"/>
      <c r="X859" s="81"/>
      <c r="Y859" s="81"/>
      <c r="Z859" s="81"/>
    </row>
    <row r="860" spans="1:26" ht="24" customHeight="1" x14ac:dyDescent="0.5">
      <c r="A860" s="81"/>
      <c r="B860" s="81"/>
      <c r="C860" s="81"/>
      <c r="D860" s="81"/>
      <c r="E860" s="81"/>
      <c r="F860" s="81"/>
      <c r="G860" s="105"/>
      <c r="H860" s="81"/>
      <c r="I860" s="81"/>
      <c r="J860" s="82"/>
      <c r="K860" s="81"/>
      <c r="L860" s="81"/>
      <c r="M860" s="82"/>
      <c r="N860" s="81"/>
      <c r="O860" s="82"/>
      <c r="P860" s="81"/>
      <c r="Q860" s="82"/>
      <c r="R860" s="81"/>
      <c r="S860" s="105"/>
      <c r="T860" s="81"/>
      <c r="U860" s="81"/>
      <c r="V860" s="81"/>
      <c r="W860" s="81"/>
      <c r="X860" s="81"/>
      <c r="Y860" s="81"/>
      <c r="Z860" s="81"/>
    </row>
    <row r="861" spans="1:26" ht="24" customHeight="1" x14ac:dyDescent="0.5">
      <c r="A861" s="81"/>
      <c r="B861" s="81"/>
      <c r="C861" s="81"/>
      <c r="D861" s="81"/>
      <c r="E861" s="81"/>
      <c r="F861" s="81"/>
      <c r="G861" s="105"/>
      <c r="H861" s="81"/>
      <c r="I861" s="81"/>
      <c r="J861" s="82"/>
      <c r="K861" s="81"/>
      <c r="L861" s="81"/>
      <c r="M861" s="82"/>
      <c r="N861" s="81"/>
      <c r="O861" s="82"/>
      <c r="P861" s="81"/>
      <c r="Q861" s="82"/>
      <c r="R861" s="81"/>
      <c r="S861" s="105"/>
      <c r="T861" s="81"/>
      <c r="U861" s="81"/>
      <c r="V861" s="81"/>
      <c r="W861" s="81"/>
      <c r="X861" s="81"/>
      <c r="Y861" s="81"/>
      <c r="Z861" s="81"/>
    </row>
    <row r="862" spans="1:26" ht="24" customHeight="1" x14ac:dyDescent="0.5">
      <c r="A862" s="81"/>
      <c r="B862" s="81"/>
      <c r="C862" s="81"/>
      <c r="D862" s="81"/>
      <c r="E862" s="81"/>
      <c r="F862" s="81"/>
      <c r="G862" s="105"/>
      <c r="H862" s="81"/>
      <c r="I862" s="81"/>
      <c r="J862" s="82"/>
      <c r="K862" s="81"/>
      <c r="L862" s="81"/>
      <c r="M862" s="82"/>
      <c r="N862" s="81"/>
      <c r="O862" s="82"/>
      <c r="P862" s="81"/>
      <c r="Q862" s="82"/>
      <c r="R862" s="81"/>
      <c r="S862" s="105"/>
      <c r="T862" s="81"/>
      <c r="U862" s="81"/>
      <c r="V862" s="81"/>
      <c r="W862" s="81"/>
      <c r="X862" s="81"/>
      <c r="Y862" s="81"/>
      <c r="Z862" s="81"/>
    </row>
    <row r="863" spans="1:26" ht="24" customHeight="1" x14ac:dyDescent="0.5">
      <c r="A863" s="81"/>
      <c r="B863" s="81"/>
      <c r="C863" s="81"/>
      <c r="D863" s="81"/>
      <c r="E863" s="81"/>
      <c r="F863" s="81"/>
      <c r="G863" s="105"/>
      <c r="H863" s="81"/>
      <c r="I863" s="81"/>
      <c r="J863" s="82"/>
      <c r="K863" s="81"/>
      <c r="L863" s="81"/>
      <c r="M863" s="82"/>
      <c r="N863" s="81"/>
      <c r="O863" s="82"/>
      <c r="P863" s="81"/>
      <c r="Q863" s="82"/>
      <c r="R863" s="81"/>
      <c r="S863" s="105"/>
      <c r="T863" s="81"/>
      <c r="U863" s="81"/>
      <c r="V863" s="81"/>
      <c r="W863" s="81"/>
      <c r="X863" s="81"/>
      <c r="Y863" s="81"/>
      <c r="Z863" s="81"/>
    </row>
    <row r="864" spans="1:26" ht="24" customHeight="1" x14ac:dyDescent="0.5">
      <c r="A864" s="81"/>
      <c r="B864" s="81"/>
      <c r="C864" s="81"/>
      <c r="D864" s="81"/>
      <c r="E864" s="81"/>
      <c r="F864" s="81"/>
      <c r="G864" s="105"/>
      <c r="H864" s="81"/>
      <c r="I864" s="81"/>
      <c r="J864" s="82"/>
      <c r="K864" s="81"/>
      <c r="L864" s="81"/>
      <c r="M864" s="82"/>
      <c r="N864" s="81"/>
      <c r="O864" s="82"/>
      <c r="P864" s="81"/>
      <c r="Q864" s="82"/>
      <c r="R864" s="81"/>
      <c r="S864" s="105"/>
      <c r="T864" s="81"/>
      <c r="U864" s="81"/>
      <c r="V864" s="81"/>
      <c r="W864" s="81"/>
      <c r="X864" s="81"/>
      <c r="Y864" s="81"/>
      <c r="Z864" s="81"/>
    </row>
    <row r="865" spans="1:26" ht="24" customHeight="1" x14ac:dyDescent="0.5">
      <c r="A865" s="81"/>
      <c r="B865" s="81"/>
      <c r="C865" s="81"/>
      <c r="D865" s="81"/>
      <c r="E865" s="81"/>
      <c r="F865" s="81"/>
      <c r="G865" s="105"/>
      <c r="H865" s="81"/>
      <c r="I865" s="81"/>
      <c r="J865" s="82"/>
      <c r="K865" s="81"/>
      <c r="L865" s="81"/>
      <c r="M865" s="82"/>
      <c r="N865" s="81"/>
      <c r="O865" s="82"/>
      <c r="P865" s="81"/>
      <c r="Q865" s="82"/>
      <c r="R865" s="81"/>
      <c r="S865" s="105"/>
      <c r="T865" s="81"/>
      <c r="U865" s="81"/>
      <c r="V865" s="81"/>
      <c r="W865" s="81"/>
      <c r="X865" s="81"/>
      <c r="Y865" s="81"/>
      <c r="Z865" s="81"/>
    </row>
    <row r="866" spans="1:26" ht="24" customHeight="1" x14ac:dyDescent="0.5">
      <c r="A866" s="81"/>
      <c r="B866" s="81"/>
      <c r="C866" s="81"/>
      <c r="D866" s="81"/>
      <c r="E866" s="81"/>
      <c r="F866" s="81"/>
      <c r="G866" s="105"/>
      <c r="H866" s="81"/>
      <c r="I866" s="81"/>
      <c r="J866" s="82"/>
      <c r="K866" s="81"/>
      <c r="L866" s="81"/>
      <c r="M866" s="82"/>
      <c r="N866" s="81"/>
      <c r="O866" s="82"/>
      <c r="P866" s="81"/>
      <c r="Q866" s="82"/>
      <c r="R866" s="81"/>
      <c r="S866" s="105"/>
      <c r="T866" s="81"/>
      <c r="U866" s="81"/>
      <c r="V866" s="81"/>
      <c r="W866" s="81"/>
      <c r="X866" s="81"/>
      <c r="Y866" s="81"/>
      <c r="Z866" s="81"/>
    </row>
    <row r="867" spans="1:26" ht="24" customHeight="1" x14ac:dyDescent="0.5">
      <c r="A867" s="81"/>
      <c r="B867" s="81"/>
      <c r="C867" s="81"/>
      <c r="D867" s="81"/>
      <c r="E867" s="81"/>
      <c r="F867" s="81"/>
      <c r="G867" s="105"/>
      <c r="H867" s="81"/>
      <c r="I867" s="81"/>
      <c r="J867" s="82"/>
      <c r="K867" s="81"/>
      <c r="L867" s="81"/>
      <c r="M867" s="82"/>
      <c r="N867" s="81"/>
      <c r="O867" s="82"/>
      <c r="P867" s="81"/>
      <c r="Q867" s="82"/>
      <c r="R867" s="81"/>
      <c r="S867" s="105"/>
      <c r="T867" s="81"/>
      <c r="U867" s="81"/>
      <c r="V867" s="81"/>
      <c r="W867" s="81"/>
      <c r="X867" s="81"/>
      <c r="Y867" s="81"/>
      <c r="Z867" s="81"/>
    </row>
    <row r="868" spans="1:26" ht="24" customHeight="1" x14ac:dyDescent="0.5">
      <c r="A868" s="81"/>
      <c r="B868" s="81"/>
      <c r="C868" s="81"/>
      <c r="D868" s="81"/>
      <c r="E868" s="81"/>
      <c r="F868" s="81"/>
      <c r="G868" s="105"/>
      <c r="H868" s="81"/>
      <c r="I868" s="81"/>
      <c r="J868" s="82"/>
      <c r="K868" s="81"/>
      <c r="L868" s="81"/>
      <c r="M868" s="82"/>
      <c r="N868" s="81"/>
      <c r="O868" s="82"/>
      <c r="P868" s="81"/>
      <c r="Q868" s="82"/>
      <c r="R868" s="81"/>
      <c r="S868" s="105"/>
      <c r="T868" s="81"/>
      <c r="U868" s="81"/>
      <c r="V868" s="81"/>
      <c r="W868" s="81"/>
      <c r="X868" s="81"/>
      <c r="Y868" s="81"/>
      <c r="Z868" s="81"/>
    </row>
    <row r="869" spans="1:26" ht="24" customHeight="1" x14ac:dyDescent="0.5">
      <c r="A869" s="81"/>
      <c r="B869" s="81"/>
      <c r="C869" s="81"/>
      <c r="D869" s="81"/>
      <c r="E869" s="81"/>
      <c r="F869" s="81"/>
      <c r="G869" s="105"/>
      <c r="H869" s="81"/>
      <c r="I869" s="81"/>
      <c r="J869" s="82"/>
      <c r="K869" s="81"/>
      <c r="L869" s="81"/>
      <c r="M869" s="82"/>
      <c r="N869" s="81"/>
      <c r="O869" s="82"/>
      <c r="P869" s="81"/>
      <c r="Q869" s="82"/>
      <c r="R869" s="81"/>
      <c r="S869" s="105"/>
      <c r="T869" s="81"/>
      <c r="U869" s="81"/>
      <c r="V869" s="81"/>
      <c r="W869" s="81"/>
      <c r="X869" s="81"/>
      <c r="Y869" s="81"/>
      <c r="Z869" s="81"/>
    </row>
    <row r="870" spans="1:26" ht="24" customHeight="1" x14ac:dyDescent="0.5">
      <c r="A870" s="81"/>
      <c r="B870" s="81"/>
      <c r="C870" s="81"/>
      <c r="D870" s="81"/>
      <c r="E870" s="81"/>
      <c r="F870" s="81"/>
      <c r="G870" s="105"/>
      <c r="H870" s="81"/>
      <c r="I870" s="81"/>
      <c r="J870" s="82"/>
      <c r="K870" s="81"/>
      <c r="L870" s="81"/>
      <c r="M870" s="82"/>
      <c r="N870" s="81"/>
      <c r="O870" s="82"/>
      <c r="P870" s="81"/>
      <c r="Q870" s="82"/>
      <c r="R870" s="81"/>
      <c r="S870" s="105"/>
      <c r="T870" s="81"/>
      <c r="U870" s="81"/>
      <c r="V870" s="81"/>
      <c r="W870" s="81"/>
      <c r="X870" s="81"/>
      <c r="Y870" s="81"/>
      <c r="Z870" s="81"/>
    </row>
    <row r="871" spans="1:26" ht="24" customHeight="1" x14ac:dyDescent="0.5">
      <c r="A871" s="81"/>
      <c r="B871" s="81"/>
      <c r="C871" s="81"/>
      <c r="D871" s="81"/>
      <c r="E871" s="81"/>
      <c r="F871" s="81"/>
      <c r="G871" s="105"/>
      <c r="H871" s="81"/>
      <c r="I871" s="81"/>
      <c r="J871" s="82"/>
      <c r="K871" s="81"/>
      <c r="L871" s="81"/>
      <c r="M871" s="82"/>
      <c r="N871" s="81"/>
      <c r="O871" s="82"/>
      <c r="P871" s="81"/>
      <c r="Q871" s="82"/>
      <c r="R871" s="81"/>
      <c r="S871" s="105"/>
      <c r="T871" s="81"/>
      <c r="U871" s="81"/>
      <c r="V871" s="81"/>
      <c r="W871" s="81"/>
      <c r="X871" s="81"/>
      <c r="Y871" s="81"/>
      <c r="Z871" s="81"/>
    </row>
    <row r="872" spans="1:26" ht="24" customHeight="1" x14ac:dyDescent="0.5">
      <c r="A872" s="81"/>
      <c r="B872" s="81"/>
      <c r="C872" s="81"/>
      <c r="D872" s="81"/>
      <c r="E872" s="81"/>
      <c r="F872" s="81"/>
      <c r="G872" s="105"/>
      <c r="H872" s="81"/>
      <c r="I872" s="81"/>
      <c r="J872" s="82"/>
      <c r="K872" s="81"/>
      <c r="L872" s="81"/>
      <c r="M872" s="82"/>
      <c r="N872" s="81"/>
      <c r="O872" s="82"/>
      <c r="P872" s="81"/>
      <c r="Q872" s="82"/>
      <c r="R872" s="81"/>
      <c r="S872" s="105"/>
      <c r="T872" s="81"/>
      <c r="U872" s="81"/>
      <c r="V872" s="81"/>
      <c r="W872" s="81"/>
      <c r="X872" s="81"/>
      <c r="Y872" s="81"/>
      <c r="Z872" s="81"/>
    </row>
    <row r="873" spans="1:26" ht="24" customHeight="1" x14ac:dyDescent="0.5">
      <c r="A873" s="81"/>
      <c r="B873" s="81"/>
      <c r="C873" s="81"/>
      <c r="D873" s="81"/>
      <c r="E873" s="81"/>
      <c r="F873" s="81"/>
      <c r="G873" s="105"/>
      <c r="H873" s="81"/>
      <c r="I873" s="81"/>
      <c r="J873" s="82"/>
      <c r="K873" s="81"/>
      <c r="L873" s="81"/>
      <c r="M873" s="82"/>
      <c r="N873" s="81"/>
      <c r="O873" s="82"/>
      <c r="P873" s="81"/>
      <c r="Q873" s="82"/>
      <c r="R873" s="81"/>
      <c r="S873" s="105"/>
      <c r="T873" s="81"/>
      <c r="U873" s="81"/>
      <c r="V873" s="81"/>
      <c r="W873" s="81"/>
      <c r="X873" s="81"/>
      <c r="Y873" s="81"/>
      <c r="Z873" s="81"/>
    </row>
    <row r="874" spans="1:26" ht="24" customHeight="1" x14ac:dyDescent="0.5">
      <c r="A874" s="81"/>
      <c r="B874" s="81"/>
      <c r="C874" s="81"/>
      <c r="D874" s="81"/>
      <c r="E874" s="81"/>
      <c r="F874" s="81"/>
      <c r="G874" s="105"/>
      <c r="H874" s="81"/>
      <c r="I874" s="81"/>
      <c r="J874" s="82"/>
      <c r="K874" s="81"/>
      <c r="L874" s="81"/>
      <c r="M874" s="82"/>
      <c r="N874" s="81"/>
      <c r="O874" s="82"/>
      <c r="P874" s="81"/>
      <c r="Q874" s="82"/>
      <c r="R874" s="81"/>
      <c r="S874" s="105"/>
      <c r="T874" s="81"/>
      <c r="U874" s="81"/>
      <c r="V874" s="81"/>
      <c r="W874" s="81"/>
      <c r="X874" s="81"/>
      <c r="Y874" s="81"/>
      <c r="Z874" s="81"/>
    </row>
    <row r="875" spans="1:26" ht="24" customHeight="1" x14ac:dyDescent="0.5">
      <c r="A875" s="81"/>
      <c r="B875" s="81"/>
      <c r="C875" s="81"/>
      <c r="D875" s="81"/>
      <c r="E875" s="81"/>
      <c r="F875" s="81"/>
      <c r="G875" s="105"/>
      <c r="H875" s="81"/>
      <c r="I875" s="81"/>
      <c r="J875" s="82"/>
      <c r="K875" s="81"/>
      <c r="L875" s="81"/>
      <c r="M875" s="82"/>
      <c r="N875" s="81"/>
      <c r="O875" s="82"/>
      <c r="P875" s="81"/>
      <c r="Q875" s="82"/>
      <c r="R875" s="81"/>
      <c r="S875" s="105"/>
      <c r="T875" s="81"/>
      <c r="U875" s="81"/>
      <c r="V875" s="81"/>
      <c r="W875" s="81"/>
      <c r="X875" s="81"/>
      <c r="Y875" s="81"/>
      <c r="Z875" s="81"/>
    </row>
    <row r="876" spans="1:26" ht="24" customHeight="1" x14ac:dyDescent="0.5">
      <c r="A876" s="81"/>
      <c r="B876" s="81"/>
      <c r="C876" s="81"/>
      <c r="D876" s="81"/>
      <c r="E876" s="81"/>
      <c r="F876" s="81"/>
      <c r="G876" s="105"/>
      <c r="H876" s="81"/>
      <c r="I876" s="81"/>
      <c r="J876" s="82"/>
      <c r="K876" s="81"/>
      <c r="L876" s="81"/>
      <c r="M876" s="82"/>
      <c r="N876" s="81"/>
      <c r="O876" s="82"/>
      <c r="P876" s="81"/>
      <c r="Q876" s="82"/>
      <c r="R876" s="81"/>
      <c r="S876" s="105"/>
      <c r="T876" s="81"/>
      <c r="U876" s="81"/>
      <c r="V876" s="81"/>
      <c r="W876" s="81"/>
      <c r="X876" s="81"/>
      <c r="Y876" s="81"/>
      <c r="Z876" s="81"/>
    </row>
    <row r="877" spans="1:26" ht="24" customHeight="1" x14ac:dyDescent="0.5">
      <c r="A877" s="81"/>
      <c r="B877" s="81"/>
      <c r="C877" s="81"/>
      <c r="D877" s="81"/>
      <c r="E877" s="81"/>
      <c r="F877" s="81"/>
      <c r="G877" s="105"/>
      <c r="H877" s="81"/>
      <c r="I877" s="81"/>
      <c r="J877" s="82"/>
      <c r="K877" s="81"/>
      <c r="L877" s="81"/>
      <c r="M877" s="82"/>
      <c r="N877" s="81"/>
      <c r="O877" s="82"/>
      <c r="P877" s="81"/>
      <c r="Q877" s="82"/>
      <c r="R877" s="81"/>
      <c r="S877" s="105"/>
      <c r="T877" s="81"/>
      <c r="U877" s="81"/>
      <c r="V877" s="81"/>
      <c r="W877" s="81"/>
      <c r="X877" s="81"/>
      <c r="Y877" s="81"/>
      <c r="Z877" s="81"/>
    </row>
    <row r="878" spans="1:26" ht="24" customHeight="1" x14ac:dyDescent="0.5">
      <c r="A878" s="81"/>
      <c r="B878" s="81"/>
      <c r="C878" s="81"/>
      <c r="D878" s="81"/>
      <c r="E878" s="81"/>
      <c r="F878" s="81"/>
      <c r="G878" s="105"/>
      <c r="H878" s="81"/>
      <c r="I878" s="81"/>
      <c r="J878" s="82"/>
      <c r="K878" s="81"/>
      <c r="L878" s="81"/>
      <c r="M878" s="82"/>
      <c r="N878" s="81"/>
      <c r="O878" s="82"/>
      <c r="P878" s="81"/>
      <c r="Q878" s="82"/>
      <c r="R878" s="81"/>
      <c r="S878" s="105"/>
      <c r="T878" s="81"/>
      <c r="U878" s="81"/>
      <c r="V878" s="81"/>
      <c r="W878" s="81"/>
      <c r="X878" s="81"/>
      <c r="Y878" s="81"/>
      <c r="Z878" s="81"/>
    </row>
    <row r="879" spans="1:26" ht="24" customHeight="1" x14ac:dyDescent="0.5">
      <c r="A879" s="81"/>
      <c r="B879" s="81"/>
      <c r="C879" s="81"/>
      <c r="D879" s="81"/>
      <c r="E879" s="81"/>
      <c r="F879" s="81"/>
      <c r="G879" s="105"/>
      <c r="H879" s="81"/>
      <c r="I879" s="81"/>
      <c r="J879" s="82"/>
      <c r="K879" s="81"/>
      <c r="L879" s="81"/>
      <c r="M879" s="82"/>
      <c r="N879" s="81"/>
      <c r="O879" s="82"/>
      <c r="P879" s="81"/>
      <c r="Q879" s="82"/>
      <c r="R879" s="81"/>
      <c r="S879" s="105"/>
      <c r="T879" s="81"/>
      <c r="U879" s="81"/>
      <c r="V879" s="81"/>
      <c r="W879" s="81"/>
      <c r="X879" s="81"/>
      <c r="Y879" s="81"/>
      <c r="Z879" s="81"/>
    </row>
    <row r="880" spans="1:26" ht="24" customHeight="1" x14ac:dyDescent="0.5">
      <c r="A880" s="81"/>
      <c r="B880" s="81"/>
      <c r="C880" s="81"/>
      <c r="D880" s="81"/>
      <c r="E880" s="81"/>
      <c r="F880" s="81"/>
      <c r="G880" s="105"/>
      <c r="H880" s="81"/>
      <c r="I880" s="81"/>
      <c r="J880" s="82"/>
      <c r="K880" s="81"/>
      <c r="L880" s="81"/>
      <c r="M880" s="82"/>
      <c r="N880" s="81"/>
      <c r="O880" s="82"/>
      <c r="P880" s="81"/>
      <c r="Q880" s="82"/>
      <c r="R880" s="81"/>
      <c r="S880" s="105"/>
      <c r="T880" s="81"/>
      <c r="U880" s="81"/>
      <c r="V880" s="81"/>
      <c r="W880" s="81"/>
      <c r="X880" s="81"/>
      <c r="Y880" s="81"/>
      <c r="Z880" s="81"/>
    </row>
    <row r="881" spans="1:26" ht="24" customHeight="1" x14ac:dyDescent="0.5">
      <c r="A881" s="81"/>
      <c r="B881" s="81"/>
      <c r="C881" s="81"/>
      <c r="D881" s="81"/>
      <c r="E881" s="81"/>
      <c r="F881" s="81"/>
      <c r="G881" s="105"/>
      <c r="H881" s="81"/>
      <c r="I881" s="81"/>
      <c r="J881" s="82"/>
      <c r="K881" s="81"/>
      <c r="L881" s="81"/>
      <c r="M881" s="82"/>
      <c r="N881" s="81"/>
      <c r="O881" s="82"/>
      <c r="P881" s="81"/>
      <c r="Q881" s="82"/>
      <c r="R881" s="81"/>
      <c r="S881" s="105"/>
      <c r="T881" s="81"/>
      <c r="U881" s="81"/>
      <c r="V881" s="81"/>
      <c r="W881" s="81"/>
      <c r="X881" s="81"/>
      <c r="Y881" s="81"/>
      <c r="Z881" s="81"/>
    </row>
    <row r="882" spans="1:26" ht="24" customHeight="1" x14ac:dyDescent="0.5">
      <c r="A882" s="81"/>
      <c r="B882" s="81"/>
      <c r="C882" s="81"/>
      <c r="D882" s="81"/>
      <c r="E882" s="81"/>
      <c r="F882" s="81"/>
      <c r="G882" s="105"/>
      <c r="H882" s="81"/>
      <c r="I882" s="81"/>
      <c r="J882" s="82"/>
      <c r="K882" s="81"/>
      <c r="L882" s="81"/>
      <c r="M882" s="82"/>
      <c r="N882" s="81"/>
      <c r="O882" s="82"/>
      <c r="P882" s="81"/>
      <c r="Q882" s="82"/>
      <c r="R882" s="81"/>
      <c r="S882" s="105"/>
      <c r="T882" s="81"/>
      <c r="U882" s="81"/>
      <c r="V882" s="81"/>
      <c r="W882" s="81"/>
      <c r="X882" s="81"/>
      <c r="Y882" s="81"/>
      <c r="Z882" s="81"/>
    </row>
    <row r="883" spans="1:26" ht="24" customHeight="1" x14ac:dyDescent="0.5">
      <c r="A883" s="81"/>
      <c r="B883" s="81"/>
      <c r="C883" s="81"/>
      <c r="D883" s="81"/>
      <c r="E883" s="81"/>
      <c r="F883" s="81"/>
      <c r="G883" s="105"/>
      <c r="H883" s="81"/>
      <c r="I883" s="81"/>
      <c r="J883" s="82"/>
      <c r="K883" s="81"/>
      <c r="L883" s="81"/>
      <c r="M883" s="82"/>
      <c r="N883" s="81"/>
      <c r="O883" s="82"/>
      <c r="P883" s="81"/>
      <c r="Q883" s="82"/>
      <c r="R883" s="81"/>
      <c r="S883" s="105"/>
      <c r="T883" s="81"/>
      <c r="U883" s="81"/>
      <c r="V883" s="81"/>
      <c r="W883" s="81"/>
      <c r="X883" s="81"/>
      <c r="Y883" s="81"/>
      <c r="Z883" s="81"/>
    </row>
    <row r="884" spans="1:26" ht="24" customHeight="1" x14ac:dyDescent="0.5">
      <c r="A884" s="81"/>
      <c r="B884" s="81"/>
      <c r="C884" s="81"/>
      <c r="D884" s="81"/>
      <c r="E884" s="81"/>
      <c r="F884" s="81"/>
      <c r="G884" s="105"/>
      <c r="H884" s="81"/>
      <c r="I884" s="81"/>
      <c r="J884" s="82"/>
      <c r="K884" s="81"/>
      <c r="L884" s="81"/>
      <c r="M884" s="82"/>
      <c r="N884" s="81"/>
      <c r="O884" s="82"/>
      <c r="P884" s="81"/>
      <c r="Q884" s="82"/>
      <c r="R884" s="81"/>
      <c r="S884" s="105"/>
      <c r="T884" s="81"/>
      <c r="U884" s="81"/>
      <c r="V884" s="81"/>
      <c r="W884" s="81"/>
      <c r="X884" s="81"/>
      <c r="Y884" s="81"/>
      <c r="Z884" s="81"/>
    </row>
    <row r="885" spans="1:26" ht="24" customHeight="1" x14ac:dyDescent="0.5">
      <c r="A885" s="81"/>
      <c r="B885" s="81"/>
      <c r="C885" s="81"/>
      <c r="D885" s="81"/>
      <c r="E885" s="81"/>
      <c r="F885" s="81"/>
      <c r="G885" s="105"/>
      <c r="H885" s="81"/>
      <c r="I885" s="81"/>
      <c r="J885" s="82"/>
      <c r="K885" s="81"/>
      <c r="L885" s="81"/>
      <c r="M885" s="82"/>
      <c r="N885" s="81"/>
      <c r="O885" s="82"/>
      <c r="P885" s="81"/>
      <c r="Q885" s="82"/>
      <c r="R885" s="81"/>
      <c r="S885" s="105"/>
      <c r="T885" s="81"/>
      <c r="U885" s="81"/>
      <c r="V885" s="81"/>
      <c r="W885" s="81"/>
      <c r="X885" s="81"/>
      <c r="Y885" s="81"/>
      <c r="Z885" s="81"/>
    </row>
    <row r="886" spans="1:26" ht="24" customHeight="1" x14ac:dyDescent="0.5">
      <c r="A886" s="81"/>
      <c r="B886" s="81"/>
      <c r="C886" s="81"/>
      <c r="D886" s="81"/>
      <c r="E886" s="81"/>
      <c r="F886" s="81"/>
      <c r="G886" s="105"/>
      <c r="H886" s="81"/>
      <c r="I886" s="81"/>
      <c r="J886" s="82"/>
      <c r="K886" s="81"/>
      <c r="L886" s="81"/>
      <c r="M886" s="82"/>
      <c r="N886" s="81"/>
      <c r="O886" s="82"/>
      <c r="P886" s="81"/>
      <c r="Q886" s="82"/>
      <c r="R886" s="81"/>
      <c r="S886" s="105"/>
      <c r="T886" s="81"/>
      <c r="U886" s="81"/>
      <c r="V886" s="81"/>
      <c r="W886" s="81"/>
      <c r="X886" s="81"/>
      <c r="Y886" s="81"/>
      <c r="Z886" s="81"/>
    </row>
    <row r="887" spans="1:26" ht="24" customHeight="1" x14ac:dyDescent="0.5">
      <c r="A887" s="81"/>
      <c r="B887" s="81"/>
      <c r="C887" s="81"/>
      <c r="D887" s="81"/>
      <c r="E887" s="81"/>
      <c r="F887" s="81"/>
      <c r="G887" s="105"/>
      <c r="H887" s="81"/>
      <c r="I887" s="81"/>
      <c r="J887" s="82"/>
      <c r="K887" s="81"/>
      <c r="L887" s="81"/>
      <c r="M887" s="82"/>
      <c r="N887" s="81"/>
      <c r="O887" s="82"/>
      <c r="P887" s="81"/>
      <c r="Q887" s="82"/>
      <c r="R887" s="81"/>
      <c r="S887" s="105"/>
      <c r="T887" s="81"/>
      <c r="U887" s="81"/>
      <c r="V887" s="81"/>
      <c r="W887" s="81"/>
      <c r="X887" s="81"/>
      <c r="Y887" s="81"/>
      <c r="Z887" s="81"/>
    </row>
    <row r="888" spans="1:26" ht="24" customHeight="1" x14ac:dyDescent="0.5">
      <c r="A888" s="81"/>
      <c r="B888" s="81"/>
      <c r="C888" s="81"/>
      <c r="D888" s="81"/>
      <c r="E888" s="81"/>
      <c r="F888" s="81"/>
      <c r="G888" s="105"/>
      <c r="H888" s="81"/>
      <c r="I888" s="81"/>
      <c r="J888" s="82"/>
      <c r="K888" s="81"/>
      <c r="L888" s="81"/>
      <c r="M888" s="82"/>
      <c r="N888" s="81"/>
      <c r="O888" s="82"/>
      <c r="P888" s="81"/>
      <c r="Q888" s="82"/>
      <c r="R888" s="81"/>
      <c r="S888" s="105"/>
      <c r="T888" s="81"/>
      <c r="U888" s="81"/>
      <c r="V888" s="81"/>
      <c r="W888" s="81"/>
      <c r="X888" s="81"/>
      <c r="Y888" s="81"/>
      <c r="Z888" s="81"/>
    </row>
    <row r="889" spans="1:26" ht="24" customHeight="1" x14ac:dyDescent="0.5">
      <c r="A889" s="81"/>
      <c r="B889" s="81"/>
      <c r="C889" s="81"/>
      <c r="D889" s="81"/>
      <c r="E889" s="81"/>
      <c r="F889" s="81"/>
      <c r="G889" s="105"/>
      <c r="H889" s="81"/>
      <c r="I889" s="81"/>
      <c r="J889" s="82"/>
      <c r="K889" s="81"/>
      <c r="L889" s="81"/>
      <c r="M889" s="82"/>
      <c r="N889" s="81"/>
      <c r="O889" s="82"/>
      <c r="P889" s="81"/>
      <c r="Q889" s="82"/>
      <c r="R889" s="81"/>
      <c r="S889" s="105"/>
      <c r="T889" s="81"/>
      <c r="U889" s="81"/>
      <c r="V889" s="81"/>
      <c r="W889" s="81"/>
      <c r="X889" s="81"/>
      <c r="Y889" s="81"/>
      <c r="Z889" s="81"/>
    </row>
    <row r="890" spans="1:26" ht="24" customHeight="1" x14ac:dyDescent="0.5">
      <c r="A890" s="81"/>
      <c r="B890" s="81"/>
      <c r="C890" s="81"/>
      <c r="D890" s="81"/>
      <c r="E890" s="81"/>
      <c r="F890" s="81"/>
      <c r="G890" s="105"/>
      <c r="H890" s="81"/>
      <c r="I890" s="81"/>
      <c r="J890" s="82"/>
      <c r="K890" s="81"/>
      <c r="L890" s="81"/>
      <c r="M890" s="82"/>
      <c r="N890" s="81"/>
      <c r="O890" s="82"/>
      <c r="P890" s="81"/>
      <c r="Q890" s="82"/>
      <c r="R890" s="81"/>
      <c r="S890" s="105"/>
      <c r="T890" s="81"/>
      <c r="U890" s="81"/>
      <c r="V890" s="81"/>
      <c r="W890" s="81"/>
      <c r="X890" s="81"/>
      <c r="Y890" s="81"/>
      <c r="Z890" s="81"/>
    </row>
    <row r="891" spans="1:26" ht="24" customHeight="1" x14ac:dyDescent="0.5">
      <c r="A891" s="81"/>
      <c r="B891" s="81"/>
      <c r="C891" s="81"/>
      <c r="D891" s="81"/>
      <c r="E891" s="81"/>
      <c r="F891" s="81"/>
      <c r="G891" s="105"/>
      <c r="H891" s="81"/>
      <c r="I891" s="81"/>
      <c r="J891" s="82"/>
      <c r="K891" s="81"/>
      <c r="L891" s="81"/>
      <c r="M891" s="82"/>
      <c r="N891" s="81"/>
      <c r="O891" s="82"/>
      <c r="P891" s="81"/>
      <c r="Q891" s="82"/>
      <c r="R891" s="81"/>
      <c r="S891" s="105"/>
      <c r="T891" s="81"/>
      <c r="U891" s="81"/>
      <c r="V891" s="81"/>
      <c r="W891" s="81"/>
      <c r="X891" s="81"/>
      <c r="Y891" s="81"/>
      <c r="Z891" s="81"/>
    </row>
    <row r="892" spans="1:26" ht="24" customHeight="1" x14ac:dyDescent="0.5">
      <c r="A892" s="81"/>
      <c r="B892" s="81"/>
      <c r="C892" s="81"/>
      <c r="D892" s="81"/>
      <c r="E892" s="81"/>
      <c r="F892" s="81"/>
      <c r="G892" s="105"/>
      <c r="H892" s="81"/>
      <c r="I892" s="81"/>
      <c r="J892" s="82"/>
      <c r="K892" s="81"/>
      <c r="L892" s="81"/>
      <c r="M892" s="82"/>
      <c r="N892" s="81"/>
      <c r="O892" s="82"/>
      <c r="P892" s="81"/>
      <c r="Q892" s="82"/>
      <c r="R892" s="81"/>
      <c r="S892" s="105"/>
      <c r="T892" s="81"/>
      <c r="U892" s="81"/>
      <c r="V892" s="81"/>
      <c r="W892" s="81"/>
      <c r="X892" s="81"/>
      <c r="Y892" s="81"/>
      <c r="Z892" s="81"/>
    </row>
    <row r="893" spans="1:26" ht="24" customHeight="1" x14ac:dyDescent="0.5">
      <c r="A893" s="81"/>
      <c r="B893" s="81"/>
      <c r="C893" s="81"/>
      <c r="D893" s="81"/>
      <c r="E893" s="81"/>
      <c r="F893" s="81"/>
      <c r="G893" s="105"/>
      <c r="H893" s="81"/>
      <c r="I893" s="81"/>
      <c r="J893" s="82"/>
      <c r="K893" s="81"/>
      <c r="L893" s="81"/>
      <c r="M893" s="82"/>
      <c r="N893" s="81"/>
      <c r="O893" s="82"/>
      <c r="P893" s="81"/>
      <c r="Q893" s="82"/>
      <c r="R893" s="81"/>
      <c r="S893" s="105"/>
      <c r="T893" s="81"/>
      <c r="U893" s="81"/>
      <c r="V893" s="81"/>
      <c r="W893" s="81"/>
      <c r="X893" s="81"/>
      <c r="Y893" s="81"/>
      <c r="Z893" s="81"/>
    </row>
    <row r="894" spans="1:26" ht="24" customHeight="1" x14ac:dyDescent="0.5">
      <c r="A894" s="81"/>
      <c r="B894" s="81"/>
      <c r="C894" s="81"/>
      <c r="D894" s="81"/>
      <c r="E894" s="81"/>
      <c r="F894" s="81"/>
      <c r="G894" s="105"/>
      <c r="H894" s="81"/>
      <c r="I894" s="81"/>
      <c r="J894" s="82"/>
      <c r="K894" s="81"/>
      <c r="L894" s="81"/>
      <c r="M894" s="82"/>
      <c r="N894" s="81"/>
      <c r="O894" s="82"/>
      <c r="P894" s="81"/>
      <c r="Q894" s="82"/>
      <c r="R894" s="81"/>
      <c r="S894" s="105"/>
      <c r="T894" s="81"/>
      <c r="U894" s="81"/>
      <c r="V894" s="81"/>
      <c r="W894" s="81"/>
      <c r="X894" s="81"/>
      <c r="Y894" s="81"/>
      <c r="Z894" s="81"/>
    </row>
    <row r="895" spans="1:26" ht="24" customHeight="1" x14ac:dyDescent="0.5">
      <c r="A895" s="81"/>
      <c r="B895" s="81"/>
      <c r="C895" s="81"/>
      <c r="D895" s="81"/>
      <c r="E895" s="81"/>
      <c r="F895" s="81"/>
      <c r="G895" s="105"/>
      <c r="H895" s="81"/>
      <c r="I895" s="81"/>
      <c r="J895" s="82"/>
      <c r="K895" s="81"/>
      <c r="L895" s="81"/>
      <c r="M895" s="82"/>
      <c r="N895" s="81"/>
      <c r="O895" s="82"/>
      <c r="P895" s="81"/>
      <c r="Q895" s="82"/>
      <c r="R895" s="81"/>
      <c r="S895" s="105"/>
      <c r="T895" s="81"/>
      <c r="U895" s="81"/>
      <c r="V895" s="81"/>
      <c r="W895" s="81"/>
      <c r="X895" s="81"/>
      <c r="Y895" s="81"/>
      <c r="Z895" s="81"/>
    </row>
    <row r="896" spans="1:26" ht="24" customHeight="1" x14ac:dyDescent="0.5">
      <c r="A896" s="81"/>
      <c r="B896" s="81"/>
      <c r="C896" s="81"/>
      <c r="D896" s="81"/>
      <c r="E896" s="81"/>
      <c r="F896" s="81"/>
      <c r="G896" s="105"/>
      <c r="H896" s="81"/>
      <c r="I896" s="81"/>
      <c r="J896" s="82"/>
      <c r="K896" s="81"/>
      <c r="L896" s="81"/>
      <c r="M896" s="82"/>
      <c r="N896" s="81"/>
      <c r="O896" s="82"/>
      <c r="P896" s="81"/>
      <c r="Q896" s="82"/>
      <c r="R896" s="81"/>
      <c r="S896" s="105"/>
      <c r="T896" s="81"/>
      <c r="U896" s="81"/>
      <c r="V896" s="81"/>
      <c r="W896" s="81"/>
      <c r="X896" s="81"/>
      <c r="Y896" s="81"/>
      <c r="Z896" s="81"/>
    </row>
    <row r="897" spans="1:26" ht="24" customHeight="1" x14ac:dyDescent="0.5">
      <c r="A897" s="81"/>
      <c r="B897" s="81"/>
      <c r="C897" s="81"/>
      <c r="D897" s="81"/>
      <c r="E897" s="81"/>
      <c r="F897" s="81"/>
      <c r="G897" s="105"/>
      <c r="H897" s="81"/>
      <c r="I897" s="81"/>
      <c r="J897" s="82"/>
      <c r="K897" s="81"/>
      <c r="L897" s="81"/>
      <c r="M897" s="82"/>
      <c r="N897" s="81"/>
      <c r="O897" s="82"/>
      <c r="P897" s="81"/>
      <c r="Q897" s="82"/>
      <c r="R897" s="81"/>
      <c r="S897" s="105"/>
      <c r="T897" s="81"/>
      <c r="U897" s="81"/>
      <c r="V897" s="81"/>
      <c r="W897" s="81"/>
      <c r="X897" s="81"/>
      <c r="Y897" s="81"/>
      <c r="Z897" s="81"/>
    </row>
    <row r="898" spans="1:26" ht="24" customHeight="1" x14ac:dyDescent="0.5">
      <c r="A898" s="81"/>
      <c r="B898" s="81"/>
      <c r="C898" s="81"/>
      <c r="D898" s="81"/>
      <c r="E898" s="81"/>
      <c r="F898" s="81"/>
      <c r="G898" s="105"/>
      <c r="H898" s="81"/>
      <c r="I898" s="81"/>
      <c r="J898" s="82"/>
      <c r="K898" s="81"/>
      <c r="L898" s="81"/>
      <c r="M898" s="82"/>
      <c r="N898" s="81"/>
      <c r="O898" s="82"/>
      <c r="P898" s="81"/>
      <c r="Q898" s="82"/>
      <c r="R898" s="81"/>
      <c r="S898" s="105"/>
      <c r="T898" s="81"/>
      <c r="U898" s="81"/>
      <c r="V898" s="81"/>
      <c r="W898" s="81"/>
      <c r="X898" s="81"/>
      <c r="Y898" s="81"/>
      <c r="Z898" s="81"/>
    </row>
    <row r="899" spans="1:26" ht="24" customHeight="1" x14ac:dyDescent="0.5">
      <c r="A899" s="81"/>
      <c r="B899" s="81"/>
      <c r="C899" s="81"/>
      <c r="D899" s="81"/>
      <c r="E899" s="81"/>
      <c r="F899" s="81"/>
      <c r="G899" s="105"/>
      <c r="H899" s="81"/>
      <c r="I899" s="81"/>
      <c r="J899" s="82"/>
      <c r="K899" s="81"/>
      <c r="L899" s="81"/>
      <c r="M899" s="82"/>
      <c r="N899" s="81"/>
      <c r="O899" s="82"/>
      <c r="P899" s="81"/>
      <c r="Q899" s="82"/>
      <c r="R899" s="81"/>
      <c r="S899" s="105"/>
      <c r="T899" s="81"/>
      <c r="U899" s="81"/>
      <c r="V899" s="81"/>
      <c r="W899" s="81"/>
      <c r="X899" s="81"/>
      <c r="Y899" s="81"/>
      <c r="Z899" s="81"/>
    </row>
    <row r="900" spans="1:26" ht="24" customHeight="1" x14ac:dyDescent="0.5">
      <c r="A900" s="81"/>
      <c r="B900" s="81"/>
      <c r="C900" s="81"/>
      <c r="D900" s="81"/>
      <c r="E900" s="81"/>
      <c r="F900" s="81"/>
      <c r="G900" s="105"/>
      <c r="H900" s="81"/>
      <c r="I900" s="81"/>
      <c r="J900" s="82"/>
      <c r="K900" s="81"/>
      <c r="L900" s="81"/>
      <c r="M900" s="82"/>
      <c r="N900" s="81"/>
      <c r="O900" s="82"/>
      <c r="P900" s="81"/>
      <c r="Q900" s="82"/>
      <c r="R900" s="81"/>
      <c r="S900" s="105"/>
      <c r="T900" s="81"/>
      <c r="U900" s="81"/>
      <c r="V900" s="81"/>
      <c r="W900" s="81"/>
      <c r="X900" s="81"/>
      <c r="Y900" s="81"/>
      <c r="Z900" s="81"/>
    </row>
    <row r="901" spans="1:26" ht="24" customHeight="1" x14ac:dyDescent="0.5">
      <c r="A901" s="81"/>
      <c r="B901" s="81"/>
      <c r="C901" s="81"/>
      <c r="D901" s="81"/>
      <c r="E901" s="81"/>
      <c r="F901" s="81"/>
      <c r="G901" s="105"/>
      <c r="H901" s="81"/>
      <c r="I901" s="81"/>
      <c r="J901" s="82"/>
      <c r="K901" s="81"/>
      <c r="L901" s="81"/>
      <c r="M901" s="82"/>
      <c r="N901" s="81"/>
      <c r="O901" s="82"/>
      <c r="P901" s="81"/>
      <c r="Q901" s="82"/>
      <c r="R901" s="81"/>
      <c r="S901" s="105"/>
      <c r="T901" s="81"/>
      <c r="U901" s="81"/>
      <c r="V901" s="81"/>
      <c r="W901" s="81"/>
      <c r="X901" s="81"/>
      <c r="Y901" s="81"/>
      <c r="Z901" s="81"/>
    </row>
    <row r="902" spans="1:26" ht="24" customHeight="1" x14ac:dyDescent="0.5">
      <c r="A902" s="81"/>
      <c r="B902" s="81"/>
      <c r="C902" s="81"/>
      <c r="D902" s="81"/>
      <c r="E902" s="81"/>
      <c r="F902" s="81"/>
      <c r="G902" s="105"/>
      <c r="H902" s="81"/>
      <c r="I902" s="81"/>
      <c r="J902" s="82"/>
      <c r="K902" s="81"/>
      <c r="L902" s="81"/>
      <c r="M902" s="82"/>
      <c r="N902" s="81"/>
      <c r="O902" s="82"/>
      <c r="P902" s="81"/>
      <c r="Q902" s="82"/>
      <c r="R902" s="81"/>
      <c r="S902" s="105"/>
      <c r="T902" s="81"/>
      <c r="U902" s="81"/>
      <c r="V902" s="81"/>
      <c r="W902" s="81"/>
      <c r="X902" s="81"/>
      <c r="Y902" s="81"/>
      <c r="Z902" s="81"/>
    </row>
    <row r="903" spans="1:26" ht="24" customHeight="1" x14ac:dyDescent="0.5">
      <c r="A903" s="81"/>
      <c r="B903" s="81"/>
      <c r="C903" s="81"/>
      <c r="D903" s="81"/>
      <c r="E903" s="81"/>
      <c r="F903" s="81"/>
      <c r="G903" s="105"/>
      <c r="H903" s="81"/>
      <c r="I903" s="81"/>
      <c r="J903" s="82"/>
      <c r="K903" s="81"/>
      <c r="L903" s="81"/>
      <c r="M903" s="82"/>
      <c r="N903" s="81"/>
      <c r="O903" s="82"/>
      <c r="P903" s="81"/>
      <c r="Q903" s="82"/>
      <c r="R903" s="81"/>
      <c r="S903" s="105"/>
      <c r="T903" s="81"/>
      <c r="U903" s="81"/>
      <c r="V903" s="81"/>
      <c r="W903" s="81"/>
      <c r="X903" s="81"/>
      <c r="Y903" s="81"/>
      <c r="Z903" s="81"/>
    </row>
    <row r="904" spans="1:26" ht="24" customHeight="1" x14ac:dyDescent="0.5">
      <c r="A904" s="81"/>
      <c r="B904" s="81"/>
      <c r="C904" s="81"/>
      <c r="D904" s="81"/>
      <c r="E904" s="81"/>
      <c r="F904" s="81"/>
      <c r="G904" s="105"/>
      <c r="H904" s="81"/>
      <c r="I904" s="81"/>
      <c r="J904" s="82"/>
      <c r="K904" s="81"/>
      <c r="L904" s="81"/>
      <c r="M904" s="82"/>
      <c r="N904" s="81"/>
      <c r="O904" s="82"/>
      <c r="P904" s="81"/>
      <c r="Q904" s="82"/>
      <c r="R904" s="81"/>
      <c r="S904" s="105"/>
      <c r="T904" s="81"/>
      <c r="U904" s="81"/>
      <c r="V904" s="81"/>
      <c r="W904" s="81"/>
      <c r="X904" s="81"/>
      <c r="Y904" s="81"/>
      <c r="Z904" s="81"/>
    </row>
    <row r="905" spans="1:26" ht="24" customHeight="1" x14ac:dyDescent="0.5">
      <c r="A905" s="81"/>
      <c r="B905" s="81"/>
      <c r="C905" s="81"/>
      <c r="D905" s="81"/>
      <c r="E905" s="81"/>
      <c r="F905" s="81"/>
      <c r="G905" s="105"/>
      <c r="H905" s="81"/>
      <c r="I905" s="81"/>
      <c r="J905" s="82"/>
      <c r="K905" s="81"/>
      <c r="L905" s="81"/>
      <c r="M905" s="82"/>
      <c r="N905" s="81"/>
      <c r="O905" s="82"/>
      <c r="P905" s="81"/>
      <c r="Q905" s="82"/>
      <c r="R905" s="81"/>
      <c r="S905" s="105"/>
      <c r="T905" s="81"/>
      <c r="U905" s="81"/>
      <c r="V905" s="81"/>
      <c r="W905" s="81"/>
      <c r="X905" s="81"/>
      <c r="Y905" s="81"/>
      <c r="Z905" s="81"/>
    </row>
    <row r="906" spans="1:26" ht="24" customHeight="1" x14ac:dyDescent="0.5">
      <c r="A906" s="81"/>
      <c r="B906" s="81"/>
      <c r="C906" s="81"/>
      <c r="D906" s="81"/>
      <c r="E906" s="81"/>
      <c r="F906" s="81"/>
      <c r="G906" s="105"/>
      <c r="H906" s="81"/>
      <c r="I906" s="81"/>
      <c r="J906" s="82"/>
      <c r="K906" s="81"/>
      <c r="L906" s="81"/>
      <c r="M906" s="82"/>
      <c r="N906" s="81"/>
      <c r="O906" s="82"/>
      <c r="P906" s="81"/>
      <c r="Q906" s="82"/>
      <c r="R906" s="81"/>
      <c r="S906" s="105"/>
      <c r="T906" s="81"/>
      <c r="U906" s="81"/>
      <c r="V906" s="81"/>
      <c r="W906" s="81"/>
      <c r="X906" s="81"/>
      <c r="Y906" s="81"/>
      <c r="Z906" s="81"/>
    </row>
    <row r="907" spans="1:26" ht="24" customHeight="1" x14ac:dyDescent="0.5">
      <c r="A907" s="81"/>
      <c r="B907" s="81"/>
      <c r="C907" s="81"/>
      <c r="D907" s="81"/>
      <c r="E907" s="81"/>
      <c r="F907" s="81"/>
      <c r="G907" s="105"/>
      <c r="H907" s="81"/>
      <c r="I907" s="81"/>
      <c r="J907" s="82"/>
      <c r="K907" s="81"/>
      <c r="L907" s="81"/>
      <c r="M907" s="82"/>
      <c r="N907" s="81"/>
      <c r="O907" s="82"/>
      <c r="P907" s="81"/>
      <c r="Q907" s="82"/>
      <c r="R907" s="81"/>
      <c r="S907" s="105"/>
      <c r="T907" s="81"/>
      <c r="U907" s="81"/>
      <c r="V907" s="81"/>
      <c r="W907" s="81"/>
      <c r="X907" s="81"/>
      <c r="Y907" s="81"/>
      <c r="Z907" s="81"/>
    </row>
    <row r="908" spans="1:26" ht="24" customHeight="1" x14ac:dyDescent="0.5">
      <c r="A908" s="81"/>
      <c r="B908" s="81"/>
      <c r="C908" s="81"/>
      <c r="D908" s="81"/>
      <c r="E908" s="81"/>
      <c r="F908" s="81"/>
      <c r="G908" s="105"/>
      <c r="H908" s="81"/>
      <c r="I908" s="81"/>
      <c r="J908" s="82"/>
      <c r="K908" s="81"/>
      <c r="L908" s="81"/>
      <c r="M908" s="82"/>
      <c r="N908" s="81"/>
      <c r="O908" s="82"/>
      <c r="P908" s="81"/>
      <c r="Q908" s="82"/>
      <c r="R908" s="81"/>
      <c r="S908" s="105"/>
      <c r="T908" s="81"/>
      <c r="U908" s="81"/>
      <c r="V908" s="81"/>
      <c r="W908" s="81"/>
      <c r="X908" s="81"/>
      <c r="Y908" s="81"/>
      <c r="Z908" s="81"/>
    </row>
    <row r="909" spans="1:26" ht="24" customHeight="1" x14ac:dyDescent="0.5">
      <c r="A909" s="81"/>
      <c r="B909" s="81"/>
      <c r="C909" s="81"/>
      <c r="D909" s="81"/>
      <c r="E909" s="81"/>
      <c r="F909" s="81"/>
      <c r="G909" s="105"/>
      <c r="H909" s="81"/>
      <c r="I909" s="81"/>
      <c r="J909" s="82"/>
      <c r="K909" s="81"/>
      <c r="L909" s="81"/>
      <c r="M909" s="82"/>
      <c r="N909" s="81"/>
      <c r="O909" s="82"/>
      <c r="P909" s="81"/>
      <c r="Q909" s="82"/>
      <c r="R909" s="81"/>
      <c r="S909" s="105"/>
      <c r="T909" s="81"/>
      <c r="U909" s="81"/>
      <c r="V909" s="81"/>
      <c r="W909" s="81"/>
      <c r="X909" s="81"/>
      <c r="Y909" s="81"/>
      <c r="Z909" s="81"/>
    </row>
    <row r="910" spans="1:26" ht="24" customHeight="1" x14ac:dyDescent="0.5">
      <c r="A910" s="81"/>
      <c r="B910" s="81"/>
      <c r="C910" s="81"/>
      <c r="D910" s="81"/>
      <c r="E910" s="81"/>
      <c r="F910" s="81"/>
      <c r="G910" s="105"/>
      <c r="H910" s="81"/>
      <c r="I910" s="81"/>
      <c r="J910" s="82"/>
      <c r="K910" s="81"/>
      <c r="L910" s="81"/>
      <c r="M910" s="82"/>
      <c r="N910" s="81"/>
      <c r="O910" s="82"/>
      <c r="P910" s="81"/>
      <c r="Q910" s="82"/>
      <c r="R910" s="81"/>
      <c r="S910" s="105"/>
      <c r="T910" s="81"/>
      <c r="U910" s="81"/>
      <c r="V910" s="81"/>
      <c r="W910" s="81"/>
      <c r="X910" s="81"/>
      <c r="Y910" s="81"/>
      <c r="Z910" s="81"/>
    </row>
    <row r="911" spans="1:26" ht="24" customHeight="1" x14ac:dyDescent="0.5">
      <c r="A911" s="81"/>
      <c r="B911" s="81"/>
      <c r="C911" s="81"/>
      <c r="D911" s="81"/>
      <c r="E911" s="81"/>
      <c r="F911" s="81"/>
      <c r="G911" s="105"/>
      <c r="H911" s="81"/>
      <c r="I911" s="81"/>
      <c r="J911" s="82"/>
      <c r="K911" s="81"/>
      <c r="L911" s="81"/>
      <c r="M911" s="82"/>
      <c r="N911" s="81"/>
      <c r="O911" s="82"/>
      <c r="P911" s="81"/>
      <c r="Q911" s="82"/>
      <c r="R911" s="81"/>
      <c r="S911" s="105"/>
      <c r="T911" s="81"/>
      <c r="U911" s="81"/>
      <c r="V911" s="81"/>
      <c r="W911" s="81"/>
      <c r="X911" s="81"/>
      <c r="Y911" s="81"/>
      <c r="Z911" s="81"/>
    </row>
    <row r="912" spans="1:26" ht="24" customHeight="1" x14ac:dyDescent="0.5">
      <c r="A912" s="81"/>
      <c r="B912" s="81"/>
      <c r="C912" s="81"/>
      <c r="D912" s="81"/>
      <c r="E912" s="81"/>
      <c r="F912" s="81"/>
      <c r="G912" s="105"/>
      <c r="H912" s="81"/>
      <c r="I912" s="81"/>
      <c r="J912" s="82"/>
      <c r="K912" s="81"/>
      <c r="L912" s="81"/>
      <c r="M912" s="82"/>
      <c r="N912" s="81"/>
      <c r="O912" s="82"/>
      <c r="P912" s="81"/>
      <c r="Q912" s="82"/>
      <c r="R912" s="81"/>
      <c r="S912" s="105"/>
      <c r="T912" s="81"/>
      <c r="U912" s="81"/>
      <c r="V912" s="81"/>
      <c r="W912" s="81"/>
      <c r="X912" s="81"/>
      <c r="Y912" s="81"/>
      <c r="Z912" s="81"/>
    </row>
    <row r="913" spans="1:26" ht="24" customHeight="1" x14ac:dyDescent="0.5">
      <c r="A913" s="81"/>
      <c r="B913" s="81"/>
      <c r="C913" s="81"/>
      <c r="D913" s="81"/>
      <c r="E913" s="81"/>
      <c r="F913" s="81"/>
      <c r="G913" s="105"/>
      <c r="H913" s="81"/>
      <c r="I913" s="81"/>
      <c r="J913" s="82"/>
      <c r="K913" s="81"/>
      <c r="L913" s="81"/>
      <c r="M913" s="82"/>
      <c r="N913" s="81"/>
      <c r="O913" s="82"/>
      <c r="P913" s="81"/>
      <c r="Q913" s="82"/>
      <c r="R913" s="81"/>
      <c r="S913" s="105"/>
      <c r="T913" s="81"/>
      <c r="U913" s="81"/>
      <c r="V913" s="81"/>
      <c r="W913" s="81"/>
      <c r="X913" s="81"/>
      <c r="Y913" s="81"/>
      <c r="Z913" s="81"/>
    </row>
    <row r="914" spans="1:26" ht="24" customHeight="1" x14ac:dyDescent="0.5">
      <c r="A914" s="81"/>
      <c r="B914" s="81"/>
      <c r="C914" s="81"/>
      <c r="D914" s="81"/>
      <c r="E914" s="81"/>
      <c r="F914" s="81"/>
      <c r="G914" s="105"/>
      <c r="H914" s="81"/>
      <c r="I914" s="81"/>
      <c r="J914" s="82"/>
      <c r="K914" s="81"/>
      <c r="L914" s="81"/>
      <c r="M914" s="82"/>
      <c r="N914" s="81"/>
      <c r="O914" s="82"/>
      <c r="P914" s="81"/>
      <c r="Q914" s="82"/>
      <c r="R914" s="81"/>
      <c r="S914" s="105"/>
      <c r="T914" s="81"/>
      <c r="U914" s="81"/>
      <c r="V914" s="81"/>
      <c r="W914" s="81"/>
      <c r="X914" s="81"/>
      <c r="Y914" s="81"/>
      <c r="Z914" s="81"/>
    </row>
    <row r="915" spans="1:26" ht="24" customHeight="1" x14ac:dyDescent="0.5">
      <c r="A915" s="81"/>
      <c r="B915" s="81"/>
      <c r="C915" s="81"/>
      <c r="D915" s="81"/>
      <c r="E915" s="81"/>
      <c r="F915" s="81"/>
      <c r="G915" s="105"/>
      <c r="H915" s="81"/>
      <c r="I915" s="81"/>
      <c r="J915" s="82"/>
      <c r="K915" s="81"/>
      <c r="L915" s="81"/>
      <c r="M915" s="82"/>
      <c r="N915" s="81"/>
      <c r="O915" s="82"/>
      <c r="P915" s="81"/>
      <c r="Q915" s="82"/>
      <c r="R915" s="81"/>
      <c r="S915" s="105"/>
      <c r="T915" s="81"/>
      <c r="U915" s="81"/>
      <c r="V915" s="81"/>
      <c r="W915" s="81"/>
      <c r="X915" s="81"/>
      <c r="Y915" s="81"/>
      <c r="Z915" s="81"/>
    </row>
    <row r="916" spans="1:26" ht="24" customHeight="1" x14ac:dyDescent="0.5">
      <c r="A916" s="81"/>
      <c r="B916" s="81"/>
      <c r="C916" s="81"/>
      <c r="D916" s="81"/>
      <c r="E916" s="81"/>
      <c r="F916" s="81"/>
      <c r="G916" s="105"/>
      <c r="H916" s="81"/>
      <c r="I916" s="81"/>
      <c r="J916" s="82"/>
      <c r="K916" s="81"/>
      <c r="L916" s="81"/>
      <c r="M916" s="82"/>
      <c r="N916" s="81"/>
      <c r="O916" s="82"/>
      <c r="P916" s="81"/>
      <c r="Q916" s="82"/>
      <c r="R916" s="81"/>
      <c r="S916" s="105"/>
      <c r="T916" s="81"/>
      <c r="U916" s="81"/>
      <c r="V916" s="81"/>
      <c r="W916" s="81"/>
      <c r="X916" s="81"/>
      <c r="Y916" s="81"/>
      <c r="Z916" s="81"/>
    </row>
    <row r="917" spans="1:26" ht="24" customHeight="1" x14ac:dyDescent="0.5">
      <c r="A917" s="81"/>
      <c r="B917" s="81"/>
      <c r="C917" s="81"/>
      <c r="D917" s="81"/>
      <c r="E917" s="81"/>
      <c r="F917" s="81"/>
      <c r="G917" s="105"/>
      <c r="H917" s="81"/>
      <c r="I917" s="81"/>
      <c r="J917" s="82"/>
      <c r="K917" s="81"/>
      <c r="L917" s="81"/>
      <c r="M917" s="82"/>
      <c r="N917" s="81"/>
      <c r="O917" s="82"/>
      <c r="P917" s="81"/>
      <c r="Q917" s="82"/>
      <c r="R917" s="81"/>
      <c r="S917" s="105"/>
      <c r="T917" s="81"/>
      <c r="U917" s="81"/>
      <c r="V917" s="81"/>
      <c r="W917" s="81"/>
      <c r="X917" s="81"/>
      <c r="Y917" s="81"/>
      <c r="Z917" s="81"/>
    </row>
    <row r="918" spans="1:26" ht="24" customHeight="1" x14ac:dyDescent="0.5">
      <c r="A918" s="81"/>
      <c r="B918" s="81"/>
      <c r="C918" s="81"/>
      <c r="D918" s="81"/>
      <c r="E918" s="81"/>
      <c r="F918" s="81"/>
      <c r="G918" s="105"/>
      <c r="H918" s="81"/>
      <c r="I918" s="81"/>
      <c r="J918" s="82"/>
      <c r="K918" s="81"/>
      <c r="L918" s="81"/>
      <c r="M918" s="82"/>
      <c r="N918" s="81"/>
      <c r="O918" s="82"/>
      <c r="P918" s="81"/>
      <c r="Q918" s="82"/>
      <c r="R918" s="81"/>
      <c r="S918" s="105"/>
      <c r="T918" s="81"/>
      <c r="U918" s="81"/>
      <c r="V918" s="81"/>
      <c r="W918" s="81"/>
      <c r="X918" s="81"/>
      <c r="Y918" s="81"/>
      <c r="Z918" s="81"/>
    </row>
    <row r="919" spans="1:26" ht="24" customHeight="1" x14ac:dyDescent="0.5">
      <c r="A919" s="81"/>
      <c r="B919" s="81"/>
      <c r="C919" s="81"/>
      <c r="D919" s="81"/>
      <c r="E919" s="81"/>
      <c r="F919" s="81"/>
      <c r="G919" s="105"/>
      <c r="H919" s="81"/>
      <c r="I919" s="81"/>
      <c r="J919" s="82"/>
      <c r="K919" s="81"/>
      <c r="L919" s="81"/>
      <c r="M919" s="82"/>
      <c r="N919" s="81"/>
      <c r="O919" s="82"/>
      <c r="P919" s="81"/>
      <c r="Q919" s="82"/>
      <c r="R919" s="81"/>
      <c r="S919" s="105"/>
      <c r="T919" s="81"/>
      <c r="U919" s="81"/>
      <c r="V919" s="81"/>
      <c r="W919" s="81"/>
      <c r="X919" s="81"/>
      <c r="Y919" s="81"/>
      <c r="Z919" s="81"/>
    </row>
    <row r="920" spans="1:26" ht="24" customHeight="1" x14ac:dyDescent="0.5">
      <c r="A920" s="81"/>
      <c r="B920" s="81"/>
      <c r="C920" s="81"/>
      <c r="D920" s="81"/>
      <c r="E920" s="81"/>
      <c r="F920" s="81"/>
      <c r="G920" s="105"/>
      <c r="H920" s="81"/>
      <c r="I920" s="81"/>
      <c r="J920" s="82"/>
      <c r="K920" s="81"/>
      <c r="L920" s="81"/>
      <c r="M920" s="82"/>
      <c r="N920" s="81"/>
      <c r="O920" s="82"/>
      <c r="P920" s="81"/>
      <c r="Q920" s="82"/>
      <c r="R920" s="81"/>
      <c r="S920" s="105"/>
      <c r="T920" s="81"/>
      <c r="U920" s="81"/>
      <c r="V920" s="81"/>
      <c r="W920" s="81"/>
      <c r="X920" s="81"/>
      <c r="Y920" s="81"/>
      <c r="Z920" s="81"/>
    </row>
    <row r="921" spans="1:26" ht="24" customHeight="1" x14ac:dyDescent="0.5">
      <c r="A921" s="81"/>
      <c r="B921" s="81"/>
      <c r="C921" s="81"/>
      <c r="D921" s="81"/>
      <c r="E921" s="81"/>
      <c r="F921" s="81"/>
      <c r="G921" s="105"/>
      <c r="H921" s="81"/>
      <c r="I921" s="81"/>
      <c r="J921" s="82"/>
      <c r="K921" s="81"/>
      <c r="L921" s="81"/>
      <c r="M921" s="82"/>
      <c r="N921" s="81"/>
      <c r="O921" s="82"/>
      <c r="P921" s="81"/>
      <c r="Q921" s="82"/>
      <c r="R921" s="81"/>
      <c r="S921" s="105"/>
      <c r="T921" s="81"/>
      <c r="U921" s="81"/>
      <c r="V921" s="81"/>
      <c r="W921" s="81"/>
      <c r="X921" s="81"/>
      <c r="Y921" s="81"/>
      <c r="Z921" s="81"/>
    </row>
    <row r="922" spans="1:26" ht="24" customHeight="1" x14ac:dyDescent="0.5">
      <c r="A922" s="81"/>
      <c r="B922" s="81"/>
      <c r="C922" s="81"/>
      <c r="D922" s="81"/>
      <c r="E922" s="81"/>
      <c r="F922" s="81"/>
      <c r="G922" s="105"/>
      <c r="H922" s="81"/>
      <c r="I922" s="81"/>
      <c r="J922" s="82"/>
      <c r="K922" s="81"/>
      <c r="L922" s="81"/>
      <c r="M922" s="82"/>
      <c r="N922" s="81"/>
      <c r="O922" s="82"/>
      <c r="P922" s="81"/>
      <c r="Q922" s="82"/>
      <c r="R922" s="81"/>
      <c r="S922" s="105"/>
      <c r="T922" s="81"/>
      <c r="U922" s="81"/>
      <c r="V922" s="81"/>
      <c r="W922" s="81"/>
      <c r="X922" s="81"/>
      <c r="Y922" s="81"/>
      <c r="Z922" s="81"/>
    </row>
    <row r="923" spans="1:26" ht="24" customHeight="1" x14ac:dyDescent="0.5">
      <c r="A923" s="81"/>
      <c r="B923" s="81"/>
      <c r="C923" s="81"/>
      <c r="D923" s="81"/>
      <c r="E923" s="81"/>
      <c r="F923" s="81"/>
      <c r="G923" s="105"/>
      <c r="H923" s="81"/>
      <c r="I923" s="81"/>
      <c r="J923" s="82"/>
      <c r="K923" s="81"/>
      <c r="L923" s="81"/>
      <c r="M923" s="82"/>
      <c r="N923" s="81"/>
      <c r="O923" s="82"/>
      <c r="P923" s="81"/>
      <c r="Q923" s="82"/>
      <c r="R923" s="81"/>
      <c r="S923" s="105"/>
      <c r="T923" s="81"/>
      <c r="U923" s="81"/>
      <c r="V923" s="81"/>
      <c r="W923" s="81"/>
      <c r="X923" s="81"/>
      <c r="Y923" s="81"/>
      <c r="Z923" s="81"/>
    </row>
    <row r="924" spans="1:26" ht="24" customHeight="1" x14ac:dyDescent="0.5">
      <c r="A924" s="81"/>
      <c r="B924" s="81"/>
      <c r="C924" s="81"/>
      <c r="D924" s="81"/>
      <c r="E924" s="81"/>
      <c r="F924" s="81"/>
      <c r="G924" s="105"/>
      <c r="H924" s="81"/>
      <c r="I924" s="81"/>
      <c r="J924" s="82"/>
      <c r="K924" s="81"/>
      <c r="L924" s="81"/>
      <c r="M924" s="82"/>
      <c r="N924" s="81"/>
      <c r="O924" s="82"/>
      <c r="P924" s="81"/>
      <c r="Q924" s="82"/>
      <c r="R924" s="81"/>
      <c r="S924" s="105"/>
      <c r="T924" s="81"/>
      <c r="U924" s="81"/>
      <c r="V924" s="81"/>
      <c r="W924" s="81"/>
      <c r="X924" s="81"/>
      <c r="Y924" s="81"/>
      <c r="Z924" s="81"/>
    </row>
    <row r="925" spans="1:26" ht="24" customHeight="1" x14ac:dyDescent="0.5">
      <c r="A925" s="81"/>
      <c r="B925" s="81"/>
      <c r="C925" s="81"/>
      <c r="D925" s="81"/>
      <c r="E925" s="81"/>
      <c r="F925" s="81"/>
      <c r="G925" s="105"/>
      <c r="H925" s="81"/>
      <c r="I925" s="81"/>
      <c r="J925" s="82"/>
      <c r="K925" s="81"/>
      <c r="L925" s="81"/>
      <c r="M925" s="82"/>
      <c r="N925" s="81"/>
      <c r="O925" s="82"/>
      <c r="P925" s="81"/>
      <c r="Q925" s="82"/>
      <c r="R925" s="81"/>
      <c r="S925" s="105"/>
      <c r="T925" s="81"/>
      <c r="U925" s="81"/>
      <c r="V925" s="81"/>
      <c r="W925" s="81"/>
      <c r="X925" s="81"/>
      <c r="Y925" s="81"/>
      <c r="Z925" s="81"/>
    </row>
    <row r="926" spans="1:26" ht="24" customHeight="1" x14ac:dyDescent="0.5">
      <c r="A926" s="81"/>
      <c r="B926" s="81"/>
      <c r="C926" s="81"/>
      <c r="D926" s="81"/>
      <c r="E926" s="81"/>
      <c r="F926" s="81"/>
      <c r="G926" s="105"/>
      <c r="H926" s="81"/>
      <c r="I926" s="81"/>
      <c r="J926" s="82"/>
      <c r="K926" s="81"/>
      <c r="L926" s="81"/>
      <c r="M926" s="82"/>
      <c r="N926" s="81"/>
      <c r="O926" s="82"/>
      <c r="P926" s="81"/>
      <c r="Q926" s="82"/>
      <c r="R926" s="81"/>
      <c r="S926" s="105"/>
      <c r="T926" s="81"/>
      <c r="U926" s="81"/>
      <c r="V926" s="81"/>
      <c r="W926" s="81"/>
      <c r="X926" s="81"/>
      <c r="Y926" s="81"/>
      <c r="Z926" s="81"/>
    </row>
    <row r="927" spans="1:26" ht="24" customHeight="1" x14ac:dyDescent="0.5">
      <c r="A927" s="81"/>
      <c r="B927" s="81"/>
      <c r="C927" s="81"/>
      <c r="D927" s="81"/>
      <c r="E927" s="81"/>
      <c r="F927" s="81"/>
      <c r="G927" s="105"/>
      <c r="H927" s="81"/>
      <c r="I927" s="81"/>
      <c r="J927" s="82"/>
      <c r="K927" s="81"/>
      <c r="L927" s="81"/>
      <c r="M927" s="82"/>
      <c r="N927" s="81"/>
      <c r="O927" s="82"/>
      <c r="P927" s="81"/>
      <c r="Q927" s="82"/>
      <c r="R927" s="81"/>
      <c r="S927" s="105"/>
      <c r="T927" s="81"/>
      <c r="U927" s="81"/>
      <c r="V927" s="81"/>
      <c r="W927" s="81"/>
      <c r="X927" s="81"/>
      <c r="Y927" s="81"/>
      <c r="Z927" s="81"/>
    </row>
    <row r="928" spans="1:26" ht="24" customHeight="1" x14ac:dyDescent="0.5">
      <c r="A928" s="81"/>
      <c r="B928" s="81"/>
      <c r="C928" s="81"/>
      <c r="D928" s="81"/>
      <c r="E928" s="81"/>
      <c r="F928" s="81"/>
      <c r="G928" s="105"/>
      <c r="H928" s="81"/>
      <c r="I928" s="81"/>
      <c r="J928" s="82"/>
      <c r="K928" s="81"/>
      <c r="L928" s="81"/>
      <c r="M928" s="82"/>
      <c r="N928" s="81"/>
      <c r="O928" s="82"/>
      <c r="P928" s="81"/>
      <c r="Q928" s="82"/>
      <c r="R928" s="81"/>
      <c r="S928" s="105"/>
      <c r="T928" s="81"/>
      <c r="U928" s="81"/>
      <c r="V928" s="81"/>
      <c r="W928" s="81"/>
      <c r="X928" s="81"/>
      <c r="Y928" s="81"/>
      <c r="Z928" s="81"/>
    </row>
    <row r="929" spans="1:26" ht="24" customHeight="1" x14ac:dyDescent="0.5">
      <c r="A929" s="81"/>
      <c r="B929" s="81"/>
      <c r="C929" s="81"/>
      <c r="D929" s="81"/>
      <c r="E929" s="81"/>
      <c r="F929" s="81"/>
      <c r="G929" s="105"/>
      <c r="H929" s="81"/>
      <c r="I929" s="81"/>
      <c r="J929" s="82"/>
      <c r="K929" s="81"/>
      <c r="L929" s="81"/>
      <c r="M929" s="82"/>
      <c r="N929" s="81"/>
      <c r="O929" s="82"/>
      <c r="P929" s="81"/>
      <c r="Q929" s="82"/>
      <c r="R929" s="81"/>
      <c r="S929" s="105"/>
      <c r="T929" s="81"/>
      <c r="U929" s="81"/>
      <c r="V929" s="81"/>
      <c r="W929" s="81"/>
      <c r="X929" s="81"/>
      <c r="Y929" s="81"/>
      <c r="Z929" s="81"/>
    </row>
    <row r="930" spans="1:26" ht="24" customHeight="1" x14ac:dyDescent="0.5">
      <c r="A930" s="81"/>
      <c r="B930" s="81"/>
      <c r="C930" s="81"/>
      <c r="D930" s="81"/>
      <c r="E930" s="81"/>
      <c r="F930" s="81"/>
      <c r="G930" s="105"/>
      <c r="H930" s="81"/>
      <c r="I930" s="81"/>
      <c r="J930" s="82"/>
      <c r="K930" s="81"/>
      <c r="L930" s="81"/>
      <c r="M930" s="82"/>
      <c r="N930" s="81"/>
      <c r="O930" s="82"/>
      <c r="P930" s="81"/>
      <c r="Q930" s="82"/>
      <c r="R930" s="81"/>
      <c r="S930" s="105"/>
      <c r="T930" s="81"/>
      <c r="U930" s="81"/>
      <c r="V930" s="81"/>
      <c r="W930" s="81"/>
      <c r="X930" s="81"/>
      <c r="Y930" s="81"/>
      <c r="Z930" s="81"/>
    </row>
    <row r="931" spans="1:26" ht="24" customHeight="1" x14ac:dyDescent="0.5">
      <c r="A931" s="81"/>
      <c r="B931" s="81"/>
      <c r="C931" s="81"/>
      <c r="D931" s="81"/>
      <c r="E931" s="81"/>
      <c r="F931" s="81"/>
      <c r="G931" s="105"/>
      <c r="H931" s="81"/>
      <c r="I931" s="81"/>
      <c r="J931" s="82"/>
      <c r="K931" s="81"/>
      <c r="L931" s="81"/>
      <c r="M931" s="82"/>
      <c r="N931" s="81"/>
      <c r="O931" s="82"/>
      <c r="P931" s="81"/>
      <c r="Q931" s="82"/>
      <c r="R931" s="81"/>
      <c r="S931" s="105"/>
      <c r="T931" s="81"/>
      <c r="U931" s="81"/>
      <c r="V931" s="81"/>
      <c r="W931" s="81"/>
      <c r="X931" s="81"/>
      <c r="Y931" s="81"/>
      <c r="Z931" s="81"/>
    </row>
    <row r="932" spans="1:26" ht="24" customHeight="1" x14ac:dyDescent="0.5">
      <c r="A932" s="81"/>
      <c r="B932" s="81"/>
      <c r="C932" s="81"/>
      <c r="D932" s="81"/>
      <c r="E932" s="81"/>
      <c r="F932" s="81"/>
      <c r="G932" s="105"/>
      <c r="H932" s="81"/>
      <c r="I932" s="81"/>
      <c r="J932" s="82"/>
      <c r="K932" s="81"/>
      <c r="L932" s="81"/>
      <c r="M932" s="82"/>
      <c r="N932" s="81"/>
      <c r="O932" s="82"/>
      <c r="P932" s="81"/>
      <c r="Q932" s="82"/>
      <c r="R932" s="81"/>
      <c r="S932" s="105"/>
      <c r="T932" s="81"/>
      <c r="U932" s="81"/>
      <c r="V932" s="81"/>
      <c r="W932" s="81"/>
      <c r="X932" s="81"/>
      <c r="Y932" s="81"/>
      <c r="Z932" s="81"/>
    </row>
    <row r="933" spans="1:26" ht="24" customHeight="1" x14ac:dyDescent="0.5">
      <c r="A933" s="81"/>
      <c r="B933" s="81"/>
      <c r="C933" s="81"/>
      <c r="D933" s="81"/>
      <c r="E933" s="81"/>
      <c r="F933" s="81"/>
      <c r="G933" s="105"/>
      <c r="H933" s="81"/>
      <c r="I933" s="81"/>
      <c r="J933" s="82"/>
      <c r="K933" s="81"/>
      <c r="L933" s="81"/>
      <c r="M933" s="82"/>
      <c r="N933" s="81"/>
      <c r="O933" s="82"/>
      <c r="P933" s="81"/>
      <c r="Q933" s="82"/>
      <c r="R933" s="81"/>
      <c r="S933" s="105"/>
      <c r="T933" s="81"/>
      <c r="U933" s="81"/>
      <c r="V933" s="81"/>
      <c r="W933" s="81"/>
      <c r="X933" s="81"/>
      <c r="Y933" s="81"/>
      <c r="Z933" s="81"/>
    </row>
    <row r="934" spans="1:26" ht="24" customHeight="1" x14ac:dyDescent="0.5">
      <c r="A934" s="81"/>
      <c r="B934" s="81"/>
      <c r="C934" s="81"/>
      <c r="D934" s="81"/>
      <c r="E934" s="81"/>
      <c r="F934" s="81"/>
      <c r="G934" s="105"/>
      <c r="H934" s="81"/>
      <c r="I934" s="81"/>
      <c r="J934" s="82"/>
      <c r="K934" s="81"/>
      <c r="L934" s="81"/>
      <c r="M934" s="82"/>
      <c r="N934" s="81"/>
      <c r="O934" s="82"/>
      <c r="P934" s="81"/>
      <c r="Q934" s="82"/>
      <c r="R934" s="81"/>
      <c r="S934" s="105"/>
      <c r="T934" s="81"/>
      <c r="U934" s="81"/>
      <c r="V934" s="81"/>
      <c r="W934" s="81"/>
      <c r="X934" s="81"/>
      <c r="Y934" s="81"/>
      <c r="Z934" s="81"/>
    </row>
    <row r="935" spans="1:26" ht="24" customHeight="1" x14ac:dyDescent="0.5">
      <c r="A935" s="81"/>
      <c r="B935" s="81"/>
      <c r="C935" s="81"/>
      <c r="D935" s="81"/>
      <c r="E935" s="81"/>
      <c r="F935" s="81"/>
      <c r="G935" s="105"/>
      <c r="H935" s="81"/>
      <c r="I935" s="81"/>
      <c r="J935" s="82"/>
      <c r="K935" s="81"/>
      <c r="L935" s="81"/>
      <c r="M935" s="82"/>
      <c r="N935" s="81"/>
      <c r="O935" s="82"/>
      <c r="P935" s="81"/>
      <c r="Q935" s="82"/>
      <c r="R935" s="81"/>
      <c r="S935" s="105"/>
      <c r="T935" s="81"/>
      <c r="U935" s="81"/>
      <c r="V935" s="81"/>
      <c r="W935" s="81"/>
      <c r="X935" s="81"/>
      <c r="Y935" s="81"/>
      <c r="Z935" s="81"/>
    </row>
    <row r="936" spans="1:26" ht="24" customHeight="1" x14ac:dyDescent="0.5">
      <c r="A936" s="81"/>
      <c r="B936" s="81"/>
      <c r="C936" s="81"/>
      <c r="D936" s="81"/>
      <c r="E936" s="81"/>
      <c r="F936" s="81"/>
      <c r="G936" s="105"/>
      <c r="H936" s="81"/>
      <c r="I936" s="81"/>
      <c r="J936" s="82"/>
      <c r="K936" s="81"/>
      <c r="L936" s="81"/>
      <c r="M936" s="82"/>
      <c r="N936" s="81"/>
      <c r="O936" s="82"/>
      <c r="P936" s="81"/>
      <c r="Q936" s="82"/>
      <c r="R936" s="81"/>
      <c r="S936" s="105"/>
      <c r="T936" s="81"/>
      <c r="U936" s="81"/>
      <c r="V936" s="81"/>
      <c r="W936" s="81"/>
      <c r="X936" s="81"/>
      <c r="Y936" s="81"/>
      <c r="Z936" s="81"/>
    </row>
    <row r="937" spans="1:26" ht="24" customHeight="1" x14ac:dyDescent="0.5">
      <c r="A937" s="81"/>
      <c r="B937" s="81"/>
      <c r="C937" s="81"/>
      <c r="D937" s="81"/>
      <c r="E937" s="81"/>
      <c r="F937" s="81"/>
      <c r="G937" s="105"/>
      <c r="H937" s="81"/>
      <c r="I937" s="81"/>
      <c r="J937" s="82"/>
      <c r="K937" s="81"/>
      <c r="L937" s="81"/>
      <c r="M937" s="82"/>
      <c r="N937" s="81"/>
      <c r="O937" s="82"/>
      <c r="P937" s="81"/>
      <c r="Q937" s="82"/>
      <c r="R937" s="81"/>
      <c r="S937" s="105"/>
      <c r="T937" s="81"/>
      <c r="U937" s="81"/>
      <c r="V937" s="81"/>
      <c r="W937" s="81"/>
      <c r="X937" s="81"/>
      <c r="Y937" s="81"/>
      <c r="Z937" s="81"/>
    </row>
    <row r="938" spans="1:26" ht="24" customHeight="1" x14ac:dyDescent="0.5">
      <c r="A938" s="81"/>
      <c r="B938" s="81"/>
      <c r="C938" s="81"/>
      <c r="D938" s="81"/>
      <c r="E938" s="81"/>
      <c r="F938" s="81"/>
      <c r="G938" s="105"/>
      <c r="H938" s="81"/>
      <c r="I938" s="81"/>
      <c r="J938" s="82"/>
      <c r="K938" s="81"/>
      <c r="L938" s="81"/>
      <c r="M938" s="82"/>
      <c r="N938" s="81"/>
      <c r="O938" s="82"/>
      <c r="P938" s="81"/>
      <c r="Q938" s="82"/>
      <c r="R938" s="81"/>
      <c r="S938" s="105"/>
      <c r="T938" s="81"/>
      <c r="U938" s="81"/>
      <c r="V938" s="81"/>
      <c r="W938" s="81"/>
      <c r="X938" s="81"/>
      <c r="Y938" s="81"/>
      <c r="Z938" s="81"/>
    </row>
    <row r="939" spans="1:26" ht="24" customHeight="1" x14ac:dyDescent="0.5">
      <c r="A939" s="81"/>
      <c r="B939" s="81"/>
      <c r="C939" s="81"/>
      <c r="D939" s="81"/>
      <c r="E939" s="81"/>
      <c r="F939" s="81"/>
      <c r="G939" s="105"/>
      <c r="H939" s="81"/>
      <c r="I939" s="81"/>
      <c r="J939" s="82"/>
      <c r="K939" s="81"/>
      <c r="L939" s="81"/>
      <c r="M939" s="82"/>
      <c r="N939" s="81"/>
      <c r="O939" s="82"/>
      <c r="P939" s="81"/>
      <c r="Q939" s="82"/>
      <c r="R939" s="81"/>
      <c r="S939" s="105"/>
      <c r="T939" s="81"/>
      <c r="U939" s="81"/>
      <c r="V939" s="81"/>
      <c r="W939" s="81"/>
      <c r="X939" s="81"/>
      <c r="Y939" s="81"/>
      <c r="Z939" s="81"/>
    </row>
    <row r="940" spans="1:26" ht="24" customHeight="1" x14ac:dyDescent="0.5">
      <c r="A940" s="81"/>
      <c r="B940" s="81"/>
      <c r="C940" s="81"/>
      <c r="D940" s="81"/>
      <c r="E940" s="81"/>
      <c r="F940" s="81"/>
      <c r="G940" s="105"/>
      <c r="H940" s="81"/>
      <c r="I940" s="81"/>
      <c r="J940" s="82"/>
      <c r="K940" s="81"/>
      <c r="L940" s="81"/>
      <c r="M940" s="82"/>
      <c r="N940" s="81"/>
      <c r="O940" s="82"/>
      <c r="P940" s="81"/>
      <c r="Q940" s="82"/>
      <c r="R940" s="81"/>
      <c r="S940" s="105"/>
      <c r="T940" s="81"/>
      <c r="U940" s="81"/>
      <c r="V940" s="81"/>
      <c r="W940" s="81"/>
      <c r="X940" s="81"/>
      <c r="Y940" s="81"/>
      <c r="Z940" s="81"/>
    </row>
    <row r="941" spans="1:26" ht="24" customHeight="1" x14ac:dyDescent="0.5">
      <c r="A941" s="81"/>
      <c r="B941" s="81"/>
      <c r="C941" s="81"/>
      <c r="D941" s="81"/>
      <c r="E941" s="81"/>
      <c r="F941" s="81"/>
      <c r="G941" s="105"/>
      <c r="H941" s="81"/>
      <c r="I941" s="81"/>
      <c r="J941" s="82"/>
      <c r="K941" s="81"/>
      <c r="L941" s="81"/>
      <c r="M941" s="82"/>
      <c r="N941" s="81"/>
      <c r="O941" s="82"/>
      <c r="P941" s="81"/>
      <c r="Q941" s="82"/>
      <c r="R941" s="81"/>
      <c r="S941" s="105"/>
      <c r="T941" s="81"/>
      <c r="U941" s="81"/>
      <c r="V941" s="81"/>
      <c r="W941" s="81"/>
      <c r="X941" s="81"/>
      <c r="Y941" s="81"/>
      <c r="Z941" s="81"/>
    </row>
    <row r="942" spans="1:26" ht="24" customHeight="1" x14ac:dyDescent="0.5">
      <c r="A942" s="81"/>
      <c r="B942" s="81"/>
      <c r="C942" s="81"/>
      <c r="D942" s="81"/>
      <c r="E942" s="81"/>
      <c r="F942" s="81"/>
      <c r="G942" s="105"/>
      <c r="H942" s="81"/>
      <c r="I942" s="81"/>
      <c r="J942" s="82"/>
      <c r="K942" s="81"/>
      <c r="L942" s="81"/>
      <c r="M942" s="82"/>
      <c r="N942" s="81"/>
      <c r="O942" s="82"/>
      <c r="P942" s="81"/>
      <c r="Q942" s="82"/>
      <c r="R942" s="81"/>
      <c r="S942" s="105"/>
      <c r="T942" s="81"/>
      <c r="U942" s="81"/>
      <c r="V942" s="81"/>
      <c r="W942" s="81"/>
      <c r="X942" s="81"/>
      <c r="Y942" s="81"/>
      <c r="Z942" s="81"/>
    </row>
    <row r="943" spans="1:26" ht="24" customHeight="1" x14ac:dyDescent="0.5">
      <c r="A943" s="81"/>
      <c r="B943" s="81"/>
      <c r="C943" s="81"/>
      <c r="D943" s="81"/>
      <c r="E943" s="81"/>
      <c r="F943" s="81"/>
      <c r="G943" s="105"/>
      <c r="H943" s="81"/>
      <c r="I943" s="81"/>
      <c r="J943" s="82"/>
      <c r="K943" s="81"/>
      <c r="L943" s="81"/>
      <c r="M943" s="82"/>
      <c r="N943" s="81"/>
      <c r="O943" s="82"/>
      <c r="P943" s="81"/>
      <c r="Q943" s="82"/>
      <c r="R943" s="81"/>
      <c r="S943" s="105"/>
      <c r="T943" s="81"/>
      <c r="U943" s="81"/>
      <c r="V943" s="81"/>
      <c r="W943" s="81"/>
      <c r="X943" s="81"/>
      <c r="Y943" s="81"/>
      <c r="Z943" s="81"/>
    </row>
    <row r="944" spans="1:26" ht="24" customHeight="1" x14ac:dyDescent="0.5">
      <c r="A944" s="81"/>
      <c r="B944" s="81"/>
      <c r="C944" s="81"/>
      <c r="D944" s="81"/>
      <c r="E944" s="81"/>
      <c r="F944" s="81"/>
      <c r="G944" s="105"/>
      <c r="H944" s="81"/>
      <c r="I944" s="81"/>
      <c r="J944" s="82"/>
      <c r="K944" s="81"/>
      <c r="L944" s="81"/>
      <c r="M944" s="82"/>
      <c r="N944" s="81"/>
      <c r="O944" s="82"/>
      <c r="P944" s="81"/>
      <c r="Q944" s="82"/>
      <c r="R944" s="81"/>
      <c r="S944" s="105"/>
      <c r="T944" s="81"/>
      <c r="U944" s="81"/>
      <c r="V944" s="81"/>
      <c r="W944" s="81"/>
      <c r="X944" s="81"/>
      <c r="Y944" s="81"/>
      <c r="Z944" s="81"/>
    </row>
    <row r="945" spans="1:26" ht="24" customHeight="1" x14ac:dyDescent="0.5">
      <c r="A945" s="81"/>
      <c r="B945" s="81"/>
      <c r="C945" s="81"/>
      <c r="D945" s="81"/>
      <c r="E945" s="81"/>
      <c r="F945" s="81"/>
      <c r="G945" s="105"/>
      <c r="H945" s="81"/>
      <c r="I945" s="81"/>
      <c r="J945" s="82"/>
      <c r="K945" s="81"/>
      <c r="L945" s="81"/>
      <c r="M945" s="82"/>
      <c r="N945" s="81"/>
      <c r="O945" s="82"/>
      <c r="P945" s="81"/>
      <c r="Q945" s="82"/>
      <c r="R945" s="81"/>
      <c r="S945" s="105"/>
      <c r="T945" s="81"/>
      <c r="U945" s="81"/>
      <c r="V945" s="81"/>
      <c r="W945" s="81"/>
      <c r="X945" s="81"/>
      <c r="Y945" s="81"/>
      <c r="Z945" s="81"/>
    </row>
    <row r="946" spans="1:26" ht="24" customHeight="1" x14ac:dyDescent="0.5">
      <c r="A946" s="81"/>
      <c r="B946" s="81"/>
      <c r="C946" s="81"/>
      <c r="D946" s="81"/>
      <c r="E946" s="81"/>
      <c r="F946" s="81"/>
      <c r="G946" s="105"/>
      <c r="H946" s="81"/>
      <c r="I946" s="81"/>
      <c r="J946" s="82"/>
      <c r="K946" s="81"/>
      <c r="L946" s="81"/>
      <c r="M946" s="82"/>
      <c r="N946" s="81"/>
      <c r="O946" s="82"/>
      <c r="P946" s="81"/>
      <c r="Q946" s="82"/>
      <c r="R946" s="81"/>
      <c r="S946" s="105"/>
      <c r="T946" s="81"/>
      <c r="U946" s="81"/>
      <c r="V946" s="81"/>
      <c r="W946" s="81"/>
      <c r="X946" s="81"/>
      <c r="Y946" s="81"/>
      <c r="Z946" s="81"/>
    </row>
    <row r="947" spans="1:26" ht="24" customHeight="1" x14ac:dyDescent="0.5">
      <c r="A947" s="81"/>
      <c r="B947" s="81"/>
      <c r="C947" s="81"/>
      <c r="D947" s="81"/>
      <c r="E947" s="81"/>
      <c r="F947" s="81"/>
      <c r="G947" s="105"/>
      <c r="H947" s="81"/>
      <c r="I947" s="81"/>
      <c r="J947" s="82"/>
      <c r="K947" s="81"/>
      <c r="L947" s="81"/>
      <c r="M947" s="82"/>
      <c r="N947" s="81"/>
      <c r="O947" s="82"/>
      <c r="P947" s="81"/>
      <c r="Q947" s="82"/>
      <c r="R947" s="81"/>
      <c r="S947" s="105"/>
      <c r="T947" s="81"/>
      <c r="U947" s="81"/>
      <c r="V947" s="81"/>
      <c r="W947" s="81"/>
      <c r="X947" s="81"/>
      <c r="Y947" s="81"/>
      <c r="Z947" s="81"/>
    </row>
    <row r="948" spans="1:26" ht="24" customHeight="1" x14ac:dyDescent="0.5">
      <c r="A948" s="81"/>
      <c r="B948" s="81"/>
      <c r="C948" s="81"/>
      <c r="D948" s="81"/>
      <c r="E948" s="81"/>
      <c r="F948" s="81"/>
      <c r="G948" s="105"/>
      <c r="H948" s="81"/>
      <c r="I948" s="81"/>
      <c r="J948" s="82"/>
      <c r="K948" s="81"/>
      <c r="L948" s="81"/>
      <c r="M948" s="82"/>
      <c r="N948" s="81"/>
      <c r="O948" s="82"/>
      <c r="P948" s="81"/>
      <c r="Q948" s="82"/>
      <c r="R948" s="81"/>
      <c r="S948" s="105"/>
      <c r="T948" s="81"/>
      <c r="U948" s="81"/>
      <c r="V948" s="81"/>
      <c r="W948" s="81"/>
      <c r="X948" s="81"/>
      <c r="Y948" s="81"/>
      <c r="Z948" s="81"/>
    </row>
    <row r="949" spans="1:26" ht="24" customHeight="1" x14ac:dyDescent="0.5">
      <c r="A949" s="81"/>
      <c r="B949" s="81"/>
      <c r="C949" s="81"/>
      <c r="D949" s="81"/>
      <c r="E949" s="81"/>
      <c r="F949" s="81"/>
      <c r="G949" s="105"/>
      <c r="H949" s="81"/>
      <c r="I949" s="81"/>
      <c r="J949" s="82"/>
      <c r="K949" s="81"/>
      <c r="L949" s="81"/>
      <c r="M949" s="82"/>
      <c r="N949" s="81"/>
      <c r="O949" s="82"/>
      <c r="P949" s="81"/>
      <c r="Q949" s="82"/>
      <c r="R949" s="81"/>
      <c r="S949" s="105"/>
      <c r="T949" s="81"/>
      <c r="U949" s="81"/>
      <c r="V949" s="81"/>
      <c r="W949" s="81"/>
      <c r="X949" s="81"/>
      <c r="Y949" s="81"/>
      <c r="Z949" s="81"/>
    </row>
    <row r="950" spans="1:26" ht="24" customHeight="1" x14ac:dyDescent="0.5">
      <c r="A950" s="81"/>
      <c r="B950" s="81"/>
      <c r="C950" s="81"/>
      <c r="D950" s="81"/>
      <c r="E950" s="81"/>
      <c r="F950" s="81"/>
      <c r="G950" s="105"/>
      <c r="H950" s="81"/>
      <c r="I950" s="81"/>
      <c r="J950" s="82"/>
      <c r="K950" s="81"/>
      <c r="L950" s="81"/>
      <c r="M950" s="82"/>
      <c r="N950" s="81"/>
      <c r="O950" s="82"/>
      <c r="P950" s="81"/>
      <c r="Q950" s="82"/>
      <c r="R950" s="81"/>
      <c r="S950" s="105"/>
      <c r="T950" s="81"/>
      <c r="U950" s="81"/>
      <c r="V950" s="81"/>
      <c r="W950" s="81"/>
      <c r="X950" s="81"/>
      <c r="Y950" s="81"/>
      <c r="Z950" s="81"/>
    </row>
    <row r="951" spans="1:26" ht="24" customHeight="1" x14ac:dyDescent="0.5">
      <c r="A951" s="81"/>
      <c r="B951" s="81"/>
      <c r="C951" s="81"/>
      <c r="D951" s="81"/>
      <c r="E951" s="81"/>
      <c r="F951" s="81"/>
      <c r="G951" s="105"/>
      <c r="H951" s="81"/>
      <c r="I951" s="81"/>
      <c r="J951" s="82"/>
      <c r="K951" s="81"/>
      <c r="L951" s="81"/>
      <c r="M951" s="82"/>
      <c r="N951" s="81"/>
      <c r="O951" s="82"/>
      <c r="P951" s="81"/>
      <c r="Q951" s="82"/>
      <c r="R951" s="81"/>
      <c r="S951" s="105"/>
      <c r="T951" s="81"/>
      <c r="U951" s="81"/>
      <c r="V951" s="81"/>
      <c r="W951" s="81"/>
      <c r="X951" s="81"/>
      <c r="Y951" s="81"/>
      <c r="Z951" s="81"/>
    </row>
    <row r="952" spans="1:26" ht="24" customHeight="1" x14ac:dyDescent="0.5">
      <c r="A952" s="81"/>
      <c r="B952" s="81"/>
      <c r="C952" s="81"/>
      <c r="D952" s="81"/>
      <c r="E952" s="81"/>
      <c r="F952" s="81"/>
      <c r="G952" s="105"/>
      <c r="H952" s="81"/>
      <c r="I952" s="81"/>
      <c r="J952" s="82"/>
      <c r="K952" s="81"/>
      <c r="L952" s="81"/>
      <c r="M952" s="82"/>
      <c r="N952" s="81"/>
      <c r="O952" s="82"/>
      <c r="P952" s="81"/>
      <c r="Q952" s="82"/>
      <c r="R952" s="81"/>
      <c r="S952" s="105"/>
      <c r="T952" s="81"/>
      <c r="U952" s="81"/>
      <c r="V952" s="81"/>
      <c r="W952" s="81"/>
      <c r="X952" s="81"/>
      <c r="Y952" s="81"/>
      <c r="Z952" s="81"/>
    </row>
    <row r="953" spans="1:26" ht="24" customHeight="1" x14ac:dyDescent="0.5">
      <c r="A953" s="81"/>
      <c r="B953" s="81"/>
      <c r="C953" s="81"/>
      <c r="D953" s="81"/>
      <c r="E953" s="81"/>
      <c r="F953" s="81"/>
      <c r="G953" s="105"/>
      <c r="H953" s="81"/>
      <c r="I953" s="81"/>
      <c r="J953" s="82"/>
      <c r="K953" s="81"/>
      <c r="L953" s="81"/>
      <c r="M953" s="82"/>
      <c r="N953" s="81"/>
      <c r="O953" s="82"/>
      <c r="P953" s="81"/>
      <c r="Q953" s="82"/>
      <c r="R953" s="81"/>
      <c r="S953" s="105"/>
      <c r="T953" s="81"/>
      <c r="U953" s="81"/>
      <c r="V953" s="81"/>
      <c r="W953" s="81"/>
      <c r="X953" s="81"/>
      <c r="Y953" s="81"/>
      <c r="Z953" s="81"/>
    </row>
    <row r="954" spans="1:26" ht="24" customHeight="1" x14ac:dyDescent="0.5">
      <c r="A954" s="81"/>
      <c r="B954" s="81"/>
      <c r="C954" s="81"/>
      <c r="D954" s="81"/>
      <c r="E954" s="81"/>
      <c r="F954" s="81"/>
      <c r="G954" s="105"/>
      <c r="H954" s="81"/>
      <c r="I954" s="81"/>
      <c r="J954" s="82"/>
      <c r="K954" s="81"/>
      <c r="L954" s="81"/>
      <c r="M954" s="82"/>
      <c r="N954" s="81"/>
      <c r="O954" s="82"/>
      <c r="P954" s="81"/>
      <c r="Q954" s="82"/>
      <c r="R954" s="81"/>
      <c r="S954" s="105"/>
      <c r="T954" s="81"/>
      <c r="U954" s="81"/>
      <c r="V954" s="81"/>
      <c r="W954" s="81"/>
      <c r="X954" s="81"/>
      <c r="Y954" s="81"/>
      <c r="Z954" s="81"/>
    </row>
    <row r="955" spans="1:26" ht="24" customHeight="1" x14ac:dyDescent="0.5">
      <c r="A955" s="81"/>
      <c r="B955" s="81"/>
      <c r="C955" s="81"/>
      <c r="D955" s="81"/>
      <c r="E955" s="81"/>
      <c r="F955" s="81"/>
      <c r="G955" s="105"/>
      <c r="H955" s="81"/>
      <c r="I955" s="81"/>
      <c r="J955" s="82"/>
      <c r="K955" s="81"/>
      <c r="L955" s="81"/>
      <c r="M955" s="82"/>
      <c r="N955" s="81"/>
      <c r="O955" s="82"/>
      <c r="P955" s="81"/>
      <c r="Q955" s="82"/>
      <c r="R955" s="81"/>
      <c r="S955" s="105"/>
      <c r="T955" s="81"/>
      <c r="U955" s="81"/>
      <c r="V955" s="81"/>
      <c r="W955" s="81"/>
      <c r="X955" s="81"/>
      <c r="Y955" s="81"/>
      <c r="Z955" s="81"/>
    </row>
    <row r="956" spans="1:26" ht="24" customHeight="1" x14ac:dyDescent="0.5">
      <c r="A956" s="81"/>
      <c r="B956" s="81"/>
      <c r="C956" s="81"/>
      <c r="D956" s="81"/>
      <c r="E956" s="81"/>
      <c r="F956" s="81"/>
      <c r="G956" s="105"/>
      <c r="H956" s="81"/>
      <c r="I956" s="81"/>
      <c r="J956" s="82"/>
      <c r="K956" s="81"/>
      <c r="L956" s="81"/>
      <c r="M956" s="82"/>
      <c r="N956" s="81"/>
      <c r="O956" s="82"/>
      <c r="P956" s="81"/>
      <c r="Q956" s="82"/>
      <c r="R956" s="81"/>
      <c r="S956" s="105"/>
      <c r="T956" s="81"/>
      <c r="U956" s="81"/>
      <c r="V956" s="81"/>
      <c r="W956" s="81"/>
      <c r="X956" s="81"/>
      <c r="Y956" s="81"/>
      <c r="Z956" s="81"/>
    </row>
    <row r="957" spans="1:26" ht="24" customHeight="1" x14ac:dyDescent="0.5">
      <c r="A957" s="81"/>
      <c r="B957" s="81"/>
      <c r="C957" s="81"/>
      <c r="D957" s="81"/>
      <c r="E957" s="81"/>
      <c r="F957" s="81"/>
      <c r="G957" s="105"/>
      <c r="H957" s="81"/>
      <c r="I957" s="81"/>
      <c r="J957" s="82"/>
      <c r="K957" s="81"/>
      <c r="L957" s="81"/>
      <c r="M957" s="82"/>
      <c r="N957" s="81"/>
      <c r="O957" s="82"/>
      <c r="P957" s="81"/>
      <c r="Q957" s="82"/>
      <c r="R957" s="81"/>
      <c r="S957" s="105"/>
      <c r="T957" s="81"/>
      <c r="U957" s="81"/>
      <c r="V957" s="81"/>
      <c r="W957" s="81"/>
      <c r="X957" s="81"/>
      <c r="Y957" s="81"/>
      <c r="Z957" s="81"/>
    </row>
    <row r="958" spans="1:26" ht="24" customHeight="1" x14ac:dyDescent="0.5">
      <c r="A958" s="81"/>
      <c r="B958" s="81"/>
      <c r="C958" s="81"/>
      <c r="D958" s="81"/>
      <c r="E958" s="81"/>
      <c r="F958" s="81"/>
      <c r="G958" s="105"/>
      <c r="H958" s="81"/>
      <c r="I958" s="81"/>
      <c r="J958" s="82"/>
      <c r="K958" s="81"/>
      <c r="L958" s="81"/>
      <c r="M958" s="82"/>
      <c r="N958" s="81"/>
      <c r="O958" s="82"/>
      <c r="P958" s="81"/>
      <c r="Q958" s="82"/>
      <c r="R958" s="81"/>
      <c r="S958" s="105"/>
      <c r="T958" s="81"/>
      <c r="U958" s="81"/>
      <c r="V958" s="81"/>
      <c r="W958" s="81"/>
      <c r="X958" s="81"/>
      <c r="Y958" s="81"/>
      <c r="Z958" s="81"/>
    </row>
    <row r="959" spans="1:26" ht="24" customHeight="1" x14ac:dyDescent="0.5">
      <c r="A959" s="81"/>
      <c r="B959" s="81"/>
      <c r="C959" s="81"/>
      <c r="D959" s="81"/>
      <c r="E959" s="81"/>
      <c r="F959" s="81"/>
      <c r="G959" s="105"/>
      <c r="H959" s="81"/>
      <c r="I959" s="81"/>
      <c r="J959" s="82"/>
      <c r="K959" s="81"/>
      <c r="L959" s="81"/>
      <c r="M959" s="82"/>
      <c r="N959" s="81"/>
      <c r="O959" s="82"/>
      <c r="P959" s="81"/>
      <c r="Q959" s="82"/>
      <c r="R959" s="81"/>
      <c r="S959" s="105"/>
      <c r="T959" s="81"/>
      <c r="U959" s="81"/>
      <c r="V959" s="81"/>
      <c r="W959" s="81"/>
      <c r="X959" s="81"/>
      <c r="Y959" s="81"/>
      <c r="Z959" s="81"/>
    </row>
    <row r="960" spans="1:26" ht="24" customHeight="1" x14ac:dyDescent="0.5">
      <c r="A960" s="81"/>
      <c r="B960" s="81"/>
      <c r="C960" s="81"/>
      <c r="D960" s="81"/>
      <c r="E960" s="81"/>
      <c r="F960" s="81"/>
      <c r="G960" s="105"/>
      <c r="H960" s="81"/>
      <c r="I960" s="81"/>
      <c r="J960" s="82"/>
      <c r="K960" s="81"/>
      <c r="L960" s="81"/>
      <c r="M960" s="82"/>
      <c r="N960" s="81"/>
      <c r="O960" s="82"/>
      <c r="P960" s="81"/>
      <c r="Q960" s="82"/>
      <c r="R960" s="81"/>
      <c r="S960" s="105"/>
      <c r="T960" s="81"/>
      <c r="U960" s="81"/>
      <c r="V960" s="81"/>
      <c r="W960" s="81"/>
      <c r="X960" s="81"/>
      <c r="Y960" s="81"/>
      <c r="Z960" s="81"/>
    </row>
    <row r="961" spans="1:26" ht="24" customHeight="1" x14ac:dyDescent="0.5">
      <c r="A961" s="81"/>
      <c r="B961" s="81"/>
      <c r="C961" s="81"/>
      <c r="D961" s="81"/>
      <c r="E961" s="81"/>
      <c r="F961" s="81"/>
      <c r="G961" s="105"/>
      <c r="H961" s="81"/>
      <c r="I961" s="81"/>
      <c r="J961" s="82"/>
      <c r="K961" s="81"/>
      <c r="L961" s="81"/>
      <c r="M961" s="82"/>
      <c r="N961" s="81"/>
      <c r="O961" s="82"/>
      <c r="P961" s="81"/>
      <c r="Q961" s="82"/>
      <c r="R961" s="81"/>
      <c r="S961" s="105"/>
      <c r="T961" s="81"/>
      <c r="U961" s="81"/>
      <c r="V961" s="81"/>
      <c r="W961" s="81"/>
      <c r="X961" s="81"/>
      <c r="Y961" s="81"/>
      <c r="Z961" s="81"/>
    </row>
    <row r="962" spans="1:26" ht="24" customHeight="1" x14ac:dyDescent="0.5">
      <c r="A962" s="81"/>
      <c r="B962" s="81"/>
      <c r="C962" s="81"/>
      <c r="D962" s="81"/>
      <c r="E962" s="81"/>
      <c r="F962" s="81"/>
      <c r="G962" s="105"/>
      <c r="H962" s="81"/>
      <c r="I962" s="81"/>
      <c r="J962" s="82"/>
      <c r="K962" s="81"/>
      <c r="L962" s="81"/>
      <c r="M962" s="82"/>
      <c r="N962" s="81"/>
      <c r="O962" s="82"/>
      <c r="P962" s="81"/>
      <c r="Q962" s="82"/>
      <c r="R962" s="81"/>
      <c r="S962" s="105"/>
      <c r="T962" s="81"/>
      <c r="U962" s="81"/>
      <c r="V962" s="81"/>
      <c r="W962" s="81"/>
      <c r="X962" s="81"/>
      <c r="Y962" s="81"/>
      <c r="Z962" s="81"/>
    </row>
    <row r="963" spans="1:26" ht="24" customHeight="1" x14ac:dyDescent="0.5">
      <c r="A963" s="81"/>
      <c r="B963" s="81"/>
      <c r="C963" s="81"/>
      <c r="D963" s="81"/>
      <c r="E963" s="81"/>
      <c r="F963" s="81"/>
      <c r="G963" s="105"/>
      <c r="H963" s="81"/>
      <c r="I963" s="81"/>
      <c r="J963" s="82"/>
      <c r="K963" s="81"/>
      <c r="L963" s="81"/>
      <c r="M963" s="82"/>
      <c r="N963" s="81"/>
      <c r="O963" s="82"/>
      <c r="P963" s="81"/>
      <c r="Q963" s="82"/>
      <c r="R963" s="81"/>
      <c r="S963" s="105"/>
      <c r="T963" s="81"/>
      <c r="U963" s="81"/>
      <c r="V963" s="81"/>
      <c r="W963" s="81"/>
      <c r="X963" s="81"/>
      <c r="Y963" s="81"/>
      <c r="Z963" s="81"/>
    </row>
    <row r="964" spans="1:26" ht="24" customHeight="1" x14ac:dyDescent="0.5">
      <c r="A964" s="81"/>
      <c r="B964" s="81"/>
      <c r="C964" s="81"/>
      <c r="D964" s="81"/>
      <c r="E964" s="81"/>
      <c r="F964" s="81"/>
      <c r="G964" s="105"/>
      <c r="H964" s="81"/>
      <c r="I964" s="81"/>
      <c r="J964" s="82"/>
      <c r="K964" s="81"/>
      <c r="L964" s="81"/>
      <c r="M964" s="82"/>
      <c r="N964" s="81"/>
      <c r="O964" s="82"/>
      <c r="P964" s="81"/>
      <c r="Q964" s="82"/>
      <c r="R964" s="81"/>
      <c r="S964" s="105"/>
      <c r="T964" s="81"/>
      <c r="U964" s="81"/>
      <c r="V964" s="81"/>
      <c r="W964" s="81"/>
      <c r="X964" s="81"/>
      <c r="Y964" s="81"/>
      <c r="Z964" s="81"/>
    </row>
    <row r="965" spans="1:26" ht="24" customHeight="1" x14ac:dyDescent="0.5">
      <c r="A965" s="81"/>
      <c r="B965" s="81"/>
      <c r="C965" s="81"/>
      <c r="D965" s="81"/>
      <c r="E965" s="81"/>
      <c r="F965" s="81"/>
      <c r="G965" s="105"/>
      <c r="H965" s="81"/>
      <c r="I965" s="81"/>
      <c r="J965" s="82"/>
      <c r="K965" s="81"/>
      <c r="L965" s="81"/>
      <c r="M965" s="82"/>
      <c r="N965" s="81"/>
      <c r="O965" s="82"/>
      <c r="P965" s="81"/>
      <c r="Q965" s="82"/>
      <c r="R965" s="81"/>
      <c r="S965" s="105"/>
      <c r="T965" s="81"/>
      <c r="U965" s="81"/>
      <c r="V965" s="81"/>
      <c r="W965" s="81"/>
      <c r="X965" s="81"/>
      <c r="Y965" s="81"/>
      <c r="Z965" s="81"/>
    </row>
    <row r="966" spans="1:26" ht="24" customHeight="1" x14ac:dyDescent="0.5">
      <c r="A966" s="81"/>
      <c r="B966" s="81"/>
      <c r="C966" s="81"/>
      <c r="D966" s="81"/>
      <c r="E966" s="81"/>
      <c r="F966" s="81"/>
      <c r="G966" s="105"/>
      <c r="H966" s="81"/>
      <c r="I966" s="81"/>
      <c r="J966" s="82"/>
      <c r="K966" s="81"/>
      <c r="L966" s="81"/>
      <c r="M966" s="82"/>
      <c r="N966" s="81"/>
      <c r="O966" s="82"/>
      <c r="P966" s="81"/>
      <c r="Q966" s="82"/>
      <c r="R966" s="81"/>
      <c r="S966" s="105"/>
      <c r="T966" s="81"/>
      <c r="U966" s="81"/>
      <c r="V966" s="81"/>
      <c r="W966" s="81"/>
      <c r="X966" s="81"/>
      <c r="Y966" s="81"/>
      <c r="Z966" s="81"/>
    </row>
    <row r="967" spans="1:26" ht="24" customHeight="1" x14ac:dyDescent="0.5">
      <c r="A967" s="81"/>
      <c r="B967" s="81"/>
      <c r="C967" s="81"/>
      <c r="D967" s="81"/>
      <c r="E967" s="81"/>
      <c r="F967" s="81"/>
      <c r="G967" s="105"/>
      <c r="H967" s="81"/>
      <c r="I967" s="81"/>
      <c r="J967" s="82"/>
      <c r="K967" s="81"/>
      <c r="L967" s="81"/>
      <c r="M967" s="82"/>
      <c r="N967" s="81"/>
      <c r="O967" s="82"/>
      <c r="P967" s="81"/>
      <c r="Q967" s="82"/>
      <c r="R967" s="81"/>
      <c r="S967" s="105"/>
      <c r="T967" s="81"/>
      <c r="U967" s="81"/>
      <c r="V967" s="81"/>
      <c r="W967" s="81"/>
      <c r="X967" s="81"/>
      <c r="Y967" s="81"/>
      <c r="Z967" s="81"/>
    </row>
    <row r="968" spans="1:26" ht="24" customHeight="1" x14ac:dyDescent="0.5">
      <c r="A968" s="81"/>
      <c r="B968" s="81"/>
      <c r="C968" s="81"/>
      <c r="D968" s="81"/>
      <c r="E968" s="81"/>
      <c r="F968" s="81"/>
      <c r="G968" s="105"/>
      <c r="H968" s="81"/>
      <c r="I968" s="81"/>
      <c r="J968" s="82"/>
      <c r="K968" s="81"/>
      <c r="L968" s="81"/>
      <c r="M968" s="82"/>
      <c r="N968" s="81"/>
      <c r="O968" s="82"/>
      <c r="P968" s="81"/>
      <c r="Q968" s="82"/>
      <c r="R968" s="81"/>
      <c r="S968" s="105"/>
      <c r="T968" s="81"/>
      <c r="U968" s="81"/>
      <c r="V968" s="81"/>
      <c r="W968" s="81"/>
      <c r="X968" s="81"/>
      <c r="Y968" s="81"/>
      <c r="Z968" s="81"/>
    </row>
    <row r="969" spans="1:26" ht="24" customHeight="1" x14ac:dyDescent="0.5">
      <c r="A969" s="81"/>
      <c r="B969" s="81"/>
      <c r="C969" s="81"/>
      <c r="D969" s="81"/>
      <c r="E969" s="81"/>
      <c r="F969" s="81"/>
      <c r="G969" s="105"/>
      <c r="H969" s="81"/>
      <c r="I969" s="81"/>
      <c r="J969" s="82"/>
      <c r="K969" s="81"/>
      <c r="L969" s="81"/>
      <c r="M969" s="82"/>
      <c r="N969" s="81"/>
      <c r="O969" s="82"/>
      <c r="P969" s="81"/>
      <c r="Q969" s="82"/>
      <c r="R969" s="81"/>
      <c r="S969" s="105"/>
      <c r="T969" s="81"/>
      <c r="U969" s="81"/>
      <c r="V969" s="81"/>
      <c r="W969" s="81"/>
      <c r="X969" s="81"/>
      <c r="Y969" s="81"/>
      <c r="Z969" s="81"/>
    </row>
    <row r="970" spans="1:26" ht="24" customHeight="1" x14ac:dyDescent="0.5">
      <c r="A970" s="81"/>
      <c r="B970" s="81"/>
      <c r="C970" s="81"/>
      <c r="D970" s="81"/>
      <c r="E970" s="81"/>
      <c r="F970" s="81"/>
      <c r="G970" s="105"/>
      <c r="H970" s="81"/>
      <c r="I970" s="81"/>
      <c r="J970" s="82"/>
      <c r="K970" s="81"/>
      <c r="L970" s="81"/>
      <c r="M970" s="82"/>
      <c r="N970" s="81"/>
      <c r="O970" s="82"/>
      <c r="P970" s="81"/>
      <c r="Q970" s="82"/>
      <c r="R970" s="81"/>
      <c r="S970" s="105"/>
      <c r="T970" s="81"/>
      <c r="U970" s="81"/>
      <c r="V970" s="81"/>
      <c r="W970" s="81"/>
      <c r="X970" s="81"/>
      <c r="Y970" s="81"/>
      <c r="Z970" s="81"/>
    </row>
    <row r="971" spans="1:26" ht="24" customHeight="1" x14ac:dyDescent="0.5">
      <c r="A971" s="81"/>
      <c r="B971" s="81"/>
      <c r="C971" s="81"/>
      <c r="D971" s="81"/>
      <c r="E971" s="81"/>
      <c r="F971" s="81"/>
      <c r="G971" s="105"/>
      <c r="H971" s="81"/>
      <c r="I971" s="81"/>
      <c r="J971" s="82"/>
      <c r="K971" s="81"/>
      <c r="L971" s="81"/>
      <c r="M971" s="82"/>
      <c r="N971" s="81"/>
      <c r="O971" s="82"/>
      <c r="P971" s="81"/>
      <c r="Q971" s="82"/>
      <c r="R971" s="81"/>
      <c r="S971" s="105"/>
      <c r="T971" s="81"/>
      <c r="U971" s="81"/>
      <c r="V971" s="81"/>
      <c r="W971" s="81"/>
      <c r="X971" s="81"/>
      <c r="Y971" s="81"/>
      <c r="Z971" s="81"/>
    </row>
    <row r="972" spans="1:26" ht="24" customHeight="1" x14ac:dyDescent="0.5">
      <c r="A972" s="81"/>
      <c r="B972" s="81"/>
      <c r="C972" s="81"/>
      <c r="D972" s="81"/>
      <c r="E972" s="81"/>
      <c r="F972" s="81"/>
      <c r="G972" s="105"/>
      <c r="H972" s="81"/>
      <c r="I972" s="81"/>
      <c r="J972" s="82"/>
      <c r="K972" s="81"/>
      <c r="L972" s="81"/>
      <c r="M972" s="82"/>
      <c r="N972" s="81"/>
      <c r="O972" s="82"/>
      <c r="P972" s="81"/>
      <c r="Q972" s="82"/>
      <c r="R972" s="81"/>
      <c r="S972" s="105"/>
      <c r="T972" s="81"/>
      <c r="U972" s="81"/>
      <c r="V972" s="81"/>
      <c r="W972" s="81"/>
      <c r="X972" s="81"/>
      <c r="Y972" s="81"/>
      <c r="Z972" s="81"/>
    </row>
    <row r="973" spans="1:26" ht="24" customHeight="1" x14ac:dyDescent="0.5">
      <c r="A973" s="81"/>
      <c r="B973" s="81"/>
      <c r="C973" s="81"/>
      <c r="D973" s="81"/>
      <c r="E973" s="81"/>
      <c r="F973" s="81"/>
      <c r="G973" s="105"/>
      <c r="H973" s="81"/>
      <c r="I973" s="81"/>
      <c r="J973" s="82"/>
      <c r="K973" s="81"/>
      <c r="L973" s="81"/>
      <c r="M973" s="82"/>
      <c r="N973" s="81"/>
      <c r="O973" s="82"/>
      <c r="P973" s="81"/>
      <c r="Q973" s="82"/>
      <c r="R973" s="81"/>
      <c r="S973" s="105"/>
      <c r="T973" s="81"/>
      <c r="U973" s="81"/>
      <c r="V973" s="81"/>
      <c r="W973" s="81"/>
      <c r="X973" s="81"/>
      <c r="Y973" s="81"/>
      <c r="Z973" s="81"/>
    </row>
    <row r="974" spans="1:26" ht="24" customHeight="1" x14ac:dyDescent="0.5">
      <c r="A974" s="81"/>
      <c r="B974" s="81"/>
      <c r="C974" s="81"/>
      <c r="D974" s="81"/>
      <c r="E974" s="81"/>
      <c r="F974" s="81"/>
      <c r="G974" s="105"/>
      <c r="H974" s="81"/>
      <c r="I974" s="81"/>
      <c r="J974" s="82"/>
      <c r="K974" s="81"/>
      <c r="L974" s="81"/>
      <c r="M974" s="82"/>
      <c r="N974" s="81"/>
      <c r="O974" s="82"/>
      <c r="P974" s="81"/>
      <c r="Q974" s="82"/>
      <c r="R974" s="81"/>
      <c r="S974" s="105"/>
      <c r="T974" s="81"/>
      <c r="U974" s="81"/>
      <c r="V974" s="81"/>
      <c r="W974" s="81"/>
      <c r="X974" s="81"/>
      <c r="Y974" s="81"/>
      <c r="Z974" s="81"/>
    </row>
    <row r="975" spans="1:26" ht="24" customHeight="1" x14ac:dyDescent="0.5">
      <c r="A975" s="81"/>
      <c r="B975" s="81"/>
      <c r="C975" s="81"/>
      <c r="D975" s="81"/>
      <c r="E975" s="81"/>
      <c r="F975" s="81"/>
      <c r="G975" s="105"/>
      <c r="H975" s="81"/>
      <c r="I975" s="81"/>
      <c r="J975" s="82"/>
      <c r="K975" s="81"/>
      <c r="L975" s="81"/>
      <c r="M975" s="82"/>
      <c r="N975" s="81"/>
      <c r="O975" s="82"/>
      <c r="P975" s="81"/>
      <c r="Q975" s="82"/>
      <c r="R975" s="81"/>
      <c r="S975" s="105"/>
      <c r="T975" s="81"/>
      <c r="U975" s="81"/>
      <c r="V975" s="81"/>
      <c r="W975" s="81"/>
      <c r="X975" s="81"/>
      <c r="Y975" s="81"/>
      <c r="Z975" s="81"/>
    </row>
    <row r="976" spans="1:26" ht="24" customHeight="1" x14ac:dyDescent="0.5">
      <c r="A976" s="81"/>
      <c r="B976" s="81"/>
      <c r="C976" s="81"/>
      <c r="D976" s="81"/>
      <c r="E976" s="81"/>
      <c r="F976" s="81"/>
      <c r="G976" s="105"/>
      <c r="H976" s="81"/>
      <c r="I976" s="81"/>
      <c r="J976" s="82"/>
      <c r="K976" s="81"/>
      <c r="L976" s="81"/>
      <c r="M976" s="82"/>
      <c r="N976" s="81"/>
      <c r="O976" s="82"/>
      <c r="P976" s="81"/>
      <c r="Q976" s="82"/>
      <c r="R976" s="81"/>
      <c r="S976" s="105"/>
      <c r="T976" s="81"/>
      <c r="U976" s="81"/>
      <c r="V976" s="81"/>
      <c r="W976" s="81"/>
      <c r="X976" s="81"/>
      <c r="Y976" s="81"/>
      <c r="Z976" s="81"/>
    </row>
    <row r="977" spans="1:26" ht="24" customHeight="1" x14ac:dyDescent="0.5">
      <c r="A977" s="81"/>
      <c r="B977" s="81"/>
      <c r="C977" s="81"/>
      <c r="D977" s="81"/>
      <c r="E977" s="81"/>
      <c r="F977" s="81"/>
      <c r="G977" s="105"/>
      <c r="H977" s="81"/>
      <c r="I977" s="81"/>
      <c r="J977" s="82"/>
      <c r="K977" s="81"/>
      <c r="L977" s="81"/>
      <c r="M977" s="82"/>
      <c r="N977" s="81"/>
      <c r="O977" s="82"/>
      <c r="P977" s="81"/>
      <c r="Q977" s="82"/>
      <c r="R977" s="81"/>
      <c r="S977" s="105"/>
      <c r="T977" s="81"/>
      <c r="U977" s="81"/>
      <c r="V977" s="81"/>
      <c r="W977" s="81"/>
      <c r="X977" s="81"/>
      <c r="Y977" s="81"/>
      <c r="Z977" s="81"/>
    </row>
    <row r="978" spans="1:26" ht="24" customHeight="1" x14ac:dyDescent="0.5">
      <c r="A978" s="81"/>
      <c r="B978" s="81"/>
      <c r="C978" s="81"/>
      <c r="D978" s="81"/>
      <c r="E978" s="81"/>
      <c r="F978" s="81"/>
      <c r="G978" s="105"/>
      <c r="H978" s="81"/>
      <c r="I978" s="81"/>
      <c r="J978" s="82"/>
      <c r="K978" s="81"/>
      <c r="L978" s="81"/>
      <c r="M978" s="82"/>
      <c r="N978" s="81"/>
      <c r="O978" s="82"/>
      <c r="P978" s="81"/>
      <c r="Q978" s="82"/>
      <c r="R978" s="81"/>
      <c r="S978" s="105"/>
      <c r="T978" s="81"/>
      <c r="U978" s="81"/>
      <c r="V978" s="81"/>
      <c r="W978" s="81"/>
      <c r="X978" s="81"/>
      <c r="Y978" s="81"/>
      <c r="Z978" s="81"/>
    </row>
    <row r="979" spans="1:26" ht="24" customHeight="1" x14ac:dyDescent="0.5">
      <c r="A979" s="81"/>
      <c r="B979" s="81"/>
      <c r="C979" s="81"/>
      <c r="D979" s="81"/>
      <c r="E979" s="81"/>
      <c r="F979" s="81"/>
      <c r="G979" s="105"/>
      <c r="H979" s="81"/>
      <c r="I979" s="81"/>
      <c r="J979" s="82"/>
      <c r="K979" s="81"/>
      <c r="L979" s="81"/>
      <c r="M979" s="82"/>
      <c r="N979" s="81"/>
      <c r="O979" s="82"/>
      <c r="P979" s="81"/>
      <c r="Q979" s="82"/>
      <c r="R979" s="81"/>
      <c r="S979" s="105"/>
      <c r="T979" s="81"/>
      <c r="U979" s="81"/>
      <c r="V979" s="81"/>
      <c r="W979" s="81"/>
      <c r="X979" s="81"/>
      <c r="Y979" s="81"/>
      <c r="Z979" s="81"/>
    </row>
    <row r="980" spans="1:26" ht="24" customHeight="1" x14ac:dyDescent="0.5">
      <c r="A980" s="81"/>
      <c r="B980" s="81"/>
      <c r="C980" s="81"/>
      <c r="D980" s="81"/>
      <c r="E980" s="81"/>
      <c r="F980" s="81"/>
      <c r="G980" s="105"/>
      <c r="H980" s="81"/>
      <c r="I980" s="81"/>
      <c r="J980" s="82"/>
      <c r="K980" s="81"/>
      <c r="L980" s="81"/>
      <c r="M980" s="82"/>
      <c r="N980" s="81"/>
      <c r="O980" s="82"/>
      <c r="P980" s="81"/>
      <c r="Q980" s="82"/>
      <c r="R980" s="81"/>
      <c r="S980" s="105"/>
      <c r="T980" s="81"/>
      <c r="U980" s="81"/>
      <c r="V980" s="81"/>
      <c r="W980" s="81"/>
      <c r="X980" s="81"/>
      <c r="Y980" s="81"/>
      <c r="Z980" s="81"/>
    </row>
    <row r="981" spans="1:26" ht="24" customHeight="1" x14ac:dyDescent="0.5">
      <c r="A981" s="81"/>
      <c r="B981" s="81"/>
      <c r="C981" s="81"/>
      <c r="D981" s="81"/>
      <c r="E981" s="81"/>
      <c r="F981" s="81"/>
      <c r="G981" s="105"/>
      <c r="H981" s="81"/>
      <c r="I981" s="81"/>
      <c r="J981" s="82"/>
      <c r="K981" s="81"/>
      <c r="L981" s="81"/>
      <c r="M981" s="82"/>
      <c r="N981" s="81"/>
      <c r="O981" s="82"/>
      <c r="P981" s="81"/>
      <c r="Q981" s="82"/>
      <c r="R981" s="81"/>
      <c r="S981" s="105"/>
      <c r="T981" s="81"/>
      <c r="U981" s="81"/>
      <c r="V981" s="81"/>
      <c r="W981" s="81"/>
      <c r="X981" s="81"/>
      <c r="Y981" s="81"/>
      <c r="Z981" s="81"/>
    </row>
    <row r="982" spans="1:26" ht="24" customHeight="1" x14ac:dyDescent="0.5">
      <c r="A982" s="81"/>
      <c r="B982" s="81"/>
      <c r="C982" s="81"/>
      <c r="D982" s="81"/>
      <c r="E982" s="81"/>
      <c r="F982" s="81"/>
      <c r="G982" s="105"/>
      <c r="H982" s="81"/>
      <c r="I982" s="81"/>
      <c r="J982" s="82"/>
      <c r="K982" s="81"/>
      <c r="L982" s="81"/>
      <c r="M982" s="82"/>
      <c r="N982" s="81"/>
      <c r="O982" s="82"/>
      <c r="P982" s="81"/>
      <c r="Q982" s="82"/>
      <c r="R982" s="81"/>
      <c r="S982" s="105"/>
      <c r="T982" s="81"/>
      <c r="U982" s="81"/>
      <c r="V982" s="81"/>
      <c r="W982" s="81"/>
      <c r="X982" s="81"/>
      <c r="Y982" s="81"/>
      <c r="Z982" s="81"/>
    </row>
    <row r="983" spans="1:26" ht="24" customHeight="1" x14ac:dyDescent="0.5">
      <c r="A983" s="81"/>
      <c r="B983" s="81"/>
      <c r="C983" s="81"/>
      <c r="D983" s="81"/>
      <c r="E983" s="81"/>
      <c r="F983" s="81"/>
      <c r="G983" s="105"/>
      <c r="H983" s="81"/>
      <c r="I983" s="81"/>
      <c r="J983" s="82"/>
      <c r="K983" s="81"/>
      <c r="L983" s="81"/>
      <c r="M983" s="82"/>
      <c r="N983" s="81"/>
      <c r="O983" s="82"/>
      <c r="P983" s="81"/>
      <c r="Q983" s="82"/>
      <c r="R983" s="81"/>
      <c r="S983" s="105"/>
      <c r="T983" s="81"/>
      <c r="U983" s="81"/>
      <c r="V983" s="81"/>
      <c r="W983" s="81"/>
      <c r="X983" s="81"/>
      <c r="Y983" s="81"/>
      <c r="Z983" s="81"/>
    </row>
    <row r="984" spans="1:26" ht="24" customHeight="1" x14ac:dyDescent="0.5">
      <c r="A984" s="81"/>
      <c r="B984" s="81"/>
      <c r="C984" s="81"/>
      <c r="D984" s="81"/>
      <c r="E984" s="81"/>
      <c r="F984" s="81"/>
      <c r="G984" s="105"/>
      <c r="H984" s="81"/>
      <c r="I984" s="81"/>
      <c r="J984" s="82"/>
      <c r="K984" s="81"/>
      <c r="L984" s="81"/>
      <c r="M984" s="82"/>
      <c r="N984" s="81"/>
      <c r="O984" s="82"/>
      <c r="P984" s="81"/>
      <c r="Q984" s="82"/>
      <c r="R984" s="81"/>
      <c r="S984" s="105"/>
      <c r="T984" s="81"/>
      <c r="U984" s="81"/>
      <c r="V984" s="81"/>
      <c r="W984" s="81"/>
      <c r="X984" s="81"/>
      <c r="Y984" s="81"/>
      <c r="Z984" s="81"/>
    </row>
    <row r="985" spans="1:26" ht="24" customHeight="1" x14ac:dyDescent="0.5">
      <c r="A985" s="81"/>
      <c r="B985" s="81"/>
      <c r="C985" s="81"/>
      <c r="D985" s="81"/>
      <c r="E985" s="81"/>
      <c r="F985" s="81"/>
      <c r="G985" s="105"/>
      <c r="H985" s="81"/>
      <c r="I985" s="81"/>
      <c r="J985" s="82"/>
      <c r="K985" s="81"/>
      <c r="L985" s="81"/>
      <c r="M985" s="82"/>
      <c r="N985" s="81"/>
      <c r="O985" s="82"/>
      <c r="P985" s="81"/>
      <c r="Q985" s="82"/>
      <c r="R985" s="81"/>
      <c r="S985" s="105"/>
      <c r="T985" s="81"/>
      <c r="U985" s="81"/>
      <c r="V985" s="81"/>
      <c r="W985" s="81"/>
      <c r="X985" s="81"/>
      <c r="Y985" s="81"/>
      <c r="Z985" s="81"/>
    </row>
    <row r="986" spans="1:26" ht="24" customHeight="1" x14ac:dyDescent="0.5">
      <c r="A986" s="81"/>
      <c r="B986" s="81"/>
      <c r="C986" s="81"/>
      <c r="D986" s="81"/>
      <c r="E986" s="81"/>
      <c r="F986" s="81"/>
      <c r="G986" s="105"/>
      <c r="H986" s="81"/>
      <c r="I986" s="81"/>
      <c r="J986" s="82"/>
      <c r="K986" s="81"/>
      <c r="L986" s="81"/>
      <c r="M986" s="82"/>
      <c r="N986" s="81"/>
      <c r="O986" s="82"/>
      <c r="P986" s="81"/>
      <c r="Q986" s="82"/>
      <c r="R986" s="81"/>
      <c r="S986" s="105"/>
      <c r="T986" s="81"/>
      <c r="U986" s="81"/>
      <c r="V986" s="81"/>
      <c r="W986" s="81"/>
      <c r="X986" s="81"/>
      <c r="Y986" s="81"/>
      <c r="Z986" s="81"/>
    </row>
    <row r="987" spans="1:26" ht="24" customHeight="1" x14ac:dyDescent="0.5">
      <c r="A987" s="81"/>
      <c r="B987" s="81"/>
      <c r="C987" s="81"/>
      <c r="D987" s="81"/>
      <c r="E987" s="81"/>
      <c r="F987" s="81"/>
      <c r="G987" s="105"/>
      <c r="H987" s="81"/>
      <c r="I987" s="81"/>
      <c r="J987" s="82"/>
      <c r="K987" s="81"/>
      <c r="L987" s="81"/>
      <c r="M987" s="82"/>
      <c r="N987" s="81"/>
      <c r="O987" s="82"/>
      <c r="P987" s="81"/>
      <c r="Q987" s="82"/>
      <c r="R987" s="81"/>
      <c r="S987" s="105"/>
      <c r="T987" s="81"/>
      <c r="U987" s="81"/>
      <c r="V987" s="81"/>
      <c r="W987" s="81"/>
      <c r="X987" s="81"/>
      <c r="Y987" s="81"/>
      <c r="Z987" s="81"/>
    </row>
    <row r="988" spans="1:26" ht="24" customHeight="1" x14ac:dyDescent="0.5">
      <c r="A988" s="81"/>
      <c r="B988" s="81"/>
      <c r="C988" s="81"/>
      <c r="D988" s="81"/>
      <c r="E988" s="81"/>
      <c r="F988" s="81"/>
      <c r="G988" s="105"/>
      <c r="H988" s="81"/>
      <c r="I988" s="81"/>
      <c r="J988" s="82"/>
      <c r="K988" s="81"/>
      <c r="L988" s="81"/>
      <c r="M988" s="82"/>
      <c r="N988" s="81"/>
      <c r="O988" s="82"/>
      <c r="P988" s="81"/>
      <c r="Q988" s="82"/>
      <c r="R988" s="81"/>
      <c r="S988" s="105"/>
      <c r="T988" s="81"/>
      <c r="U988" s="81"/>
      <c r="V988" s="81"/>
      <c r="W988" s="81"/>
      <c r="X988" s="81"/>
      <c r="Y988" s="81"/>
      <c r="Z988" s="81"/>
    </row>
    <row r="989" spans="1:26" ht="24" customHeight="1" x14ac:dyDescent="0.5">
      <c r="A989" s="81"/>
      <c r="B989" s="81"/>
      <c r="C989" s="81"/>
      <c r="D989" s="81"/>
      <c r="E989" s="81"/>
      <c r="F989" s="81"/>
      <c r="G989" s="105"/>
      <c r="H989" s="81"/>
      <c r="I989" s="81"/>
      <c r="J989" s="82"/>
      <c r="K989" s="81"/>
      <c r="L989" s="81"/>
      <c r="M989" s="82"/>
      <c r="N989" s="81"/>
      <c r="O989" s="82"/>
      <c r="P989" s="81"/>
      <c r="Q989" s="82"/>
      <c r="R989" s="81"/>
      <c r="S989" s="105"/>
      <c r="T989" s="81"/>
      <c r="U989" s="81"/>
      <c r="V989" s="81"/>
      <c r="W989" s="81"/>
      <c r="X989" s="81"/>
      <c r="Y989" s="81"/>
      <c r="Z989" s="81"/>
    </row>
    <row r="990" spans="1:26" ht="24" customHeight="1" x14ac:dyDescent="0.5">
      <c r="A990" s="81"/>
      <c r="B990" s="81"/>
      <c r="C990" s="81"/>
      <c r="D990" s="81"/>
      <c r="E990" s="81"/>
      <c r="F990" s="81"/>
      <c r="G990" s="105"/>
      <c r="H990" s="81"/>
      <c r="I990" s="81"/>
      <c r="J990" s="82"/>
      <c r="K990" s="81"/>
      <c r="L990" s="81"/>
      <c r="M990" s="82"/>
      <c r="N990" s="81"/>
      <c r="O990" s="82"/>
      <c r="P990" s="81"/>
      <c r="Q990" s="82"/>
      <c r="R990" s="81"/>
      <c r="S990" s="105"/>
      <c r="T990" s="81"/>
      <c r="U990" s="81"/>
      <c r="V990" s="81"/>
      <c r="W990" s="81"/>
      <c r="X990" s="81"/>
      <c r="Y990" s="81"/>
      <c r="Z990" s="81"/>
    </row>
    <row r="991" spans="1:26" ht="24" customHeight="1" x14ac:dyDescent="0.5">
      <c r="A991" s="81"/>
      <c r="B991" s="81"/>
      <c r="C991" s="81"/>
      <c r="D991" s="81"/>
      <c r="E991" s="81"/>
      <c r="F991" s="81"/>
      <c r="G991" s="105"/>
      <c r="H991" s="81"/>
      <c r="I991" s="81"/>
      <c r="J991" s="82"/>
      <c r="K991" s="81"/>
      <c r="L991" s="81"/>
      <c r="M991" s="82"/>
      <c r="N991" s="81"/>
      <c r="O991" s="82"/>
      <c r="P991" s="81"/>
      <c r="Q991" s="82"/>
      <c r="R991" s="81"/>
      <c r="S991" s="105"/>
      <c r="T991" s="81"/>
      <c r="U991" s="81"/>
      <c r="V991" s="81"/>
      <c r="W991" s="81"/>
      <c r="X991" s="81"/>
      <c r="Y991" s="81"/>
      <c r="Z991" s="81"/>
    </row>
    <row r="992" spans="1:26" ht="24" customHeight="1" x14ac:dyDescent="0.5">
      <c r="A992" s="81"/>
      <c r="B992" s="81"/>
      <c r="C992" s="81"/>
      <c r="D992" s="81"/>
      <c r="E992" s="81"/>
      <c r="F992" s="81"/>
      <c r="G992" s="105"/>
      <c r="H992" s="81"/>
      <c r="I992" s="81"/>
      <c r="J992" s="82"/>
      <c r="K992" s="81"/>
      <c r="L992" s="81"/>
      <c r="M992" s="82"/>
      <c r="N992" s="81"/>
      <c r="O992" s="82"/>
      <c r="P992" s="81"/>
      <c r="Q992" s="82"/>
      <c r="R992" s="81"/>
      <c r="S992" s="105"/>
      <c r="T992" s="81"/>
      <c r="U992" s="81"/>
      <c r="V992" s="81"/>
      <c r="W992" s="81"/>
      <c r="X992" s="81"/>
      <c r="Y992" s="81"/>
      <c r="Z992" s="81"/>
    </row>
    <row r="993" spans="1:26" ht="24" customHeight="1" x14ac:dyDescent="0.5">
      <c r="A993" s="81"/>
      <c r="B993" s="81"/>
      <c r="C993" s="81"/>
      <c r="D993" s="81"/>
      <c r="E993" s="81"/>
      <c r="F993" s="81"/>
      <c r="G993" s="105"/>
      <c r="H993" s="81"/>
      <c r="I993" s="81"/>
      <c r="J993" s="82"/>
      <c r="K993" s="81"/>
      <c r="L993" s="81"/>
      <c r="M993" s="82"/>
      <c r="N993" s="81"/>
      <c r="O993" s="82"/>
      <c r="P993" s="81"/>
      <c r="Q993" s="82"/>
      <c r="R993" s="81"/>
      <c r="S993" s="105"/>
      <c r="T993" s="81"/>
      <c r="U993" s="81"/>
      <c r="V993" s="81"/>
      <c r="W993" s="81"/>
      <c r="X993" s="81"/>
      <c r="Y993" s="81"/>
      <c r="Z993" s="81"/>
    </row>
    <row r="994" spans="1:26" ht="24" customHeight="1" x14ac:dyDescent="0.5">
      <c r="A994" s="81"/>
      <c r="B994" s="81"/>
      <c r="C994" s="81"/>
      <c r="D994" s="81"/>
      <c r="E994" s="81"/>
      <c r="F994" s="81"/>
      <c r="G994" s="105"/>
      <c r="H994" s="81"/>
      <c r="I994" s="81"/>
      <c r="J994" s="82"/>
      <c r="K994" s="81"/>
      <c r="L994" s="81"/>
      <c r="M994" s="82"/>
      <c r="N994" s="81"/>
      <c r="O994" s="82"/>
      <c r="P994" s="81"/>
      <c r="Q994" s="82"/>
      <c r="R994" s="81"/>
      <c r="S994" s="105"/>
      <c r="T994" s="81"/>
      <c r="U994" s="81"/>
      <c r="V994" s="81"/>
      <c r="W994" s="81"/>
      <c r="X994" s="81"/>
      <c r="Y994" s="81"/>
      <c r="Z994" s="81"/>
    </row>
    <row r="995" spans="1:26" ht="24" customHeight="1" x14ac:dyDescent="0.5">
      <c r="A995" s="81"/>
      <c r="B995" s="81"/>
      <c r="C995" s="81"/>
      <c r="D995" s="81"/>
      <c r="E995" s="81"/>
      <c r="F995" s="81"/>
      <c r="G995" s="105"/>
      <c r="H995" s="81"/>
      <c r="I995" s="81"/>
      <c r="J995" s="82"/>
      <c r="K995" s="81"/>
      <c r="L995" s="81"/>
      <c r="M995" s="82"/>
      <c r="N995" s="81"/>
      <c r="O995" s="82"/>
      <c r="P995" s="81"/>
      <c r="Q995" s="82"/>
      <c r="R995" s="81"/>
      <c r="S995" s="105"/>
      <c r="T995" s="81"/>
      <c r="U995" s="81"/>
      <c r="V995" s="81"/>
      <c r="W995" s="81"/>
      <c r="X995" s="81"/>
      <c r="Y995" s="81"/>
      <c r="Z995" s="81"/>
    </row>
    <row r="996" spans="1:26" ht="24" customHeight="1" x14ac:dyDescent="0.5">
      <c r="A996" s="81"/>
      <c r="B996" s="81"/>
      <c r="C996" s="81"/>
      <c r="D996" s="81"/>
      <c r="E996" s="81"/>
      <c r="F996" s="81"/>
      <c r="G996" s="105"/>
      <c r="H996" s="81"/>
      <c r="I996" s="81"/>
      <c r="J996" s="82"/>
      <c r="K996" s="81"/>
      <c r="L996" s="81"/>
      <c r="M996" s="82"/>
      <c r="N996" s="81"/>
      <c r="O996" s="82"/>
      <c r="P996" s="81"/>
      <c r="Q996" s="82"/>
      <c r="R996" s="81"/>
      <c r="S996" s="105"/>
      <c r="T996" s="81"/>
      <c r="U996" s="81"/>
      <c r="V996" s="81"/>
      <c r="W996" s="81"/>
      <c r="X996" s="81"/>
      <c r="Y996" s="81"/>
      <c r="Z996" s="81"/>
    </row>
    <row r="997" spans="1:26" ht="24" customHeight="1" x14ac:dyDescent="0.5">
      <c r="A997" s="81"/>
      <c r="B997" s="81"/>
      <c r="C997" s="81"/>
      <c r="D997" s="81"/>
      <c r="E997" s="81"/>
      <c r="F997" s="81"/>
      <c r="G997" s="105"/>
      <c r="H997" s="81"/>
      <c r="I997" s="81"/>
      <c r="J997" s="82"/>
      <c r="K997" s="81"/>
      <c r="L997" s="81"/>
      <c r="M997" s="82"/>
      <c r="N997" s="81"/>
      <c r="O997" s="82"/>
      <c r="P997" s="81"/>
      <c r="Q997" s="82"/>
      <c r="R997" s="81"/>
      <c r="S997" s="105"/>
      <c r="T997" s="81"/>
      <c r="U997" s="81"/>
      <c r="V997" s="81"/>
      <c r="W997" s="81"/>
      <c r="X997" s="81"/>
      <c r="Y997" s="81"/>
      <c r="Z997" s="81"/>
    </row>
    <row r="998" spans="1:26" ht="24" customHeight="1" x14ac:dyDescent="0.5">
      <c r="A998" s="81"/>
      <c r="B998" s="81"/>
      <c r="C998" s="81"/>
      <c r="D998" s="81"/>
      <c r="E998" s="81"/>
      <c r="F998" s="81"/>
      <c r="G998" s="105"/>
      <c r="H998" s="81"/>
      <c r="I998" s="81"/>
      <c r="J998" s="82"/>
      <c r="K998" s="81"/>
      <c r="L998" s="81"/>
      <c r="M998" s="82"/>
      <c r="N998" s="81"/>
      <c r="O998" s="82"/>
      <c r="P998" s="81"/>
      <c r="Q998" s="82"/>
      <c r="R998" s="81"/>
      <c r="S998" s="105"/>
      <c r="T998" s="81"/>
      <c r="U998" s="81"/>
      <c r="V998" s="81"/>
      <c r="W998" s="81"/>
      <c r="X998" s="81"/>
      <c r="Y998" s="81"/>
      <c r="Z998" s="81"/>
    </row>
    <row r="999" spans="1:26" ht="24" customHeight="1" x14ac:dyDescent="0.5">
      <c r="A999" s="81"/>
      <c r="B999" s="81"/>
      <c r="C999" s="81"/>
      <c r="D999" s="81"/>
      <c r="E999" s="81"/>
      <c r="F999" s="81"/>
      <c r="G999" s="105"/>
      <c r="H999" s="81"/>
      <c r="I999" s="81"/>
      <c r="J999" s="82"/>
      <c r="K999" s="81"/>
      <c r="L999" s="81"/>
      <c r="M999" s="82"/>
      <c r="N999" s="81"/>
      <c r="O999" s="82"/>
      <c r="P999" s="81"/>
      <c r="Q999" s="82"/>
      <c r="R999" s="81"/>
      <c r="S999" s="105"/>
      <c r="T999" s="81"/>
      <c r="U999" s="81"/>
      <c r="V999" s="81"/>
      <c r="W999" s="81"/>
      <c r="X999" s="81"/>
      <c r="Y999" s="81"/>
      <c r="Z999" s="81"/>
    </row>
    <row r="1000" spans="1:26" ht="24" customHeight="1" x14ac:dyDescent="0.5">
      <c r="A1000" s="81"/>
      <c r="B1000" s="81"/>
      <c r="C1000" s="81"/>
      <c r="D1000" s="81"/>
      <c r="E1000" s="81"/>
      <c r="F1000" s="81"/>
      <c r="G1000" s="105"/>
      <c r="H1000" s="81"/>
      <c r="I1000" s="81"/>
      <c r="J1000" s="82"/>
      <c r="K1000" s="81"/>
      <c r="L1000" s="81"/>
      <c r="M1000" s="82"/>
      <c r="N1000" s="81"/>
      <c r="O1000" s="82"/>
      <c r="P1000" s="81"/>
      <c r="Q1000" s="82"/>
      <c r="R1000" s="81"/>
      <c r="S1000" s="105"/>
      <c r="T1000" s="81"/>
      <c r="U1000" s="81"/>
      <c r="V1000" s="81"/>
      <c r="W1000" s="81"/>
      <c r="X1000" s="81"/>
      <c r="Y1000" s="81"/>
      <c r="Z1000" s="81"/>
    </row>
  </sheetData>
  <mergeCells count="30">
    <mergeCell ref="A91:B91"/>
    <mergeCell ref="A106:B106"/>
    <mergeCell ref="A2:B4"/>
    <mergeCell ref="A6:B8"/>
    <mergeCell ref="A9:B9"/>
    <mergeCell ref="A15:B15"/>
    <mergeCell ref="A33:B33"/>
    <mergeCell ref="A54:B54"/>
    <mergeCell ref="A76:B76"/>
    <mergeCell ref="R6:S6"/>
    <mergeCell ref="P7:Q7"/>
    <mergeCell ref="R7:S7"/>
    <mergeCell ref="U7:V7"/>
    <mergeCell ref="C2:V2"/>
    <mergeCell ref="C3:V3"/>
    <mergeCell ref="C4:V4"/>
    <mergeCell ref="C5:G5"/>
    <mergeCell ref="H5:J6"/>
    <mergeCell ref="K5:S5"/>
    <mergeCell ref="T5:V6"/>
    <mergeCell ref="N6:O6"/>
    <mergeCell ref="I7:J7"/>
    <mergeCell ref="L7:M7"/>
    <mergeCell ref="N7:O7"/>
    <mergeCell ref="P6:Q6"/>
    <mergeCell ref="C6:E6"/>
    <mergeCell ref="F6:G6"/>
    <mergeCell ref="D7:D8"/>
    <mergeCell ref="F7:G7"/>
    <mergeCell ref="K6:M6"/>
  </mergeCells>
  <pageMargins left="0.25" right="0.25" top="0.75" bottom="0.75" header="0.3" footer="0.3"/>
  <pageSetup paperSize="9" scale="60" orientation="landscape" r:id="rId1"/>
  <rowBreaks count="5" manualBreakCount="5">
    <brk id="32" man="1"/>
    <brk id="53" man="1"/>
    <brk id="75" max="16383" man="1"/>
    <brk id="90" man="1"/>
    <brk id="7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EAADB"/>
  </sheetPr>
  <dimension ref="A1:Z1000"/>
  <sheetViews>
    <sheetView view="pageBreakPreview" zoomScale="60" zoomScaleNormal="100" workbookViewId="0">
      <pane xSplit="2" ySplit="9" topLeftCell="C109" activePane="bottomRight" state="frozen"/>
      <selection activeCell="Z5" sqref="Z5:AB6"/>
      <selection pane="topRight" activeCell="Z5" sqref="Z5:AB6"/>
      <selection pane="bottomLeft" activeCell="Z5" sqref="Z5:AB6"/>
      <selection pane="bottomRight" activeCell="Z5" sqref="Z5:AB6"/>
    </sheetView>
  </sheetViews>
  <sheetFormatPr defaultColWidth="12.625" defaultRowHeight="24" customHeight="1" x14ac:dyDescent="0.5"/>
  <cols>
    <col min="1" max="1" width="4.375" style="6" customWidth="1"/>
    <col min="2" max="2" width="27.75" style="6" customWidth="1"/>
    <col min="3" max="6" width="10.75" style="6" customWidth="1"/>
    <col min="7" max="13" width="12.25" style="6" customWidth="1"/>
    <col min="14" max="16384" width="12.625" style="6"/>
  </cols>
  <sheetData>
    <row r="1" spans="1:26" ht="24" customHeight="1" x14ac:dyDescent="0.5">
      <c r="A1" s="2" t="s">
        <v>323</v>
      </c>
      <c r="B1" s="3"/>
      <c r="C1" s="4"/>
      <c r="D1" s="4"/>
      <c r="E1" s="4"/>
      <c r="F1" s="4"/>
      <c r="G1" s="5"/>
      <c r="H1" s="3"/>
      <c r="I1" s="3"/>
      <c r="J1" s="83"/>
      <c r="K1" s="3"/>
      <c r="L1" s="3"/>
      <c r="M1" s="83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ht="24" customHeight="1" x14ac:dyDescent="0.5">
      <c r="A2" s="573" t="s">
        <v>0</v>
      </c>
      <c r="B2" s="627"/>
      <c r="C2" s="612" t="s">
        <v>1</v>
      </c>
      <c r="D2" s="578"/>
      <c r="E2" s="578"/>
      <c r="F2" s="578"/>
      <c r="G2" s="578"/>
      <c r="H2" s="578"/>
      <c r="I2" s="578"/>
      <c r="J2" s="578"/>
      <c r="K2" s="578"/>
      <c r="L2" s="578"/>
      <c r="M2" s="579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24" customHeight="1" x14ac:dyDescent="0.5">
      <c r="A3" s="628"/>
      <c r="B3" s="629"/>
      <c r="C3" s="580" t="s">
        <v>140</v>
      </c>
      <c r="D3" s="581"/>
      <c r="E3" s="581"/>
      <c r="F3" s="581"/>
      <c r="G3" s="581"/>
      <c r="H3" s="581"/>
      <c r="I3" s="581"/>
      <c r="J3" s="581"/>
      <c r="K3" s="581"/>
      <c r="L3" s="581"/>
      <c r="M3" s="567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24" customHeight="1" x14ac:dyDescent="0.5">
      <c r="A4" s="630"/>
      <c r="B4" s="631"/>
      <c r="C4" s="613" t="s">
        <v>141</v>
      </c>
      <c r="D4" s="581"/>
      <c r="E4" s="581"/>
      <c r="F4" s="581"/>
      <c r="G4" s="581"/>
      <c r="H4" s="581"/>
      <c r="I4" s="581"/>
      <c r="J4" s="581"/>
      <c r="K4" s="581"/>
      <c r="L4" s="581"/>
      <c r="M4" s="567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24" customHeight="1" x14ac:dyDescent="0.5">
      <c r="A5" s="7"/>
      <c r="B5" s="8"/>
      <c r="C5" s="600" t="s">
        <v>4</v>
      </c>
      <c r="D5" s="581"/>
      <c r="E5" s="581"/>
      <c r="F5" s="581"/>
      <c r="G5" s="567"/>
      <c r="H5" s="632" t="s">
        <v>142</v>
      </c>
      <c r="I5" s="633"/>
      <c r="J5" s="634"/>
      <c r="K5" s="638" t="s">
        <v>143</v>
      </c>
      <c r="L5" s="633"/>
      <c r="M5" s="634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24" customHeight="1" x14ac:dyDescent="0.5">
      <c r="A6" s="595" t="s">
        <v>207</v>
      </c>
      <c r="B6" s="596"/>
      <c r="C6" s="601" t="s">
        <v>6</v>
      </c>
      <c r="D6" s="581"/>
      <c r="E6" s="567"/>
      <c r="F6" s="602" t="s">
        <v>7</v>
      </c>
      <c r="G6" s="584"/>
      <c r="H6" s="635"/>
      <c r="I6" s="636"/>
      <c r="J6" s="637"/>
      <c r="K6" s="639"/>
      <c r="L6" s="640"/>
      <c r="M6" s="64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24" customHeight="1" x14ac:dyDescent="0.5">
      <c r="A7" s="595"/>
      <c r="B7" s="596"/>
      <c r="C7" s="9" t="s">
        <v>12</v>
      </c>
      <c r="D7" s="604" t="s">
        <v>13</v>
      </c>
      <c r="E7" s="10" t="s">
        <v>14</v>
      </c>
      <c r="F7" s="606" t="s">
        <v>15</v>
      </c>
      <c r="G7" s="594"/>
      <c r="H7" s="84" t="s">
        <v>16</v>
      </c>
      <c r="I7" s="611" t="s">
        <v>17</v>
      </c>
      <c r="J7" s="567"/>
      <c r="K7" s="84" t="s">
        <v>16</v>
      </c>
      <c r="L7" s="611" t="s">
        <v>17</v>
      </c>
      <c r="M7" s="567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ht="24" customHeight="1" x14ac:dyDescent="0.5">
      <c r="A8" s="597"/>
      <c r="B8" s="598"/>
      <c r="C8" s="12"/>
      <c r="D8" s="605"/>
      <c r="E8" s="13"/>
      <c r="F8" s="14" t="s">
        <v>18</v>
      </c>
      <c r="G8" s="15" t="s">
        <v>19</v>
      </c>
      <c r="H8" s="16" t="s">
        <v>22</v>
      </c>
      <c r="I8" s="85" t="s">
        <v>21</v>
      </c>
      <c r="J8" s="86" t="s">
        <v>19</v>
      </c>
      <c r="K8" s="16" t="s">
        <v>22</v>
      </c>
      <c r="L8" s="85" t="s">
        <v>21</v>
      </c>
      <c r="M8" s="86" t="s">
        <v>19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 ht="24" customHeight="1" x14ac:dyDescent="0.5">
      <c r="A9" s="564" t="s">
        <v>24</v>
      </c>
      <c r="B9" s="565"/>
      <c r="C9" s="19">
        <f t="shared" ref="C9:E9" si="0">C10+C11</f>
        <v>5113000</v>
      </c>
      <c r="D9" s="20">
        <f t="shared" si="0"/>
        <v>552200</v>
      </c>
      <c r="E9" s="21">
        <f t="shared" si="0"/>
        <v>4560800</v>
      </c>
      <c r="F9" s="22">
        <f ca="1">F10+F11+F14</f>
        <v>257073</v>
      </c>
      <c r="G9" s="23">
        <f t="shared" ref="G9:G90" ca="1" si="1">IF(C9&gt;0,F9*100/C9,0)</f>
        <v>5.0278310189712494</v>
      </c>
      <c r="H9" s="24">
        <f t="shared" ref="H9:I9" si="2">H10</f>
        <v>500</v>
      </c>
      <c r="I9" s="25">
        <f t="shared" ca="1" si="2"/>
        <v>0</v>
      </c>
      <c r="J9" s="26">
        <f t="shared" ref="J9:J114" ca="1" si="3">IF(H9&gt;0,I9*100/H9,0)</f>
        <v>0</v>
      </c>
      <c r="K9" s="24">
        <f t="shared" ref="K9:L9" si="4">K10</f>
        <v>500</v>
      </c>
      <c r="L9" s="25">
        <f t="shared" ca="1" si="4"/>
        <v>0</v>
      </c>
      <c r="M9" s="26">
        <f t="shared" ref="M9:M114" ca="1" si="5">IF(K9&gt;0,L9*100/K9,0)</f>
        <v>0</v>
      </c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24" customHeight="1" x14ac:dyDescent="0.5">
      <c r="A10" s="27" t="s">
        <v>25</v>
      </c>
      <c r="B10" s="28"/>
      <c r="C10" s="29">
        <f t="shared" ref="C10:F10" si="6">+C15+C33+C54+C76</f>
        <v>2085480</v>
      </c>
      <c r="D10" s="29">
        <f t="shared" si="6"/>
        <v>0</v>
      </c>
      <c r="E10" s="29">
        <f t="shared" si="6"/>
        <v>2085480</v>
      </c>
      <c r="F10" s="29">
        <f t="shared" ca="1" si="6"/>
        <v>22640</v>
      </c>
      <c r="G10" s="30">
        <f t="shared" ca="1" si="1"/>
        <v>1.0856013963212305</v>
      </c>
      <c r="H10" s="29">
        <f t="shared" ref="H10:I10" si="7">+H15+H33+H54+H76</f>
        <v>500</v>
      </c>
      <c r="I10" s="29">
        <f t="shared" ca="1" si="7"/>
        <v>0</v>
      </c>
      <c r="J10" s="30">
        <f t="shared" ca="1" si="3"/>
        <v>0</v>
      </c>
      <c r="K10" s="29">
        <f t="shared" ref="K10:L10" si="8">+K15+K33+K54+K76</f>
        <v>500</v>
      </c>
      <c r="L10" s="29">
        <f t="shared" ca="1" si="8"/>
        <v>0</v>
      </c>
      <c r="M10" s="30">
        <f t="shared" ca="1" si="5"/>
        <v>0</v>
      </c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4" customHeight="1" x14ac:dyDescent="0.5">
      <c r="A11" s="33" t="s">
        <v>26</v>
      </c>
      <c r="B11" s="34"/>
      <c r="C11" s="35">
        <f t="shared" ref="C11:F11" si="9">+C12+C13</f>
        <v>3027520</v>
      </c>
      <c r="D11" s="35">
        <f t="shared" si="9"/>
        <v>552200</v>
      </c>
      <c r="E11" s="35">
        <f t="shared" si="9"/>
        <v>2475320</v>
      </c>
      <c r="F11" s="35">
        <f t="shared" ca="1" si="9"/>
        <v>234433</v>
      </c>
      <c r="G11" s="36">
        <f t="shared" ca="1" si="1"/>
        <v>7.7434005390550684</v>
      </c>
      <c r="H11" s="35">
        <f t="shared" ref="H11:I11" si="10">+H12+H13</f>
        <v>0</v>
      </c>
      <c r="I11" s="35">
        <f t="shared" si="10"/>
        <v>0</v>
      </c>
      <c r="J11" s="36">
        <f t="shared" si="3"/>
        <v>0</v>
      </c>
      <c r="K11" s="35">
        <f t="shared" ref="K11:L11" si="11">+K12+K13</f>
        <v>0</v>
      </c>
      <c r="L11" s="35">
        <f t="shared" si="11"/>
        <v>0</v>
      </c>
      <c r="M11" s="36">
        <f t="shared" si="5"/>
        <v>0</v>
      </c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4" customHeight="1" x14ac:dyDescent="0.5">
      <c r="A12" s="33" t="s">
        <v>27</v>
      </c>
      <c r="B12" s="34"/>
      <c r="C12" s="35">
        <f t="shared" ref="C12:F12" si="12">+C91</f>
        <v>2475320</v>
      </c>
      <c r="D12" s="35">
        <f t="shared" si="12"/>
        <v>0</v>
      </c>
      <c r="E12" s="35">
        <f t="shared" si="12"/>
        <v>2475320</v>
      </c>
      <c r="F12" s="35">
        <f t="shared" ca="1" si="12"/>
        <v>234433</v>
      </c>
      <c r="G12" s="36">
        <f t="shared" ca="1" si="1"/>
        <v>9.4708158945106096</v>
      </c>
      <c r="H12" s="35">
        <f t="shared" ref="H12:I12" si="13">+H91</f>
        <v>0</v>
      </c>
      <c r="I12" s="35">
        <f t="shared" si="13"/>
        <v>0</v>
      </c>
      <c r="J12" s="36">
        <f t="shared" si="3"/>
        <v>0</v>
      </c>
      <c r="K12" s="35">
        <f t="shared" ref="K12:L12" si="14">+K91</f>
        <v>0</v>
      </c>
      <c r="L12" s="35">
        <f t="shared" si="14"/>
        <v>0</v>
      </c>
      <c r="M12" s="36">
        <f t="shared" si="5"/>
        <v>0</v>
      </c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4" customHeight="1" x14ac:dyDescent="0.5">
      <c r="A13" s="33" t="s">
        <v>28</v>
      </c>
      <c r="B13" s="34"/>
      <c r="C13" s="35">
        <f t="shared" ref="C13:F13" si="15">+C106</f>
        <v>552200</v>
      </c>
      <c r="D13" s="35">
        <f t="shared" si="15"/>
        <v>552200</v>
      </c>
      <c r="E13" s="35">
        <f t="shared" si="15"/>
        <v>0</v>
      </c>
      <c r="F13" s="35">
        <f t="shared" si="15"/>
        <v>0</v>
      </c>
      <c r="G13" s="36">
        <f t="shared" si="1"/>
        <v>0</v>
      </c>
      <c r="H13" s="35">
        <f t="shared" ref="H13:I13" si="16">+H106</f>
        <v>0</v>
      </c>
      <c r="I13" s="35">
        <f t="shared" si="16"/>
        <v>0</v>
      </c>
      <c r="J13" s="36">
        <f t="shared" si="3"/>
        <v>0</v>
      </c>
      <c r="K13" s="35">
        <f t="shared" ref="K13:L13" si="17">+K106</f>
        <v>0</v>
      </c>
      <c r="L13" s="35">
        <f t="shared" si="17"/>
        <v>0</v>
      </c>
      <c r="M13" s="36">
        <f t="shared" si="5"/>
        <v>0</v>
      </c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24" customHeight="1" x14ac:dyDescent="0.5">
      <c r="A14" s="39" t="s">
        <v>29</v>
      </c>
      <c r="B14" s="40"/>
      <c r="C14" s="93">
        <v>0</v>
      </c>
      <c r="D14" s="93">
        <v>0</v>
      </c>
      <c r="E14" s="93">
        <v>0</v>
      </c>
      <c r="F14" s="41">
        <v>0</v>
      </c>
      <c r="G14" s="42">
        <f t="shared" si="1"/>
        <v>0</v>
      </c>
      <c r="H14" s="93">
        <v>0</v>
      </c>
      <c r="I14" s="93">
        <v>0</v>
      </c>
      <c r="J14" s="95">
        <f t="shared" si="3"/>
        <v>0</v>
      </c>
      <c r="K14" s="93">
        <v>0</v>
      </c>
      <c r="L14" s="93">
        <v>0</v>
      </c>
      <c r="M14" s="95">
        <f t="shared" si="5"/>
        <v>0</v>
      </c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24" customHeight="1" x14ac:dyDescent="0.5">
      <c r="A15" s="566" t="s">
        <v>30</v>
      </c>
      <c r="B15" s="567"/>
      <c r="C15" s="43">
        <f t="shared" ref="C15:F15" si="18">SUM(C16:C32)</f>
        <v>824400</v>
      </c>
      <c r="D15" s="43">
        <f t="shared" si="18"/>
        <v>0</v>
      </c>
      <c r="E15" s="43">
        <f t="shared" si="18"/>
        <v>824400</v>
      </c>
      <c r="F15" s="43">
        <f t="shared" ca="1" si="18"/>
        <v>0</v>
      </c>
      <c r="G15" s="44">
        <f t="shared" ca="1" si="1"/>
        <v>0</v>
      </c>
      <c r="H15" s="43">
        <f t="shared" ref="H15:I15" si="19">SUM(H16:H32)</f>
        <v>200</v>
      </c>
      <c r="I15" s="43">
        <f t="shared" ca="1" si="19"/>
        <v>0</v>
      </c>
      <c r="J15" s="44">
        <f t="shared" ca="1" si="3"/>
        <v>0</v>
      </c>
      <c r="K15" s="43">
        <f t="shared" ref="K15:L15" si="20">SUM(K16:K32)</f>
        <v>200</v>
      </c>
      <c r="L15" s="43">
        <f t="shared" ca="1" si="20"/>
        <v>0</v>
      </c>
      <c r="M15" s="44">
        <f t="shared" ca="1" si="5"/>
        <v>0</v>
      </c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4" customHeight="1" x14ac:dyDescent="0.5">
      <c r="A16" s="45">
        <v>1</v>
      </c>
      <c r="B16" s="46" t="s">
        <v>31</v>
      </c>
      <c r="C16" s="47">
        <f t="shared" ref="C16:C32" si="21">+D16+E16</f>
        <v>82440</v>
      </c>
      <c r="D16" s="48">
        <v>0</v>
      </c>
      <c r="E16" s="48">
        <v>82440</v>
      </c>
      <c r="F16" s="48">
        <f ca="1">IFERROR(__xludf.DUMMYFUNCTION("IMPORTRANGE(""https://docs.google.com/spreadsheets/d/11923uPwbBZFjjGgGUA6NLw09EwE0CqkOc4q9oUmW1yo/edit?usp=sharing"",""กำแพงเพชร!M54"")"),0)</f>
        <v>0</v>
      </c>
      <c r="G16" s="50">
        <f t="shared" ca="1" si="1"/>
        <v>0</v>
      </c>
      <c r="H16" s="48">
        <v>20</v>
      </c>
      <c r="I16" s="48">
        <f ca="1">IFERROR(__xludf.DUMMYFUNCTION("IMPORTRANGE(""https://docs.google.com/spreadsheets/d/11923uPwbBZFjjGgGUA6NLw09EwE0CqkOc4q9oUmW1yo/edit?usp=sharing"",""กำแพงเพชร!J62"")"),0)</f>
        <v>0</v>
      </c>
      <c r="J16" s="50">
        <f t="shared" ca="1" si="3"/>
        <v>0</v>
      </c>
      <c r="K16" s="48">
        <v>20</v>
      </c>
      <c r="L16" s="48">
        <f ca="1">IFERROR(__xludf.DUMMYFUNCTION("IMPORTRANGE(""https://docs.google.com/spreadsheets/d/11923uPwbBZFjjGgGUA6NLw09EwE0CqkOc4q9oUmW1yo/edit?usp=sharing"",""กำแพงเพชร!J63"")"),0)</f>
        <v>0</v>
      </c>
      <c r="M16" s="50">
        <f t="shared" ca="1" si="5"/>
        <v>0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 ht="24" customHeight="1" x14ac:dyDescent="0.5">
      <c r="A17" s="52">
        <v>2</v>
      </c>
      <c r="B17" s="53" t="s">
        <v>32</v>
      </c>
      <c r="C17" s="54">
        <f t="shared" si="21"/>
        <v>0</v>
      </c>
      <c r="D17" s="55">
        <v>0</v>
      </c>
      <c r="E17" s="55">
        <v>0</v>
      </c>
      <c r="F17" s="55">
        <f ca="1">IFERROR(__xludf.DUMMYFUNCTION("IMPORTRANGE(""https://docs.google.com/spreadsheets/d/11923uPwbBZFjjGgGUA6NLw09EwE0CqkOc4q9oUmW1yo/edit?usp=sharing"",""เชียงราย!M54"")"),0)</f>
        <v>0</v>
      </c>
      <c r="G17" s="56">
        <f t="shared" si="1"/>
        <v>0</v>
      </c>
      <c r="H17" s="55">
        <v>0</v>
      </c>
      <c r="I17" s="55">
        <f ca="1">IFERROR(__xludf.DUMMYFUNCTION("IMPORTRANGE(""https://docs.google.com/spreadsheets/d/11923uPwbBZFjjGgGUA6NLw09EwE0CqkOc4q9oUmW1yo/edit?usp=sharing"",""เชียงราย!J62"")"),0)</f>
        <v>0</v>
      </c>
      <c r="J17" s="56">
        <f t="shared" si="3"/>
        <v>0</v>
      </c>
      <c r="K17" s="55">
        <v>0</v>
      </c>
      <c r="L17" s="55">
        <f ca="1">IFERROR(__xludf.DUMMYFUNCTION("IMPORTRANGE(""https://docs.google.com/spreadsheets/d/11923uPwbBZFjjGgGUA6NLw09EwE0CqkOc4q9oUmW1yo/edit?usp=sharing"",""เชียงราย!J63"")"),0)</f>
        <v>0</v>
      </c>
      <c r="M17" s="56">
        <f t="shared" si="5"/>
        <v>0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ht="24" customHeight="1" x14ac:dyDescent="0.5">
      <c r="A18" s="52">
        <v>3</v>
      </c>
      <c r="B18" s="53" t="s">
        <v>33</v>
      </c>
      <c r="C18" s="54">
        <f t="shared" si="21"/>
        <v>0</v>
      </c>
      <c r="D18" s="55">
        <v>0</v>
      </c>
      <c r="E18" s="55">
        <v>0</v>
      </c>
      <c r="F18" s="55">
        <f ca="1">IFERROR(__xludf.DUMMYFUNCTION("IMPORTRANGE(""https://docs.google.com/spreadsheets/d/11923uPwbBZFjjGgGUA6NLw09EwE0CqkOc4q9oUmW1yo/edit?usp=sharing"",""เชียงใหม่!M54"")"),0)</f>
        <v>0</v>
      </c>
      <c r="G18" s="56">
        <f t="shared" si="1"/>
        <v>0</v>
      </c>
      <c r="H18" s="55">
        <v>0</v>
      </c>
      <c r="I18" s="55">
        <f ca="1">IFERROR(__xludf.DUMMYFUNCTION("IMPORTRANGE(""https://docs.google.com/spreadsheets/d/11923uPwbBZFjjGgGUA6NLw09EwE0CqkOc4q9oUmW1yo/edit?usp=sharing"",""เชียงใหม่!J62"")"),0)</f>
        <v>0</v>
      </c>
      <c r="J18" s="56">
        <f t="shared" si="3"/>
        <v>0</v>
      </c>
      <c r="K18" s="55">
        <v>0</v>
      </c>
      <c r="L18" s="55">
        <f ca="1">IFERROR(__xludf.DUMMYFUNCTION("IMPORTRANGE(""https://docs.google.com/spreadsheets/d/11923uPwbBZFjjGgGUA6NLw09EwE0CqkOc4q9oUmW1yo/edit?usp=sharing"",""เชียงใหม่!J63"")"),0)</f>
        <v>0</v>
      </c>
      <c r="M18" s="56">
        <f t="shared" si="5"/>
        <v>0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ht="24" customHeight="1" x14ac:dyDescent="0.5">
      <c r="A19" s="52">
        <v>4</v>
      </c>
      <c r="B19" s="53" t="s">
        <v>34</v>
      </c>
      <c r="C19" s="54">
        <f t="shared" si="21"/>
        <v>82440</v>
      </c>
      <c r="D19" s="55">
        <v>0</v>
      </c>
      <c r="E19" s="55">
        <v>82440</v>
      </c>
      <c r="F19" s="55">
        <f ca="1">IFERROR(__xludf.DUMMYFUNCTION("IMPORTRANGE(""https://docs.google.com/spreadsheets/d/11923uPwbBZFjjGgGUA6NLw09EwE0CqkOc4q9oUmW1yo/edit?usp=sharing"",""ตาก!M54"")"),0)</f>
        <v>0</v>
      </c>
      <c r="G19" s="56">
        <f t="shared" ca="1" si="1"/>
        <v>0</v>
      </c>
      <c r="H19" s="55">
        <v>20</v>
      </c>
      <c r="I19" s="55">
        <f ca="1">IFERROR(__xludf.DUMMYFUNCTION("IMPORTRANGE(""https://docs.google.com/spreadsheets/d/11923uPwbBZFjjGgGUA6NLw09EwE0CqkOc4q9oUmW1yo/edit?usp=sharing"",""ตาก!J62"")"),0)</f>
        <v>0</v>
      </c>
      <c r="J19" s="56">
        <f t="shared" ca="1" si="3"/>
        <v>0</v>
      </c>
      <c r="K19" s="55">
        <v>20</v>
      </c>
      <c r="L19" s="55">
        <f ca="1">IFERROR(__xludf.DUMMYFUNCTION("IMPORTRANGE(""https://docs.google.com/spreadsheets/d/11923uPwbBZFjjGgGUA6NLw09EwE0CqkOc4q9oUmW1yo/edit?usp=sharing"",""ตาก!J63"")"),0)</f>
        <v>0</v>
      </c>
      <c r="M19" s="56">
        <f t="shared" ca="1" si="5"/>
        <v>0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 ht="24" customHeight="1" x14ac:dyDescent="0.5">
      <c r="A20" s="52">
        <v>5</v>
      </c>
      <c r="B20" s="53" t="s">
        <v>35</v>
      </c>
      <c r="C20" s="54">
        <f t="shared" si="21"/>
        <v>82440</v>
      </c>
      <c r="D20" s="55">
        <v>0</v>
      </c>
      <c r="E20" s="55">
        <v>82440</v>
      </c>
      <c r="F20" s="55">
        <f ca="1">IFERROR(__xludf.DUMMYFUNCTION("IMPORTRANGE(""https://docs.google.com/spreadsheets/d/11923uPwbBZFjjGgGUA6NLw09EwE0CqkOc4q9oUmW1yo/edit?usp=sharing"",""นครสวรรค์!M54"")"),0)</f>
        <v>0</v>
      </c>
      <c r="G20" s="56">
        <f t="shared" ca="1" si="1"/>
        <v>0</v>
      </c>
      <c r="H20" s="55">
        <v>20</v>
      </c>
      <c r="I20" s="55">
        <f ca="1">IFERROR(__xludf.DUMMYFUNCTION("IMPORTRANGE(""https://docs.google.com/spreadsheets/d/11923uPwbBZFjjGgGUA6NLw09EwE0CqkOc4q9oUmW1yo/edit?usp=sharing"",""นครสวรรค์!J62"")"),0)</f>
        <v>0</v>
      </c>
      <c r="J20" s="56">
        <f t="shared" ca="1" si="3"/>
        <v>0</v>
      </c>
      <c r="K20" s="55">
        <v>20</v>
      </c>
      <c r="L20" s="55">
        <f ca="1">IFERROR(__xludf.DUMMYFUNCTION("IMPORTRANGE(""https://docs.google.com/spreadsheets/d/11923uPwbBZFjjGgGUA6NLw09EwE0CqkOc4q9oUmW1yo/edit?usp=sharing"",""นครสวรรค์!J63"")"),0)</f>
        <v>0</v>
      </c>
      <c r="M20" s="56">
        <f t="shared" ca="1" si="5"/>
        <v>0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26" ht="24" customHeight="1" x14ac:dyDescent="0.5">
      <c r="A21" s="52">
        <v>6</v>
      </c>
      <c r="B21" s="53" t="s">
        <v>36</v>
      </c>
      <c r="C21" s="54">
        <f t="shared" si="21"/>
        <v>0</v>
      </c>
      <c r="D21" s="55">
        <v>0</v>
      </c>
      <c r="E21" s="55">
        <v>0</v>
      </c>
      <c r="F21" s="55">
        <f ca="1">IFERROR(__xludf.DUMMYFUNCTION("IMPORTRANGE(""https://docs.google.com/spreadsheets/d/11923uPwbBZFjjGgGUA6NLw09EwE0CqkOc4q9oUmW1yo/edit?usp=sharing"",""น่าน!M54"")"),0)</f>
        <v>0</v>
      </c>
      <c r="G21" s="56">
        <f t="shared" si="1"/>
        <v>0</v>
      </c>
      <c r="H21" s="55">
        <v>0</v>
      </c>
      <c r="I21" s="55">
        <f ca="1">IFERROR(__xludf.DUMMYFUNCTION("IMPORTRANGE(""https://docs.google.com/spreadsheets/d/11923uPwbBZFjjGgGUA6NLw09EwE0CqkOc4q9oUmW1yo/edit?usp=sharing"",""น่าน!J62"")"),0)</f>
        <v>0</v>
      </c>
      <c r="J21" s="56">
        <f t="shared" si="3"/>
        <v>0</v>
      </c>
      <c r="K21" s="55">
        <v>0</v>
      </c>
      <c r="L21" s="55">
        <f ca="1">IFERROR(__xludf.DUMMYFUNCTION("IMPORTRANGE(""https://docs.google.com/spreadsheets/d/11923uPwbBZFjjGgGUA6NLw09EwE0CqkOc4q9oUmW1yo/edit?usp=sharing"",""น่าน!J63"")"),0)</f>
        <v>0</v>
      </c>
      <c r="M21" s="56">
        <f t="shared" si="5"/>
        <v>0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1:26" ht="24" customHeight="1" x14ac:dyDescent="0.5">
      <c r="A22" s="52">
        <v>7</v>
      </c>
      <c r="B22" s="53" t="s">
        <v>37</v>
      </c>
      <c r="C22" s="54">
        <f t="shared" si="21"/>
        <v>82440</v>
      </c>
      <c r="D22" s="55">
        <v>0</v>
      </c>
      <c r="E22" s="55">
        <v>82440</v>
      </c>
      <c r="F22" s="55">
        <f ca="1">IFERROR(__xludf.DUMMYFUNCTION("IMPORTRANGE(""https://docs.google.com/spreadsheets/d/11923uPwbBZFjjGgGUA6NLw09EwE0CqkOc4q9oUmW1yo/edit?usp=sharing"",""พะเยา!M54"")"),0)</f>
        <v>0</v>
      </c>
      <c r="G22" s="56">
        <f t="shared" ca="1" si="1"/>
        <v>0</v>
      </c>
      <c r="H22" s="55">
        <v>20</v>
      </c>
      <c r="I22" s="55">
        <f ca="1">IFERROR(__xludf.DUMMYFUNCTION("IMPORTRANGE(""https://docs.google.com/spreadsheets/d/11923uPwbBZFjjGgGUA6NLw09EwE0CqkOc4q9oUmW1yo/edit?usp=sharing"",""พะเยา!J62"")"),0)</f>
        <v>0</v>
      </c>
      <c r="J22" s="56">
        <f t="shared" ca="1" si="3"/>
        <v>0</v>
      </c>
      <c r="K22" s="55">
        <v>20</v>
      </c>
      <c r="L22" s="55">
        <f ca="1">IFERROR(__xludf.DUMMYFUNCTION("IMPORTRANGE(""https://docs.google.com/spreadsheets/d/11923uPwbBZFjjGgGUA6NLw09EwE0CqkOc4q9oUmW1yo/edit?usp=sharing"",""พะเยา!J63"")"),0)</f>
        <v>0</v>
      </c>
      <c r="M22" s="56">
        <f t="shared" ca="1" si="5"/>
        <v>0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24" customHeight="1" x14ac:dyDescent="0.5">
      <c r="A23" s="52">
        <v>8</v>
      </c>
      <c r="B23" s="53" t="s">
        <v>38</v>
      </c>
      <c r="C23" s="54">
        <f t="shared" si="21"/>
        <v>0</v>
      </c>
      <c r="D23" s="55">
        <v>0</v>
      </c>
      <c r="E23" s="55">
        <v>0</v>
      </c>
      <c r="F23" s="55">
        <f ca="1">IFERROR(__xludf.DUMMYFUNCTION("IMPORTRANGE(""https://docs.google.com/spreadsheets/d/11923uPwbBZFjjGgGUA6NLw09EwE0CqkOc4q9oUmW1yo/edit?usp=sharing"",""พิจิตร!M54"")"),0)</f>
        <v>0</v>
      </c>
      <c r="G23" s="56">
        <f t="shared" si="1"/>
        <v>0</v>
      </c>
      <c r="H23" s="55">
        <v>0</v>
      </c>
      <c r="I23" s="55">
        <f ca="1">IFERROR(__xludf.DUMMYFUNCTION("IMPORTRANGE(""https://docs.google.com/spreadsheets/d/11923uPwbBZFjjGgGUA6NLw09EwE0CqkOc4q9oUmW1yo/edit?usp=sharing"",""พิจิตร!J62"")"),0)</f>
        <v>0</v>
      </c>
      <c r="J23" s="56">
        <f t="shared" si="3"/>
        <v>0</v>
      </c>
      <c r="K23" s="55">
        <v>0</v>
      </c>
      <c r="L23" s="55">
        <f ca="1">IFERROR(__xludf.DUMMYFUNCTION("IMPORTRANGE(""https://docs.google.com/spreadsheets/d/11923uPwbBZFjjGgGUA6NLw09EwE0CqkOc4q9oUmW1yo/edit?usp=sharing"",""พิจิตร!J63"")"),0)</f>
        <v>0</v>
      </c>
      <c r="M23" s="56">
        <f t="shared" si="5"/>
        <v>0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6" ht="24" customHeight="1" x14ac:dyDescent="0.5">
      <c r="A24" s="52">
        <v>9</v>
      </c>
      <c r="B24" s="53" t="s">
        <v>39</v>
      </c>
      <c r="C24" s="54">
        <f t="shared" si="21"/>
        <v>0</v>
      </c>
      <c r="D24" s="55">
        <v>0</v>
      </c>
      <c r="E24" s="55">
        <v>0</v>
      </c>
      <c r="F24" s="55">
        <f ca="1">IFERROR(__xludf.DUMMYFUNCTION("IMPORTRANGE(""https://docs.google.com/spreadsheets/d/11923uPwbBZFjjGgGUA6NLw09EwE0CqkOc4q9oUmW1yo/edit?usp=sharing"",""พิษณุโลก!M54"")"),0)</f>
        <v>0</v>
      </c>
      <c r="G24" s="56">
        <f t="shared" si="1"/>
        <v>0</v>
      </c>
      <c r="H24" s="55">
        <v>0</v>
      </c>
      <c r="I24" s="55">
        <f ca="1">IFERROR(__xludf.DUMMYFUNCTION("IMPORTRANGE(""https://docs.google.com/spreadsheets/d/11923uPwbBZFjjGgGUA6NLw09EwE0CqkOc4q9oUmW1yo/edit?usp=sharing"",""พิษณุโลก!J62"")"),0)</f>
        <v>0</v>
      </c>
      <c r="J24" s="56">
        <f t="shared" si="3"/>
        <v>0</v>
      </c>
      <c r="K24" s="55">
        <v>0</v>
      </c>
      <c r="L24" s="55">
        <f ca="1">IFERROR(__xludf.DUMMYFUNCTION("IMPORTRANGE(""https://docs.google.com/spreadsheets/d/11923uPwbBZFjjGgGUA6NLw09EwE0CqkOc4q9oUmW1yo/edit?usp=sharing"",""พิษณุโลก!J63"")"),0)</f>
        <v>0</v>
      </c>
      <c r="M24" s="56">
        <f t="shared" si="5"/>
        <v>0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24" customHeight="1" x14ac:dyDescent="0.5">
      <c r="A25" s="52">
        <v>10</v>
      </c>
      <c r="B25" s="53" t="s">
        <v>40</v>
      </c>
      <c r="C25" s="54">
        <f t="shared" si="21"/>
        <v>82440</v>
      </c>
      <c r="D25" s="55">
        <v>0</v>
      </c>
      <c r="E25" s="55">
        <v>82440</v>
      </c>
      <c r="F25" s="55">
        <f ca="1">IFERROR(__xludf.DUMMYFUNCTION("IMPORTRANGE(""https://docs.google.com/spreadsheets/d/11923uPwbBZFjjGgGUA6NLw09EwE0CqkOc4q9oUmW1yo/edit?usp=sharing"",""เพชรบูรณ์!M54"")"),0)</f>
        <v>0</v>
      </c>
      <c r="G25" s="56">
        <f t="shared" ca="1" si="1"/>
        <v>0</v>
      </c>
      <c r="H25" s="55">
        <v>20</v>
      </c>
      <c r="I25" s="55">
        <f ca="1">IFERROR(__xludf.DUMMYFUNCTION("IMPORTRANGE(""https://docs.google.com/spreadsheets/d/11923uPwbBZFjjGgGUA6NLw09EwE0CqkOc4q9oUmW1yo/edit?usp=sharing"",""เพชรบูรณ์!J62"")"),0)</f>
        <v>0</v>
      </c>
      <c r="J25" s="56">
        <f t="shared" ca="1" si="3"/>
        <v>0</v>
      </c>
      <c r="K25" s="55">
        <v>20</v>
      </c>
      <c r="L25" s="55">
        <f ca="1">IFERROR(__xludf.DUMMYFUNCTION("IMPORTRANGE(""https://docs.google.com/spreadsheets/d/11923uPwbBZFjjGgGUA6NLw09EwE0CqkOc4q9oUmW1yo/edit?usp=sharing"",""เพชรบูรณ์!J63"")"),0)</f>
        <v>0</v>
      </c>
      <c r="M25" s="56">
        <f t="shared" ca="1" si="5"/>
        <v>0</v>
      </c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24" customHeight="1" x14ac:dyDescent="0.5">
      <c r="A26" s="52">
        <v>11</v>
      </c>
      <c r="B26" s="53" t="s">
        <v>41</v>
      </c>
      <c r="C26" s="54">
        <f t="shared" si="21"/>
        <v>82440</v>
      </c>
      <c r="D26" s="55">
        <v>0</v>
      </c>
      <c r="E26" s="55">
        <v>82440</v>
      </c>
      <c r="F26" s="55">
        <f ca="1">IFERROR(__xludf.DUMMYFUNCTION("IMPORTRANGE(""https://docs.google.com/spreadsheets/d/11923uPwbBZFjjGgGUA6NLw09EwE0CqkOc4q9oUmW1yo/edit?usp=sharing"",""แพร่!M54"")"),0)</f>
        <v>0</v>
      </c>
      <c r="G26" s="56">
        <f t="shared" ca="1" si="1"/>
        <v>0</v>
      </c>
      <c r="H26" s="55">
        <v>20</v>
      </c>
      <c r="I26" s="55">
        <f ca="1">IFERROR(__xludf.DUMMYFUNCTION("IMPORTRANGE(""https://docs.google.com/spreadsheets/d/11923uPwbBZFjjGgGUA6NLw09EwE0CqkOc4q9oUmW1yo/edit?usp=sharing"",""แพร่!J62"")"),0)</f>
        <v>0</v>
      </c>
      <c r="J26" s="56">
        <f t="shared" ca="1" si="3"/>
        <v>0</v>
      </c>
      <c r="K26" s="55">
        <v>20</v>
      </c>
      <c r="L26" s="55">
        <f ca="1">IFERROR(__xludf.DUMMYFUNCTION("IMPORTRANGE(""https://docs.google.com/spreadsheets/d/11923uPwbBZFjjGgGUA6NLw09EwE0CqkOc4q9oUmW1yo/edit?usp=sharing"",""แพร่!J63"")"),0)</f>
        <v>0</v>
      </c>
      <c r="M26" s="56">
        <f t="shared" ca="1" si="5"/>
        <v>0</v>
      </c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24" customHeight="1" x14ac:dyDescent="0.5">
      <c r="A27" s="52">
        <v>12</v>
      </c>
      <c r="B27" s="53" t="s">
        <v>42</v>
      </c>
      <c r="C27" s="54">
        <f t="shared" si="21"/>
        <v>82440</v>
      </c>
      <c r="D27" s="55">
        <v>0</v>
      </c>
      <c r="E27" s="55">
        <v>82440</v>
      </c>
      <c r="F27" s="55">
        <f ca="1">IFERROR(__xludf.DUMMYFUNCTION("IMPORTRANGE(""https://docs.google.com/spreadsheets/d/11923uPwbBZFjjGgGUA6NLw09EwE0CqkOc4q9oUmW1yo/edit?usp=sharing"",""แม่ฮ่องสอน!M54"")"),0)</f>
        <v>0</v>
      </c>
      <c r="G27" s="56">
        <f t="shared" ca="1" si="1"/>
        <v>0</v>
      </c>
      <c r="H27" s="55">
        <v>20</v>
      </c>
      <c r="I27" s="55">
        <f ca="1">IFERROR(__xludf.DUMMYFUNCTION("IMPORTRANGE(""https://docs.google.com/spreadsheets/d/11923uPwbBZFjjGgGUA6NLw09EwE0CqkOc4q9oUmW1yo/edit?usp=sharing"",""แม่ฮ่องสอน!J62"")"),0)</f>
        <v>0</v>
      </c>
      <c r="J27" s="56">
        <f t="shared" ca="1" si="3"/>
        <v>0</v>
      </c>
      <c r="K27" s="55">
        <v>20</v>
      </c>
      <c r="L27" s="55">
        <f ca="1">IFERROR(__xludf.DUMMYFUNCTION("IMPORTRANGE(""https://docs.google.com/spreadsheets/d/11923uPwbBZFjjGgGUA6NLw09EwE0CqkOc4q9oUmW1yo/edit?usp=sharing"",""แม่ฮ่องสอน!J63"")"),0)</f>
        <v>0</v>
      </c>
      <c r="M27" s="56">
        <f t="shared" ca="1" si="5"/>
        <v>0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24" customHeight="1" x14ac:dyDescent="0.5">
      <c r="A28" s="52">
        <v>13</v>
      </c>
      <c r="B28" s="53" t="s">
        <v>43</v>
      </c>
      <c r="C28" s="54">
        <f t="shared" si="21"/>
        <v>0</v>
      </c>
      <c r="D28" s="55">
        <v>0</v>
      </c>
      <c r="E28" s="55">
        <v>0</v>
      </c>
      <c r="F28" s="55">
        <f ca="1">IFERROR(__xludf.DUMMYFUNCTION("IMPORTRANGE(""https://docs.google.com/spreadsheets/d/11923uPwbBZFjjGgGUA6NLw09EwE0CqkOc4q9oUmW1yo/edit?usp=sharing"",""ลำปาง!M54"")"),0)</f>
        <v>0</v>
      </c>
      <c r="G28" s="56">
        <f t="shared" si="1"/>
        <v>0</v>
      </c>
      <c r="H28" s="55">
        <v>0</v>
      </c>
      <c r="I28" s="55">
        <f ca="1">IFERROR(__xludf.DUMMYFUNCTION("IMPORTRANGE(""https://docs.google.com/spreadsheets/d/11923uPwbBZFjjGgGUA6NLw09EwE0CqkOc4q9oUmW1yo/edit?usp=sharing"",""ลำปาง!J62"")"),0)</f>
        <v>0</v>
      </c>
      <c r="J28" s="56">
        <f t="shared" si="3"/>
        <v>0</v>
      </c>
      <c r="K28" s="55">
        <v>0</v>
      </c>
      <c r="L28" s="55">
        <f ca="1">IFERROR(__xludf.DUMMYFUNCTION("IMPORTRANGE(""https://docs.google.com/spreadsheets/d/11923uPwbBZFjjGgGUA6NLw09EwE0CqkOc4q9oUmW1yo/edit?usp=sharing"",""ลำปาง!J63"")"),0)</f>
        <v>0</v>
      </c>
      <c r="M28" s="56">
        <f t="shared" si="5"/>
        <v>0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 ht="24" customHeight="1" x14ac:dyDescent="0.5">
      <c r="A29" s="52">
        <v>14</v>
      </c>
      <c r="B29" s="53" t="s">
        <v>44</v>
      </c>
      <c r="C29" s="54">
        <f t="shared" si="21"/>
        <v>82440</v>
      </c>
      <c r="D29" s="55">
        <v>0</v>
      </c>
      <c r="E29" s="55">
        <v>82440</v>
      </c>
      <c r="F29" s="55">
        <f ca="1">IFERROR(__xludf.DUMMYFUNCTION("IMPORTRANGE(""https://docs.google.com/spreadsheets/d/11923uPwbBZFjjGgGUA6NLw09EwE0CqkOc4q9oUmW1yo/edit?usp=sharing"",""ลำพูน!M54"")"),0)</f>
        <v>0</v>
      </c>
      <c r="G29" s="56">
        <f t="shared" ca="1" si="1"/>
        <v>0</v>
      </c>
      <c r="H29" s="55">
        <v>20</v>
      </c>
      <c r="I29" s="55">
        <f ca="1">IFERROR(__xludf.DUMMYFUNCTION("IMPORTRANGE(""https://docs.google.com/spreadsheets/d/11923uPwbBZFjjGgGUA6NLw09EwE0CqkOc4q9oUmW1yo/edit?usp=sharing"",""ลำพูน!J62"")"),0)</f>
        <v>0</v>
      </c>
      <c r="J29" s="56">
        <f t="shared" ca="1" si="3"/>
        <v>0</v>
      </c>
      <c r="K29" s="55">
        <v>20</v>
      </c>
      <c r="L29" s="55">
        <f ca="1">IFERROR(__xludf.DUMMYFUNCTION("IMPORTRANGE(""https://docs.google.com/spreadsheets/d/11923uPwbBZFjjGgGUA6NLw09EwE0CqkOc4q9oUmW1yo/edit?usp=sharing"",""ลำพูน!J63"")"),0)</f>
        <v>0</v>
      </c>
      <c r="M29" s="56">
        <f t="shared" ca="1" si="5"/>
        <v>0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24" customHeight="1" x14ac:dyDescent="0.5">
      <c r="A30" s="52">
        <v>15</v>
      </c>
      <c r="B30" s="53" t="s">
        <v>45</v>
      </c>
      <c r="C30" s="54">
        <f t="shared" si="21"/>
        <v>82440</v>
      </c>
      <c r="D30" s="55">
        <v>0</v>
      </c>
      <c r="E30" s="55">
        <v>82440</v>
      </c>
      <c r="F30" s="55">
        <f ca="1">IFERROR(__xludf.DUMMYFUNCTION("IMPORTRANGE(""https://docs.google.com/spreadsheets/d/11923uPwbBZFjjGgGUA6NLw09EwE0CqkOc4q9oUmW1yo/edit?usp=sharing"",""สุโขทัย!M54"")"),0)</f>
        <v>0</v>
      </c>
      <c r="G30" s="56">
        <f t="shared" ca="1" si="1"/>
        <v>0</v>
      </c>
      <c r="H30" s="55">
        <v>20</v>
      </c>
      <c r="I30" s="55">
        <f ca="1">IFERROR(__xludf.DUMMYFUNCTION("IMPORTRANGE(""https://docs.google.com/spreadsheets/d/11923uPwbBZFjjGgGUA6NLw09EwE0CqkOc4q9oUmW1yo/edit?usp=sharing"",""สุโขทัย!J62"")"),0)</f>
        <v>0</v>
      </c>
      <c r="J30" s="56">
        <f t="shared" ca="1" si="3"/>
        <v>0</v>
      </c>
      <c r="K30" s="55">
        <v>20</v>
      </c>
      <c r="L30" s="55">
        <f ca="1">IFERROR(__xludf.DUMMYFUNCTION("IMPORTRANGE(""https://docs.google.com/spreadsheets/d/11923uPwbBZFjjGgGUA6NLw09EwE0CqkOc4q9oUmW1yo/edit?usp=sharing"",""สุโขทัย!J63"")"),0)</f>
        <v>0</v>
      </c>
      <c r="M30" s="56">
        <f t="shared" ca="1" si="5"/>
        <v>0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24" customHeight="1" x14ac:dyDescent="0.5">
      <c r="A31" s="52">
        <v>16</v>
      </c>
      <c r="B31" s="53" t="s">
        <v>46</v>
      </c>
      <c r="C31" s="54">
        <f t="shared" si="21"/>
        <v>82440</v>
      </c>
      <c r="D31" s="55">
        <v>0</v>
      </c>
      <c r="E31" s="55">
        <v>82440</v>
      </c>
      <c r="F31" s="55">
        <f ca="1">IFERROR(__xludf.DUMMYFUNCTION("IMPORTRANGE(""https://docs.google.com/spreadsheets/d/11923uPwbBZFjjGgGUA6NLw09EwE0CqkOc4q9oUmW1yo/edit?usp=sharing"",""อุตรดิตถ์!M54"")"),0)</f>
        <v>0</v>
      </c>
      <c r="G31" s="56">
        <f t="shared" ca="1" si="1"/>
        <v>0</v>
      </c>
      <c r="H31" s="55">
        <v>20</v>
      </c>
      <c r="I31" s="55">
        <f ca="1">IFERROR(__xludf.DUMMYFUNCTION("IMPORTRANGE(""https://docs.google.com/spreadsheets/d/11923uPwbBZFjjGgGUA6NLw09EwE0CqkOc4q9oUmW1yo/edit?usp=sharing"",""อุตรดิตถ์!J62"")"),0)</f>
        <v>0</v>
      </c>
      <c r="J31" s="56">
        <f t="shared" ca="1" si="3"/>
        <v>0</v>
      </c>
      <c r="K31" s="55">
        <v>20</v>
      </c>
      <c r="L31" s="55">
        <f ca="1">IFERROR(__xludf.DUMMYFUNCTION("IMPORTRANGE(""https://docs.google.com/spreadsheets/d/11923uPwbBZFjjGgGUA6NLw09EwE0CqkOc4q9oUmW1yo/edit?usp=sharing"",""อุตรดิตถ์!J63"")"),0)</f>
        <v>0</v>
      </c>
      <c r="M31" s="56">
        <f t="shared" ca="1" si="5"/>
        <v>0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24" customHeight="1" x14ac:dyDescent="0.5">
      <c r="A32" s="59">
        <v>17</v>
      </c>
      <c r="B32" s="60" t="s">
        <v>47</v>
      </c>
      <c r="C32" s="61">
        <f t="shared" si="21"/>
        <v>0</v>
      </c>
      <c r="D32" s="62">
        <v>0</v>
      </c>
      <c r="E32" s="62">
        <v>0</v>
      </c>
      <c r="F32" s="62">
        <f ca="1">IFERROR(__xludf.DUMMYFUNCTION("IMPORTRANGE(""https://docs.google.com/spreadsheets/d/11923uPwbBZFjjGgGUA6NLw09EwE0CqkOc4q9oUmW1yo/edit?usp=sharing"",""อุทัยธานี!M54"")"),0)</f>
        <v>0</v>
      </c>
      <c r="G32" s="63">
        <f t="shared" si="1"/>
        <v>0</v>
      </c>
      <c r="H32" s="62">
        <v>0</v>
      </c>
      <c r="I32" s="62">
        <f ca="1">IFERROR(__xludf.DUMMYFUNCTION("IMPORTRANGE(""https://docs.google.com/spreadsheets/d/11923uPwbBZFjjGgGUA6NLw09EwE0CqkOc4q9oUmW1yo/edit?usp=sharing"",""อุทัยธานี!J62"")"),0)</f>
        <v>0</v>
      </c>
      <c r="J32" s="63">
        <f t="shared" si="3"/>
        <v>0</v>
      </c>
      <c r="K32" s="62">
        <v>0</v>
      </c>
      <c r="L32" s="62">
        <f ca="1">IFERROR(__xludf.DUMMYFUNCTION("IMPORTRANGE(""https://docs.google.com/spreadsheets/d/11923uPwbBZFjjGgGUA6NLw09EwE0CqkOc4q9oUmW1yo/edit?usp=sharing"",""อุทัยธานี!J63"")"),0)</f>
        <v>0</v>
      </c>
      <c r="M32" s="63">
        <f t="shared" si="5"/>
        <v>0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24" customHeight="1" x14ac:dyDescent="0.5">
      <c r="A33" s="568" t="s">
        <v>48</v>
      </c>
      <c r="B33" s="569"/>
      <c r="C33" s="66">
        <f t="shared" ref="C33:F33" si="22">SUM(C34:C53)</f>
        <v>494640</v>
      </c>
      <c r="D33" s="66">
        <f t="shared" si="22"/>
        <v>0</v>
      </c>
      <c r="E33" s="66">
        <f t="shared" si="22"/>
        <v>494640</v>
      </c>
      <c r="F33" s="66">
        <f t="shared" ca="1" si="22"/>
        <v>0</v>
      </c>
      <c r="G33" s="67">
        <f t="shared" ca="1" si="1"/>
        <v>0</v>
      </c>
      <c r="H33" s="66">
        <f t="shared" ref="H33:I33" si="23">SUM(H34:H53)</f>
        <v>120</v>
      </c>
      <c r="I33" s="66">
        <f t="shared" ca="1" si="23"/>
        <v>0</v>
      </c>
      <c r="J33" s="67">
        <f t="shared" ca="1" si="3"/>
        <v>0</v>
      </c>
      <c r="K33" s="66">
        <f t="shared" ref="K33:L33" si="24">SUM(K34:K53)</f>
        <v>120</v>
      </c>
      <c r="L33" s="66">
        <f t="shared" ca="1" si="24"/>
        <v>0</v>
      </c>
      <c r="M33" s="67">
        <f t="shared" ca="1" si="5"/>
        <v>0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24" customHeight="1" x14ac:dyDescent="0.5">
      <c r="A34" s="45">
        <v>1</v>
      </c>
      <c r="B34" s="46" t="s">
        <v>49</v>
      </c>
      <c r="C34" s="47">
        <f t="shared" ref="C34:C53" si="25">+D34+E34</f>
        <v>82440</v>
      </c>
      <c r="D34" s="48">
        <v>0</v>
      </c>
      <c r="E34" s="48">
        <v>82440</v>
      </c>
      <c r="F34" s="48">
        <f ca="1">IFERROR(__xludf.DUMMYFUNCTION("IMPORTRANGE(""https://docs.google.com/spreadsheets/d/1XL5vhW3sbDhbH9Cz0tuDiY8C3ctxq1tqvaCgkFb8cCA/edit?usp=sharing"",""กาฬสินธุ์!M54"")"),0)</f>
        <v>0</v>
      </c>
      <c r="G34" s="50">
        <f t="shared" ca="1" si="1"/>
        <v>0</v>
      </c>
      <c r="H34" s="48">
        <v>20</v>
      </c>
      <c r="I34" s="48">
        <f ca="1">IFERROR(__xludf.DUMMYFUNCTION("IMPORTRANGE(""https://docs.google.com/spreadsheets/d/1XL5vhW3sbDhbH9Cz0tuDiY8C3ctxq1tqvaCgkFb8cCA/edit?usp=sharing"",""กาฬสินธุ์!J62"")"),0)</f>
        <v>0</v>
      </c>
      <c r="J34" s="50">
        <f t="shared" ca="1" si="3"/>
        <v>0</v>
      </c>
      <c r="K34" s="48">
        <v>20</v>
      </c>
      <c r="L34" s="48">
        <f ca="1">IFERROR(__xludf.DUMMYFUNCTION("IMPORTRANGE(""https://docs.google.com/spreadsheets/d/1XL5vhW3sbDhbH9Cz0tuDiY8C3ctxq1tqvaCgkFb8cCA/edit?usp=sharing"",""กาฬสินธุ์!J63"")"),0)</f>
        <v>0</v>
      </c>
      <c r="M34" s="50">
        <f t="shared" ca="1" si="5"/>
        <v>0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24" customHeight="1" x14ac:dyDescent="0.5">
      <c r="A35" s="52">
        <v>2</v>
      </c>
      <c r="B35" s="53" t="s">
        <v>50</v>
      </c>
      <c r="C35" s="54">
        <f t="shared" si="25"/>
        <v>0</v>
      </c>
      <c r="D35" s="55">
        <v>0</v>
      </c>
      <c r="E35" s="55">
        <v>0</v>
      </c>
      <c r="F35" s="55">
        <f ca="1">IFERROR(__xludf.DUMMYFUNCTION("IMPORTRANGE(""https://docs.google.com/spreadsheets/d/1XL5vhW3sbDhbH9Cz0tuDiY8C3ctxq1tqvaCgkFb8cCA/edit?usp=sharing"",""ขอนแก่น!M54"")"),0)</f>
        <v>0</v>
      </c>
      <c r="G35" s="56">
        <f t="shared" si="1"/>
        <v>0</v>
      </c>
      <c r="H35" s="55">
        <v>0</v>
      </c>
      <c r="I35" s="55">
        <f ca="1">IFERROR(__xludf.DUMMYFUNCTION("IMPORTRANGE(""https://docs.google.com/spreadsheets/d/1XL5vhW3sbDhbH9Cz0tuDiY8C3ctxq1tqvaCgkFb8cCA/edit?usp=sharing"",""ขอนแก่น!J62"")"),0)</f>
        <v>0</v>
      </c>
      <c r="J35" s="56">
        <f t="shared" si="3"/>
        <v>0</v>
      </c>
      <c r="K35" s="55">
        <v>0</v>
      </c>
      <c r="L35" s="55">
        <f ca="1">IFERROR(__xludf.DUMMYFUNCTION("IMPORTRANGE(""https://docs.google.com/spreadsheets/d/1XL5vhW3sbDhbH9Cz0tuDiY8C3ctxq1tqvaCgkFb8cCA/edit?usp=sharing"",""ขอนแก่น!J63"")"),0)</f>
        <v>0</v>
      </c>
      <c r="M35" s="56">
        <f t="shared" si="5"/>
        <v>0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ht="24" customHeight="1" x14ac:dyDescent="0.5">
      <c r="A36" s="52">
        <v>3</v>
      </c>
      <c r="B36" s="53" t="s">
        <v>51</v>
      </c>
      <c r="C36" s="54">
        <f t="shared" si="25"/>
        <v>82440</v>
      </c>
      <c r="D36" s="55">
        <v>0</v>
      </c>
      <c r="E36" s="55">
        <v>82440</v>
      </c>
      <c r="F36" s="55">
        <f ca="1">IFERROR(__xludf.DUMMYFUNCTION("IMPORTRANGE(""https://docs.google.com/spreadsheets/d/1XL5vhW3sbDhbH9Cz0tuDiY8C3ctxq1tqvaCgkFb8cCA/edit?usp=sharing"",""ชัยภูมิ!M54"")"),0)</f>
        <v>0</v>
      </c>
      <c r="G36" s="56">
        <f t="shared" ca="1" si="1"/>
        <v>0</v>
      </c>
      <c r="H36" s="55">
        <v>20</v>
      </c>
      <c r="I36" s="55">
        <f ca="1">IFERROR(__xludf.DUMMYFUNCTION("IMPORTRANGE(""https://docs.google.com/spreadsheets/d/1XL5vhW3sbDhbH9Cz0tuDiY8C3ctxq1tqvaCgkFb8cCA/edit?usp=sharing"",""ชัยภูมิ!J62"")"),0)</f>
        <v>0</v>
      </c>
      <c r="J36" s="56">
        <f t="shared" ca="1" si="3"/>
        <v>0</v>
      </c>
      <c r="K36" s="55">
        <v>20</v>
      </c>
      <c r="L36" s="55">
        <f ca="1">IFERROR(__xludf.DUMMYFUNCTION("IMPORTRANGE(""https://docs.google.com/spreadsheets/d/1XL5vhW3sbDhbH9Cz0tuDiY8C3ctxq1tqvaCgkFb8cCA/edit?usp=sharing"",""ชัยภูมิ!J63"")"),0)</f>
        <v>0</v>
      </c>
      <c r="M36" s="56">
        <f t="shared" ca="1" si="5"/>
        <v>0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ht="24" customHeight="1" x14ac:dyDescent="0.5">
      <c r="A37" s="52">
        <v>4</v>
      </c>
      <c r="B37" s="53" t="s">
        <v>52</v>
      </c>
      <c r="C37" s="54">
        <f t="shared" si="25"/>
        <v>0</v>
      </c>
      <c r="D37" s="55">
        <v>0</v>
      </c>
      <c r="E37" s="55">
        <v>0</v>
      </c>
      <c r="F37" s="55">
        <f ca="1">IFERROR(__xludf.DUMMYFUNCTION("IMPORTRANGE(""https://docs.google.com/spreadsheets/d/1XL5vhW3sbDhbH9Cz0tuDiY8C3ctxq1tqvaCgkFb8cCA/edit?usp=sharing"",""นครพนม!M54"")"),0)</f>
        <v>0</v>
      </c>
      <c r="G37" s="56">
        <f t="shared" si="1"/>
        <v>0</v>
      </c>
      <c r="H37" s="55">
        <v>0</v>
      </c>
      <c r="I37" s="55">
        <f ca="1">IFERROR(__xludf.DUMMYFUNCTION("IMPORTRANGE(""https://docs.google.com/spreadsheets/d/1XL5vhW3sbDhbH9Cz0tuDiY8C3ctxq1tqvaCgkFb8cCA/edit?usp=sharing"",""นครพนม!J62"")"),0)</f>
        <v>0</v>
      </c>
      <c r="J37" s="56">
        <f t="shared" si="3"/>
        <v>0</v>
      </c>
      <c r="K37" s="55">
        <v>0</v>
      </c>
      <c r="L37" s="55">
        <f ca="1">IFERROR(__xludf.DUMMYFUNCTION("IMPORTRANGE(""https://docs.google.com/spreadsheets/d/1XL5vhW3sbDhbH9Cz0tuDiY8C3ctxq1tqvaCgkFb8cCA/edit?usp=sharing"",""นครพนม!J63"")"),0)</f>
        <v>0</v>
      </c>
      <c r="M37" s="56">
        <f t="shared" si="5"/>
        <v>0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ht="24" customHeight="1" x14ac:dyDescent="0.5">
      <c r="A38" s="52">
        <v>5</v>
      </c>
      <c r="B38" s="53" t="s">
        <v>53</v>
      </c>
      <c r="C38" s="54">
        <f t="shared" si="25"/>
        <v>0</v>
      </c>
      <c r="D38" s="55">
        <v>0</v>
      </c>
      <c r="E38" s="55">
        <v>0</v>
      </c>
      <c r="F38" s="55">
        <f ca="1">IFERROR(__xludf.DUMMYFUNCTION("IMPORTRANGE(""https://docs.google.com/spreadsheets/d/1XL5vhW3sbDhbH9Cz0tuDiY8C3ctxq1tqvaCgkFb8cCA/edit?usp=sharing"",""นครราชสีมา!M54"")"),0)</f>
        <v>0</v>
      </c>
      <c r="G38" s="56">
        <f t="shared" si="1"/>
        <v>0</v>
      </c>
      <c r="H38" s="55">
        <v>0</v>
      </c>
      <c r="I38" s="55">
        <f ca="1">IFERROR(__xludf.DUMMYFUNCTION("IMPORTRANGE(""https://docs.google.com/spreadsheets/d/1XL5vhW3sbDhbH9Cz0tuDiY8C3ctxq1tqvaCgkFb8cCA/edit?usp=sharing"",""นครราชสีมา!J62"")"),0)</f>
        <v>0</v>
      </c>
      <c r="J38" s="56">
        <f t="shared" si="3"/>
        <v>0</v>
      </c>
      <c r="K38" s="55">
        <v>0</v>
      </c>
      <c r="L38" s="55">
        <f ca="1">IFERROR(__xludf.DUMMYFUNCTION("IMPORTRANGE(""https://docs.google.com/spreadsheets/d/1XL5vhW3sbDhbH9Cz0tuDiY8C3ctxq1tqvaCgkFb8cCA/edit?usp=sharing"",""นครราชสีมา!J63"")"),0)</f>
        <v>0</v>
      </c>
      <c r="M38" s="56">
        <f t="shared" si="5"/>
        <v>0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24" customHeight="1" x14ac:dyDescent="0.5">
      <c r="A39" s="52">
        <v>6</v>
      </c>
      <c r="B39" s="53" t="s">
        <v>54</v>
      </c>
      <c r="C39" s="54">
        <f t="shared" si="25"/>
        <v>0</v>
      </c>
      <c r="D39" s="55">
        <v>0</v>
      </c>
      <c r="E39" s="55">
        <v>0</v>
      </c>
      <c r="F39" s="55">
        <f ca="1">IFERROR(__xludf.DUMMYFUNCTION("IMPORTRANGE(""https://docs.google.com/spreadsheets/d/1XL5vhW3sbDhbH9Cz0tuDiY8C3ctxq1tqvaCgkFb8cCA/edit?usp=sharing"",""บึงกาฬ!M54"")"),0)</f>
        <v>0</v>
      </c>
      <c r="G39" s="56">
        <f t="shared" si="1"/>
        <v>0</v>
      </c>
      <c r="H39" s="55">
        <v>0</v>
      </c>
      <c r="I39" s="55">
        <f ca="1">IFERROR(__xludf.DUMMYFUNCTION("IMPORTRANGE(""https://docs.google.com/spreadsheets/d/1XL5vhW3sbDhbH9Cz0tuDiY8C3ctxq1tqvaCgkFb8cCA/edit?usp=sharing"",""บึงกาฬ!J62"")"),0)</f>
        <v>0</v>
      </c>
      <c r="J39" s="56">
        <f t="shared" si="3"/>
        <v>0</v>
      </c>
      <c r="K39" s="55">
        <v>0</v>
      </c>
      <c r="L39" s="55">
        <f ca="1">IFERROR(__xludf.DUMMYFUNCTION("IMPORTRANGE(""https://docs.google.com/spreadsheets/d/1XL5vhW3sbDhbH9Cz0tuDiY8C3ctxq1tqvaCgkFb8cCA/edit?usp=sharing"",""บึงกาฬ!J63"")"),0)</f>
        <v>0</v>
      </c>
      <c r="M39" s="56">
        <f t="shared" si="5"/>
        <v>0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ht="24" customHeight="1" x14ac:dyDescent="0.5">
      <c r="A40" s="52">
        <v>7</v>
      </c>
      <c r="B40" s="53" t="s">
        <v>55</v>
      </c>
      <c r="C40" s="54">
        <f t="shared" si="25"/>
        <v>82440</v>
      </c>
      <c r="D40" s="55">
        <v>0</v>
      </c>
      <c r="E40" s="55">
        <v>82440</v>
      </c>
      <c r="F40" s="55">
        <f ca="1">IFERROR(__xludf.DUMMYFUNCTION("IMPORTRANGE(""https://docs.google.com/spreadsheets/d/1XL5vhW3sbDhbH9Cz0tuDiY8C3ctxq1tqvaCgkFb8cCA/edit?usp=sharing"",""บุรีรัมย์!M54"")"),0)</f>
        <v>0</v>
      </c>
      <c r="G40" s="56">
        <f t="shared" ca="1" si="1"/>
        <v>0</v>
      </c>
      <c r="H40" s="55">
        <v>20</v>
      </c>
      <c r="I40" s="55">
        <f ca="1">IFERROR(__xludf.DUMMYFUNCTION("IMPORTRANGE(""https://docs.google.com/spreadsheets/d/1XL5vhW3sbDhbH9Cz0tuDiY8C3ctxq1tqvaCgkFb8cCA/edit?usp=sharing"",""บุรีรัมย์!J62"")"),0)</f>
        <v>0</v>
      </c>
      <c r="J40" s="56">
        <f t="shared" ca="1" si="3"/>
        <v>0</v>
      </c>
      <c r="K40" s="55">
        <v>20</v>
      </c>
      <c r="L40" s="55">
        <f ca="1">IFERROR(__xludf.DUMMYFUNCTION("IMPORTRANGE(""https://docs.google.com/spreadsheets/d/1XL5vhW3sbDhbH9Cz0tuDiY8C3ctxq1tqvaCgkFb8cCA/edit?usp=sharing"",""บุรีรัมย์!J63"")"),0)</f>
        <v>0</v>
      </c>
      <c r="M40" s="56">
        <f t="shared" ca="1" si="5"/>
        <v>0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24" customHeight="1" x14ac:dyDescent="0.5">
      <c r="A41" s="52">
        <v>8</v>
      </c>
      <c r="B41" s="53" t="s">
        <v>56</v>
      </c>
      <c r="C41" s="54">
        <f t="shared" si="25"/>
        <v>0</v>
      </c>
      <c r="D41" s="55">
        <v>0</v>
      </c>
      <c r="E41" s="55">
        <v>0</v>
      </c>
      <c r="F41" s="55">
        <f ca="1">IFERROR(__xludf.DUMMYFUNCTION("IMPORTRANGE(""https://docs.google.com/spreadsheets/d/1XL5vhW3sbDhbH9Cz0tuDiY8C3ctxq1tqvaCgkFb8cCA/edit?usp=sharing"",""มหาสารคาม!M54"")"),0)</f>
        <v>0</v>
      </c>
      <c r="G41" s="56">
        <f t="shared" si="1"/>
        <v>0</v>
      </c>
      <c r="H41" s="55">
        <v>0</v>
      </c>
      <c r="I41" s="55">
        <f ca="1">IFERROR(__xludf.DUMMYFUNCTION("IMPORTRANGE(""https://docs.google.com/spreadsheets/d/1XL5vhW3sbDhbH9Cz0tuDiY8C3ctxq1tqvaCgkFb8cCA/edit?usp=sharing"",""มหาสารคาม!J62"")"),0)</f>
        <v>0</v>
      </c>
      <c r="J41" s="56">
        <f t="shared" si="3"/>
        <v>0</v>
      </c>
      <c r="K41" s="55">
        <v>0</v>
      </c>
      <c r="L41" s="55">
        <f ca="1">IFERROR(__xludf.DUMMYFUNCTION("IMPORTRANGE(""https://docs.google.com/spreadsheets/d/1XL5vhW3sbDhbH9Cz0tuDiY8C3ctxq1tqvaCgkFb8cCA/edit?usp=sharing"",""มหาสารคาม!J63"")"),0)</f>
        <v>0</v>
      </c>
      <c r="M41" s="56">
        <f t="shared" si="5"/>
        <v>0</v>
      </c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ht="24" customHeight="1" x14ac:dyDescent="0.5">
      <c r="A42" s="52">
        <v>9</v>
      </c>
      <c r="B42" s="53" t="s">
        <v>57</v>
      </c>
      <c r="C42" s="54">
        <f t="shared" si="25"/>
        <v>0</v>
      </c>
      <c r="D42" s="55">
        <v>0</v>
      </c>
      <c r="E42" s="55">
        <v>0</v>
      </c>
      <c r="F42" s="55">
        <f ca="1">IFERROR(__xludf.DUMMYFUNCTION("IMPORTRANGE(""https://docs.google.com/spreadsheets/d/1XL5vhW3sbDhbH9Cz0tuDiY8C3ctxq1tqvaCgkFb8cCA/edit?usp=sharing"",""มุกดาหาร!M54"")"),0)</f>
        <v>0</v>
      </c>
      <c r="G42" s="56">
        <f t="shared" si="1"/>
        <v>0</v>
      </c>
      <c r="H42" s="55">
        <v>0</v>
      </c>
      <c r="I42" s="55">
        <f ca="1">IFERROR(__xludf.DUMMYFUNCTION("IMPORTRANGE(""https://docs.google.com/spreadsheets/d/1XL5vhW3sbDhbH9Cz0tuDiY8C3ctxq1tqvaCgkFb8cCA/edit?usp=sharing"",""มุกดาหาร!J62"")"),0)</f>
        <v>0</v>
      </c>
      <c r="J42" s="56">
        <f t="shared" si="3"/>
        <v>0</v>
      </c>
      <c r="K42" s="55">
        <v>0</v>
      </c>
      <c r="L42" s="55">
        <f ca="1">IFERROR(__xludf.DUMMYFUNCTION("IMPORTRANGE(""https://docs.google.com/spreadsheets/d/1XL5vhW3sbDhbH9Cz0tuDiY8C3ctxq1tqvaCgkFb8cCA/edit?usp=sharing"",""มุกดาหาร!J63"")"),0)</f>
        <v>0</v>
      </c>
      <c r="M42" s="56">
        <f t="shared" si="5"/>
        <v>0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ht="24" customHeight="1" x14ac:dyDescent="0.5">
      <c r="A43" s="52">
        <v>10</v>
      </c>
      <c r="B43" s="53" t="s">
        <v>58</v>
      </c>
      <c r="C43" s="54">
        <f t="shared" si="25"/>
        <v>82440</v>
      </c>
      <c r="D43" s="55">
        <v>0</v>
      </c>
      <c r="E43" s="55">
        <v>82440</v>
      </c>
      <c r="F43" s="55">
        <f ca="1">IFERROR(__xludf.DUMMYFUNCTION("IMPORTRANGE(""https://docs.google.com/spreadsheets/d/1XL5vhW3sbDhbH9Cz0tuDiY8C3ctxq1tqvaCgkFb8cCA/edit?usp=sharing"",""ยโสธร!M54"")"),0)</f>
        <v>0</v>
      </c>
      <c r="G43" s="56">
        <f t="shared" ca="1" si="1"/>
        <v>0</v>
      </c>
      <c r="H43" s="55">
        <v>20</v>
      </c>
      <c r="I43" s="55">
        <f ca="1">IFERROR(__xludf.DUMMYFUNCTION("IMPORTRANGE(""https://docs.google.com/spreadsheets/d/1XL5vhW3sbDhbH9Cz0tuDiY8C3ctxq1tqvaCgkFb8cCA/edit?usp=sharing"",""ยโสธร!J62"")"),0)</f>
        <v>0</v>
      </c>
      <c r="J43" s="56">
        <f t="shared" ca="1" si="3"/>
        <v>0</v>
      </c>
      <c r="K43" s="55">
        <v>20</v>
      </c>
      <c r="L43" s="55">
        <f ca="1">IFERROR(__xludf.DUMMYFUNCTION("IMPORTRANGE(""https://docs.google.com/spreadsheets/d/1XL5vhW3sbDhbH9Cz0tuDiY8C3ctxq1tqvaCgkFb8cCA/edit?usp=sharing"",""ยโสธร!J63"")"),0)</f>
        <v>0</v>
      </c>
      <c r="M43" s="56">
        <f t="shared" ca="1" si="5"/>
        <v>0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ht="24" customHeight="1" x14ac:dyDescent="0.5">
      <c r="A44" s="52">
        <v>11</v>
      </c>
      <c r="B44" s="53" t="s">
        <v>59</v>
      </c>
      <c r="C44" s="54">
        <f t="shared" si="25"/>
        <v>0</v>
      </c>
      <c r="D44" s="55">
        <v>0</v>
      </c>
      <c r="E44" s="55">
        <v>0</v>
      </c>
      <c r="F44" s="55">
        <f ca="1">IFERROR(__xludf.DUMMYFUNCTION("IMPORTRANGE(""https://docs.google.com/spreadsheets/d/1XL5vhW3sbDhbH9Cz0tuDiY8C3ctxq1tqvaCgkFb8cCA/edit?usp=sharing"",""ร้อยเอ็ด!M54"")"),0)</f>
        <v>0</v>
      </c>
      <c r="G44" s="56">
        <f t="shared" si="1"/>
        <v>0</v>
      </c>
      <c r="H44" s="55">
        <v>0</v>
      </c>
      <c r="I44" s="55">
        <f ca="1">IFERROR(__xludf.DUMMYFUNCTION("IMPORTRANGE(""https://docs.google.com/spreadsheets/d/1XL5vhW3sbDhbH9Cz0tuDiY8C3ctxq1tqvaCgkFb8cCA/edit?usp=sharing"",""ร้อยเอ็ด!J62"")"),0)</f>
        <v>0</v>
      </c>
      <c r="J44" s="56">
        <f t="shared" si="3"/>
        <v>0</v>
      </c>
      <c r="K44" s="55">
        <v>0</v>
      </c>
      <c r="L44" s="55">
        <f ca="1">IFERROR(__xludf.DUMMYFUNCTION("IMPORTRANGE(""https://docs.google.com/spreadsheets/d/1XL5vhW3sbDhbH9Cz0tuDiY8C3ctxq1tqvaCgkFb8cCA/edit?usp=sharing"",""ร้อยเอ็ด!J63"")"),0)</f>
        <v>0</v>
      </c>
      <c r="M44" s="56">
        <f t="shared" si="5"/>
        <v>0</v>
      </c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ht="24" customHeight="1" x14ac:dyDescent="0.5">
      <c r="A45" s="52">
        <v>12</v>
      </c>
      <c r="B45" s="53" t="s">
        <v>60</v>
      </c>
      <c r="C45" s="54">
        <f t="shared" si="25"/>
        <v>0</v>
      </c>
      <c r="D45" s="55">
        <v>0</v>
      </c>
      <c r="E45" s="55">
        <v>0</v>
      </c>
      <c r="F45" s="55">
        <f ca="1">IFERROR(__xludf.DUMMYFUNCTION("IMPORTRANGE(""https://docs.google.com/spreadsheets/d/1XL5vhW3sbDhbH9Cz0tuDiY8C3ctxq1tqvaCgkFb8cCA/edit?usp=sharing"",""เลย!M54"")"),0)</f>
        <v>0</v>
      </c>
      <c r="G45" s="56">
        <f t="shared" si="1"/>
        <v>0</v>
      </c>
      <c r="H45" s="55">
        <v>0</v>
      </c>
      <c r="I45" s="55">
        <f ca="1">IFERROR(__xludf.DUMMYFUNCTION("IMPORTRANGE(""https://docs.google.com/spreadsheets/d/1XL5vhW3sbDhbH9Cz0tuDiY8C3ctxq1tqvaCgkFb8cCA/edit?usp=sharing"",""เลย!J62"")"),0)</f>
        <v>0</v>
      </c>
      <c r="J45" s="56">
        <f t="shared" si="3"/>
        <v>0</v>
      </c>
      <c r="K45" s="55">
        <v>0</v>
      </c>
      <c r="L45" s="55">
        <f ca="1">IFERROR(__xludf.DUMMYFUNCTION("IMPORTRANGE(""https://docs.google.com/spreadsheets/d/1XL5vhW3sbDhbH9Cz0tuDiY8C3ctxq1tqvaCgkFb8cCA/edit?usp=sharing"",""เลย!J63"")"),0)</f>
        <v>0</v>
      </c>
      <c r="M45" s="56">
        <f t="shared" si="5"/>
        <v>0</v>
      </c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ht="24" customHeight="1" x14ac:dyDescent="0.5">
      <c r="A46" s="52">
        <v>13</v>
      </c>
      <c r="B46" s="53" t="s">
        <v>61</v>
      </c>
      <c r="C46" s="54">
        <f t="shared" si="25"/>
        <v>0</v>
      </c>
      <c r="D46" s="55">
        <v>0</v>
      </c>
      <c r="E46" s="55">
        <v>0</v>
      </c>
      <c r="F46" s="55">
        <f ca="1">IFERROR(__xludf.DUMMYFUNCTION("IMPORTRANGE(""https://docs.google.com/spreadsheets/d/1XL5vhW3sbDhbH9Cz0tuDiY8C3ctxq1tqvaCgkFb8cCA/edit?usp=sharing"",""ศรีสะเกษ!M54"")"),0)</f>
        <v>0</v>
      </c>
      <c r="G46" s="56">
        <f t="shared" si="1"/>
        <v>0</v>
      </c>
      <c r="H46" s="55">
        <v>0</v>
      </c>
      <c r="I46" s="55">
        <f ca="1">IFERROR(__xludf.DUMMYFUNCTION("IMPORTRANGE(""https://docs.google.com/spreadsheets/d/1XL5vhW3sbDhbH9Cz0tuDiY8C3ctxq1tqvaCgkFb8cCA/edit?usp=sharing"",""ศรีสะเกษ!J62"")"),0)</f>
        <v>0</v>
      </c>
      <c r="J46" s="56">
        <f t="shared" si="3"/>
        <v>0</v>
      </c>
      <c r="K46" s="55">
        <v>0</v>
      </c>
      <c r="L46" s="55">
        <f ca="1">IFERROR(__xludf.DUMMYFUNCTION("IMPORTRANGE(""https://docs.google.com/spreadsheets/d/1XL5vhW3sbDhbH9Cz0tuDiY8C3ctxq1tqvaCgkFb8cCA/edit?usp=sharing"",""ศรีสะเกษ!J63"")"),0)</f>
        <v>0</v>
      </c>
      <c r="M46" s="56">
        <f t="shared" si="5"/>
        <v>0</v>
      </c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ht="24" customHeight="1" x14ac:dyDescent="0.5">
      <c r="A47" s="52">
        <v>14</v>
      </c>
      <c r="B47" s="53" t="s">
        <v>62</v>
      </c>
      <c r="C47" s="54">
        <f t="shared" si="25"/>
        <v>0</v>
      </c>
      <c r="D47" s="55">
        <v>0</v>
      </c>
      <c r="E47" s="55">
        <v>0</v>
      </c>
      <c r="F47" s="55">
        <f ca="1">IFERROR(__xludf.DUMMYFUNCTION("IMPORTRANGE(""https://docs.google.com/spreadsheets/d/1XL5vhW3sbDhbH9Cz0tuDiY8C3ctxq1tqvaCgkFb8cCA/edit?usp=sharing"",""สกลนคร!M54"")"),0)</f>
        <v>0</v>
      </c>
      <c r="G47" s="56">
        <f t="shared" si="1"/>
        <v>0</v>
      </c>
      <c r="H47" s="55">
        <v>0</v>
      </c>
      <c r="I47" s="55">
        <f ca="1">IFERROR(__xludf.DUMMYFUNCTION("IMPORTRANGE(""https://docs.google.com/spreadsheets/d/1XL5vhW3sbDhbH9Cz0tuDiY8C3ctxq1tqvaCgkFb8cCA/edit?usp=sharing"",""สกลนคร!J62"")"),0)</f>
        <v>0</v>
      </c>
      <c r="J47" s="56">
        <f t="shared" si="3"/>
        <v>0</v>
      </c>
      <c r="K47" s="55">
        <v>0</v>
      </c>
      <c r="L47" s="55">
        <f ca="1">IFERROR(__xludf.DUMMYFUNCTION("IMPORTRANGE(""https://docs.google.com/spreadsheets/d/1XL5vhW3sbDhbH9Cz0tuDiY8C3ctxq1tqvaCgkFb8cCA/edit?usp=sharing"",""สกลนคร!J63"")"),0)</f>
        <v>0</v>
      </c>
      <c r="M47" s="56">
        <f t="shared" si="5"/>
        <v>0</v>
      </c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24" customHeight="1" x14ac:dyDescent="0.5">
      <c r="A48" s="52">
        <v>15</v>
      </c>
      <c r="B48" s="53" t="s">
        <v>63</v>
      </c>
      <c r="C48" s="54">
        <f t="shared" si="25"/>
        <v>0</v>
      </c>
      <c r="D48" s="55">
        <v>0</v>
      </c>
      <c r="E48" s="55">
        <v>0</v>
      </c>
      <c r="F48" s="55">
        <f ca="1">IFERROR(__xludf.DUMMYFUNCTION("IMPORTRANGE(""https://docs.google.com/spreadsheets/d/1XL5vhW3sbDhbH9Cz0tuDiY8C3ctxq1tqvaCgkFb8cCA/edit?usp=sharing"",""สุรินทร์!M54"")"),0)</f>
        <v>0</v>
      </c>
      <c r="G48" s="56">
        <f t="shared" si="1"/>
        <v>0</v>
      </c>
      <c r="H48" s="55">
        <v>0</v>
      </c>
      <c r="I48" s="55">
        <f ca="1">IFERROR(__xludf.DUMMYFUNCTION("IMPORTRANGE(""https://docs.google.com/spreadsheets/d/1XL5vhW3sbDhbH9Cz0tuDiY8C3ctxq1tqvaCgkFb8cCA/edit?usp=sharing"",""สุรินทร์!J62"")"),0)</f>
        <v>0</v>
      </c>
      <c r="J48" s="56">
        <f t="shared" si="3"/>
        <v>0</v>
      </c>
      <c r="K48" s="55">
        <v>0</v>
      </c>
      <c r="L48" s="55">
        <f ca="1">IFERROR(__xludf.DUMMYFUNCTION("IMPORTRANGE(""https://docs.google.com/spreadsheets/d/1XL5vhW3sbDhbH9Cz0tuDiY8C3ctxq1tqvaCgkFb8cCA/edit?usp=sharing"",""สุรินทร์!J63"")"),0)</f>
        <v>0</v>
      </c>
      <c r="M48" s="56">
        <f t="shared" si="5"/>
        <v>0</v>
      </c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24" customHeight="1" x14ac:dyDescent="0.5">
      <c r="A49" s="52">
        <v>16</v>
      </c>
      <c r="B49" s="53" t="s">
        <v>64</v>
      </c>
      <c r="C49" s="54">
        <f t="shared" si="25"/>
        <v>82440</v>
      </c>
      <c r="D49" s="55">
        <v>0</v>
      </c>
      <c r="E49" s="55">
        <v>82440</v>
      </c>
      <c r="F49" s="55">
        <f ca="1">IFERROR(__xludf.DUMMYFUNCTION("IMPORTRANGE(""https://docs.google.com/spreadsheets/d/1XL5vhW3sbDhbH9Cz0tuDiY8C3ctxq1tqvaCgkFb8cCA/edit?usp=sharing"",""หนองคาย!M54"")"),0)</f>
        <v>0</v>
      </c>
      <c r="G49" s="56">
        <f t="shared" ca="1" si="1"/>
        <v>0</v>
      </c>
      <c r="H49" s="55">
        <v>20</v>
      </c>
      <c r="I49" s="55">
        <f ca="1">IFERROR(__xludf.DUMMYFUNCTION("IMPORTRANGE(""https://docs.google.com/spreadsheets/d/1XL5vhW3sbDhbH9Cz0tuDiY8C3ctxq1tqvaCgkFb8cCA/edit?usp=sharing"",""หนองคาย!J62"")"),0)</f>
        <v>0</v>
      </c>
      <c r="J49" s="56">
        <f t="shared" ca="1" si="3"/>
        <v>0</v>
      </c>
      <c r="K49" s="55">
        <v>20</v>
      </c>
      <c r="L49" s="55">
        <f ca="1">IFERROR(__xludf.DUMMYFUNCTION("IMPORTRANGE(""https://docs.google.com/spreadsheets/d/1XL5vhW3sbDhbH9Cz0tuDiY8C3ctxq1tqvaCgkFb8cCA/edit?usp=sharing"",""หนองคาย!J63"")"),0)</f>
        <v>0</v>
      </c>
      <c r="M49" s="56">
        <f t="shared" ca="1" si="5"/>
        <v>0</v>
      </c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24" customHeight="1" x14ac:dyDescent="0.5">
      <c r="A50" s="52">
        <v>17</v>
      </c>
      <c r="B50" s="53" t="s">
        <v>65</v>
      </c>
      <c r="C50" s="54">
        <f t="shared" si="25"/>
        <v>0</v>
      </c>
      <c r="D50" s="55">
        <v>0</v>
      </c>
      <c r="E50" s="55">
        <v>0</v>
      </c>
      <c r="F50" s="55">
        <f ca="1">IFERROR(__xludf.DUMMYFUNCTION("IMPORTRANGE(""https://docs.google.com/spreadsheets/d/1XL5vhW3sbDhbH9Cz0tuDiY8C3ctxq1tqvaCgkFb8cCA/edit?usp=sharing"",""หนองบัวลำภู!M54"")"),0)</f>
        <v>0</v>
      </c>
      <c r="G50" s="56">
        <f t="shared" si="1"/>
        <v>0</v>
      </c>
      <c r="H50" s="55">
        <v>0</v>
      </c>
      <c r="I50" s="55">
        <f ca="1">IFERROR(__xludf.DUMMYFUNCTION("IMPORTRANGE(""https://docs.google.com/spreadsheets/d/1XL5vhW3sbDhbH9Cz0tuDiY8C3ctxq1tqvaCgkFb8cCA/edit?usp=sharing"",""หนองบัวลำภู!J62"")"),0)</f>
        <v>0</v>
      </c>
      <c r="J50" s="56">
        <f t="shared" si="3"/>
        <v>0</v>
      </c>
      <c r="K50" s="55">
        <v>0</v>
      </c>
      <c r="L50" s="55">
        <f ca="1">IFERROR(__xludf.DUMMYFUNCTION("IMPORTRANGE(""https://docs.google.com/spreadsheets/d/1XL5vhW3sbDhbH9Cz0tuDiY8C3ctxq1tqvaCgkFb8cCA/edit?usp=sharing"",""หนองบัวลำภู!J63"")"),0)</f>
        <v>0</v>
      </c>
      <c r="M50" s="56">
        <f t="shared" si="5"/>
        <v>0</v>
      </c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ht="24" customHeight="1" x14ac:dyDescent="0.5">
      <c r="A51" s="52">
        <v>18</v>
      </c>
      <c r="B51" s="53" t="s">
        <v>66</v>
      </c>
      <c r="C51" s="54">
        <f t="shared" si="25"/>
        <v>0</v>
      </c>
      <c r="D51" s="55">
        <v>0</v>
      </c>
      <c r="E51" s="55">
        <v>0</v>
      </c>
      <c r="F51" s="55">
        <f ca="1">IFERROR(__xludf.DUMMYFUNCTION("IMPORTRANGE(""https://docs.google.com/spreadsheets/d/1XL5vhW3sbDhbH9Cz0tuDiY8C3ctxq1tqvaCgkFb8cCA/edit?usp=sharing"",""อำนาจเจริญ!M54"")"),0)</f>
        <v>0</v>
      </c>
      <c r="G51" s="56">
        <f t="shared" si="1"/>
        <v>0</v>
      </c>
      <c r="H51" s="55">
        <v>0</v>
      </c>
      <c r="I51" s="55">
        <f ca="1">IFERROR(__xludf.DUMMYFUNCTION("IMPORTRANGE(""https://docs.google.com/spreadsheets/d/1XL5vhW3sbDhbH9Cz0tuDiY8C3ctxq1tqvaCgkFb8cCA/edit?usp=sharing"",""อำนาจเจริญ!J62"")"),0)</f>
        <v>0</v>
      </c>
      <c r="J51" s="56">
        <f t="shared" si="3"/>
        <v>0</v>
      </c>
      <c r="K51" s="55">
        <v>0</v>
      </c>
      <c r="L51" s="55">
        <f ca="1">IFERROR(__xludf.DUMMYFUNCTION("IMPORTRANGE(""https://docs.google.com/spreadsheets/d/1XL5vhW3sbDhbH9Cz0tuDiY8C3ctxq1tqvaCgkFb8cCA/edit?usp=sharing"",""อำนาจเจริญ!J63"")"),0)</f>
        <v>0</v>
      </c>
      <c r="M51" s="56">
        <f t="shared" si="5"/>
        <v>0</v>
      </c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ht="24" customHeight="1" x14ac:dyDescent="0.5">
      <c r="A52" s="52">
        <v>19</v>
      </c>
      <c r="B52" s="53" t="s">
        <v>67</v>
      </c>
      <c r="C52" s="54">
        <f t="shared" si="25"/>
        <v>82440</v>
      </c>
      <c r="D52" s="55">
        <v>0</v>
      </c>
      <c r="E52" s="55">
        <v>82440</v>
      </c>
      <c r="F52" s="55">
        <f ca="1">IFERROR(__xludf.DUMMYFUNCTION("IMPORTRANGE(""https://docs.google.com/spreadsheets/d/1XL5vhW3sbDhbH9Cz0tuDiY8C3ctxq1tqvaCgkFb8cCA/edit?usp=sharing"",""อุดรธานี!M54"")"),0)</f>
        <v>0</v>
      </c>
      <c r="G52" s="56">
        <f t="shared" ca="1" si="1"/>
        <v>0</v>
      </c>
      <c r="H52" s="55">
        <v>20</v>
      </c>
      <c r="I52" s="55">
        <f ca="1">IFERROR(__xludf.DUMMYFUNCTION("IMPORTRANGE(""https://docs.google.com/spreadsheets/d/1XL5vhW3sbDhbH9Cz0tuDiY8C3ctxq1tqvaCgkFb8cCA/edit?usp=sharing"",""อุดรธานี!J62"")"),0)</f>
        <v>0</v>
      </c>
      <c r="J52" s="56">
        <f t="shared" ca="1" si="3"/>
        <v>0</v>
      </c>
      <c r="K52" s="55">
        <v>20</v>
      </c>
      <c r="L52" s="55">
        <f ca="1">IFERROR(__xludf.DUMMYFUNCTION("IMPORTRANGE(""https://docs.google.com/spreadsheets/d/1XL5vhW3sbDhbH9Cz0tuDiY8C3ctxq1tqvaCgkFb8cCA/edit?usp=sharing"",""อุดรธานี!J63"")"),0)</f>
        <v>0</v>
      </c>
      <c r="M52" s="56">
        <f t="shared" ca="1" si="5"/>
        <v>0</v>
      </c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 ht="24" customHeight="1" x14ac:dyDescent="0.5">
      <c r="A53" s="59">
        <v>20</v>
      </c>
      <c r="B53" s="60" t="s">
        <v>68</v>
      </c>
      <c r="C53" s="61">
        <f t="shared" si="25"/>
        <v>0</v>
      </c>
      <c r="D53" s="62">
        <v>0</v>
      </c>
      <c r="E53" s="62">
        <v>0</v>
      </c>
      <c r="F53" s="62">
        <f ca="1">IFERROR(__xludf.DUMMYFUNCTION("IMPORTRANGE(""https://docs.google.com/spreadsheets/d/1XL5vhW3sbDhbH9Cz0tuDiY8C3ctxq1tqvaCgkFb8cCA/edit?usp=sharing"",""อุบลราชธานี!M54"")"),0)</f>
        <v>0</v>
      </c>
      <c r="G53" s="63">
        <f t="shared" si="1"/>
        <v>0</v>
      </c>
      <c r="H53" s="62">
        <v>0</v>
      </c>
      <c r="I53" s="62">
        <f ca="1">IFERROR(__xludf.DUMMYFUNCTION("IMPORTRANGE(""https://docs.google.com/spreadsheets/d/1XL5vhW3sbDhbH9Cz0tuDiY8C3ctxq1tqvaCgkFb8cCA/edit?usp=sharing"",""อุบลราชธานี!J62"")"),0)</f>
        <v>0</v>
      </c>
      <c r="J53" s="63">
        <f t="shared" si="3"/>
        <v>0</v>
      </c>
      <c r="K53" s="62">
        <v>0</v>
      </c>
      <c r="L53" s="62">
        <f ca="1">IFERROR(__xludf.DUMMYFUNCTION("IMPORTRANGE(""https://docs.google.com/spreadsheets/d/1XL5vhW3sbDhbH9Cz0tuDiY8C3ctxq1tqvaCgkFb8cCA/edit?usp=sharing"",""อุบลราชธานี!J63"")"),0)</f>
        <v>0</v>
      </c>
      <c r="M53" s="63">
        <f t="shared" si="5"/>
        <v>0</v>
      </c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24" customHeight="1" x14ac:dyDescent="0.5">
      <c r="A54" s="570" t="s">
        <v>69</v>
      </c>
      <c r="B54" s="569"/>
      <c r="C54" s="66">
        <f t="shared" ref="C54:F54" si="26">SUM(C55:C75)</f>
        <v>441990</v>
      </c>
      <c r="D54" s="66">
        <f t="shared" si="26"/>
        <v>0</v>
      </c>
      <c r="E54" s="66">
        <f t="shared" si="26"/>
        <v>441990</v>
      </c>
      <c r="F54" s="66">
        <f t="shared" ca="1" si="26"/>
        <v>19260</v>
      </c>
      <c r="G54" s="67">
        <f t="shared" ca="1" si="1"/>
        <v>4.3575646507839547</v>
      </c>
      <c r="H54" s="66">
        <f t="shared" ref="H54:I54" si="27">SUM(H55:H75)</f>
        <v>105</v>
      </c>
      <c r="I54" s="66">
        <f t="shared" ca="1" si="27"/>
        <v>0</v>
      </c>
      <c r="J54" s="67">
        <f t="shared" ca="1" si="3"/>
        <v>0</v>
      </c>
      <c r="K54" s="66">
        <f t="shared" ref="K54:L54" si="28">SUM(K55:K75)</f>
        <v>105</v>
      </c>
      <c r="L54" s="66">
        <f t="shared" ca="1" si="28"/>
        <v>0</v>
      </c>
      <c r="M54" s="67">
        <f t="shared" ca="1" si="5"/>
        <v>0</v>
      </c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 ht="24" customHeight="1" x14ac:dyDescent="0.5">
      <c r="A55" s="45">
        <v>1</v>
      </c>
      <c r="B55" s="46" t="s">
        <v>70</v>
      </c>
      <c r="C55" s="47">
        <f t="shared" ref="C55:C75" si="29">+D55+E55</f>
        <v>82440</v>
      </c>
      <c r="D55" s="48">
        <v>0</v>
      </c>
      <c r="E55" s="48">
        <v>82440</v>
      </c>
      <c r="F55" s="48">
        <f ca="1">IFERROR(__xludf.DUMMYFUNCTION("IMPORTRANGE(""https://docs.google.com/spreadsheets/d/1SX6NBoVAgQJ6U1MVXOaj8PK2l7WJ3RER9xtqwdhxkhw/edit?usp=sharing"",""กาญจนบุรี!M54"")"),0)</f>
        <v>0</v>
      </c>
      <c r="G55" s="50">
        <f t="shared" ca="1" si="1"/>
        <v>0</v>
      </c>
      <c r="H55" s="48">
        <v>20</v>
      </c>
      <c r="I55" s="48">
        <f ca="1">IFERROR(__xludf.DUMMYFUNCTION("IMPORTRANGE(""https://docs.google.com/spreadsheets/d/1SX6NBoVAgQJ6U1MVXOaj8PK2l7WJ3RER9xtqwdhxkhw/edit?usp=sharing"",""กาญจนบุรี!J62"")"),0)</f>
        <v>0</v>
      </c>
      <c r="J55" s="50">
        <f t="shared" ca="1" si="3"/>
        <v>0</v>
      </c>
      <c r="K55" s="48">
        <v>20</v>
      </c>
      <c r="L55" s="48">
        <f ca="1">IFERROR(__xludf.DUMMYFUNCTION("IMPORTRANGE(""https://docs.google.com/spreadsheets/d/1SX6NBoVAgQJ6U1MVXOaj8PK2l7WJ3RER9xtqwdhxkhw/edit?usp=sharing"",""กาญจนบุรี!J63"")"),0)</f>
        <v>0</v>
      </c>
      <c r="M55" s="50">
        <f t="shared" ca="1" si="5"/>
        <v>0</v>
      </c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 ht="24" customHeight="1" x14ac:dyDescent="0.5">
      <c r="A56" s="52">
        <v>2</v>
      </c>
      <c r="B56" s="53" t="s">
        <v>71</v>
      </c>
      <c r="C56" s="54">
        <f t="shared" si="29"/>
        <v>0</v>
      </c>
      <c r="D56" s="55">
        <v>0</v>
      </c>
      <c r="E56" s="55">
        <v>0</v>
      </c>
      <c r="F56" s="55">
        <f ca="1">IFERROR(__xludf.DUMMYFUNCTION("IMPORTRANGE(""https://docs.google.com/spreadsheets/d/1SX6NBoVAgQJ6U1MVXOaj8PK2l7WJ3RER9xtqwdhxkhw/edit?usp=sharing"",""จันทบุรี!M54"")"),0)</f>
        <v>0</v>
      </c>
      <c r="G56" s="56">
        <f t="shared" si="1"/>
        <v>0</v>
      </c>
      <c r="H56" s="55">
        <v>0</v>
      </c>
      <c r="I56" s="55">
        <f ca="1">IFERROR(__xludf.DUMMYFUNCTION("IMPORTRANGE(""https://docs.google.com/spreadsheets/d/1SX6NBoVAgQJ6U1MVXOaj8PK2l7WJ3RER9xtqwdhxkhw/edit?usp=sharing"",""จันทบุรี!J62"")"),0)</f>
        <v>0</v>
      </c>
      <c r="J56" s="56">
        <f t="shared" si="3"/>
        <v>0</v>
      </c>
      <c r="K56" s="55">
        <v>0</v>
      </c>
      <c r="L56" s="55">
        <f ca="1">IFERROR(__xludf.DUMMYFUNCTION("IMPORTRANGE(""https://docs.google.com/spreadsheets/d/1SX6NBoVAgQJ6U1MVXOaj8PK2l7WJ3RER9xtqwdhxkhw/edit?usp=sharing"",""จันทบุรี!J63"")"),0)</f>
        <v>0</v>
      </c>
      <c r="M56" s="56">
        <f t="shared" si="5"/>
        <v>0</v>
      </c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 ht="24" customHeight="1" x14ac:dyDescent="0.5">
      <c r="A57" s="52">
        <v>3</v>
      </c>
      <c r="B57" s="53" t="s">
        <v>72</v>
      </c>
      <c r="C57" s="54">
        <f t="shared" si="29"/>
        <v>82440</v>
      </c>
      <c r="D57" s="55">
        <v>0</v>
      </c>
      <c r="E57" s="55">
        <v>82440</v>
      </c>
      <c r="F57" s="55">
        <f ca="1">IFERROR(__xludf.DUMMYFUNCTION("IMPORTRANGE(""https://docs.google.com/spreadsheets/d/1SX6NBoVAgQJ6U1MVXOaj8PK2l7WJ3RER9xtqwdhxkhw/edit?usp=sharing"",""ฉะเชิงเทรา!M54"")"),19260)</f>
        <v>19260</v>
      </c>
      <c r="G57" s="56">
        <f t="shared" ca="1" si="1"/>
        <v>23.362445414847162</v>
      </c>
      <c r="H57" s="55">
        <v>20</v>
      </c>
      <c r="I57" s="55">
        <v>0</v>
      </c>
      <c r="J57" s="56">
        <f t="shared" si="3"/>
        <v>0</v>
      </c>
      <c r="K57" s="55">
        <v>20</v>
      </c>
      <c r="L57" s="55">
        <f ca="1">IFERROR(__xludf.DUMMYFUNCTION("IMPORTRANGE(""https://docs.google.com/spreadsheets/d/1SX6NBoVAgQJ6U1MVXOaj8PK2l7WJ3RER9xtqwdhxkhw/edit?usp=sharing"",""ฉะเชิงเทรา!J63"")"),0)</f>
        <v>0</v>
      </c>
      <c r="M57" s="56">
        <f t="shared" ca="1" si="5"/>
        <v>0</v>
      </c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 ht="24" customHeight="1" x14ac:dyDescent="0.5">
      <c r="A58" s="52">
        <v>4</v>
      </c>
      <c r="B58" s="53" t="s">
        <v>73</v>
      </c>
      <c r="C58" s="54">
        <f t="shared" si="29"/>
        <v>82440</v>
      </c>
      <c r="D58" s="55">
        <v>0</v>
      </c>
      <c r="E58" s="55">
        <v>82440</v>
      </c>
      <c r="F58" s="55">
        <f ca="1">IFERROR(__xludf.DUMMYFUNCTION("IMPORTRANGE(""https://docs.google.com/spreadsheets/d/1SX6NBoVAgQJ6U1MVXOaj8PK2l7WJ3RER9xtqwdhxkhw/edit?usp=sharing"",""ชลบุรี!M54"")"),0)</f>
        <v>0</v>
      </c>
      <c r="G58" s="56">
        <f t="shared" ca="1" si="1"/>
        <v>0</v>
      </c>
      <c r="H58" s="55">
        <v>20</v>
      </c>
      <c r="I58" s="55">
        <f ca="1">IFERROR(__xludf.DUMMYFUNCTION("IMPORTRANGE(""https://docs.google.com/spreadsheets/d/1SX6NBoVAgQJ6U1MVXOaj8PK2l7WJ3RER9xtqwdhxkhw/edit?usp=sharing"",""ชลบุรี!J62"")"),0)</f>
        <v>0</v>
      </c>
      <c r="J58" s="56">
        <f t="shared" ca="1" si="3"/>
        <v>0</v>
      </c>
      <c r="K58" s="55">
        <v>20</v>
      </c>
      <c r="L58" s="55">
        <f ca="1">IFERROR(__xludf.DUMMYFUNCTION("IMPORTRANGE(""https://docs.google.com/spreadsheets/d/1SX6NBoVAgQJ6U1MVXOaj8PK2l7WJ3RER9xtqwdhxkhw/edit?usp=sharing"",""ชลบุรี!J63"")"),0)</f>
        <v>0</v>
      </c>
      <c r="M58" s="56">
        <f t="shared" ca="1" si="5"/>
        <v>0</v>
      </c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 ht="24" customHeight="1" x14ac:dyDescent="0.5">
      <c r="A59" s="52">
        <v>5</v>
      </c>
      <c r="B59" s="53" t="s">
        <v>74</v>
      </c>
      <c r="C59" s="54">
        <f t="shared" si="29"/>
        <v>0</v>
      </c>
      <c r="D59" s="55">
        <v>0</v>
      </c>
      <c r="E59" s="55">
        <v>0</v>
      </c>
      <c r="F59" s="55">
        <f ca="1">IFERROR(__xludf.DUMMYFUNCTION("IMPORTRANGE(""https://docs.google.com/spreadsheets/d/1SX6NBoVAgQJ6U1MVXOaj8PK2l7WJ3RER9xtqwdhxkhw/edit?usp=sharing"",""ชัยนาท!M54"")"),0)</f>
        <v>0</v>
      </c>
      <c r="G59" s="56">
        <f t="shared" si="1"/>
        <v>0</v>
      </c>
      <c r="H59" s="55">
        <v>0</v>
      </c>
      <c r="I59" s="55">
        <f ca="1">IFERROR(__xludf.DUMMYFUNCTION("IMPORTRANGE(""https://docs.google.com/spreadsheets/d/1SX6NBoVAgQJ6U1MVXOaj8PK2l7WJ3RER9xtqwdhxkhw/edit?usp=sharing"",""ชัยนาท!J62"")"),0)</f>
        <v>0</v>
      </c>
      <c r="J59" s="56">
        <f t="shared" si="3"/>
        <v>0</v>
      </c>
      <c r="K59" s="55">
        <v>0</v>
      </c>
      <c r="L59" s="55">
        <f ca="1">IFERROR(__xludf.DUMMYFUNCTION("IMPORTRANGE(""https://docs.google.com/spreadsheets/d/1SX6NBoVAgQJ6U1MVXOaj8PK2l7WJ3RER9xtqwdhxkhw/edit?usp=sharing"",""ชัยนาท!J63"")"),0)</f>
        <v>0</v>
      </c>
      <c r="M59" s="56">
        <f t="shared" si="5"/>
        <v>0</v>
      </c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 ht="24" customHeight="1" x14ac:dyDescent="0.5">
      <c r="A60" s="52">
        <v>6</v>
      </c>
      <c r="B60" s="53" t="s">
        <v>75</v>
      </c>
      <c r="C60" s="54">
        <f t="shared" si="29"/>
        <v>0</v>
      </c>
      <c r="D60" s="55">
        <v>0</v>
      </c>
      <c r="E60" s="55">
        <v>0</v>
      </c>
      <c r="F60" s="55">
        <f ca="1">IFERROR(__xludf.DUMMYFUNCTION("IMPORTRANGE(""https://docs.google.com/spreadsheets/d/1SX6NBoVAgQJ6U1MVXOaj8PK2l7WJ3RER9xtqwdhxkhw/edit?usp=sharing"",""ตราด!M54"")"),0)</f>
        <v>0</v>
      </c>
      <c r="G60" s="56">
        <f t="shared" si="1"/>
        <v>0</v>
      </c>
      <c r="H60" s="55">
        <v>0</v>
      </c>
      <c r="I60" s="55">
        <f ca="1">IFERROR(__xludf.DUMMYFUNCTION("IMPORTRANGE(""https://docs.google.com/spreadsheets/d/1SX6NBoVAgQJ6U1MVXOaj8PK2l7WJ3RER9xtqwdhxkhw/edit?usp=sharing"",""ตราด!J62"")"),0)</f>
        <v>0</v>
      </c>
      <c r="J60" s="56">
        <f t="shared" si="3"/>
        <v>0</v>
      </c>
      <c r="K60" s="55">
        <v>0</v>
      </c>
      <c r="L60" s="55">
        <f ca="1">IFERROR(__xludf.DUMMYFUNCTION("IMPORTRANGE(""https://docs.google.com/spreadsheets/d/1SX6NBoVAgQJ6U1MVXOaj8PK2l7WJ3RER9xtqwdhxkhw/edit?usp=sharing"",""ตราด!J63"")"),0)</f>
        <v>0</v>
      </c>
      <c r="M60" s="56">
        <f t="shared" si="5"/>
        <v>0</v>
      </c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 ht="24" customHeight="1" x14ac:dyDescent="0.5">
      <c r="A61" s="52">
        <v>7</v>
      </c>
      <c r="B61" s="53" t="s">
        <v>76</v>
      </c>
      <c r="C61" s="54">
        <f t="shared" si="29"/>
        <v>0</v>
      </c>
      <c r="D61" s="55">
        <v>0</v>
      </c>
      <c r="E61" s="55">
        <v>0</v>
      </c>
      <c r="F61" s="55">
        <f ca="1">IFERROR(__xludf.DUMMYFUNCTION("IMPORTRANGE(""https://docs.google.com/spreadsheets/d/1SX6NBoVAgQJ6U1MVXOaj8PK2l7WJ3RER9xtqwdhxkhw/edit?usp=sharing"",""นครนายก!M54"")"),0)</f>
        <v>0</v>
      </c>
      <c r="G61" s="56">
        <f t="shared" si="1"/>
        <v>0</v>
      </c>
      <c r="H61" s="55">
        <v>0</v>
      </c>
      <c r="I61" s="55">
        <f ca="1">IFERROR(__xludf.DUMMYFUNCTION("IMPORTRANGE(""https://docs.google.com/spreadsheets/d/1SX6NBoVAgQJ6U1MVXOaj8PK2l7WJ3RER9xtqwdhxkhw/edit?usp=sharing"",""นครนายก!J62"")"),0)</f>
        <v>0</v>
      </c>
      <c r="J61" s="56">
        <f t="shared" si="3"/>
        <v>0</v>
      </c>
      <c r="K61" s="55">
        <v>0</v>
      </c>
      <c r="L61" s="55">
        <f ca="1">IFERROR(__xludf.DUMMYFUNCTION("IMPORTRANGE(""https://docs.google.com/spreadsheets/d/1SX6NBoVAgQJ6U1MVXOaj8PK2l7WJ3RER9xtqwdhxkhw/edit?usp=sharing"",""นครนายก!J63"")"),0)</f>
        <v>0</v>
      </c>
      <c r="M61" s="56">
        <f t="shared" si="5"/>
        <v>0</v>
      </c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ht="24" customHeight="1" x14ac:dyDescent="0.5">
      <c r="A62" s="52">
        <v>8</v>
      </c>
      <c r="B62" s="53" t="s">
        <v>77</v>
      </c>
      <c r="C62" s="54">
        <f t="shared" si="29"/>
        <v>0</v>
      </c>
      <c r="D62" s="55">
        <v>0</v>
      </c>
      <c r="E62" s="55">
        <v>0</v>
      </c>
      <c r="F62" s="55">
        <f ca="1">IFERROR(__xludf.DUMMYFUNCTION("IMPORTRANGE(""https://docs.google.com/spreadsheets/d/1SX6NBoVAgQJ6U1MVXOaj8PK2l7WJ3RER9xtqwdhxkhw/edit?usp=sharing"",""นครปฐม!M54"")"),0)</f>
        <v>0</v>
      </c>
      <c r="G62" s="56">
        <f t="shared" si="1"/>
        <v>0</v>
      </c>
      <c r="H62" s="55">
        <v>0</v>
      </c>
      <c r="I62" s="55">
        <f ca="1">IFERROR(__xludf.DUMMYFUNCTION("IMPORTRANGE(""https://docs.google.com/spreadsheets/d/1SX6NBoVAgQJ6U1MVXOaj8PK2l7WJ3RER9xtqwdhxkhw/edit?usp=sharing"",""นครปฐม!J62"")"),0)</f>
        <v>0</v>
      </c>
      <c r="J62" s="56">
        <f t="shared" si="3"/>
        <v>0</v>
      </c>
      <c r="K62" s="55">
        <v>0</v>
      </c>
      <c r="L62" s="55">
        <f ca="1">IFERROR(__xludf.DUMMYFUNCTION("IMPORTRANGE(""https://docs.google.com/spreadsheets/d/1SX6NBoVAgQJ6U1MVXOaj8PK2l7WJ3RER9xtqwdhxkhw/edit?usp=sharing"",""นครปฐม!J63"")"),0)</f>
        <v>0</v>
      </c>
      <c r="M62" s="56">
        <f t="shared" si="5"/>
        <v>0</v>
      </c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ht="24" customHeight="1" x14ac:dyDescent="0.5">
      <c r="A63" s="52">
        <v>9</v>
      </c>
      <c r="B63" s="53" t="s">
        <v>78</v>
      </c>
      <c r="C63" s="54">
        <f t="shared" si="29"/>
        <v>0</v>
      </c>
      <c r="D63" s="55">
        <v>0</v>
      </c>
      <c r="E63" s="55">
        <v>0</v>
      </c>
      <c r="F63" s="55">
        <f ca="1">IFERROR(__xludf.DUMMYFUNCTION("IMPORTRANGE(""https://docs.google.com/spreadsheets/d/1SX6NBoVAgQJ6U1MVXOaj8PK2l7WJ3RER9xtqwdhxkhw/edit?usp=sharing"",""ปทุมธานี!M54"")"),0)</f>
        <v>0</v>
      </c>
      <c r="G63" s="56">
        <f t="shared" si="1"/>
        <v>0</v>
      </c>
      <c r="H63" s="55">
        <v>0</v>
      </c>
      <c r="I63" s="55">
        <f ca="1">IFERROR(__xludf.DUMMYFUNCTION("IMPORTRANGE(""https://docs.google.com/spreadsheets/d/1SX6NBoVAgQJ6U1MVXOaj8PK2l7WJ3RER9xtqwdhxkhw/edit?usp=sharing"",""ปทุมธานี!J62"")"),0)</f>
        <v>0</v>
      </c>
      <c r="J63" s="56">
        <f t="shared" si="3"/>
        <v>0</v>
      </c>
      <c r="K63" s="55">
        <v>0</v>
      </c>
      <c r="L63" s="55">
        <f ca="1">IFERROR(__xludf.DUMMYFUNCTION("IMPORTRANGE(""https://docs.google.com/spreadsheets/d/1SX6NBoVAgQJ6U1MVXOaj8PK2l7WJ3RER9xtqwdhxkhw/edit?usp=sharing"",""ปทุมธานี!J63"")"),0)</f>
        <v>0</v>
      </c>
      <c r="M63" s="56">
        <f t="shared" si="5"/>
        <v>0</v>
      </c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 ht="24" customHeight="1" x14ac:dyDescent="0.5">
      <c r="A64" s="52">
        <v>10</v>
      </c>
      <c r="B64" s="53" t="s">
        <v>79</v>
      </c>
      <c r="C64" s="54">
        <f t="shared" si="29"/>
        <v>0</v>
      </c>
      <c r="D64" s="55">
        <v>0</v>
      </c>
      <c r="E64" s="55">
        <v>0</v>
      </c>
      <c r="F64" s="55">
        <f ca="1">IFERROR(__xludf.DUMMYFUNCTION("IMPORTRANGE(""https://docs.google.com/spreadsheets/d/1SX6NBoVAgQJ6U1MVXOaj8PK2l7WJ3RER9xtqwdhxkhw/edit?usp=sharing"",""ประจวบคีรีขันธ์!M54"")"),0)</f>
        <v>0</v>
      </c>
      <c r="G64" s="56">
        <f t="shared" si="1"/>
        <v>0</v>
      </c>
      <c r="H64" s="55">
        <v>0</v>
      </c>
      <c r="I64" s="55">
        <f ca="1">IFERROR(__xludf.DUMMYFUNCTION("IMPORTRANGE(""https://docs.google.com/spreadsheets/d/1SX6NBoVAgQJ6U1MVXOaj8PK2l7WJ3RER9xtqwdhxkhw/edit?usp=sharing"",""ประจวบคีรีขันธ์!J62"")"),0)</f>
        <v>0</v>
      </c>
      <c r="J64" s="56">
        <f t="shared" si="3"/>
        <v>0</v>
      </c>
      <c r="K64" s="55">
        <v>0</v>
      </c>
      <c r="L64" s="55">
        <f ca="1">IFERROR(__xludf.DUMMYFUNCTION("IMPORTRANGE(""https://docs.google.com/spreadsheets/d/1SX6NBoVAgQJ6U1MVXOaj8PK2l7WJ3RER9xtqwdhxkhw/edit?usp=sharing"",""ประจวบคีรีขันธ์!J63"")"),0)</f>
        <v>0</v>
      </c>
      <c r="M64" s="56">
        <f t="shared" si="5"/>
        <v>0</v>
      </c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 ht="24" customHeight="1" x14ac:dyDescent="0.5">
      <c r="A65" s="52">
        <v>11</v>
      </c>
      <c r="B65" s="53" t="s">
        <v>80</v>
      </c>
      <c r="C65" s="54">
        <f t="shared" si="29"/>
        <v>0</v>
      </c>
      <c r="D65" s="55">
        <v>0</v>
      </c>
      <c r="E65" s="55">
        <v>0</v>
      </c>
      <c r="F65" s="55">
        <f ca="1">IFERROR(__xludf.DUMMYFUNCTION("IMPORTRANGE(""https://docs.google.com/spreadsheets/d/1SX6NBoVAgQJ6U1MVXOaj8PK2l7WJ3RER9xtqwdhxkhw/edit?usp=sharing"",""ปราจีนบุรี!M54"")"),0)</f>
        <v>0</v>
      </c>
      <c r="G65" s="56">
        <f t="shared" si="1"/>
        <v>0</v>
      </c>
      <c r="H65" s="55">
        <v>0</v>
      </c>
      <c r="I65" s="55">
        <f ca="1">IFERROR(__xludf.DUMMYFUNCTION("IMPORTRANGE(""https://docs.google.com/spreadsheets/d/1SX6NBoVAgQJ6U1MVXOaj8PK2l7WJ3RER9xtqwdhxkhw/edit?usp=sharing"",""ปราจีนบุรี!J62"")"),0)</f>
        <v>0</v>
      </c>
      <c r="J65" s="56">
        <f t="shared" si="3"/>
        <v>0</v>
      </c>
      <c r="K65" s="55">
        <v>0</v>
      </c>
      <c r="L65" s="55">
        <f ca="1">IFERROR(__xludf.DUMMYFUNCTION("IMPORTRANGE(""https://docs.google.com/spreadsheets/d/1SX6NBoVAgQJ6U1MVXOaj8PK2l7WJ3RER9xtqwdhxkhw/edit?usp=sharing"",""ปราจีนบุรี!J63"")"),0)</f>
        <v>0</v>
      </c>
      <c r="M65" s="56">
        <f t="shared" si="5"/>
        <v>0</v>
      </c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 ht="24" customHeight="1" x14ac:dyDescent="0.5">
      <c r="A66" s="52">
        <v>12</v>
      </c>
      <c r="B66" s="53" t="s">
        <v>81</v>
      </c>
      <c r="C66" s="54">
        <f t="shared" si="29"/>
        <v>0</v>
      </c>
      <c r="D66" s="55">
        <v>0</v>
      </c>
      <c r="E66" s="55">
        <v>0</v>
      </c>
      <c r="F66" s="55">
        <f ca="1">IFERROR(__xludf.DUMMYFUNCTION("IMPORTRANGE(""https://docs.google.com/spreadsheets/d/1SX6NBoVAgQJ6U1MVXOaj8PK2l7WJ3RER9xtqwdhxkhw/edit?usp=sharing"",""พระนครศรีอยุธยา!M54"")"),0)</f>
        <v>0</v>
      </c>
      <c r="G66" s="56">
        <f t="shared" si="1"/>
        <v>0</v>
      </c>
      <c r="H66" s="55">
        <v>0</v>
      </c>
      <c r="I66" s="55">
        <f ca="1">IFERROR(__xludf.DUMMYFUNCTION("IMPORTRANGE(""https://docs.google.com/spreadsheets/d/1SX6NBoVAgQJ6U1MVXOaj8PK2l7WJ3RER9xtqwdhxkhw/edit?usp=sharing"",""พระนครศรีอยุธยา!J62"")"),0)</f>
        <v>0</v>
      </c>
      <c r="J66" s="56">
        <f t="shared" si="3"/>
        <v>0</v>
      </c>
      <c r="K66" s="55">
        <v>0</v>
      </c>
      <c r="L66" s="55">
        <f ca="1">IFERROR(__xludf.DUMMYFUNCTION("IMPORTRANGE(""https://docs.google.com/spreadsheets/d/1SX6NBoVAgQJ6U1MVXOaj8PK2l7WJ3RER9xtqwdhxkhw/edit?usp=sharing"",""พระนครศรีอยุธยา!J63"")"),0)</f>
        <v>0</v>
      </c>
      <c r="M66" s="56">
        <f t="shared" si="5"/>
        <v>0</v>
      </c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 ht="24" customHeight="1" x14ac:dyDescent="0.5">
      <c r="A67" s="52">
        <v>13</v>
      </c>
      <c r="B67" s="53" t="s">
        <v>82</v>
      </c>
      <c r="C67" s="54">
        <f t="shared" si="29"/>
        <v>0</v>
      </c>
      <c r="D67" s="55">
        <v>0</v>
      </c>
      <c r="E67" s="55">
        <v>0</v>
      </c>
      <c r="F67" s="55">
        <f ca="1">IFERROR(__xludf.DUMMYFUNCTION("IMPORTRANGE(""https://docs.google.com/spreadsheets/d/1SX6NBoVAgQJ6U1MVXOaj8PK2l7WJ3RER9xtqwdhxkhw/edit?usp=sharing"",""เพชรบุรี!M54"")"),0)</f>
        <v>0</v>
      </c>
      <c r="G67" s="56">
        <f t="shared" si="1"/>
        <v>0</v>
      </c>
      <c r="H67" s="55">
        <v>0</v>
      </c>
      <c r="I67" s="55">
        <f ca="1">IFERROR(__xludf.DUMMYFUNCTION("IMPORTRANGE(""https://docs.google.com/spreadsheets/d/1SX6NBoVAgQJ6U1MVXOaj8PK2l7WJ3RER9xtqwdhxkhw/edit?usp=sharing"",""เพชรบุรี!J62"")"),0)</f>
        <v>0</v>
      </c>
      <c r="J67" s="56">
        <f t="shared" si="3"/>
        <v>0</v>
      </c>
      <c r="K67" s="55">
        <v>0</v>
      </c>
      <c r="L67" s="55">
        <f ca="1">IFERROR(__xludf.DUMMYFUNCTION("IMPORTRANGE(""https://docs.google.com/spreadsheets/d/1SX6NBoVAgQJ6U1MVXOaj8PK2l7WJ3RER9xtqwdhxkhw/edit?usp=sharing"",""เพชรบุรี!J63"")"),0)</f>
        <v>0</v>
      </c>
      <c r="M67" s="56">
        <f t="shared" si="5"/>
        <v>0</v>
      </c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ht="24" customHeight="1" x14ac:dyDescent="0.5">
      <c r="A68" s="52">
        <v>14</v>
      </c>
      <c r="B68" s="53" t="s">
        <v>83</v>
      </c>
      <c r="C68" s="54">
        <f t="shared" si="29"/>
        <v>0</v>
      </c>
      <c r="D68" s="55">
        <v>0</v>
      </c>
      <c r="E68" s="55">
        <v>0</v>
      </c>
      <c r="F68" s="55">
        <f ca="1">IFERROR(__xludf.DUMMYFUNCTION("IMPORTRANGE(""https://docs.google.com/spreadsheets/d/1SX6NBoVAgQJ6U1MVXOaj8PK2l7WJ3RER9xtqwdhxkhw/edit?usp=sharing"",""ระยอง!M54"")"),0)</f>
        <v>0</v>
      </c>
      <c r="G68" s="56">
        <f t="shared" si="1"/>
        <v>0</v>
      </c>
      <c r="H68" s="55">
        <v>0</v>
      </c>
      <c r="I68" s="55">
        <f ca="1">IFERROR(__xludf.DUMMYFUNCTION("IMPORTRANGE(""https://docs.google.com/spreadsheets/d/1SX6NBoVAgQJ6U1MVXOaj8PK2l7WJ3RER9xtqwdhxkhw/edit?usp=sharing"",""ระยอง!J62"")"),0)</f>
        <v>0</v>
      </c>
      <c r="J68" s="56">
        <f t="shared" si="3"/>
        <v>0</v>
      </c>
      <c r="K68" s="55">
        <v>0</v>
      </c>
      <c r="L68" s="55">
        <f ca="1">IFERROR(__xludf.DUMMYFUNCTION("IMPORTRANGE(""https://docs.google.com/spreadsheets/d/1SX6NBoVAgQJ6U1MVXOaj8PK2l7WJ3RER9xtqwdhxkhw/edit?usp=sharing"",""ระยอง!J63"")"),0)</f>
        <v>0</v>
      </c>
      <c r="M68" s="56">
        <f t="shared" si="5"/>
        <v>0</v>
      </c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 ht="24" customHeight="1" x14ac:dyDescent="0.5">
      <c r="A69" s="52">
        <v>15</v>
      </c>
      <c r="B69" s="53" t="s">
        <v>84</v>
      </c>
      <c r="C69" s="54">
        <f t="shared" si="29"/>
        <v>0</v>
      </c>
      <c r="D69" s="55">
        <v>0</v>
      </c>
      <c r="E69" s="55">
        <v>0</v>
      </c>
      <c r="F69" s="55">
        <f ca="1">IFERROR(__xludf.DUMMYFUNCTION("IMPORTRANGE(""https://docs.google.com/spreadsheets/d/1SX6NBoVAgQJ6U1MVXOaj8PK2l7WJ3RER9xtqwdhxkhw/edit?usp=sharing"",""ราชบุรี!M54"")"),0)</f>
        <v>0</v>
      </c>
      <c r="G69" s="56">
        <f t="shared" si="1"/>
        <v>0</v>
      </c>
      <c r="H69" s="55">
        <v>0</v>
      </c>
      <c r="I69" s="55">
        <f ca="1">IFERROR(__xludf.DUMMYFUNCTION("IMPORTRANGE(""https://docs.google.com/spreadsheets/d/1SX6NBoVAgQJ6U1MVXOaj8PK2l7WJ3RER9xtqwdhxkhw/edit?usp=sharing"",""ราชบุรี!J62"")"),0)</f>
        <v>0</v>
      </c>
      <c r="J69" s="56">
        <f t="shared" si="3"/>
        <v>0</v>
      </c>
      <c r="K69" s="55">
        <v>0</v>
      </c>
      <c r="L69" s="55">
        <f ca="1">IFERROR(__xludf.DUMMYFUNCTION("IMPORTRANGE(""https://docs.google.com/spreadsheets/d/1SX6NBoVAgQJ6U1MVXOaj8PK2l7WJ3RER9xtqwdhxkhw/edit?usp=sharing"",""ราชบุรี!J63"")"),0)</f>
        <v>0</v>
      </c>
      <c r="M69" s="56">
        <f t="shared" si="5"/>
        <v>0</v>
      </c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 ht="24" customHeight="1" x14ac:dyDescent="0.5">
      <c r="A70" s="52">
        <v>16</v>
      </c>
      <c r="B70" s="53" t="s">
        <v>85</v>
      </c>
      <c r="C70" s="54">
        <f t="shared" si="29"/>
        <v>64890</v>
      </c>
      <c r="D70" s="55">
        <v>0</v>
      </c>
      <c r="E70" s="55">
        <v>64890</v>
      </c>
      <c r="F70" s="55">
        <f ca="1">IFERROR(__xludf.DUMMYFUNCTION("IMPORTRANGE(""https://docs.google.com/spreadsheets/d/1SX6NBoVAgQJ6U1MVXOaj8PK2l7WJ3RER9xtqwdhxkhw/edit?usp=sharing"",""ลพบุรี!M54"")"),0)</f>
        <v>0</v>
      </c>
      <c r="G70" s="56">
        <f t="shared" ca="1" si="1"/>
        <v>0</v>
      </c>
      <c r="H70" s="55">
        <v>15</v>
      </c>
      <c r="I70" s="55">
        <f ca="1">IFERROR(__xludf.DUMMYFUNCTION("IMPORTRANGE(""https://docs.google.com/spreadsheets/d/1SX6NBoVAgQJ6U1MVXOaj8PK2l7WJ3RER9xtqwdhxkhw/edit?usp=sharing"",""ลพบุรี!J62"")"),0)</f>
        <v>0</v>
      </c>
      <c r="J70" s="56">
        <f t="shared" ca="1" si="3"/>
        <v>0</v>
      </c>
      <c r="K70" s="55">
        <v>15</v>
      </c>
      <c r="L70" s="55">
        <f ca="1">IFERROR(__xludf.DUMMYFUNCTION("IMPORTRANGE(""https://docs.google.com/spreadsheets/d/1SX6NBoVAgQJ6U1MVXOaj8PK2l7WJ3RER9xtqwdhxkhw/edit?usp=sharing"",""ลพบุรี!J63"")"),0)</f>
        <v>0</v>
      </c>
      <c r="M70" s="56">
        <f t="shared" ca="1" si="5"/>
        <v>0</v>
      </c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 ht="24" customHeight="1" x14ac:dyDescent="0.5">
      <c r="A71" s="52">
        <v>17</v>
      </c>
      <c r="B71" s="53" t="s">
        <v>86</v>
      </c>
      <c r="C71" s="54">
        <f t="shared" si="29"/>
        <v>0</v>
      </c>
      <c r="D71" s="55">
        <v>0</v>
      </c>
      <c r="E71" s="55">
        <v>0</v>
      </c>
      <c r="F71" s="55">
        <f ca="1">IFERROR(__xludf.DUMMYFUNCTION("IMPORTRANGE(""https://docs.google.com/spreadsheets/d/1SX6NBoVAgQJ6U1MVXOaj8PK2l7WJ3RER9xtqwdhxkhw/edit?usp=sharing"",""สระแก้ว!M54"")"),0)</f>
        <v>0</v>
      </c>
      <c r="G71" s="56">
        <f t="shared" si="1"/>
        <v>0</v>
      </c>
      <c r="H71" s="55">
        <v>0</v>
      </c>
      <c r="I71" s="55">
        <f ca="1">IFERROR(__xludf.DUMMYFUNCTION("IMPORTRANGE(""https://docs.google.com/spreadsheets/d/1SX6NBoVAgQJ6U1MVXOaj8PK2l7WJ3RER9xtqwdhxkhw/edit?usp=sharing"",""สระแก้ว!J62"")"),0)</f>
        <v>0</v>
      </c>
      <c r="J71" s="56">
        <f t="shared" si="3"/>
        <v>0</v>
      </c>
      <c r="K71" s="55">
        <v>0</v>
      </c>
      <c r="L71" s="55">
        <f ca="1">IFERROR(__xludf.DUMMYFUNCTION("IMPORTRANGE(""https://docs.google.com/spreadsheets/d/1SX6NBoVAgQJ6U1MVXOaj8PK2l7WJ3RER9xtqwdhxkhw/edit?usp=sharing"",""สระแก้ว!J63"")"),0)</f>
        <v>0</v>
      </c>
      <c r="M71" s="56">
        <f t="shared" si="5"/>
        <v>0</v>
      </c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 ht="24" customHeight="1" x14ac:dyDescent="0.5">
      <c r="A72" s="52">
        <v>18</v>
      </c>
      <c r="B72" s="53" t="s">
        <v>87</v>
      </c>
      <c r="C72" s="54">
        <f t="shared" si="29"/>
        <v>64890</v>
      </c>
      <c r="D72" s="55">
        <v>0</v>
      </c>
      <c r="E72" s="55">
        <v>64890</v>
      </c>
      <c r="F72" s="55">
        <f ca="1">IFERROR(__xludf.DUMMYFUNCTION("IMPORTRANGE(""https://docs.google.com/spreadsheets/d/1SX6NBoVAgQJ6U1MVXOaj8PK2l7WJ3RER9xtqwdhxkhw/edit?usp=sharing"",""สระบุรี!M54"")"),0)</f>
        <v>0</v>
      </c>
      <c r="G72" s="56">
        <f t="shared" ca="1" si="1"/>
        <v>0</v>
      </c>
      <c r="H72" s="55">
        <v>15</v>
      </c>
      <c r="I72" s="55">
        <f ca="1">IFERROR(__xludf.DUMMYFUNCTION("IMPORTRANGE(""https://docs.google.com/spreadsheets/d/1SX6NBoVAgQJ6U1MVXOaj8PK2l7WJ3RER9xtqwdhxkhw/edit?usp=sharing"",""สระบุรี!J62"")"),0)</f>
        <v>0</v>
      </c>
      <c r="J72" s="56">
        <f t="shared" ca="1" si="3"/>
        <v>0</v>
      </c>
      <c r="K72" s="55">
        <v>15</v>
      </c>
      <c r="L72" s="55">
        <f ca="1">IFERROR(__xludf.DUMMYFUNCTION("IMPORTRANGE(""https://docs.google.com/spreadsheets/d/1SX6NBoVAgQJ6U1MVXOaj8PK2l7WJ3RER9xtqwdhxkhw/edit?usp=sharing"",""สระบุรี!J63"")"),0)</f>
        <v>0</v>
      </c>
      <c r="M72" s="56">
        <f t="shared" ca="1" si="5"/>
        <v>0</v>
      </c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 ht="24" customHeight="1" x14ac:dyDescent="0.5">
      <c r="A73" s="52">
        <v>19</v>
      </c>
      <c r="B73" s="53" t="s">
        <v>88</v>
      </c>
      <c r="C73" s="54">
        <f t="shared" si="29"/>
        <v>0</v>
      </c>
      <c r="D73" s="55">
        <v>0</v>
      </c>
      <c r="E73" s="55">
        <v>0</v>
      </c>
      <c r="F73" s="55">
        <f ca="1">IFERROR(__xludf.DUMMYFUNCTION("IMPORTRANGE(""https://docs.google.com/spreadsheets/d/1SX6NBoVAgQJ6U1MVXOaj8PK2l7WJ3RER9xtqwdhxkhw/edit?usp=sharing"",""สิงห์บุรี!M54"")"),0)</f>
        <v>0</v>
      </c>
      <c r="G73" s="56">
        <f t="shared" si="1"/>
        <v>0</v>
      </c>
      <c r="H73" s="55">
        <v>0</v>
      </c>
      <c r="I73" s="55">
        <f ca="1">IFERROR(__xludf.DUMMYFUNCTION("IMPORTRANGE(""https://docs.google.com/spreadsheets/d/1SX6NBoVAgQJ6U1MVXOaj8PK2l7WJ3RER9xtqwdhxkhw/edit?usp=sharing"",""สิงห์บุรี!J62"")"),0)</f>
        <v>0</v>
      </c>
      <c r="J73" s="56">
        <f t="shared" si="3"/>
        <v>0</v>
      </c>
      <c r="K73" s="55">
        <v>0</v>
      </c>
      <c r="L73" s="55">
        <f ca="1">IFERROR(__xludf.DUMMYFUNCTION("IMPORTRANGE(""https://docs.google.com/spreadsheets/d/1SX6NBoVAgQJ6U1MVXOaj8PK2l7WJ3RER9xtqwdhxkhw/edit?usp=sharing"",""สิงห์บุรี!J63"")"),0)</f>
        <v>0</v>
      </c>
      <c r="M73" s="56">
        <f t="shared" si="5"/>
        <v>0</v>
      </c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 ht="24" customHeight="1" x14ac:dyDescent="0.5">
      <c r="A74" s="52">
        <v>20</v>
      </c>
      <c r="B74" s="53" t="s">
        <v>89</v>
      </c>
      <c r="C74" s="54">
        <f t="shared" si="29"/>
        <v>64890</v>
      </c>
      <c r="D74" s="55">
        <v>0</v>
      </c>
      <c r="E74" s="55">
        <v>64890</v>
      </c>
      <c r="F74" s="55">
        <f ca="1">IFERROR(__xludf.DUMMYFUNCTION("IMPORTRANGE(""https://docs.google.com/spreadsheets/d/1SX6NBoVAgQJ6U1MVXOaj8PK2l7WJ3RER9xtqwdhxkhw/edit?usp=sharing"",""สุพรรณบุรี!M54"")"),0)</f>
        <v>0</v>
      </c>
      <c r="G74" s="56">
        <f t="shared" ca="1" si="1"/>
        <v>0</v>
      </c>
      <c r="H74" s="55">
        <v>15</v>
      </c>
      <c r="I74" s="55">
        <f ca="1">IFERROR(__xludf.DUMMYFUNCTION("IMPORTRANGE(""https://docs.google.com/spreadsheets/d/1SX6NBoVAgQJ6U1MVXOaj8PK2l7WJ3RER9xtqwdhxkhw/edit?usp=sharing"",""สุพรรณบุรี!J62"")"),0)</f>
        <v>0</v>
      </c>
      <c r="J74" s="56">
        <f t="shared" ca="1" si="3"/>
        <v>0</v>
      </c>
      <c r="K74" s="55">
        <v>15</v>
      </c>
      <c r="L74" s="55">
        <f ca="1">IFERROR(__xludf.DUMMYFUNCTION("IMPORTRANGE(""https://docs.google.com/spreadsheets/d/1SX6NBoVAgQJ6U1MVXOaj8PK2l7WJ3RER9xtqwdhxkhw/edit?usp=sharing"",""สุพรรณบุรี!J63"")"),0)</f>
        <v>0</v>
      </c>
      <c r="M74" s="56">
        <f t="shared" ca="1" si="5"/>
        <v>0</v>
      </c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 ht="24" customHeight="1" x14ac:dyDescent="0.5">
      <c r="A75" s="59">
        <v>21</v>
      </c>
      <c r="B75" s="60" t="s">
        <v>90</v>
      </c>
      <c r="C75" s="61">
        <f t="shared" si="29"/>
        <v>0</v>
      </c>
      <c r="D75" s="62">
        <v>0</v>
      </c>
      <c r="E75" s="62">
        <v>0</v>
      </c>
      <c r="F75" s="62">
        <f ca="1">IFERROR(__xludf.DUMMYFUNCTION("IMPORTRANGE(""https://docs.google.com/spreadsheets/d/1SX6NBoVAgQJ6U1MVXOaj8PK2l7WJ3RER9xtqwdhxkhw/edit?usp=sharing"",""อ่างทอง!M54"")"),0)</f>
        <v>0</v>
      </c>
      <c r="G75" s="63">
        <f t="shared" si="1"/>
        <v>0</v>
      </c>
      <c r="H75" s="62">
        <v>0</v>
      </c>
      <c r="I75" s="62">
        <f ca="1">IFERROR(__xludf.DUMMYFUNCTION("IMPORTRANGE(""https://docs.google.com/spreadsheets/d/1SX6NBoVAgQJ6U1MVXOaj8PK2l7WJ3RER9xtqwdhxkhw/edit?usp=sharing"",""อ่างทอง!J62"")"),0)</f>
        <v>0</v>
      </c>
      <c r="J75" s="63">
        <f t="shared" si="3"/>
        <v>0</v>
      </c>
      <c r="K75" s="62">
        <v>0</v>
      </c>
      <c r="L75" s="62">
        <f ca="1">IFERROR(__xludf.DUMMYFUNCTION("IMPORTRANGE(""https://docs.google.com/spreadsheets/d/1SX6NBoVAgQJ6U1MVXOaj8PK2l7WJ3RER9xtqwdhxkhw/edit?usp=sharing"",""อ่างทอง!J63"")"),0)</f>
        <v>0</v>
      </c>
      <c r="M75" s="63">
        <f t="shared" si="5"/>
        <v>0</v>
      </c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 ht="24" customHeight="1" x14ac:dyDescent="0.5">
      <c r="A76" s="566" t="s">
        <v>91</v>
      </c>
      <c r="B76" s="571"/>
      <c r="C76" s="66">
        <f t="shared" ref="C76:F76" si="30">SUM(C77:C90)</f>
        <v>324450</v>
      </c>
      <c r="D76" s="66">
        <f t="shared" si="30"/>
        <v>0</v>
      </c>
      <c r="E76" s="66">
        <f t="shared" si="30"/>
        <v>324450</v>
      </c>
      <c r="F76" s="66">
        <f t="shared" ca="1" si="30"/>
        <v>3380</v>
      </c>
      <c r="G76" s="67">
        <f t="shared" ca="1" si="1"/>
        <v>1.0417629835105564</v>
      </c>
      <c r="H76" s="66">
        <f t="shared" ref="H76:I76" si="31">SUM(H77:H90)</f>
        <v>75</v>
      </c>
      <c r="I76" s="66">
        <f t="shared" ca="1" si="31"/>
        <v>0</v>
      </c>
      <c r="J76" s="67">
        <f t="shared" ca="1" si="3"/>
        <v>0</v>
      </c>
      <c r="K76" s="66">
        <f t="shared" ref="K76:L76" si="32">SUM(K77:K90)</f>
        <v>75</v>
      </c>
      <c r="L76" s="66">
        <f t="shared" ca="1" si="32"/>
        <v>0</v>
      </c>
      <c r="M76" s="67">
        <f t="shared" ca="1" si="5"/>
        <v>0</v>
      </c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 ht="24" customHeight="1" x14ac:dyDescent="0.5">
      <c r="A77" s="45">
        <v>1</v>
      </c>
      <c r="B77" s="46" t="s">
        <v>92</v>
      </c>
      <c r="C77" s="47">
        <f t="shared" ref="C77:C90" si="33">+D77+E77</f>
        <v>0</v>
      </c>
      <c r="D77" s="48">
        <v>0</v>
      </c>
      <c r="E77" s="48">
        <v>0</v>
      </c>
      <c r="F77" s="48">
        <f ca="1">IFERROR(__xludf.DUMMYFUNCTION("IMPORTRANGE(""https://docs.google.com/spreadsheets/d/1IYY_tgx_IHuhSq3AJ5eI5OnqOPBNLWSHKh2a30DoXe8/edit?usp=sharing"",""กระบี่!M54"")"),0)</f>
        <v>0</v>
      </c>
      <c r="G77" s="50">
        <f t="shared" si="1"/>
        <v>0</v>
      </c>
      <c r="H77" s="48">
        <v>0</v>
      </c>
      <c r="I77" s="48">
        <f ca="1">IFERROR(__xludf.DUMMYFUNCTION("IMPORTRANGE(""https://docs.google.com/spreadsheets/d/1IYY_tgx_IHuhSq3AJ5eI5OnqOPBNLWSHKh2a30DoXe8/edit?usp=sharing"",""กระบี่!J62"")"),0)</f>
        <v>0</v>
      </c>
      <c r="J77" s="50">
        <f t="shared" si="3"/>
        <v>0</v>
      </c>
      <c r="K77" s="48">
        <v>0</v>
      </c>
      <c r="L77" s="48">
        <f ca="1">IFERROR(__xludf.DUMMYFUNCTION("IMPORTRANGE(""https://docs.google.com/spreadsheets/d/1IYY_tgx_IHuhSq3AJ5eI5OnqOPBNLWSHKh2a30DoXe8/edit?usp=sharing"",""กระบี่!J63"")"),0)</f>
        <v>0</v>
      </c>
      <c r="M77" s="50">
        <f t="shared" si="5"/>
        <v>0</v>
      </c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 ht="24" customHeight="1" x14ac:dyDescent="0.5">
      <c r="A78" s="52">
        <v>2</v>
      </c>
      <c r="B78" s="53" t="s">
        <v>93</v>
      </c>
      <c r="C78" s="54">
        <f t="shared" si="33"/>
        <v>64890</v>
      </c>
      <c r="D78" s="55">
        <v>0</v>
      </c>
      <c r="E78" s="55">
        <v>64890</v>
      </c>
      <c r="F78" s="55">
        <f ca="1">IFERROR(__xludf.DUMMYFUNCTION("IMPORTRANGE(""https://docs.google.com/spreadsheets/d/1IYY_tgx_IHuhSq3AJ5eI5OnqOPBNLWSHKh2a30DoXe8/edit?usp=sharing"",""ชุมพร!M54"")"),0)</f>
        <v>0</v>
      </c>
      <c r="G78" s="56">
        <f t="shared" ca="1" si="1"/>
        <v>0</v>
      </c>
      <c r="H78" s="55">
        <v>15</v>
      </c>
      <c r="I78" s="55">
        <f ca="1">IFERROR(__xludf.DUMMYFUNCTION("IMPORTRANGE(""https://docs.google.com/spreadsheets/d/1IYY_tgx_IHuhSq3AJ5eI5OnqOPBNLWSHKh2a30DoXe8/edit?usp=sharing"",""ชุมพร!J62"")"),0)</f>
        <v>0</v>
      </c>
      <c r="J78" s="56">
        <f t="shared" ca="1" si="3"/>
        <v>0</v>
      </c>
      <c r="K78" s="55">
        <v>15</v>
      </c>
      <c r="L78" s="55">
        <f ca="1">IFERROR(__xludf.DUMMYFUNCTION("IMPORTRANGE(""https://docs.google.com/spreadsheets/d/1IYY_tgx_IHuhSq3AJ5eI5OnqOPBNLWSHKh2a30DoXe8/edit?usp=sharing"",""ชุมพร!J63"")"),0)</f>
        <v>0</v>
      </c>
      <c r="M78" s="56">
        <f t="shared" ca="1" si="5"/>
        <v>0</v>
      </c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 ht="24" customHeight="1" x14ac:dyDescent="0.5">
      <c r="A79" s="52">
        <v>3</v>
      </c>
      <c r="B79" s="53" t="s">
        <v>94</v>
      </c>
      <c r="C79" s="54">
        <f t="shared" si="33"/>
        <v>0</v>
      </c>
      <c r="D79" s="55">
        <v>0</v>
      </c>
      <c r="E79" s="55">
        <v>0</v>
      </c>
      <c r="F79" s="55">
        <f ca="1">IFERROR(__xludf.DUMMYFUNCTION("IMPORTRANGE(""https://docs.google.com/spreadsheets/d/1IYY_tgx_IHuhSq3AJ5eI5OnqOPBNLWSHKh2a30DoXe8/edit?usp=sharing"",""ตรัง!M54"")"),0)</f>
        <v>0</v>
      </c>
      <c r="G79" s="56">
        <f t="shared" si="1"/>
        <v>0</v>
      </c>
      <c r="H79" s="55">
        <v>0</v>
      </c>
      <c r="I79" s="55">
        <f ca="1">IFERROR(__xludf.DUMMYFUNCTION("IMPORTRANGE(""https://docs.google.com/spreadsheets/d/1IYY_tgx_IHuhSq3AJ5eI5OnqOPBNLWSHKh2a30DoXe8/edit?usp=sharing"",""ตรัง!J62"")"),0)</f>
        <v>0</v>
      </c>
      <c r="J79" s="56">
        <f t="shared" si="3"/>
        <v>0</v>
      </c>
      <c r="K79" s="55">
        <v>0</v>
      </c>
      <c r="L79" s="55">
        <f ca="1">IFERROR(__xludf.DUMMYFUNCTION("IMPORTRANGE(""https://docs.google.com/spreadsheets/d/1IYY_tgx_IHuhSq3AJ5eI5OnqOPBNLWSHKh2a30DoXe8/edit?usp=sharing"",""ตรัง!J63"")"),0)</f>
        <v>0</v>
      </c>
      <c r="M79" s="56">
        <f t="shared" si="5"/>
        <v>0</v>
      </c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 ht="24" customHeight="1" x14ac:dyDescent="0.5">
      <c r="A80" s="52">
        <v>4</v>
      </c>
      <c r="B80" s="53" t="s">
        <v>95</v>
      </c>
      <c r="C80" s="54">
        <f t="shared" si="33"/>
        <v>0</v>
      </c>
      <c r="D80" s="55">
        <v>0</v>
      </c>
      <c r="E80" s="55">
        <v>0</v>
      </c>
      <c r="F80" s="55">
        <f ca="1">IFERROR(__xludf.DUMMYFUNCTION("IMPORTRANGE(""https://docs.google.com/spreadsheets/d/1IYY_tgx_IHuhSq3AJ5eI5OnqOPBNLWSHKh2a30DoXe8/edit?usp=sharing"",""นครศรีธรรมราช!M54"")"),0)</f>
        <v>0</v>
      </c>
      <c r="G80" s="56">
        <f t="shared" si="1"/>
        <v>0</v>
      </c>
      <c r="H80" s="55">
        <v>0</v>
      </c>
      <c r="I80" s="55">
        <f ca="1">IFERROR(__xludf.DUMMYFUNCTION("IMPORTRANGE(""https://docs.google.com/spreadsheets/d/1IYY_tgx_IHuhSq3AJ5eI5OnqOPBNLWSHKh2a30DoXe8/edit?usp=sharing"",""นครศรีธรรมราช!J62"")"),0)</f>
        <v>0</v>
      </c>
      <c r="J80" s="56">
        <f t="shared" si="3"/>
        <v>0</v>
      </c>
      <c r="K80" s="55">
        <v>0</v>
      </c>
      <c r="L80" s="55">
        <f ca="1">IFERROR(__xludf.DUMMYFUNCTION("IMPORTRANGE(""https://docs.google.com/spreadsheets/d/1IYY_tgx_IHuhSq3AJ5eI5OnqOPBNLWSHKh2a30DoXe8/edit?usp=sharing"",""นครศรีธรรมราช!J63"")"),0)</f>
        <v>0</v>
      </c>
      <c r="M80" s="56">
        <f t="shared" si="5"/>
        <v>0</v>
      </c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 ht="24" customHeight="1" x14ac:dyDescent="0.5">
      <c r="A81" s="52">
        <v>5</v>
      </c>
      <c r="B81" s="53" t="s">
        <v>96</v>
      </c>
      <c r="C81" s="54">
        <f t="shared" si="33"/>
        <v>0</v>
      </c>
      <c r="D81" s="55">
        <v>0</v>
      </c>
      <c r="E81" s="55">
        <v>0</v>
      </c>
      <c r="F81" s="55">
        <f ca="1">IFERROR(__xludf.DUMMYFUNCTION("IMPORTRANGE(""https://docs.google.com/spreadsheets/d/1IYY_tgx_IHuhSq3AJ5eI5OnqOPBNLWSHKh2a30DoXe8/edit?usp=sharing"",""นราธิวาส!M54"")"),0)</f>
        <v>0</v>
      </c>
      <c r="G81" s="56">
        <f t="shared" si="1"/>
        <v>0</v>
      </c>
      <c r="H81" s="55">
        <v>0</v>
      </c>
      <c r="I81" s="55">
        <f ca="1">IFERROR(__xludf.DUMMYFUNCTION("IMPORTRANGE(""https://docs.google.com/spreadsheets/d/1IYY_tgx_IHuhSq3AJ5eI5OnqOPBNLWSHKh2a30DoXe8/edit?usp=sharing"",""นราธิวาส!J62"")"),0)</f>
        <v>0</v>
      </c>
      <c r="J81" s="56">
        <f t="shared" si="3"/>
        <v>0</v>
      </c>
      <c r="K81" s="55">
        <v>0</v>
      </c>
      <c r="L81" s="55">
        <f ca="1">IFERROR(__xludf.DUMMYFUNCTION("IMPORTRANGE(""https://docs.google.com/spreadsheets/d/1IYY_tgx_IHuhSq3AJ5eI5OnqOPBNLWSHKh2a30DoXe8/edit?usp=sharing"",""นราธิวาส!J63"")"),0)</f>
        <v>0</v>
      </c>
      <c r="M81" s="56">
        <f t="shared" si="5"/>
        <v>0</v>
      </c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 ht="24" customHeight="1" x14ac:dyDescent="0.5">
      <c r="A82" s="52">
        <v>6</v>
      </c>
      <c r="B82" s="53" t="s">
        <v>97</v>
      </c>
      <c r="C82" s="54">
        <f t="shared" si="33"/>
        <v>0</v>
      </c>
      <c r="D82" s="55">
        <v>0</v>
      </c>
      <c r="E82" s="55">
        <v>0</v>
      </c>
      <c r="F82" s="55">
        <f ca="1">IFERROR(__xludf.DUMMYFUNCTION("IMPORTRANGE(""https://docs.google.com/spreadsheets/d/1IYY_tgx_IHuhSq3AJ5eI5OnqOPBNLWSHKh2a30DoXe8/edit?usp=sharing"",""ปัตตานี!M54"")"),0)</f>
        <v>0</v>
      </c>
      <c r="G82" s="56">
        <f t="shared" si="1"/>
        <v>0</v>
      </c>
      <c r="H82" s="55">
        <v>0</v>
      </c>
      <c r="I82" s="55">
        <f ca="1">IFERROR(__xludf.DUMMYFUNCTION("IMPORTRANGE(""https://docs.google.com/spreadsheets/d/1IYY_tgx_IHuhSq3AJ5eI5OnqOPBNLWSHKh2a30DoXe8/edit?usp=sharing"",""ปัตตานี!J62"")"),0)</f>
        <v>0</v>
      </c>
      <c r="J82" s="56">
        <f t="shared" si="3"/>
        <v>0</v>
      </c>
      <c r="K82" s="55">
        <v>0</v>
      </c>
      <c r="L82" s="55">
        <f ca="1">IFERROR(__xludf.DUMMYFUNCTION("IMPORTRANGE(""https://docs.google.com/spreadsheets/d/1IYY_tgx_IHuhSq3AJ5eI5OnqOPBNLWSHKh2a30DoXe8/edit?usp=sharing"",""ปัตตานี!J63"")"),0)</f>
        <v>0</v>
      </c>
      <c r="M82" s="56">
        <f t="shared" si="5"/>
        <v>0</v>
      </c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 ht="24" customHeight="1" x14ac:dyDescent="0.5">
      <c r="A83" s="52">
        <v>7</v>
      </c>
      <c r="B83" s="53" t="s">
        <v>98</v>
      </c>
      <c r="C83" s="54">
        <f t="shared" si="33"/>
        <v>64890</v>
      </c>
      <c r="D83" s="55">
        <v>0</v>
      </c>
      <c r="E83" s="55">
        <v>64890</v>
      </c>
      <c r="F83" s="55">
        <f ca="1">IFERROR(__xludf.DUMMYFUNCTION("IMPORTRANGE(""https://docs.google.com/spreadsheets/d/1IYY_tgx_IHuhSq3AJ5eI5OnqOPBNLWSHKh2a30DoXe8/edit?usp=sharing"",""พังงา!M54"")"),3380)</f>
        <v>3380</v>
      </c>
      <c r="G83" s="56">
        <f t="shared" ca="1" si="1"/>
        <v>5.2088149175527816</v>
      </c>
      <c r="H83" s="55">
        <v>15</v>
      </c>
      <c r="I83" s="55">
        <f ca="1">IFERROR(__xludf.DUMMYFUNCTION("IMPORTRANGE(""https://docs.google.com/spreadsheets/d/1IYY_tgx_IHuhSq3AJ5eI5OnqOPBNLWSHKh2a30DoXe8/edit?usp=sharing"",""พังงา!J62"")"),0)</f>
        <v>0</v>
      </c>
      <c r="J83" s="56">
        <f t="shared" ca="1" si="3"/>
        <v>0</v>
      </c>
      <c r="K83" s="55">
        <v>15</v>
      </c>
      <c r="L83" s="55">
        <f ca="1">IFERROR(__xludf.DUMMYFUNCTION("IMPORTRANGE(""https://docs.google.com/spreadsheets/d/1IYY_tgx_IHuhSq3AJ5eI5OnqOPBNLWSHKh2a30DoXe8/edit?usp=sharing"",""พังงา!J63"")"),0)</f>
        <v>0</v>
      </c>
      <c r="M83" s="56">
        <f t="shared" ca="1" si="5"/>
        <v>0</v>
      </c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 ht="24" customHeight="1" x14ac:dyDescent="0.5">
      <c r="A84" s="52">
        <v>8</v>
      </c>
      <c r="B84" s="53" t="s">
        <v>99</v>
      </c>
      <c r="C84" s="54">
        <f t="shared" si="33"/>
        <v>0</v>
      </c>
      <c r="D84" s="55">
        <v>0</v>
      </c>
      <c r="E84" s="55">
        <v>0</v>
      </c>
      <c r="F84" s="55">
        <f ca="1">IFERROR(__xludf.DUMMYFUNCTION("IMPORTRANGE(""https://docs.google.com/spreadsheets/d/1IYY_tgx_IHuhSq3AJ5eI5OnqOPBNLWSHKh2a30DoXe8/edit?usp=sharing"",""พัทลุง!M54"")"),0)</f>
        <v>0</v>
      </c>
      <c r="G84" s="56">
        <f t="shared" si="1"/>
        <v>0</v>
      </c>
      <c r="H84" s="55">
        <v>0</v>
      </c>
      <c r="I84" s="55">
        <f ca="1">IFERROR(__xludf.DUMMYFUNCTION("IMPORTRANGE(""https://docs.google.com/spreadsheets/d/1IYY_tgx_IHuhSq3AJ5eI5OnqOPBNLWSHKh2a30DoXe8/edit?usp=sharing"",""พัทลุง!J62"")"),0)</f>
        <v>0</v>
      </c>
      <c r="J84" s="56">
        <f t="shared" si="3"/>
        <v>0</v>
      </c>
      <c r="K84" s="55">
        <v>0</v>
      </c>
      <c r="L84" s="55">
        <f ca="1">IFERROR(__xludf.DUMMYFUNCTION("IMPORTRANGE(""https://docs.google.com/spreadsheets/d/1IYY_tgx_IHuhSq3AJ5eI5OnqOPBNLWSHKh2a30DoXe8/edit?usp=sharing"",""พัทลุง!J63"")"),0)</f>
        <v>0</v>
      </c>
      <c r="M84" s="56">
        <f t="shared" si="5"/>
        <v>0</v>
      </c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 ht="24" customHeight="1" x14ac:dyDescent="0.5">
      <c r="A85" s="52">
        <v>9</v>
      </c>
      <c r="B85" s="53" t="s">
        <v>100</v>
      </c>
      <c r="C85" s="54">
        <f t="shared" si="33"/>
        <v>0</v>
      </c>
      <c r="D85" s="55">
        <v>0</v>
      </c>
      <c r="E85" s="55">
        <v>0</v>
      </c>
      <c r="F85" s="55">
        <f ca="1">IFERROR(__xludf.DUMMYFUNCTION("IMPORTRANGE(""https://docs.google.com/spreadsheets/d/1IYY_tgx_IHuhSq3AJ5eI5OnqOPBNLWSHKh2a30DoXe8/edit?usp=sharing"",""ภูเก็ต!M54"")"),0)</f>
        <v>0</v>
      </c>
      <c r="G85" s="56">
        <f t="shared" si="1"/>
        <v>0</v>
      </c>
      <c r="H85" s="55">
        <v>0</v>
      </c>
      <c r="I85" s="55">
        <f ca="1">IFERROR(__xludf.DUMMYFUNCTION("IMPORTRANGE(""https://docs.google.com/spreadsheets/d/1IYY_tgx_IHuhSq3AJ5eI5OnqOPBNLWSHKh2a30DoXe8/edit?usp=sharing"",""ภูเก็ต!J62"")"),0)</f>
        <v>0</v>
      </c>
      <c r="J85" s="56">
        <f t="shared" si="3"/>
        <v>0</v>
      </c>
      <c r="K85" s="55">
        <v>0</v>
      </c>
      <c r="L85" s="55">
        <f ca="1">IFERROR(__xludf.DUMMYFUNCTION("IMPORTRANGE(""https://docs.google.com/spreadsheets/d/1IYY_tgx_IHuhSq3AJ5eI5OnqOPBNLWSHKh2a30DoXe8/edit?usp=sharing"",""ภูเก็ต!J63"")"),0)</f>
        <v>0</v>
      </c>
      <c r="M85" s="56">
        <f t="shared" si="5"/>
        <v>0</v>
      </c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 ht="24" customHeight="1" x14ac:dyDescent="0.5">
      <c r="A86" s="52">
        <v>10</v>
      </c>
      <c r="B86" s="53" t="s">
        <v>101</v>
      </c>
      <c r="C86" s="54">
        <f t="shared" si="33"/>
        <v>0</v>
      </c>
      <c r="D86" s="55">
        <v>0</v>
      </c>
      <c r="E86" s="55">
        <v>0</v>
      </c>
      <c r="F86" s="55">
        <f ca="1">IFERROR(__xludf.DUMMYFUNCTION("IMPORTRANGE(""https://docs.google.com/spreadsheets/d/1IYY_tgx_IHuhSq3AJ5eI5OnqOPBNLWSHKh2a30DoXe8/edit?usp=sharing"",""ยะลา!M54"")"),0)</f>
        <v>0</v>
      </c>
      <c r="G86" s="56">
        <f t="shared" si="1"/>
        <v>0</v>
      </c>
      <c r="H86" s="55">
        <v>0</v>
      </c>
      <c r="I86" s="55">
        <f ca="1">IFERROR(__xludf.DUMMYFUNCTION("IMPORTRANGE(""https://docs.google.com/spreadsheets/d/1IYY_tgx_IHuhSq3AJ5eI5OnqOPBNLWSHKh2a30DoXe8/edit?usp=sharing"",""ยะลา!J62"")"),0)</f>
        <v>0</v>
      </c>
      <c r="J86" s="56">
        <f t="shared" si="3"/>
        <v>0</v>
      </c>
      <c r="K86" s="55">
        <v>0</v>
      </c>
      <c r="L86" s="55">
        <f ca="1">IFERROR(__xludf.DUMMYFUNCTION("IMPORTRANGE(""https://docs.google.com/spreadsheets/d/1IYY_tgx_IHuhSq3AJ5eI5OnqOPBNLWSHKh2a30DoXe8/edit?usp=sharing"",""ยะลา!J63"")"),0)</f>
        <v>0</v>
      </c>
      <c r="M86" s="56">
        <f t="shared" si="5"/>
        <v>0</v>
      </c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 ht="24" customHeight="1" x14ac:dyDescent="0.5">
      <c r="A87" s="52">
        <v>11</v>
      </c>
      <c r="B87" s="53" t="s">
        <v>102</v>
      </c>
      <c r="C87" s="54">
        <f t="shared" si="33"/>
        <v>0</v>
      </c>
      <c r="D87" s="55">
        <v>0</v>
      </c>
      <c r="E87" s="55">
        <v>0</v>
      </c>
      <c r="F87" s="55">
        <f ca="1">IFERROR(__xludf.DUMMYFUNCTION("IMPORTRANGE(""https://docs.google.com/spreadsheets/d/1IYY_tgx_IHuhSq3AJ5eI5OnqOPBNLWSHKh2a30DoXe8/edit?usp=sharing"",""ระนอง!M54"")"),0)</f>
        <v>0</v>
      </c>
      <c r="G87" s="56">
        <f t="shared" si="1"/>
        <v>0</v>
      </c>
      <c r="H87" s="55">
        <v>0</v>
      </c>
      <c r="I87" s="55">
        <f ca="1">IFERROR(__xludf.DUMMYFUNCTION("IMPORTRANGE(""https://docs.google.com/spreadsheets/d/1IYY_tgx_IHuhSq3AJ5eI5OnqOPBNLWSHKh2a30DoXe8/edit?usp=sharing"",""ระนอง!J62"")"),0)</f>
        <v>0</v>
      </c>
      <c r="J87" s="56">
        <f t="shared" si="3"/>
        <v>0</v>
      </c>
      <c r="K87" s="55">
        <v>0</v>
      </c>
      <c r="L87" s="55">
        <f ca="1">IFERROR(__xludf.DUMMYFUNCTION("IMPORTRANGE(""https://docs.google.com/spreadsheets/d/1IYY_tgx_IHuhSq3AJ5eI5OnqOPBNLWSHKh2a30DoXe8/edit?usp=sharing"",""ระนอง!J63"")"),0)</f>
        <v>0</v>
      </c>
      <c r="M87" s="56">
        <f t="shared" si="5"/>
        <v>0</v>
      </c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 ht="24" customHeight="1" x14ac:dyDescent="0.5">
      <c r="A88" s="52">
        <v>12</v>
      </c>
      <c r="B88" s="53" t="s">
        <v>103</v>
      </c>
      <c r="C88" s="54">
        <f t="shared" si="33"/>
        <v>64890</v>
      </c>
      <c r="D88" s="55">
        <v>0</v>
      </c>
      <c r="E88" s="55">
        <v>64890</v>
      </c>
      <c r="F88" s="55">
        <f ca="1">IFERROR(__xludf.DUMMYFUNCTION("IMPORTRANGE(""https://docs.google.com/spreadsheets/d/1IYY_tgx_IHuhSq3AJ5eI5OnqOPBNLWSHKh2a30DoXe8/edit?usp=sharing"",""สงขลา!M54"")"),0)</f>
        <v>0</v>
      </c>
      <c r="G88" s="56">
        <f t="shared" ca="1" si="1"/>
        <v>0</v>
      </c>
      <c r="H88" s="55">
        <v>15</v>
      </c>
      <c r="I88" s="55">
        <f ca="1">IFERROR(__xludf.DUMMYFUNCTION("IMPORTRANGE(""https://docs.google.com/spreadsheets/d/1IYY_tgx_IHuhSq3AJ5eI5OnqOPBNLWSHKh2a30DoXe8/edit?usp=sharing"",""สงขลา!J62"")"),0)</f>
        <v>0</v>
      </c>
      <c r="J88" s="56">
        <f t="shared" ca="1" si="3"/>
        <v>0</v>
      </c>
      <c r="K88" s="55">
        <v>15</v>
      </c>
      <c r="L88" s="55">
        <f ca="1">IFERROR(__xludf.DUMMYFUNCTION("IMPORTRANGE(""https://docs.google.com/spreadsheets/d/1IYY_tgx_IHuhSq3AJ5eI5OnqOPBNLWSHKh2a30DoXe8/edit?usp=sharing"",""สงขลา!J63"")"),0)</f>
        <v>0</v>
      </c>
      <c r="M88" s="56">
        <f t="shared" ca="1" si="5"/>
        <v>0</v>
      </c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 ht="24" customHeight="1" x14ac:dyDescent="0.5">
      <c r="A89" s="52">
        <v>13</v>
      </c>
      <c r="B89" s="53" t="s">
        <v>104</v>
      </c>
      <c r="C89" s="54">
        <f t="shared" si="33"/>
        <v>64890</v>
      </c>
      <c r="D89" s="55">
        <v>0</v>
      </c>
      <c r="E89" s="55">
        <v>64890</v>
      </c>
      <c r="F89" s="55">
        <f ca="1">IFERROR(__xludf.DUMMYFUNCTION("IMPORTRANGE(""https://docs.google.com/spreadsheets/d/1IYY_tgx_IHuhSq3AJ5eI5OnqOPBNLWSHKh2a30DoXe8/edit?usp=sharing"",""สตูล!M54"")"),0)</f>
        <v>0</v>
      </c>
      <c r="G89" s="56">
        <f t="shared" ca="1" si="1"/>
        <v>0</v>
      </c>
      <c r="H89" s="55">
        <v>15</v>
      </c>
      <c r="I89" s="55">
        <f ca="1">IFERROR(__xludf.DUMMYFUNCTION("IMPORTRANGE(""https://docs.google.com/spreadsheets/d/1IYY_tgx_IHuhSq3AJ5eI5OnqOPBNLWSHKh2a30DoXe8/edit?usp=sharing"",""สตูล!J62"")"),0)</f>
        <v>0</v>
      </c>
      <c r="J89" s="56">
        <f t="shared" ca="1" si="3"/>
        <v>0</v>
      </c>
      <c r="K89" s="55">
        <v>15</v>
      </c>
      <c r="L89" s="55">
        <f ca="1">IFERROR(__xludf.DUMMYFUNCTION("IMPORTRANGE(""https://docs.google.com/spreadsheets/d/1IYY_tgx_IHuhSq3AJ5eI5OnqOPBNLWSHKh2a30DoXe8/edit?usp=sharing"",""สตูล!J63"")"),0)</f>
        <v>0</v>
      </c>
      <c r="M89" s="56">
        <f t="shared" ca="1" si="5"/>
        <v>0</v>
      </c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 ht="24" customHeight="1" x14ac:dyDescent="0.5">
      <c r="A90" s="59">
        <v>14</v>
      </c>
      <c r="B90" s="60" t="s">
        <v>105</v>
      </c>
      <c r="C90" s="61">
        <f t="shared" si="33"/>
        <v>64890</v>
      </c>
      <c r="D90" s="62">
        <v>0</v>
      </c>
      <c r="E90" s="62">
        <v>64890</v>
      </c>
      <c r="F90" s="62">
        <f ca="1">IFERROR(__xludf.DUMMYFUNCTION("IMPORTRANGE(""https://docs.google.com/spreadsheets/d/1IYY_tgx_IHuhSq3AJ5eI5OnqOPBNLWSHKh2a30DoXe8/edit?usp=sharing"",""สุราษฎร์ธานี!M54"")"),0)</f>
        <v>0</v>
      </c>
      <c r="G90" s="63">
        <f t="shared" ca="1" si="1"/>
        <v>0</v>
      </c>
      <c r="H90" s="62">
        <v>15</v>
      </c>
      <c r="I90" s="62">
        <f ca="1">IFERROR(__xludf.DUMMYFUNCTION("IMPORTRANGE(""https://docs.google.com/spreadsheets/d/1IYY_tgx_IHuhSq3AJ5eI5OnqOPBNLWSHKh2a30DoXe8/edit?usp=sharing"",""สุราษฎร์ธานี!J62"")"),0)</f>
        <v>0</v>
      </c>
      <c r="J90" s="63">
        <f t="shared" ca="1" si="3"/>
        <v>0</v>
      </c>
      <c r="K90" s="62">
        <v>15</v>
      </c>
      <c r="L90" s="62">
        <f ca="1">IFERROR(__xludf.DUMMYFUNCTION("IMPORTRANGE(""https://docs.google.com/spreadsheets/d/1IYY_tgx_IHuhSq3AJ5eI5OnqOPBNLWSHKh2a30DoXe8/edit?usp=sharing"",""สุราษฎร์ธานี!J63"")"),0)</f>
        <v>0</v>
      </c>
      <c r="M90" s="63">
        <f t="shared" ca="1" si="5"/>
        <v>0</v>
      </c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 ht="24" customHeight="1" x14ac:dyDescent="0.5">
      <c r="A91" s="572" t="s">
        <v>106</v>
      </c>
      <c r="B91" s="571"/>
      <c r="C91" s="35">
        <f t="shared" ref="C91:I91" si="34">+C92+C93+C94+C95+C96+C97+C98+C99+C100+C101+C102+C103+C104+C105</f>
        <v>2475320</v>
      </c>
      <c r="D91" s="35">
        <f t="shared" si="34"/>
        <v>0</v>
      </c>
      <c r="E91" s="35">
        <f t="shared" si="34"/>
        <v>2475320</v>
      </c>
      <c r="F91" s="35">
        <f t="shared" ca="1" si="34"/>
        <v>234433</v>
      </c>
      <c r="G91" s="35">
        <f t="shared" ca="1" si="34"/>
        <v>9.4708158945106096</v>
      </c>
      <c r="H91" s="35">
        <f t="shared" si="34"/>
        <v>0</v>
      </c>
      <c r="I91" s="35">
        <f t="shared" si="34"/>
        <v>0</v>
      </c>
      <c r="J91" s="36">
        <f t="shared" si="3"/>
        <v>0</v>
      </c>
      <c r="K91" s="35">
        <f t="shared" ref="K91:L91" si="35">+K92+K93+K94+K95+K96+K97+K98+K99+K100+K101+K102+K103+K104+K105</f>
        <v>0</v>
      </c>
      <c r="L91" s="35">
        <f t="shared" si="35"/>
        <v>0</v>
      </c>
      <c r="M91" s="36">
        <f t="shared" si="5"/>
        <v>0</v>
      </c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 ht="24" customHeight="1" x14ac:dyDescent="0.5">
      <c r="A92" s="68">
        <v>1</v>
      </c>
      <c r="B92" s="69" t="s">
        <v>107</v>
      </c>
      <c r="C92" s="47">
        <f t="shared" ref="C92:C105" si="36">+D92+E92</f>
        <v>0</v>
      </c>
      <c r="D92" s="48">
        <v>0</v>
      </c>
      <c r="E92" s="48">
        <v>0</v>
      </c>
      <c r="F92" s="48">
        <f ca="1">IFERROR(__xludf.DUMMYFUNCTION("IMPORTRANGE(""https://docs.google.com/spreadsheets/d/1Yj_ptqi66GCucihVvJfMjLAmec39IyEx_6qawtMGysU/edit?usp=sharing"",""สบก!BB96"")"),0)</f>
        <v>0</v>
      </c>
      <c r="G92" s="50">
        <f t="shared" ref="G92:G114" si="37">IF(C92&gt;0,F92*100/C92,0)</f>
        <v>0</v>
      </c>
      <c r="H92" s="48">
        <v>0</v>
      </c>
      <c r="I92" s="48">
        <v>0</v>
      </c>
      <c r="J92" s="50">
        <f t="shared" si="3"/>
        <v>0</v>
      </c>
      <c r="K92" s="48">
        <v>0</v>
      </c>
      <c r="L92" s="48">
        <v>0</v>
      </c>
      <c r="M92" s="50">
        <f t="shared" si="5"/>
        <v>0</v>
      </c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 ht="24" customHeight="1" x14ac:dyDescent="0.5">
      <c r="A93" s="70">
        <v>2</v>
      </c>
      <c r="B93" s="71" t="s">
        <v>108</v>
      </c>
      <c r="C93" s="54">
        <f t="shared" si="36"/>
        <v>0</v>
      </c>
      <c r="D93" s="55">
        <v>0</v>
      </c>
      <c r="E93" s="55">
        <v>0</v>
      </c>
      <c r="F93" s="55">
        <f ca="1">IFERROR(__xludf.DUMMYFUNCTION("IMPORTRANGE(""https://docs.google.com/spreadsheets/d/1Yj_ptqi66GCucihVvJfMjLAmec39IyEx_6qawtMGysU/edit?usp=sharing"",""สบก!BB97"")"),0)</f>
        <v>0</v>
      </c>
      <c r="G93" s="56">
        <f t="shared" si="37"/>
        <v>0</v>
      </c>
      <c r="H93" s="55">
        <v>0</v>
      </c>
      <c r="I93" s="55">
        <v>0</v>
      </c>
      <c r="J93" s="56">
        <f t="shared" si="3"/>
        <v>0</v>
      </c>
      <c r="K93" s="55">
        <v>0</v>
      </c>
      <c r="L93" s="55">
        <v>0</v>
      </c>
      <c r="M93" s="56">
        <f t="shared" si="5"/>
        <v>0</v>
      </c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 ht="24" customHeight="1" x14ac:dyDescent="0.5">
      <c r="A94" s="70">
        <v>3</v>
      </c>
      <c r="B94" s="71" t="s">
        <v>109</v>
      </c>
      <c r="C94" s="54">
        <f t="shared" si="36"/>
        <v>0</v>
      </c>
      <c r="D94" s="55">
        <v>0</v>
      </c>
      <c r="E94" s="55">
        <v>0</v>
      </c>
      <c r="F94" s="55">
        <f ca="1">IFERROR(__xludf.DUMMYFUNCTION("IMPORTRANGE(""https://docs.google.com/spreadsheets/d/1Yj_ptqi66GCucihVvJfMjLAmec39IyEx_6qawtMGysU/edit?usp=sharing"",""สบก!BB98"")"),0)</f>
        <v>0</v>
      </c>
      <c r="G94" s="56">
        <f t="shared" si="37"/>
        <v>0</v>
      </c>
      <c r="H94" s="55">
        <v>0</v>
      </c>
      <c r="I94" s="55">
        <v>0</v>
      </c>
      <c r="J94" s="56">
        <f t="shared" si="3"/>
        <v>0</v>
      </c>
      <c r="K94" s="55">
        <v>0</v>
      </c>
      <c r="L94" s="55">
        <v>0</v>
      </c>
      <c r="M94" s="56">
        <f t="shared" si="5"/>
        <v>0</v>
      </c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 ht="24" customHeight="1" x14ac:dyDescent="0.5">
      <c r="A95" s="70">
        <f t="shared" ref="A95:A105" si="38">+A94+1</f>
        <v>4</v>
      </c>
      <c r="B95" s="71" t="s">
        <v>110</v>
      </c>
      <c r="C95" s="54">
        <f t="shared" si="36"/>
        <v>0</v>
      </c>
      <c r="D95" s="55">
        <v>0</v>
      </c>
      <c r="E95" s="55">
        <v>0</v>
      </c>
      <c r="F95" s="55">
        <f ca="1">IFERROR(__xludf.DUMMYFUNCTION("IMPORTRANGE(""https://docs.google.com/spreadsheets/d/1Yj_ptqi66GCucihVvJfMjLAmec39IyEx_6qawtMGysU/edit?usp=sharing"",""สบก!BB99"")"),0)</f>
        <v>0</v>
      </c>
      <c r="G95" s="56">
        <f t="shared" si="37"/>
        <v>0</v>
      </c>
      <c r="H95" s="55">
        <v>0</v>
      </c>
      <c r="I95" s="55">
        <v>0</v>
      </c>
      <c r="J95" s="56">
        <f t="shared" si="3"/>
        <v>0</v>
      </c>
      <c r="K95" s="55">
        <v>0</v>
      </c>
      <c r="L95" s="55">
        <v>0</v>
      </c>
      <c r="M95" s="56">
        <f t="shared" si="5"/>
        <v>0</v>
      </c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 ht="24" customHeight="1" x14ac:dyDescent="0.5">
      <c r="A96" s="70">
        <f t="shared" si="38"/>
        <v>5</v>
      </c>
      <c r="B96" s="71" t="s">
        <v>111</v>
      </c>
      <c r="C96" s="54">
        <f t="shared" si="36"/>
        <v>0</v>
      </c>
      <c r="D96" s="55">
        <v>0</v>
      </c>
      <c r="E96" s="55">
        <v>0</v>
      </c>
      <c r="F96" s="55">
        <f ca="1">IFERROR(__xludf.DUMMYFUNCTION("IMPORTRANGE(""https://docs.google.com/spreadsheets/d/1Yj_ptqi66GCucihVvJfMjLAmec39IyEx_6qawtMGysU/edit?usp=sharing"",""สบก!BB100"")"),0)</f>
        <v>0</v>
      </c>
      <c r="G96" s="56">
        <f t="shared" si="37"/>
        <v>0</v>
      </c>
      <c r="H96" s="55">
        <v>0</v>
      </c>
      <c r="I96" s="55">
        <v>0</v>
      </c>
      <c r="J96" s="56">
        <f t="shared" si="3"/>
        <v>0</v>
      </c>
      <c r="K96" s="55">
        <v>0</v>
      </c>
      <c r="L96" s="55">
        <v>0</v>
      </c>
      <c r="M96" s="56">
        <f t="shared" si="5"/>
        <v>0</v>
      </c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 ht="24" customHeight="1" x14ac:dyDescent="0.5">
      <c r="A97" s="70">
        <f t="shared" si="38"/>
        <v>6</v>
      </c>
      <c r="B97" s="71" t="s">
        <v>112</v>
      </c>
      <c r="C97" s="54">
        <f t="shared" si="36"/>
        <v>0</v>
      </c>
      <c r="D97" s="55">
        <v>0</v>
      </c>
      <c r="E97" s="55">
        <v>0</v>
      </c>
      <c r="F97" s="55">
        <f ca="1">IFERROR(__xludf.DUMMYFUNCTION("IMPORTRANGE(""https://docs.google.com/spreadsheets/d/1Yj_ptqi66GCucihVvJfMjLAmec39IyEx_6qawtMGysU/edit?usp=sharing"",""สบก!BB101"")"),0)</f>
        <v>0</v>
      </c>
      <c r="G97" s="56">
        <f t="shared" si="37"/>
        <v>0</v>
      </c>
      <c r="H97" s="55">
        <v>0</v>
      </c>
      <c r="I97" s="55">
        <v>0</v>
      </c>
      <c r="J97" s="56">
        <f t="shared" si="3"/>
        <v>0</v>
      </c>
      <c r="K97" s="55">
        <v>0</v>
      </c>
      <c r="L97" s="55">
        <v>0</v>
      </c>
      <c r="M97" s="56">
        <f t="shared" si="5"/>
        <v>0</v>
      </c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 ht="24" customHeight="1" x14ac:dyDescent="0.5">
      <c r="A98" s="70">
        <f t="shared" si="38"/>
        <v>7</v>
      </c>
      <c r="B98" s="71" t="s">
        <v>113</v>
      </c>
      <c r="C98" s="54">
        <f t="shared" si="36"/>
        <v>2475320</v>
      </c>
      <c r="D98" s="55">
        <v>0</v>
      </c>
      <c r="E98" s="55">
        <v>2475320</v>
      </c>
      <c r="F98" s="55">
        <f ca="1">IFERROR(__xludf.DUMMYFUNCTION("IMPORTRANGE(""https://docs.google.com/spreadsheets/d/1Yj_ptqi66GCucihVvJfMjLAmec39IyEx_6qawtMGysU/edit?usp=sharing"",""สบก!BB102"")"),234433)</f>
        <v>234433</v>
      </c>
      <c r="G98" s="56">
        <f t="shared" ca="1" si="37"/>
        <v>9.4708158945106096</v>
      </c>
      <c r="H98" s="55">
        <v>0</v>
      </c>
      <c r="I98" s="55">
        <v>0</v>
      </c>
      <c r="J98" s="56">
        <f t="shared" si="3"/>
        <v>0</v>
      </c>
      <c r="K98" s="55">
        <v>0</v>
      </c>
      <c r="L98" s="55">
        <v>0</v>
      </c>
      <c r="M98" s="56">
        <f t="shared" si="5"/>
        <v>0</v>
      </c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ht="24" customHeight="1" x14ac:dyDescent="0.5">
      <c r="A99" s="70">
        <f t="shared" si="38"/>
        <v>8</v>
      </c>
      <c r="B99" s="71" t="s">
        <v>114</v>
      </c>
      <c r="C99" s="54">
        <f t="shared" si="36"/>
        <v>0</v>
      </c>
      <c r="D99" s="55">
        <v>0</v>
      </c>
      <c r="E99" s="55">
        <v>0</v>
      </c>
      <c r="F99" s="55">
        <f ca="1">IFERROR(__xludf.DUMMYFUNCTION("IMPORTRANGE(""https://docs.google.com/spreadsheets/d/1Yj_ptqi66GCucihVvJfMjLAmec39IyEx_6qawtMGysU/edit?usp=sharing"",""สบก!BB103"")"),0)</f>
        <v>0</v>
      </c>
      <c r="G99" s="56">
        <f t="shared" si="37"/>
        <v>0</v>
      </c>
      <c r="H99" s="55">
        <v>0</v>
      </c>
      <c r="I99" s="55">
        <v>0</v>
      </c>
      <c r="J99" s="56">
        <f t="shared" si="3"/>
        <v>0</v>
      </c>
      <c r="K99" s="55">
        <v>0</v>
      </c>
      <c r="L99" s="55">
        <v>0</v>
      </c>
      <c r="M99" s="56">
        <f t="shared" si="5"/>
        <v>0</v>
      </c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ht="24" customHeight="1" x14ac:dyDescent="0.5">
      <c r="A100" s="70">
        <f t="shared" si="38"/>
        <v>9</v>
      </c>
      <c r="B100" s="71" t="s">
        <v>115</v>
      </c>
      <c r="C100" s="54">
        <f t="shared" si="36"/>
        <v>0</v>
      </c>
      <c r="D100" s="55">
        <v>0</v>
      </c>
      <c r="E100" s="55">
        <v>0</v>
      </c>
      <c r="F100" s="55">
        <f ca="1">IFERROR(__xludf.DUMMYFUNCTION("IMPORTRANGE(""https://docs.google.com/spreadsheets/d/1Yj_ptqi66GCucihVvJfMjLAmec39IyEx_6qawtMGysU/edit?usp=sharing"",""สบก!BB104"")"),0)</f>
        <v>0</v>
      </c>
      <c r="G100" s="56">
        <f t="shared" si="37"/>
        <v>0</v>
      </c>
      <c r="H100" s="55">
        <v>0</v>
      </c>
      <c r="I100" s="55">
        <v>0</v>
      </c>
      <c r="J100" s="56">
        <f t="shared" si="3"/>
        <v>0</v>
      </c>
      <c r="K100" s="55">
        <v>0</v>
      </c>
      <c r="L100" s="55">
        <v>0</v>
      </c>
      <c r="M100" s="56">
        <f t="shared" si="5"/>
        <v>0</v>
      </c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ht="24" customHeight="1" x14ac:dyDescent="0.5">
      <c r="A101" s="70">
        <f t="shared" si="38"/>
        <v>10</v>
      </c>
      <c r="B101" s="71" t="s">
        <v>116</v>
      </c>
      <c r="C101" s="54">
        <f t="shared" si="36"/>
        <v>0</v>
      </c>
      <c r="D101" s="55">
        <v>0</v>
      </c>
      <c r="E101" s="55">
        <v>0</v>
      </c>
      <c r="F101" s="55">
        <f ca="1">IFERROR(__xludf.DUMMYFUNCTION("IMPORTRANGE(""https://docs.google.com/spreadsheets/d/1Yj_ptqi66GCucihVvJfMjLAmec39IyEx_6qawtMGysU/edit?usp=sharing"",""สบก!BB105"")"),0)</f>
        <v>0</v>
      </c>
      <c r="G101" s="56">
        <f t="shared" si="37"/>
        <v>0</v>
      </c>
      <c r="H101" s="55">
        <v>0</v>
      </c>
      <c r="I101" s="55">
        <v>0</v>
      </c>
      <c r="J101" s="56">
        <f t="shared" si="3"/>
        <v>0</v>
      </c>
      <c r="K101" s="55">
        <v>0</v>
      </c>
      <c r="L101" s="55">
        <v>0</v>
      </c>
      <c r="M101" s="56">
        <f t="shared" si="5"/>
        <v>0</v>
      </c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ht="24" customHeight="1" x14ac:dyDescent="0.5">
      <c r="A102" s="70">
        <f t="shared" si="38"/>
        <v>11</v>
      </c>
      <c r="B102" s="71" t="s">
        <v>117</v>
      </c>
      <c r="C102" s="54">
        <f t="shared" si="36"/>
        <v>0</v>
      </c>
      <c r="D102" s="55">
        <v>0</v>
      </c>
      <c r="E102" s="55">
        <v>0</v>
      </c>
      <c r="F102" s="55">
        <f ca="1">IFERROR(__xludf.DUMMYFUNCTION("IMPORTRANGE(""https://docs.google.com/spreadsheets/d/1Yj_ptqi66GCucihVvJfMjLAmec39IyEx_6qawtMGysU/edit?usp=sharing"",""สบก!BB106"")"),0)</f>
        <v>0</v>
      </c>
      <c r="G102" s="56">
        <f t="shared" si="37"/>
        <v>0</v>
      </c>
      <c r="H102" s="55">
        <v>0</v>
      </c>
      <c r="I102" s="55">
        <v>0</v>
      </c>
      <c r="J102" s="56">
        <f t="shared" si="3"/>
        <v>0</v>
      </c>
      <c r="K102" s="55">
        <v>0</v>
      </c>
      <c r="L102" s="55">
        <v>0</v>
      </c>
      <c r="M102" s="56">
        <f t="shared" si="5"/>
        <v>0</v>
      </c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ht="24" customHeight="1" x14ac:dyDescent="0.5">
      <c r="A103" s="70">
        <f t="shared" si="38"/>
        <v>12</v>
      </c>
      <c r="B103" s="71" t="s">
        <v>118</v>
      </c>
      <c r="C103" s="54">
        <f t="shared" si="36"/>
        <v>0</v>
      </c>
      <c r="D103" s="55">
        <v>0</v>
      </c>
      <c r="E103" s="55">
        <v>0</v>
      </c>
      <c r="F103" s="55">
        <f ca="1">IFERROR(__xludf.DUMMYFUNCTION("IMPORTRANGE(""https://docs.google.com/spreadsheets/d/1Yj_ptqi66GCucihVvJfMjLAmec39IyEx_6qawtMGysU/edit?usp=sharing"",""สบก!BB107"")"),0)</f>
        <v>0</v>
      </c>
      <c r="G103" s="56">
        <f t="shared" si="37"/>
        <v>0</v>
      </c>
      <c r="H103" s="55">
        <v>0</v>
      </c>
      <c r="I103" s="55">
        <v>0</v>
      </c>
      <c r="J103" s="56">
        <f t="shared" si="3"/>
        <v>0</v>
      </c>
      <c r="K103" s="55">
        <v>0</v>
      </c>
      <c r="L103" s="55">
        <v>0</v>
      </c>
      <c r="M103" s="56">
        <f t="shared" si="5"/>
        <v>0</v>
      </c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ht="24" customHeight="1" x14ac:dyDescent="0.5">
      <c r="A104" s="70">
        <f t="shared" si="38"/>
        <v>13</v>
      </c>
      <c r="B104" s="71" t="s">
        <v>119</v>
      </c>
      <c r="C104" s="54">
        <f t="shared" si="36"/>
        <v>0</v>
      </c>
      <c r="D104" s="55">
        <v>0</v>
      </c>
      <c r="E104" s="55">
        <v>0</v>
      </c>
      <c r="F104" s="55">
        <f ca="1">IFERROR(__xludf.DUMMYFUNCTION("IMPORTRANGE(""https://docs.google.com/spreadsheets/d/1Yj_ptqi66GCucihVvJfMjLAmec39IyEx_6qawtMGysU/edit?usp=sharing"",""สบก!BB108"")"),0)</f>
        <v>0</v>
      </c>
      <c r="G104" s="56">
        <f t="shared" si="37"/>
        <v>0</v>
      </c>
      <c r="H104" s="55">
        <v>0</v>
      </c>
      <c r="I104" s="55">
        <v>0</v>
      </c>
      <c r="J104" s="56">
        <f t="shared" si="3"/>
        <v>0</v>
      </c>
      <c r="K104" s="55">
        <v>0</v>
      </c>
      <c r="L104" s="55">
        <v>0</v>
      </c>
      <c r="M104" s="56">
        <f t="shared" si="5"/>
        <v>0</v>
      </c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ht="24" customHeight="1" x14ac:dyDescent="0.5">
      <c r="A105" s="72">
        <f t="shared" si="38"/>
        <v>14</v>
      </c>
      <c r="B105" s="73" t="s">
        <v>120</v>
      </c>
      <c r="C105" s="61">
        <f t="shared" si="36"/>
        <v>0</v>
      </c>
      <c r="D105" s="62">
        <v>0</v>
      </c>
      <c r="E105" s="62">
        <v>0</v>
      </c>
      <c r="F105" s="62">
        <f ca="1">IFERROR(__xludf.DUMMYFUNCTION("IMPORTRANGE(""https://docs.google.com/spreadsheets/d/1Yj_ptqi66GCucihVvJfMjLAmec39IyEx_6qawtMGysU/edit?usp=sharing"",""สบก!BB109"")"),0)</f>
        <v>0</v>
      </c>
      <c r="G105" s="63">
        <f t="shared" si="37"/>
        <v>0</v>
      </c>
      <c r="H105" s="62">
        <v>0</v>
      </c>
      <c r="I105" s="62">
        <v>0</v>
      </c>
      <c r="J105" s="63">
        <f t="shared" si="3"/>
        <v>0</v>
      </c>
      <c r="K105" s="62">
        <v>0</v>
      </c>
      <c r="L105" s="62">
        <v>0</v>
      </c>
      <c r="M105" s="63">
        <f t="shared" si="5"/>
        <v>0</v>
      </c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ht="24" customHeight="1" x14ac:dyDescent="0.5">
      <c r="A106" s="572" t="s">
        <v>121</v>
      </c>
      <c r="B106" s="571"/>
      <c r="C106" s="35">
        <f t="shared" ref="C106:F106" si="39">+C107+C108+C109+C110+C111+C112+C113+C114</f>
        <v>552200</v>
      </c>
      <c r="D106" s="35">
        <f t="shared" si="39"/>
        <v>552200</v>
      </c>
      <c r="E106" s="35">
        <f t="shared" si="39"/>
        <v>0</v>
      </c>
      <c r="F106" s="35">
        <f t="shared" si="39"/>
        <v>0</v>
      </c>
      <c r="G106" s="36">
        <f t="shared" si="37"/>
        <v>0</v>
      </c>
      <c r="H106" s="35">
        <f t="shared" ref="H106:I106" si="40">+H107+H108+H109+H110+H111+H112+H113+H114</f>
        <v>0</v>
      </c>
      <c r="I106" s="35">
        <f t="shared" si="40"/>
        <v>0</v>
      </c>
      <c r="J106" s="36">
        <f t="shared" si="3"/>
        <v>0</v>
      </c>
      <c r="K106" s="35">
        <f t="shared" ref="K106:L106" si="41">+K107+K108+K109+K110+K111+K112+K113+K114</f>
        <v>0</v>
      </c>
      <c r="L106" s="35">
        <f t="shared" si="41"/>
        <v>0</v>
      </c>
      <c r="M106" s="36">
        <f t="shared" si="5"/>
        <v>0</v>
      </c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ht="24" customHeight="1" x14ac:dyDescent="0.5">
      <c r="A107" s="68">
        <v>1</v>
      </c>
      <c r="B107" s="74" t="s">
        <v>122</v>
      </c>
      <c r="C107" s="47">
        <f t="shared" ref="C107:C114" si="42">+D107+E107</f>
        <v>552200</v>
      </c>
      <c r="D107" s="48">
        <v>552200</v>
      </c>
      <c r="E107" s="48">
        <v>0</v>
      </c>
      <c r="F107" s="48">
        <v>0</v>
      </c>
      <c r="G107" s="50">
        <f t="shared" si="37"/>
        <v>0</v>
      </c>
      <c r="H107" s="48">
        <v>0</v>
      </c>
      <c r="I107" s="48">
        <v>0</v>
      </c>
      <c r="J107" s="50">
        <f t="shared" si="3"/>
        <v>0</v>
      </c>
      <c r="K107" s="48">
        <v>0</v>
      </c>
      <c r="L107" s="48">
        <v>0</v>
      </c>
      <c r="M107" s="50">
        <f t="shared" si="5"/>
        <v>0</v>
      </c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ht="24" customHeight="1" x14ac:dyDescent="0.5">
      <c r="A108" s="70">
        <v>2</v>
      </c>
      <c r="B108" s="75" t="s">
        <v>123</v>
      </c>
      <c r="C108" s="54">
        <f t="shared" si="42"/>
        <v>0</v>
      </c>
      <c r="D108" s="55">
        <v>0</v>
      </c>
      <c r="E108" s="55">
        <v>0</v>
      </c>
      <c r="F108" s="55">
        <v>0</v>
      </c>
      <c r="G108" s="56">
        <f t="shared" si="37"/>
        <v>0</v>
      </c>
      <c r="H108" s="55">
        <v>0</v>
      </c>
      <c r="I108" s="55">
        <v>0</v>
      </c>
      <c r="J108" s="56">
        <f t="shared" si="3"/>
        <v>0</v>
      </c>
      <c r="K108" s="55">
        <v>0</v>
      </c>
      <c r="L108" s="55">
        <v>0</v>
      </c>
      <c r="M108" s="56">
        <f t="shared" si="5"/>
        <v>0</v>
      </c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ht="24" customHeight="1" x14ac:dyDescent="0.5">
      <c r="A109" s="70">
        <v>3</v>
      </c>
      <c r="B109" s="75" t="s">
        <v>124</v>
      </c>
      <c r="C109" s="54">
        <f t="shared" si="42"/>
        <v>0</v>
      </c>
      <c r="D109" s="55">
        <v>0</v>
      </c>
      <c r="E109" s="55">
        <v>0</v>
      </c>
      <c r="F109" s="55">
        <v>0</v>
      </c>
      <c r="G109" s="56">
        <f t="shared" si="37"/>
        <v>0</v>
      </c>
      <c r="H109" s="55">
        <v>0</v>
      </c>
      <c r="I109" s="55">
        <v>0</v>
      </c>
      <c r="J109" s="56">
        <f t="shared" si="3"/>
        <v>0</v>
      </c>
      <c r="K109" s="55">
        <v>0</v>
      </c>
      <c r="L109" s="55">
        <v>0</v>
      </c>
      <c r="M109" s="56">
        <f t="shared" si="5"/>
        <v>0</v>
      </c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ht="24" customHeight="1" x14ac:dyDescent="0.5">
      <c r="A110" s="70">
        <f t="shared" ref="A110:A112" si="43">+A109+1</f>
        <v>4</v>
      </c>
      <c r="B110" s="75" t="s">
        <v>125</v>
      </c>
      <c r="C110" s="54">
        <f t="shared" si="42"/>
        <v>0</v>
      </c>
      <c r="D110" s="55">
        <v>0</v>
      </c>
      <c r="E110" s="55">
        <v>0</v>
      </c>
      <c r="F110" s="55">
        <v>0</v>
      </c>
      <c r="G110" s="56">
        <f t="shared" si="37"/>
        <v>0</v>
      </c>
      <c r="H110" s="55">
        <v>0</v>
      </c>
      <c r="I110" s="55">
        <v>0</v>
      </c>
      <c r="J110" s="56">
        <f t="shared" si="3"/>
        <v>0</v>
      </c>
      <c r="K110" s="55">
        <v>0</v>
      </c>
      <c r="L110" s="55">
        <v>0</v>
      </c>
      <c r="M110" s="56">
        <f t="shared" si="5"/>
        <v>0</v>
      </c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ht="24" customHeight="1" x14ac:dyDescent="0.5">
      <c r="A111" s="70">
        <f t="shared" si="43"/>
        <v>5</v>
      </c>
      <c r="B111" s="75" t="s">
        <v>126</v>
      </c>
      <c r="C111" s="54">
        <f t="shared" si="42"/>
        <v>0</v>
      </c>
      <c r="D111" s="55">
        <v>0</v>
      </c>
      <c r="E111" s="55">
        <v>0</v>
      </c>
      <c r="F111" s="55">
        <v>0</v>
      </c>
      <c r="G111" s="56">
        <f t="shared" si="37"/>
        <v>0</v>
      </c>
      <c r="H111" s="55">
        <v>0</v>
      </c>
      <c r="I111" s="55">
        <v>0</v>
      </c>
      <c r="J111" s="56">
        <f t="shared" si="3"/>
        <v>0</v>
      </c>
      <c r="K111" s="55">
        <v>0</v>
      </c>
      <c r="L111" s="55">
        <v>0</v>
      </c>
      <c r="M111" s="56">
        <f t="shared" si="5"/>
        <v>0</v>
      </c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ht="24" customHeight="1" x14ac:dyDescent="0.5">
      <c r="A112" s="70">
        <f t="shared" si="43"/>
        <v>6</v>
      </c>
      <c r="B112" s="75" t="s">
        <v>127</v>
      </c>
      <c r="C112" s="54">
        <f t="shared" si="42"/>
        <v>0</v>
      </c>
      <c r="D112" s="55">
        <v>0</v>
      </c>
      <c r="E112" s="55">
        <v>0</v>
      </c>
      <c r="F112" s="55">
        <v>0</v>
      </c>
      <c r="G112" s="56">
        <f t="shared" si="37"/>
        <v>0</v>
      </c>
      <c r="H112" s="55">
        <v>0</v>
      </c>
      <c r="I112" s="55">
        <v>0</v>
      </c>
      <c r="J112" s="56">
        <f t="shared" si="3"/>
        <v>0</v>
      </c>
      <c r="K112" s="55">
        <v>0</v>
      </c>
      <c r="L112" s="55">
        <v>0</v>
      </c>
      <c r="M112" s="56">
        <f t="shared" si="5"/>
        <v>0</v>
      </c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ht="24" customHeight="1" x14ac:dyDescent="0.5">
      <c r="A113" s="70">
        <v>7</v>
      </c>
      <c r="B113" s="75" t="s">
        <v>128</v>
      </c>
      <c r="C113" s="54">
        <f t="shared" si="42"/>
        <v>0</v>
      </c>
      <c r="D113" s="55">
        <v>0</v>
      </c>
      <c r="E113" s="55">
        <v>0</v>
      </c>
      <c r="F113" s="55">
        <v>0</v>
      </c>
      <c r="G113" s="56">
        <f t="shared" si="37"/>
        <v>0</v>
      </c>
      <c r="H113" s="55">
        <v>0</v>
      </c>
      <c r="I113" s="55">
        <v>0</v>
      </c>
      <c r="J113" s="56">
        <f t="shared" si="3"/>
        <v>0</v>
      </c>
      <c r="K113" s="55">
        <v>0</v>
      </c>
      <c r="L113" s="55">
        <v>0</v>
      </c>
      <c r="M113" s="56">
        <f t="shared" si="5"/>
        <v>0</v>
      </c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ht="24" customHeight="1" x14ac:dyDescent="0.5">
      <c r="A114" s="76">
        <v>8</v>
      </c>
      <c r="B114" s="77" t="s">
        <v>129</v>
      </c>
      <c r="C114" s="78">
        <f t="shared" si="42"/>
        <v>0</v>
      </c>
      <c r="D114" s="79">
        <v>0</v>
      </c>
      <c r="E114" s="79">
        <v>0</v>
      </c>
      <c r="F114" s="79">
        <v>0</v>
      </c>
      <c r="G114" s="80">
        <f t="shared" si="37"/>
        <v>0</v>
      </c>
      <c r="H114" s="79">
        <v>0</v>
      </c>
      <c r="I114" s="79">
        <v>0</v>
      </c>
      <c r="J114" s="80">
        <f t="shared" si="3"/>
        <v>0</v>
      </c>
      <c r="K114" s="79">
        <v>0</v>
      </c>
      <c r="L114" s="79">
        <v>0</v>
      </c>
      <c r="M114" s="80">
        <f t="shared" si="5"/>
        <v>0</v>
      </c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ht="24" customHeight="1" x14ac:dyDescent="0.55000000000000004">
      <c r="A115" s="467" t="s">
        <v>321</v>
      </c>
      <c r="B115" s="3"/>
      <c r="C115" s="3"/>
      <c r="D115" s="3"/>
      <c r="E115" s="3"/>
      <c r="F115" s="3"/>
      <c r="G115" s="5"/>
      <c r="H115" s="3"/>
      <c r="I115" s="3"/>
      <c r="J115" s="83"/>
      <c r="K115" s="3"/>
      <c r="L115" s="3"/>
      <c r="M115" s="83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 ht="24" customHeight="1" x14ac:dyDescent="0.5">
      <c r="A116" s="3"/>
      <c r="B116" s="3"/>
      <c r="C116" s="3"/>
      <c r="D116" s="3"/>
      <c r="E116" s="3"/>
      <c r="F116" s="3"/>
      <c r="G116" s="5"/>
      <c r="H116" s="3"/>
      <c r="I116" s="3"/>
      <c r="J116" s="83"/>
      <c r="K116" s="3"/>
      <c r="L116" s="3"/>
      <c r="M116" s="83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 ht="24" customHeight="1" x14ac:dyDescent="0.5">
      <c r="A117" s="3"/>
      <c r="B117" s="3"/>
      <c r="C117" s="3"/>
      <c r="D117" s="3"/>
      <c r="E117" s="3"/>
      <c r="F117" s="3"/>
      <c r="G117" s="5"/>
      <c r="H117" s="3"/>
      <c r="I117" s="3"/>
      <c r="J117" s="83"/>
      <c r="K117" s="3"/>
      <c r="L117" s="3"/>
      <c r="M117" s="83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 ht="24" customHeight="1" x14ac:dyDescent="0.5">
      <c r="A118" s="3"/>
      <c r="B118" s="3"/>
      <c r="C118" s="3"/>
      <c r="D118" s="3"/>
      <c r="E118" s="3"/>
      <c r="F118" s="3"/>
      <c r="G118" s="5"/>
      <c r="H118" s="3"/>
      <c r="I118" s="3"/>
      <c r="J118" s="83"/>
      <c r="K118" s="3"/>
      <c r="L118" s="3"/>
      <c r="M118" s="83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 ht="24" customHeight="1" x14ac:dyDescent="0.5">
      <c r="A119" s="3"/>
      <c r="B119" s="3"/>
      <c r="C119" s="3"/>
      <c r="D119" s="3"/>
      <c r="E119" s="3"/>
      <c r="F119" s="3"/>
      <c r="G119" s="5"/>
      <c r="H119" s="3"/>
      <c r="I119" s="3"/>
      <c r="J119" s="83"/>
      <c r="K119" s="3"/>
      <c r="L119" s="3"/>
      <c r="M119" s="83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 ht="24" customHeight="1" x14ac:dyDescent="0.5">
      <c r="A120" s="3"/>
      <c r="B120" s="3"/>
      <c r="C120" s="3"/>
      <c r="D120" s="3"/>
      <c r="E120" s="3"/>
      <c r="F120" s="3"/>
      <c r="G120" s="5"/>
      <c r="H120" s="3"/>
      <c r="I120" s="3"/>
      <c r="J120" s="83"/>
      <c r="K120" s="3"/>
      <c r="L120" s="3"/>
      <c r="M120" s="83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 ht="24" customHeight="1" x14ac:dyDescent="0.5">
      <c r="A121" s="3"/>
      <c r="B121" s="3"/>
      <c r="C121" s="3"/>
      <c r="D121" s="3"/>
      <c r="E121" s="3"/>
      <c r="F121" s="3"/>
      <c r="G121" s="5"/>
      <c r="H121" s="3"/>
      <c r="I121" s="3"/>
      <c r="J121" s="83"/>
      <c r="K121" s="3"/>
      <c r="L121" s="3"/>
      <c r="M121" s="83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 ht="24" customHeight="1" x14ac:dyDescent="0.5">
      <c r="A122" s="3"/>
      <c r="B122" s="3"/>
      <c r="C122" s="3"/>
      <c r="D122" s="3"/>
      <c r="E122" s="3"/>
      <c r="F122" s="3"/>
      <c r="G122" s="5"/>
      <c r="H122" s="3"/>
      <c r="I122" s="3"/>
      <c r="J122" s="83"/>
      <c r="K122" s="3"/>
      <c r="L122" s="3"/>
      <c r="M122" s="83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 ht="24" customHeight="1" x14ac:dyDescent="0.5">
      <c r="A123" s="3"/>
      <c r="B123" s="3"/>
      <c r="C123" s="3"/>
      <c r="D123" s="3"/>
      <c r="E123" s="3"/>
      <c r="F123" s="3"/>
      <c r="G123" s="5"/>
      <c r="H123" s="3"/>
      <c r="I123" s="3"/>
      <c r="J123" s="83"/>
      <c r="K123" s="3"/>
      <c r="L123" s="3"/>
      <c r="M123" s="83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 ht="24" customHeight="1" x14ac:dyDescent="0.5">
      <c r="A124" s="3"/>
      <c r="B124" s="3"/>
      <c r="C124" s="3"/>
      <c r="D124" s="3"/>
      <c r="E124" s="3"/>
      <c r="F124" s="3"/>
      <c r="G124" s="5"/>
      <c r="H124" s="3"/>
      <c r="I124" s="3"/>
      <c r="J124" s="83"/>
      <c r="K124" s="3"/>
      <c r="L124" s="3"/>
      <c r="M124" s="83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 ht="24" customHeight="1" x14ac:dyDescent="0.5">
      <c r="A125" s="3"/>
      <c r="B125" s="3"/>
      <c r="C125" s="3"/>
      <c r="D125" s="3"/>
      <c r="E125" s="3"/>
      <c r="F125" s="3"/>
      <c r="G125" s="5"/>
      <c r="H125" s="3"/>
      <c r="I125" s="3"/>
      <c r="J125" s="83"/>
      <c r="K125" s="3"/>
      <c r="L125" s="3"/>
      <c r="M125" s="83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 ht="24" customHeight="1" x14ac:dyDescent="0.5">
      <c r="A126" s="3"/>
      <c r="B126" s="3"/>
      <c r="C126" s="3"/>
      <c r="D126" s="3"/>
      <c r="E126" s="3"/>
      <c r="F126" s="3"/>
      <c r="G126" s="5"/>
      <c r="H126" s="3"/>
      <c r="I126" s="3"/>
      <c r="J126" s="83"/>
      <c r="K126" s="3"/>
      <c r="L126" s="3"/>
      <c r="M126" s="83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ht="24" customHeight="1" x14ac:dyDescent="0.5">
      <c r="A127" s="3"/>
      <c r="B127" s="3"/>
      <c r="C127" s="3"/>
      <c r="D127" s="3"/>
      <c r="E127" s="3"/>
      <c r="F127" s="3"/>
      <c r="G127" s="5"/>
      <c r="H127" s="3"/>
      <c r="I127" s="3"/>
      <c r="J127" s="83"/>
      <c r="K127" s="3"/>
      <c r="L127" s="3"/>
      <c r="M127" s="83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ht="24" customHeight="1" x14ac:dyDescent="0.5">
      <c r="A128" s="3"/>
      <c r="B128" s="3"/>
      <c r="C128" s="3"/>
      <c r="D128" s="3"/>
      <c r="E128" s="3"/>
      <c r="F128" s="3"/>
      <c r="G128" s="5"/>
      <c r="H128" s="3"/>
      <c r="I128" s="3"/>
      <c r="J128" s="83"/>
      <c r="K128" s="3"/>
      <c r="L128" s="3"/>
      <c r="M128" s="83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 ht="24" customHeight="1" x14ac:dyDescent="0.5">
      <c r="A129" s="3"/>
      <c r="B129" s="3"/>
      <c r="C129" s="3"/>
      <c r="D129" s="3"/>
      <c r="E129" s="3"/>
      <c r="F129" s="3"/>
      <c r="G129" s="5"/>
      <c r="H129" s="3"/>
      <c r="I129" s="3"/>
      <c r="J129" s="83"/>
      <c r="K129" s="3"/>
      <c r="L129" s="3"/>
      <c r="M129" s="83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 ht="24" customHeight="1" x14ac:dyDescent="0.5">
      <c r="A130" s="3"/>
      <c r="B130" s="3"/>
      <c r="C130" s="3"/>
      <c r="D130" s="3"/>
      <c r="E130" s="3"/>
      <c r="F130" s="3"/>
      <c r="G130" s="5"/>
      <c r="H130" s="3"/>
      <c r="I130" s="3"/>
      <c r="J130" s="83"/>
      <c r="K130" s="3"/>
      <c r="L130" s="3"/>
      <c r="M130" s="83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ht="24" customHeight="1" x14ac:dyDescent="0.5">
      <c r="A131" s="3"/>
      <c r="B131" s="3"/>
      <c r="C131" s="3"/>
      <c r="D131" s="3"/>
      <c r="E131" s="3"/>
      <c r="F131" s="3"/>
      <c r="G131" s="5"/>
      <c r="H131" s="3"/>
      <c r="I131" s="3"/>
      <c r="J131" s="83"/>
      <c r="K131" s="3"/>
      <c r="L131" s="3"/>
      <c r="M131" s="83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ht="24" customHeight="1" x14ac:dyDescent="0.5">
      <c r="A132" s="3"/>
      <c r="B132" s="3"/>
      <c r="C132" s="3"/>
      <c r="D132" s="3"/>
      <c r="E132" s="3"/>
      <c r="F132" s="3"/>
      <c r="G132" s="5"/>
      <c r="H132" s="3"/>
      <c r="I132" s="3"/>
      <c r="J132" s="83"/>
      <c r="K132" s="3"/>
      <c r="L132" s="3"/>
      <c r="M132" s="83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ht="24" customHeight="1" x14ac:dyDescent="0.5">
      <c r="A133" s="3"/>
      <c r="B133" s="3"/>
      <c r="C133" s="3"/>
      <c r="D133" s="3"/>
      <c r="E133" s="3"/>
      <c r="F133" s="3"/>
      <c r="G133" s="5"/>
      <c r="H133" s="3"/>
      <c r="I133" s="3"/>
      <c r="J133" s="83"/>
      <c r="K133" s="3"/>
      <c r="L133" s="3"/>
      <c r="M133" s="83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ht="24" customHeight="1" x14ac:dyDescent="0.5">
      <c r="A134" s="3"/>
      <c r="B134" s="3"/>
      <c r="C134" s="3"/>
      <c r="D134" s="3"/>
      <c r="E134" s="3"/>
      <c r="F134" s="3"/>
      <c r="G134" s="5"/>
      <c r="H134" s="3"/>
      <c r="I134" s="3"/>
      <c r="J134" s="83"/>
      <c r="K134" s="3"/>
      <c r="L134" s="3"/>
      <c r="M134" s="83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ht="24" customHeight="1" x14ac:dyDescent="0.5">
      <c r="A135" s="3"/>
      <c r="B135" s="3"/>
      <c r="C135" s="3"/>
      <c r="D135" s="3"/>
      <c r="E135" s="3"/>
      <c r="F135" s="3"/>
      <c r="G135" s="5"/>
      <c r="H135" s="3"/>
      <c r="I135" s="3"/>
      <c r="J135" s="83"/>
      <c r="K135" s="3"/>
      <c r="L135" s="3"/>
      <c r="M135" s="83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ht="24" customHeight="1" x14ac:dyDescent="0.5">
      <c r="A136" s="3"/>
      <c r="B136" s="3"/>
      <c r="C136" s="3"/>
      <c r="D136" s="3"/>
      <c r="E136" s="3"/>
      <c r="F136" s="3"/>
      <c r="G136" s="5"/>
      <c r="H136" s="3"/>
      <c r="I136" s="3"/>
      <c r="J136" s="83"/>
      <c r="K136" s="3"/>
      <c r="L136" s="3"/>
      <c r="M136" s="83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ht="24" customHeight="1" x14ac:dyDescent="0.5">
      <c r="A137" s="3"/>
      <c r="B137" s="3"/>
      <c r="C137" s="3"/>
      <c r="D137" s="3"/>
      <c r="E137" s="3"/>
      <c r="F137" s="3"/>
      <c r="G137" s="5"/>
      <c r="H137" s="3"/>
      <c r="I137" s="3"/>
      <c r="J137" s="83"/>
      <c r="K137" s="3"/>
      <c r="L137" s="3"/>
      <c r="M137" s="83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 ht="24" customHeight="1" x14ac:dyDescent="0.5">
      <c r="A138" s="3"/>
      <c r="B138" s="3"/>
      <c r="C138" s="3"/>
      <c r="D138" s="3"/>
      <c r="E138" s="3"/>
      <c r="F138" s="3"/>
      <c r="G138" s="5"/>
      <c r="H138" s="3"/>
      <c r="I138" s="3"/>
      <c r="J138" s="83"/>
      <c r="K138" s="3"/>
      <c r="L138" s="3"/>
      <c r="M138" s="83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 ht="24" customHeight="1" x14ac:dyDescent="0.5">
      <c r="A139" s="3"/>
      <c r="B139" s="3"/>
      <c r="C139" s="3"/>
      <c r="D139" s="3"/>
      <c r="E139" s="3"/>
      <c r="F139" s="3"/>
      <c r="G139" s="5"/>
      <c r="H139" s="3"/>
      <c r="I139" s="3"/>
      <c r="J139" s="83"/>
      <c r="K139" s="3"/>
      <c r="L139" s="3"/>
      <c r="M139" s="83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 ht="24" customHeight="1" x14ac:dyDescent="0.5">
      <c r="A140" s="3"/>
      <c r="B140" s="3"/>
      <c r="C140" s="3"/>
      <c r="D140" s="3"/>
      <c r="E140" s="3"/>
      <c r="F140" s="3"/>
      <c r="G140" s="5"/>
      <c r="H140" s="3"/>
      <c r="I140" s="3"/>
      <c r="J140" s="83"/>
      <c r="K140" s="3"/>
      <c r="L140" s="3"/>
      <c r="M140" s="83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 ht="24" customHeight="1" x14ac:dyDescent="0.5">
      <c r="A141" s="3"/>
      <c r="B141" s="3"/>
      <c r="C141" s="3"/>
      <c r="D141" s="3"/>
      <c r="E141" s="3"/>
      <c r="F141" s="3"/>
      <c r="G141" s="5"/>
      <c r="H141" s="3"/>
      <c r="I141" s="3"/>
      <c r="J141" s="83"/>
      <c r="K141" s="3"/>
      <c r="L141" s="3"/>
      <c r="M141" s="83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 ht="24" customHeight="1" x14ac:dyDescent="0.5">
      <c r="A142" s="3"/>
      <c r="B142" s="3"/>
      <c r="C142" s="3"/>
      <c r="D142" s="3"/>
      <c r="E142" s="3"/>
      <c r="F142" s="3"/>
      <c r="G142" s="5"/>
      <c r="H142" s="3"/>
      <c r="I142" s="3"/>
      <c r="J142" s="83"/>
      <c r="K142" s="3"/>
      <c r="L142" s="3"/>
      <c r="M142" s="83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 ht="24" customHeight="1" x14ac:dyDescent="0.5">
      <c r="A143" s="3"/>
      <c r="B143" s="3"/>
      <c r="C143" s="3"/>
      <c r="D143" s="3"/>
      <c r="E143" s="3"/>
      <c r="F143" s="3"/>
      <c r="G143" s="5"/>
      <c r="H143" s="3"/>
      <c r="I143" s="3"/>
      <c r="J143" s="83"/>
      <c r="K143" s="3"/>
      <c r="L143" s="3"/>
      <c r="M143" s="83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 ht="24" customHeight="1" x14ac:dyDescent="0.5">
      <c r="A144" s="3"/>
      <c r="B144" s="3"/>
      <c r="C144" s="3"/>
      <c r="D144" s="3"/>
      <c r="E144" s="3"/>
      <c r="F144" s="3"/>
      <c r="G144" s="5"/>
      <c r="H144" s="3"/>
      <c r="I144" s="3"/>
      <c r="J144" s="83"/>
      <c r="K144" s="3"/>
      <c r="L144" s="3"/>
      <c r="M144" s="83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 ht="24" customHeight="1" x14ac:dyDescent="0.5">
      <c r="A145" s="3"/>
      <c r="B145" s="3"/>
      <c r="C145" s="3"/>
      <c r="D145" s="3"/>
      <c r="E145" s="3"/>
      <c r="F145" s="3"/>
      <c r="G145" s="5"/>
      <c r="H145" s="3"/>
      <c r="I145" s="3"/>
      <c r="J145" s="83"/>
      <c r="K145" s="3"/>
      <c r="L145" s="3"/>
      <c r="M145" s="83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 ht="24" customHeight="1" x14ac:dyDescent="0.5">
      <c r="A146" s="3"/>
      <c r="B146" s="3"/>
      <c r="C146" s="3"/>
      <c r="D146" s="3"/>
      <c r="E146" s="3"/>
      <c r="F146" s="3"/>
      <c r="G146" s="5"/>
      <c r="H146" s="3"/>
      <c r="I146" s="3"/>
      <c r="J146" s="83"/>
      <c r="K146" s="3"/>
      <c r="L146" s="3"/>
      <c r="M146" s="83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 ht="24" customHeight="1" x14ac:dyDescent="0.5">
      <c r="A147" s="3"/>
      <c r="B147" s="3"/>
      <c r="C147" s="3"/>
      <c r="D147" s="3"/>
      <c r="E147" s="3"/>
      <c r="F147" s="3"/>
      <c r="G147" s="5"/>
      <c r="H147" s="3"/>
      <c r="I147" s="3"/>
      <c r="J147" s="83"/>
      <c r="K147" s="3"/>
      <c r="L147" s="3"/>
      <c r="M147" s="83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 ht="24" customHeight="1" x14ac:dyDescent="0.5">
      <c r="A148" s="3"/>
      <c r="B148" s="3"/>
      <c r="C148" s="3"/>
      <c r="D148" s="3"/>
      <c r="E148" s="3"/>
      <c r="F148" s="3"/>
      <c r="G148" s="5"/>
      <c r="H148" s="3"/>
      <c r="I148" s="3"/>
      <c r="J148" s="83"/>
      <c r="K148" s="3"/>
      <c r="L148" s="3"/>
      <c r="M148" s="83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 ht="24" customHeight="1" x14ac:dyDescent="0.5">
      <c r="A149" s="3"/>
      <c r="B149" s="3"/>
      <c r="C149" s="3"/>
      <c r="D149" s="3"/>
      <c r="E149" s="3"/>
      <c r="F149" s="3"/>
      <c r="G149" s="5"/>
      <c r="H149" s="3"/>
      <c r="I149" s="3"/>
      <c r="J149" s="83"/>
      <c r="K149" s="3"/>
      <c r="L149" s="3"/>
      <c r="M149" s="83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 ht="24" customHeight="1" x14ac:dyDescent="0.5">
      <c r="A150" s="3"/>
      <c r="B150" s="3"/>
      <c r="C150" s="3"/>
      <c r="D150" s="3"/>
      <c r="E150" s="3"/>
      <c r="F150" s="3"/>
      <c r="G150" s="5"/>
      <c r="H150" s="3"/>
      <c r="I150" s="3"/>
      <c r="J150" s="83"/>
      <c r="K150" s="3"/>
      <c r="L150" s="3"/>
      <c r="M150" s="83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 ht="24" customHeight="1" x14ac:dyDescent="0.5">
      <c r="A151" s="3"/>
      <c r="B151" s="3"/>
      <c r="C151" s="3"/>
      <c r="D151" s="3"/>
      <c r="E151" s="3"/>
      <c r="F151" s="3"/>
      <c r="G151" s="5"/>
      <c r="H151" s="3"/>
      <c r="I151" s="3"/>
      <c r="J151" s="83"/>
      <c r="K151" s="3"/>
      <c r="L151" s="3"/>
      <c r="M151" s="83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 ht="24" customHeight="1" x14ac:dyDescent="0.5">
      <c r="A152" s="3"/>
      <c r="B152" s="3"/>
      <c r="C152" s="3"/>
      <c r="D152" s="3"/>
      <c r="E152" s="3"/>
      <c r="F152" s="3"/>
      <c r="G152" s="5"/>
      <c r="H152" s="3"/>
      <c r="I152" s="3"/>
      <c r="J152" s="83"/>
      <c r="K152" s="3"/>
      <c r="L152" s="3"/>
      <c r="M152" s="83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 ht="24" customHeight="1" x14ac:dyDescent="0.5">
      <c r="A153" s="3"/>
      <c r="B153" s="3"/>
      <c r="C153" s="3"/>
      <c r="D153" s="3"/>
      <c r="E153" s="3"/>
      <c r="F153" s="3"/>
      <c r="G153" s="5"/>
      <c r="H153" s="3"/>
      <c r="I153" s="3"/>
      <c r="J153" s="83"/>
      <c r="K153" s="3"/>
      <c r="L153" s="3"/>
      <c r="M153" s="83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 ht="24" customHeight="1" x14ac:dyDescent="0.5">
      <c r="A154" s="3"/>
      <c r="B154" s="3"/>
      <c r="C154" s="3"/>
      <c r="D154" s="3"/>
      <c r="E154" s="3"/>
      <c r="F154" s="3"/>
      <c r="G154" s="5"/>
      <c r="H154" s="3"/>
      <c r="I154" s="3"/>
      <c r="J154" s="83"/>
      <c r="K154" s="3"/>
      <c r="L154" s="3"/>
      <c r="M154" s="83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 ht="24" customHeight="1" x14ac:dyDescent="0.5">
      <c r="A155" s="3"/>
      <c r="B155" s="3"/>
      <c r="C155" s="3"/>
      <c r="D155" s="3"/>
      <c r="E155" s="3"/>
      <c r="F155" s="3"/>
      <c r="G155" s="5"/>
      <c r="H155" s="3"/>
      <c r="I155" s="3"/>
      <c r="J155" s="83"/>
      <c r="K155" s="3"/>
      <c r="L155" s="3"/>
      <c r="M155" s="83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 ht="24" customHeight="1" x14ac:dyDescent="0.5">
      <c r="A156" s="3"/>
      <c r="B156" s="3"/>
      <c r="C156" s="3"/>
      <c r="D156" s="3"/>
      <c r="E156" s="3"/>
      <c r="F156" s="3"/>
      <c r="G156" s="5"/>
      <c r="H156" s="3"/>
      <c r="I156" s="3"/>
      <c r="J156" s="83"/>
      <c r="K156" s="3"/>
      <c r="L156" s="3"/>
      <c r="M156" s="83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 ht="24" customHeight="1" x14ac:dyDescent="0.5">
      <c r="A157" s="3"/>
      <c r="B157" s="3"/>
      <c r="C157" s="3"/>
      <c r="D157" s="3"/>
      <c r="E157" s="3"/>
      <c r="F157" s="3"/>
      <c r="G157" s="5"/>
      <c r="H157" s="3"/>
      <c r="I157" s="3"/>
      <c r="J157" s="83"/>
      <c r="K157" s="3"/>
      <c r="L157" s="3"/>
      <c r="M157" s="83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 ht="24" customHeight="1" x14ac:dyDescent="0.5">
      <c r="A158" s="3"/>
      <c r="B158" s="3"/>
      <c r="C158" s="3"/>
      <c r="D158" s="3"/>
      <c r="E158" s="3"/>
      <c r="F158" s="3"/>
      <c r="G158" s="5"/>
      <c r="H158" s="3"/>
      <c r="I158" s="3"/>
      <c r="J158" s="83"/>
      <c r="K158" s="3"/>
      <c r="L158" s="3"/>
      <c r="M158" s="83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 ht="24" customHeight="1" x14ac:dyDescent="0.5">
      <c r="A159" s="3"/>
      <c r="B159" s="3"/>
      <c r="C159" s="3"/>
      <c r="D159" s="3"/>
      <c r="E159" s="3"/>
      <c r="F159" s="3"/>
      <c r="G159" s="5"/>
      <c r="H159" s="3"/>
      <c r="I159" s="3"/>
      <c r="J159" s="83"/>
      <c r="K159" s="3"/>
      <c r="L159" s="3"/>
      <c r="M159" s="83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 ht="24" customHeight="1" x14ac:dyDescent="0.5">
      <c r="A160" s="3"/>
      <c r="B160" s="3"/>
      <c r="C160" s="3"/>
      <c r="D160" s="3"/>
      <c r="E160" s="3"/>
      <c r="F160" s="3"/>
      <c r="G160" s="5"/>
      <c r="H160" s="3"/>
      <c r="I160" s="3"/>
      <c r="J160" s="83"/>
      <c r="K160" s="3"/>
      <c r="L160" s="3"/>
      <c r="M160" s="83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24" customHeight="1" x14ac:dyDescent="0.5">
      <c r="A161" s="3"/>
      <c r="B161" s="3"/>
      <c r="C161" s="3"/>
      <c r="D161" s="3"/>
      <c r="E161" s="3"/>
      <c r="F161" s="3"/>
      <c r="G161" s="5"/>
      <c r="H161" s="3"/>
      <c r="I161" s="3"/>
      <c r="J161" s="83"/>
      <c r="K161" s="3"/>
      <c r="L161" s="3"/>
      <c r="M161" s="83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 ht="24" customHeight="1" x14ac:dyDescent="0.5">
      <c r="A162" s="3"/>
      <c r="B162" s="3"/>
      <c r="C162" s="3"/>
      <c r="D162" s="3"/>
      <c r="E162" s="3"/>
      <c r="F162" s="3"/>
      <c r="G162" s="5"/>
      <c r="H162" s="3"/>
      <c r="I162" s="3"/>
      <c r="J162" s="83"/>
      <c r="K162" s="3"/>
      <c r="L162" s="3"/>
      <c r="M162" s="83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 ht="24" customHeight="1" x14ac:dyDescent="0.5">
      <c r="A163" s="3"/>
      <c r="B163" s="3"/>
      <c r="C163" s="3"/>
      <c r="D163" s="3"/>
      <c r="E163" s="3"/>
      <c r="F163" s="3"/>
      <c r="G163" s="5"/>
      <c r="H163" s="3"/>
      <c r="I163" s="3"/>
      <c r="J163" s="83"/>
      <c r="K163" s="3"/>
      <c r="L163" s="3"/>
      <c r="M163" s="83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 ht="24" customHeight="1" x14ac:dyDescent="0.5">
      <c r="A164" s="3"/>
      <c r="B164" s="3"/>
      <c r="C164" s="3"/>
      <c r="D164" s="3"/>
      <c r="E164" s="3"/>
      <c r="F164" s="3"/>
      <c r="G164" s="5"/>
      <c r="H164" s="3"/>
      <c r="I164" s="3"/>
      <c r="J164" s="83"/>
      <c r="K164" s="3"/>
      <c r="L164" s="3"/>
      <c r="M164" s="83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 ht="24" customHeight="1" x14ac:dyDescent="0.5">
      <c r="A165" s="3"/>
      <c r="B165" s="3"/>
      <c r="C165" s="3"/>
      <c r="D165" s="3"/>
      <c r="E165" s="3"/>
      <c r="F165" s="3"/>
      <c r="G165" s="5"/>
      <c r="H165" s="3"/>
      <c r="I165" s="3"/>
      <c r="J165" s="83"/>
      <c r="K165" s="3"/>
      <c r="L165" s="3"/>
      <c r="M165" s="83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 ht="24" customHeight="1" x14ac:dyDescent="0.5">
      <c r="A166" s="3"/>
      <c r="B166" s="3"/>
      <c r="C166" s="3"/>
      <c r="D166" s="3"/>
      <c r="E166" s="3"/>
      <c r="F166" s="3"/>
      <c r="G166" s="5"/>
      <c r="H166" s="3"/>
      <c r="I166" s="3"/>
      <c r="J166" s="83"/>
      <c r="K166" s="3"/>
      <c r="L166" s="3"/>
      <c r="M166" s="83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 ht="24" customHeight="1" x14ac:dyDescent="0.5">
      <c r="A167" s="3"/>
      <c r="B167" s="3"/>
      <c r="C167" s="3"/>
      <c r="D167" s="3"/>
      <c r="E167" s="3"/>
      <c r="F167" s="3"/>
      <c r="G167" s="5"/>
      <c r="H167" s="3"/>
      <c r="I167" s="3"/>
      <c r="J167" s="83"/>
      <c r="K167" s="3"/>
      <c r="L167" s="3"/>
      <c r="M167" s="83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 ht="24" customHeight="1" x14ac:dyDescent="0.5">
      <c r="A168" s="3"/>
      <c r="B168" s="3"/>
      <c r="C168" s="3"/>
      <c r="D168" s="3"/>
      <c r="E168" s="3"/>
      <c r="F168" s="3"/>
      <c r="G168" s="5"/>
      <c r="H168" s="3"/>
      <c r="I168" s="3"/>
      <c r="J168" s="83"/>
      <c r="K168" s="3"/>
      <c r="L168" s="3"/>
      <c r="M168" s="83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 ht="24" customHeight="1" x14ac:dyDescent="0.5">
      <c r="A169" s="3"/>
      <c r="B169" s="3"/>
      <c r="C169" s="3"/>
      <c r="D169" s="3"/>
      <c r="E169" s="3"/>
      <c r="F169" s="3"/>
      <c r="G169" s="5"/>
      <c r="H169" s="3"/>
      <c r="I169" s="3"/>
      <c r="J169" s="83"/>
      <c r="K169" s="3"/>
      <c r="L169" s="3"/>
      <c r="M169" s="83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 ht="24" customHeight="1" x14ac:dyDescent="0.5">
      <c r="A170" s="3"/>
      <c r="B170" s="3"/>
      <c r="C170" s="3"/>
      <c r="D170" s="3"/>
      <c r="E170" s="3"/>
      <c r="F170" s="3"/>
      <c r="G170" s="5"/>
      <c r="H170" s="3"/>
      <c r="I170" s="3"/>
      <c r="J170" s="83"/>
      <c r="K170" s="3"/>
      <c r="L170" s="3"/>
      <c r="M170" s="83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 ht="24" customHeight="1" x14ac:dyDescent="0.5">
      <c r="A171" s="3"/>
      <c r="B171" s="3"/>
      <c r="C171" s="3"/>
      <c r="D171" s="3"/>
      <c r="E171" s="3"/>
      <c r="F171" s="3"/>
      <c r="G171" s="5"/>
      <c r="H171" s="3"/>
      <c r="I171" s="3"/>
      <c r="J171" s="83"/>
      <c r="K171" s="3"/>
      <c r="L171" s="3"/>
      <c r="M171" s="83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 ht="24" customHeight="1" x14ac:dyDescent="0.5">
      <c r="A172" s="3"/>
      <c r="B172" s="3"/>
      <c r="C172" s="3"/>
      <c r="D172" s="3"/>
      <c r="E172" s="3"/>
      <c r="F172" s="3"/>
      <c r="G172" s="5"/>
      <c r="H172" s="3"/>
      <c r="I172" s="3"/>
      <c r="J172" s="83"/>
      <c r="K172" s="3"/>
      <c r="L172" s="3"/>
      <c r="M172" s="83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 ht="24" customHeight="1" x14ac:dyDescent="0.5">
      <c r="A173" s="3"/>
      <c r="B173" s="3"/>
      <c r="C173" s="3"/>
      <c r="D173" s="3"/>
      <c r="E173" s="3"/>
      <c r="F173" s="3"/>
      <c r="G173" s="5"/>
      <c r="H173" s="3"/>
      <c r="I173" s="3"/>
      <c r="J173" s="83"/>
      <c r="K173" s="3"/>
      <c r="L173" s="3"/>
      <c r="M173" s="83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 ht="24" customHeight="1" x14ac:dyDescent="0.5">
      <c r="A174" s="3"/>
      <c r="B174" s="3"/>
      <c r="C174" s="3"/>
      <c r="D174" s="3"/>
      <c r="E174" s="3"/>
      <c r="F174" s="3"/>
      <c r="G174" s="5"/>
      <c r="H174" s="3"/>
      <c r="I174" s="3"/>
      <c r="J174" s="83"/>
      <c r="K174" s="3"/>
      <c r="L174" s="3"/>
      <c r="M174" s="83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 ht="24" customHeight="1" x14ac:dyDescent="0.5">
      <c r="A175" s="3"/>
      <c r="B175" s="3"/>
      <c r="C175" s="3"/>
      <c r="D175" s="3"/>
      <c r="E175" s="3"/>
      <c r="F175" s="3"/>
      <c r="G175" s="5"/>
      <c r="H175" s="3"/>
      <c r="I175" s="3"/>
      <c r="J175" s="83"/>
      <c r="K175" s="3"/>
      <c r="L175" s="3"/>
      <c r="M175" s="83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 ht="24" customHeight="1" x14ac:dyDescent="0.5">
      <c r="A176" s="3"/>
      <c r="B176" s="3"/>
      <c r="C176" s="3"/>
      <c r="D176" s="3"/>
      <c r="E176" s="3"/>
      <c r="F176" s="3"/>
      <c r="G176" s="5"/>
      <c r="H176" s="3"/>
      <c r="I176" s="3"/>
      <c r="J176" s="83"/>
      <c r="K176" s="3"/>
      <c r="L176" s="3"/>
      <c r="M176" s="83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 ht="24" customHeight="1" x14ac:dyDescent="0.5">
      <c r="A177" s="3"/>
      <c r="B177" s="3"/>
      <c r="C177" s="3"/>
      <c r="D177" s="3"/>
      <c r="E177" s="3"/>
      <c r="F177" s="3"/>
      <c r="G177" s="5"/>
      <c r="H177" s="3"/>
      <c r="I177" s="3"/>
      <c r="J177" s="83"/>
      <c r="K177" s="3"/>
      <c r="L177" s="3"/>
      <c r="M177" s="83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 ht="24" customHeight="1" x14ac:dyDescent="0.5">
      <c r="A178" s="3"/>
      <c r="B178" s="3"/>
      <c r="C178" s="3"/>
      <c r="D178" s="3"/>
      <c r="E178" s="3"/>
      <c r="F178" s="3"/>
      <c r="G178" s="5"/>
      <c r="H178" s="3"/>
      <c r="I178" s="3"/>
      <c r="J178" s="83"/>
      <c r="K178" s="3"/>
      <c r="L178" s="3"/>
      <c r="M178" s="83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 ht="24" customHeight="1" x14ac:dyDescent="0.5">
      <c r="A179" s="3"/>
      <c r="B179" s="3"/>
      <c r="C179" s="3"/>
      <c r="D179" s="3"/>
      <c r="E179" s="3"/>
      <c r="F179" s="3"/>
      <c r="G179" s="5"/>
      <c r="H179" s="3"/>
      <c r="I179" s="3"/>
      <c r="J179" s="83"/>
      <c r="K179" s="3"/>
      <c r="L179" s="3"/>
      <c r="M179" s="83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 ht="24" customHeight="1" x14ac:dyDescent="0.5">
      <c r="A180" s="3"/>
      <c r="B180" s="3"/>
      <c r="C180" s="3"/>
      <c r="D180" s="3"/>
      <c r="E180" s="3"/>
      <c r="F180" s="3"/>
      <c r="G180" s="5"/>
      <c r="H180" s="3"/>
      <c r="I180" s="3"/>
      <c r="J180" s="83"/>
      <c r="K180" s="3"/>
      <c r="L180" s="3"/>
      <c r="M180" s="83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 ht="24" customHeight="1" x14ac:dyDescent="0.5">
      <c r="A181" s="3"/>
      <c r="B181" s="3"/>
      <c r="C181" s="3"/>
      <c r="D181" s="3"/>
      <c r="E181" s="3"/>
      <c r="F181" s="3"/>
      <c r="G181" s="5"/>
      <c r="H181" s="3"/>
      <c r="I181" s="3"/>
      <c r="J181" s="83"/>
      <c r="K181" s="3"/>
      <c r="L181" s="3"/>
      <c r="M181" s="83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 ht="24" customHeight="1" x14ac:dyDescent="0.5">
      <c r="A182" s="3"/>
      <c r="B182" s="3"/>
      <c r="C182" s="3"/>
      <c r="D182" s="3"/>
      <c r="E182" s="3"/>
      <c r="F182" s="3"/>
      <c r="G182" s="5"/>
      <c r="H182" s="3"/>
      <c r="I182" s="3"/>
      <c r="J182" s="83"/>
      <c r="K182" s="3"/>
      <c r="L182" s="3"/>
      <c r="M182" s="83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 ht="24" customHeight="1" x14ac:dyDescent="0.5">
      <c r="A183" s="3"/>
      <c r="B183" s="3"/>
      <c r="C183" s="3"/>
      <c r="D183" s="3"/>
      <c r="E183" s="3"/>
      <c r="F183" s="3"/>
      <c r="G183" s="5"/>
      <c r="H183" s="3"/>
      <c r="I183" s="3"/>
      <c r="J183" s="83"/>
      <c r="K183" s="3"/>
      <c r="L183" s="3"/>
      <c r="M183" s="83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 ht="24" customHeight="1" x14ac:dyDescent="0.5">
      <c r="A184" s="3"/>
      <c r="B184" s="3"/>
      <c r="C184" s="3"/>
      <c r="D184" s="3"/>
      <c r="E184" s="3"/>
      <c r="F184" s="3"/>
      <c r="G184" s="5"/>
      <c r="H184" s="3"/>
      <c r="I184" s="3"/>
      <c r="J184" s="83"/>
      <c r="K184" s="3"/>
      <c r="L184" s="3"/>
      <c r="M184" s="83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 ht="24" customHeight="1" x14ac:dyDescent="0.5">
      <c r="A185" s="3"/>
      <c r="B185" s="3"/>
      <c r="C185" s="3"/>
      <c r="D185" s="3"/>
      <c r="E185" s="3"/>
      <c r="F185" s="3"/>
      <c r="G185" s="5"/>
      <c r="H185" s="3"/>
      <c r="I185" s="3"/>
      <c r="J185" s="83"/>
      <c r="K185" s="3"/>
      <c r="L185" s="3"/>
      <c r="M185" s="83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 ht="24" customHeight="1" x14ac:dyDescent="0.5">
      <c r="A186" s="3"/>
      <c r="B186" s="3"/>
      <c r="C186" s="3"/>
      <c r="D186" s="3"/>
      <c r="E186" s="3"/>
      <c r="F186" s="3"/>
      <c r="G186" s="5"/>
      <c r="H186" s="3"/>
      <c r="I186" s="3"/>
      <c r="J186" s="83"/>
      <c r="K186" s="3"/>
      <c r="L186" s="3"/>
      <c r="M186" s="83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 ht="24" customHeight="1" x14ac:dyDescent="0.5">
      <c r="A187" s="3"/>
      <c r="B187" s="3"/>
      <c r="C187" s="3"/>
      <c r="D187" s="3"/>
      <c r="E187" s="3"/>
      <c r="F187" s="3"/>
      <c r="G187" s="5"/>
      <c r="H187" s="3"/>
      <c r="I187" s="3"/>
      <c r="J187" s="83"/>
      <c r="K187" s="3"/>
      <c r="L187" s="3"/>
      <c r="M187" s="83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 ht="24" customHeight="1" x14ac:dyDescent="0.5">
      <c r="A188" s="3"/>
      <c r="B188" s="3"/>
      <c r="C188" s="3"/>
      <c r="D188" s="3"/>
      <c r="E188" s="3"/>
      <c r="F188" s="3"/>
      <c r="G188" s="5"/>
      <c r="H188" s="3"/>
      <c r="I188" s="3"/>
      <c r="J188" s="83"/>
      <c r="K188" s="3"/>
      <c r="L188" s="3"/>
      <c r="M188" s="83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 ht="24" customHeight="1" x14ac:dyDescent="0.5">
      <c r="A189" s="3"/>
      <c r="B189" s="3"/>
      <c r="C189" s="3"/>
      <c r="D189" s="3"/>
      <c r="E189" s="3"/>
      <c r="F189" s="3"/>
      <c r="G189" s="5"/>
      <c r="H189" s="3"/>
      <c r="I189" s="3"/>
      <c r="J189" s="83"/>
      <c r="K189" s="3"/>
      <c r="L189" s="3"/>
      <c r="M189" s="83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 ht="24" customHeight="1" x14ac:dyDescent="0.5">
      <c r="A190" s="3"/>
      <c r="B190" s="3"/>
      <c r="C190" s="3"/>
      <c r="D190" s="3"/>
      <c r="E190" s="3"/>
      <c r="F190" s="3"/>
      <c r="G190" s="5"/>
      <c r="H190" s="3"/>
      <c r="I190" s="3"/>
      <c r="J190" s="83"/>
      <c r="K190" s="3"/>
      <c r="L190" s="3"/>
      <c r="M190" s="83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 ht="24" customHeight="1" x14ac:dyDescent="0.5">
      <c r="A191" s="3"/>
      <c r="B191" s="3"/>
      <c r="C191" s="3"/>
      <c r="D191" s="3"/>
      <c r="E191" s="3"/>
      <c r="F191" s="3"/>
      <c r="G191" s="5"/>
      <c r="H191" s="3"/>
      <c r="I191" s="3"/>
      <c r="J191" s="83"/>
      <c r="K191" s="3"/>
      <c r="L191" s="3"/>
      <c r="M191" s="83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ht="24" customHeight="1" x14ac:dyDescent="0.5">
      <c r="A192" s="3"/>
      <c r="B192" s="3"/>
      <c r="C192" s="3"/>
      <c r="D192" s="3"/>
      <c r="E192" s="3"/>
      <c r="F192" s="3"/>
      <c r="G192" s="5"/>
      <c r="H192" s="3"/>
      <c r="I192" s="3"/>
      <c r="J192" s="83"/>
      <c r="K192" s="3"/>
      <c r="L192" s="3"/>
      <c r="M192" s="83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 ht="24" customHeight="1" x14ac:dyDescent="0.5">
      <c r="A193" s="3"/>
      <c r="B193" s="3"/>
      <c r="C193" s="3"/>
      <c r="D193" s="3"/>
      <c r="E193" s="3"/>
      <c r="F193" s="3"/>
      <c r="G193" s="5"/>
      <c r="H193" s="3"/>
      <c r="I193" s="3"/>
      <c r="J193" s="83"/>
      <c r="K193" s="3"/>
      <c r="L193" s="3"/>
      <c r="M193" s="83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 ht="24" customHeight="1" x14ac:dyDescent="0.5">
      <c r="A194" s="3"/>
      <c r="B194" s="3"/>
      <c r="C194" s="3"/>
      <c r="D194" s="3"/>
      <c r="E194" s="3"/>
      <c r="F194" s="3"/>
      <c r="G194" s="5"/>
      <c r="H194" s="3"/>
      <c r="I194" s="3"/>
      <c r="J194" s="83"/>
      <c r="K194" s="3"/>
      <c r="L194" s="3"/>
      <c r="M194" s="83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 ht="24" customHeight="1" x14ac:dyDescent="0.5">
      <c r="A195" s="3"/>
      <c r="B195" s="3"/>
      <c r="C195" s="3"/>
      <c r="D195" s="3"/>
      <c r="E195" s="3"/>
      <c r="F195" s="3"/>
      <c r="G195" s="5"/>
      <c r="H195" s="3"/>
      <c r="I195" s="3"/>
      <c r="J195" s="83"/>
      <c r="K195" s="3"/>
      <c r="L195" s="3"/>
      <c r="M195" s="83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 ht="24" customHeight="1" x14ac:dyDescent="0.5">
      <c r="A196" s="3"/>
      <c r="B196" s="3"/>
      <c r="C196" s="3"/>
      <c r="D196" s="3"/>
      <c r="E196" s="3"/>
      <c r="F196" s="3"/>
      <c r="G196" s="5"/>
      <c r="H196" s="3"/>
      <c r="I196" s="3"/>
      <c r="J196" s="83"/>
      <c r="K196" s="3"/>
      <c r="L196" s="3"/>
      <c r="M196" s="83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ht="24" customHeight="1" x14ac:dyDescent="0.5">
      <c r="A197" s="3"/>
      <c r="B197" s="3"/>
      <c r="C197" s="3"/>
      <c r="D197" s="3"/>
      <c r="E197" s="3"/>
      <c r="F197" s="3"/>
      <c r="G197" s="5"/>
      <c r="H197" s="3"/>
      <c r="I197" s="3"/>
      <c r="J197" s="83"/>
      <c r="K197" s="3"/>
      <c r="L197" s="3"/>
      <c r="M197" s="83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ht="24" customHeight="1" x14ac:dyDescent="0.5">
      <c r="A198" s="3"/>
      <c r="B198" s="3"/>
      <c r="C198" s="3"/>
      <c r="D198" s="3"/>
      <c r="E198" s="3"/>
      <c r="F198" s="3"/>
      <c r="G198" s="5"/>
      <c r="H198" s="3"/>
      <c r="I198" s="3"/>
      <c r="J198" s="83"/>
      <c r="K198" s="3"/>
      <c r="L198" s="3"/>
      <c r="M198" s="83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ht="24" customHeight="1" x14ac:dyDescent="0.5">
      <c r="A199" s="3"/>
      <c r="B199" s="3"/>
      <c r="C199" s="3"/>
      <c r="D199" s="3"/>
      <c r="E199" s="3"/>
      <c r="F199" s="3"/>
      <c r="G199" s="5"/>
      <c r="H199" s="3"/>
      <c r="I199" s="3"/>
      <c r="J199" s="83"/>
      <c r="K199" s="3"/>
      <c r="L199" s="3"/>
      <c r="M199" s="83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 ht="24" customHeight="1" x14ac:dyDescent="0.5">
      <c r="A200" s="3"/>
      <c r="B200" s="3"/>
      <c r="C200" s="3"/>
      <c r="D200" s="3"/>
      <c r="E200" s="3"/>
      <c r="F200" s="3"/>
      <c r="G200" s="5"/>
      <c r="H200" s="3"/>
      <c r="I200" s="3"/>
      <c r="J200" s="83"/>
      <c r="K200" s="3"/>
      <c r="L200" s="3"/>
      <c r="M200" s="83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 ht="24" customHeight="1" x14ac:dyDescent="0.5">
      <c r="A201" s="3"/>
      <c r="B201" s="3"/>
      <c r="C201" s="3"/>
      <c r="D201" s="3"/>
      <c r="E201" s="3"/>
      <c r="F201" s="3"/>
      <c r="G201" s="5"/>
      <c r="H201" s="3"/>
      <c r="I201" s="3"/>
      <c r="J201" s="83"/>
      <c r="K201" s="3"/>
      <c r="L201" s="3"/>
      <c r="M201" s="83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 ht="24" customHeight="1" x14ac:dyDescent="0.5">
      <c r="A202" s="3"/>
      <c r="B202" s="3"/>
      <c r="C202" s="3"/>
      <c r="D202" s="3"/>
      <c r="E202" s="3"/>
      <c r="F202" s="3"/>
      <c r="G202" s="5"/>
      <c r="H202" s="3"/>
      <c r="I202" s="3"/>
      <c r="J202" s="83"/>
      <c r="K202" s="3"/>
      <c r="L202" s="3"/>
      <c r="M202" s="83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 ht="24" customHeight="1" x14ac:dyDescent="0.5">
      <c r="A203" s="3"/>
      <c r="B203" s="3"/>
      <c r="C203" s="3"/>
      <c r="D203" s="3"/>
      <c r="E203" s="3"/>
      <c r="F203" s="3"/>
      <c r="G203" s="5"/>
      <c r="H203" s="3"/>
      <c r="I203" s="3"/>
      <c r="J203" s="83"/>
      <c r="K203" s="3"/>
      <c r="L203" s="3"/>
      <c r="M203" s="83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 ht="24" customHeight="1" x14ac:dyDescent="0.5">
      <c r="A204" s="3"/>
      <c r="B204" s="3"/>
      <c r="C204" s="3"/>
      <c r="D204" s="3"/>
      <c r="E204" s="3"/>
      <c r="F204" s="3"/>
      <c r="G204" s="5"/>
      <c r="H204" s="3"/>
      <c r="I204" s="3"/>
      <c r="J204" s="83"/>
      <c r="K204" s="3"/>
      <c r="L204" s="3"/>
      <c r="M204" s="83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 ht="24" customHeight="1" x14ac:dyDescent="0.5">
      <c r="A205" s="3"/>
      <c r="B205" s="3"/>
      <c r="C205" s="3"/>
      <c r="D205" s="3"/>
      <c r="E205" s="3"/>
      <c r="F205" s="3"/>
      <c r="G205" s="5"/>
      <c r="H205" s="3"/>
      <c r="I205" s="3"/>
      <c r="J205" s="83"/>
      <c r="K205" s="3"/>
      <c r="L205" s="3"/>
      <c r="M205" s="83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 ht="24" customHeight="1" x14ac:dyDescent="0.5">
      <c r="A206" s="3"/>
      <c r="B206" s="3"/>
      <c r="C206" s="3"/>
      <c r="D206" s="3"/>
      <c r="E206" s="3"/>
      <c r="F206" s="3"/>
      <c r="G206" s="5"/>
      <c r="H206" s="3"/>
      <c r="I206" s="3"/>
      <c r="J206" s="83"/>
      <c r="K206" s="3"/>
      <c r="L206" s="3"/>
      <c r="M206" s="83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 ht="24" customHeight="1" x14ac:dyDescent="0.5">
      <c r="A207" s="3"/>
      <c r="B207" s="3"/>
      <c r="C207" s="3"/>
      <c r="D207" s="3"/>
      <c r="E207" s="3"/>
      <c r="F207" s="3"/>
      <c r="G207" s="5"/>
      <c r="H207" s="3"/>
      <c r="I207" s="3"/>
      <c r="J207" s="83"/>
      <c r="K207" s="3"/>
      <c r="L207" s="3"/>
      <c r="M207" s="83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 ht="24" customHeight="1" x14ac:dyDescent="0.5">
      <c r="A208" s="3"/>
      <c r="B208" s="3"/>
      <c r="C208" s="3"/>
      <c r="D208" s="3"/>
      <c r="E208" s="3"/>
      <c r="F208" s="3"/>
      <c r="G208" s="5"/>
      <c r="H208" s="3"/>
      <c r="I208" s="3"/>
      <c r="J208" s="83"/>
      <c r="K208" s="3"/>
      <c r="L208" s="3"/>
      <c r="M208" s="83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 ht="24" customHeight="1" x14ac:dyDescent="0.5">
      <c r="A209" s="3"/>
      <c r="B209" s="3"/>
      <c r="C209" s="3"/>
      <c r="D209" s="3"/>
      <c r="E209" s="3"/>
      <c r="F209" s="3"/>
      <c r="G209" s="5"/>
      <c r="H209" s="3"/>
      <c r="I209" s="3"/>
      <c r="J209" s="83"/>
      <c r="K209" s="3"/>
      <c r="L209" s="3"/>
      <c r="M209" s="83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 ht="24" customHeight="1" x14ac:dyDescent="0.5">
      <c r="A210" s="3"/>
      <c r="B210" s="3"/>
      <c r="C210" s="3"/>
      <c r="D210" s="3"/>
      <c r="E210" s="3"/>
      <c r="F210" s="3"/>
      <c r="G210" s="5"/>
      <c r="H210" s="3"/>
      <c r="I210" s="3"/>
      <c r="J210" s="83"/>
      <c r="K210" s="3"/>
      <c r="L210" s="3"/>
      <c r="M210" s="83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 ht="24" customHeight="1" x14ac:dyDescent="0.5">
      <c r="A211" s="3"/>
      <c r="B211" s="3"/>
      <c r="C211" s="3"/>
      <c r="D211" s="3"/>
      <c r="E211" s="3"/>
      <c r="F211" s="3"/>
      <c r="G211" s="5"/>
      <c r="H211" s="3"/>
      <c r="I211" s="3"/>
      <c r="J211" s="83"/>
      <c r="K211" s="3"/>
      <c r="L211" s="3"/>
      <c r="M211" s="83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 ht="24" customHeight="1" x14ac:dyDescent="0.5">
      <c r="A212" s="3"/>
      <c r="B212" s="3"/>
      <c r="C212" s="3"/>
      <c r="D212" s="3"/>
      <c r="E212" s="3"/>
      <c r="F212" s="3"/>
      <c r="G212" s="5"/>
      <c r="H212" s="3"/>
      <c r="I212" s="3"/>
      <c r="J212" s="83"/>
      <c r="K212" s="3"/>
      <c r="L212" s="3"/>
      <c r="M212" s="83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 ht="24" customHeight="1" x14ac:dyDescent="0.5">
      <c r="A213" s="3"/>
      <c r="B213" s="3"/>
      <c r="C213" s="3"/>
      <c r="D213" s="3"/>
      <c r="E213" s="3"/>
      <c r="F213" s="3"/>
      <c r="G213" s="5"/>
      <c r="H213" s="3"/>
      <c r="I213" s="3"/>
      <c r="J213" s="83"/>
      <c r="K213" s="3"/>
      <c r="L213" s="3"/>
      <c r="M213" s="83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 ht="24" customHeight="1" x14ac:dyDescent="0.5">
      <c r="A214" s="3"/>
      <c r="B214" s="3"/>
      <c r="C214" s="3"/>
      <c r="D214" s="3"/>
      <c r="E214" s="3"/>
      <c r="F214" s="3"/>
      <c r="G214" s="5"/>
      <c r="H214" s="3"/>
      <c r="I214" s="3"/>
      <c r="J214" s="83"/>
      <c r="K214" s="3"/>
      <c r="L214" s="3"/>
      <c r="M214" s="83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 ht="24" customHeight="1" x14ac:dyDescent="0.5">
      <c r="A215" s="3"/>
      <c r="B215" s="3"/>
      <c r="C215" s="3"/>
      <c r="D215" s="3"/>
      <c r="E215" s="3"/>
      <c r="F215" s="3"/>
      <c r="G215" s="5"/>
      <c r="H215" s="3"/>
      <c r="I215" s="3"/>
      <c r="J215" s="83"/>
      <c r="K215" s="3"/>
      <c r="L215" s="3"/>
      <c r="M215" s="83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 ht="24" customHeight="1" x14ac:dyDescent="0.5">
      <c r="A216" s="3"/>
      <c r="B216" s="3"/>
      <c r="C216" s="3"/>
      <c r="D216" s="3"/>
      <c r="E216" s="3"/>
      <c r="F216" s="3"/>
      <c r="G216" s="5"/>
      <c r="H216" s="3"/>
      <c r="I216" s="3"/>
      <c r="J216" s="83"/>
      <c r="K216" s="3"/>
      <c r="L216" s="3"/>
      <c r="M216" s="83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 ht="24" customHeight="1" x14ac:dyDescent="0.5">
      <c r="A217" s="3"/>
      <c r="B217" s="3"/>
      <c r="C217" s="3"/>
      <c r="D217" s="3"/>
      <c r="E217" s="3"/>
      <c r="F217" s="3"/>
      <c r="G217" s="5"/>
      <c r="H217" s="3"/>
      <c r="I217" s="3"/>
      <c r="J217" s="83"/>
      <c r="K217" s="3"/>
      <c r="L217" s="3"/>
      <c r="M217" s="83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 ht="24" customHeight="1" x14ac:dyDescent="0.5">
      <c r="A218" s="3"/>
      <c r="B218" s="3"/>
      <c r="C218" s="3"/>
      <c r="D218" s="3"/>
      <c r="E218" s="3"/>
      <c r="F218" s="3"/>
      <c r="G218" s="5"/>
      <c r="H218" s="3"/>
      <c r="I218" s="3"/>
      <c r="J218" s="83"/>
      <c r="K218" s="3"/>
      <c r="L218" s="3"/>
      <c r="M218" s="83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 ht="24" customHeight="1" x14ac:dyDescent="0.5">
      <c r="A219" s="3"/>
      <c r="B219" s="3"/>
      <c r="C219" s="3"/>
      <c r="D219" s="3"/>
      <c r="E219" s="3"/>
      <c r="F219" s="3"/>
      <c r="G219" s="5"/>
      <c r="H219" s="3"/>
      <c r="I219" s="3"/>
      <c r="J219" s="83"/>
      <c r="K219" s="3"/>
      <c r="L219" s="3"/>
      <c r="M219" s="83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 ht="24" customHeight="1" x14ac:dyDescent="0.5">
      <c r="A220" s="3"/>
      <c r="B220" s="3"/>
      <c r="C220" s="3"/>
      <c r="D220" s="3"/>
      <c r="E220" s="3"/>
      <c r="F220" s="3"/>
      <c r="G220" s="5"/>
      <c r="H220" s="3"/>
      <c r="I220" s="3"/>
      <c r="J220" s="83"/>
      <c r="K220" s="3"/>
      <c r="L220" s="3"/>
      <c r="M220" s="83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 ht="24" customHeight="1" x14ac:dyDescent="0.5">
      <c r="A221" s="3"/>
      <c r="B221" s="3"/>
      <c r="C221" s="3"/>
      <c r="D221" s="3"/>
      <c r="E221" s="3"/>
      <c r="F221" s="3"/>
      <c r="G221" s="5"/>
      <c r="H221" s="3"/>
      <c r="I221" s="3"/>
      <c r="J221" s="83"/>
      <c r="K221" s="3"/>
      <c r="L221" s="3"/>
      <c r="M221" s="83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 ht="24" customHeight="1" x14ac:dyDescent="0.5">
      <c r="A222" s="3"/>
      <c r="B222" s="3"/>
      <c r="C222" s="3"/>
      <c r="D222" s="3"/>
      <c r="E222" s="3"/>
      <c r="F222" s="3"/>
      <c r="G222" s="5"/>
      <c r="H222" s="3"/>
      <c r="I222" s="3"/>
      <c r="J222" s="83"/>
      <c r="K222" s="3"/>
      <c r="L222" s="3"/>
      <c r="M222" s="83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 ht="24" customHeight="1" x14ac:dyDescent="0.5">
      <c r="A223" s="3"/>
      <c r="B223" s="3"/>
      <c r="C223" s="3"/>
      <c r="D223" s="3"/>
      <c r="E223" s="3"/>
      <c r="F223" s="3"/>
      <c r="G223" s="5"/>
      <c r="H223" s="3"/>
      <c r="I223" s="3"/>
      <c r="J223" s="83"/>
      <c r="K223" s="3"/>
      <c r="L223" s="3"/>
      <c r="M223" s="83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 ht="24" customHeight="1" x14ac:dyDescent="0.5">
      <c r="A224" s="3"/>
      <c r="B224" s="3"/>
      <c r="C224" s="3"/>
      <c r="D224" s="3"/>
      <c r="E224" s="3"/>
      <c r="F224" s="3"/>
      <c r="G224" s="5"/>
      <c r="H224" s="3"/>
      <c r="I224" s="3"/>
      <c r="J224" s="83"/>
      <c r="K224" s="3"/>
      <c r="L224" s="3"/>
      <c r="M224" s="83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spans="1:26" ht="24" customHeight="1" x14ac:dyDescent="0.5">
      <c r="A225" s="3"/>
      <c r="B225" s="3"/>
      <c r="C225" s="3"/>
      <c r="D225" s="3"/>
      <c r="E225" s="3"/>
      <c r="F225" s="3"/>
      <c r="G225" s="5"/>
      <c r="H225" s="3"/>
      <c r="I225" s="3"/>
      <c r="J225" s="83"/>
      <c r="K225" s="3"/>
      <c r="L225" s="3"/>
      <c r="M225" s="83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spans="1:26" ht="24" customHeight="1" x14ac:dyDescent="0.5">
      <c r="A226" s="3"/>
      <c r="B226" s="3"/>
      <c r="C226" s="3"/>
      <c r="D226" s="3"/>
      <c r="E226" s="3"/>
      <c r="F226" s="3"/>
      <c r="G226" s="5"/>
      <c r="H226" s="3"/>
      <c r="I226" s="3"/>
      <c r="J226" s="83"/>
      <c r="K226" s="3"/>
      <c r="L226" s="3"/>
      <c r="M226" s="83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 ht="24" customHeight="1" x14ac:dyDescent="0.5">
      <c r="A227" s="3"/>
      <c r="B227" s="3"/>
      <c r="C227" s="3"/>
      <c r="D227" s="3"/>
      <c r="E227" s="3"/>
      <c r="F227" s="3"/>
      <c r="G227" s="5"/>
      <c r="H227" s="3"/>
      <c r="I227" s="3"/>
      <c r="J227" s="83"/>
      <c r="K227" s="3"/>
      <c r="L227" s="3"/>
      <c r="M227" s="83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 ht="24" customHeight="1" x14ac:dyDescent="0.5">
      <c r="A228" s="3"/>
      <c r="B228" s="3"/>
      <c r="C228" s="3"/>
      <c r="D228" s="3"/>
      <c r="E228" s="3"/>
      <c r="F228" s="3"/>
      <c r="G228" s="5"/>
      <c r="H228" s="3"/>
      <c r="I228" s="3"/>
      <c r="J228" s="83"/>
      <c r="K228" s="3"/>
      <c r="L228" s="3"/>
      <c r="M228" s="83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 ht="24" customHeight="1" x14ac:dyDescent="0.5">
      <c r="A229" s="3"/>
      <c r="B229" s="3"/>
      <c r="C229" s="3"/>
      <c r="D229" s="3"/>
      <c r="E229" s="3"/>
      <c r="F229" s="3"/>
      <c r="G229" s="5"/>
      <c r="H229" s="3"/>
      <c r="I229" s="3"/>
      <c r="J229" s="83"/>
      <c r="K229" s="3"/>
      <c r="L229" s="3"/>
      <c r="M229" s="83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 ht="24" customHeight="1" x14ac:dyDescent="0.5">
      <c r="A230" s="3"/>
      <c r="B230" s="3"/>
      <c r="C230" s="3"/>
      <c r="D230" s="3"/>
      <c r="E230" s="3"/>
      <c r="F230" s="3"/>
      <c r="G230" s="5"/>
      <c r="H230" s="3"/>
      <c r="I230" s="3"/>
      <c r="J230" s="83"/>
      <c r="K230" s="3"/>
      <c r="L230" s="3"/>
      <c r="M230" s="83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 ht="24" customHeight="1" x14ac:dyDescent="0.5">
      <c r="A231" s="3"/>
      <c r="B231" s="3"/>
      <c r="C231" s="3"/>
      <c r="D231" s="3"/>
      <c r="E231" s="3"/>
      <c r="F231" s="3"/>
      <c r="G231" s="5"/>
      <c r="H231" s="3"/>
      <c r="I231" s="3"/>
      <c r="J231" s="83"/>
      <c r="K231" s="3"/>
      <c r="L231" s="3"/>
      <c r="M231" s="83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 ht="24" customHeight="1" x14ac:dyDescent="0.5">
      <c r="A232" s="3"/>
      <c r="B232" s="3"/>
      <c r="C232" s="3"/>
      <c r="D232" s="3"/>
      <c r="E232" s="3"/>
      <c r="F232" s="3"/>
      <c r="G232" s="5"/>
      <c r="H232" s="3"/>
      <c r="I232" s="3"/>
      <c r="J232" s="83"/>
      <c r="K232" s="3"/>
      <c r="L232" s="3"/>
      <c r="M232" s="83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 ht="24" customHeight="1" x14ac:dyDescent="0.5">
      <c r="A233" s="3"/>
      <c r="B233" s="3"/>
      <c r="C233" s="3"/>
      <c r="D233" s="3"/>
      <c r="E233" s="3"/>
      <c r="F233" s="3"/>
      <c r="G233" s="5"/>
      <c r="H233" s="3"/>
      <c r="I233" s="3"/>
      <c r="J233" s="83"/>
      <c r="K233" s="3"/>
      <c r="L233" s="3"/>
      <c r="M233" s="83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 ht="24" customHeight="1" x14ac:dyDescent="0.5">
      <c r="A234" s="3"/>
      <c r="B234" s="3"/>
      <c r="C234" s="3"/>
      <c r="D234" s="3"/>
      <c r="E234" s="3"/>
      <c r="F234" s="3"/>
      <c r="G234" s="5"/>
      <c r="H234" s="3"/>
      <c r="I234" s="3"/>
      <c r="J234" s="83"/>
      <c r="K234" s="3"/>
      <c r="L234" s="3"/>
      <c r="M234" s="83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 ht="24" customHeight="1" x14ac:dyDescent="0.5">
      <c r="A235" s="3"/>
      <c r="B235" s="3"/>
      <c r="C235" s="3"/>
      <c r="D235" s="3"/>
      <c r="E235" s="3"/>
      <c r="F235" s="3"/>
      <c r="G235" s="5"/>
      <c r="H235" s="3"/>
      <c r="I235" s="3"/>
      <c r="J235" s="83"/>
      <c r="K235" s="3"/>
      <c r="L235" s="3"/>
      <c r="M235" s="83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 ht="24" customHeight="1" x14ac:dyDescent="0.5">
      <c r="A236" s="3"/>
      <c r="B236" s="3"/>
      <c r="C236" s="3"/>
      <c r="D236" s="3"/>
      <c r="E236" s="3"/>
      <c r="F236" s="3"/>
      <c r="G236" s="5"/>
      <c r="H236" s="3"/>
      <c r="I236" s="3"/>
      <c r="J236" s="83"/>
      <c r="K236" s="3"/>
      <c r="L236" s="3"/>
      <c r="M236" s="83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 ht="24" customHeight="1" x14ac:dyDescent="0.5">
      <c r="A237" s="3"/>
      <c r="B237" s="3"/>
      <c r="C237" s="3"/>
      <c r="D237" s="3"/>
      <c r="E237" s="3"/>
      <c r="F237" s="3"/>
      <c r="G237" s="5"/>
      <c r="H237" s="3"/>
      <c r="I237" s="3"/>
      <c r="J237" s="83"/>
      <c r="K237" s="3"/>
      <c r="L237" s="3"/>
      <c r="M237" s="83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 ht="24" customHeight="1" x14ac:dyDescent="0.5">
      <c r="A238" s="3"/>
      <c r="B238" s="3"/>
      <c r="C238" s="3"/>
      <c r="D238" s="3"/>
      <c r="E238" s="3"/>
      <c r="F238" s="3"/>
      <c r="G238" s="5"/>
      <c r="H238" s="3"/>
      <c r="I238" s="3"/>
      <c r="J238" s="83"/>
      <c r="K238" s="3"/>
      <c r="L238" s="3"/>
      <c r="M238" s="83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 ht="24" customHeight="1" x14ac:dyDescent="0.5">
      <c r="A239" s="3"/>
      <c r="B239" s="3"/>
      <c r="C239" s="3"/>
      <c r="D239" s="3"/>
      <c r="E239" s="3"/>
      <c r="F239" s="3"/>
      <c r="G239" s="5"/>
      <c r="H239" s="3"/>
      <c r="I239" s="3"/>
      <c r="J239" s="83"/>
      <c r="K239" s="3"/>
      <c r="L239" s="3"/>
      <c r="M239" s="83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 ht="24" customHeight="1" x14ac:dyDescent="0.5">
      <c r="A240" s="3"/>
      <c r="B240" s="3"/>
      <c r="C240" s="3"/>
      <c r="D240" s="3"/>
      <c r="E240" s="3"/>
      <c r="F240" s="3"/>
      <c r="G240" s="5"/>
      <c r="H240" s="3"/>
      <c r="I240" s="3"/>
      <c r="J240" s="83"/>
      <c r="K240" s="3"/>
      <c r="L240" s="3"/>
      <c r="M240" s="83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 ht="24" customHeight="1" x14ac:dyDescent="0.5">
      <c r="A241" s="3"/>
      <c r="B241" s="3"/>
      <c r="C241" s="3"/>
      <c r="D241" s="3"/>
      <c r="E241" s="3"/>
      <c r="F241" s="3"/>
      <c r="G241" s="5"/>
      <c r="H241" s="3"/>
      <c r="I241" s="3"/>
      <c r="J241" s="83"/>
      <c r="K241" s="3"/>
      <c r="L241" s="3"/>
      <c r="M241" s="83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 ht="24" customHeight="1" x14ac:dyDescent="0.5">
      <c r="A242" s="3"/>
      <c r="B242" s="3"/>
      <c r="C242" s="3"/>
      <c r="D242" s="3"/>
      <c r="E242" s="3"/>
      <c r="F242" s="3"/>
      <c r="G242" s="5"/>
      <c r="H242" s="3"/>
      <c r="I242" s="3"/>
      <c r="J242" s="83"/>
      <c r="K242" s="3"/>
      <c r="L242" s="3"/>
      <c r="M242" s="83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 ht="24" customHeight="1" x14ac:dyDescent="0.5">
      <c r="A243" s="3"/>
      <c r="B243" s="3"/>
      <c r="C243" s="3"/>
      <c r="D243" s="3"/>
      <c r="E243" s="3"/>
      <c r="F243" s="3"/>
      <c r="G243" s="5"/>
      <c r="H243" s="3"/>
      <c r="I243" s="3"/>
      <c r="J243" s="83"/>
      <c r="K243" s="3"/>
      <c r="L243" s="3"/>
      <c r="M243" s="83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 ht="24" customHeight="1" x14ac:dyDescent="0.5">
      <c r="A244" s="3"/>
      <c r="B244" s="3"/>
      <c r="C244" s="3"/>
      <c r="D244" s="3"/>
      <c r="E244" s="3"/>
      <c r="F244" s="3"/>
      <c r="G244" s="5"/>
      <c r="H244" s="3"/>
      <c r="I244" s="3"/>
      <c r="J244" s="83"/>
      <c r="K244" s="3"/>
      <c r="L244" s="3"/>
      <c r="M244" s="83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 ht="24" customHeight="1" x14ac:dyDescent="0.5">
      <c r="A245" s="3"/>
      <c r="B245" s="3"/>
      <c r="C245" s="3"/>
      <c r="D245" s="3"/>
      <c r="E245" s="3"/>
      <c r="F245" s="3"/>
      <c r="G245" s="5"/>
      <c r="H245" s="3"/>
      <c r="I245" s="3"/>
      <c r="J245" s="83"/>
      <c r="K245" s="3"/>
      <c r="L245" s="3"/>
      <c r="M245" s="83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 ht="24" customHeight="1" x14ac:dyDescent="0.5">
      <c r="A246" s="3"/>
      <c r="B246" s="3"/>
      <c r="C246" s="3"/>
      <c r="D246" s="3"/>
      <c r="E246" s="3"/>
      <c r="F246" s="3"/>
      <c r="G246" s="5"/>
      <c r="H246" s="3"/>
      <c r="I246" s="3"/>
      <c r="J246" s="83"/>
      <c r="K246" s="3"/>
      <c r="L246" s="3"/>
      <c r="M246" s="83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 ht="24" customHeight="1" x14ac:dyDescent="0.5">
      <c r="A247" s="3"/>
      <c r="B247" s="3"/>
      <c r="C247" s="3"/>
      <c r="D247" s="3"/>
      <c r="E247" s="3"/>
      <c r="F247" s="3"/>
      <c r="G247" s="5"/>
      <c r="H247" s="3"/>
      <c r="I247" s="3"/>
      <c r="J247" s="83"/>
      <c r="K247" s="3"/>
      <c r="L247" s="3"/>
      <c r="M247" s="83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 ht="24" customHeight="1" x14ac:dyDescent="0.5">
      <c r="A248" s="3"/>
      <c r="B248" s="3"/>
      <c r="C248" s="3"/>
      <c r="D248" s="3"/>
      <c r="E248" s="3"/>
      <c r="F248" s="3"/>
      <c r="G248" s="5"/>
      <c r="H248" s="3"/>
      <c r="I248" s="3"/>
      <c r="J248" s="83"/>
      <c r="K248" s="3"/>
      <c r="L248" s="3"/>
      <c r="M248" s="83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 ht="24" customHeight="1" x14ac:dyDescent="0.5">
      <c r="A249" s="3"/>
      <c r="B249" s="3"/>
      <c r="C249" s="3"/>
      <c r="D249" s="3"/>
      <c r="E249" s="3"/>
      <c r="F249" s="3"/>
      <c r="G249" s="5"/>
      <c r="H249" s="3"/>
      <c r="I249" s="3"/>
      <c r="J249" s="83"/>
      <c r="K249" s="3"/>
      <c r="L249" s="3"/>
      <c r="M249" s="83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 ht="24" customHeight="1" x14ac:dyDescent="0.5">
      <c r="A250" s="3"/>
      <c r="B250" s="3"/>
      <c r="C250" s="3"/>
      <c r="D250" s="3"/>
      <c r="E250" s="3"/>
      <c r="F250" s="3"/>
      <c r="G250" s="5"/>
      <c r="H250" s="3"/>
      <c r="I250" s="3"/>
      <c r="J250" s="83"/>
      <c r="K250" s="3"/>
      <c r="L250" s="3"/>
      <c r="M250" s="83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 ht="24" customHeight="1" x14ac:dyDescent="0.5">
      <c r="A251" s="3"/>
      <c r="B251" s="3"/>
      <c r="C251" s="3"/>
      <c r="D251" s="3"/>
      <c r="E251" s="3"/>
      <c r="F251" s="3"/>
      <c r="G251" s="5"/>
      <c r="H251" s="3"/>
      <c r="I251" s="3"/>
      <c r="J251" s="83"/>
      <c r="K251" s="3"/>
      <c r="L251" s="3"/>
      <c r="M251" s="83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 ht="24" customHeight="1" x14ac:dyDescent="0.5">
      <c r="A252" s="3"/>
      <c r="B252" s="3"/>
      <c r="C252" s="3"/>
      <c r="D252" s="3"/>
      <c r="E252" s="3"/>
      <c r="F252" s="3"/>
      <c r="G252" s="5"/>
      <c r="H252" s="3"/>
      <c r="I252" s="3"/>
      <c r="J252" s="83"/>
      <c r="K252" s="3"/>
      <c r="L252" s="3"/>
      <c r="M252" s="83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 ht="24" customHeight="1" x14ac:dyDescent="0.5">
      <c r="A253" s="3"/>
      <c r="B253" s="3"/>
      <c r="C253" s="3"/>
      <c r="D253" s="3"/>
      <c r="E253" s="3"/>
      <c r="F253" s="3"/>
      <c r="G253" s="5"/>
      <c r="H253" s="3"/>
      <c r="I253" s="3"/>
      <c r="J253" s="83"/>
      <c r="K253" s="3"/>
      <c r="L253" s="3"/>
      <c r="M253" s="83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 ht="24" customHeight="1" x14ac:dyDescent="0.5">
      <c r="A254" s="3"/>
      <c r="B254" s="3"/>
      <c r="C254" s="3"/>
      <c r="D254" s="3"/>
      <c r="E254" s="3"/>
      <c r="F254" s="3"/>
      <c r="G254" s="5"/>
      <c r="H254" s="3"/>
      <c r="I254" s="3"/>
      <c r="J254" s="83"/>
      <c r="K254" s="3"/>
      <c r="L254" s="3"/>
      <c r="M254" s="83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 ht="24" customHeight="1" x14ac:dyDescent="0.5">
      <c r="A255" s="3"/>
      <c r="B255" s="3"/>
      <c r="C255" s="3"/>
      <c r="D255" s="3"/>
      <c r="E255" s="3"/>
      <c r="F255" s="3"/>
      <c r="G255" s="5"/>
      <c r="H255" s="3"/>
      <c r="I255" s="3"/>
      <c r="J255" s="83"/>
      <c r="K255" s="3"/>
      <c r="L255" s="3"/>
      <c r="M255" s="83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 ht="24" customHeight="1" x14ac:dyDescent="0.5">
      <c r="A256" s="3"/>
      <c r="B256" s="3"/>
      <c r="C256" s="3"/>
      <c r="D256" s="3"/>
      <c r="E256" s="3"/>
      <c r="F256" s="3"/>
      <c r="G256" s="5"/>
      <c r="H256" s="3"/>
      <c r="I256" s="3"/>
      <c r="J256" s="83"/>
      <c r="K256" s="3"/>
      <c r="L256" s="3"/>
      <c r="M256" s="83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 ht="24" customHeight="1" x14ac:dyDescent="0.5">
      <c r="A257" s="3"/>
      <c r="B257" s="3"/>
      <c r="C257" s="3"/>
      <c r="D257" s="3"/>
      <c r="E257" s="3"/>
      <c r="F257" s="3"/>
      <c r="G257" s="5"/>
      <c r="H257" s="3"/>
      <c r="I257" s="3"/>
      <c r="J257" s="83"/>
      <c r="K257" s="3"/>
      <c r="L257" s="3"/>
      <c r="M257" s="83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 ht="24" customHeight="1" x14ac:dyDescent="0.5">
      <c r="A258" s="3"/>
      <c r="B258" s="3"/>
      <c r="C258" s="3"/>
      <c r="D258" s="3"/>
      <c r="E258" s="3"/>
      <c r="F258" s="3"/>
      <c r="G258" s="5"/>
      <c r="H258" s="3"/>
      <c r="I258" s="3"/>
      <c r="J258" s="83"/>
      <c r="K258" s="3"/>
      <c r="L258" s="3"/>
      <c r="M258" s="83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 ht="24" customHeight="1" x14ac:dyDescent="0.5">
      <c r="A259" s="3"/>
      <c r="B259" s="3"/>
      <c r="C259" s="3"/>
      <c r="D259" s="3"/>
      <c r="E259" s="3"/>
      <c r="F259" s="3"/>
      <c r="G259" s="5"/>
      <c r="H259" s="3"/>
      <c r="I259" s="3"/>
      <c r="J259" s="83"/>
      <c r="K259" s="3"/>
      <c r="L259" s="3"/>
      <c r="M259" s="83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 ht="24" customHeight="1" x14ac:dyDescent="0.5">
      <c r="A260" s="3"/>
      <c r="B260" s="3"/>
      <c r="C260" s="3"/>
      <c r="D260" s="3"/>
      <c r="E260" s="3"/>
      <c r="F260" s="3"/>
      <c r="G260" s="5"/>
      <c r="H260" s="3"/>
      <c r="I260" s="3"/>
      <c r="J260" s="83"/>
      <c r="K260" s="3"/>
      <c r="L260" s="3"/>
      <c r="M260" s="83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 ht="24" customHeight="1" x14ac:dyDescent="0.5">
      <c r="A261" s="3"/>
      <c r="B261" s="3"/>
      <c r="C261" s="3"/>
      <c r="D261" s="3"/>
      <c r="E261" s="3"/>
      <c r="F261" s="3"/>
      <c r="G261" s="5"/>
      <c r="H261" s="3"/>
      <c r="I261" s="3"/>
      <c r="J261" s="83"/>
      <c r="K261" s="3"/>
      <c r="L261" s="3"/>
      <c r="M261" s="83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 ht="24" customHeight="1" x14ac:dyDescent="0.5">
      <c r="A262" s="3"/>
      <c r="B262" s="3"/>
      <c r="C262" s="3"/>
      <c r="D262" s="3"/>
      <c r="E262" s="3"/>
      <c r="F262" s="3"/>
      <c r="G262" s="5"/>
      <c r="H262" s="3"/>
      <c r="I262" s="3"/>
      <c r="J262" s="83"/>
      <c r="K262" s="3"/>
      <c r="L262" s="3"/>
      <c r="M262" s="83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 ht="24" customHeight="1" x14ac:dyDescent="0.5">
      <c r="A263" s="3"/>
      <c r="B263" s="3"/>
      <c r="C263" s="3"/>
      <c r="D263" s="3"/>
      <c r="E263" s="3"/>
      <c r="F263" s="3"/>
      <c r="G263" s="5"/>
      <c r="H263" s="3"/>
      <c r="I263" s="3"/>
      <c r="J263" s="83"/>
      <c r="K263" s="3"/>
      <c r="L263" s="3"/>
      <c r="M263" s="83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 ht="24" customHeight="1" x14ac:dyDescent="0.5">
      <c r="A264" s="3"/>
      <c r="B264" s="3"/>
      <c r="C264" s="3"/>
      <c r="D264" s="3"/>
      <c r="E264" s="3"/>
      <c r="F264" s="3"/>
      <c r="G264" s="5"/>
      <c r="H264" s="3"/>
      <c r="I264" s="3"/>
      <c r="J264" s="83"/>
      <c r="K264" s="3"/>
      <c r="L264" s="3"/>
      <c r="M264" s="83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 ht="24" customHeight="1" x14ac:dyDescent="0.5">
      <c r="A265" s="3"/>
      <c r="B265" s="3"/>
      <c r="C265" s="3"/>
      <c r="D265" s="3"/>
      <c r="E265" s="3"/>
      <c r="F265" s="3"/>
      <c r="G265" s="5"/>
      <c r="H265" s="3"/>
      <c r="I265" s="3"/>
      <c r="J265" s="83"/>
      <c r="K265" s="3"/>
      <c r="L265" s="3"/>
      <c r="M265" s="83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 ht="24" customHeight="1" x14ac:dyDescent="0.5">
      <c r="A266" s="3"/>
      <c r="B266" s="3"/>
      <c r="C266" s="3"/>
      <c r="D266" s="3"/>
      <c r="E266" s="3"/>
      <c r="F266" s="3"/>
      <c r="G266" s="5"/>
      <c r="H266" s="3"/>
      <c r="I266" s="3"/>
      <c r="J266" s="83"/>
      <c r="K266" s="3"/>
      <c r="L266" s="3"/>
      <c r="M266" s="83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 ht="24" customHeight="1" x14ac:dyDescent="0.5">
      <c r="A267" s="3"/>
      <c r="B267" s="3"/>
      <c r="C267" s="3"/>
      <c r="D267" s="3"/>
      <c r="E267" s="3"/>
      <c r="F267" s="3"/>
      <c r="G267" s="5"/>
      <c r="H267" s="3"/>
      <c r="I267" s="3"/>
      <c r="J267" s="83"/>
      <c r="K267" s="3"/>
      <c r="L267" s="3"/>
      <c r="M267" s="83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 ht="24" customHeight="1" x14ac:dyDescent="0.5">
      <c r="A268" s="3"/>
      <c r="B268" s="3"/>
      <c r="C268" s="3"/>
      <c r="D268" s="3"/>
      <c r="E268" s="3"/>
      <c r="F268" s="3"/>
      <c r="G268" s="5"/>
      <c r="H268" s="3"/>
      <c r="I268" s="3"/>
      <c r="J268" s="83"/>
      <c r="K268" s="3"/>
      <c r="L268" s="3"/>
      <c r="M268" s="83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 ht="24" customHeight="1" x14ac:dyDescent="0.5">
      <c r="A269" s="3"/>
      <c r="B269" s="3"/>
      <c r="C269" s="3"/>
      <c r="D269" s="3"/>
      <c r="E269" s="3"/>
      <c r="F269" s="3"/>
      <c r="G269" s="5"/>
      <c r="H269" s="3"/>
      <c r="I269" s="3"/>
      <c r="J269" s="83"/>
      <c r="K269" s="3"/>
      <c r="L269" s="3"/>
      <c r="M269" s="83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 ht="24" customHeight="1" x14ac:dyDescent="0.5">
      <c r="A270" s="3"/>
      <c r="B270" s="3"/>
      <c r="C270" s="3"/>
      <c r="D270" s="3"/>
      <c r="E270" s="3"/>
      <c r="F270" s="3"/>
      <c r="G270" s="5"/>
      <c r="H270" s="3"/>
      <c r="I270" s="3"/>
      <c r="J270" s="83"/>
      <c r="K270" s="3"/>
      <c r="L270" s="3"/>
      <c r="M270" s="83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 ht="24" customHeight="1" x14ac:dyDescent="0.5">
      <c r="A271" s="3"/>
      <c r="B271" s="3"/>
      <c r="C271" s="3"/>
      <c r="D271" s="3"/>
      <c r="E271" s="3"/>
      <c r="F271" s="3"/>
      <c r="G271" s="5"/>
      <c r="H271" s="3"/>
      <c r="I271" s="3"/>
      <c r="J271" s="83"/>
      <c r="K271" s="3"/>
      <c r="L271" s="3"/>
      <c r="M271" s="83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 ht="24" customHeight="1" x14ac:dyDescent="0.5">
      <c r="A272" s="3"/>
      <c r="B272" s="3"/>
      <c r="C272" s="3"/>
      <c r="D272" s="3"/>
      <c r="E272" s="3"/>
      <c r="F272" s="3"/>
      <c r="G272" s="5"/>
      <c r="H272" s="3"/>
      <c r="I272" s="3"/>
      <c r="J272" s="83"/>
      <c r="K272" s="3"/>
      <c r="L272" s="3"/>
      <c r="M272" s="83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 ht="24" customHeight="1" x14ac:dyDescent="0.5">
      <c r="A273" s="3"/>
      <c r="B273" s="3"/>
      <c r="C273" s="3"/>
      <c r="D273" s="3"/>
      <c r="E273" s="3"/>
      <c r="F273" s="3"/>
      <c r="G273" s="5"/>
      <c r="H273" s="3"/>
      <c r="I273" s="3"/>
      <c r="J273" s="83"/>
      <c r="K273" s="3"/>
      <c r="L273" s="3"/>
      <c r="M273" s="83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 ht="24" customHeight="1" x14ac:dyDescent="0.5">
      <c r="A274" s="3"/>
      <c r="B274" s="3"/>
      <c r="C274" s="3"/>
      <c r="D274" s="3"/>
      <c r="E274" s="3"/>
      <c r="F274" s="3"/>
      <c r="G274" s="5"/>
      <c r="H274" s="3"/>
      <c r="I274" s="3"/>
      <c r="J274" s="83"/>
      <c r="K274" s="3"/>
      <c r="L274" s="3"/>
      <c r="M274" s="83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 ht="24" customHeight="1" x14ac:dyDescent="0.5">
      <c r="A275" s="3"/>
      <c r="B275" s="3"/>
      <c r="C275" s="3"/>
      <c r="D275" s="3"/>
      <c r="E275" s="3"/>
      <c r="F275" s="3"/>
      <c r="G275" s="5"/>
      <c r="H275" s="3"/>
      <c r="I275" s="3"/>
      <c r="J275" s="83"/>
      <c r="K275" s="3"/>
      <c r="L275" s="3"/>
      <c r="M275" s="83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 ht="24" customHeight="1" x14ac:dyDescent="0.5">
      <c r="A276" s="3"/>
      <c r="B276" s="3"/>
      <c r="C276" s="3"/>
      <c r="D276" s="3"/>
      <c r="E276" s="3"/>
      <c r="F276" s="3"/>
      <c r="G276" s="5"/>
      <c r="H276" s="3"/>
      <c r="I276" s="3"/>
      <c r="J276" s="83"/>
      <c r="K276" s="3"/>
      <c r="L276" s="3"/>
      <c r="M276" s="83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 ht="24" customHeight="1" x14ac:dyDescent="0.5">
      <c r="A277" s="3"/>
      <c r="B277" s="3"/>
      <c r="C277" s="3"/>
      <c r="D277" s="3"/>
      <c r="E277" s="3"/>
      <c r="F277" s="3"/>
      <c r="G277" s="5"/>
      <c r="H277" s="3"/>
      <c r="I277" s="3"/>
      <c r="J277" s="83"/>
      <c r="K277" s="3"/>
      <c r="L277" s="3"/>
      <c r="M277" s="83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 ht="24" customHeight="1" x14ac:dyDescent="0.5">
      <c r="A278" s="3"/>
      <c r="B278" s="3"/>
      <c r="C278" s="3"/>
      <c r="D278" s="3"/>
      <c r="E278" s="3"/>
      <c r="F278" s="3"/>
      <c r="G278" s="5"/>
      <c r="H278" s="3"/>
      <c r="I278" s="3"/>
      <c r="J278" s="83"/>
      <c r="K278" s="3"/>
      <c r="L278" s="3"/>
      <c r="M278" s="83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 ht="24" customHeight="1" x14ac:dyDescent="0.5">
      <c r="A279" s="3"/>
      <c r="B279" s="3"/>
      <c r="C279" s="3"/>
      <c r="D279" s="3"/>
      <c r="E279" s="3"/>
      <c r="F279" s="3"/>
      <c r="G279" s="5"/>
      <c r="H279" s="3"/>
      <c r="I279" s="3"/>
      <c r="J279" s="83"/>
      <c r="K279" s="3"/>
      <c r="L279" s="3"/>
      <c r="M279" s="83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 ht="24" customHeight="1" x14ac:dyDescent="0.5">
      <c r="A280" s="3"/>
      <c r="B280" s="3"/>
      <c r="C280" s="3"/>
      <c r="D280" s="3"/>
      <c r="E280" s="3"/>
      <c r="F280" s="3"/>
      <c r="G280" s="5"/>
      <c r="H280" s="3"/>
      <c r="I280" s="3"/>
      <c r="J280" s="83"/>
      <c r="K280" s="3"/>
      <c r="L280" s="3"/>
      <c r="M280" s="83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 ht="24" customHeight="1" x14ac:dyDescent="0.5">
      <c r="A281" s="3"/>
      <c r="B281" s="3"/>
      <c r="C281" s="3"/>
      <c r="D281" s="3"/>
      <c r="E281" s="3"/>
      <c r="F281" s="3"/>
      <c r="G281" s="5"/>
      <c r="H281" s="3"/>
      <c r="I281" s="3"/>
      <c r="J281" s="83"/>
      <c r="K281" s="3"/>
      <c r="L281" s="3"/>
      <c r="M281" s="83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 ht="24" customHeight="1" x14ac:dyDescent="0.5">
      <c r="A282" s="3"/>
      <c r="B282" s="3"/>
      <c r="C282" s="3"/>
      <c r="D282" s="3"/>
      <c r="E282" s="3"/>
      <c r="F282" s="3"/>
      <c r="G282" s="5"/>
      <c r="H282" s="3"/>
      <c r="I282" s="3"/>
      <c r="J282" s="83"/>
      <c r="K282" s="3"/>
      <c r="L282" s="3"/>
      <c r="M282" s="83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 ht="24" customHeight="1" x14ac:dyDescent="0.5">
      <c r="A283" s="3"/>
      <c r="B283" s="3"/>
      <c r="C283" s="3"/>
      <c r="D283" s="3"/>
      <c r="E283" s="3"/>
      <c r="F283" s="3"/>
      <c r="G283" s="5"/>
      <c r="H283" s="3"/>
      <c r="I283" s="3"/>
      <c r="J283" s="83"/>
      <c r="K283" s="3"/>
      <c r="L283" s="3"/>
      <c r="M283" s="83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 ht="24" customHeight="1" x14ac:dyDescent="0.5">
      <c r="A284" s="3"/>
      <c r="B284" s="3"/>
      <c r="C284" s="3"/>
      <c r="D284" s="3"/>
      <c r="E284" s="3"/>
      <c r="F284" s="3"/>
      <c r="G284" s="5"/>
      <c r="H284" s="3"/>
      <c r="I284" s="3"/>
      <c r="J284" s="83"/>
      <c r="K284" s="3"/>
      <c r="L284" s="3"/>
      <c r="M284" s="83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 ht="24" customHeight="1" x14ac:dyDescent="0.5">
      <c r="A285" s="3"/>
      <c r="B285" s="3"/>
      <c r="C285" s="3"/>
      <c r="D285" s="3"/>
      <c r="E285" s="3"/>
      <c r="F285" s="3"/>
      <c r="G285" s="5"/>
      <c r="H285" s="3"/>
      <c r="I285" s="3"/>
      <c r="J285" s="83"/>
      <c r="K285" s="3"/>
      <c r="L285" s="3"/>
      <c r="M285" s="83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 ht="24" customHeight="1" x14ac:dyDescent="0.5">
      <c r="A286" s="3"/>
      <c r="B286" s="3"/>
      <c r="C286" s="3"/>
      <c r="D286" s="3"/>
      <c r="E286" s="3"/>
      <c r="F286" s="3"/>
      <c r="G286" s="5"/>
      <c r="H286" s="3"/>
      <c r="I286" s="3"/>
      <c r="J286" s="83"/>
      <c r="K286" s="3"/>
      <c r="L286" s="3"/>
      <c r="M286" s="83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 ht="24" customHeight="1" x14ac:dyDescent="0.5">
      <c r="A287" s="3"/>
      <c r="B287" s="3"/>
      <c r="C287" s="3"/>
      <c r="D287" s="3"/>
      <c r="E287" s="3"/>
      <c r="F287" s="3"/>
      <c r="G287" s="5"/>
      <c r="H287" s="3"/>
      <c r="I287" s="3"/>
      <c r="J287" s="83"/>
      <c r="K287" s="3"/>
      <c r="L287" s="3"/>
      <c r="M287" s="83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 ht="24" customHeight="1" x14ac:dyDescent="0.5">
      <c r="A288" s="3"/>
      <c r="B288" s="3"/>
      <c r="C288" s="3"/>
      <c r="D288" s="3"/>
      <c r="E288" s="3"/>
      <c r="F288" s="3"/>
      <c r="G288" s="5"/>
      <c r="H288" s="3"/>
      <c r="I288" s="3"/>
      <c r="J288" s="83"/>
      <c r="K288" s="3"/>
      <c r="L288" s="3"/>
      <c r="M288" s="83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 ht="24" customHeight="1" x14ac:dyDescent="0.5">
      <c r="A289" s="3"/>
      <c r="B289" s="3"/>
      <c r="C289" s="3"/>
      <c r="D289" s="3"/>
      <c r="E289" s="3"/>
      <c r="F289" s="3"/>
      <c r="G289" s="5"/>
      <c r="H289" s="3"/>
      <c r="I289" s="3"/>
      <c r="J289" s="83"/>
      <c r="K289" s="3"/>
      <c r="L289" s="3"/>
      <c r="M289" s="83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 ht="24" customHeight="1" x14ac:dyDescent="0.5">
      <c r="A290" s="3"/>
      <c r="B290" s="3"/>
      <c r="C290" s="3"/>
      <c r="D290" s="3"/>
      <c r="E290" s="3"/>
      <c r="F290" s="3"/>
      <c r="G290" s="5"/>
      <c r="H290" s="3"/>
      <c r="I290" s="3"/>
      <c r="J290" s="83"/>
      <c r="K290" s="3"/>
      <c r="L290" s="3"/>
      <c r="M290" s="83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 ht="24" customHeight="1" x14ac:dyDescent="0.5">
      <c r="A291" s="3"/>
      <c r="B291" s="3"/>
      <c r="C291" s="3"/>
      <c r="D291" s="3"/>
      <c r="E291" s="3"/>
      <c r="F291" s="3"/>
      <c r="G291" s="5"/>
      <c r="H291" s="3"/>
      <c r="I291" s="3"/>
      <c r="J291" s="83"/>
      <c r="K291" s="3"/>
      <c r="L291" s="3"/>
      <c r="M291" s="83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 ht="24" customHeight="1" x14ac:dyDescent="0.5">
      <c r="A292" s="3"/>
      <c r="B292" s="3"/>
      <c r="C292" s="3"/>
      <c r="D292" s="3"/>
      <c r="E292" s="3"/>
      <c r="F292" s="3"/>
      <c r="G292" s="5"/>
      <c r="H292" s="3"/>
      <c r="I292" s="3"/>
      <c r="J292" s="83"/>
      <c r="K292" s="3"/>
      <c r="L292" s="3"/>
      <c r="M292" s="83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 ht="24" customHeight="1" x14ac:dyDescent="0.5">
      <c r="A293" s="3"/>
      <c r="B293" s="3"/>
      <c r="C293" s="3"/>
      <c r="D293" s="3"/>
      <c r="E293" s="3"/>
      <c r="F293" s="3"/>
      <c r="G293" s="5"/>
      <c r="H293" s="3"/>
      <c r="I293" s="3"/>
      <c r="J293" s="83"/>
      <c r="K293" s="3"/>
      <c r="L293" s="3"/>
      <c r="M293" s="83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 ht="24" customHeight="1" x14ac:dyDescent="0.5">
      <c r="A294" s="3"/>
      <c r="B294" s="3"/>
      <c r="C294" s="3"/>
      <c r="D294" s="3"/>
      <c r="E294" s="3"/>
      <c r="F294" s="3"/>
      <c r="G294" s="5"/>
      <c r="H294" s="3"/>
      <c r="I294" s="3"/>
      <c r="J294" s="83"/>
      <c r="K294" s="3"/>
      <c r="L294" s="3"/>
      <c r="M294" s="83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 ht="24" customHeight="1" x14ac:dyDescent="0.5">
      <c r="A295" s="3"/>
      <c r="B295" s="3"/>
      <c r="C295" s="3"/>
      <c r="D295" s="3"/>
      <c r="E295" s="3"/>
      <c r="F295" s="3"/>
      <c r="G295" s="5"/>
      <c r="H295" s="3"/>
      <c r="I295" s="3"/>
      <c r="J295" s="83"/>
      <c r="K295" s="3"/>
      <c r="L295" s="3"/>
      <c r="M295" s="83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 ht="24" customHeight="1" x14ac:dyDescent="0.5">
      <c r="A296" s="3"/>
      <c r="B296" s="3"/>
      <c r="C296" s="3"/>
      <c r="D296" s="3"/>
      <c r="E296" s="3"/>
      <c r="F296" s="3"/>
      <c r="G296" s="5"/>
      <c r="H296" s="3"/>
      <c r="I296" s="3"/>
      <c r="J296" s="83"/>
      <c r="K296" s="3"/>
      <c r="L296" s="3"/>
      <c r="M296" s="83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 ht="24" customHeight="1" x14ac:dyDescent="0.5">
      <c r="A297" s="3"/>
      <c r="B297" s="3"/>
      <c r="C297" s="3"/>
      <c r="D297" s="3"/>
      <c r="E297" s="3"/>
      <c r="F297" s="3"/>
      <c r="G297" s="5"/>
      <c r="H297" s="3"/>
      <c r="I297" s="3"/>
      <c r="J297" s="83"/>
      <c r="K297" s="3"/>
      <c r="L297" s="3"/>
      <c r="M297" s="83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 ht="24" customHeight="1" x14ac:dyDescent="0.5">
      <c r="A298" s="3"/>
      <c r="B298" s="3"/>
      <c r="C298" s="3"/>
      <c r="D298" s="3"/>
      <c r="E298" s="3"/>
      <c r="F298" s="3"/>
      <c r="G298" s="5"/>
      <c r="H298" s="3"/>
      <c r="I298" s="3"/>
      <c r="J298" s="83"/>
      <c r="K298" s="3"/>
      <c r="L298" s="3"/>
      <c r="M298" s="83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 ht="24" customHeight="1" x14ac:dyDescent="0.5">
      <c r="A299" s="3"/>
      <c r="B299" s="3"/>
      <c r="C299" s="3"/>
      <c r="D299" s="3"/>
      <c r="E299" s="3"/>
      <c r="F299" s="3"/>
      <c r="G299" s="5"/>
      <c r="H299" s="3"/>
      <c r="I299" s="3"/>
      <c r="J299" s="83"/>
      <c r="K299" s="3"/>
      <c r="L299" s="3"/>
      <c r="M299" s="83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 ht="24" customHeight="1" x14ac:dyDescent="0.5">
      <c r="A300" s="3"/>
      <c r="B300" s="3"/>
      <c r="C300" s="3"/>
      <c r="D300" s="3"/>
      <c r="E300" s="3"/>
      <c r="F300" s="3"/>
      <c r="G300" s="5"/>
      <c r="H300" s="3"/>
      <c r="I300" s="3"/>
      <c r="J300" s="83"/>
      <c r="K300" s="3"/>
      <c r="L300" s="3"/>
      <c r="M300" s="83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 ht="24" customHeight="1" x14ac:dyDescent="0.5">
      <c r="A301" s="3"/>
      <c r="B301" s="3"/>
      <c r="C301" s="3"/>
      <c r="D301" s="3"/>
      <c r="E301" s="3"/>
      <c r="F301" s="3"/>
      <c r="G301" s="5"/>
      <c r="H301" s="3"/>
      <c r="I301" s="3"/>
      <c r="J301" s="83"/>
      <c r="K301" s="3"/>
      <c r="L301" s="3"/>
      <c r="M301" s="83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 ht="24" customHeight="1" x14ac:dyDescent="0.5">
      <c r="A302" s="3"/>
      <c r="B302" s="3"/>
      <c r="C302" s="3"/>
      <c r="D302" s="3"/>
      <c r="E302" s="3"/>
      <c r="F302" s="3"/>
      <c r="G302" s="5"/>
      <c r="H302" s="3"/>
      <c r="I302" s="3"/>
      <c r="J302" s="83"/>
      <c r="K302" s="3"/>
      <c r="L302" s="3"/>
      <c r="M302" s="83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 ht="24" customHeight="1" x14ac:dyDescent="0.5">
      <c r="A303" s="3"/>
      <c r="B303" s="3"/>
      <c r="C303" s="3"/>
      <c r="D303" s="3"/>
      <c r="E303" s="3"/>
      <c r="F303" s="3"/>
      <c r="G303" s="5"/>
      <c r="H303" s="3"/>
      <c r="I303" s="3"/>
      <c r="J303" s="83"/>
      <c r="K303" s="3"/>
      <c r="L303" s="3"/>
      <c r="M303" s="83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 ht="24" customHeight="1" x14ac:dyDescent="0.5">
      <c r="A304" s="3"/>
      <c r="B304" s="3"/>
      <c r="C304" s="3"/>
      <c r="D304" s="3"/>
      <c r="E304" s="3"/>
      <c r="F304" s="3"/>
      <c r="G304" s="5"/>
      <c r="H304" s="3"/>
      <c r="I304" s="3"/>
      <c r="J304" s="83"/>
      <c r="K304" s="3"/>
      <c r="L304" s="3"/>
      <c r="M304" s="83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 ht="24" customHeight="1" x14ac:dyDescent="0.5">
      <c r="A305" s="3"/>
      <c r="B305" s="3"/>
      <c r="C305" s="3"/>
      <c r="D305" s="3"/>
      <c r="E305" s="3"/>
      <c r="F305" s="3"/>
      <c r="G305" s="5"/>
      <c r="H305" s="3"/>
      <c r="I305" s="3"/>
      <c r="J305" s="83"/>
      <c r="K305" s="3"/>
      <c r="L305" s="3"/>
      <c r="M305" s="83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 ht="24" customHeight="1" x14ac:dyDescent="0.5">
      <c r="A306" s="3"/>
      <c r="B306" s="3"/>
      <c r="C306" s="3"/>
      <c r="D306" s="3"/>
      <c r="E306" s="3"/>
      <c r="F306" s="3"/>
      <c r="G306" s="5"/>
      <c r="H306" s="3"/>
      <c r="I306" s="3"/>
      <c r="J306" s="83"/>
      <c r="K306" s="3"/>
      <c r="L306" s="3"/>
      <c r="M306" s="83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 ht="24" customHeight="1" x14ac:dyDescent="0.5">
      <c r="A307" s="3"/>
      <c r="B307" s="3"/>
      <c r="C307" s="3"/>
      <c r="D307" s="3"/>
      <c r="E307" s="3"/>
      <c r="F307" s="3"/>
      <c r="G307" s="5"/>
      <c r="H307" s="3"/>
      <c r="I307" s="3"/>
      <c r="J307" s="83"/>
      <c r="K307" s="3"/>
      <c r="L307" s="3"/>
      <c r="M307" s="83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 ht="24" customHeight="1" x14ac:dyDescent="0.5">
      <c r="A308" s="3"/>
      <c r="B308" s="3"/>
      <c r="C308" s="3"/>
      <c r="D308" s="3"/>
      <c r="E308" s="3"/>
      <c r="F308" s="3"/>
      <c r="G308" s="5"/>
      <c r="H308" s="3"/>
      <c r="I308" s="3"/>
      <c r="J308" s="83"/>
      <c r="K308" s="3"/>
      <c r="L308" s="3"/>
      <c r="M308" s="83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 ht="24" customHeight="1" x14ac:dyDescent="0.5">
      <c r="A309" s="3"/>
      <c r="B309" s="3"/>
      <c r="C309" s="3"/>
      <c r="D309" s="3"/>
      <c r="E309" s="3"/>
      <c r="F309" s="3"/>
      <c r="G309" s="5"/>
      <c r="H309" s="3"/>
      <c r="I309" s="3"/>
      <c r="J309" s="83"/>
      <c r="K309" s="3"/>
      <c r="L309" s="3"/>
      <c r="M309" s="83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 ht="24" customHeight="1" x14ac:dyDescent="0.5">
      <c r="A310" s="3"/>
      <c r="B310" s="3"/>
      <c r="C310" s="3"/>
      <c r="D310" s="3"/>
      <c r="E310" s="3"/>
      <c r="F310" s="3"/>
      <c r="G310" s="5"/>
      <c r="H310" s="3"/>
      <c r="I310" s="3"/>
      <c r="J310" s="83"/>
      <c r="K310" s="3"/>
      <c r="L310" s="3"/>
      <c r="M310" s="83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 ht="24" customHeight="1" x14ac:dyDescent="0.5">
      <c r="A311" s="3"/>
      <c r="B311" s="3"/>
      <c r="C311" s="3"/>
      <c r="D311" s="3"/>
      <c r="E311" s="3"/>
      <c r="F311" s="3"/>
      <c r="G311" s="5"/>
      <c r="H311" s="3"/>
      <c r="I311" s="3"/>
      <c r="J311" s="83"/>
      <c r="K311" s="3"/>
      <c r="L311" s="3"/>
      <c r="M311" s="83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 ht="24" customHeight="1" x14ac:dyDescent="0.5">
      <c r="A312" s="3"/>
      <c r="B312" s="3"/>
      <c r="C312" s="3"/>
      <c r="D312" s="3"/>
      <c r="E312" s="3"/>
      <c r="F312" s="3"/>
      <c r="G312" s="5"/>
      <c r="H312" s="3"/>
      <c r="I312" s="3"/>
      <c r="J312" s="83"/>
      <c r="K312" s="3"/>
      <c r="L312" s="3"/>
      <c r="M312" s="83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 ht="24" customHeight="1" x14ac:dyDescent="0.5">
      <c r="A313" s="3"/>
      <c r="B313" s="3"/>
      <c r="C313" s="3"/>
      <c r="D313" s="3"/>
      <c r="E313" s="3"/>
      <c r="F313" s="3"/>
      <c r="G313" s="5"/>
      <c r="H313" s="3"/>
      <c r="I313" s="3"/>
      <c r="J313" s="83"/>
      <c r="K313" s="3"/>
      <c r="L313" s="3"/>
      <c r="M313" s="83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 ht="24" customHeight="1" x14ac:dyDescent="0.5">
      <c r="A314" s="3"/>
      <c r="B314" s="3"/>
      <c r="C314" s="3"/>
      <c r="D314" s="3"/>
      <c r="E314" s="3"/>
      <c r="F314" s="3"/>
      <c r="G314" s="5"/>
      <c r="H314" s="3"/>
      <c r="I314" s="3"/>
      <c r="J314" s="83"/>
      <c r="K314" s="3"/>
      <c r="L314" s="3"/>
      <c r="M314" s="83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 ht="24" customHeight="1" x14ac:dyDescent="0.5">
      <c r="A315" s="81"/>
      <c r="B315" s="81"/>
      <c r="C315" s="81"/>
      <c r="D315" s="81"/>
      <c r="E315" s="81"/>
      <c r="F315" s="81"/>
      <c r="G315" s="82"/>
      <c r="H315" s="81"/>
      <c r="I315" s="81"/>
      <c r="J315" s="105"/>
      <c r="K315" s="81"/>
      <c r="L315" s="81"/>
      <c r="M315" s="105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 ht="24" customHeight="1" x14ac:dyDescent="0.5">
      <c r="A316" s="81"/>
      <c r="B316" s="81"/>
      <c r="C316" s="81"/>
      <c r="D316" s="81"/>
      <c r="E316" s="81"/>
      <c r="F316" s="81"/>
      <c r="G316" s="82"/>
      <c r="H316" s="81"/>
      <c r="I316" s="81"/>
      <c r="J316" s="105"/>
      <c r="K316" s="81"/>
      <c r="L316" s="81"/>
      <c r="M316" s="105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 ht="24" customHeight="1" x14ac:dyDescent="0.5">
      <c r="A317" s="81"/>
      <c r="B317" s="81"/>
      <c r="C317" s="81"/>
      <c r="D317" s="81"/>
      <c r="E317" s="81"/>
      <c r="F317" s="81"/>
      <c r="G317" s="82"/>
      <c r="H317" s="81"/>
      <c r="I317" s="81"/>
      <c r="J317" s="105"/>
      <c r="K317" s="81"/>
      <c r="L317" s="81"/>
      <c r="M317" s="105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 ht="24" customHeight="1" x14ac:dyDescent="0.5">
      <c r="A318" s="81"/>
      <c r="B318" s="81"/>
      <c r="C318" s="81"/>
      <c r="D318" s="81"/>
      <c r="E318" s="81"/>
      <c r="F318" s="81"/>
      <c r="G318" s="82"/>
      <c r="H318" s="81"/>
      <c r="I318" s="81"/>
      <c r="J318" s="105"/>
      <c r="K318" s="81"/>
      <c r="L318" s="81"/>
      <c r="M318" s="105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 ht="24" customHeight="1" x14ac:dyDescent="0.5">
      <c r="A319" s="81"/>
      <c r="B319" s="81"/>
      <c r="C319" s="81"/>
      <c r="D319" s="81"/>
      <c r="E319" s="81"/>
      <c r="F319" s="81"/>
      <c r="G319" s="82"/>
      <c r="H319" s="81"/>
      <c r="I319" s="81"/>
      <c r="J319" s="105"/>
      <c r="K319" s="81"/>
      <c r="L319" s="81"/>
      <c r="M319" s="105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 ht="24" customHeight="1" x14ac:dyDescent="0.5">
      <c r="A320" s="81"/>
      <c r="B320" s="81"/>
      <c r="C320" s="81"/>
      <c r="D320" s="81"/>
      <c r="E320" s="81"/>
      <c r="F320" s="81"/>
      <c r="G320" s="82"/>
      <c r="H320" s="81"/>
      <c r="I320" s="81"/>
      <c r="J320" s="105"/>
      <c r="K320" s="81"/>
      <c r="L320" s="81"/>
      <c r="M320" s="105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 ht="24" customHeight="1" x14ac:dyDescent="0.5">
      <c r="A321" s="81"/>
      <c r="B321" s="81"/>
      <c r="C321" s="81"/>
      <c r="D321" s="81"/>
      <c r="E321" s="81"/>
      <c r="F321" s="81"/>
      <c r="G321" s="82"/>
      <c r="H321" s="81"/>
      <c r="I321" s="81"/>
      <c r="J321" s="105"/>
      <c r="K321" s="81"/>
      <c r="L321" s="81"/>
      <c r="M321" s="105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 ht="24" customHeight="1" x14ac:dyDescent="0.5">
      <c r="A322" s="81"/>
      <c r="B322" s="81"/>
      <c r="C322" s="81"/>
      <c r="D322" s="81"/>
      <c r="E322" s="81"/>
      <c r="F322" s="81"/>
      <c r="G322" s="82"/>
      <c r="H322" s="81"/>
      <c r="I322" s="81"/>
      <c r="J322" s="105"/>
      <c r="K322" s="81"/>
      <c r="L322" s="81"/>
      <c r="M322" s="105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 ht="24" customHeight="1" x14ac:dyDescent="0.5">
      <c r="A323" s="81"/>
      <c r="B323" s="81"/>
      <c r="C323" s="81"/>
      <c r="D323" s="81"/>
      <c r="E323" s="81"/>
      <c r="F323" s="81"/>
      <c r="G323" s="82"/>
      <c r="H323" s="81"/>
      <c r="I323" s="81"/>
      <c r="J323" s="105"/>
      <c r="K323" s="81"/>
      <c r="L323" s="81"/>
      <c r="M323" s="105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 ht="24" customHeight="1" x14ac:dyDescent="0.5">
      <c r="A324" s="81"/>
      <c r="B324" s="81"/>
      <c r="C324" s="81"/>
      <c r="D324" s="81"/>
      <c r="E324" s="81"/>
      <c r="F324" s="81"/>
      <c r="G324" s="82"/>
      <c r="H324" s="81"/>
      <c r="I324" s="81"/>
      <c r="J324" s="105"/>
      <c r="K324" s="81"/>
      <c r="L324" s="81"/>
      <c r="M324" s="105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 ht="24" customHeight="1" x14ac:dyDescent="0.5">
      <c r="A325" s="81"/>
      <c r="B325" s="81"/>
      <c r="C325" s="81"/>
      <c r="D325" s="81"/>
      <c r="E325" s="81"/>
      <c r="F325" s="81"/>
      <c r="G325" s="82"/>
      <c r="H325" s="81"/>
      <c r="I325" s="81"/>
      <c r="J325" s="105"/>
      <c r="K325" s="81"/>
      <c r="L325" s="81"/>
      <c r="M325" s="105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 ht="24" customHeight="1" x14ac:dyDescent="0.5">
      <c r="A326" s="81"/>
      <c r="B326" s="81"/>
      <c r="C326" s="81"/>
      <c r="D326" s="81"/>
      <c r="E326" s="81"/>
      <c r="F326" s="81"/>
      <c r="G326" s="82"/>
      <c r="H326" s="81"/>
      <c r="I326" s="81"/>
      <c r="J326" s="105"/>
      <c r="K326" s="81"/>
      <c r="L326" s="81"/>
      <c r="M326" s="105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 ht="24" customHeight="1" x14ac:dyDescent="0.5">
      <c r="A327" s="81"/>
      <c r="B327" s="81"/>
      <c r="C327" s="81"/>
      <c r="D327" s="81"/>
      <c r="E327" s="81"/>
      <c r="F327" s="81"/>
      <c r="G327" s="82"/>
      <c r="H327" s="81"/>
      <c r="I327" s="81"/>
      <c r="J327" s="105"/>
      <c r="K327" s="81"/>
      <c r="L327" s="81"/>
      <c r="M327" s="105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 ht="24" customHeight="1" x14ac:dyDescent="0.5">
      <c r="A328" s="81"/>
      <c r="B328" s="81"/>
      <c r="C328" s="81"/>
      <c r="D328" s="81"/>
      <c r="E328" s="81"/>
      <c r="F328" s="81"/>
      <c r="G328" s="82"/>
      <c r="H328" s="81"/>
      <c r="I328" s="81"/>
      <c r="J328" s="105"/>
      <c r="K328" s="81"/>
      <c r="L328" s="81"/>
      <c r="M328" s="105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 ht="24" customHeight="1" x14ac:dyDescent="0.5">
      <c r="A329" s="81"/>
      <c r="B329" s="81"/>
      <c r="C329" s="81"/>
      <c r="D329" s="81"/>
      <c r="E329" s="81"/>
      <c r="F329" s="81"/>
      <c r="G329" s="82"/>
      <c r="H329" s="81"/>
      <c r="I329" s="81"/>
      <c r="J329" s="105"/>
      <c r="K329" s="81"/>
      <c r="L329" s="81"/>
      <c r="M329" s="105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 ht="24" customHeight="1" x14ac:dyDescent="0.5">
      <c r="A330" s="81"/>
      <c r="B330" s="81"/>
      <c r="C330" s="81"/>
      <c r="D330" s="81"/>
      <c r="E330" s="81"/>
      <c r="F330" s="81"/>
      <c r="G330" s="82"/>
      <c r="H330" s="81"/>
      <c r="I330" s="81"/>
      <c r="J330" s="105"/>
      <c r="K330" s="81"/>
      <c r="L330" s="81"/>
      <c r="M330" s="105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 ht="24" customHeight="1" x14ac:dyDescent="0.5">
      <c r="A331" s="81"/>
      <c r="B331" s="81"/>
      <c r="C331" s="81"/>
      <c r="D331" s="81"/>
      <c r="E331" s="81"/>
      <c r="F331" s="81"/>
      <c r="G331" s="82"/>
      <c r="H331" s="81"/>
      <c r="I331" s="81"/>
      <c r="J331" s="105"/>
      <c r="K331" s="81"/>
      <c r="L331" s="81"/>
      <c r="M331" s="105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 ht="24" customHeight="1" x14ac:dyDescent="0.5">
      <c r="A332" s="81"/>
      <c r="B332" s="81"/>
      <c r="C332" s="81"/>
      <c r="D332" s="81"/>
      <c r="E332" s="81"/>
      <c r="F332" s="81"/>
      <c r="G332" s="82"/>
      <c r="H332" s="81"/>
      <c r="I332" s="81"/>
      <c r="J332" s="105"/>
      <c r="K332" s="81"/>
      <c r="L332" s="81"/>
      <c r="M332" s="105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 ht="24" customHeight="1" x14ac:dyDescent="0.5">
      <c r="A333" s="81"/>
      <c r="B333" s="81"/>
      <c r="C333" s="81"/>
      <c r="D333" s="81"/>
      <c r="E333" s="81"/>
      <c r="F333" s="81"/>
      <c r="G333" s="82"/>
      <c r="H333" s="81"/>
      <c r="I333" s="81"/>
      <c r="J333" s="105"/>
      <c r="K333" s="81"/>
      <c r="L333" s="81"/>
      <c r="M333" s="105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 ht="24" customHeight="1" x14ac:dyDescent="0.5">
      <c r="A334" s="81"/>
      <c r="B334" s="81"/>
      <c r="C334" s="81"/>
      <c r="D334" s="81"/>
      <c r="E334" s="81"/>
      <c r="F334" s="81"/>
      <c r="G334" s="82"/>
      <c r="H334" s="81"/>
      <c r="I334" s="81"/>
      <c r="J334" s="105"/>
      <c r="K334" s="81"/>
      <c r="L334" s="81"/>
      <c r="M334" s="105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 ht="24" customHeight="1" x14ac:dyDescent="0.5">
      <c r="A335" s="81"/>
      <c r="B335" s="81"/>
      <c r="C335" s="81"/>
      <c r="D335" s="81"/>
      <c r="E335" s="81"/>
      <c r="F335" s="81"/>
      <c r="G335" s="82"/>
      <c r="H335" s="81"/>
      <c r="I335" s="81"/>
      <c r="J335" s="105"/>
      <c r="K335" s="81"/>
      <c r="L335" s="81"/>
      <c r="M335" s="105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 ht="24" customHeight="1" x14ac:dyDescent="0.5">
      <c r="A336" s="81"/>
      <c r="B336" s="81"/>
      <c r="C336" s="81"/>
      <c r="D336" s="81"/>
      <c r="E336" s="81"/>
      <c r="F336" s="81"/>
      <c r="G336" s="82"/>
      <c r="H336" s="81"/>
      <c r="I336" s="81"/>
      <c r="J336" s="105"/>
      <c r="K336" s="81"/>
      <c r="L336" s="81"/>
      <c r="M336" s="105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 ht="24" customHeight="1" x14ac:dyDescent="0.5">
      <c r="A337" s="81"/>
      <c r="B337" s="81"/>
      <c r="C337" s="81"/>
      <c r="D337" s="81"/>
      <c r="E337" s="81"/>
      <c r="F337" s="81"/>
      <c r="G337" s="82"/>
      <c r="H337" s="81"/>
      <c r="I337" s="81"/>
      <c r="J337" s="105"/>
      <c r="K337" s="81"/>
      <c r="L337" s="81"/>
      <c r="M337" s="105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 ht="24" customHeight="1" x14ac:dyDescent="0.5">
      <c r="A338" s="81"/>
      <c r="B338" s="81"/>
      <c r="C338" s="81"/>
      <c r="D338" s="81"/>
      <c r="E338" s="81"/>
      <c r="F338" s="81"/>
      <c r="G338" s="82"/>
      <c r="H338" s="81"/>
      <c r="I338" s="81"/>
      <c r="J338" s="105"/>
      <c r="K338" s="81"/>
      <c r="L338" s="81"/>
      <c r="M338" s="105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 ht="24" customHeight="1" x14ac:dyDescent="0.5">
      <c r="A339" s="81"/>
      <c r="B339" s="81"/>
      <c r="C339" s="81"/>
      <c r="D339" s="81"/>
      <c r="E339" s="81"/>
      <c r="F339" s="81"/>
      <c r="G339" s="82"/>
      <c r="H339" s="81"/>
      <c r="I339" s="81"/>
      <c r="J339" s="105"/>
      <c r="K339" s="81"/>
      <c r="L339" s="81"/>
      <c r="M339" s="105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 ht="24" customHeight="1" x14ac:dyDescent="0.5">
      <c r="A340" s="81"/>
      <c r="B340" s="81"/>
      <c r="C340" s="81"/>
      <c r="D340" s="81"/>
      <c r="E340" s="81"/>
      <c r="F340" s="81"/>
      <c r="G340" s="82"/>
      <c r="H340" s="81"/>
      <c r="I340" s="81"/>
      <c r="J340" s="105"/>
      <c r="K340" s="81"/>
      <c r="L340" s="81"/>
      <c r="M340" s="105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 ht="24" customHeight="1" x14ac:dyDescent="0.5">
      <c r="A341" s="81"/>
      <c r="B341" s="81"/>
      <c r="C341" s="81"/>
      <c r="D341" s="81"/>
      <c r="E341" s="81"/>
      <c r="F341" s="81"/>
      <c r="G341" s="82"/>
      <c r="H341" s="81"/>
      <c r="I341" s="81"/>
      <c r="J341" s="105"/>
      <c r="K341" s="81"/>
      <c r="L341" s="81"/>
      <c r="M341" s="105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 ht="24" customHeight="1" x14ac:dyDescent="0.5">
      <c r="A342" s="81"/>
      <c r="B342" s="81"/>
      <c r="C342" s="81"/>
      <c r="D342" s="81"/>
      <c r="E342" s="81"/>
      <c r="F342" s="81"/>
      <c r="G342" s="82"/>
      <c r="H342" s="81"/>
      <c r="I342" s="81"/>
      <c r="J342" s="105"/>
      <c r="K342" s="81"/>
      <c r="L342" s="81"/>
      <c r="M342" s="105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 ht="24" customHeight="1" x14ac:dyDescent="0.5">
      <c r="A343" s="81"/>
      <c r="B343" s="81"/>
      <c r="C343" s="81"/>
      <c r="D343" s="81"/>
      <c r="E343" s="81"/>
      <c r="F343" s="81"/>
      <c r="G343" s="82"/>
      <c r="H343" s="81"/>
      <c r="I343" s="81"/>
      <c r="J343" s="105"/>
      <c r="K343" s="81"/>
      <c r="L343" s="81"/>
      <c r="M343" s="105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 ht="24" customHeight="1" x14ac:dyDescent="0.5">
      <c r="A344" s="81"/>
      <c r="B344" s="81"/>
      <c r="C344" s="81"/>
      <c r="D344" s="81"/>
      <c r="E344" s="81"/>
      <c r="F344" s="81"/>
      <c r="G344" s="82"/>
      <c r="H344" s="81"/>
      <c r="I344" s="81"/>
      <c r="J344" s="105"/>
      <c r="K344" s="81"/>
      <c r="L344" s="81"/>
      <c r="M344" s="105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 ht="24" customHeight="1" x14ac:dyDescent="0.5">
      <c r="A345" s="81"/>
      <c r="B345" s="81"/>
      <c r="C345" s="81"/>
      <c r="D345" s="81"/>
      <c r="E345" s="81"/>
      <c r="F345" s="81"/>
      <c r="G345" s="82"/>
      <c r="H345" s="81"/>
      <c r="I345" s="81"/>
      <c r="J345" s="105"/>
      <c r="K345" s="81"/>
      <c r="L345" s="81"/>
      <c r="M345" s="105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 ht="24" customHeight="1" x14ac:dyDescent="0.5">
      <c r="A346" s="81"/>
      <c r="B346" s="81"/>
      <c r="C346" s="81"/>
      <c r="D346" s="81"/>
      <c r="E346" s="81"/>
      <c r="F346" s="81"/>
      <c r="G346" s="82"/>
      <c r="H346" s="81"/>
      <c r="I346" s="81"/>
      <c r="J346" s="105"/>
      <c r="K346" s="81"/>
      <c r="L346" s="81"/>
      <c r="M346" s="105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 ht="24" customHeight="1" x14ac:dyDescent="0.5">
      <c r="A347" s="81"/>
      <c r="B347" s="81"/>
      <c r="C347" s="81"/>
      <c r="D347" s="81"/>
      <c r="E347" s="81"/>
      <c r="F347" s="81"/>
      <c r="G347" s="82"/>
      <c r="H347" s="81"/>
      <c r="I347" s="81"/>
      <c r="J347" s="105"/>
      <c r="K347" s="81"/>
      <c r="L347" s="81"/>
      <c r="M347" s="105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 ht="24" customHeight="1" x14ac:dyDescent="0.5">
      <c r="A348" s="81"/>
      <c r="B348" s="81"/>
      <c r="C348" s="81"/>
      <c r="D348" s="81"/>
      <c r="E348" s="81"/>
      <c r="F348" s="81"/>
      <c r="G348" s="82"/>
      <c r="H348" s="81"/>
      <c r="I348" s="81"/>
      <c r="J348" s="105"/>
      <c r="K348" s="81"/>
      <c r="L348" s="81"/>
      <c r="M348" s="105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 ht="24" customHeight="1" x14ac:dyDescent="0.5">
      <c r="A349" s="81"/>
      <c r="B349" s="81"/>
      <c r="C349" s="81"/>
      <c r="D349" s="81"/>
      <c r="E349" s="81"/>
      <c r="F349" s="81"/>
      <c r="G349" s="82"/>
      <c r="H349" s="81"/>
      <c r="I349" s="81"/>
      <c r="J349" s="105"/>
      <c r="K349" s="81"/>
      <c r="L349" s="81"/>
      <c r="M349" s="105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 ht="24" customHeight="1" x14ac:dyDescent="0.5">
      <c r="A350" s="81"/>
      <c r="B350" s="81"/>
      <c r="C350" s="81"/>
      <c r="D350" s="81"/>
      <c r="E350" s="81"/>
      <c r="F350" s="81"/>
      <c r="G350" s="82"/>
      <c r="H350" s="81"/>
      <c r="I350" s="81"/>
      <c r="J350" s="105"/>
      <c r="K350" s="81"/>
      <c r="L350" s="81"/>
      <c r="M350" s="105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 ht="24" customHeight="1" x14ac:dyDescent="0.5">
      <c r="A351" s="81"/>
      <c r="B351" s="81"/>
      <c r="C351" s="81"/>
      <c r="D351" s="81"/>
      <c r="E351" s="81"/>
      <c r="F351" s="81"/>
      <c r="G351" s="82"/>
      <c r="H351" s="81"/>
      <c r="I351" s="81"/>
      <c r="J351" s="105"/>
      <c r="K351" s="81"/>
      <c r="L351" s="81"/>
      <c r="M351" s="105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 ht="24" customHeight="1" x14ac:dyDescent="0.5">
      <c r="A352" s="81"/>
      <c r="B352" s="81"/>
      <c r="C352" s="81"/>
      <c r="D352" s="81"/>
      <c r="E352" s="81"/>
      <c r="F352" s="81"/>
      <c r="G352" s="82"/>
      <c r="H352" s="81"/>
      <c r="I352" s="81"/>
      <c r="J352" s="105"/>
      <c r="K352" s="81"/>
      <c r="L352" s="81"/>
      <c r="M352" s="105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 ht="24" customHeight="1" x14ac:dyDescent="0.5">
      <c r="A353" s="81"/>
      <c r="B353" s="81"/>
      <c r="C353" s="81"/>
      <c r="D353" s="81"/>
      <c r="E353" s="81"/>
      <c r="F353" s="81"/>
      <c r="G353" s="82"/>
      <c r="H353" s="81"/>
      <c r="I353" s="81"/>
      <c r="J353" s="105"/>
      <c r="K353" s="81"/>
      <c r="L353" s="81"/>
      <c r="M353" s="105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 ht="24" customHeight="1" x14ac:dyDescent="0.5">
      <c r="A354" s="81"/>
      <c r="B354" s="81"/>
      <c r="C354" s="81"/>
      <c r="D354" s="81"/>
      <c r="E354" s="81"/>
      <c r="F354" s="81"/>
      <c r="G354" s="82"/>
      <c r="H354" s="81"/>
      <c r="I354" s="81"/>
      <c r="J354" s="105"/>
      <c r="K354" s="81"/>
      <c r="L354" s="81"/>
      <c r="M354" s="105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 ht="24" customHeight="1" x14ac:dyDescent="0.5">
      <c r="A355" s="81"/>
      <c r="B355" s="81"/>
      <c r="C355" s="81"/>
      <c r="D355" s="81"/>
      <c r="E355" s="81"/>
      <c r="F355" s="81"/>
      <c r="G355" s="82"/>
      <c r="H355" s="81"/>
      <c r="I355" s="81"/>
      <c r="J355" s="105"/>
      <c r="K355" s="81"/>
      <c r="L355" s="81"/>
      <c r="M355" s="105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 ht="24" customHeight="1" x14ac:dyDescent="0.5">
      <c r="A356" s="81"/>
      <c r="B356" s="81"/>
      <c r="C356" s="81"/>
      <c r="D356" s="81"/>
      <c r="E356" s="81"/>
      <c r="F356" s="81"/>
      <c r="G356" s="82"/>
      <c r="H356" s="81"/>
      <c r="I356" s="81"/>
      <c r="J356" s="105"/>
      <c r="K356" s="81"/>
      <c r="L356" s="81"/>
      <c r="M356" s="105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 ht="24" customHeight="1" x14ac:dyDescent="0.5">
      <c r="A357" s="81"/>
      <c r="B357" s="81"/>
      <c r="C357" s="81"/>
      <c r="D357" s="81"/>
      <c r="E357" s="81"/>
      <c r="F357" s="81"/>
      <c r="G357" s="82"/>
      <c r="H357" s="81"/>
      <c r="I357" s="81"/>
      <c r="J357" s="105"/>
      <c r="K357" s="81"/>
      <c r="L357" s="81"/>
      <c r="M357" s="105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 ht="24" customHeight="1" x14ac:dyDescent="0.5">
      <c r="A358" s="81"/>
      <c r="B358" s="81"/>
      <c r="C358" s="81"/>
      <c r="D358" s="81"/>
      <c r="E358" s="81"/>
      <c r="F358" s="81"/>
      <c r="G358" s="82"/>
      <c r="H358" s="81"/>
      <c r="I358" s="81"/>
      <c r="J358" s="105"/>
      <c r="K358" s="81"/>
      <c r="L358" s="81"/>
      <c r="M358" s="105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 ht="24" customHeight="1" x14ac:dyDescent="0.5">
      <c r="A359" s="81"/>
      <c r="B359" s="81"/>
      <c r="C359" s="81"/>
      <c r="D359" s="81"/>
      <c r="E359" s="81"/>
      <c r="F359" s="81"/>
      <c r="G359" s="82"/>
      <c r="H359" s="81"/>
      <c r="I359" s="81"/>
      <c r="J359" s="105"/>
      <c r="K359" s="81"/>
      <c r="L359" s="81"/>
      <c r="M359" s="105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 ht="24" customHeight="1" x14ac:dyDescent="0.5">
      <c r="A360" s="81"/>
      <c r="B360" s="81"/>
      <c r="C360" s="81"/>
      <c r="D360" s="81"/>
      <c r="E360" s="81"/>
      <c r="F360" s="81"/>
      <c r="G360" s="82"/>
      <c r="H360" s="81"/>
      <c r="I360" s="81"/>
      <c r="J360" s="105"/>
      <c r="K360" s="81"/>
      <c r="L360" s="81"/>
      <c r="M360" s="105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 ht="24" customHeight="1" x14ac:dyDescent="0.5">
      <c r="A361" s="81"/>
      <c r="B361" s="81"/>
      <c r="C361" s="81"/>
      <c r="D361" s="81"/>
      <c r="E361" s="81"/>
      <c r="F361" s="81"/>
      <c r="G361" s="82"/>
      <c r="H361" s="81"/>
      <c r="I361" s="81"/>
      <c r="J361" s="105"/>
      <c r="K361" s="81"/>
      <c r="L361" s="81"/>
      <c r="M361" s="105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 ht="24" customHeight="1" x14ac:dyDescent="0.5">
      <c r="A362" s="81"/>
      <c r="B362" s="81"/>
      <c r="C362" s="81"/>
      <c r="D362" s="81"/>
      <c r="E362" s="81"/>
      <c r="F362" s="81"/>
      <c r="G362" s="82"/>
      <c r="H362" s="81"/>
      <c r="I362" s="81"/>
      <c r="J362" s="105"/>
      <c r="K362" s="81"/>
      <c r="L362" s="81"/>
      <c r="M362" s="105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 ht="24" customHeight="1" x14ac:dyDescent="0.5">
      <c r="A363" s="81"/>
      <c r="B363" s="81"/>
      <c r="C363" s="81"/>
      <c r="D363" s="81"/>
      <c r="E363" s="81"/>
      <c r="F363" s="81"/>
      <c r="G363" s="82"/>
      <c r="H363" s="81"/>
      <c r="I363" s="81"/>
      <c r="J363" s="105"/>
      <c r="K363" s="81"/>
      <c r="L363" s="81"/>
      <c r="M363" s="105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 ht="24" customHeight="1" x14ac:dyDescent="0.5">
      <c r="A364" s="81"/>
      <c r="B364" s="81"/>
      <c r="C364" s="81"/>
      <c r="D364" s="81"/>
      <c r="E364" s="81"/>
      <c r="F364" s="81"/>
      <c r="G364" s="82"/>
      <c r="H364" s="81"/>
      <c r="I364" s="81"/>
      <c r="J364" s="105"/>
      <c r="K364" s="81"/>
      <c r="L364" s="81"/>
      <c r="M364" s="105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 ht="24" customHeight="1" x14ac:dyDescent="0.5">
      <c r="A365" s="81"/>
      <c r="B365" s="81"/>
      <c r="C365" s="81"/>
      <c r="D365" s="81"/>
      <c r="E365" s="81"/>
      <c r="F365" s="81"/>
      <c r="G365" s="82"/>
      <c r="H365" s="81"/>
      <c r="I365" s="81"/>
      <c r="J365" s="105"/>
      <c r="K365" s="81"/>
      <c r="L365" s="81"/>
      <c r="M365" s="105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 ht="24" customHeight="1" x14ac:dyDescent="0.5">
      <c r="A366" s="81"/>
      <c r="B366" s="81"/>
      <c r="C366" s="81"/>
      <c r="D366" s="81"/>
      <c r="E366" s="81"/>
      <c r="F366" s="81"/>
      <c r="G366" s="82"/>
      <c r="H366" s="81"/>
      <c r="I366" s="81"/>
      <c r="J366" s="105"/>
      <c r="K366" s="81"/>
      <c r="L366" s="81"/>
      <c r="M366" s="105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 ht="24" customHeight="1" x14ac:dyDescent="0.5">
      <c r="A367" s="81"/>
      <c r="B367" s="81"/>
      <c r="C367" s="81"/>
      <c r="D367" s="81"/>
      <c r="E367" s="81"/>
      <c r="F367" s="81"/>
      <c r="G367" s="82"/>
      <c r="H367" s="81"/>
      <c r="I367" s="81"/>
      <c r="J367" s="105"/>
      <c r="K367" s="81"/>
      <c r="L367" s="81"/>
      <c r="M367" s="105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 ht="24" customHeight="1" x14ac:dyDescent="0.5">
      <c r="A368" s="81"/>
      <c r="B368" s="81"/>
      <c r="C368" s="81"/>
      <c r="D368" s="81"/>
      <c r="E368" s="81"/>
      <c r="F368" s="81"/>
      <c r="G368" s="82"/>
      <c r="H368" s="81"/>
      <c r="I368" s="81"/>
      <c r="J368" s="105"/>
      <c r="K368" s="81"/>
      <c r="L368" s="81"/>
      <c r="M368" s="105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 ht="24" customHeight="1" x14ac:dyDescent="0.5">
      <c r="A369" s="81"/>
      <c r="B369" s="81"/>
      <c r="C369" s="81"/>
      <c r="D369" s="81"/>
      <c r="E369" s="81"/>
      <c r="F369" s="81"/>
      <c r="G369" s="82"/>
      <c r="H369" s="81"/>
      <c r="I369" s="81"/>
      <c r="J369" s="105"/>
      <c r="K369" s="81"/>
      <c r="L369" s="81"/>
      <c r="M369" s="105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 ht="24" customHeight="1" x14ac:dyDescent="0.5">
      <c r="A370" s="81"/>
      <c r="B370" s="81"/>
      <c r="C370" s="81"/>
      <c r="D370" s="81"/>
      <c r="E370" s="81"/>
      <c r="F370" s="81"/>
      <c r="G370" s="82"/>
      <c r="H370" s="81"/>
      <c r="I370" s="81"/>
      <c r="J370" s="105"/>
      <c r="K370" s="81"/>
      <c r="L370" s="81"/>
      <c r="M370" s="105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 ht="24" customHeight="1" x14ac:dyDescent="0.5">
      <c r="A371" s="81"/>
      <c r="B371" s="81"/>
      <c r="C371" s="81"/>
      <c r="D371" s="81"/>
      <c r="E371" s="81"/>
      <c r="F371" s="81"/>
      <c r="G371" s="82"/>
      <c r="H371" s="81"/>
      <c r="I371" s="81"/>
      <c r="J371" s="105"/>
      <c r="K371" s="81"/>
      <c r="L371" s="81"/>
      <c r="M371" s="105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 ht="24" customHeight="1" x14ac:dyDescent="0.5">
      <c r="A372" s="81"/>
      <c r="B372" s="81"/>
      <c r="C372" s="81"/>
      <c r="D372" s="81"/>
      <c r="E372" s="81"/>
      <c r="F372" s="81"/>
      <c r="G372" s="82"/>
      <c r="H372" s="81"/>
      <c r="I372" s="81"/>
      <c r="J372" s="105"/>
      <c r="K372" s="81"/>
      <c r="L372" s="81"/>
      <c r="M372" s="105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 ht="24" customHeight="1" x14ac:dyDescent="0.5">
      <c r="A373" s="81"/>
      <c r="B373" s="81"/>
      <c r="C373" s="81"/>
      <c r="D373" s="81"/>
      <c r="E373" s="81"/>
      <c r="F373" s="81"/>
      <c r="G373" s="82"/>
      <c r="H373" s="81"/>
      <c r="I373" s="81"/>
      <c r="J373" s="105"/>
      <c r="K373" s="81"/>
      <c r="L373" s="81"/>
      <c r="M373" s="105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 ht="24" customHeight="1" x14ac:dyDescent="0.5">
      <c r="A374" s="81"/>
      <c r="B374" s="81"/>
      <c r="C374" s="81"/>
      <c r="D374" s="81"/>
      <c r="E374" s="81"/>
      <c r="F374" s="81"/>
      <c r="G374" s="82"/>
      <c r="H374" s="81"/>
      <c r="I374" s="81"/>
      <c r="J374" s="105"/>
      <c r="K374" s="81"/>
      <c r="L374" s="81"/>
      <c r="M374" s="105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 ht="24" customHeight="1" x14ac:dyDescent="0.5">
      <c r="A375" s="81"/>
      <c r="B375" s="81"/>
      <c r="C375" s="81"/>
      <c r="D375" s="81"/>
      <c r="E375" s="81"/>
      <c r="F375" s="81"/>
      <c r="G375" s="82"/>
      <c r="H375" s="81"/>
      <c r="I375" s="81"/>
      <c r="J375" s="105"/>
      <c r="K375" s="81"/>
      <c r="L375" s="81"/>
      <c r="M375" s="105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 ht="24" customHeight="1" x14ac:dyDescent="0.5">
      <c r="A376" s="81"/>
      <c r="B376" s="81"/>
      <c r="C376" s="81"/>
      <c r="D376" s="81"/>
      <c r="E376" s="81"/>
      <c r="F376" s="81"/>
      <c r="G376" s="82"/>
      <c r="H376" s="81"/>
      <c r="I376" s="81"/>
      <c r="J376" s="105"/>
      <c r="K376" s="81"/>
      <c r="L376" s="81"/>
      <c r="M376" s="105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 ht="24" customHeight="1" x14ac:dyDescent="0.5">
      <c r="A377" s="81"/>
      <c r="B377" s="81"/>
      <c r="C377" s="81"/>
      <c r="D377" s="81"/>
      <c r="E377" s="81"/>
      <c r="F377" s="81"/>
      <c r="G377" s="82"/>
      <c r="H377" s="81"/>
      <c r="I377" s="81"/>
      <c r="J377" s="105"/>
      <c r="K377" s="81"/>
      <c r="L377" s="81"/>
      <c r="M377" s="105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 ht="24" customHeight="1" x14ac:dyDescent="0.5">
      <c r="A378" s="81"/>
      <c r="B378" s="81"/>
      <c r="C378" s="81"/>
      <c r="D378" s="81"/>
      <c r="E378" s="81"/>
      <c r="F378" s="81"/>
      <c r="G378" s="82"/>
      <c r="H378" s="81"/>
      <c r="I378" s="81"/>
      <c r="J378" s="105"/>
      <c r="K378" s="81"/>
      <c r="L378" s="81"/>
      <c r="M378" s="105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 ht="24" customHeight="1" x14ac:dyDescent="0.5">
      <c r="A379" s="81"/>
      <c r="B379" s="81"/>
      <c r="C379" s="81"/>
      <c r="D379" s="81"/>
      <c r="E379" s="81"/>
      <c r="F379" s="81"/>
      <c r="G379" s="82"/>
      <c r="H379" s="81"/>
      <c r="I379" s="81"/>
      <c r="J379" s="105"/>
      <c r="K379" s="81"/>
      <c r="L379" s="81"/>
      <c r="M379" s="105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 ht="24" customHeight="1" x14ac:dyDescent="0.5">
      <c r="A380" s="81"/>
      <c r="B380" s="81"/>
      <c r="C380" s="81"/>
      <c r="D380" s="81"/>
      <c r="E380" s="81"/>
      <c r="F380" s="81"/>
      <c r="G380" s="82"/>
      <c r="H380" s="81"/>
      <c r="I380" s="81"/>
      <c r="J380" s="105"/>
      <c r="K380" s="81"/>
      <c r="L380" s="81"/>
      <c r="M380" s="105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 ht="24" customHeight="1" x14ac:dyDescent="0.5">
      <c r="A381" s="81"/>
      <c r="B381" s="81"/>
      <c r="C381" s="81"/>
      <c r="D381" s="81"/>
      <c r="E381" s="81"/>
      <c r="F381" s="81"/>
      <c r="G381" s="82"/>
      <c r="H381" s="81"/>
      <c r="I381" s="81"/>
      <c r="J381" s="105"/>
      <c r="K381" s="81"/>
      <c r="L381" s="81"/>
      <c r="M381" s="105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 ht="24" customHeight="1" x14ac:dyDescent="0.5">
      <c r="A382" s="81"/>
      <c r="B382" s="81"/>
      <c r="C382" s="81"/>
      <c r="D382" s="81"/>
      <c r="E382" s="81"/>
      <c r="F382" s="81"/>
      <c r="G382" s="82"/>
      <c r="H382" s="81"/>
      <c r="I382" s="81"/>
      <c r="J382" s="105"/>
      <c r="K382" s="81"/>
      <c r="L382" s="81"/>
      <c r="M382" s="105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 ht="24" customHeight="1" x14ac:dyDescent="0.5">
      <c r="A383" s="81"/>
      <c r="B383" s="81"/>
      <c r="C383" s="81"/>
      <c r="D383" s="81"/>
      <c r="E383" s="81"/>
      <c r="F383" s="81"/>
      <c r="G383" s="82"/>
      <c r="H383" s="81"/>
      <c r="I383" s="81"/>
      <c r="J383" s="105"/>
      <c r="K383" s="81"/>
      <c r="L383" s="81"/>
      <c r="M383" s="105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 ht="24" customHeight="1" x14ac:dyDescent="0.5">
      <c r="A384" s="81"/>
      <c r="B384" s="81"/>
      <c r="C384" s="81"/>
      <c r="D384" s="81"/>
      <c r="E384" s="81"/>
      <c r="F384" s="81"/>
      <c r="G384" s="82"/>
      <c r="H384" s="81"/>
      <c r="I384" s="81"/>
      <c r="J384" s="105"/>
      <c r="K384" s="81"/>
      <c r="L384" s="81"/>
      <c r="M384" s="105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 ht="24" customHeight="1" x14ac:dyDescent="0.5">
      <c r="A385" s="81"/>
      <c r="B385" s="81"/>
      <c r="C385" s="81"/>
      <c r="D385" s="81"/>
      <c r="E385" s="81"/>
      <c r="F385" s="81"/>
      <c r="G385" s="82"/>
      <c r="H385" s="81"/>
      <c r="I385" s="81"/>
      <c r="J385" s="105"/>
      <c r="K385" s="81"/>
      <c r="L385" s="81"/>
      <c r="M385" s="105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 ht="24" customHeight="1" x14ac:dyDescent="0.5">
      <c r="A386" s="81"/>
      <c r="B386" s="81"/>
      <c r="C386" s="81"/>
      <c r="D386" s="81"/>
      <c r="E386" s="81"/>
      <c r="F386" s="81"/>
      <c r="G386" s="82"/>
      <c r="H386" s="81"/>
      <c r="I386" s="81"/>
      <c r="J386" s="105"/>
      <c r="K386" s="81"/>
      <c r="L386" s="81"/>
      <c r="M386" s="105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 ht="24" customHeight="1" x14ac:dyDescent="0.5">
      <c r="A387" s="81"/>
      <c r="B387" s="81"/>
      <c r="C387" s="81"/>
      <c r="D387" s="81"/>
      <c r="E387" s="81"/>
      <c r="F387" s="81"/>
      <c r="G387" s="82"/>
      <c r="H387" s="81"/>
      <c r="I387" s="81"/>
      <c r="J387" s="105"/>
      <c r="K387" s="81"/>
      <c r="L387" s="81"/>
      <c r="M387" s="105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 ht="24" customHeight="1" x14ac:dyDescent="0.5">
      <c r="A388" s="81"/>
      <c r="B388" s="81"/>
      <c r="C388" s="81"/>
      <c r="D388" s="81"/>
      <c r="E388" s="81"/>
      <c r="F388" s="81"/>
      <c r="G388" s="82"/>
      <c r="H388" s="81"/>
      <c r="I388" s="81"/>
      <c r="J388" s="105"/>
      <c r="K388" s="81"/>
      <c r="L388" s="81"/>
      <c r="M388" s="105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 ht="24" customHeight="1" x14ac:dyDescent="0.5">
      <c r="A389" s="81"/>
      <c r="B389" s="81"/>
      <c r="C389" s="81"/>
      <c r="D389" s="81"/>
      <c r="E389" s="81"/>
      <c r="F389" s="81"/>
      <c r="G389" s="82"/>
      <c r="H389" s="81"/>
      <c r="I389" s="81"/>
      <c r="J389" s="105"/>
      <c r="K389" s="81"/>
      <c r="L389" s="81"/>
      <c r="M389" s="105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 ht="24" customHeight="1" x14ac:dyDescent="0.5">
      <c r="A390" s="81"/>
      <c r="B390" s="81"/>
      <c r="C390" s="81"/>
      <c r="D390" s="81"/>
      <c r="E390" s="81"/>
      <c r="F390" s="81"/>
      <c r="G390" s="82"/>
      <c r="H390" s="81"/>
      <c r="I390" s="81"/>
      <c r="J390" s="105"/>
      <c r="K390" s="81"/>
      <c r="L390" s="81"/>
      <c r="M390" s="105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ht="24" customHeight="1" x14ac:dyDescent="0.5">
      <c r="A391" s="81"/>
      <c r="B391" s="81"/>
      <c r="C391" s="81"/>
      <c r="D391" s="81"/>
      <c r="E391" s="81"/>
      <c r="F391" s="81"/>
      <c r="G391" s="82"/>
      <c r="H391" s="81"/>
      <c r="I391" s="81"/>
      <c r="J391" s="105"/>
      <c r="K391" s="81"/>
      <c r="L391" s="81"/>
      <c r="M391" s="105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 ht="24" customHeight="1" x14ac:dyDescent="0.5">
      <c r="A392" s="81"/>
      <c r="B392" s="81"/>
      <c r="C392" s="81"/>
      <c r="D392" s="81"/>
      <c r="E392" s="81"/>
      <c r="F392" s="81"/>
      <c r="G392" s="82"/>
      <c r="H392" s="81"/>
      <c r="I392" s="81"/>
      <c r="J392" s="105"/>
      <c r="K392" s="81"/>
      <c r="L392" s="81"/>
      <c r="M392" s="105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 ht="24" customHeight="1" x14ac:dyDescent="0.5">
      <c r="A393" s="81"/>
      <c r="B393" s="81"/>
      <c r="C393" s="81"/>
      <c r="D393" s="81"/>
      <c r="E393" s="81"/>
      <c r="F393" s="81"/>
      <c r="G393" s="82"/>
      <c r="H393" s="81"/>
      <c r="I393" s="81"/>
      <c r="J393" s="105"/>
      <c r="K393" s="81"/>
      <c r="L393" s="81"/>
      <c r="M393" s="105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 ht="24" customHeight="1" x14ac:dyDescent="0.5">
      <c r="A394" s="81"/>
      <c r="B394" s="81"/>
      <c r="C394" s="81"/>
      <c r="D394" s="81"/>
      <c r="E394" s="81"/>
      <c r="F394" s="81"/>
      <c r="G394" s="82"/>
      <c r="H394" s="81"/>
      <c r="I394" s="81"/>
      <c r="J394" s="105"/>
      <c r="K394" s="81"/>
      <c r="L394" s="81"/>
      <c r="M394" s="105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 ht="24" customHeight="1" x14ac:dyDescent="0.5">
      <c r="A395" s="81"/>
      <c r="B395" s="81"/>
      <c r="C395" s="81"/>
      <c r="D395" s="81"/>
      <c r="E395" s="81"/>
      <c r="F395" s="81"/>
      <c r="G395" s="82"/>
      <c r="H395" s="81"/>
      <c r="I395" s="81"/>
      <c r="J395" s="105"/>
      <c r="K395" s="81"/>
      <c r="L395" s="81"/>
      <c r="M395" s="105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 ht="24" customHeight="1" x14ac:dyDescent="0.5">
      <c r="A396" s="81"/>
      <c r="B396" s="81"/>
      <c r="C396" s="81"/>
      <c r="D396" s="81"/>
      <c r="E396" s="81"/>
      <c r="F396" s="81"/>
      <c r="G396" s="82"/>
      <c r="H396" s="81"/>
      <c r="I396" s="81"/>
      <c r="J396" s="105"/>
      <c r="K396" s="81"/>
      <c r="L396" s="81"/>
      <c r="M396" s="105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 ht="24" customHeight="1" x14ac:dyDescent="0.5">
      <c r="A397" s="81"/>
      <c r="B397" s="81"/>
      <c r="C397" s="81"/>
      <c r="D397" s="81"/>
      <c r="E397" s="81"/>
      <c r="F397" s="81"/>
      <c r="G397" s="82"/>
      <c r="H397" s="81"/>
      <c r="I397" s="81"/>
      <c r="J397" s="105"/>
      <c r="K397" s="81"/>
      <c r="L397" s="81"/>
      <c r="M397" s="105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 ht="24" customHeight="1" x14ac:dyDescent="0.5">
      <c r="A398" s="81"/>
      <c r="B398" s="81"/>
      <c r="C398" s="81"/>
      <c r="D398" s="81"/>
      <c r="E398" s="81"/>
      <c r="F398" s="81"/>
      <c r="G398" s="82"/>
      <c r="H398" s="81"/>
      <c r="I398" s="81"/>
      <c r="J398" s="105"/>
      <c r="K398" s="81"/>
      <c r="L398" s="81"/>
      <c r="M398" s="105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 ht="24" customHeight="1" x14ac:dyDescent="0.5">
      <c r="A399" s="81"/>
      <c r="B399" s="81"/>
      <c r="C399" s="81"/>
      <c r="D399" s="81"/>
      <c r="E399" s="81"/>
      <c r="F399" s="81"/>
      <c r="G399" s="82"/>
      <c r="H399" s="81"/>
      <c r="I399" s="81"/>
      <c r="J399" s="105"/>
      <c r="K399" s="81"/>
      <c r="L399" s="81"/>
      <c r="M399" s="105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 ht="24" customHeight="1" x14ac:dyDescent="0.5">
      <c r="A400" s="81"/>
      <c r="B400" s="81"/>
      <c r="C400" s="81"/>
      <c r="D400" s="81"/>
      <c r="E400" s="81"/>
      <c r="F400" s="81"/>
      <c r="G400" s="82"/>
      <c r="H400" s="81"/>
      <c r="I400" s="81"/>
      <c r="J400" s="105"/>
      <c r="K400" s="81"/>
      <c r="L400" s="81"/>
      <c r="M400" s="105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 ht="24" customHeight="1" x14ac:dyDescent="0.5">
      <c r="A401" s="81"/>
      <c r="B401" s="81"/>
      <c r="C401" s="81"/>
      <c r="D401" s="81"/>
      <c r="E401" s="81"/>
      <c r="F401" s="81"/>
      <c r="G401" s="82"/>
      <c r="H401" s="81"/>
      <c r="I401" s="81"/>
      <c r="J401" s="105"/>
      <c r="K401" s="81"/>
      <c r="L401" s="81"/>
      <c r="M401" s="105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 ht="24" customHeight="1" x14ac:dyDescent="0.5">
      <c r="A402" s="81"/>
      <c r="B402" s="81"/>
      <c r="C402" s="81"/>
      <c r="D402" s="81"/>
      <c r="E402" s="81"/>
      <c r="F402" s="81"/>
      <c r="G402" s="82"/>
      <c r="H402" s="81"/>
      <c r="I402" s="81"/>
      <c r="J402" s="105"/>
      <c r="K402" s="81"/>
      <c r="L402" s="81"/>
      <c r="M402" s="105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 ht="24" customHeight="1" x14ac:dyDescent="0.5">
      <c r="A403" s="81"/>
      <c r="B403" s="81"/>
      <c r="C403" s="81"/>
      <c r="D403" s="81"/>
      <c r="E403" s="81"/>
      <c r="F403" s="81"/>
      <c r="G403" s="82"/>
      <c r="H403" s="81"/>
      <c r="I403" s="81"/>
      <c r="J403" s="105"/>
      <c r="K403" s="81"/>
      <c r="L403" s="81"/>
      <c r="M403" s="105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 ht="24" customHeight="1" x14ac:dyDescent="0.5">
      <c r="A404" s="81"/>
      <c r="B404" s="81"/>
      <c r="C404" s="81"/>
      <c r="D404" s="81"/>
      <c r="E404" s="81"/>
      <c r="F404" s="81"/>
      <c r="G404" s="82"/>
      <c r="H404" s="81"/>
      <c r="I404" s="81"/>
      <c r="J404" s="105"/>
      <c r="K404" s="81"/>
      <c r="L404" s="81"/>
      <c r="M404" s="105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 ht="24" customHeight="1" x14ac:dyDescent="0.5">
      <c r="A405" s="81"/>
      <c r="B405" s="81"/>
      <c r="C405" s="81"/>
      <c r="D405" s="81"/>
      <c r="E405" s="81"/>
      <c r="F405" s="81"/>
      <c r="G405" s="82"/>
      <c r="H405" s="81"/>
      <c r="I405" s="81"/>
      <c r="J405" s="105"/>
      <c r="K405" s="81"/>
      <c r="L405" s="81"/>
      <c r="M405" s="105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 ht="24" customHeight="1" x14ac:dyDescent="0.5">
      <c r="A406" s="81"/>
      <c r="B406" s="81"/>
      <c r="C406" s="81"/>
      <c r="D406" s="81"/>
      <c r="E406" s="81"/>
      <c r="F406" s="81"/>
      <c r="G406" s="82"/>
      <c r="H406" s="81"/>
      <c r="I406" s="81"/>
      <c r="J406" s="105"/>
      <c r="K406" s="81"/>
      <c r="L406" s="81"/>
      <c r="M406" s="105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 ht="24" customHeight="1" x14ac:dyDescent="0.5">
      <c r="A407" s="81"/>
      <c r="B407" s="81"/>
      <c r="C407" s="81"/>
      <c r="D407" s="81"/>
      <c r="E407" s="81"/>
      <c r="F407" s="81"/>
      <c r="G407" s="82"/>
      <c r="H407" s="81"/>
      <c r="I407" s="81"/>
      <c r="J407" s="105"/>
      <c r="K407" s="81"/>
      <c r="L407" s="81"/>
      <c r="M407" s="105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 ht="24" customHeight="1" x14ac:dyDescent="0.5">
      <c r="A408" s="81"/>
      <c r="B408" s="81"/>
      <c r="C408" s="81"/>
      <c r="D408" s="81"/>
      <c r="E408" s="81"/>
      <c r="F408" s="81"/>
      <c r="G408" s="82"/>
      <c r="H408" s="81"/>
      <c r="I408" s="81"/>
      <c r="J408" s="105"/>
      <c r="K408" s="81"/>
      <c r="L408" s="81"/>
      <c r="M408" s="105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 ht="24" customHeight="1" x14ac:dyDescent="0.5">
      <c r="A409" s="81"/>
      <c r="B409" s="81"/>
      <c r="C409" s="81"/>
      <c r="D409" s="81"/>
      <c r="E409" s="81"/>
      <c r="F409" s="81"/>
      <c r="G409" s="82"/>
      <c r="H409" s="81"/>
      <c r="I409" s="81"/>
      <c r="J409" s="105"/>
      <c r="K409" s="81"/>
      <c r="L409" s="81"/>
      <c r="M409" s="105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 ht="24" customHeight="1" x14ac:dyDescent="0.5">
      <c r="A410" s="81"/>
      <c r="B410" s="81"/>
      <c r="C410" s="81"/>
      <c r="D410" s="81"/>
      <c r="E410" s="81"/>
      <c r="F410" s="81"/>
      <c r="G410" s="82"/>
      <c r="H410" s="81"/>
      <c r="I410" s="81"/>
      <c r="J410" s="105"/>
      <c r="K410" s="81"/>
      <c r="L410" s="81"/>
      <c r="M410" s="105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 ht="24" customHeight="1" x14ac:dyDescent="0.5">
      <c r="A411" s="81"/>
      <c r="B411" s="81"/>
      <c r="C411" s="81"/>
      <c r="D411" s="81"/>
      <c r="E411" s="81"/>
      <c r="F411" s="81"/>
      <c r="G411" s="82"/>
      <c r="H411" s="81"/>
      <c r="I411" s="81"/>
      <c r="J411" s="105"/>
      <c r="K411" s="81"/>
      <c r="L411" s="81"/>
      <c r="M411" s="105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 ht="24" customHeight="1" x14ac:dyDescent="0.5">
      <c r="A412" s="81"/>
      <c r="B412" s="81"/>
      <c r="C412" s="81"/>
      <c r="D412" s="81"/>
      <c r="E412" s="81"/>
      <c r="F412" s="81"/>
      <c r="G412" s="82"/>
      <c r="H412" s="81"/>
      <c r="I412" s="81"/>
      <c r="J412" s="105"/>
      <c r="K412" s="81"/>
      <c r="L412" s="81"/>
      <c r="M412" s="105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 ht="24" customHeight="1" x14ac:dyDescent="0.5">
      <c r="A413" s="81"/>
      <c r="B413" s="81"/>
      <c r="C413" s="81"/>
      <c r="D413" s="81"/>
      <c r="E413" s="81"/>
      <c r="F413" s="81"/>
      <c r="G413" s="82"/>
      <c r="H413" s="81"/>
      <c r="I413" s="81"/>
      <c r="J413" s="105"/>
      <c r="K413" s="81"/>
      <c r="L413" s="81"/>
      <c r="M413" s="105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 ht="24" customHeight="1" x14ac:dyDescent="0.5">
      <c r="A414" s="81"/>
      <c r="B414" s="81"/>
      <c r="C414" s="81"/>
      <c r="D414" s="81"/>
      <c r="E414" s="81"/>
      <c r="F414" s="81"/>
      <c r="G414" s="82"/>
      <c r="H414" s="81"/>
      <c r="I414" s="81"/>
      <c r="J414" s="105"/>
      <c r="K414" s="81"/>
      <c r="L414" s="81"/>
      <c r="M414" s="105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 ht="24" customHeight="1" x14ac:dyDescent="0.5">
      <c r="A415" s="81"/>
      <c r="B415" s="81"/>
      <c r="C415" s="81"/>
      <c r="D415" s="81"/>
      <c r="E415" s="81"/>
      <c r="F415" s="81"/>
      <c r="G415" s="82"/>
      <c r="H415" s="81"/>
      <c r="I415" s="81"/>
      <c r="J415" s="105"/>
      <c r="K415" s="81"/>
      <c r="L415" s="81"/>
      <c r="M415" s="105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 ht="24" customHeight="1" x14ac:dyDescent="0.5">
      <c r="A416" s="81"/>
      <c r="B416" s="81"/>
      <c r="C416" s="81"/>
      <c r="D416" s="81"/>
      <c r="E416" s="81"/>
      <c r="F416" s="81"/>
      <c r="G416" s="82"/>
      <c r="H416" s="81"/>
      <c r="I416" s="81"/>
      <c r="J416" s="105"/>
      <c r="K416" s="81"/>
      <c r="L416" s="81"/>
      <c r="M416" s="105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 ht="24" customHeight="1" x14ac:dyDescent="0.5">
      <c r="A417" s="81"/>
      <c r="B417" s="81"/>
      <c r="C417" s="81"/>
      <c r="D417" s="81"/>
      <c r="E417" s="81"/>
      <c r="F417" s="81"/>
      <c r="G417" s="82"/>
      <c r="H417" s="81"/>
      <c r="I417" s="81"/>
      <c r="J417" s="105"/>
      <c r="K417" s="81"/>
      <c r="L417" s="81"/>
      <c r="M417" s="105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 ht="24" customHeight="1" x14ac:dyDescent="0.5">
      <c r="A418" s="81"/>
      <c r="B418" s="81"/>
      <c r="C418" s="81"/>
      <c r="D418" s="81"/>
      <c r="E418" s="81"/>
      <c r="F418" s="81"/>
      <c r="G418" s="82"/>
      <c r="H418" s="81"/>
      <c r="I418" s="81"/>
      <c r="J418" s="105"/>
      <c r="K418" s="81"/>
      <c r="L418" s="81"/>
      <c r="M418" s="105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 ht="24" customHeight="1" x14ac:dyDescent="0.5">
      <c r="A419" s="81"/>
      <c r="B419" s="81"/>
      <c r="C419" s="81"/>
      <c r="D419" s="81"/>
      <c r="E419" s="81"/>
      <c r="F419" s="81"/>
      <c r="G419" s="82"/>
      <c r="H419" s="81"/>
      <c r="I419" s="81"/>
      <c r="J419" s="105"/>
      <c r="K419" s="81"/>
      <c r="L419" s="81"/>
      <c r="M419" s="105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 ht="24" customHeight="1" x14ac:dyDescent="0.5">
      <c r="A420" s="81"/>
      <c r="B420" s="81"/>
      <c r="C420" s="81"/>
      <c r="D420" s="81"/>
      <c r="E420" s="81"/>
      <c r="F420" s="81"/>
      <c r="G420" s="82"/>
      <c r="H420" s="81"/>
      <c r="I420" s="81"/>
      <c r="J420" s="105"/>
      <c r="K420" s="81"/>
      <c r="L420" s="81"/>
      <c r="M420" s="105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 ht="24" customHeight="1" x14ac:dyDescent="0.5">
      <c r="A421" s="81"/>
      <c r="B421" s="81"/>
      <c r="C421" s="81"/>
      <c r="D421" s="81"/>
      <c r="E421" s="81"/>
      <c r="F421" s="81"/>
      <c r="G421" s="82"/>
      <c r="H421" s="81"/>
      <c r="I421" s="81"/>
      <c r="J421" s="105"/>
      <c r="K421" s="81"/>
      <c r="L421" s="81"/>
      <c r="M421" s="105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 ht="24" customHeight="1" x14ac:dyDescent="0.5">
      <c r="A422" s="81"/>
      <c r="B422" s="81"/>
      <c r="C422" s="81"/>
      <c r="D422" s="81"/>
      <c r="E422" s="81"/>
      <c r="F422" s="81"/>
      <c r="G422" s="82"/>
      <c r="H422" s="81"/>
      <c r="I422" s="81"/>
      <c r="J422" s="105"/>
      <c r="K422" s="81"/>
      <c r="L422" s="81"/>
      <c r="M422" s="105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 ht="24" customHeight="1" x14ac:dyDescent="0.5">
      <c r="A423" s="81"/>
      <c r="B423" s="81"/>
      <c r="C423" s="81"/>
      <c r="D423" s="81"/>
      <c r="E423" s="81"/>
      <c r="F423" s="81"/>
      <c r="G423" s="82"/>
      <c r="H423" s="81"/>
      <c r="I423" s="81"/>
      <c r="J423" s="105"/>
      <c r="K423" s="81"/>
      <c r="L423" s="81"/>
      <c r="M423" s="105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 ht="24" customHeight="1" x14ac:dyDescent="0.5">
      <c r="A424" s="81"/>
      <c r="B424" s="81"/>
      <c r="C424" s="81"/>
      <c r="D424" s="81"/>
      <c r="E424" s="81"/>
      <c r="F424" s="81"/>
      <c r="G424" s="82"/>
      <c r="H424" s="81"/>
      <c r="I424" s="81"/>
      <c r="J424" s="105"/>
      <c r="K424" s="81"/>
      <c r="L424" s="81"/>
      <c r="M424" s="105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 ht="24" customHeight="1" x14ac:dyDescent="0.5">
      <c r="A425" s="81"/>
      <c r="B425" s="81"/>
      <c r="C425" s="81"/>
      <c r="D425" s="81"/>
      <c r="E425" s="81"/>
      <c r="F425" s="81"/>
      <c r="G425" s="82"/>
      <c r="H425" s="81"/>
      <c r="I425" s="81"/>
      <c r="J425" s="105"/>
      <c r="K425" s="81"/>
      <c r="L425" s="81"/>
      <c r="M425" s="105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 ht="24" customHeight="1" x14ac:dyDescent="0.5">
      <c r="A426" s="81"/>
      <c r="B426" s="81"/>
      <c r="C426" s="81"/>
      <c r="D426" s="81"/>
      <c r="E426" s="81"/>
      <c r="F426" s="81"/>
      <c r="G426" s="82"/>
      <c r="H426" s="81"/>
      <c r="I426" s="81"/>
      <c r="J426" s="105"/>
      <c r="K426" s="81"/>
      <c r="L426" s="81"/>
      <c r="M426" s="105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 ht="24" customHeight="1" x14ac:dyDescent="0.5">
      <c r="A427" s="81"/>
      <c r="B427" s="81"/>
      <c r="C427" s="81"/>
      <c r="D427" s="81"/>
      <c r="E427" s="81"/>
      <c r="F427" s="81"/>
      <c r="G427" s="82"/>
      <c r="H427" s="81"/>
      <c r="I427" s="81"/>
      <c r="J427" s="105"/>
      <c r="K427" s="81"/>
      <c r="L427" s="81"/>
      <c r="M427" s="105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 ht="24" customHeight="1" x14ac:dyDescent="0.5">
      <c r="A428" s="81"/>
      <c r="B428" s="81"/>
      <c r="C428" s="81"/>
      <c r="D428" s="81"/>
      <c r="E428" s="81"/>
      <c r="F428" s="81"/>
      <c r="G428" s="82"/>
      <c r="H428" s="81"/>
      <c r="I428" s="81"/>
      <c r="J428" s="105"/>
      <c r="K428" s="81"/>
      <c r="L428" s="81"/>
      <c r="M428" s="105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 ht="24" customHeight="1" x14ac:dyDescent="0.5">
      <c r="A429" s="81"/>
      <c r="B429" s="81"/>
      <c r="C429" s="81"/>
      <c r="D429" s="81"/>
      <c r="E429" s="81"/>
      <c r="F429" s="81"/>
      <c r="G429" s="82"/>
      <c r="H429" s="81"/>
      <c r="I429" s="81"/>
      <c r="J429" s="105"/>
      <c r="K429" s="81"/>
      <c r="L429" s="81"/>
      <c r="M429" s="105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 ht="24" customHeight="1" x14ac:dyDescent="0.5">
      <c r="A430" s="81"/>
      <c r="B430" s="81"/>
      <c r="C430" s="81"/>
      <c r="D430" s="81"/>
      <c r="E430" s="81"/>
      <c r="F430" s="81"/>
      <c r="G430" s="82"/>
      <c r="H430" s="81"/>
      <c r="I430" s="81"/>
      <c r="J430" s="105"/>
      <c r="K430" s="81"/>
      <c r="L430" s="81"/>
      <c r="M430" s="105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 ht="24" customHeight="1" x14ac:dyDescent="0.5">
      <c r="A431" s="81"/>
      <c r="B431" s="81"/>
      <c r="C431" s="81"/>
      <c r="D431" s="81"/>
      <c r="E431" s="81"/>
      <c r="F431" s="81"/>
      <c r="G431" s="82"/>
      <c r="H431" s="81"/>
      <c r="I431" s="81"/>
      <c r="J431" s="105"/>
      <c r="K431" s="81"/>
      <c r="L431" s="81"/>
      <c r="M431" s="105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 ht="24" customHeight="1" x14ac:dyDescent="0.5">
      <c r="A432" s="81"/>
      <c r="B432" s="81"/>
      <c r="C432" s="81"/>
      <c r="D432" s="81"/>
      <c r="E432" s="81"/>
      <c r="F432" s="81"/>
      <c r="G432" s="82"/>
      <c r="H432" s="81"/>
      <c r="I432" s="81"/>
      <c r="J432" s="105"/>
      <c r="K432" s="81"/>
      <c r="L432" s="81"/>
      <c r="M432" s="105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 ht="24" customHeight="1" x14ac:dyDescent="0.5">
      <c r="A433" s="81"/>
      <c r="B433" s="81"/>
      <c r="C433" s="81"/>
      <c r="D433" s="81"/>
      <c r="E433" s="81"/>
      <c r="F433" s="81"/>
      <c r="G433" s="82"/>
      <c r="H433" s="81"/>
      <c r="I433" s="81"/>
      <c r="J433" s="105"/>
      <c r="K433" s="81"/>
      <c r="L433" s="81"/>
      <c r="M433" s="105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 ht="24" customHeight="1" x14ac:dyDescent="0.5">
      <c r="A434" s="81"/>
      <c r="B434" s="81"/>
      <c r="C434" s="81"/>
      <c r="D434" s="81"/>
      <c r="E434" s="81"/>
      <c r="F434" s="81"/>
      <c r="G434" s="82"/>
      <c r="H434" s="81"/>
      <c r="I434" s="81"/>
      <c r="J434" s="105"/>
      <c r="K434" s="81"/>
      <c r="L434" s="81"/>
      <c r="M434" s="105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 ht="24" customHeight="1" x14ac:dyDescent="0.5">
      <c r="A435" s="81"/>
      <c r="B435" s="81"/>
      <c r="C435" s="81"/>
      <c r="D435" s="81"/>
      <c r="E435" s="81"/>
      <c r="F435" s="81"/>
      <c r="G435" s="82"/>
      <c r="H435" s="81"/>
      <c r="I435" s="81"/>
      <c r="J435" s="105"/>
      <c r="K435" s="81"/>
      <c r="L435" s="81"/>
      <c r="M435" s="105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 ht="24" customHeight="1" x14ac:dyDescent="0.5">
      <c r="A436" s="81"/>
      <c r="B436" s="81"/>
      <c r="C436" s="81"/>
      <c r="D436" s="81"/>
      <c r="E436" s="81"/>
      <c r="F436" s="81"/>
      <c r="G436" s="82"/>
      <c r="H436" s="81"/>
      <c r="I436" s="81"/>
      <c r="J436" s="105"/>
      <c r="K436" s="81"/>
      <c r="L436" s="81"/>
      <c r="M436" s="105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 ht="24" customHeight="1" x14ac:dyDescent="0.5">
      <c r="A437" s="81"/>
      <c r="B437" s="81"/>
      <c r="C437" s="81"/>
      <c r="D437" s="81"/>
      <c r="E437" s="81"/>
      <c r="F437" s="81"/>
      <c r="G437" s="82"/>
      <c r="H437" s="81"/>
      <c r="I437" s="81"/>
      <c r="J437" s="105"/>
      <c r="K437" s="81"/>
      <c r="L437" s="81"/>
      <c r="M437" s="105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 ht="24" customHeight="1" x14ac:dyDescent="0.5">
      <c r="A438" s="81"/>
      <c r="B438" s="81"/>
      <c r="C438" s="81"/>
      <c r="D438" s="81"/>
      <c r="E438" s="81"/>
      <c r="F438" s="81"/>
      <c r="G438" s="82"/>
      <c r="H438" s="81"/>
      <c r="I438" s="81"/>
      <c r="J438" s="105"/>
      <c r="K438" s="81"/>
      <c r="L438" s="81"/>
      <c r="M438" s="105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 ht="24" customHeight="1" x14ac:dyDescent="0.5">
      <c r="A439" s="81"/>
      <c r="B439" s="81"/>
      <c r="C439" s="81"/>
      <c r="D439" s="81"/>
      <c r="E439" s="81"/>
      <c r="F439" s="81"/>
      <c r="G439" s="82"/>
      <c r="H439" s="81"/>
      <c r="I439" s="81"/>
      <c r="J439" s="105"/>
      <c r="K439" s="81"/>
      <c r="L439" s="81"/>
      <c r="M439" s="105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 ht="24" customHeight="1" x14ac:dyDescent="0.5">
      <c r="A440" s="81"/>
      <c r="B440" s="81"/>
      <c r="C440" s="81"/>
      <c r="D440" s="81"/>
      <c r="E440" s="81"/>
      <c r="F440" s="81"/>
      <c r="G440" s="82"/>
      <c r="H440" s="81"/>
      <c r="I440" s="81"/>
      <c r="J440" s="105"/>
      <c r="K440" s="81"/>
      <c r="L440" s="81"/>
      <c r="M440" s="105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 ht="24" customHeight="1" x14ac:dyDescent="0.5">
      <c r="A441" s="81"/>
      <c r="B441" s="81"/>
      <c r="C441" s="81"/>
      <c r="D441" s="81"/>
      <c r="E441" s="81"/>
      <c r="F441" s="81"/>
      <c r="G441" s="82"/>
      <c r="H441" s="81"/>
      <c r="I441" s="81"/>
      <c r="J441" s="105"/>
      <c r="K441" s="81"/>
      <c r="L441" s="81"/>
      <c r="M441" s="105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 ht="24" customHeight="1" x14ac:dyDescent="0.5">
      <c r="A442" s="81"/>
      <c r="B442" s="81"/>
      <c r="C442" s="81"/>
      <c r="D442" s="81"/>
      <c r="E442" s="81"/>
      <c r="F442" s="81"/>
      <c r="G442" s="82"/>
      <c r="H442" s="81"/>
      <c r="I442" s="81"/>
      <c r="J442" s="105"/>
      <c r="K442" s="81"/>
      <c r="L442" s="81"/>
      <c r="M442" s="105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 ht="24" customHeight="1" x14ac:dyDescent="0.5">
      <c r="A443" s="81"/>
      <c r="B443" s="81"/>
      <c r="C443" s="81"/>
      <c r="D443" s="81"/>
      <c r="E443" s="81"/>
      <c r="F443" s="81"/>
      <c r="G443" s="82"/>
      <c r="H443" s="81"/>
      <c r="I443" s="81"/>
      <c r="J443" s="105"/>
      <c r="K443" s="81"/>
      <c r="L443" s="81"/>
      <c r="M443" s="105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 ht="24" customHeight="1" x14ac:dyDescent="0.5">
      <c r="A444" s="81"/>
      <c r="B444" s="81"/>
      <c r="C444" s="81"/>
      <c r="D444" s="81"/>
      <c r="E444" s="81"/>
      <c r="F444" s="81"/>
      <c r="G444" s="82"/>
      <c r="H444" s="81"/>
      <c r="I444" s="81"/>
      <c r="J444" s="105"/>
      <c r="K444" s="81"/>
      <c r="L444" s="81"/>
      <c r="M444" s="105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 ht="24" customHeight="1" x14ac:dyDescent="0.5">
      <c r="A445" s="81"/>
      <c r="B445" s="81"/>
      <c r="C445" s="81"/>
      <c r="D445" s="81"/>
      <c r="E445" s="81"/>
      <c r="F445" s="81"/>
      <c r="G445" s="82"/>
      <c r="H445" s="81"/>
      <c r="I445" s="81"/>
      <c r="J445" s="105"/>
      <c r="K445" s="81"/>
      <c r="L445" s="81"/>
      <c r="M445" s="105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 ht="24" customHeight="1" x14ac:dyDescent="0.5">
      <c r="A446" s="81"/>
      <c r="B446" s="81"/>
      <c r="C446" s="81"/>
      <c r="D446" s="81"/>
      <c r="E446" s="81"/>
      <c r="F446" s="81"/>
      <c r="G446" s="82"/>
      <c r="H446" s="81"/>
      <c r="I446" s="81"/>
      <c r="J446" s="105"/>
      <c r="K446" s="81"/>
      <c r="L446" s="81"/>
      <c r="M446" s="105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 ht="24" customHeight="1" x14ac:dyDescent="0.5">
      <c r="A447" s="81"/>
      <c r="B447" s="81"/>
      <c r="C447" s="81"/>
      <c r="D447" s="81"/>
      <c r="E447" s="81"/>
      <c r="F447" s="81"/>
      <c r="G447" s="82"/>
      <c r="H447" s="81"/>
      <c r="I447" s="81"/>
      <c r="J447" s="105"/>
      <c r="K447" s="81"/>
      <c r="L447" s="81"/>
      <c r="M447" s="105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 ht="24" customHeight="1" x14ac:dyDescent="0.5">
      <c r="A448" s="81"/>
      <c r="B448" s="81"/>
      <c r="C448" s="81"/>
      <c r="D448" s="81"/>
      <c r="E448" s="81"/>
      <c r="F448" s="81"/>
      <c r="G448" s="82"/>
      <c r="H448" s="81"/>
      <c r="I448" s="81"/>
      <c r="J448" s="105"/>
      <c r="K448" s="81"/>
      <c r="L448" s="81"/>
      <c r="M448" s="105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 ht="24" customHeight="1" x14ac:dyDescent="0.5">
      <c r="A449" s="81"/>
      <c r="B449" s="81"/>
      <c r="C449" s="81"/>
      <c r="D449" s="81"/>
      <c r="E449" s="81"/>
      <c r="F449" s="81"/>
      <c r="G449" s="82"/>
      <c r="H449" s="81"/>
      <c r="I449" s="81"/>
      <c r="J449" s="105"/>
      <c r="K449" s="81"/>
      <c r="L449" s="81"/>
      <c r="M449" s="105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 ht="24" customHeight="1" x14ac:dyDescent="0.5">
      <c r="A450" s="81"/>
      <c r="B450" s="81"/>
      <c r="C450" s="81"/>
      <c r="D450" s="81"/>
      <c r="E450" s="81"/>
      <c r="F450" s="81"/>
      <c r="G450" s="82"/>
      <c r="H450" s="81"/>
      <c r="I450" s="81"/>
      <c r="J450" s="105"/>
      <c r="K450" s="81"/>
      <c r="L450" s="81"/>
      <c r="M450" s="105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 ht="24" customHeight="1" x14ac:dyDescent="0.5">
      <c r="A451" s="81"/>
      <c r="B451" s="81"/>
      <c r="C451" s="81"/>
      <c r="D451" s="81"/>
      <c r="E451" s="81"/>
      <c r="F451" s="81"/>
      <c r="G451" s="82"/>
      <c r="H451" s="81"/>
      <c r="I451" s="81"/>
      <c r="J451" s="105"/>
      <c r="K451" s="81"/>
      <c r="L451" s="81"/>
      <c r="M451" s="105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 ht="24" customHeight="1" x14ac:dyDescent="0.5">
      <c r="A452" s="81"/>
      <c r="B452" s="81"/>
      <c r="C452" s="81"/>
      <c r="D452" s="81"/>
      <c r="E452" s="81"/>
      <c r="F452" s="81"/>
      <c r="G452" s="82"/>
      <c r="H452" s="81"/>
      <c r="I452" s="81"/>
      <c r="J452" s="105"/>
      <c r="K452" s="81"/>
      <c r="L452" s="81"/>
      <c r="M452" s="105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 ht="24" customHeight="1" x14ac:dyDescent="0.5">
      <c r="A453" s="81"/>
      <c r="B453" s="81"/>
      <c r="C453" s="81"/>
      <c r="D453" s="81"/>
      <c r="E453" s="81"/>
      <c r="F453" s="81"/>
      <c r="G453" s="82"/>
      <c r="H453" s="81"/>
      <c r="I453" s="81"/>
      <c r="J453" s="105"/>
      <c r="K453" s="81"/>
      <c r="L453" s="81"/>
      <c r="M453" s="105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 ht="24" customHeight="1" x14ac:dyDescent="0.5">
      <c r="A454" s="81"/>
      <c r="B454" s="81"/>
      <c r="C454" s="81"/>
      <c r="D454" s="81"/>
      <c r="E454" s="81"/>
      <c r="F454" s="81"/>
      <c r="G454" s="82"/>
      <c r="H454" s="81"/>
      <c r="I454" s="81"/>
      <c r="J454" s="105"/>
      <c r="K454" s="81"/>
      <c r="L454" s="81"/>
      <c r="M454" s="105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 ht="24" customHeight="1" x14ac:dyDescent="0.5">
      <c r="A455" s="81"/>
      <c r="B455" s="81"/>
      <c r="C455" s="81"/>
      <c r="D455" s="81"/>
      <c r="E455" s="81"/>
      <c r="F455" s="81"/>
      <c r="G455" s="82"/>
      <c r="H455" s="81"/>
      <c r="I455" s="81"/>
      <c r="J455" s="105"/>
      <c r="K455" s="81"/>
      <c r="L455" s="81"/>
      <c r="M455" s="105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 ht="24" customHeight="1" x14ac:dyDescent="0.5">
      <c r="A456" s="81"/>
      <c r="B456" s="81"/>
      <c r="C456" s="81"/>
      <c r="D456" s="81"/>
      <c r="E456" s="81"/>
      <c r="F456" s="81"/>
      <c r="G456" s="82"/>
      <c r="H456" s="81"/>
      <c r="I456" s="81"/>
      <c r="J456" s="105"/>
      <c r="K456" s="81"/>
      <c r="L456" s="81"/>
      <c r="M456" s="105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 ht="24" customHeight="1" x14ac:dyDescent="0.5">
      <c r="A457" s="81"/>
      <c r="B457" s="81"/>
      <c r="C457" s="81"/>
      <c r="D457" s="81"/>
      <c r="E457" s="81"/>
      <c r="F457" s="81"/>
      <c r="G457" s="82"/>
      <c r="H457" s="81"/>
      <c r="I457" s="81"/>
      <c r="J457" s="105"/>
      <c r="K457" s="81"/>
      <c r="L457" s="81"/>
      <c r="M457" s="105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 ht="24" customHeight="1" x14ac:dyDescent="0.5">
      <c r="A458" s="81"/>
      <c r="B458" s="81"/>
      <c r="C458" s="81"/>
      <c r="D458" s="81"/>
      <c r="E458" s="81"/>
      <c r="F458" s="81"/>
      <c r="G458" s="82"/>
      <c r="H458" s="81"/>
      <c r="I458" s="81"/>
      <c r="J458" s="105"/>
      <c r="K458" s="81"/>
      <c r="L458" s="81"/>
      <c r="M458" s="105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 ht="24" customHeight="1" x14ac:dyDescent="0.5">
      <c r="A459" s="81"/>
      <c r="B459" s="81"/>
      <c r="C459" s="81"/>
      <c r="D459" s="81"/>
      <c r="E459" s="81"/>
      <c r="F459" s="81"/>
      <c r="G459" s="82"/>
      <c r="H459" s="81"/>
      <c r="I459" s="81"/>
      <c r="J459" s="105"/>
      <c r="K459" s="81"/>
      <c r="L459" s="81"/>
      <c r="M459" s="105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 ht="24" customHeight="1" x14ac:dyDescent="0.5">
      <c r="A460" s="81"/>
      <c r="B460" s="81"/>
      <c r="C460" s="81"/>
      <c r="D460" s="81"/>
      <c r="E460" s="81"/>
      <c r="F460" s="81"/>
      <c r="G460" s="82"/>
      <c r="H460" s="81"/>
      <c r="I460" s="81"/>
      <c r="J460" s="105"/>
      <c r="K460" s="81"/>
      <c r="L460" s="81"/>
      <c r="M460" s="105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 ht="24" customHeight="1" x14ac:dyDescent="0.5">
      <c r="A461" s="81"/>
      <c r="B461" s="81"/>
      <c r="C461" s="81"/>
      <c r="D461" s="81"/>
      <c r="E461" s="81"/>
      <c r="F461" s="81"/>
      <c r="G461" s="82"/>
      <c r="H461" s="81"/>
      <c r="I461" s="81"/>
      <c r="J461" s="105"/>
      <c r="K461" s="81"/>
      <c r="L461" s="81"/>
      <c r="M461" s="105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 ht="24" customHeight="1" x14ac:dyDescent="0.5">
      <c r="A462" s="81"/>
      <c r="B462" s="81"/>
      <c r="C462" s="81"/>
      <c r="D462" s="81"/>
      <c r="E462" s="81"/>
      <c r="F462" s="81"/>
      <c r="G462" s="82"/>
      <c r="H462" s="81"/>
      <c r="I462" s="81"/>
      <c r="J462" s="105"/>
      <c r="K462" s="81"/>
      <c r="L462" s="81"/>
      <c r="M462" s="105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 ht="24" customHeight="1" x14ac:dyDescent="0.5">
      <c r="A463" s="81"/>
      <c r="B463" s="81"/>
      <c r="C463" s="81"/>
      <c r="D463" s="81"/>
      <c r="E463" s="81"/>
      <c r="F463" s="81"/>
      <c r="G463" s="82"/>
      <c r="H463" s="81"/>
      <c r="I463" s="81"/>
      <c r="J463" s="105"/>
      <c r="K463" s="81"/>
      <c r="L463" s="81"/>
      <c r="M463" s="105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 ht="24" customHeight="1" x14ac:dyDescent="0.5">
      <c r="A464" s="81"/>
      <c r="B464" s="81"/>
      <c r="C464" s="81"/>
      <c r="D464" s="81"/>
      <c r="E464" s="81"/>
      <c r="F464" s="81"/>
      <c r="G464" s="82"/>
      <c r="H464" s="81"/>
      <c r="I464" s="81"/>
      <c r="J464" s="105"/>
      <c r="K464" s="81"/>
      <c r="L464" s="81"/>
      <c r="M464" s="105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 ht="24" customHeight="1" x14ac:dyDescent="0.5">
      <c r="A465" s="81"/>
      <c r="B465" s="81"/>
      <c r="C465" s="81"/>
      <c r="D465" s="81"/>
      <c r="E465" s="81"/>
      <c r="F465" s="81"/>
      <c r="G465" s="82"/>
      <c r="H465" s="81"/>
      <c r="I465" s="81"/>
      <c r="J465" s="105"/>
      <c r="K465" s="81"/>
      <c r="L465" s="81"/>
      <c r="M465" s="105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 ht="24" customHeight="1" x14ac:dyDescent="0.5">
      <c r="A466" s="81"/>
      <c r="B466" s="81"/>
      <c r="C466" s="81"/>
      <c r="D466" s="81"/>
      <c r="E466" s="81"/>
      <c r="F466" s="81"/>
      <c r="G466" s="82"/>
      <c r="H466" s="81"/>
      <c r="I466" s="81"/>
      <c r="J466" s="105"/>
      <c r="K466" s="81"/>
      <c r="L466" s="81"/>
      <c r="M466" s="105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 ht="24" customHeight="1" x14ac:dyDescent="0.5">
      <c r="A467" s="81"/>
      <c r="B467" s="81"/>
      <c r="C467" s="81"/>
      <c r="D467" s="81"/>
      <c r="E467" s="81"/>
      <c r="F467" s="81"/>
      <c r="G467" s="82"/>
      <c r="H467" s="81"/>
      <c r="I467" s="81"/>
      <c r="J467" s="105"/>
      <c r="K467" s="81"/>
      <c r="L467" s="81"/>
      <c r="M467" s="105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 ht="24" customHeight="1" x14ac:dyDescent="0.5">
      <c r="A468" s="81"/>
      <c r="B468" s="81"/>
      <c r="C468" s="81"/>
      <c r="D468" s="81"/>
      <c r="E468" s="81"/>
      <c r="F468" s="81"/>
      <c r="G468" s="82"/>
      <c r="H468" s="81"/>
      <c r="I468" s="81"/>
      <c r="J468" s="105"/>
      <c r="K468" s="81"/>
      <c r="L468" s="81"/>
      <c r="M468" s="105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 ht="24" customHeight="1" x14ac:dyDescent="0.5">
      <c r="A469" s="81"/>
      <c r="B469" s="81"/>
      <c r="C469" s="81"/>
      <c r="D469" s="81"/>
      <c r="E469" s="81"/>
      <c r="F469" s="81"/>
      <c r="G469" s="82"/>
      <c r="H469" s="81"/>
      <c r="I469" s="81"/>
      <c r="J469" s="105"/>
      <c r="K469" s="81"/>
      <c r="L469" s="81"/>
      <c r="M469" s="105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 ht="24" customHeight="1" x14ac:dyDescent="0.5">
      <c r="A470" s="81"/>
      <c r="B470" s="81"/>
      <c r="C470" s="81"/>
      <c r="D470" s="81"/>
      <c r="E470" s="81"/>
      <c r="F470" s="81"/>
      <c r="G470" s="82"/>
      <c r="H470" s="81"/>
      <c r="I470" s="81"/>
      <c r="J470" s="105"/>
      <c r="K470" s="81"/>
      <c r="L470" s="81"/>
      <c r="M470" s="105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 ht="24" customHeight="1" x14ac:dyDescent="0.5">
      <c r="A471" s="81"/>
      <c r="B471" s="81"/>
      <c r="C471" s="81"/>
      <c r="D471" s="81"/>
      <c r="E471" s="81"/>
      <c r="F471" s="81"/>
      <c r="G471" s="82"/>
      <c r="H471" s="81"/>
      <c r="I471" s="81"/>
      <c r="J471" s="105"/>
      <c r="K471" s="81"/>
      <c r="L471" s="81"/>
      <c r="M471" s="105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 ht="24" customHeight="1" x14ac:dyDescent="0.5">
      <c r="A472" s="81"/>
      <c r="B472" s="81"/>
      <c r="C472" s="81"/>
      <c r="D472" s="81"/>
      <c r="E472" s="81"/>
      <c r="F472" s="81"/>
      <c r="G472" s="82"/>
      <c r="H472" s="81"/>
      <c r="I472" s="81"/>
      <c r="J472" s="105"/>
      <c r="K472" s="81"/>
      <c r="L472" s="81"/>
      <c r="M472" s="105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 ht="24" customHeight="1" x14ac:dyDescent="0.5">
      <c r="A473" s="81"/>
      <c r="B473" s="81"/>
      <c r="C473" s="81"/>
      <c r="D473" s="81"/>
      <c r="E473" s="81"/>
      <c r="F473" s="81"/>
      <c r="G473" s="82"/>
      <c r="H473" s="81"/>
      <c r="I473" s="81"/>
      <c r="J473" s="105"/>
      <c r="K473" s="81"/>
      <c r="L473" s="81"/>
      <c r="M473" s="105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 ht="24" customHeight="1" x14ac:dyDescent="0.5">
      <c r="A474" s="81"/>
      <c r="B474" s="81"/>
      <c r="C474" s="81"/>
      <c r="D474" s="81"/>
      <c r="E474" s="81"/>
      <c r="F474" s="81"/>
      <c r="G474" s="82"/>
      <c r="H474" s="81"/>
      <c r="I474" s="81"/>
      <c r="J474" s="105"/>
      <c r="K474" s="81"/>
      <c r="L474" s="81"/>
      <c r="M474" s="105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 ht="24" customHeight="1" x14ac:dyDescent="0.5">
      <c r="A475" s="81"/>
      <c r="B475" s="81"/>
      <c r="C475" s="81"/>
      <c r="D475" s="81"/>
      <c r="E475" s="81"/>
      <c r="F475" s="81"/>
      <c r="G475" s="82"/>
      <c r="H475" s="81"/>
      <c r="I475" s="81"/>
      <c r="J475" s="105"/>
      <c r="K475" s="81"/>
      <c r="L475" s="81"/>
      <c r="M475" s="105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 ht="24" customHeight="1" x14ac:dyDescent="0.5">
      <c r="A476" s="81"/>
      <c r="B476" s="81"/>
      <c r="C476" s="81"/>
      <c r="D476" s="81"/>
      <c r="E476" s="81"/>
      <c r="F476" s="81"/>
      <c r="G476" s="82"/>
      <c r="H476" s="81"/>
      <c r="I476" s="81"/>
      <c r="J476" s="105"/>
      <c r="K476" s="81"/>
      <c r="L476" s="81"/>
      <c r="M476" s="105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 ht="24" customHeight="1" x14ac:dyDescent="0.5">
      <c r="A477" s="81"/>
      <c r="B477" s="81"/>
      <c r="C477" s="81"/>
      <c r="D477" s="81"/>
      <c r="E477" s="81"/>
      <c r="F477" s="81"/>
      <c r="G477" s="82"/>
      <c r="H477" s="81"/>
      <c r="I477" s="81"/>
      <c r="J477" s="105"/>
      <c r="K477" s="81"/>
      <c r="L477" s="81"/>
      <c r="M477" s="105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 ht="24" customHeight="1" x14ac:dyDescent="0.5">
      <c r="A478" s="81"/>
      <c r="B478" s="81"/>
      <c r="C478" s="81"/>
      <c r="D478" s="81"/>
      <c r="E478" s="81"/>
      <c r="F478" s="81"/>
      <c r="G478" s="82"/>
      <c r="H478" s="81"/>
      <c r="I478" s="81"/>
      <c r="J478" s="105"/>
      <c r="K478" s="81"/>
      <c r="L478" s="81"/>
      <c r="M478" s="105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 ht="24" customHeight="1" x14ac:dyDescent="0.5">
      <c r="A479" s="81"/>
      <c r="B479" s="81"/>
      <c r="C479" s="81"/>
      <c r="D479" s="81"/>
      <c r="E479" s="81"/>
      <c r="F479" s="81"/>
      <c r="G479" s="82"/>
      <c r="H479" s="81"/>
      <c r="I479" s="81"/>
      <c r="J479" s="105"/>
      <c r="K479" s="81"/>
      <c r="L479" s="81"/>
      <c r="M479" s="105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 ht="24" customHeight="1" x14ac:dyDescent="0.5">
      <c r="A480" s="81"/>
      <c r="B480" s="81"/>
      <c r="C480" s="81"/>
      <c r="D480" s="81"/>
      <c r="E480" s="81"/>
      <c r="F480" s="81"/>
      <c r="G480" s="82"/>
      <c r="H480" s="81"/>
      <c r="I480" s="81"/>
      <c r="J480" s="105"/>
      <c r="K480" s="81"/>
      <c r="L480" s="81"/>
      <c r="M480" s="105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 ht="24" customHeight="1" x14ac:dyDescent="0.5">
      <c r="A481" s="81"/>
      <c r="B481" s="81"/>
      <c r="C481" s="81"/>
      <c r="D481" s="81"/>
      <c r="E481" s="81"/>
      <c r="F481" s="81"/>
      <c r="G481" s="82"/>
      <c r="H481" s="81"/>
      <c r="I481" s="81"/>
      <c r="J481" s="105"/>
      <c r="K481" s="81"/>
      <c r="L481" s="81"/>
      <c r="M481" s="105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 ht="24" customHeight="1" x14ac:dyDescent="0.5">
      <c r="A482" s="81"/>
      <c r="B482" s="81"/>
      <c r="C482" s="81"/>
      <c r="D482" s="81"/>
      <c r="E482" s="81"/>
      <c r="F482" s="81"/>
      <c r="G482" s="82"/>
      <c r="H482" s="81"/>
      <c r="I482" s="81"/>
      <c r="J482" s="105"/>
      <c r="K482" s="81"/>
      <c r="L482" s="81"/>
      <c r="M482" s="105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 ht="24" customHeight="1" x14ac:dyDescent="0.5">
      <c r="A483" s="81"/>
      <c r="B483" s="81"/>
      <c r="C483" s="81"/>
      <c r="D483" s="81"/>
      <c r="E483" s="81"/>
      <c r="F483" s="81"/>
      <c r="G483" s="82"/>
      <c r="H483" s="81"/>
      <c r="I483" s="81"/>
      <c r="J483" s="105"/>
      <c r="K483" s="81"/>
      <c r="L483" s="81"/>
      <c r="M483" s="105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 ht="24" customHeight="1" x14ac:dyDescent="0.5">
      <c r="A484" s="81"/>
      <c r="B484" s="81"/>
      <c r="C484" s="81"/>
      <c r="D484" s="81"/>
      <c r="E484" s="81"/>
      <c r="F484" s="81"/>
      <c r="G484" s="82"/>
      <c r="H484" s="81"/>
      <c r="I484" s="81"/>
      <c r="J484" s="105"/>
      <c r="K484" s="81"/>
      <c r="L484" s="81"/>
      <c r="M484" s="105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 ht="24" customHeight="1" x14ac:dyDescent="0.5">
      <c r="A485" s="81"/>
      <c r="B485" s="81"/>
      <c r="C485" s="81"/>
      <c r="D485" s="81"/>
      <c r="E485" s="81"/>
      <c r="F485" s="81"/>
      <c r="G485" s="82"/>
      <c r="H485" s="81"/>
      <c r="I485" s="81"/>
      <c r="J485" s="105"/>
      <c r="K485" s="81"/>
      <c r="L485" s="81"/>
      <c r="M485" s="105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 ht="24" customHeight="1" x14ac:dyDescent="0.5">
      <c r="A486" s="81"/>
      <c r="B486" s="81"/>
      <c r="C486" s="81"/>
      <c r="D486" s="81"/>
      <c r="E486" s="81"/>
      <c r="F486" s="81"/>
      <c r="G486" s="82"/>
      <c r="H486" s="81"/>
      <c r="I486" s="81"/>
      <c r="J486" s="105"/>
      <c r="K486" s="81"/>
      <c r="L486" s="81"/>
      <c r="M486" s="105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 ht="24" customHeight="1" x14ac:dyDescent="0.5">
      <c r="A487" s="81"/>
      <c r="B487" s="81"/>
      <c r="C487" s="81"/>
      <c r="D487" s="81"/>
      <c r="E487" s="81"/>
      <c r="F487" s="81"/>
      <c r="G487" s="82"/>
      <c r="H487" s="81"/>
      <c r="I487" s="81"/>
      <c r="J487" s="105"/>
      <c r="K487" s="81"/>
      <c r="L487" s="81"/>
      <c r="M487" s="105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 ht="24" customHeight="1" x14ac:dyDescent="0.5">
      <c r="A488" s="81"/>
      <c r="B488" s="81"/>
      <c r="C488" s="81"/>
      <c r="D488" s="81"/>
      <c r="E488" s="81"/>
      <c r="F488" s="81"/>
      <c r="G488" s="82"/>
      <c r="H488" s="81"/>
      <c r="I488" s="81"/>
      <c r="J488" s="105"/>
      <c r="K488" s="81"/>
      <c r="L488" s="81"/>
      <c r="M488" s="105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 ht="24" customHeight="1" x14ac:dyDescent="0.5">
      <c r="A489" s="81"/>
      <c r="B489" s="81"/>
      <c r="C489" s="81"/>
      <c r="D489" s="81"/>
      <c r="E489" s="81"/>
      <c r="F489" s="81"/>
      <c r="G489" s="82"/>
      <c r="H489" s="81"/>
      <c r="I489" s="81"/>
      <c r="J489" s="105"/>
      <c r="K489" s="81"/>
      <c r="L489" s="81"/>
      <c r="M489" s="105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 ht="24" customHeight="1" x14ac:dyDescent="0.5">
      <c r="A490" s="81"/>
      <c r="B490" s="81"/>
      <c r="C490" s="81"/>
      <c r="D490" s="81"/>
      <c r="E490" s="81"/>
      <c r="F490" s="81"/>
      <c r="G490" s="82"/>
      <c r="H490" s="81"/>
      <c r="I490" s="81"/>
      <c r="J490" s="105"/>
      <c r="K490" s="81"/>
      <c r="L490" s="81"/>
      <c r="M490" s="105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 ht="24" customHeight="1" x14ac:dyDescent="0.5">
      <c r="A491" s="81"/>
      <c r="B491" s="81"/>
      <c r="C491" s="81"/>
      <c r="D491" s="81"/>
      <c r="E491" s="81"/>
      <c r="F491" s="81"/>
      <c r="G491" s="82"/>
      <c r="H491" s="81"/>
      <c r="I491" s="81"/>
      <c r="J491" s="105"/>
      <c r="K491" s="81"/>
      <c r="L491" s="81"/>
      <c r="M491" s="105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 ht="24" customHeight="1" x14ac:dyDescent="0.5">
      <c r="A492" s="81"/>
      <c r="B492" s="81"/>
      <c r="C492" s="81"/>
      <c r="D492" s="81"/>
      <c r="E492" s="81"/>
      <c r="F492" s="81"/>
      <c r="G492" s="82"/>
      <c r="H492" s="81"/>
      <c r="I492" s="81"/>
      <c r="J492" s="105"/>
      <c r="K492" s="81"/>
      <c r="L492" s="81"/>
      <c r="M492" s="105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 ht="24" customHeight="1" x14ac:dyDescent="0.5">
      <c r="A493" s="81"/>
      <c r="B493" s="81"/>
      <c r="C493" s="81"/>
      <c r="D493" s="81"/>
      <c r="E493" s="81"/>
      <c r="F493" s="81"/>
      <c r="G493" s="82"/>
      <c r="H493" s="81"/>
      <c r="I493" s="81"/>
      <c r="J493" s="105"/>
      <c r="K493" s="81"/>
      <c r="L493" s="81"/>
      <c r="M493" s="105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 ht="24" customHeight="1" x14ac:dyDescent="0.5">
      <c r="A494" s="81"/>
      <c r="B494" s="81"/>
      <c r="C494" s="81"/>
      <c r="D494" s="81"/>
      <c r="E494" s="81"/>
      <c r="F494" s="81"/>
      <c r="G494" s="82"/>
      <c r="H494" s="81"/>
      <c r="I494" s="81"/>
      <c r="J494" s="105"/>
      <c r="K494" s="81"/>
      <c r="L494" s="81"/>
      <c r="M494" s="105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 ht="24" customHeight="1" x14ac:dyDescent="0.5">
      <c r="A495" s="81"/>
      <c r="B495" s="81"/>
      <c r="C495" s="81"/>
      <c r="D495" s="81"/>
      <c r="E495" s="81"/>
      <c r="F495" s="81"/>
      <c r="G495" s="82"/>
      <c r="H495" s="81"/>
      <c r="I495" s="81"/>
      <c r="J495" s="105"/>
      <c r="K495" s="81"/>
      <c r="L495" s="81"/>
      <c r="M495" s="105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 ht="24" customHeight="1" x14ac:dyDescent="0.5">
      <c r="A496" s="81"/>
      <c r="B496" s="81"/>
      <c r="C496" s="81"/>
      <c r="D496" s="81"/>
      <c r="E496" s="81"/>
      <c r="F496" s="81"/>
      <c r="G496" s="82"/>
      <c r="H496" s="81"/>
      <c r="I496" s="81"/>
      <c r="J496" s="105"/>
      <c r="K496" s="81"/>
      <c r="L496" s="81"/>
      <c r="M496" s="105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 ht="24" customHeight="1" x14ac:dyDescent="0.5">
      <c r="A497" s="81"/>
      <c r="B497" s="81"/>
      <c r="C497" s="81"/>
      <c r="D497" s="81"/>
      <c r="E497" s="81"/>
      <c r="F497" s="81"/>
      <c r="G497" s="82"/>
      <c r="H497" s="81"/>
      <c r="I497" s="81"/>
      <c r="J497" s="105"/>
      <c r="K497" s="81"/>
      <c r="L497" s="81"/>
      <c r="M497" s="105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 ht="24" customHeight="1" x14ac:dyDescent="0.5">
      <c r="A498" s="81"/>
      <c r="B498" s="81"/>
      <c r="C498" s="81"/>
      <c r="D498" s="81"/>
      <c r="E498" s="81"/>
      <c r="F498" s="81"/>
      <c r="G498" s="82"/>
      <c r="H498" s="81"/>
      <c r="I498" s="81"/>
      <c r="J498" s="105"/>
      <c r="K498" s="81"/>
      <c r="L498" s="81"/>
      <c r="M498" s="105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 ht="24" customHeight="1" x14ac:dyDescent="0.5">
      <c r="A499" s="81"/>
      <c r="B499" s="81"/>
      <c r="C499" s="81"/>
      <c r="D499" s="81"/>
      <c r="E499" s="81"/>
      <c r="F499" s="81"/>
      <c r="G499" s="82"/>
      <c r="H499" s="81"/>
      <c r="I499" s="81"/>
      <c r="J499" s="105"/>
      <c r="K499" s="81"/>
      <c r="L499" s="81"/>
      <c r="M499" s="105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 ht="24" customHeight="1" x14ac:dyDescent="0.5">
      <c r="A500" s="81"/>
      <c r="B500" s="81"/>
      <c r="C500" s="81"/>
      <c r="D500" s="81"/>
      <c r="E500" s="81"/>
      <c r="F500" s="81"/>
      <c r="G500" s="82"/>
      <c r="H500" s="81"/>
      <c r="I500" s="81"/>
      <c r="J500" s="105"/>
      <c r="K500" s="81"/>
      <c r="L500" s="81"/>
      <c r="M500" s="105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 ht="24" customHeight="1" x14ac:dyDescent="0.5">
      <c r="A501" s="81"/>
      <c r="B501" s="81"/>
      <c r="C501" s="81"/>
      <c r="D501" s="81"/>
      <c r="E501" s="81"/>
      <c r="F501" s="81"/>
      <c r="G501" s="82"/>
      <c r="H501" s="81"/>
      <c r="I501" s="81"/>
      <c r="J501" s="105"/>
      <c r="K501" s="81"/>
      <c r="L501" s="81"/>
      <c r="M501" s="105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 ht="24" customHeight="1" x14ac:dyDescent="0.5">
      <c r="A502" s="81"/>
      <c r="B502" s="81"/>
      <c r="C502" s="81"/>
      <c r="D502" s="81"/>
      <c r="E502" s="81"/>
      <c r="F502" s="81"/>
      <c r="G502" s="82"/>
      <c r="H502" s="81"/>
      <c r="I502" s="81"/>
      <c r="J502" s="105"/>
      <c r="K502" s="81"/>
      <c r="L502" s="81"/>
      <c r="M502" s="105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 ht="24" customHeight="1" x14ac:dyDescent="0.5">
      <c r="A503" s="81"/>
      <c r="B503" s="81"/>
      <c r="C503" s="81"/>
      <c r="D503" s="81"/>
      <c r="E503" s="81"/>
      <c r="F503" s="81"/>
      <c r="G503" s="82"/>
      <c r="H503" s="81"/>
      <c r="I503" s="81"/>
      <c r="J503" s="105"/>
      <c r="K503" s="81"/>
      <c r="L503" s="81"/>
      <c r="M503" s="105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 ht="24" customHeight="1" x14ac:dyDescent="0.5">
      <c r="A504" s="81"/>
      <c r="B504" s="81"/>
      <c r="C504" s="81"/>
      <c r="D504" s="81"/>
      <c r="E504" s="81"/>
      <c r="F504" s="81"/>
      <c r="G504" s="82"/>
      <c r="H504" s="81"/>
      <c r="I504" s="81"/>
      <c r="J504" s="105"/>
      <c r="K504" s="81"/>
      <c r="L504" s="81"/>
      <c r="M504" s="105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 ht="24" customHeight="1" x14ac:dyDescent="0.5">
      <c r="A505" s="81"/>
      <c r="B505" s="81"/>
      <c r="C505" s="81"/>
      <c r="D505" s="81"/>
      <c r="E505" s="81"/>
      <c r="F505" s="81"/>
      <c r="G505" s="82"/>
      <c r="H505" s="81"/>
      <c r="I505" s="81"/>
      <c r="J505" s="105"/>
      <c r="K505" s="81"/>
      <c r="L505" s="81"/>
      <c r="M505" s="105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 ht="24" customHeight="1" x14ac:dyDescent="0.5">
      <c r="A506" s="81"/>
      <c r="B506" s="81"/>
      <c r="C506" s="81"/>
      <c r="D506" s="81"/>
      <c r="E506" s="81"/>
      <c r="F506" s="81"/>
      <c r="G506" s="82"/>
      <c r="H506" s="81"/>
      <c r="I506" s="81"/>
      <c r="J506" s="105"/>
      <c r="K506" s="81"/>
      <c r="L506" s="81"/>
      <c r="M506" s="105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 ht="24" customHeight="1" x14ac:dyDescent="0.5">
      <c r="A507" s="81"/>
      <c r="B507" s="81"/>
      <c r="C507" s="81"/>
      <c r="D507" s="81"/>
      <c r="E507" s="81"/>
      <c r="F507" s="81"/>
      <c r="G507" s="82"/>
      <c r="H507" s="81"/>
      <c r="I507" s="81"/>
      <c r="J507" s="105"/>
      <c r="K507" s="81"/>
      <c r="L507" s="81"/>
      <c r="M507" s="105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 ht="24" customHeight="1" x14ac:dyDescent="0.5">
      <c r="A508" s="81"/>
      <c r="B508" s="81"/>
      <c r="C508" s="81"/>
      <c r="D508" s="81"/>
      <c r="E508" s="81"/>
      <c r="F508" s="81"/>
      <c r="G508" s="82"/>
      <c r="H508" s="81"/>
      <c r="I508" s="81"/>
      <c r="J508" s="105"/>
      <c r="K508" s="81"/>
      <c r="L508" s="81"/>
      <c r="M508" s="105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 ht="24" customHeight="1" x14ac:dyDescent="0.5">
      <c r="A509" s="81"/>
      <c r="B509" s="81"/>
      <c r="C509" s="81"/>
      <c r="D509" s="81"/>
      <c r="E509" s="81"/>
      <c r="F509" s="81"/>
      <c r="G509" s="82"/>
      <c r="H509" s="81"/>
      <c r="I509" s="81"/>
      <c r="J509" s="105"/>
      <c r="K509" s="81"/>
      <c r="L509" s="81"/>
      <c r="M509" s="105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 ht="24" customHeight="1" x14ac:dyDescent="0.5">
      <c r="A510" s="81"/>
      <c r="B510" s="81"/>
      <c r="C510" s="81"/>
      <c r="D510" s="81"/>
      <c r="E510" s="81"/>
      <c r="F510" s="81"/>
      <c r="G510" s="82"/>
      <c r="H510" s="81"/>
      <c r="I510" s="81"/>
      <c r="J510" s="105"/>
      <c r="K510" s="81"/>
      <c r="L510" s="81"/>
      <c r="M510" s="105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 ht="24" customHeight="1" x14ac:dyDescent="0.5">
      <c r="A511" s="81"/>
      <c r="B511" s="81"/>
      <c r="C511" s="81"/>
      <c r="D511" s="81"/>
      <c r="E511" s="81"/>
      <c r="F511" s="81"/>
      <c r="G511" s="82"/>
      <c r="H511" s="81"/>
      <c r="I511" s="81"/>
      <c r="J511" s="105"/>
      <c r="K511" s="81"/>
      <c r="L511" s="81"/>
      <c r="M511" s="105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 ht="24" customHeight="1" x14ac:dyDescent="0.5">
      <c r="A512" s="81"/>
      <c r="B512" s="81"/>
      <c r="C512" s="81"/>
      <c r="D512" s="81"/>
      <c r="E512" s="81"/>
      <c r="F512" s="81"/>
      <c r="G512" s="82"/>
      <c r="H512" s="81"/>
      <c r="I512" s="81"/>
      <c r="J512" s="105"/>
      <c r="K512" s="81"/>
      <c r="L512" s="81"/>
      <c r="M512" s="105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 ht="24" customHeight="1" x14ac:dyDescent="0.5">
      <c r="A513" s="81"/>
      <c r="B513" s="81"/>
      <c r="C513" s="81"/>
      <c r="D513" s="81"/>
      <c r="E513" s="81"/>
      <c r="F513" s="81"/>
      <c r="G513" s="82"/>
      <c r="H513" s="81"/>
      <c r="I513" s="81"/>
      <c r="J513" s="105"/>
      <c r="K513" s="81"/>
      <c r="L513" s="81"/>
      <c r="M513" s="105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 ht="24" customHeight="1" x14ac:dyDescent="0.5">
      <c r="A514" s="81"/>
      <c r="B514" s="81"/>
      <c r="C514" s="81"/>
      <c r="D514" s="81"/>
      <c r="E514" s="81"/>
      <c r="F514" s="81"/>
      <c r="G514" s="82"/>
      <c r="H514" s="81"/>
      <c r="I514" s="81"/>
      <c r="J514" s="105"/>
      <c r="K514" s="81"/>
      <c r="L514" s="81"/>
      <c r="M514" s="105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 ht="24" customHeight="1" x14ac:dyDescent="0.5">
      <c r="A515" s="81"/>
      <c r="B515" s="81"/>
      <c r="C515" s="81"/>
      <c r="D515" s="81"/>
      <c r="E515" s="81"/>
      <c r="F515" s="81"/>
      <c r="G515" s="82"/>
      <c r="H515" s="81"/>
      <c r="I515" s="81"/>
      <c r="J515" s="105"/>
      <c r="K515" s="81"/>
      <c r="L515" s="81"/>
      <c r="M515" s="105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 ht="24" customHeight="1" x14ac:dyDescent="0.5">
      <c r="A516" s="81"/>
      <c r="B516" s="81"/>
      <c r="C516" s="81"/>
      <c r="D516" s="81"/>
      <c r="E516" s="81"/>
      <c r="F516" s="81"/>
      <c r="G516" s="82"/>
      <c r="H516" s="81"/>
      <c r="I516" s="81"/>
      <c r="J516" s="105"/>
      <c r="K516" s="81"/>
      <c r="L516" s="81"/>
      <c r="M516" s="105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 ht="24" customHeight="1" x14ac:dyDescent="0.5">
      <c r="A517" s="81"/>
      <c r="B517" s="81"/>
      <c r="C517" s="81"/>
      <c r="D517" s="81"/>
      <c r="E517" s="81"/>
      <c r="F517" s="81"/>
      <c r="G517" s="82"/>
      <c r="H517" s="81"/>
      <c r="I517" s="81"/>
      <c r="J517" s="105"/>
      <c r="K517" s="81"/>
      <c r="L517" s="81"/>
      <c r="M517" s="105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 ht="24" customHeight="1" x14ac:dyDescent="0.5">
      <c r="A518" s="81"/>
      <c r="B518" s="81"/>
      <c r="C518" s="81"/>
      <c r="D518" s="81"/>
      <c r="E518" s="81"/>
      <c r="F518" s="81"/>
      <c r="G518" s="82"/>
      <c r="H518" s="81"/>
      <c r="I518" s="81"/>
      <c r="J518" s="105"/>
      <c r="K518" s="81"/>
      <c r="L518" s="81"/>
      <c r="M518" s="105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 ht="24" customHeight="1" x14ac:dyDescent="0.5">
      <c r="A519" s="81"/>
      <c r="B519" s="81"/>
      <c r="C519" s="81"/>
      <c r="D519" s="81"/>
      <c r="E519" s="81"/>
      <c r="F519" s="81"/>
      <c r="G519" s="82"/>
      <c r="H519" s="81"/>
      <c r="I519" s="81"/>
      <c r="J519" s="105"/>
      <c r="K519" s="81"/>
      <c r="L519" s="81"/>
      <c r="M519" s="105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 ht="24" customHeight="1" x14ac:dyDescent="0.5">
      <c r="A520" s="81"/>
      <c r="B520" s="81"/>
      <c r="C520" s="81"/>
      <c r="D520" s="81"/>
      <c r="E520" s="81"/>
      <c r="F520" s="81"/>
      <c r="G520" s="82"/>
      <c r="H520" s="81"/>
      <c r="I520" s="81"/>
      <c r="J520" s="105"/>
      <c r="K520" s="81"/>
      <c r="L520" s="81"/>
      <c r="M520" s="105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 ht="24" customHeight="1" x14ac:dyDescent="0.5">
      <c r="A521" s="81"/>
      <c r="B521" s="81"/>
      <c r="C521" s="81"/>
      <c r="D521" s="81"/>
      <c r="E521" s="81"/>
      <c r="F521" s="81"/>
      <c r="G521" s="82"/>
      <c r="H521" s="81"/>
      <c r="I521" s="81"/>
      <c r="J521" s="105"/>
      <c r="K521" s="81"/>
      <c r="L521" s="81"/>
      <c r="M521" s="105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 ht="24" customHeight="1" x14ac:dyDescent="0.5">
      <c r="A522" s="81"/>
      <c r="B522" s="81"/>
      <c r="C522" s="81"/>
      <c r="D522" s="81"/>
      <c r="E522" s="81"/>
      <c r="F522" s="81"/>
      <c r="G522" s="82"/>
      <c r="H522" s="81"/>
      <c r="I522" s="81"/>
      <c r="J522" s="105"/>
      <c r="K522" s="81"/>
      <c r="L522" s="81"/>
      <c r="M522" s="105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 ht="24" customHeight="1" x14ac:dyDescent="0.5">
      <c r="A523" s="81"/>
      <c r="B523" s="81"/>
      <c r="C523" s="81"/>
      <c r="D523" s="81"/>
      <c r="E523" s="81"/>
      <c r="F523" s="81"/>
      <c r="G523" s="82"/>
      <c r="H523" s="81"/>
      <c r="I523" s="81"/>
      <c r="J523" s="105"/>
      <c r="K523" s="81"/>
      <c r="L523" s="81"/>
      <c r="M523" s="105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 ht="24" customHeight="1" x14ac:dyDescent="0.5">
      <c r="A524" s="81"/>
      <c r="B524" s="81"/>
      <c r="C524" s="81"/>
      <c r="D524" s="81"/>
      <c r="E524" s="81"/>
      <c r="F524" s="81"/>
      <c r="G524" s="82"/>
      <c r="H524" s="81"/>
      <c r="I524" s="81"/>
      <c r="J524" s="105"/>
      <c r="K524" s="81"/>
      <c r="L524" s="81"/>
      <c r="M524" s="105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 ht="24" customHeight="1" x14ac:dyDescent="0.5">
      <c r="A525" s="81"/>
      <c r="B525" s="81"/>
      <c r="C525" s="81"/>
      <c r="D525" s="81"/>
      <c r="E525" s="81"/>
      <c r="F525" s="81"/>
      <c r="G525" s="82"/>
      <c r="H525" s="81"/>
      <c r="I525" s="81"/>
      <c r="J525" s="105"/>
      <c r="K525" s="81"/>
      <c r="L525" s="81"/>
      <c r="M525" s="105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 ht="24" customHeight="1" x14ac:dyDescent="0.5">
      <c r="A526" s="81"/>
      <c r="B526" s="81"/>
      <c r="C526" s="81"/>
      <c r="D526" s="81"/>
      <c r="E526" s="81"/>
      <c r="F526" s="81"/>
      <c r="G526" s="82"/>
      <c r="H526" s="81"/>
      <c r="I526" s="81"/>
      <c r="J526" s="105"/>
      <c r="K526" s="81"/>
      <c r="L526" s="81"/>
      <c r="M526" s="105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 ht="24" customHeight="1" x14ac:dyDescent="0.5">
      <c r="A527" s="81"/>
      <c r="B527" s="81"/>
      <c r="C527" s="81"/>
      <c r="D527" s="81"/>
      <c r="E527" s="81"/>
      <c r="F527" s="81"/>
      <c r="G527" s="82"/>
      <c r="H527" s="81"/>
      <c r="I527" s="81"/>
      <c r="J527" s="105"/>
      <c r="K527" s="81"/>
      <c r="L527" s="81"/>
      <c r="M527" s="105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 ht="24" customHeight="1" x14ac:dyDescent="0.5">
      <c r="A528" s="81"/>
      <c r="B528" s="81"/>
      <c r="C528" s="81"/>
      <c r="D528" s="81"/>
      <c r="E528" s="81"/>
      <c r="F528" s="81"/>
      <c r="G528" s="82"/>
      <c r="H528" s="81"/>
      <c r="I528" s="81"/>
      <c r="J528" s="105"/>
      <c r="K528" s="81"/>
      <c r="L528" s="81"/>
      <c r="M528" s="105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 ht="24" customHeight="1" x14ac:dyDescent="0.5">
      <c r="A529" s="81"/>
      <c r="B529" s="81"/>
      <c r="C529" s="81"/>
      <c r="D529" s="81"/>
      <c r="E529" s="81"/>
      <c r="F529" s="81"/>
      <c r="G529" s="82"/>
      <c r="H529" s="81"/>
      <c r="I529" s="81"/>
      <c r="J529" s="105"/>
      <c r="K529" s="81"/>
      <c r="L529" s="81"/>
      <c r="M529" s="105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 ht="24" customHeight="1" x14ac:dyDescent="0.5">
      <c r="A530" s="81"/>
      <c r="B530" s="81"/>
      <c r="C530" s="81"/>
      <c r="D530" s="81"/>
      <c r="E530" s="81"/>
      <c r="F530" s="81"/>
      <c r="G530" s="82"/>
      <c r="H530" s="81"/>
      <c r="I530" s="81"/>
      <c r="J530" s="105"/>
      <c r="K530" s="81"/>
      <c r="L530" s="81"/>
      <c r="M530" s="105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 ht="24" customHeight="1" x14ac:dyDescent="0.5">
      <c r="A531" s="81"/>
      <c r="B531" s="81"/>
      <c r="C531" s="81"/>
      <c r="D531" s="81"/>
      <c r="E531" s="81"/>
      <c r="F531" s="81"/>
      <c r="G531" s="82"/>
      <c r="H531" s="81"/>
      <c r="I531" s="81"/>
      <c r="J531" s="105"/>
      <c r="K531" s="81"/>
      <c r="L531" s="81"/>
      <c r="M531" s="105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 ht="24" customHeight="1" x14ac:dyDescent="0.5">
      <c r="A532" s="81"/>
      <c r="B532" s="81"/>
      <c r="C532" s="81"/>
      <c r="D532" s="81"/>
      <c r="E532" s="81"/>
      <c r="F532" s="81"/>
      <c r="G532" s="82"/>
      <c r="H532" s="81"/>
      <c r="I532" s="81"/>
      <c r="J532" s="105"/>
      <c r="K532" s="81"/>
      <c r="L532" s="81"/>
      <c r="M532" s="105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 ht="24" customHeight="1" x14ac:dyDescent="0.5">
      <c r="A533" s="81"/>
      <c r="B533" s="81"/>
      <c r="C533" s="81"/>
      <c r="D533" s="81"/>
      <c r="E533" s="81"/>
      <c r="F533" s="81"/>
      <c r="G533" s="82"/>
      <c r="H533" s="81"/>
      <c r="I533" s="81"/>
      <c r="J533" s="105"/>
      <c r="K533" s="81"/>
      <c r="L533" s="81"/>
      <c r="M533" s="105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 ht="24" customHeight="1" x14ac:dyDescent="0.5">
      <c r="A534" s="81"/>
      <c r="B534" s="81"/>
      <c r="C534" s="81"/>
      <c r="D534" s="81"/>
      <c r="E534" s="81"/>
      <c r="F534" s="81"/>
      <c r="G534" s="82"/>
      <c r="H534" s="81"/>
      <c r="I534" s="81"/>
      <c r="J534" s="105"/>
      <c r="K534" s="81"/>
      <c r="L534" s="81"/>
      <c r="M534" s="105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 ht="24" customHeight="1" x14ac:dyDescent="0.5">
      <c r="A535" s="81"/>
      <c r="B535" s="81"/>
      <c r="C535" s="81"/>
      <c r="D535" s="81"/>
      <c r="E535" s="81"/>
      <c r="F535" s="81"/>
      <c r="G535" s="82"/>
      <c r="H535" s="81"/>
      <c r="I535" s="81"/>
      <c r="J535" s="105"/>
      <c r="K535" s="81"/>
      <c r="L535" s="81"/>
      <c r="M535" s="105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 ht="24" customHeight="1" x14ac:dyDescent="0.5">
      <c r="A536" s="81"/>
      <c r="B536" s="81"/>
      <c r="C536" s="81"/>
      <c r="D536" s="81"/>
      <c r="E536" s="81"/>
      <c r="F536" s="81"/>
      <c r="G536" s="82"/>
      <c r="H536" s="81"/>
      <c r="I536" s="81"/>
      <c r="J536" s="105"/>
      <c r="K536" s="81"/>
      <c r="L536" s="81"/>
      <c r="M536" s="105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 ht="24" customHeight="1" x14ac:dyDescent="0.5">
      <c r="A537" s="81"/>
      <c r="B537" s="81"/>
      <c r="C537" s="81"/>
      <c r="D537" s="81"/>
      <c r="E537" s="81"/>
      <c r="F537" s="81"/>
      <c r="G537" s="82"/>
      <c r="H537" s="81"/>
      <c r="I537" s="81"/>
      <c r="J537" s="105"/>
      <c r="K537" s="81"/>
      <c r="L537" s="81"/>
      <c r="M537" s="105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 ht="24" customHeight="1" x14ac:dyDescent="0.5">
      <c r="A538" s="81"/>
      <c r="B538" s="81"/>
      <c r="C538" s="81"/>
      <c r="D538" s="81"/>
      <c r="E538" s="81"/>
      <c r="F538" s="81"/>
      <c r="G538" s="82"/>
      <c r="H538" s="81"/>
      <c r="I538" s="81"/>
      <c r="J538" s="105"/>
      <c r="K538" s="81"/>
      <c r="L538" s="81"/>
      <c r="M538" s="105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 ht="24" customHeight="1" x14ac:dyDescent="0.5">
      <c r="A539" s="81"/>
      <c r="B539" s="81"/>
      <c r="C539" s="81"/>
      <c r="D539" s="81"/>
      <c r="E539" s="81"/>
      <c r="F539" s="81"/>
      <c r="G539" s="82"/>
      <c r="H539" s="81"/>
      <c r="I539" s="81"/>
      <c r="J539" s="105"/>
      <c r="K539" s="81"/>
      <c r="L539" s="81"/>
      <c r="M539" s="105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 ht="24" customHeight="1" x14ac:dyDescent="0.5">
      <c r="A540" s="81"/>
      <c r="B540" s="81"/>
      <c r="C540" s="81"/>
      <c r="D540" s="81"/>
      <c r="E540" s="81"/>
      <c r="F540" s="81"/>
      <c r="G540" s="82"/>
      <c r="H540" s="81"/>
      <c r="I540" s="81"/>
      <c r="J540" s="105"/>
      <c r="K540" s="81"/>
      <c r="L540" s="81"/>
      <c r="M540" s="105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 ht="24" customHeight="1" x14ac:dyDescent="0.5">
      <c r="A541" s="81"/>
      <c r="B541" s="81"/>
      <c r="C541" s="81"/>
      <c r="D541" s="81"/>
      <c r="E541" s="81"/>
      <c r="F541" s="81"/>
      <c r="G541" s="82"/>
      <c r="H541" s="81"/>
      <c r="I541" s="81"/>
      <c r="J541" s="105"/>
      <c r="K541" s="81"/>
      <c r="L541" s="81"/>
      <c r="M541" s="105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 ht="24" customHeight="1" x14ac:dyDescent="0.5">
      <c r="A542" s="81"/>
      <c r="B542" s="81"/>
      <c r="C542" s="81"/>
      <c r="D542" s="81"/>
      <c r="E542" s="81"/>
      <c r="F542" s="81"/>
      <c r="G542" s="82"/>
      <c r="H542" s="81"/>
      <c r="I542" s="81"/>
      <c r="J542" s="105"/>
      <c r="K542" s="81"/>
      <c r="L542" s="81"/>
      <c r="M542" s="105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 ht="24" customHeight="1" x14ac:dyDescent="0.5">
      <c r="A543" s="81"/>
      <c r="B543" s="81"/>
      <c r="C543" s="81"/>
      <c r="D543" s="81"/>
      <c r="E543" s="81"/>
      <c r="F543" s="81"/>
      <c r="G543" s="82"/>
      <c r="H543" s="81"/>
      <c r="I543" s="81"/>
      <c r="J543" s="105"/>
      <c r="K543" s="81"/>
      <c r="L543" s="81"/>
      <c r="M543" s="105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 ht="24" customHeight="1" x14ac:dyDescent="0.5">
      <c r="A544" s="81"/>
      <c r="B544" s="81"/>
      <c r="C544" s="81"/>
      <c r="D544" s="81"/>
      <c r="E544" s="81"/>
      <c r="F544" s="81"/>
      <c r="G544" s="82"/>
      <c r="H544" s="81"/>
      <c r="I544" s="81"/>
      <c r="J544" s="105"/>
      <c r="K544" s="81"/>
      <c r="L544" s="81"/>
      <c r="M544" s="105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 ht="24" customHeight="1" x14ac:dyDescent="0.5">
      <c r="A545" s="81"/>
      <c r="B545" s="81"/>
      <c r="C545" s="81"/>
      <c r="D545" s="81"/>
      <c r="E545" s="81"/>
      <c r="F545" s="81"/>
      <c r="G545" s="82"/>
      <c r="H545" s="81"/>
      <c r="I545" s="81"/>
      <c r="J545" s="105"/>
      <c r="K545" s="81"/>
      <c r="L545" s="81"/>
      <c r="M545" s="105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 ht="24" customHeight="1" x14ac:dyDescent="0.5">
      <c r="A546" s="81"/>
      <c r="B546" s="81"/>
      <c r="C546" s="81"/>
      <c r="D546" s="81"/>
      <c r="E546" s="81"/>
      <c r="F546" s="81"/>
      <c r="G546" s="82"/>
      <c r="H546" s="81"/>
      <c r="I546" s="81"/>
      <c r="J546" s="105"/>
      <c r="K546" s="81"/>
      <c r="L546" s="81"/>
      <c r="M546" s="105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 ht="24" customHeight="1" x14ac:dyDescent="0.5">
      <c r="A547" s="81"/>
      <c r="B547" s="81"/>
      <c r="C547" s="81"/>
      <c r="D547" s="81"/>
      <c r="E547" s="81"/>
      <c r="F547" s="81"/>
      <c r="G547" s="82"/>
      <c r="H547" s="81"/>
      <c r="I547" s="81"/>
      <c r="J547" s="105"/>
      <c r="K547" s="81"/>
      <c r="L547" s="81"/>
      <c r="M547" s="105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 ht="24" customHeight="1" x14ac:dyDescent="0.5">
      <c r="A548" s="81"/>
      <c r="B548" s="81"/>
      <c r="C548" s="81"/>
      <c r="D548" s="81"/>
      <c r="E548" s="81"/>
      <c r="F548" s="81"/>
      <c r="G548" s="82"/>
      <c r="H548" s="81"/>
      <c r="I548" s="81"/>
      <c r="J548" s="105"/>
      <c r="K548" s="81"/>
      <c r="L548" s="81"/>
      <c r="M548" s="105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 ht="24" customHeight="1" x14ac:dyDescent="0.5">
      <c r="A549" s="81"/>
      <c r="B549" s="81"/>
      <c r="C549" s="81"/>
      <c r="D549" s="81"/>
      <c r="E549" s="81"/>
      <c r="F549" s="81"/>
      <c r="G549" s="82"/>
      <c r="H549" s="81"/>
      <c r="I549" s="81"/>
      <c r="J549" s="105"/>
      <c r="K549" s="81"/>
      <c r="L549" s="81"/>
      <c r="M549" s="105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 ht="24" customHeight="1" x14ac:dyDescent="0.5">
      <c r="A550" s="81"/>
      <c r="B550" s="81"/>
      <c r="C550" s="81"/>
      <c r="D550" s="81"/>
      <c r="E550" s="81"/>
      <c r="F550" s="81"/>
      <c r="G550" s="82"/>
      <c r="H550" s="81"/>
      <c r="I550" s="81"/>
      <c r="J550" s="105"/>
      <c r="K550" s="81"/>
      <c r="L550" s="81"/>
      <c r="M550" s="105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 ht="24" customHeight="1" x14ac:dyDescent="0.5">
      <c r="A551" s="81"/>
      <c r="B551" s="81"/>
      <c r="C551" s="81"/>
      <c r="D551" s="81"/>
      <c r="E551" s="81"/>
      <c r="F551" s="81"/>
      <c r="G551" s="82"/>
      <c r="H551" s="81"/>
      <c r="I551" s="81"/>
      <c r="J551" s="105"/>
      <c r="K551" s="81"/>
      <c r="L551" s="81"/>
      <c r="M551" s="105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 ht="24" customHeight="1" x14ac:dyDescent="0.5">
      <c r="A552" s="81"/>
      <c r="B552" s="81"/>
      <c r="C552" s="81"/>
      <c r="D552" s="81"/>
      <c r="E552" s="81"/>
      <c r="F552" s="81"/>
      <c r="G552" s="82"/>
      <c r="H552" s="81"/>
      <c r="I552" s="81"/>
      <c r="J552" s="105"/>
      <c r="K552" s="81"/>
      <c r="L552" s="81"/>
      <c r="M552" s="105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 ht="24" customHeight="1" x14ac:dyDescent="0.5">
      <c r="A553" s="81"/>
      <c r="B553" s="81"/>
      <c r="C553" s="81"/>
      <c r="D553" s="81"/>
      <c r="E553" s="81"/>
      <c r="F553" s="81"/>
      <c r="G553" s="82"/>
      <c r="H553" s="81"/>
      <c r="I553" s="81"/>
      <c r="J553" s="105"/>
      <c r="K553" s="81"/>
      <c r="L553" s="81"/>
      <c r="M553" s="105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 ht="24" customHeight="1" x14ac:dyDescent="0.5">
      <c r="A554" s="81"/>
      <c r="B554" s="81"/>
      <c r="C554" s="81"/>
      <c r="D554" s="81"/>
      <c r="E554" s="81"/>
      <c r="F554" s="81"/>
      <c r="G554" s="82"/>
      <c r="H554" s="81"/>
      <c r="I554" s="81"/>
      <c r="J554" s="105"/>
      <c r="K554" s="81"/>
      <c r="L554" s="81"/>
      <c r="M554" s="105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 ht="24" customHeight="1" x14ac:dyDescent="0.5">
      <c r="A555" s="81"/>
      <c r="B555" s="81"/>
      <c r="C555" s="81"/>
      <c r="D555" s="81"/>
      <c r="E555" s="81"/>
      <c r="F555" s="81"/>
      <c r="G555" s="82"/>
      <c r="H555" s="81"/>
      <c r="I555" s="81"/>
      <c r="J555" s="105"/>
      <c r="K555" s="81"/>
      <c r="L555" s="81"/>
      <c r="M555" s="105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 ht="24" customHeight="1" x14ac:dyDescent="0.5">
      <c r="A556" s="81"/>
      <c r="B556" s="81"/>
      <c r="C556" s="81"/>
      <c r="D556" s="81"/>
      <c r="E556" s="81"/>
      <c r="F556" s="81"/>
      <c r="G556" s="82"/>
      <c r="H556" s="81"/>
      <c r="I556" s="81"/>
      <c r="J556" s="105"/>
      <c r="K556" s="81"/>
      <c r="L556" s="81"/>
      <c r="M556" s="105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 ht="24" customHeight="1" x14ac:dyDescent="0.5">
      <c r="A557" s="81"/>
      <c r="B557" s="81"/>
      <c r="C557" s="81"/>
      <c r="D557" s="81"/>
      <c r="E557" s="81"/>
      <c r="F557" s="81"/>
      <c r="G557" s="82"/>
      <c r="H557" s="81"/>
      <c r="I557" s="81"/>
      <c r="J557" s="105"/>
      <c r="K557" s="81"/>
      <c r="L557" s="81"/>
      <c r="M557" s="105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 ht="24" customHeight="1" x14ac:dyDescent="0.5">
      <c r="A558" s="81"/>
      <c r="B558" s="81"/>
      <c r="C558" s="81"/>
      <c r="D558" s="81"/>
      <c r="E558" s="81"/>
      <c r="F558" s="81"/>
      <c r="G558" s="82"/>
      <c r="H558" s="81"/>
      <c r="I558" s="81"/>
      <c r="J558" s="105"/>
      <c r="K558" s="81"/>
      <c r="L558" s="81"/>
      <c r="M558" s="105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 ht="24" customHeight="1" x14ac:dyDescent="0.5">
      <c r="A559" s="81"/>
      <c r="B559" s="81"/>
      <c r="C559" s="81"/>
      <c r="D559" s="81"/>
      <c r="E559" s="81"/>
      <c r="F559" s="81"/>
      <c r="G559" s="82"/>
      <c r="H559" s="81"/>
      <c r="I559" s="81"/>
      <c r="J559" s="105"/>
      <c r="K559" s="81"/>
      <c r="L559" s="81"/>
      <c r="M559" s="105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 ht="24" customHeight="1" x14ac:dyDescent="0.5">
      <c r="A560" s="81"/>
      <c r="B560" s="81"/>
      <c r="C560" s="81"/>
      <c r="D560" s="81"/>
      <c r="E560" s="81"/>
      <c r="F560" s="81"/>
      <c r="G560" s="82"/>
      <c r="H560" s="81"/>
      <c r="I560" s="81"/>
      <c r="J560" s="105"/>
      <c r="K560" s="81"/>
      <c r="L560" s="81"/>
      <c r="M560" s="105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 ht="24" customHeight="1" x14ac:dyDescent="0.5">
      <c r="A561" s="81"/>
      <c r="B561" s="81"/>
      <c r="C561" s="81"/>
      <c r="D561" s="81"/>
      <c r="E561" s="81"/>
      <c r="F561" s="81"/>
      <c r="G561" s="82"/>
      <c r="H561" s="81"/>
      <c r="I561" s="81"/>
      <c r="J561" s="105"/>
      <c r="K561" s="81"/>
      <c r="L561" s="81"/>
      <c r="M561" s="105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 ht="24" customHeight="1" x14ac:dyDescent="0.5">
      <c r="A562" s="81"/>
      <c r="B562" s="81"/>
      <c r="C562" s="81"/>
      <c r="D562" s="81"/>
      <c r="E562" s="81"/>
      <c r="F562" s="81"/>
      <c r="G562" s="82"/>
      <c r="H562" s="81"/>
      <c r="I562" s="81"/>
      <c r="J562" s="105"/>
      <c r="K562" s="81"/>
      <c r="L562" s="81"/>
      <c r="M562" s="105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 ht="24" customHeight="1" x14ac:dyDescent="0.5">
      <c r="A563" s="81"/>
      <c r="B563" s="81"/>
      <c r="C563" s="81"/>
      <c r="D563" s="81"/>
      <c r="E563" s="81"/>
      <c r="F563" s="81"/>
      <c r="G563" s="82"/>
      <c r="H563" s="81"/>
      <c r="I563" s="81"/>
      <c r="J563" s="105"/>
      <c r="K563" s="81"/>
      <c r="L563" s="81"/>
      <c r="M563" s="105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 ht="24" customHeight="1" x14ac:dyDescent="0.5">
      <c r="A564" s="81"/>
      <c r="B564" s="81"/>
      <c r="C564" s="81"/>
      <c r="D564" s="81"/>
      <c r="E564" s="81"/>
      <c r="F564" s="81"/>
      <c r="G564" s="82"/>
      <c r="H564" s="81"/>
      <c r="I564" s="81"/>
      <c r="J564" s="105"/>
      <c r="K564" s="81"/>
      <c r="L564" s="81"/>
      <c r="M564" s="105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 ht="24" customHeight="1" x14ac:dyDescent="0.5">
      <c r="A565" s="81"/>
      <c r="B565" s="81"/>
      <c r="C565" s="81"/>
      <c r="D565" s="81"/>
      <c r="E565" s="81"/>
      <c r="F565" s="81"/>
      <c r="G565" s="82"/>
      <c r="H565" s="81"/>
      <c r="I565" s="81"/>
      <c r="J565" s="105"/>
      <c r="K565" s="81"/>
      <c r="L565" s="81"/>
      <c r="M565" s="105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 ht="24" customHeight="1" x14ac:dyDescent="0.5">
      <c r="A566" s="81"/>
      <c r="B566" s="81"/>
      <c r="C566" s="81"/>
      <c r="D566" s="81"/>
      <c r="E566" s="81"/>
      <c r="F566" s="81"/>
      <c r="G566" s="82"/>
      <c r="H566" s="81"/>
      <c r="I566" s="81"/>
      <c r="J566" s="105"/>
      <c r="K566" s="81"/>
      <c r="L566" s="81"/>
      <c r="M566" s="105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 ht="24" customHeight="1" x14ac:dyDescent="0.5">
      <c r="A567" s="81"/>
      <c r="B567" s="81"/>
      <c r="C567" s="81"/>
      <c r="D567" s="81"/>
      <c r="E567" s="81"/>
      <c r="F567" s="81"/>
      <c r="G567" s="82"/>
      <c r="H567" s="81"/>
      <c r="I567" s="81"/>
      <c r="J567" s="105"/>
      <c r="K567" s="81"/>
      <c r="L567" s="81"/>
      <c r="M567" s="105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 ht="24" customHeight="1" x14ac:dyDescent="0.5">
      <c r="A568" s="81"/>
      <c r="B568" s="81"/>
      <c r="C568" s="81"/>
      <c r="D568" s="81"/>
      <c r="E568" s="81"/>
      <c r="F568" s="81"/>
      <c r="G568" s="82"/>
      <c r="H568" s="81"/>
      <c r="I568" s="81"/>
      <c r="J568" s="105"/>
      <c r="K568" s="81"/>
      <c r="L568" s="81"/>
      <c r="M568" s="105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 ht="24" customHeight="1" x14ac:dyDescent="0.5">
      <c r="A569" s="81"/>
      <c r="B569" s="81"/>
      <c r="C569" s="81"/>
      <c r="D569" s="81"/>
      <c r="E569" s="81"/>
      <c r="F569" s="81"/>
      <c r="G569" s="82"/>
      <c r="H569" s="81"/>
      <c r="I569" s="81"/>
      <c r="J569" s="105"/>
      <c r="K569" s="81"/>
      <c r="L569" s="81"/>
      <c r="M569" s="105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 ht="24" customHeight="1" x14ac:dyDescent="0.5">
      <c r="A570" s="81"/>
      <c r="B570" s="81"/>
      <c r="C570" s="81"/>
      <c r="D570" s="81"/>
      <c r="E570" s="81"/>
      <c r="F570" s="81"/>
      <c r="G570" s="82"/>
      <c r="H570" s="81"/>
      <c r="I570" s="81"/>
      <c r="J570" s="105"/>
      <c r="K570" s="81"/>
      <c r="L570" s="81"/>
      <c r="M570" s="105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 ht="24" customHeight="1" x14ac:dyDescent="0.5">
      <c r="A571" s="81"/>
      <c r="B571" s="81"/>
      <c r="C571" s="81"/>
      <c r="D571" s="81"/>
      <c r="E571" s="81"/>
      <c r="F571" s="81"/>
      <c r="G571" s="82"/>
      <c r="H571" s="81"/>
      <c r="I571" s="81"/>
      <c r="J571" s="105"/>
      <c r="K571" s="81"/>
      <c r="L571" s="81"/>
      <c r="M571" s="105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 ht="24" customHeight="1" x14ac:dyDescent="0.5">
      <c r="A572" s="81"/>
      <c r="B572" s="81"/>
      <c r="C572" s="81"/>
      <c r="D572" s="81"/>
      <c r="E572" s="81"/>
      <c r="F572" s="81"/>
      <c r="G572" s="82"/>
      <c r="H572" s="81"/>
      <c r="I572" s="81"/>
      <c r="J572" s="105"/>
      <c r="K572" s="81"/>
      <c r="L572" s="81"/>
      <c r="M572" s="105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 ht="24" customHeight="1" x14ac:dyDescent="0.5">
      <c r="A573" s="81"/>
      <c r="B573" s="81"/>
      <c r="C573" s="81"/>
      <c r="D573" s="81"/>
      <c r="E573" s="81"/>
      <c r="F573" s="81"/>
      <c r="G573" s="82"/>
      <c r="H573" s="81"/>
      <c r="I573" s="81"/>
      <c r="J573" s="105"/>
      <c r="K573" s="81"/>
      <c r="L573" s="81"/>
      <c r="M573" s="105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 ht="24" customHeight="1" x14ac:dyDescent="0.5">
      <c r="A574" s="81"/>
      <c r="B574" s="81"/>
      <c r="C574" s="81"/>
      <c r="D574" s="81"/>
      <c r="E574" s="81"/>
      <c r="F574" s="81"/>
      <c r="G574" s="82"/>
      <c r="H574" s="81"/>
      <c r="I574" s="81"/>
      <c r="J574" s="105"/>
      <c r="K574" s="81"/>
      <c r="L574" s="81"/>
      <c r="M574" s="105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 ht="24" customHeight="1" x14ac:dyDescent="0.5">
      <c r="A575" s="81"/>
      <c r="B575" s="81"/>
      <c r="C575" s="81"/>
      <c r="D575" s="81"/>
      <c r="E575" s="81"/>
      <c r="F575" s="81"/>
      <c r="G575" s="82"/>
      <c r="H575" s="81"/>
      <c r="I575" s="81"/>
      <c r="J575" s="105"/>
      <c r="K575" s="81"/>
      <c r="L575" s="81"/>
      <c r="M575" s="105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 ht="24" customHeight="1" x14ac:dyDescent="0.5">
      <c r="A576" s="81"/>
      <c r="B576" s="81"/>
      <c r="C576" s="81"/>
      <c r="D576" s="81"/>
      <c r="E576" s="81"/>
      <c r="F576" s="81"/>
      <c r="G576" s="82"/>
      <c r="H576" s="81"/>
      <c r="I576" s="81"/>
      <c r="J576" s="105"/>
      <c r="K576" s="81"/>
      <c r="L576" s="81"/>
      <c r="M576" s="105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 ht="24" customHeight="1" x14ac:dyDescent="0.5">
      <c r="A577" s="81"/>
      <c r="B577" s="81"/>
      <c r="C577" s="81"/>
      <c r="D577" s="81"/>
      <c r="E577" s="81"/>
      <c r="F577" s="81"/>
      <c r="G577" s="82"/>
      <c r="H577" s="81"/>
      <c r="I577" s="81"/>
      <c r="J577" s="105"/>
      <c r="K577" s="81"/>
      <c r="L577" s="81"/>
      <c r="M577" s="105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 ht="24" customHeight="1" x14ac:dyDescent="0.5">
      <c r="A578" s="81"/>
      <c r="B578" s="81"/>
      <c r="C578" s="81"/>
      <c r="D578" s="81"/>
      <c r="E578" s="81"/>
      <c r="F578" s="81"/>
      <c r="G578" s="82"/>
      <c r="H578" s="81"/>
      <c r="I578" s="81"/>
      <c r="J578" s="105"/>
      <c r="K578" s="81"/>
      <c r="L578" s="81"/>
      <c r="M578" s="105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 ht="24" customHeight="1" x14ac:dyDescent="0.5">
      <c r="A579" s="81"/>
      <c r="B579" s="81"/>
      <c r="C579" s="81"/>
      <c r="D579" s="81"/>
      <c r="E579" s="81"/>
      <c r="F579" s="81"/>
      <c r="G579" s="82"/>
      <c r="H579" s="81"/>
      <c r="I579" s="81"/>
      <c r="J579" s="105"/>
      <c r="K579" s="81"/>
      <c r="L579" s="81"/>
      <c r="M579" s="105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 ht="24" customHeight="1" x14ac:dyDescent="0.5">
      <c r="A580" s="81"/>
      <c r="B580" s="81"/>
      <c r="C580" s="81"/>
      <c r="D580" s="81"/>
      <c r="E580" s="81"/>
      <c r="F580" s="81"/>
      <c r="G580" s="82"/>
      <c r="H580" s="81"/>
      <c r="I580" s="81"/>
      <c r="J580" s="105"/>
      <c r="K580" s="81"/>
      <c r="L580" s="81"/>
      <c r="M580" s="105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 ht="24" customHeight="1" x14ac:dyDescent="0.5">
      <c r="A581" s="81"/>
      <c r="B581" s="81"/>
      <c r="C581" s="81"/>
      <c r="D581" s="81"/>
      <c r="E581" s="81"/>
      <c r="F581" s="81"/>
      <c r="G581" s="82"/>
      <c r="H581" s="81"/>
      <c r="I581" s="81"/>
      <c r="J581" s="105"/>
      <c r="K581" s="81"/>
      <c r="L581" s="81"/>
      <c r="M581" s="105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 ht="24" customHeight="1" x14ac:dyDescent="0.5">
      <c r="A582" s="81"/>
      <c r="B582" s="81"/>
      <c r="C582" s="81"/>
      <c r="D582" s="81"/>
      <c r="E582" s="81"/>
      <c r="F582" s="81"/>
      <c r="G582" s="82"/>
      <c r="H582" s="81"/>
      <c r="I582" s="81"/>
      <c r="J582" s="105"/>
      <c r="K582" s="81"/>
      <c r="L582" s="81"/>
      <c r="M582" s="105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 ht="24" customHeight="1" x14ac:dyDescent="0.5">
      <c r="A583" s="81"/>
      <c r="B583" s="81"/>
      <c r="C583" s="81"/>
      <c r="D583" s="81"/>
      <c r="E583" s="81"/>
      <c r="F583" s="81"/>
      <c r="G583" s="82"/>
      <c r="H583" s="81"/>
      <c r="I583" s="81"/>
      <c r="J583" s="105"/>
      <c r="K583" s="81"/>
      <c r="L583" s="81"/>
      <c r="M583" s="105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 ht="24" customHeight="1" x14ac:dyDescent="0.5">
      <c r="A584" s="81"/>
      <c r="B584" s="81"/>
      <c r="C584" s="81"/>
      <c r="D584" s="81"/>
      <c r="E584" s="81"/>
      <c r="F584" s="81"/>
      <c r="G584" s="82"/>
      <c r="H584" s="81"/>
      <c r="I584" s="81"/>
      <c r="J584" s="105"/>
      <c r="K584" s="81"/>
      <c r="L584" s="81"/>
      <c r="M584" s="105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 ht="24" customHeight="1" x14ac:dyDescent="0.5">
      <c r="A585" s="81"/>
      <c r="B585" s="81"/>
      <c r="C585" s="81"/>
      <c r="D585" s="81"/>
      <c r="E585" s="81"/>
      <c r="F585" s="81"/>
      <c r="G585" s="82"/>
      <c r="H585" s="81"/>
      <c r="I585" s="81"/>
      <c r="J585" s="105"/>
      <c r="K585" s="81"/>
      <c r="L585" s="81"/>
      <c r="M585" s="105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 ht="24" customHeight="1" x14ac:dyDescent="0.5">
      <c r="A586" s="81"/>
      <c r="B586" s="81"/>
      <c r="C586" s="81"/>
      <c r="D586" s="81"/>
      <c r="E586" s="81"/>
      <c r="F586" s="81"/>
      <c r="G586" s="82"/>
      <c r="H586" s="81"/>
      <c r="I586" s="81"/>
      <c r="J586" s="105"/>
      <c r="K586" s="81"/>
      <c r="L586" s="81"/>
      <c r="M586" s="105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 ht="24" customHeight="1" x14ac:dyDescent="0.5">
      <c r="A587" s="81"/>
      <c r="B587" s="81"/>
      <c r="C587" s="81"/>
      <c r="D587" s="81"/>
      <c r="E587" s="81"/>
      <c r="F587" s="81"/>
      <c r="G587" s="82"/>
      <c r="H587" s="81"/>
      <c r="I587" s="81"/>
      <c r="J587" s="105"/>
      <c r="K587" s="81"/>
      <c r="L587" s="81"/>
      <c r="M587" s="105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 ht="24" customHeight="1" x14ac:dyDescent="0.5">
      <c r="A588" s="81"/>
      <c r="B588" s="81"/>
      <c r="C588" s="81"/>
      <c r="D588" s="81"/>
      <c r="E588" s="81"/>
      <c r="F588" s="81"/>
      <c r="G588" s="82"/>
      <c r="H588" s="81"/>
      <c r="I588" s="81"/>
      <c r="J588" s="105"/>
      <c r="K588" s="81"/>
      <c r="L588" s="81"/>
      <c r="M588" s="105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 ht="24" customHeight="1" x14ac:dyDescent="0.5">
      <c r="A589" s="81"/>
      <c r="B589" s="81"/>
      <c r="C589" s="81"/>
      <c r="D589" s="81"/>
      <c r="E589" s="81"/>
      <c r="F589" s="81"/>
      <c r="G589" s="82"/>
      <c r="H589" s="81"/>
      <c r="I589" s="81"/>
      <c r="J589" s="105"/>
      <c r="K589" s="81"/>
      <c r="L589" s="81"/>
      <c r="M589" s="105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 ht="24" customHeight="1" x14ac:dyDescent="0.5">
      <c r="A590" s="81"/>
      <c r="B590" s="81"/>
      <c r="C590" s="81"/>
      <c r="D590" s="81"/>
      <c r="E590" s="81"/>
      <c r="F590" s="81"/>
      <c r="G590" s="82"/>
      <c r="H590" s="81"/>
      <c r="I590" s="81"/>
      <c r="J590" s="105"/>
      <c r="K590" s="81"/>
      <c r="L590" s="81"/>
      <c r="M590" s="105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 ht="24" customHeight="1" x14ac:dyDescent="0.5">
      <c r="A591" s="81"/>
      <c r="B591" s="81"/>
      <c r="C591" s="81"/>
      <c r="D591" s="81"/>
      <c r="E591" s="81"/>
      <c r="F591" s="81"/>
      <c r="G591" s="82"/>
      <c r="H591" s="81"/>
      <c r="I591" s="81"/>
      <c r="J591" s="105"/>
      <c r="K591" s="81"/>
      <c r="L591" s="81"/>
      <c r="M591" s="105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 ht="24" customHeight="1" x14ac:dyDescent="0.5">
      <c r="A592" s="81"/>
      <c r="B592" s="81"/>
      <c r="C592" s="81"/>
      <c r="D592" s="81"/>
      <c r="E592" s="81"/>
      <c r="F592" s="81"/>
      <c r="G592" s="82"/>
      <c r="H592" s="81"/>
      <c r="I592" s="81"/>
      <c r="J592" s="105"/>
      <c r="K592" s="81"/>
      <c r="L592" s="81"/>
      <c r="M592" s="105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 ht="24" customHeight="1" x14ac:dyDescent="0.5">
      <c r="A593" s="81"/>
      <c r="B593" s="81"/>
      <c r="C593" s="81"/>
      <c r="D593" s="81"/>
      <c r="E593" s="81"/>
      <c r="F593" s="81"/>
      <c r="G593" s="82"/>
      <c r="H593" s="81"/>
      <c r="I593" s="81"/>
      <c r="J593" s="105"/>
      <c r="K593" s="81"/>
      <c r="L593" s="81"/>
      <c r="M593" s="105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 ht="24" customHeight="1" x14ac:dyDescent="0.5">
      <c r="A594" s="81"/>
      <c r="B594" s="81"/>
      <c r="C594" s="81"/>
      <c r="D594" s="81"/>
      <c r="E594" s="81"/>
      <c r="F594" s="81"/>
      <c r="G594" s="82"/>
      <c r="H594" s="81"/>
      <c r="I594" s="81"/>
      <c r="J594" s="105"/>
      <c r="K594" s="81"/>
      <c r="L594" s="81"/>
      <c r="M594" s="105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 ht="24" customHeight="1" x14ac:dyDescent="0.5">
      <c r="A595" s="81"/>
      <c r="B595" s="81"/>
      <c r="C595" s="81"/>
      <c r="D595" s="81"/>
      <c r="E595" s="81"/>
      <c r="F595" s="81"/>
      <c r="G595" s="82"/>
      <c r="H595" s="81"/>
      <c r="I595" s="81"/>
      <c r="J595" s="105"/>
      <c r="K595" s="81"/>
      <c r="L595" s="81"/>
      <c r="M595" s="105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 ht="24" customHeight="1" x14ac:dyDescent="0.5">
      <c r="A596" s="81"/>
      <c r="B596" s="81"/>
      <c r="C596" s="81"/>
      <c r="D596" s="81"/>
      <c r="E596" s="81"/>
      <c r="F596" s="81"/>
      <c r="G596" s="82"/>
      <c r="H596" s="81"/>
      <c r="I596" s="81"/>
      <c r="J596" s="105"/>
      <c r="K596" s="81"/>
      <c r="L596" s="81"/>
      <c r="M596" s="105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 ht="24" customHeight="1" x14ac:dyDescent="0.5">
      <c r="A597" s="81"/>
      <c r="B597" s="81"/>
      <c r="C597" s="81"/>
      <c r="D597" s="81"/>
      <c r="E597" s="81"/>
      <c r="F597" s="81"/>
      <c r="G597" s="82"/>
      <c r="H597" s="81"/>
      <c r="I597" s="81"/>
      <c r="J597" s="105"/>
      <c r="K597" s="81"/>
      <c r="L597" s="81"/>
      <c r="M597" s="105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 ht="24" customHeight="1" x14ac:dyDescent="0.5">
      <c r="A598" s="81"/>
      <c r="B598" s="81"/>
      <c r="C598" s="81"/>
      <c r="D598" s="81"/>
      <c r="E598" s="81"/>
      <c r="F598" s="81"/>
      <c r="G598" s="82"/>
      <c r="H598" s="81"/>
      <c r="I598" s="81"/>
      <c r="J598" s="105"/>
      <c r="K598" s="81"/>
      <c r="L598" s="81"/>
      <c r="M598" s="105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 ht="24" customHeight="1" x14ac:dyDescent="0.5">
      <c r="A599" s="81"/>
      <c r="B599" s="81"/>
      <c r="C599" s="81"/>
      <c r="D599" s="81"/>
      <c r="E599" s="81"/>
      <c r="F599" s="81"/>
      <c r="G599" s="82"/>
      <c r="H599" s="81"/>
      <c r="I599" s="81"/>
      <c r="J599" s="105"/>
      <c r="K599" s="81"/>
      <c r="L599" s="81"/>
      <c r="M599" s="105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 ht="24" customHeight="1" x14ac:dyDescent="0.5">
      <c r="A600" s="81"/>
      <c r="B600" s="81"/>
      <c r="C600" s="81"/>
      <c r="D600" s="81"/>
      <c r="E600" s="81"/>
      <c r="F600" s="81"/>
      <c r="G600" s="82"/>
      <c r="H600" s="81"/>
      <c r="I600" s="81"/>
      <c r="J600" s="105"/>
      <c r="K600" s="81"/>
      <c r="L600" s="81"/>
      <c r="M600" s="105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 ht="24" customHeight="1" x14ac:dyDescent="0.5">
      <c r="A601" s="81"/>
      <c r="B601" s="81"/>
      <c r="C601" s="81"/>
      <c r="D601" s="81"/>
      <c r="E601" s="81"/>
      <c r="F601" s="81"/>
      <c r="G601" s="82"/>
      <c r="H601" s="81"/>
      <c r="I601" s="81"/>
      <c r="J601" s="105"/>
      <c r="K601" s="81"/>
      <c r="L601" s="81"/>
      <c r="M601" s="105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 ht="24" customHeight="1" x14ac:dyDescent="0.5">
      <c r="A602" s="81"/>
      <c r="B602" s="81"/>
      <c r="C602" s="81"/>
      <c r="D602" s="81"/>
      <c r="E602" s="81"/>
      <c r="F602" s="81"/>
      <c r="G602" s="82"/>
      <c r="H602" s="81"/>
      <c r="I602" s="81"/>
      <c r="J602" s="105"/>
      <c r="K602" s="81"/>
      <c r="L602" s="81"/>
      <c r="M602" s="105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 ht="24" customHeight="1" x14ac:dyDescent="0.5">
      <c r="A603" s="81"/>
      <c r="B603" s="81"/>
      <c r="C603" s="81"/>
      <c r="D603" s="81"/>
      <c r="E603" s="81"/>
      <c r="F603" s="81"/>
      <c r="G603" s="82"/>
      <c r="H603" s="81"/>
      <c r="I603" s="81"/>
      <c r="J603" s="105"/>
      <c r="K603" s="81"/>
      <c r="L603" s="81"/>
      <c r="M603" s="105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 ht="24" customHeight="1" x14ac:dyDescent="0.5">
      <c r="A604" s="81"/>
      <c r="B604" s="81"/>
      <c r="C604" s="81"/>
      <c r="D604" s="81"/>
      <c r="E604" s="81"/>
      <c r="F604" s="81"/>
      <c r="G604" s="82"/>
      <c r="H604" s="81"/>
      <c r="I604" s="81"/>
      <c r="J604" s="105"/>
      <c r="K604" s="81"/>
      <c r="L604" s="81"/>
      <c r="M604" s="105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 ht="24" customHeight="1" x14ac:dyDescent="0.5">
      <c r="A605" s="81"/>
      <c r="B605" s="81"/>
      <c r="C605" s="81"/>
      <c r="D605" s="81"/>
      <c r="E605" s="81"/>
      <c r="F605" s="81"/>
      <c r="G605" s="82"/>
      <c r="H605" s="81"/>
      <c r="I605" s="81"/>
      <c r="J605" s="105"/>
      <c r="K605" s="81"/>
      <c r="L605" s="81"/>
      <c r="M605" s="105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 ht="24" customHeight="1" x14ac:dyDescent="0.5">
      <c r="A606" s="81"/>
      <c r="B606" s="81"/>
      <c r="C606" s="81"/>
      <c r="D606" s="81"/>
      <c r="E606" s="81"/>
      <c r="F606" s="81"/>
      <c r="G606" s="82"/>
      <c r="H606" s="81"/>
      <c r="I606" s="81"/>
      <c r="J606" s="105"/>
      <c r="K606" s="81"/>
      <c r="L606" s="81"/>
      <c r="M606" s="105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 ht="24" customHeight="1" x14ac:dyDescent="0.5">
      <c r="A607" s="81"/>
      <c r="B607" s="81"/>
      <c r="C607" s="81"/>
      <c r="D607" s="81"/>
      <c r="E607" s="81"/>
      <c r="F607" s="81"/>
      <c r="G607" s="82"/>
      <c r="H607" s="81"/>
      <c r="I607" s="81"/>
      <c r="J607" s="105"/>
      <c r="K607" s="81"/>
      <c r="L607" s="81"/>
      <c r="M607" s="105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 ht="24" customHeight="1" x14ac:dyDescent="0.5">
      <c r="A608" s="81"/>
      <c r="B608" s="81"/>
      <c r="C608" s="81"/>
      <c r="D608" s="81"/>
      <c r="E608" s="81"/>
      <c r="F608" s="81"/>
      <c r="G608" s="82"/>
      <c r="H608" s="81"/>
      <c r="I608" s="81"/>
      <c r="J608" s="105"/>
      <c r="K608" s="81"/>
      <c r="L608" s="81"/>
      <c r="M608" s="105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 ht="24" customHeight="1" x14ac:dyDescent="0.5">
      <c r="A609" s="81"/>
      <c r="B609" s="81"/>
      <c r="C609" s="81"/>
      <c r="D609" s="81"/>
      <c r="E609" s="81"/>
      <c r="F609" s="81"/>
      <c r="G609" s="82"/>
      <c r="H609" s="81"/>
      <c r="I609" s="81"/>
      <c r="J609" s="105"/>
      <c r="K609" s="81"/>
      <c r="L609" s="81"/>
      <c r="M609" s="105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 ht="24" customHeight="1" x14ac:dyDescent="0.5">
      <c r="A610" s="81"/>
      <c r="B610" s="81"/>
      <c r="C610" s="81"/>
      <c r="D610" s="81"/>
      <c r="E610" s="81"/>
      <c r="F610" s="81"/>
      <c r="G610" s="82"/>
      <c r="H610" s="81"/>
      <c r="I610" s="81"/>
      <c r="J610" s="105"/>
      <c r="K610" s="81"/>
      <c r="L610" s="81"/>
      <c r="M610" s="105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 ht="24" customHeight="1" x14ac:dyDescent="0.5">
      <c r="A611" s="81"/>
      <c r="B611" s="81"/>
      <c r="C611" s="81"/>
      <c r="D611" s="81"/>
      <c r="E611" s="81"/>
      <c r="F611" s="81"/>
      <c r="G611" s="82"/>
      <c r="H611" s="81"/>
      <c r="I611" s="81"/>
      <c r="J611" s="105"/>
      <c r="K611" s="81"/>
      <c r="L611" s="81"/>
      <c r="M611" s="105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 ht="24" customHeight="1" x14ac:dyDescent="0.5">
      <c r="A612" s="81"/>
      <c r="B612" s="81"/>
      <c r="C612" s="81"/>
      <c r="D612" s="81"/>
      <c r="E612" s="81"/>
      <c r="F612" s="81"/>
      <c r="G612" s="82"/>
      <c r="H612" s="81"/>
      <c r="I612" s="81"/>
      <c r="J612" s="105"/>
      <c r="K612" s="81"/>
      <c r="L612" s="81"/>
      <c r="M612" s="105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 ht="24" customHeight="1" x14ac:dyDescent="0.5">
      <c r="A613" s="81"/>
      <c r="B613" s="81"/>
      <c r="C613" s="81"/>
      <c r="D613" s="81"/>
      <c r="E613" s="81"/>
      <c r="F613" s="81"/>
      <c r="G613" s="82"/>
      <c r="H613" s="81"/>
      <c r="I613" s="81"/>
      <c r="J613" s="105"/>
      <c r="K613" s="81"/>
      <c r="L613" s="81"/>
      <c r="M613" s="105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 ht="24" customHeight="1" x14ac:dyDescent="0.5">
      <c r="A614" s="81"/>
      <c r="B614" s="81"/>
      <c r="C614" s="81"/>
      <c r="D614" s="81"/>
      <c r="E614" s="81"/>
      <c r="F614" s="81"/>
      <c r="G614" s="82"/>
      <c r="H614" s="81"/>
      <c r="I614" s="81"/>
      <c r="J614" s="105"/>
      <c r="K614" s="81"/>
      <c r="L614" s="81"/>
      <c r="M614" s="105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 ht="24" customHeight="1" x14ac:dyDescent="0.5">
      <c r="A615" s="81"/>
      <c r="B615" s="81"/>
      <c r="C615" s="81"/>
      <c r="D615" s="81"/>
      <c r="E615" s="81"/>
      <c r="F615" s="81"/>
      <c r="G615" s="82"/>
      <c r="H615" s="81"/>
      <c r="I615" s="81"/>
      <c r="J615" s="105"/>
      <c r="K615" s="81"/>
      <c r="L615" s="81"/>
      <c r="M615" s="105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 ht="24" customHeight="1" x14ac:dyDescent="0.5">
      <c r="A616" s="81"/>
      <c r="B616" s="81"/>
      <c r="C616" s="81"/>
      <c r="D616" s="81"/>
      <c r="E616" s="81"/>
      <c r="F616" s="81"/>
      <c r="G616" s="82"/>
      <c r="H616" s="81"/>
      <c r="I616" s="81"/>
      <c r="J616" s="105"/>
      <c r="K616" s="81"/>
      <c r="L616" s="81"/>
      <c r="M616" s="105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 ht="24" customHeight="1" x14ac:dyDescent="0.5">
      <c r="A617" s="81"/>
      <c r="B617" s="81"/>
      <c r="C617" s="81"/>
      <c r="D617" s="81"/>
      <c r="E617" s="81"/>
      <c r="F617" s="81"/>
      <c r="G617" s="82"/>
      <c r="H617" s="81"/>
      <c r="I617" s="81"/>
      <c r="J617" s="105"/>
      <c r="K617" s="81"/>
      <c r="L617" s="81"/>
      <c r="M617" s="105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 ht="24" customHeight="1" x14ac:dyDescent="0.5">
      <c r="A618" s="81"/>
      <c r="B618" s="81"/>
      <c r="C618" s="81"/>
      <c r="D618" s="81"/>
      <c r="E618" s="81"/>
      <c r="F618" s="81"/>
      <c r="G618" s="82"/>
      <c r="H618" s="81"/>
      <c r="I618" s="81"/>
      <c r="J618" s="105"/>
      <c r="K618" s="81"/>
      <c r="L618" s="81"/>
      <c r="M618" s="105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 ht="24" customHeight="1" x14ac:dyDescent="0.5">
      <c r="A619" s="81"/>
      <c r="B619" s="81"/>
      <c r="C619" s="81"/>
      <c r="D619" s="81"/>
      <c r="E619" s="81"/>
      <c r="F619" s="81"/>
      <c r="G619" s="82"/>
      <c r="H619" s="81"/>
      <c r="I619" s="81"/>
      <c r="J619" s="105"/>
      <c r="K619" s="81"/>
      <c r="L619" s="81"/>
      <c r="M619" s="105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 ht="24" customHeight="1" x14ac:dyDescent="0.5">
      <c r="A620" s="81"/>
      <c r="B620" s="81"/>
      <c r="C620" s="81"/>
      <c r="D620" s="81"/>
      <c r="E620" s="81"/>
      <c r="F620" s="81"/>
      <c r="G620" s="82"/>
      <c r="H620" s="81"/>
      <c r="I620" s="81"/>
      <c r="J620" s="105"/>
      <c r="K620" s="81"/>
      <c r="L620" s="81"/>
      <c r="M620" s="105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 ht="24" customHeight="1" x14ac:dyDescent="0.5">
      <c r="A621" s="81"/>
      <c r="B621" s="81"/>
      <c r="C621" s="81"/>
      <c r="D621" s="81"/>
      <c r="E621" s="81"/>
      <c r="F621" s="81"/>
      <c r="G621" s="82"/>
      <c r="H621" s="81"/>
      <c r="I621" s="81"/>
      <c r="J621" s="105"/>
      <c r="K621" s="81"/>
      <c r="L621" s="81"/>
      <c r="M621" s="105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 ht="24" customHeight="1" x14ac:dyDescent="0.5">
      <c r="A622" s="81"/>
      <c r="B622" s="81"/>
      <c r="C622" s="81"/>
      <c r="D622" s="81"/>
      <c r="E622" s="81"/>
      <c r="F622" s="81"/>
      <c r="G622" s="82"/>
      <c r="H622" s="81"/>
      <c r="I622" s="81"/>
      <c r="J622" s="105"/>
      <c r="K622" s="81"/>
      <c r="L622" s="81"/>
      <c r="M622" s="105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 ht="24" customHeight="1" x14ac:dyDescent="0.5">
      <c r="A623" s="81"/>
      <c r="B623" s="81"/>
      <c r="C623" s="81"/>
      <c r="D623" s="81"/>
      <c r="E623" s="81"/>
      <c r="F623" s="81"/>
      <c r="G623" s="82"/>
      <c r="H623" s="81"/>
      <c r="I623" s="81"/>
      <c r="J623" s="105"/>
      <c r="K623" s="81"/>
      <c r="L623" s="81"/>
      <c r="M623" s="105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 ht="24" customHeight="1" x14ac:dyDescent="0.5">
      <c r="A624" s="81"/>
      <c r="B624" s="81"/>
      <c r="C624" s="81"/>
      <c r="D624" s="81"/>
      <c r="E624" s="81"/>
      <c r="F624" s="81"/>
      <c r="G624" s="82"/>
      <c r="H624" s="81"/>
      <c r="I624" s="81"/>
      <c r="J624" s="105"/>
      <c r="K624" s="81"/>
      <c r="L624" s="81"/>
      <c r="M624" s="105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 ht="24" customHeight="1" x14ac:dyDescent="0.5">
      <c r="A625" s="81"/>
      <c r="B625" s="81"/>
      <c r="C625" s="81"/>
      <c r="D625" s="81"/>
      <c r="E625" s="81"/>
      <c r="F625" s="81"/>
      <c r="G625" s="82"/>
      <c r="H625" s="81"/>
      <c r="I625" s="81"/>
      <c r="J625" s="105"/>
      <c r="K625" s="81"/>
      <c r="L625" s="81"/>
      <c r="M625" s="105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 ht="24" customHeight="1" x14ac:dyDescent="0.5">
      <c r="A626" s="81"/>
      <c r="B626" s="81"/>
      <c r="C626" s="81"/>
      <c r="D626" s="81"/>
      <c r="E626" s="81"/>
      <c r="F626" s="81"/>
      <c r="G626" s="82"/>
      <c r="H626" s="81"/>
      <c r="I626" s="81"/>
      <c r="J626" s="105"/>
      <c r="K626" s="81"/>
      <c r="L626" s="81"/>
      <c r="M626" s="105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 ht="24" customHeight="1" x14ac:dyDescent="0.5">
      <c r="A627" s="81"/>
      <c r="B627" s="81"/>
      <c r="C627" s="81"/>
      <c r="D627" s="81"/>
      <c r="E627" s="81"/>
      <c r="F627" s="81"/>
      <c r="G627" s="82"/>
      <c r="H627" s="81"/>
      <c r="I627" s="81"/>
      <c r="J627" s="105"/>
      <c r="K627" s="81"/>
      <c r="L627" s="81"/>
      <c r="M627" s="105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 ht="24" customHeight="1" x14ac:dyDescent="0.5">
      <c r="A628" s="81"/>
      <c r="B628" s="81"/>
      <c r="C628" s="81"/>
      <c r="D628" s="81"/>
      <c r="E628" s="81"/>
      <c r="F628" s="81"/>
      <c r="G628" s="82"/>
      <c r="H628" s="81"/>
      <c r="I628" s="81"/>
      <c r="J628" s="105"/>
      <c r="K628" s="81"/>
      <c r="L628" s="81"/>
      <c r="M628" s="105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 ht="24" customHeight="1" x14ac:dyDescent="0.5">
      <c r="A629" s="81"/>
      <c r="B629" s="81"/>
      <c r="C629" s="81"/>
      <c r="D629" s="81"/>
      <c r="E629" s="81"/>
      <c r="F629" s="81"/>
      <c r="G629" s="82"/>
      <c r="H629" s="81"/>
      <c r="I629" s="81"/>
      <c r="J629" s="105"/>
      <c r="K629" s="81"/>
      <c r="L629" s="81"/>
      <c r="M629" s="105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 ht="24" customHeight="1" x14ac:dyDescent="0.5">
      <c r="A630" s="81"/>
      <c r="B630" s="81"/>
      <c r="C630" s="81"/>
      <c r="D630" s="81"/>
      <c r="E630" s="81"/>
      <c r="F630" s="81"/>
      <c r="G630" s="82"/>
      <c r="H630" s="81"/>
      <c r="I630" s="81"/>
      <c r="J630" s="105"/>
      <c r="K630" s="81"/>
      <c r="L630" s="81"/>
      <c r="M630" s="105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 ht="24" customHeight="1" x14ac:dyDescent="0.5">
      <c r="A631" s="81"/>
      <c r="B631" s="81"/>
      <c r="C631" s="81"/>
      <c r="D631" s="81"/>
      <c r="E631" s="81"/>
      <c r="F631" s="81"/>
      <c r="G631" s="82"/>
      <c r="H631" s="81"/>
      <c r="I631" s="81"/>
      <c r="J631" s="105"/>
      <c r="K631" s="81"/>
      <c r="L631" s="81"/>
      <c r="M631" s="105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 ht="24" customHeight="1" x14ac:dyDescent="0.5">
      <c r="A632" s="81"/>
      <c r="B632" s="81"/>
      <c r="C632" s="81"/>
      <c r="D632" s="81"/>
      <c r="E632" s="81"/>
      <c r="F632" s="81"/>
      <c r="G632" s="82"/>
      <c r="H632" s="81"/>
      <c r="I632" s="81"/>
      <c r="J632" s="105"/>
      <c r="K632" s="81"/>
      <c r="L632" s="81"/>
      <c r="M632" s="105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 ht="24" customHeight="1" x14ac:dyDescent="0.5">
      <c r="A633" s="81"/>
      <c r="B633" s="81"/>
      <c r="C633" s="81"/>
      <c r="D633" s="81"/>
      <c r="E633" s="81"/>
      <c r="F633" s="81"/>
      <c r="G633" s="82"/>
      <c r="H633" s="81"/>
      <c r="I633" s="81"/>
      <c r="J633" s="105"/>
      <c r="K633" s="81"/>
      <c r="L633" s="81"/>
      <c r="M633" s="105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 ht="24" customHeight="1" x14ac:dyDescent="0.5">
      <c r="A634" s="81"/>
      <c r="B634" s="81"/>
      <c r="C634" s="81"/>
      <c r="D634" s="81"/>
      <c r="E634" s="81"/>
      <c r="F634" s="81"/>
      <c r="G634" s="82"/>
      <c r="H634" s="81"/>
      <c r="I634" s="81"/>
      <c r="J634" s="105"/>
      <c r="K634" s="81"/>
      <c r="L634" s="81"/>
      <c r="M634" s="105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 ht="24" customHeight="1" x14ac:dyDescent="0.5">
      <c r="A635" s="81"/>
      <c r="B635" s="81"/>
      <c r="C635" s="81"/>
      <c r="D635" s="81"/>
      <c r="E635" s="81"/>
      <c r="F635" s="81"/>
      <c r="G635" s="82"/>
      <c r="H635" s="81"/>
      <c r="I635" s="81"/>
      <c r="J635" s="105"/>
      <c r="K635" s="81"/>
      <c r="L635" s="81"/>
      <c r="M635" s="105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 ht="24" customHeight="1" x14ac:dyDescent="0.5">
      <c r="A636" s="81"/>
      <c r="B636" s="81"/>
      <c r="C636" s="81"/>
      <c r="D636" s="81"/>
      <c r="E636" s="81"/>
      <c r="F636" s="81"/>
      <c r="G636" s="82"/>
      <c r="H636" s="81"/>
      <c r="I636" s="81"/>
      <c r="J636" s="105"/>
      <c r="K636" s="81"/>
      <c r="L636" s="81"/>
      <c r="M636" s="105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 ht="24" customHeight="1" x14ac:dyDescent="0.5">
      <c r="A637" s="81"/>
      <c r="B637" s="81"/>
      <c r="C637" s="81"/>
      <c r="D637" s="81"/>
      <c r="E637" s="81"/>
      <c r="F637" s="81"/>
      <c r="G637" s="82"/>
      <c r="H637" s="81"/>
      <c r="I637" s="81"/>
      <c r="J637" s="105"/>
      <c r="K637" s="81"/>
      <c r="L637" s="81"/>
      <c r="M637" s="105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 ht="24" customHeight="1" x14ac:dyDescent="0.5">
      <c r="A638" s="81"/>
      <c r="B638" s="81"/>
      <c r="C638" s="81"/>
      <c r="D638" s="81"/>
      <c r="E638" s="81"/>
      <c r="F638" s="81"/>
      <c r="G638" s="82"/>
      <c r="H638" s="81"/>
      <c r="I638" s="81"/>
      <c r="J638" s="105"/>
      <c r="K638" s="81"/>
      <c r="L638" s="81"/>
      <c r="M638" s="105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 ht="24" customHeight="1" x14ac:dyDescent="0.5">
      <c r="A639" s="81"/>
      <c r="B639" s="81"/>
      <c r="C639" s="81"/>
      <c r="D639" s="81"/>
      <c r="E639" s="81"/>
      <c r="F639" s="81"/>
      <c r="G639" s="82"/>
      <c r="H639" s="81"/>
      <c r="I639" s="81"/>
      <c r="J639" s="105"/>
      <c r="K639" s="81"/>
      <c r="L639" s="81"/>
      <c r="M639" s="105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 ht="24" customHeight="1" x14ac:dyDescent="0.5">
      <c r="A640" s="81"/>
      <c r="B640" s="81"/>
      <c r="C640" s="81"/>
      <c r="D640" s="81"/>
      <c r="E640" s="81"/>
      <c r="F640" s="81"/>
      <c r="G640" s="82"/>
      <c r="H640" s="81"/>
      <c r="I640" s="81"/>
      <c r="J640" s="105"/>
      <c r="K640" s="81"/>
      <c r="L640" s="81"/>
      <c r="M640" s="105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 ht="24" customHeight="1" x14ac:dyDescent="0.5">
      <c r="A641" s="81"/>
      <c r="B641" s="81"/>
      <c r="C641" s="81"/>
      <c r="D641" s="81"/>
      <c r="E641" s="81"/>
      <c r="F641" s="81"/>
      <c r="G641" s="82"/>
      <c r="H641" s="81"/>
      <c r="I641" s="81"/>
      <c r="J641" s="105"/>
      <c r="K641" s="81"/>
      <c r="L641" s="81"/>
      <c r="M641" s="105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 ht="24" customHeight="1" x14ac:dyDescent="0.5">
      <c r="A642" s="81"/>
      <c r="B642" s="81"/>
      <c r="C642" s="81"/>
      <c r="D642" s="81"/>
      <c r="E642" s="81"/>
      <c r="F642" s="81"/>
      <c r="G642" s="82"/>
      <c r="H642" s="81"/>
      <c r="I642" s="81"/>
      <c r="J642" s="105"/>
      <c r="K642" s="81"/>
      <c r="L642" s="81"/>
      <c r="M642" s="105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 ht="24" customHeight="1" x14ac:dyDescent="0.5">
      <c r="A643" s="81"/>
      <c r="B643" s="81"/>
      <c r="C643" s="81"/>
      <c r="D643" s="81"/>
      <c r="E643" s="81"/>
      <c r="F643" s="81"/>
      <c r="G643" s="82"/>
      <c r="H643" s="81"/>
      <c r="I643" s="81"/>
      <c r="J643" s="105"/>
      <c r="K643" s="81"/>
      <c r="L643" s="81"/>
      <c r="M643" s="105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 ht="24" customHeight="1" x14ac:dyDescent="0.5">
      <c r="A644" s="81"/>
      <c r="B644" s="81"/>
      <c r="C644" s="81"/>
      <c r="D644" s="81"/>
      <c r="E644" s="81"/>
      <c r="F644" s="81"/>
      <c r="G644" s="82"/>
      <c r="H644" s="81"/>
      <c r="I644" s="81"/>
      <c r="J644" s="105"/>
      <c r="K644" s="81"/>
      <c r="L644" s="81"/>
      <c r="M644" s="105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 ht="24" customHeight="1" x14ac:dyDescent="0.5">
      <c r="A645" s="81"/>
      <c r="B645" s="81"/>
      <c r="C645" s="81"/>
      <c r="D645" s="81"/>
      <c r="E645" s="81"/>
      <c r="F645" s="81"/>
      <c r="G645" s="82"/>
      <c r="H645" s="81"/>
      <c r="I645" s="81"/>
      <c r="J645" s="105"/>
      <c r="K645" s="81"/>
      <c r="L645" s="81"/>
      <c r="M645" s="105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 ht="24" customHeight="1" x14ac:dyDescent="0.5">
      <c r="A646" s="81"/>
      <c r="B646" s="81"/>
      <c r="C646" s="81"/>
      <c r="D646" s="81"/>
      <c r="E646" s="81"/>
      <c r="F646" s="81"/>
      <c r="G646" s="82"/>
      <c r="H646" s="81"/>
      <c r="I646" s="81"/>
      <c r="J646" s="105"/>
      <c r="K646" s="81"/>
      <c r="L646" s="81"/>
      <c r="M646" s="105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 ht="24" customHeight="1" x14ac:dyDescent="0.5">
      <c r="A647" s="81"/>
      <c r="B647" s="81"/>
      <c r="C647" s="81"/>
      <c r="D647" s="81"/>
      <c r="E647" s="81"/>
      <c r="F647" s="81"/>
      <c r="G647" s="82"/>
      <c r="H647" s="81"/>
      <c r="I647" s="81"/>
      <c r="J647" s="105"/>
      <c r="K647" s="81"/>
      <c r="L647" s="81"/>
      <c r="M647" s="105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 ht="24" customHeight="1" x14ac:dyDescent="0.5">
      <c r="A648" s="81"/>
      <c r="B648" s="81"/>
      <c r="C648" s="81"/>
      <c r="D648" s="81"/>
      <c r="E648" s="81"/>
      <c r="F648" s="81"/>
      <c r="G648" s="82"/>
      <c r="H648" s="81"/>
      <c r="I648" s="81"/>
      <c r="J648" s="105"/>
      <c r="K648" s="81"/>
      <c r="L648" s="81"/>
      <c r="M648" s="105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 ht="24" customHeight="1" x14ac:dyDescent="0.5">
      <c r="A649" s="81"/>
      <c r="B649" s="81"/>
      <c r="C649" s="81"/>
      <c r="D649" s="81"/>
      <c r="E649" s="81"/>
      <c r="F649" s="81"/>
      <c r="G649" s="82"/>
      <c r="H649" s="81"/>
      <c r="I649" s="81"/>
      <c r="J649" s="105"/>
      <c r="K649" s="81"/>
      <c r="L649" s="81"/>
      <c r="M649" s="105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 ht="24" customHeight="1" x14ac:dyDescent="0.5">
      <c r="A650" s="81"/>
      <c r="B650" s="81"/>
      <c r="C650" s="81"/>
      <c r="D650" s="81"/>
      <c r="E650" s="81"/>
      <c r="F650" s="81"/>
      <c r="G650" s="82"/>
      <c r="H650" s="81"/>
      <c r="I650" s="81"/>
      <c r="J650" s="105"/>
      <c r="K650" s="81"/>
      <c r="L650" s="81"/>
      <c r="M650" s="105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 ht="24" customHeight="1" x14ac:dyDescent="0.5">
      <c r="A651" s="81"/>
      <c r="B651" s="81"/>
      <c r="C651" s="81"/>
      <c r="D651" s="81"/>
      <c r="E651" s="81"/>
      <c r="F651" s="81"/>
      <c r="G651" s="82"/>
      <c r="H651" s="81"/>
      <c r="I651" s="81"/>
      <c r="J651" s="105"/>
      <c r="K651" s="81"/>
      <c r="L651" s="81"/>
      <c r="M651" s="105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 ht="24" customHeight="1" x14ac:dyDescent="0.5">
      <c r="A652" s="81"/>
      <c r="B652" s="81"/>
      <c r="C652" s="81"/>
      <c r="D652" s="81"/>
      <c r="E652" s="81"/>
      <c r="F652" s="81"/>
      <c r="G652" s="82"/>
      <c r="H652" s="81"/>
      <c r="I652" s="81"/>
      <c r="J652" s="105"/>
      <c r="K652" s="81"/>
      <c r="L652" s="81"/>
      <c r="M652" s="105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 ht="24" customHeight="1" x14ac:dyDescent="0.5">
      <c r="A653" s="81"/>
      <c r="B653" s="81"/>
      <c r="C653" s="81"/>
      <c r="D653" s="81"/>
      <c r="E653" s="81"/>
      <c r="F653" s="81"/>
      <c r="G653" s="82"/>
      <c r="H653" s="81"/>
      <c r="I653" s="81"/>
      <c r="J653" s="105"/>
      <c r="K653" s="81"/>
      <c r="L653" s="81"/>
      <c r="M653" s="105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 ht="24" customHeight="1" x14ac:dyDescent="0.5">
      <c r="A654" s="81"/>
      <c r="B654" s="81"/>
      <c r="C654" s="81"/>
      <c r="D654" s="81"/>
      <c r="E654" s="81"/>
      <c r="F654" s="81"/>
      <c r="G654" s="82"/>
      <c r="H654" s="81"/>
      <c r="I654" s="81"/>
      <c r="J654" s="105"/>
      <c r="K654" s="81"/>
      <c r="L654" s="81"/>
      <c r="M654" s="105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 ht="24" customHeight="1" x14ac:dyDescent="0.5">
      <c r="A655" s="81"/>
      <c r="B655" s="81"/>
      <c r="C655" s="81"/>
      <c r="D655" s="81"/>
      <c r="E655" s="81"/>
      <c r="F655" s="81"/>
      <c r="G655" s="82"/>
      <c r="H655" s="81"/>
      <c r="I655" s="81"/>
      <c r="J655" s="105"/>
      <c r="K655" s="81"/>
      <c r="L655" s="81"/>
      <c r="M655" s="105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 ht="24" customHeight="1" x14ac:dyDescent="0.5">
      <c r="A656" s="81"/>
      <c r="B656" s="81"/>
      <c r="C656" s="81"/>
      <c r="D656" s="81"/>
      <c r="E656" s="81"/>
      <c r="F656" s="81"/>
      <c r="G656" s="82"/>
      <c r="H656" s="81"/>
      <c r="I656" s="81"/>
      <c r="J656" s="105"/>
      <c r="K656" s="81"/>
      <c r="L656" s="81"/>
      <c r="M656" s="105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 ht="24" customHeight="1" x14ac:dyDescent="0.5">
      <c r="A657" s="81"/>
      <c r="B657" s="81"/>
      <c r="C657" s="81"/>
      <c r="D657" s="81"/>
      <c r="E657" s="81"/>
      <c r="F657" s="81"/>
      <c r="G657" s="82"/>
      <c r="H657" s="81"/>
      <c r="I657" s="81"/>
      <c r="J657" s="105"/>
      <c r="K657" s="81"/>
      <c r="L657" s="81"/>
      <c r="M657" s="105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 ht="24" customHeight="1" x14ac:dyDescent="0.5">
      <c r="A658" s="81"/>
      <c r="B658" s="81"/>
      <c r="C658" s="81"/>
      <c r="D658" s="81"/>
      <c r="E658" s="81"/>
      <c r="F658" s="81"/>
      <c r="G658" s="82"/>
      <c r="H658" s="81"/>
      <c r="I658" s="81"/>
      <c r="J658" s="105"/>
      <c r="K658" s="81"/>
      <c r="L658" s="81"/>
      <c r="M658" s="105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 ht="24" customHeight="1" x14ac:dyDescent="0.5">
      <c r="A659" s="81"/>
      <c r="B659" s="81"/>
      <c r="C659" s="81"/>
      <c r="D659" s="81"/>
      <c r="E659" s="81"/>
      <c r="F659" s="81"/>
      <c r="G659" s="82"/>
      <c r="H659" s="81"/>
      <c r="I659" s="81"/>
      <c r="J659" s="105"/>
      <c r="K659" s="81"/>
      <c r="L659" s="81"/>
      <c r="M659" s="105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 ht="24" customHeight="1" x14ac:dyDescent="0.5">
      <c r="A660" s="81"/>
      <c r="B660" s="81"/>
      <c r="C660" s="81"/>
      <c r="D660" s="81"/>
      <c r="E660" s="81"/>
      <c r="F660" s="81"/>
      <c r="G660" s="82"/>
      <c r="H660" s="81"/>
      <c r="I660" s="81"/>
      <c r="J660" s="105"/>
      <c r="K660" s="81"/>
      <c r="L660" s="81"/>
      <c r="M660" s="105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 ht="24" customHeight="1" x14ac:dyDescent="0.5">
      <c r="A661" s="81"/>
      <c r="B661" s="81"/>
      <c r="C661" s="81"/>
      <c r="D661" s="81"/>
      <c r="E661" s="81"/>
      <c r="F661" s="81"/>
      <c r="G661" s="82"/>
      <c r="H661" s="81"/>
      <c r="I661" s="81"/>
      <c r="J661" s="105"/>
      <c r="K661" s="81"/>
      <c r="L661" s="81"/>
      <c r="M661" s="105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 ht="24" customHeight="1" x14ac:dyDescent="0.5">
      <c r="A662" s="81"/>
      <c r="B662" s="81"/>
      <c r="C662" s="81"/>
      <c r="D662" s="81"/>
      <c r="E662" s="81"/>
      <c r="F662" s="81"/>
      <c r="G662" s="82"/>
      <c r="H662" s="81"/>
      <c r="I662" s="81"/>
      <c r="J662" s="105"/>
      <c r="K662" s="81"/>
      <c r="L662" s="81"/>
      <c r="M662" s="105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 ht="24" customHeight="1" x14ac:dyDescent="0.5">
      <c r="A663" s="81"/>
      <c r="B663" s="81"/>
      <c r="C663" s="81"/>
      <c r="D663" s="81"/>
      <c r="E663" s="81"/>
      <c r="F663" s="81"/>
      <c r="G663" s="82"/>
      <c r="H663" s="81"/>
      <c r="I663" s="81"/>
      <c r="J663" s="105"/>
      <c r="K663" s="81"/>
      <c r="L663" s="81"/>
      <c r="M663" s="105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 ht="24" customHeight="1" x14ac:dyDescent="0.5">
      <c r="A664" s="81"/>
      <c r="B664" s="81"/>
      <c r="C664" s="81"/>
      <c r="D664" s="81"/>
      <c r="E664" s="81"/>
      <c r="F664" s="81"/>
      <c r="G664" s="82"/>
      <c r="H664" s="81"/>
      <c r="I664" s="81"/>
      <c r="J664" s="105"/>
      <c r="K664" s="81"/>
      <c r="L664" s="81"/>
      <c r="M664" s="105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 ht="24" customHeight="1" x14ac:dyDescent="0.5">
      <c r="A665" s="81"/>
      <c r="B665" s="81"/>
      <c r="C665" s="81"/>
      <c r="D665" s="81"/>
      <c r="E665" s="81"/>
      <c r="F665" s="81"/>
      <c r="G665" s="82"/>
      <c r="H665" s="81"/>
      <c r="I665" s="81"/>
      <c r="J665" s="105"/>
      <c r="K665" s="81"/>
      <c r="L665" s="81"/>
      <c r="M665" s="105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 ht="24" customHeight="1" x14ac:dyDescent="0.5">
      <c r="A666" s="81"/>
      <c r="B666" s="81"/>
      <c r="C666" s="81"/>
      <c r="D666" s="81"/>
      <c r="E666" s="81"/>
      <c r="F666" s="81"/>
      <c r="G666" s="82"/>
      <c r="H666" s="81"/>
      <c r="I666" s="81"/>
      <c r="J666" s="105"/>
      <c r="K666" s="81"/>
      <c r="L666" s="81"/>
      <c r="M666" s="105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 ht="24" customHeight="1" x14ac:dyDescent="0.5">
      <c r="A667" s="81"/>
      <c r="B667" s="81"/>
      <c r="C667" s="81"/>
      <c r="D667" s="81"/>
      <c r="E667" s="81"/>
      <c r="F667" s="81"/>
      <c r="G667" s="82"/>
      <c r="H667" s="81"/>
      <c r="I667" s="81"/>
      <c r="J667" s="105"/>
      <c r="K667" s="81"/>
      <c r="L667" s="81"/>
      <c r="M667" s="105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 ht="24" customHeight="1" x14ac:dyDescent="0.5">
      <c r="A668" s="81"/>
      <c r="B668" s="81"/>
      <c r="C668" s="81"/>
      <c r="D668" s="81"/>
      <c r="E668" s="81"/>
      <c r="F668" s="81"/>
      <c r="G668" s="82"/>
      <c r="H668" s="81"/>
      <c r="I668" s="81"/>
      <c r="J668" s="105"/>
      <c r="K668" s="81"/>
      <c r="L668" s="81"/>
      <c r="M668" s="105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 ht="24" customHeight="1" x14ac:dyDescent="0.5">
      <c r="A669" s="81"/>
      <c r="B669" s="81"/>
      <c r="C669" s="81"/>
      <c r="D669" s="81"/>
      <c r="E669" s="81"/>
      <c r="F669" s="81"/>
      <c r="G669" s="82"/>
      <c r="H669" s="81"/>
      <c r="I669" s="81"/>
      <c r="J669" s="105"/>
      <c r="K669" s="81"/>
      <c r="L669" s="81"/>
      <c r="M669" s="105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 ht="24" customHeight="1" x14ac:dyDescent="0.5">
      <c r="A670" s="81"/>
      <c r="B670" s="81"/>
      <c r="C670" s="81"/>
      <c r="D670" s="81"/>
      <c r="E670" s="81"/>
      <c r="F670" s="81"/>
      <c r="G670" s="82"/>
      <c r="H670" s="81"/>
      <c r="I670" s="81"/>
      <c r="J670" s="105"/>
      <c r="K670" s="81"/>
      <c r="L670" s="81"/>
      <c r="M670" s="105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 ht="24" customHeight="1" x14ac:dyDescent="0.5">
      <c r="A671" s="81"/>
      <c r="B671" s="81"/>
      <c r="C671" s="81"/>
      <c r="D671" s="81"/>
      <c r="E671" s="81"/>
      <c r="F671" s="81"/>
      <c r="G671" s="82"/>
      <c r="H671" s="81"/>
      <c r="I671" s="81"/>
      <c r="J671" s="105"/>
      <c r="K671" s="81"/>
      <c r="L671" s="81"/>
      <c r="M671" s="105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 ht="24" customHeight="1" x14ac:dyDescent="0.5">
      <c r="A672" s="81"/>
      <c r="B672" s="81"/>
      <c r="C672" s="81"/>
      <c r="D672" s="81"/>
      <c r="E672" s="81"/>
      <c r="F672" s="81"/>
      <c r="G672" s="82"/>
      <c r="H672" s="81"/>
      <c r="I672" s="81"/>
      <c r="J672" s="105"/>
      <c r="K672" s="81"/>
      <c r="L672" s="81"/>
      <c r="M672" s="105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 ht="24" customHeight="1" x14ac:dyDescent="0.5">
      <c r="A673" s="81"/>
      <c r="B673" s="81"/>
      <c r="C673" s="81"/>
      <c r="D673" s="81"/>
      <c r="E673" s="81"/>
      <c r="F673" s="81"/>
      <c r="G673" s="82"/>
      <c r="H673" s="81"/>
      <c r="I673" s="81"/>
      <c r="J673" s="105"/>
      <c r="K673" s="81"/>
      <c r="L673" s="81"/>
      <c r="M673" s="105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 ht="24" customHeight="1" x14ac:dyDescent="0.5">
      <c r="A674" s="81"/>
      <c r="B674" s="81"/>
      <c r="C674" s="81"/>
      <c r="D674" s="81"/>
      <c r="E674" s="81"/>
      <c r="F674" s="81"/>
      <c r="G674" s="82"/>
      <c r="H674" s="81"/>
      <c r="I674" s="81"/>
      <c r="J674" s="105"/>
      <c r="K674" s="81"/>
      <c r="L674" s="81"/>
      <c r="M674" s="105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 ht="24" customHeight="1" x14ac:dyDescent="0.5">
      <c r="A675" s="81"/>
      <c r="B675" s="81"/>
      <c r="C675" s="81"/>
      <c r="D675" s="81"/>
      <c r="E675" s="81"/>
      <c r="F675" s="81"/>
      <c r="G675" s="82"/>
      <c r="H675" s="81"/>
      <c r="I675" s="81"/>
      <c r="J675" s="105"/>
      <c r="K675" s="81"/>
      <c r="L675" s="81"/>
      <c r="M675" s="105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 ht="24" customHeight="1" x14ac:dyDescent="0.5">
      <c r="A676" s="81"/>
      <c r="B676" s="81"/>
      <c r="C676" s="81"/>
      <c r="D676" s="81"/>
      <c r="E676" s="81"/>
      <c r="F676" s="81"/>
      <c r="G676" s="82"/>
      <c r="H676" s="81"/>
      <c r="I676" s="81"/>
      <c r="J676" s="105"/>
      <c r="K676" s="81"/>
      <c r="L676" s="81"/>
      <c r="M676" s="105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 ht="24" customHeight="1" x14ac:dyDescent="0.5">
      <c r="A677" s="81"/>
      <c r="B677" s="81"/>
      <c r="C677" s="81"/>
      <c r="D677" s="81"/>
      <c r="E677" s="81"/>
      <c r="F677" s="81"/>
      <c r="G677" s="82"/>
      <c r="H677" s="81"/>
      <c r="I677" s="81"/>
      <c r="J677" s="105"/>
      <c r="K677" s="81"/>
      <c r="L677" s="81"/>
      <c r="M677" s="105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 ht="24" customHeight="1" x14ac:dyDescent="0.5">
      <c r="A678" s="81"/>
      <c r="B678" s="81"/>
      <c r="C678" s="81"/>
      <c r="D678" s="81"/>
      <c r="E678" s="81"/>
      <c r="F678" s="81"/>
      <c r="G678" s="82"/>
      <c r="H678" s="81"/>
      <c r="I678" s="81"/>
      <c r="J678" s="105"/>
      <c r="K678" s="81"/>
      <c r="L678" s="81"/>
      <c r="M678" s="105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 ht="24" customHeight="1" x14ac:dyDescent="0.5">
      <c r="A679" s="81"/>
      <c r="B679" s="81"/>
      <c r="C679" s="81"/>
      <c r="D679" s="81"/>
      <c r="E679" s="81"/>
      <c r="F679" s="81"/>
      <c r="G679" s="82"/>
      <c r="H679" s="81"/>
      <c r="I679" s="81"/>
      <c r="J679" s="105"/>
      <c r="K679" s="81"/>
      <c r="L679" s="81"/>
      <c r="M679" s="105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 ht="24" customHeight="1" x14ac:dyDescent="0.5">
      <c r="A680" s="81"/>
      <c r="B680" s="81"/>
      <c r="C680" s="81"/>
      <c r="D680" s="81"/>
      <c r="E680" s="81"/>
      <c r="F680" s="81"/>
      <c r="G680" s="82"/>
      <c r="H680" s="81"/>
      <c r="I680" s="81"/>
      <c r="J680" s="105"/>
      <c r="K680" s="81"/>
      <c r="L680" s="81"/>
      <c r="M680" s="105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 ht="24" customHeight="1" x14ac:dyDescent="0.5">
      <c r="A681" s="81"/>
      <c r="B681" s="81"/>
      <c r="C681" s="81"/>
      <c r="D681" s="81"/>
      <c r="E681" s="81"/>
      <c r="F681" s="81"/>
      <c r="G681" s="82"/>
      <c r="H681" s="81"/>
      <c r="I681" s="81"/>
      <c r="J681" s="105"/>
      <c r="K681" s="81"/>
      <c r="L681" s="81"/>
      <c r="M681" s="105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 ht="24" customHeight="1" x14ac:dyDescent="0.5">
      <c r="A682" s="81"/>
      <c r="B682" s="81"/>
      <c r="C682" s="81"/>
      <c r="D682" s="81"/>
      <c r="E682" s="81"/>
      <c r="F682" s="81"/>
      <c r="G682" s="82"/>
      <c r="H682" s="81"/>
      <c r="I682" s="81"/>
      <c r="J682" s="105"/>
      <c r="K682" s="81"/>
      <c r="L682" s="81"/>
      <c r="M682" s="105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 ht="24" customHeight="1" x14ac:dyDescent="0.5">
      <c r="A683" s="81"/>
      <c r="B683" s="81"/>
      <c r="C683" s="81"/>
      <c r="D683" s="81"/>
      <c r="E683" s="81"/>
      <c r="F683" s="81"/>
      <c r="G683" s="82"/>
      <c r="H683" s="81"/>
      <c r="I683" s="81"/>
      <c r="J683" s="105"/>
      <c r="K683" s="81"/>
      <c r="L683" s="81"/>
      <c r="M683" s="105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 ht="24" customHeight="1" x14ac:dyDescent="0.5">
      <c r="A684" s="81"/>
      <c r="B684" s="81"/>
      <c r="C684" s="81"/>
      <c r="D684" s="81"/>
      <c r="E684" s="81"/>
      <c r="F684" s="81"/>
      <c r="G684" s="82"/>
      <c r="H684" s="81"/>
      <c r="I684" s="81"/>
      <c r="J684" s="105"/>
      <c r="K684" s="81"/>
      <c r="L684" s="81"/>
      <c r="M684" s="105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 ht="24" customHeight="1" x14ac:dyDescent="0.5">
      <c r="A685" s="81"/>
      <c r="B685" s="81"/>
      <c r="C685" s="81"/>
      <c r="D685" s="81"/>
      <c r="E685" s="81"/>
      <c r="F685" s="81"/>
      <c r="G685" s="82"/>
      <c r="H685" s="81"/>
      <c r="I685" s="81"/>
      <c r="J685" s="105"/>
      <c r="K685" s="81"/>
      <c r="L685" s="81"/>
      <c r="M685" s="105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 ht="24" customHeight="1" x14ac:dyDescent="0.5">
      <c r="A686" s="81"/>
      <c r="B686" s="81"/>
      <c r="C686" s="81"/>
      <c r="D686" s="81"/>
      <c r="E686" s="81"/>
      <c r="F686" s="81"/>
      <c r="G686" s="82"/>
      <c r="H686" s="81"/>
      <c r="I686" s="81"/>
      <c r="J686" s="105"/>
      <c r="K686" s="81"/>
      <c r="L686" s="81"/>
      <c r="M686" s="105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 ht="24" customHeight="1" x14ac:dyDescent="0.5">
      <c r="A687" s="81"/>
      <c r="B687" s="81"/>
      <c r="C687" s="81"/>
      <c r="D687" s="81"/>
      <c r="E687" s="81"/>
      <c r="F687" s="81"/>
      <c r="G687" s="82"/>
      <c r="H687" s="81"/>
      <c r="I687" s="81"/>
      <c r="J687" s="105"/>
      <c r="K687" s="81"/>
      <c r="L687" s="81"/>
      <c r="M687" s="105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 ht="24" customHeight="1" x14ac:dyDescent="0.5">
      <c r="A688" s="81"/>
      <c r="B688" s="81"/>
      <c r="C688" s="81"/>
      <c r="D688" s="81"/>
      <c r="E688" s="81"/>
      <c r="F688" s="81"/>
      <c r="G688" s="82"/>
      <c r="H688" s="81"/>
      <c r="I688" s="81"/>
      <c r="J688" s="105"/>
      <c r="K688" s="81"/>
      <c r="L688" s="81"/>
      <c r="M688" s="105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 ht="24" customHeight="1" x14ac:dyDescent="0.5">
      <c r="A689" s="81"/>
      <c r="B689" s="81"/>
      <c r="C689" s="81"/>
      <c r="D689" s="81"/>
      <c r="E689" s="81"/>
      <c r="F689" s="81"/>
      <c r="G689" s="82"/>
      <c r="H689" s="81"/>
      <c r="I689" s="81"/>
      <c r="J689" s="105"/>
      <c r="K689" s="81"/>
      <c r="L689" s="81"/>
      <c r="M689" s="105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 ht="24" customHeight="1" x14ac:dyDescent="0.5">
      <c r="A690" s="81"/>
      <c r="B690" s="81"/>
      <c r="C690" s="81"/>
      <c r="D690" s="81"/>
      <c r="E690" s="81"/>
      <c r="F690" s="81"/>
      <c r="G690" s="82"/>
      <c r="H690" s="81"/>
      <c r="I690" s="81"/>
      <c r="J690" s="105"/>
      <c r="K690" s="81"/>
      <c r="L690" s="81"/>
      <c r="M690" s="105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 ht="24" customHeight="1" x14ac:dyDescent="0.5">
      <c r="A691" s="81"/>
      <c r="B691" s="81"/>
      <c r="C691" s="81"/>
      <c r="D691" s="81"/>
      <c r="E691" s="81"/>
      <c r="F691" s="81"/>
      <c r="G691" s="82"/>
      <c r="H691" s="81"/>
      <c r="I691" s="81"/>
      <c r="J691" s="105"/>
      <c r="K691" s="81"/>
      <c r="L691" s="81"/>
      <c r="M691" s="105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 ht="24" customHeight="1" x14ac:dyDescent="0.5">
      <c r="A692" s="81"/>
      <c r="B692" s="81"/>
      <c r="C692" s="81"/>
      <c r="D692" s="81"/>
      <c r="E692" s="81"/>
      <c r="F692" s="81"/>
      <c r="G692" s="82"/>
      <c r="H692" s="81"/>
      <c r="I692" s="81"/>
      <c r="J692" s="105"/>
      <c r="K692" s="81"/>
      <c r="L692" s="81"/>
      <c r="M692" s="105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 ht="24" customHeight="1" x14ac:dyDescent="0.5">
      <c r="A693" s="81"/>
      <c r="B693" s="81"/>
      <c r="C693" s="81"/>
      <c r="D693" s="81"/>
      <c r="E693" s="81"/>
      <c r="F693" s="81"/>
      <c r="G693" s="82"/>
      <c r="H693" s="81"/>
      <c r="I693" s="81"/>
      <c r="J693" s="105"/>
      <c r="K693" s="81"/>
      <c r="L693" s="81"/>
      <c r="M693" s="105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 ht="24" customHeight="1" x14ac:dyDescent="0.5">
      <c r="A694" s="81"/>
      <c r="B694" s="81"/>
      <c r="C694" s="81"/>
      <c r="D694" s="81"/>
      <c r="E694" s="81"/>
      <c r="F694" s="81"/>
      <c r="G694" s="82"/>
      <c r="H694" s="81"/>
      <c r="I694" s="81"/>
      <c r="J694" s="105"/>
      <c r="K694" s="81"/>
      <c r="L694" s="81"/>
      <c r="M694" s="105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 ht="24" customHeight="1" x14ac:dyDescent="0.5">
      <c r="A695" s="81"/>
      <c r="B695" s="81"/>
      <c r="C695" s="81"/>
      <c r="D695" s="81"/>
      <c r="E695" s="81"/>
      <c r="F695" s="81"/>
      <c r="G695" s="82"/>
      <c r="H695" s="81"/>
      <c r="I695" s="81"/>
      <c r="J695" s="105"/>
      <c r="K695" s="81"/>
      <c r="L695" s="81"/>
      <c r="M695" s="105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 ht="24" customHeight="1" x14ac:dyDescent="0.5">
      <c r="A696" s="81"/>
      <c r="B696" s="81"/>
      <c r="C696" s="81"/>
      <c r="D696" s="81"/>
      <c r="E696" s="81"/>
      <c r="F696" s="81"/>
      <c r="G696" s="82"/>
      <c r="H696" s="81"/>
      <c r="I696" s="81"/>
      <c r="J696" s="105"/>
      <c r="K696" s="81"/>
      <c r="L696" s="81"/>
      <c r="M696" s="105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 ht="24" customHeight="1" x14ac:dyDescent="0.5">
      <c r="A697" s="81"/>
      <c r="B697" s="81"/>
      <c r="C697" s="81"/>
      <c r="D697" s="81"/>
      <c r="E697" s="81"/>
      <c r="F697" s="81"/>
      <c r="G697" s="82"/>
      <c r="H697" s="81"/>
      <c r="I697" s="81"/>
      <c r="J697" s="105"/>
      <c r="K697" s="81"/>
      <c r="L697" s="81"/>
      <c r="M697" s="105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 ht="24" customHeight="1" x14ac:dyDescent="0.5">
      <c r="A698" s="81"/>
      <c r="B698" s="81"/>
      <c r="C698" s="81"/>
      <c r="D698" s="81"/>
      <c r="E698" s="81"/>
      <c r="F698" s="81"/>
      <c r="G698" s="82"/>
      <c r="H698" s="81"/>
      <c r="I698" s="81"/>
      <c r="J698" s="105"/>
      <c r="K698" s="81"/>
      <c r="L698" s="81"/>
      <c r="M698" s="105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 ht="24" customHeight="1" x14ac:dyDescent="0.5">
      <c r="A699" s="81"/>
      <c r="B699" s="81"/>
      <c r="C699" s="81"/>
      <c r="D699" s="81"/>
      <c r="E699" s="81"/>
      <c r="F699" s="81"/>
      <c r="G699" s="82"/>
      <c r="H699" s="81"/>
      <c r="I699" s="81"/>
      <c r="J699" s="105"/>
      <c r="K699" s="81"/>
      <c r="L699" s="81"/>
      <c r="M699" s="105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 ht="24" customHeight="1" x14ac:dyDescent="0.5">
      <c r="A700" s="81"/>
      <c r="B700" s="81"/>
      <c r="C700" s="81"/>
      <c r="D700" s="81"/>
      <c r="E700" s="81"/>
      <c r="F700" s="81"/>
      <c r="G700" s="82"/>
      <c r="H700" s="81"/>
      <c r="I700" s="81"/>
      <c r="J700" s="105"/>
      <c r="K700" s="81"/>
      <c r="L700" s="81"/>
      <c r="M700" s="105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 ht="24" customHeight="1" x14ac:dyDescent="0.5">
      <c r="A701" s="81"/>
      <c r="B701" s="81"/>
      <c r="C701" s="81"/>
      <c r="D701" s="81"/>
      <c r="E701" s="81"/>
      <c r="F701" s="81"/>
      <c r="G701" s="82"/>
      <c r="H701" s="81"/>
      <c r="I701" s="81"/>
      <c r="J701" s="105"/>
      <c r="K701" s="81"/>
      <c r="L701" s="81"/>
      <c r="M701" s="105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 ht="24" customHeight="1" x14ac:dyDescent="0.5">
      <c r="A702" s="81"/>
      <c r="B702" s="81"/>
      <c r="C702" s="81"/>
      <c r="D702" s="81"/>
      <c r="E702" s="81"/>
      <c r="F702" s="81"/>
      <c r="G702" s="82"/>
      <c r="H702" s="81"/>
      <c r="I702" s="81"/>
      <c r="J702" s="105"/>
      <c r="K702" s="81"/>
      <c r="L702" s="81"/>
      <c r="M702" s="105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 ht="24" customHeight="1" x14ac:dyDescent="0.5">
      <c r="A703" s="81"/>
      <c r="B703" s="81"/>
      <c r="C703" s="81"/>
      <c r="D703" s="81"/>
      <c r="E703" s="81"/>
      <c r="F703" s="81"/>
      <c r="G703" s="82"/>
      <c r="H703" s="81"/>
      <c r="I703" s="81"/>
      <c r="J703" s="105"/>
      <c r="K703" s="81"/>
      <c r="L703" s="81"/>
      <c r="M703" s="105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 ht="24" customHeight="1" x14ac:dyDescent="0.5">
      <c r="A704" s="81"/>
      <c r="B704" s="81"/>
      <c r="C704" s="81"/>
      <c r="D704" s="81"/>
      <c r="E704" s="81"/>
      <c r="F704" s="81"/>
      <c r="G704" s="82"/>
      <c r="H704" s="81"/>
      <c r="I704" s="81"/>
      <c r="J704" s="105"/>
      <c r="K704" s="81"/>
      <c r="L704" s="81"/>
      <c r="M704" s="105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 ht="24" customHeight="1" x14ac:dyDescent="0.5">
      <c r="A705" s="81"/>
      <c r="B705" s="81"/>
      <c r="C705" s="81"/>
      <c r="D705" s="81"/>
      <c r="E705" s="81"/>
      <c r="F705" s="81"/>
      <c r="G705" s="82"/>
      <c r="H705" s="81"/>
      <c r="I705" s="81"/>
      <c r="J705" s="105"/>
      <c r="K705" s="81"/>
      <c r="L705" s="81"/>
      <c r="M705" s="105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 ht="24" customHeight="1" x14ac:dyDescent="0.5">
      <c r="A706" s="81"/>
      <c r="B706" s="81"/>
      <c r="C706" s="81"/>
      <c r="D706" s="81"/>
      <c r="E706" s="81"/>
      <c r="F706" s="81"/>
      <c r="G706" s="82"/>
      <c r="H706" s="81"/>
      <c r="I706" s="81"/>
      <c r="J706" s="105"/>
      <c r="K706" s="81"/>
      <c r="L706" s="81"/>
      <c r="M706" s="105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 ht="24" customHeight="1" x14ac:dyDescent="0.5">
      <c r="A707" s="81"/>
      <c r="B707" s="81"/>
      <c r="C707" s="81"/>
      <c r="D707" s="81"/>
      <c r="E707" s="81"/>
      <c r="F707" s="81"/>
      <c r="G707" s="82"/>
      <c r="H707" s="81"/>
      <c r="I707" s="81"/>
      <c r="J707" s="105"/>
      <c r="K707" s="81"/>
      <c r="L707" s="81"/>
      <c r="M707" s="105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 ht="24" customHeight="1" x14ac:dyDescent="0.5">
      <c r="A708" s="81"/>
      <c r="B708" s="81"/>
      <c r="C708" s="81"/>
      <c r="D708" s="81"/>
      <c r="E708" s="81"/>
      <c r="F708" s="81"/>
      <c r="G708" s="82"/>
      <c r="H708" s="81"/>
      <c r="I708" s="81"/>
      <c r="J708" s="105"/>
      <c r="K708" s="81"/>
      <c r="L708" s="81"/>
      <c r="M708" s="105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 ht="24" customHeight="1" x14ac:dyDescent="0.5">
      <c r="A709" s="81"/>
      <c r="B709" s="81"/>
      <c r="C709" s="81"/>
      <c r="D709" s="81"/>
      <c r="E709" s="81"/>
      <c r="F709" s="81"/>
      <c r="G709" s="82"/>
      <c r="H709" s="81"/>
      <c r="I709" s="81"/>
      <c r="J709" s="105"/>
      <c r="K709" s="81"/>
      <c r="L709" s="81"/>
      <c r="M709" s="105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 ht="24" customHeight="1" x14ac:dyDescent="0.5">
      <c r="A710" s="81"/>
      <c r="B710" s="81"/>
      <c r="C710" s="81"/>
      <c r="D710" s="81"/>
      <c r="E710" s="81"/>
      <c r="F710" s="81"/>
      <c r="G710" s="82"/>
      <c r="H710" s="81"/>
      <c r="I710" s="81"/>
      <c r="J710" s="105"/>
      <c r="K710" s="81"/>
      <c r="L710" s="81"/>
      <c r="M710" s="105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 ht="24" customHeight="1" x14ac:dyDescent="0.5">
      <c r="A711" s="81"/>
      <c r="B711" s="81"/>
      <c r="C711" s="81"/>
      <c r="D711" s="81"/>
      <c r="E711" s="81"/>
      <c r="F711" s="81"/>
      <c r="G711" s="82"/>
      <c r="H711" s="81"/>
      <c r="I711" s="81"/>
      <c r="J711" s="105"/>
      <c r="K711" s="81"/>
      <c r="L711" s="81"/>
      <c r="M711" s="105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 ht="24" customHeight="1" x14ac:dyDescent="0.5">
      <c r="A712" s="81"/>
      <c r="B712" s="81"/>
      <c r="C712" s="81"/>
      <c r="D712" s="81"/>
      <c r="E712" s="81"/>
      <c r="F712" s="81"/>
      <c r="G712" s="82"/>
      <c r="H712" s="81"/>
      <c r="I712" s="81"/>
      <c r="J712" s="105"/>
      <c r="K712" s="81"/>
      <c r="L712" s="81"/>
      <c r="M712" s="105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 ht="24" customHeight="1" x14ac:dyDescent="0.5">
      <c r="A713" s="81"/>
      <c r="B713" s="81"/>
      <c r="C713" s="81"/>
      <c r="D713" s="81"/>
      <c r="E713" s="81"/>
      <c r="F713" s="81"/>
      <c r="G713" s="82"/>
      <c r="H713" s="81"/>
      <c r="I713" s="81"/>
      <c r="J713" s="105"/>
      <c r="K713" s="81"/>
      <c r="L713" s="81"/>
      <c r="M713" s="105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 ht="24" customHeight="1" x14ac:dyDescent="0.5">
      <c r="A714" s="81"/>
      <c r="B714" s="81"/>
      <c r="C714" s="81"/>
      <c r="D714" s="81"/>
      <c r="E714" s="81"/>
      <c r="F714" s="81"/>
      <c r="G714" s="82"/>
      <c r="H714" s="81"/>
      <c r="I714" s="81"/>
      <c r="J714" s="105"/>
      <c r="K714" s="81"/>
      <c r="L714" s="81"/>
      <c r="M714" s="105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 ht="24" customHeight="1" x14ac:dyDescent="0.5">
      <c r="A715" s="81"/>
      <c r="B715" s="81"/>
      <c r="C715" s="81"/>
      <c r="D715" s="81"/>
      <c r="E715" s="81"/>
      <c r="F715" s="81"/>
      <c r="G715" s="82"/>
      <c r="H715" s="81"/>
      <c r="I715" s="81"/>
      <c r="J715" s="105"/>
      <c r="K715" s="81"/>
      <c r="L715" s="81"/>
      <c r="M715" s="105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 ht="24" customHeight="1" x14ac:dyDescent="0.5">
      <c r="A716" s="81"/>
      <c r="B716" s="81"/>
      <c r="C716" s="81"/>
      <c r="D716" s="81"/>
      <c r="E716" s="81"/>
      <c r="F716" s="81"/>
      <c r="G716" s="82"/>
      <c r="H716" s="81"/>
      <c r="I716" s="81"/>
      <c r="J716" s="105"/>
      <c r="K716" s="81"/>
      <c r="L716" s="81"/>
      <c r="M716" s="105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 ht="24" customHeight="1" x14ac:dyDescent="0.5">
      <c r="A717" s="81"/>
      <c r="B717" s="81"/>
      <c r="C717" s="81"/>
      <c r="D717" s="81"/>
      <c r="E717" s="81"/>
      <c r="F717" s="81"/>
      <c r="G717" s="82"/>
      <c r="H717" s="81"/>
      <c r="I717" s="81"/>
      <c r="J717" s="105"/>
      <c r="K717" s="81"/>
      <c r="L717" s="81"/>
      <c r="M717" s="105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 ht="24" customHeight="1" x14ac:dyDescent="0.5">
      <c r="A718" s="81"/>
      <c r="B718" s="81"/>
      <c r="C718" s="81"/>
      <c r="D718" s="81"/>
      <c r="E718" s="81"/>
      <c r="F718" s="81"/>
      <c r="G718" s="82"/>
      <c r="H718" s="81"/>
      <c r="I718" s="81"/>
      <c r="J718" s="105"/>
      <c r="K718" s="81"/>
      <c r="L718" s="81"/>
      <c r="M718" s="105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 ht="24" customHeight="1" x14ac:dyDescent="0.5">
      <c r="A719" s="81"/>
      <c r="B719" s="81"/>
      <c r="C719" s="81"/>
      <c r="D719" s="81"/>
      <c r="E719" s="81"/>
      <c r="F719" s="81"/>
      <c r="G719" s="82"/>
      <c r="H719" s="81"/>
      <c r="I719" s="81"/>
      <c r="J719" s="105"/>
      <c r="K719" s="81"/>
      <c r="L719" s="81"/>
      <c r="M719" s="105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 ht="24" customHeight="1" x14ac:dyDescent="0.5">
      <c r="A720" s="81"/>
      <c r="B720" s="81"/>
      <c r="C720" s="81"/>
      <c r="D720" s="81"/>
      <c r="E720" s="81"/>
      <c r="F720" s="81"/>
      <c r="G720" s="82"/>
      <c r="H720" s="81"/>
      <c r="I720" s="81"/>
      <c r="J720" s="105"/>
      <c r="K720" s="81"/>
      <c r="L720" s="81"/>
      <c r="M720" s="105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 ht="24" customHeight="1" x14ac:dyDescent="0.5">
      <c r="A721" s="81"/>
      <c r="B721" s="81"/>
      <c r="C721" s="81"/>
      <c r="D721" s="81"/>
      <c r="E721" s="81"/>
      <c r="F721" s="81"/>
      <c r="G721" s="82"/>
      <c r="H721" s="81"/>
      <c r="I721" s="81"/>
      <c r="J721" s="105"/>
      <c r="K721" s="81"/>
      <c r="L721" s="81"/>
      <c r="M721" s="105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 ht="24" customHeight="1" x14ac:dyDescent="0.5">
      <c r="A722" s="81"/>
      <c r="B722" s="81"/>
      <c r="C722" s="81"/>
      <c r="D722" s="81"/>
      <c r="E722" s="81"/>
      <c r="F722" s="81"/>
      <c r="G722" s="82"/>
      <c r="H722" s="81"/>
      <c r="I722" s="81"/>
      <c r="J722" s="105"/>
      <c r="K722" s="81"/>
      <c r="L722" s="81"/>
      <c r="M722" s="105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 ht="24" customHeight="1" x14ac:dyDescent="0.5">
      <c r="A723" s="81"/>
      <c r="B723" s="81"/>
      <c r="C723" s="81"/>
      <c r="D723" s="81"/>
      <c r="E723" s="81"/>
      <c r="F723" s="81"/>
      <c r="G723" s="82"/>
      <c r="H723" s="81"/>
      <c r="I723" s="81"/>
      <c r="J723" s="105"/>
      <c r="K723" s="81"/>
      <c r="L723" s="81"/>
      <c r="M723" s="105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 ht="24" customHeight="1" x14ac:dyDescent="0.5">
      <c r="A724" s="81"/>
      <c r="B724" s="81"/>
      <c r="C724" s="81"/>
      <c r="D724" s="81"/>
      <c r="E724" s="81"/>
      <c r="F724" s="81"/>
      <c r="G724" s="82"/>
      <c r="H724" s="81"/>
      <c r="I724" s="81"/>
      <c r="J724" s="105"/>
      <c r="K724" s="81"/>
      <c r="L724" s="81"/>
      <c r="M724" s="105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 ht="24" customHeight="1" x14ac:dyDescent="0.5">
      <c r="A725" s="81"/>
      <c r="B725" s="81"/>
      <c r="C725" s="81"/>
      <c r="D725" s="81"/>
      <c r="E725" s="81"/>
      <c r="F725" s="81"/>
      <c r="G725" s="82"/>
      <c r="H725" s="81"/>
      <c r="I725" s="81"/>
      <c r="J725" s="105"/>
      <c r="K725" s="81"/>
      <c r="L725" s="81"/>
      <c r="M725" s="105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 ht="24" customHeight="1" x14ac:dyDescent="0.5">
      <c r="A726" s="81"/>
      <c r="B726" s="81"/>
      <c r="C726" s="81"/>
      <c r="D726" s="81"/>
      <c r="E726" s="81"/>
      <c r="F726" s="81"/>
      <c r="G726" s="82"/>
      <c r="H726" s="81"/>
      <c r="I726" s="81"/>
      <c r="J726" s="105"/>
      <c r="K726" s="81"/>
      <c r="L726" s="81"/>
      <c r="M726" s="105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 ht="24" customHeight="1" x14ac:dyDescent="0.5">
      <c r="A727" s="81"/>
      <c r="B727" s="81"/>
      <c r="C727" s="81"/>
      <c r="D727" s="81"/>
      <c r="E727" s="81"/>
      <c r="F727" s="81"/>
      <c r="G727" s="82"/>
      <c r="H727" s="81"/>
      <c r="I727" s="81"/>
      <c r="J727" s="105"/>
      <c r="K727" s="81"/>
      <c r="L727" s="81"/>
      <c r="M727" s="105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 ht="24" customHeight="1" x14ac:dyDescent="0.5">
      <c r="A728" s="81"/>
      <c r="B728" s="81"/>
      <c r="C728" s="81"/>
      <c r="D728" s="81"/>
      <c r="E728" s="81"/>
      <c r="F728" s="81"/>
      <c r="G728" s="82"/>
      <c r="H728" s="81"/>
      <c r="I728" s="81"/>
      <c r="J728" s="105"/>
      <c r="K728" s="81"/>
      <c r="L728" s="81"/>
      <c r="M728" s="105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 ht="24" customHeight="1" x14ac:dyDescent="0.5">
      <c r="A729" s="81"/>
      <c r="B729" s="81"/>
      <c r="C729" s="81"/>
      <c r="D729" s="81"/>
      <c r="E729" s="81"/>
      <c r="F729" s="81"/>
      <c r="G729" s="82"/>
      <c r="H729" s="81"/>
      <c r="I729" s="81"/>
      <c r="J729" s="105"/>
      <c r="K729" s="81"/>
      <c r="L729" s="81"/>
      <c r="M729" s="105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 ht="24" customHeight="1" x14ac:dyDescent="0.5">
      <c r="A730" s="81"/>
      <c r="B730" s="81"/>
      <c r="C730" s="81"/>
      <c r="D730" s="81"/>
      <c r="E730" s="81"/>
      <c r="F730" s="81"/>
      <c r="G730" s="82"/>
      <c r="H730" s="81"/>
      <c r="I730" s="81"/>
      <c r="J730" s="105"/>
      <c r="K730" s="81"/>
      <c r="L730" s="81"/>
      <c r="M730" s="105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 ht="24" customHeight="1" x14ac:dyDescent="0.5">
      <c r="A731" s="81"/>
      <c r="B731" s="81"/>
      <c r="C731" s="81"/>
      <c r="D731" s="81"/>
      <c r="E731" s="81"/>
      <c r="F731" s="81"/>
      <c r="G731" s="82"/>
      <c r="H731" s="81"/>
      <c r="I731" s="81"/>
      <c r="J731" s="105"/>
      <c r="K731" s="81"/>
      <c r="L731" s="81"/>
      <c r="M731" s="105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 ht="24" customHeight="1" x14ac:dyDescent="0.5">
      <c r="A732" s="81"/>
      <c r="B732" s="81"/>
      <c r="C732" s="81"/>
      <c r="D732" s="81"/>
      <c r="E732" s="81"/>
      <c r="F732" s="81"/>
      <c r="G732" s="82"/>
      <c r="H732" s="81"/>
      <c r="I732" s="81"/>
      <c r="J732" s="105"/>
      <c r="K732" s="81"/>
      <c r="L732" s="81"/>
      <c r="M732" s="105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 ht="24" customHeight="1" x14ac:dyDescent="0.5">
      <c r="A733" s="81"/>
      <c r="B733" s="81"/>
      <c r="C733" s="81"/>
      <c r="D733" s="81"/>
      <c r="E733" s="81"/>
      <c r="F733" s="81"/>
      <c r="G733" s="82"/>
      <c r="H733" s="81"/>
      <c r="I733" s="81"/>
      <c r="J733" s="105"/>
      <c r="K733" s="81"/>
      <c r="L733" s="81"/>
      <c r="M733" s="105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 ht="24" customHeight="1" x14ac:dyDescent="0.5">
      <c r="A734" s="81"/>
      <c r="B734" s="81"/>
      <c r="C734" s="81"/>
      <c r="D734" s="81"/>
      <c r="E734" s="81"/>
      <c r="F734" s="81"/>
      <c r="G734" s="82"/>
      <c r="H734" s="81"/>
      <c r="I734" s="81"/>
      <c r="J734" s="105"/>
      <c r="K734" s="81"/>
      <c r="L734" s="81"/>
      <c r="M734" s="105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 ht="24" customHeight="1" x14ac:dyDescent="0.5">
      <c r="A735" s="81"/>
      <c r="B735" s="81"/>
      <c r="C735" s="81"/>
      <c r="D735" s="81"/>
      <c r="E735" s="81"/>
      <c r="F735" s="81"/>
      <c r="G735" s="82"/>
      <c r="H735" s="81"/>
      <c r="I735" s="81"/>
      <c r="J735" s="105"/>
      <c r="K735" s="81"/>
      <c r="L735" s="81"/>
      <c r="M735" s="105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 ht="24" customHeight="1" x14ac:dyDescent="0.5">
      <c r="A736" s="81"/>
      <c r="B736" s="81"/>
      <c r="C736" s="81"/>
      <c r="D736" s="81"/>
      <c r="E736" s="81"/>
      <c r="F736" s="81"/>
      <c r="G736" s="82"/>
      <c r="H736" s="81"/>
      <c r="I736" s="81"/>
      <c r="J736" s="105"/>
      <c r="K736" s="81"/>
      <c r="L736" s="81"/>
      <c r="M736" s="105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 ht="24" customHeight="1" x14ac:dyDescent="0.5">
      <c r="A737" s="81"/>
      <c r="B737" s="81"/>
      <c r="C737" s="81"/>
      <c r="D737" s="81"/>
      <c r="E737" s="81"/>
      <c r="F737" s="81"/>
      <c r="G737" s="82"/>
      <c r="H737" s="81"/>
      <c r="I737" s="81"/>
      <c r="J737" s="105"/>
      <c r="K737" s="81"/>
      <c r="L737" s="81"/>
      <c r="M737" s="105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 ht="24" customHeight="1" x14ac:dyDescent="0.5">
      <c r="A738" s="81"/>
      <c r="B738" s="81"/>
      <c r="C738" s="81"/>
      <c r="D738" s="81"/>
      <c r="E738" s="81"/>
      <c r="F738" s="81"/>
      <c r="G738" s="82"/>
      <c r="H738" s="81"/>
      <c r="I738" s="81"/>
      <c r="J738" s="105"/>
      <c r="K738" s="81"/>
      <c r="L738" s="81"/>
      <c r="M738" s="105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 ht="24" customHeight="1" x14ac:dyDescent="0.5">
      <c r="A739" s="81"/>
      <c r="B739" s="81"/>
      <c r="C739" s="81"/>
      <c r="D739" s="81"/>
      <c r="E739" s="81"/>
      <c r="F739" s="81"/>
      <c r="G739" s="82"/>
      <c r="H739" s="81"/>
      <c r="I739" s="81"/>
      <c r="J739" s="105"/>
      <c r="K739" s="81"/>
      <c r="L739" s="81"/>
      <c r="M739" s="105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 ht="24" customHeight="1" x14ac:dyDescent="0.5">
      <c r="A740" s="81"/>
      <c r="B740" s="81"/>
      <c r="C740" s="81"/>
      <c r="D740" s="81"/>
      <c r="E740" s="81"/>
      <c r="F740" s="81"/>
      <c r="G740" s="82"/>
      <c r="H740" s="81"/>
      <c r="I740" s="81"/>
      <c r="J740" s="105"/>
      <c r="K740" s="81"/>
      <c r="L740" s="81"/>
      <c r="M740" s="105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 ht="24" customHeight="1" x14ac:dyDescent="0.5">
      <c r="A741" s="81"/>
      <c r="B741" s="81"/>
      <c r="C741" s="81"/>
      <c r="D741" s="81"/>
      <c r="E741" s="81"/>
      <c r="F741" s="81"/>
      <c r="G741" s="82"/>
      <c r="H741" s="81"/>
      <c r="I741" s="81"/>
      <c r="J741" s="105"/>
      <c r="K741" s="81"/>
      <c r="L741" s="81"/>
      <c r="M741" s="105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 ht="24" customHeight="1" x14ac:dyDescent="0.5">
      <c r="A742" s="81"/>
      <c r="B742" s="81"/>
      <c r="C742" s="81"/>
      <c r="D742" s="81"/>
      <c r="E742" s="81"/>
      <c r="F742" s="81"/>
      <c r="G742" s="82"/>
      <c r="H742" s="81"/>
      <c r="I742" s="81"/>
      <c r="J742" s="105"/>
      <c r="K742" s="81"/>
      <c r="L742" s="81"/>
      <c r="M742" s="105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 ht="24" customHeight="1" x14ac:dyDescent="0.5">
      <c r="A743" s="81"/>
      <c r="B743" s="81"/>
      <c r="C743" s="81"/>
      <c r="D743" s="81"/>
      <c r="E743" s="81"/>
      <c r="F743" s="81"/>
      <c r="G743" s="82"/>
      <c r="H743" s="81"/>
      <c r="I743" s="81"/>
      <c r="J743" s="105"/>
      <c r="K743" s="81"/>
      <c r="L743" s="81"/>
      <c r="M743" s="105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 ht="24" customHeight="1" x14ac:dyDescent="0.5">
      <c r="A744" s="81"/>
      <c r="B744" s="81"/>
      <c r="C744" s="81"/>
      <c r="D744" s="81"/>
      <c r="E744" s="81"/>
      <c r="F744" s="81"/>
      <c r="G744" s="82"/>
      <c r="H744" s="81"/>
      <c r="I744" s="81"/>
      <c r="J744" s="105"/>
      <c r="K744" s="81"/>
      <c r="L744" s="81"/>
      <c r="M744" s="105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 ht="24" customHeight="1" x14ac:dyDescent="0.5">
      <c r="A745" s="81"/>
      <c r="B745" s="81"/>
      <c r="C745" s="81"/>
      <c r="D745" s="81"/>
      <c r="E745" s="81"/>
      <c r="F745" s="81"/>
      <c r="G745" s="82"/>
      <c r="H745" s="81"/>
      <c r="I745" s="81"/>
      <c r="J745" s="105"/>
      <c r="K745" s="81"/>
      <c r="L745" s="81"/>
      <c r="M745" s="105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 ht="24" customHeight="1" x14ac:dyDescent="0.5">
      <c r="A746" s="81"/>
      <c r="B746" s="81"/>
      <c r="C746" s="81"/>
      <c r="D746" s="81"/>
      <c r="E746" s="81"/>
      <c r="F746" s="81"/>
      <c r="G746" s="82"/>
      <c r="H746" s="81"/>
      <c r="I746" s="81"/>
      <c r="J746" s="105"/>
      <c r="K746" s="81"/>
      <c r="L746" s="81"/>
      <c r="M746" s="105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 ht="24" customHeight="1" x14ac:dyDescent="0.5">
      <c r="A747" s="81"/>
      <c r="B747" s="81"/>
      <c r="C747" s="81"/>
      <c r="D747" s="81"/>
      <c r="E747" s="81"/>
      <c r="F747" s="81"/>
      <c r="G747" s="82"/>
      <c r="H747" s="81"/>
      <c r="I747" s="81"/>
      <c r="J747" s="105"/>
      <c r="K747" s="81"/>
      <c r="L747" s="81"/>
      <c r="M747" s="105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 ht="24" customHeight="1" x14ac:dyDescent="0.5">
      <c r="A748" s="81"/>
      <c r="B748" s="81"/>
      <c r="C748" s="81"/>
      <c r="D748" s="81"/>
      <c r="E748" s="81"/>
      <c r="F748" s="81"/>
      <c r="G748" s="82"/>
      <c r="H748" s="81"/>
      <c r="I748" s="81"/>
      <c r="J748" s="105"/>
      <c r="K748" s="81"/>
      <c r="L748" s="81"/>
      <c r="M748" s="105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 ht="24" customHeight="1" x14ac:dyDescent="0.5">
      <c r="A749" s="81"/>
      <c r="B749" s="81"/>
      <c r="C749" s="81"/>
      <c r="D749" s="81"/>
      <c r="E749" s="81"/>
      <c r="F749" s="81"/>
      <c r="G749" s="82"/>
      <c r="H749" s="81"/>
      <c r="I749" s="81"/>
      <c r="J749" s="105"/>
      <c r="K749" s="81"/>
      <c r="L749" s="81"/>
      <c r="M749" s="105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 ht="24" customHeight="1" x14ac:dyDescent="0.5">
      <c r="A750" s="81"/>
      <c r="B750" s="81"/>
      <c r="C750" s="81"/>
      <c r="D750" s="81"/>
      <c r="E750" s="81"/>
      <c r="F750" s="81"/>
      <c r="G750" s="82"/>
      <c r="H750" s="81"/>
      <c r="I750" s="81"/>
      <c r="J750" s="105"/>
      <c r="K750" s="81"/>
      <c r="L750" s="81"/>
      <c r="M750" s="105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 ht="24" customHeight="1" x14ac:dyDescent="0.5">
      <c r="A751" s="81"/>
      <c r="B751" s="81"/>
      <c r="C751" s="81"/>
      <c r="D751" s="81"/>
      <c r="E751" s="81"/>
      <c r="F751" s="81"/>
      <c r="G751" s="82"/>
      <c r="H751" s="81"/>
      <c r="I751" s="81"/>
      <c r="J751" s="105"/>
      <c r="K751" s="81"/>
      <c r="L751" s="81"/>
      <c r="M751" s="105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 ht="24" customHeight="1" x14ac:dyDescent="0.5">
      <c r="A752" s="81"/>
      <c r="B752" s="81"/>
      <c r="C752" s="81"/>
      <c r="D752" s="81"/>
      <c r="E752" s="81"/>
      <c r="F752" s="81"/>
      <c r="G752" s="82"/>
      <c r="H752" s="81"/>
      <c r="I752" s="81"/>
      <c r="J752" s="105"/>
      <c r="K752" s="81"/>
      <c r="L752" s="81"/>
      <c r="M752" s="105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 ht="24" customHeight="1" x14ac:dyDescent="0.5">
      <c r="A753" s="81"/>
      <c r="B753" s="81"/>
      <c r="C753" s="81"/>
      <c r="D753" s="81"/>
      <c r="E753" s="81"/>
      <c r="F753" s="81"/>
      <c r="G753" s="82"/>
      <c r="H753" s="81"/>
      <c r="I753" s="81"/>
      <c r="J753" s="105"/>
      <c r="K753" s="81"/>
      <c r="L753" s="81"/>
      <c r="M753" s="105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 ht="24" customHeight="1" x14ac:dyDescent="0.5">
      <c r="A754" s="81"/>
      <c r="B754" s="81"/>
      <c r="C754" s="81"/>
      <c r="D754" s="81"/>
      <c r="E754" s="81"/>
      <c r="F754" s="81"/>
      <c r="G754" s="82"/>
      <c r="H754" s="81"/>
      <c r="I754" s="81"/>
      <c r="J754" s="105"/>
      <c r="K754" s="81"/>
      <c r="L754" s="81"/>
      <c r="M754" s="105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 ht="24" customHeight="1" x14ac:dyDescent="0.5">
      <c r="A755" s="81"/>
      <c r="B755" s="81"/>
      <c r="C755" s="81"/>
      <c r="D755" s="81"/>
      <c r="E755" s="81"/>
      <c r="F755" s="81"/>
      <c r="G755" s="82"/>
      <c r="H755" s="81"/>
      <c r="I755" s="81"/>
      <c r="J755" s="105"/>
      <c r="K755" s="81"/>
      <c r="L755" s="81"/>
      <c r="M755" s="105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 ht="24" customHeight="1" x14ac:dyDescent="0.5">
      <c r="A756" s="81"/>
      <c r="B756" s="81"/>
      <c r="C756" s="81"/>
      <c r="D756" s="81"/>
      <c r="E756" s="81"/>
      <c r="F756" s="81"/>
      <c r="G756" s="82"/>
      <c r="H756" s="81"/>
      <c r="I756" s="81"/>
      <c r="J756" s="105"/>
      <c r="K756" s="81"/>
      <c r="L756" s="81"/>
      <c r="M756" s="105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 ht="24" customHeight="1" x14ac:dyDescent="0.5">
      <c r="A757" s="81"/>
      <c r="B757" s="81"/>
      <c r="C757" s="81"/>
      <c r="D757" s="81"/>
      <c r="E757" s="81"/>
      <c r="F757" s="81"/>
      <c r="G757" s="82"/>
      <c r="H757" s="81"/>
      <c r="I757" s="81"/>
      <c r="J757" s="105"/>
      <c r="K757" s="81"/>
      <c r="L757" s="81"/>
      <c r="M757" s="105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 ht="24" customHeight="1" x14ac:dyDescent="0.5">
      <c r="A758" s="81"/>
      <c r="B758" s="81"/>
      <c r="C758" s="81"/>
      <c r="D758" s="81"/>
      <c r="E758" s="81"/>
      <c r="F758" s="81"/>
      <c r="G758" s="82"/>
      <c r="H758" s="81"/>
      <c r="I758" s="81"/>
      <c r="J758" s="105"/>
      <c r="K758" s="81"/>
      <c r="L758" s="81"/>
      <c r="M758" s="105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 ht="24" customHeight="1" x14ac:dyDescent="0.5">
      <c r="A759" s="81"/>
      <c r="B759" s="81"/>
      <c r="C759" s="81"/>
      <c r="D759" s="81"/>
      <c r="E759" s="81"/>
      <c r="F759" s="81"/>
      <c r="G759" s="82"/>
      <c r="H759" s="81"/>
      <c r="I759" s="81"/>
      <c r="J759" s="105"/>
      <c r="K759" s="81"/>
      <c r="L759" s="81"/>
      <c r="M759" s="105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 ht="24" customHeight="1" x14ac:dyDescent="0.5">
      <c r="A760" s="81"/>
      <c r="B760" s="81"/>
      <c r="C760" s="81"/>
      <c r="D760" s="81"/>
      <c r="E760" s="81"/>
      <c r="F760" s="81"/>
      <c r="G760" s="82"/>
      <c r="H760" s="81"/>
      <c r="I760" s="81"/>
      <c r="J760" s="105"/>
      <c r="K760" s="81"/>
      <c r="L760" s="81"/>
      <c r="M760" s="105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 ht="24" customHeight="1" x14ac:dyDescent="0.5">
      <c r="A761" s="81"/>
      <c r="B761" s="81"/>
      <c r="C761" s="81"/>
      <c r="D761" s="81"/>
      <c r="E761" s="81"/>
      <c r="F761" s="81"/>
      <c r="G761" s="82"/>
      <c r="H761" s="81"/>
      <c r="I761" s="81"/>
      <c r="J761" s="105"/>
      <c r="K761" s="81"/>
      <c r="L761" s="81"/>
      <c r="M761" s="105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 ht="24" customHeight="1" x14ac:dyDescent="0.5">
      <c r="A762" s="81"/>
      <c r="B762" s="81"/>
      <c r="C762" s="81"/>
      <c r="D762" s="81"/>
      <c r="E762" s="81"/>
      <c r="F762" s="81"/>
      <c r="G762" s="82"/>
      <c r="H762" s="81"/>
      <c r="I762" s="81"/>
      <c r="J762" s="105"/>
      <c r="K762" s="81"/>
      <c r="L762" s="81"/>
      <c r="M762" s="105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 ht="24" customHeight="1" x14ac:dyDescent="0.5">
      <c r="A763" s="81"/>
      <c r="B763" s="81"/>
      <c r="C763" s="81"/>
      <c r="D763" s="81"/>
      <c r="E763" s="81"/>
      <c r="F763" s="81"/>
      <c r="G763" s="82"/>
      <c r="H763" s="81"/>
      <c r="I763" s="81"/>
      <c r="J763" s="105"/>
      <c r="K763" s="81"/>
      <c r="L763" s="81"/>
      <c r="M763" s="105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 ht="24" customHeight="1" x14ac:dyDescent="0.5">
      <c r="A764" s="81"/>
      <c r="B764" s="81"/>
      <c r="C764" s="81"/>
      <c r="D764" s="81"/>
      <c r="E764" s="81"/>
      <c r="F764" s="81"/>
      <c r="G764" s="82"/>
      <c r="H764" s="81"/>
      <c r="I764" s="81"/>
      <c r="J764" s="105"/>
      <c r="K764" s="81"/>
      <c r="L764" s="81"/>
      <c r="M764" s="105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 ht="24" customHeight="1" x14ac:dyDescent="0.5">
      <c r="A765" s="81"/>
      <c r="B765" s="81"/>
      <c r="C765" s="81"/>
      <c r="D765" s="81"/>
      <c r="E765" s="81"/>
      <c r="F765" s="81"/>
      <c r="G765" s="82"/>
      <c r="H765" s="81"/>
      <c r="I765" s="81"/>
      <c r="J765" s="105"/>
      <c r="K765" s="81"/>
      <c r="L765" s="81"/>
      <c r="M765" s="105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 ht="24" customHeight="1" x14ac:dyDescent="0.5">
      <c r="A766" s="81"/>
      <c r="B766" s="81"/>
      <c r="C766" s="81"/>
      <c r="D766" s="81"/>
      <c r="E766" s="81"/>
      <c r="F766" s="81"/>
      <c r="G766" s="82"/>
      <c r="H766" s="81"/>
      <c r="I766" s="81"/>
      <c r="J766" s="105"/>
      <c r="K766" s="81"/>
      <c r="L766" s="81"/>
      <c r="M766" s="105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 ht="24" customHeight="1" x14ac:dyDescent="0.5">
      <c r="A767" s="81"/>
      <c r="B767" s="81"/>
      <c r="C767" s="81"/>
      <c r="D767" s="81"/>
      <c r="E767" s="81"/>
      <c r="F767" s="81"/>
      <c r="G767" s="82"/>
      <c r="H767" s="81"/>
      <c r="I767" s="81"/>
      <c r="J767" s="105"/>
      <c r="K767" s="81"/>
      <c r="L767" s="81"/>
      <c r="M767" s="105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 ht="24" customHeight="1" x14ac:dyDescent="0.5">
      <c r="A768" s="81"/>
      <c r="B768" s="81"/>
      <c r="C768" s="81"/>
      <c r="D768" s="81"/>
      <c r="E768" s="81"/>
      <c r="F768" s="81"/>
      <c r="G768" s="82"/>
      <c r="H768" s="81"/>
      <c r="I768" s="81"/>
      <c r="J768" s="105"/>
      <c r="K768" s="81"/>
      <c r="L768" s="81"/>
      <c r="M768" s="105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 ht="24" customHeight="1" x14ac:dyDescent="0.5">
      <c r="A769" s="81"/>
      <c r="B769" s="81"/>
      <c r="C769" s="81"/>
      <c r="D769" s="81"/>
      <c r="E769" s="81"/>
      <c r="F769" s="81"/>
      <c r="G769" s="82"/>
      <c r="H769" s="81"/>
      <c r="I769" s="81"/>
      <c r="J769" s="105"/>
      <c r="K769" s="81"/>
      <c r="L769" s="81"/>
      <c r="M769" s="105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 ht="24" customHeight="1" x14ac:dyDescent="0.5">
      <c r="A770" s="81"/>
      <c r="B770" s="81"/>
      <c r="C770" s="81"/>
      <c r="D770" s="81"/>
      <c r="E770" s="81"/>
      <c r="F770" s="81"/>
      <c r="G770" s="82"/>
      <c r="H770" s="81"/>
      <c r="I770" s="81"/>
      <c r="J770" s="105"/>
      <c r="K770" s="81"/>
      <c r="L770" s="81"/>
      <c r="M770" s="105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 ht="24" customHeight="1" x14ac:dyDescent="0.5">
      <c r="A771" s="81"/>
      <c r="B771" s="81"/>
      <c r="C771" s="81"/>
      <c r="D771" s="81"/>
      <c r="E771" s="81"/>
      <c r="F771" s="81"/>
      <c r="G771" s="82"/>
      <c r="H771" s="81"/>
      <c r="I771" s="81"/>
      <c r="J771" s="105"/>
      <c r="K771" s="81"/>
      <c r="L771" s="81"/>
      <c r="M771" s="105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 ht="24" customHeight="1" x14ac:dyDescent="0.5">
      <c r="A772" s="81"/>
      <c r="B772" s="81"/>
      <c r="C772" s="81"/>
      <c r="D772" s="81"/>
      <c r="E772" s="81"/>
      <c r="F772" s="81"/>
      <c r="G772" s="82"/>
      <c r="H772" s="81"/>
      <c r="I772" s="81"/>
      <c r="J772" s="105"/>
      <c r="K772" s="81"/>
      <c r="L772" s="81"/>
      <c r="M772" s="105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 ht="24" customHeight="1" x14ac:dyDescent="0.5">
      <c r="A773" s="81"/>
      <c r="B773" s="81"/>
      <c r="C773" s="81"/>
      <c r="D773" s="81"/>
      <c r="E773" s="81"/>
      <c r="F773" s="81"/>
      <c r="G773" s="82"/>
      <c r="H773" s="81"/>
      <c r="I773" s="81"/>
      <c r="J773" s="105"/>
      <c r="K773" s="81"/>
      <c r="L773" s="81"/>
      <c r="M773" s="105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 ht="24" customHeight="1" x14ac:dyDescent="0.5">
      <c r="A774" s="81"/>
      <c r="B774" s="81"/>
      <c r="C774" s="81"/>
      <c r="D774" s="81"/>
      <c r="E774" s="81"/>
      <c r="F774" s="81"/>
      <c r="G774" s="82"/>
      <c r="H774" s="81"/>
      <c r="I774" s="81"/>
      <c r="J774" s="105"/>
      <c r="K774" s="81"/>
      <c r="L774" s="81"/>
      <c r="M774" s="105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 ht="24" customHeight="1" x14ac:dyDescent="0.5">
      <c r="A775" s="81"/>
      <c r="B775" s="81"/>
      <c r="C775" s="81"/>
      <c r="D775" s="81"/>
      <c r="E775" s="81"/>
      <c r="F775" s="81"/>
      <c r="G775" s="82"/>
      <c r="H775" s="81"/>
      <c r="I775" s="81"/>
      <c r="J775" s="105"/>
      <c r="K775" s="81"/>
      <c r="L775" s="81"/>
      <c r="M775" s="105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 ht="24" customHeight="1" x14ac:dyDescent="0.5">
      <c r="A776" s="81"/>
      <c r="B776" s="81"/>
      <c r="C776" s="81"/>
      <c r="D776" s="81"/>
      <c r="E776" s="81"/>
      <c r="F776" s="81"/>
      <c r="G776" s="82"/>
      <c r="H776" s="81"/>
      <c r="I776" s="81"/>
      <c r="J776" s="105"/>
      <c r="K776" s="81"/>
      <c r="L776" s="81"/>
      <c r="M776" s="105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 ht="24" customHeight="1" x14ac:dyDescent="0.5">
      <c r="A777" s="81"/>
      <c r="B777" s="81"/>
      <c r="C777" s="81"/>
      <c r="D777" s="81"/>
      <c r="E777" s="81"/>
      <c r="F777" s="81"/>
      <c r="G777" s="82"/>
      <c r="H777" s="81"/>
      <c r="I777" s="81"/>
      <c r="J777" s="105"/>
      <c r="K777" s="81"/>
      <c r="L777" s="81"/>
      <c r="M777" s="105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 ht="24" customHeight="1" x14ac:dyDescent="0.5">
      <c r="A778" s="81"/>
      <c r="B778" s="81"/>
      <c r="C778" s="81"/>
      <c r="D778" s="81"/>
      <c r="E778" s="81"/>
      <c r="F778" s="81"/>
      <c r="G778" s="82"/>
      <c r="H778" s="81"/>
      <c r="I778" s="81"/>
      <c r="J778" s="105"/>
      <c r="K778" s="81"/>
      <c r="L778" s="81"/>
      <c r="M778" s="105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 ht="24" customHeight="1" x14ac:dyDescent="0.5">
      <c r="A779" s="81"/>
      <c r="B779" s="81"/>
      <c r="C779" s="81"/>
      <c r="D779" s="81"/>
      <c r="E779" s="81"/>
      <c r="F779" s="81"/>
      <c r="G779" s="82"/>
      <c r="H779" s="81"/>
      <c r="I779" s="81"/>
      <c r="J779" s="105"/>
      <c r="K779" s="81"/>
      <c r="L779" s="81"/>
      <c r="M779" s="105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 ht="24" customHeight="1" x14ac:dyDescent="0.5">
      <c r="A780" s="81"/>
      <c r="B780" s="81"/>
      <c r="C780" s="81"/>
      <c r="D780" s="81"/>
      <c r="E780" s="81"/>
      <c r="F780" s="81"/>
      <c r="G780" s="82"/>
      <c r="H780" s="81"/>
      <c r="I780" s="81"/>
      <c r="J780" s="105"/>
      <c r="K780" s="81"/>
      <c r="L780" s="81"/>
      <c r="M780" s="105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 ht="24" customHeight="1" x14ac:dyDescent="0.5">
      <c r="A781" s="81"/>
      <c r="B781" s="81"/>
      <c r="C781" s="81"/>
      <c r="D781" s="81"/>
      <c r="E781" s="81"/>
      <c r="F781" s="81"/>
      <c r="G781" s="82"/>
      <c r="H781" s="81"/>
      <c r="I781" s="81"/>
      <c r="J781" s="105"/>
      <c r="K781" s="81"/>
      <c r="L781" s="81"/>
      <c r="M781" s="105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 ht="24" customHeight="1" x14ac:dyDescent="0.5">
      <c r="A782" s="81"/>
      <c r="B782" s="81"/>
      <c r="C782" s="81"/>
      <c r="D782" s="81"/>
      <c r="E782" s="81"/>
      <c r="F782" s="81"/>
      <c r="G782" s="82"/>
      <c r="H782" s="81"/>
      <c r="I782" s="81"/>
      <c r="J782" s="105"/>
      <c r="K782" s="81"/>
      <c r="L782" s="81"/>
      <c r="M782" s="105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 ht="24" customHeight="1" x14ac:dyDescent="0.5">
      <c r="A783" s="81"/>
      <c r="B783" s="81"/>
      <c r="C783" s="81"/>
      <c r="D783" s="81"/>
      <c r="E783" s="81"/>
      <c r="F783" s="81"/>
      <c r="G783" s="82"/>
      <c r="H783" s="81"/>
      <c r="I783" s="81"/>
      <c r="J783" s="105"/>
      <c r="K783" s="81"/>
      <c r="L783" s="81"/>
      <c r="M783" s="105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 ht="24" customHeight="1" x14ac:dyDescent="0.5">
      <c r="A784" s="81"/>
      <c r="B784" s="81"/>
      <c r="C784" s="81"/>
      <c r="D784" s="81"/>
      <c r="E784" s="81"/>
      <c r="F784" s="81"/>
      <c r="G784" s="82"/>
      <c r="H784" s="81"/>
      <c r="I784" s="81"/>
      <c r="J784" s="105"/>
      <c r="K784" s="81"/>
      <c r="L784" s="81"/>
      <c r="M784" s="105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 ht="24" customHeight="1" x14ac:dyDescent="0.5">
      <c r="A785" s="81"/>
      <c r="B785" s="81"/>
      <c r="C785" s="81"/>
      <c r="D785" s="81"/>
      <c r="E785" s="81"/>
      <c r="F785" s="81"/>
      <c r="G785" s="82"/>
      <c r="H785" s="81"/>
      <c r="I785" s="81"/>
      <c r="J785" s="105"/>
      <c r="K785" s="81"/>
      <c r="L785" s="81"/>
      <c r="M785" s="105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 ht="24" customHeight="1" x14ac:dyDescent="0.5">
      <c r="A786" s="81"/>
      <c r="B786" s="81"/>
      <c r="C786" s="81"/>
      <c r="D786" s="81"/>
      <c r="E786" s="81"/>
      <c r="F786" s="81"/>
      <c r="G786" s="82"/>
      <c r="H786" s="81"/>
      <c r="I786" s="81"/>
      <c r="J786" s="105"/>
      <c r="K786" s="81"/>
      <c r="L786" s="81"/>
      <c r="M786" s="105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 ht="24" customHeight="1" x14ac:dyDescent="0.5">
      <c r="A787" s="81"/>
      <c r="B787" s="81"/>
      <c r="C787" s="81"/>
      <c r="D787" s="81"/>
      <c r="E787" s="81"/>
      <c r="F787" s="81"/>
      <c r="G787" s="82"/>
      <c r="H787" s="81"/>
      <c r="I787" s="81"/>
      <c r="J787" s="105"/>
      <c r="K787" s="81"/>
      <c r="L787" s="81"/>
      <c r="M787" s="105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 ht="24" customHeight="1" x14ac:dyDescent="0.5">
      <c r="A788" s="81"/>
      <c r="B788" s="81"/>
      <c r="C788" s="81"/>
      <c r="D788" s="81"/>
      <c r="E788" s="81"/>
      <c r="F788" s="81"/>
      <c r="G788" s="82"/>
      <c r="H788" s="81"/>
      <c r="I788" s="81"/>
      <c r="J788" s="105"/>
      <c r="K788" s="81"/>
      <c r="L788" s="81"/>
      <c r="M788" s="105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 ht="24" customHeight="1" x14ac:dyDescent="0.5">
      <c r="A789" s="81"/>
      <c r="B789" s="81"/>
      <c r="C789" s="81"/>
      <c r="D789" s="81"/>
      <c r="E789" s="81"/>
      <c r="F789" s="81"/>
      <c r="G789" s="82"/>
      <c r="H789" s="81"/>
      <c r="I789" s="81"/>
      <c r="J789" s="105"/>
      <c r="K789" s="81"/>
      <c r="L789" s="81"/>
      <c r="M789" s="105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 ht="24" customHeight="1" x14ac:dyDescent="0.5">
      <c r="A790" s="81"/>
      <c r="B790" s="81"/>
      <c r="C790" s="81"/>
      <c r="D790" s="81"/>
      <c r="E790" s="81"/>
      <c r="F790" s="81"/>
      <c r="G790" s="82"/>
      <c r="H790" s="81"/>
      <c r="I790" s="81"/>
      <c r="J790" s="105"/>
      <c r="K790" s="81"/>
      <c r="L790" s="81"/>
      <c r="M790" s="105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 ht="24" customHeight="1" x14ac:dyDescent="0.5">
      <c r="A791" s="81"/>
      <c r="B791" s="81"/>
      <c r="C791" s="81"/>
      <c r="D791" s="81"/>
      <c r="E791" s="81"/>
      <c r="F791" s="81"/>
      <c r="G791" s="82"/>
      <c r="H791" s="81"/>
      <c r="I791" s="81"/>
      <c r="J791" s="105"/>
      <c r="K791" s="81"/>
      <c r="L791" s="81"/>
      <c r="M791" s="105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 ht="24" customHeight="1" x14ac:dyDescent="0.5">
      <c r="A792" s="81"/>
      <c r="B792" s="81"/>
      <c r="C792" s="81"/>
      <c r="D792" s="81"/>
      <c r="E792" s="81"/>
      <c r="F792" s="81"/>
      <c r="G792" s="82"/>
      <c r="H792" s="81"/>
      <c r="I792" s="81"/>
      <c r="J792" s="105"/>
      <c r="K792" s="81"/>
      <c r="L792" s="81"/>
      <c r="M792" s="105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 ht="24" customHeight="1" x14ac:dyDescent="0.5">
      <c r="A793" s="81"/>
      <c r="B793" s="81"/>
      <c r="C793" s="81"/>
      <c r="D793" s="81"/>
      <c r="E793" s="81"/>
      <c r="F793" s="81"/>
      <c r="G793" s="82"/>
      <c r="H793" s="81"/>
      <c r="I793" s="81"/>
      <c r="J793" s="105"/>
      <c r="K793" s="81"/>
      <c r="L793" s="81"/>
      <c r="M793" s="105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 ht="24" customHeight="1" x14ac:dyDescent="0.5">
      <c r="A794" s="81"/>
      <c r="B794" s="81"/>
      <c r="C794" s="81"/>
      <c r="D794" s="81"/>
      <c r="E794" s="81"/>
      <c r="F794" s="81"/>
      <c r="G794" s="82"/>
      <c r="H794" s="81"/>
      <c r="I794" s="81"/>
      <c r="J794" s="105"/>
      <c r="K794" s="81"/>
      <c r="L794" s="81"/>
      <c r="M794" s="105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 ht="24" customHeight="1" x14ac:dyDescent="0.5">
      <c r="A795" s="81"/>
      <c r="B795" s="81"/>
      <c r="C795" s="81"/>
      <c r="D795" s="81"/>
      <c r="E795" s="81"/>
      <c r="F795" s="81"/>
      <c r="G795" s="82"/>
      <c r="H795" s="81"/>
      <c r="I795" s="81"/>
      <c r="J795" s="105"/>
      <c r="K795" s="81"/>
      <c r="L795" s="81"/>
      <c r="M795" s="105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 ht="24" customHeight="1" x14ac:dyDescent="0.5">
      <c r="A796" s="81"/>
      <c r="B796" s="81"/>
      <c r="C796" s="81"/>
      <c r="D796" s="81"/>
      <c r="E796" s="81"/>
      <c r="F796" s="81"/>
      <c r="G796" s="82"/>
      <c r="H796" s="81"/>
      <c r="I796" s="81"/>
      <c r="J796" s="105"/>
      <c r="K796" s="81"/>
      <c r="L796" s="81"/>
      <c r="M796" s="105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 ht="24" customHeight="1" x14ac:dyDescent="0.5">
      <c r="A797" s="81"/>
      <c r="B797" s="81"/>
      <c r="C797" s="81"/>
      <c r="D797" s="81"/>
      <c r="E797" s="81"/>
      <c r="F797" s="81"/>
      <c r="G797" s="82"/>
      <c r="H797" s="81"/>
      <c r="I797" s="81"/>
      <c r="J797" s="105"/>
      <c r="K797" s="81"/>
      <c r="L797" s="81"/>
      <c r="M797" s="105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 ht="24" customHeight="1" x14ac:dyDescent="0.5">
      <c r="A798" s="81"/>
      <c r="B798" s="81"/>
      <c r="C798" s="81"/>
      <c r="D798" s="81"/>
      <c r="E798" s="81"/>
      <c r="F798" s="81"/>
      <c r="G798" s="82"/>
      <c r="H798" s="81"/>
      <c r="I798" s="81"/>
      <c r="J798" s="105"/>
      <c r="K798" s="81"/>
      <c r="L798" s="81"/>
      <c r="M798" s="105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 ht="24" customHeight="1" x14ac:dyDescent="0.5">
      <c r="A799" s="81"/>
      <c r="B799" s="81"/>
      <c r="C799" s="81"/>
      <c r="D799" s="81"/>
      <c r="E799" s="81"/>
      <c r="F799" s="81"/>
      <c r="G799" s="82"/>
      <c r="H799" s="81"/>
      <c r="I799" s="81"/>
      <c r="J799" s="105"/>
      <c r="K799" s="81"/>
      <c r="L799" s="81"/>
      <c r="M799" s="105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 ht="24" customHeight="1" x14ac:dyDescent="0.5">
      <c r="A800" s="81"/>
      <c r="B800" s="81"/>
      <c r="C800" s="81"/>
      <c r="D800" s="81"/>
      <c r="E800" s="81"/>
      <c r="F800" s="81"/>
      <c r="G800" s="82"/>
      <c r="H800" s="81"/>
      <c r="I800" s="81"/>
      <c r="J800" s="105"/>
      <c r="K800" s="81"/>
      <c r="L800" s="81"/>
      <c r="M800" s="105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 ht="24" customHeight="1" x14ac:dyDescent="0.5">
      <c r="A801" s="81"/>
      <c r="B801" s="81"/>
      <c r="C801" s="81"/>
      <c r="D801" s="81"/>
      <c r="E801" s="81"/>
      <c r="F801" s="81"/>
      <c r="G801" s="82"/>
      <c r="H801" s="81"/>
      <c r="I801" s="81"/>
      <c r="J801" s="105"/>
      <c r="K801" s="81"/>
      <c r="L801" s="81"/>
      <c r="M801" s="105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 ht="24" customHeight="1" x14ac:dyDescent="0.5">
      <c r="A802" s="81"/>
      <c r="B802" s="81"/>
      <c r="C802" s="81"/>
      <c r="D802" s="81"/>
      <c r="E802" s="81"/>
      <c r="F802" s="81"/>
      <c r="G802" s="82"/>
      <c r="H802" s="81"/>
      <c r="I802" s="81"/>
      <c r="J802" s="105"/>
      <c r="K802" s="81"/>
      <c r="L802" s="81"/>
      <c r="M802" s="105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 ht="24" customHeight="1" x14ac:dyDescent="0.5">
      <c r="A803" s="81"/>
      <c r="B803" s="81"/>
      <c r="C803" s="81"/>
      <c r="D803" s="81"/>
      <c r="E803" s="81"/>
      <c r="F803" s="81"/>
      <c r="G803" s="82"/>
      <c r="H803" s="81"/>
      <c r="I803" s="81"/>
      <c r="J803" s="105"/>
      <c r="K803" s="81"/>
      <c r="L803" s="81"/>
      <c r="M803" s="105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 ht="24" customHeight="1" x14ac:dyDescent="0.5">
      <c r="A804" s="81"/>
      <c r="B804" s="81"/>
      <c r="C804" s="81"/>
      <c r="D804" s="81"/>
      <c r="E804" s="81"/>
      <c r="F804" s="81"/>
      <c r="G804" s="82"/>
      <c r="H804" s="81"/>
      <c r="I804" s="81"/>
      <c r="J804" s="105"/>
      <c r="K804" s="81"/>
      <c r="L804" s="81"/>
      <c r="M804" s="105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 ht="24" customHeight="1" x14ac:dyDescent="0.5">
      <c r="A805" s="81"/>
      <c r="B805" s="81"/>
      <c r="C805" s="81"/>
      <c r="D805" s="81"/>
      <c r="E805" s="81"/>
      <c r="F805" s="81"/>
      <c r="G805" s="82"/>
      <c r="H805" s="81"/>
      <c r="I805" s="81"/>
      <c r="J805" s="105"/>
      <c r="K805" s="81"/>
      <c r="L805" s="81"/>
      <c r="M805" s="105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 ht="24" customHeight="1" x14ac:dyDescent="0.5">
      <c r="A806" s="81"/>
      <c r="B806" s="81"/>
      <c r="C806" s="81"/>
      <c r="D806" s="81"/>
      <c r="E806" s="81"/>
      <c r="F806" s="81"/>
      <c r="G806" s="82"/>
      <c r="H806" s="81"/>
      <c r="I806" s="81"/>
      <c r="J806" s="105"/>
      <c r="K806" s="81"/>
      <c r="L806" s="81"/>
      <c r="M806" s="105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 ht="24" customHeight="1" x14ac:dyDescent="0.5">
      <c r="A807" s="81"/>
      <c r="B807" s="81"/>
      <c r="C807" s="81"/>
      <c r="D807" s="81"/>
      <c r="E807" s="81"/>
      <c r="F807" s="81"/>
      <c r="G807" s="82"/>
      <c r="H807" s="81"/>
      <c r="I807" s="81"/>
      <c r="J807" s="105"/>
      <c r="K807" s="81"/>
      <c r="L807" s="81"/>
      <c r="M807" s="105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 ht="24" customHeight="1" x14ac:dyDescent="0.5">
      <c r="A808" s="81"/>
      <c r="B808" s="81"/>
      <c r="C808" s="81"/>
      <c r="D808" s="81"/>
      <c r="E808" s="81"/>
      <c r="F808" s="81"/>
      <c r="G808" s="82"/>
      <c r="H808" s="81"/>
      <c r="I808" s="81"/>
      <c r="J808" s="105"/>
      <c r="K808" s="81"/>
      <c r="L808" s="81"/>
      <c r="M808" s="105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 ht="24" customHeight="1" x14ac:dyDescent="0.5">
      <c r="A809" s="81"/>
      <c r="B809" s="81"/>
      <c r="C809" s="81"/>
      <c r="D809" s="81"/>
      <c r="E809" s="81"/>
      <c r="F809" s="81"/>
      <c r="G809" s="82"/>
      <c r="H809" s="81"/>
      <c r="I809" s="81"/>
      <c r="J809" s="105"/>
      <c r="K809" s="81"/>
      <c r="L809" s="81"/>
      <c r="M809" s="105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 ht="24" customHeight="1" x14ac:dyDescent="0.5">
      <c r="A810" s="81"/>
      <c r="B810" s="81"/>
      <c r="C810" s="81"/>
      <c r="D810" s="81"/>
      <c r="E810" s="81"/>
      <c r="F810" s="81"/>
      <c r="G810" s="82"/>
      <c r="H810" s="81"/>
      <c r="I810" s="81"/>
      <c r="J810" s="105"/>
      <c r="K810" s="81"/>
      <c r="L810" s="81"/>
      <c r="M810" s="105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 ht="24" customHeight="1" x14ac:dyDescent="0.5">
      <c r="A811" s="81"/>
      <c r="B811" s="81"/>
      <c r="C811" s="81"/>
      <c r="D811" s="81"/>
      <c r="E811" s="81"/>
      <c r="F811" s="81"/>
      <c r="G811" s="82"/>
      <c r="H811" s="81"/>
      <c r="I811" s="81"/>
      <c r="J811" s="105"/>
      <c r="K811" s="81"/>
      <c r="L811" s="81"/>
      <c r="M811" s="105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 ht="24" customHeight="1" x14ac:dyDescent="0.5">
      <c r="A812" s="81"/>
      <c r="B812" s="81"/>
      <c r="C812" s="81"/>
      <c r="D812" s="81"/>
      <c r="E812" s="81"/>
      <c r="F812" s="81"/>
      <c r="G812" s="82"/>
      <c r="H812" s="81"/>
      <c r="I812" s="81"/>
      <c r="J812" s="105"/>
      <c r="K812" s="81"/>
      <c r="L812" s="81"/>
      <c r="M812" s="105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 ht="24" customHeight="1" x14ac:dyDescent="0.5">
      <c r="A813" s="81"/>
      <c r="B813" s="81"/>
      <c r="C813" s="81"/>
      <c r="D813" s="81"/>
      <c r="E813" s="81"/>
      <c r="F813" s="81"/>
      <c r="G813" s="82"/>
      <c r="H813" s="81"/>
      <c r="I813" s="81"/>
      <c r="J813" s="105"/>
      <c r="K813" s="81"/>
      <c r="L813" s="81"/>
      <c r="M813" s="105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 ht="24" customHeight="1" x14ac:dyDescent="0.5">
      <c r="A814" s="81"/>
      <c r="B814" s="81"/>
      <c r="C814" s="81"/>
      <c r="D814" s="81"/>
      <c r="E814" s="81"/>
      <c r="F814" s="81"/>
      <c r="G814" s="82"/>
      <c r="H814" s="81"/>
      <c r="I814" s="81"/>
      <c r="J814" s="105"/>
      <c r="K814" s="81"/>
      <c r="L814" s="81"/>
      <c r="M814" s="105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 ht="24" customHeight="1" x14ac:dyDescent="0.5">
      <c r="A815" s="81"/>
      <c r="B815" s="81"/>
      <c r="C815" s="81"/>
      <c r="D815" s="81"/>
      <c r="E815" s="81"/>
      <c r="F815" s="81"/>
      <c r="G815" s="82"/>
      <c r="H815" s="81"/>
      <c r="I815" s="81"/>
      <c r="J815" s="105"/>
      <c r="K815" s="81"/>
      <c r="L815" s="81"/>
      <c r="M815" s="105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 ht="24" customHeight="1" x14ac:dyDescent="0.5">
      <c r="A816" s="81"/>
      <c r="B816" s="81"/>
      <c r="C816" s="81"/>
      <c r="D816" s="81"/>
      <c r="E816" s="81"/>
      <c r="F816" s="81"/>
      <c r="G816" s="82"/>
      <c r="H816" s="81"/>
      <c r="I816" s="81"/>
      <c r="J816" s="105"/>
      <c r="K816" s="81"/>
      <c r="L816" s="81"/>
      <c r="M816" s="105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 ht="24" customHeight="1" x14ac:dyDescent="0.5">
      <c r="A817" s="81"/>
      <c r="B817" s="81"/>
      <c r="C817" s="81"/>
      <c r="D817" s="81"/>
      <c r="E817" s="81"/>
      <c r="F817" s="81"/>
      <c r="G817" s="82"/>
      <c r="H817" s="81"/>
      <c r="I817" s="81"/>
      <c r="J817" s="105"/>
      <c r="K817" s="81"/>
      <c r="L817" s="81"/>
      <c r="M817" s="105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 ht="24" customHeight="1" x14ac:dyDescent="0.5">
      <c r="A818" s="81"/>
      <c r="B818" s="81"/>
      <c r="C818" s="81"/>
      <c r="D818" s="81"/>
      <c r="E818" s="81"/>
      <c r="F818" s="81"/>
      <c r="G818" s="82"/>
      <c r="H818" s="81"/>
      <c r="I818" s="81"/>
      <c r="J818" s="105"/>
      <c r="K818" s="81"/>
      <c r="L818" s="81"/>
      <c r="M818" s="105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 ht="24" customHeight="1" x14ac:dyDescent="0.5">
      <c r="A819" s="81"/>
      <c r="B819" s="81"/>
      <c r="C819" s="81"/>
      <c r="D819" s="81"/>
      <c r="E819" s="81"/>
      <c r="F819" s="81"/>
      <c r="G819" s="82"/>
      <c r="H819" s="81"/>
      <c r="I819" s="81"/>
      <c r="J819" s="105"/>
      <c r="K819" s="81"/>
      <c r="L819" s="81"/>
      <c r="M819" s="105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 ht="24" customHeight="1" x14ac:dyDescent="0.5">
      <c r="A820" s="81"/>
      <c r="B820" s="81"/>
      <c r="C820" s="81"/>
      <c r="D820" s="81"/>
      <c r="E820" s="81"/>
      <c r="F820" s="81"/>
      <c r="G820" s="82"/>
      <c r="H820" s="81"/>
      <c r="I820" s="81"/>
      <c r="J820" s="105"/>
      <c r="K820" s="81"/>
      <c r="L820" s="81"/>
      <c r="M820" s="105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 ht="24" customHeight="1" x14ac:dyDescent="0.5">
      <c r="A821" s="81"/>
      <c r="B821" s="81"/>
      <c r="C821" s="81"/>
      <c r="D821" s="81"/>
      <c r="E821" s="81"/>
      <c r="F821" s="81"/>
      <c r="G821" s="82"/>
      <c r="H821" s="81"/>
      <c r="I821" s="81"/>
      <c r="J821" s="105"/>
      <c r="K821" s="81"/>
      <c r="L821" s="81"/>
      <c r="M821" s="105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 ht="24" customHeight="1" x14ac:dyDescent="0.5">
      <c r="A822" s="81"/>
      <c r="B822" s="81"/>
      <c r="C822" s="81"/>
      <c r="D822" s="81"/>
      <c r="E822" s="81"/>
      <c r="F822" s="81"/>
      <c r="G822" s="82"/>
      <c r="H822" s="81"/>
      <c r="I822" s="81"/>
      <c r="J822" s="105"/>
      <c r="K822" s="81"/>
      <c r="L822" s="81"/>
      <c r="M822" s="105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 ht="24" customHeight="1" x14ac:dyDescent="0.5">
      <c r="A823" s="81"/>
      <c r="B823" s="81"/>
      <c r="C823" s="81"/>
      <c r="D823" s="81"/>
      <c r="E823" s="81"/>
      <c r="F823" s="81"/>
      <c r="G823" s="82"/>
      <c r="H823" s="81"/>
      <c r="I823" s="81"/>
      <c r="J823" s="105"/>
      <c r="K823" s="81"/>
      <c r="L823" s="81"/>
      <c r="M823" s="105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 ht="24" customHeight="1" x14ac:dyDescent="0.5">
      <c r="A824" s="81"/>
      <c r="B824" s="81"/>
      <c r="C824" s="81"/>
      <c r="D824" s="81"/>
      <c r="E824" s="81"/>
      <c r="F824" s="81"/>
      <c r="G824" s="82"/>
      <c r="H824" s="81"/>
      <c r="I824" s="81"/>
      <c r="J824" s="105"/>
      <c r="K824" s="81"/>
      <c r="L824" s="81"/>
      <c r="M824" s="105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 ht="24" customHeight="1" x14ac:dyDescent="0.5">
      <c r="A825" s="81"/>
      <c r="B825" s="81"/>
      <c r="C825" s="81"/>
      <c r="D825" s="81"/>
      <c r="E825" s="81"/>
      <c r="F825" s="81"/>
      <c r="G825" s="82"/>
      <c r="H825" s="81"/>
      <c r="I825" s="81"/>
      <c r="J825" s="105"/>
      <c r="K825" s="81"/>
      <c r="L825" s="81"/>
      <c r="M825" s="105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 ht="24" customHeight="1" x14ac:dyDescent="0.5">
      <c r="A826" s="81"/>
      <c r="B826" s="81"/>
      <c r="C826" s="81"/>
      <c r="D826" s="81"/>
      <c r="E826" s="81"/>
      <c r="F826" s="81"/>
      <c r="G826" s="82"/>
      <c r="H826" s="81"/>
      <c r="I826" s="81"/>
      <c r="J826" s="105"/>
      <c r="K826" s="81"/>
      <c r="L826" s="81"/>
      <c r="M826" s="105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 ht="24" customHeight="1" x14ac:dyDescent="0.5">
      <c r="A827" s="81"/>
      <c r="B827" s="81"/>
      <c r="C827" s="81"/>
      <c r="D827" s="81"/>
      <c r="E827" s="81"/>
      <c r="F827" s="81"/>
      <c r="G827" s="82"/>
      <c r="H827" s="81"/>
      <c r="I827" s="81"/>
      <c r="J827" s="105"/>
      <c r="K827" s="81"/>
      <c r="L827" s="81"/>
      <c r="M827" s="105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 ht="24" customHeight="1" x14ac:dyDescent="0.5">
      <c r="A828" s="81"/>
      <c r="B828" s="81"/>
      <c r="C828" s="81"/>
      <c r="D828" s="81"/>
      <c r="E828" s="81"/>
      <c r="F828" s="81"/>
      <c r="G828" s="82"/>
      <c r="H828" s="81"/>
      <c r="I828" s="81"/>
      <c r="J828" s="105"/>
      <c r="K828" s="81"/>
      <c r="L828" s="81"/>
      <c r="M828" s="105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 ht="24" customHeight="1" x14ac:dyDescent="0.5">
      <c r="A829" s="81"/>
      <c r="B829" s="81"/>
      <c r="C829" s="81"/>
      <c r="D829" s="81"/>
      <c r="E829" s="81"/>
      <c r="F829" s="81"/>
      <c r="G829" s="82"/>
      <c r="H829" s="81"/>
      <c r="I829" s="81"/>
      <c r="J829" s="105"/>
      <c r="K829" s="81"/>
      <c r="L829" s="81"/>
      <c r="M829" s="105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 ht="24" customHeight="1" x14ac:dyDescent="0.5">
      <c r="A830" s="81"/>
      <c r="B830" s="81"/>
      <c r="C830" s="81"/>
      <c r="D830" s="81"/>
      <c r="E830" s="81"/>
      <c r="F830" s="81"/>
      <c r="G830" s="82"/>
      <c r="H830" s="81"/>
      <c r="I830" s="81"/>
      <c r="J830" s="105"/>
      <c r="K830" s="81"/>
      <c r="L830" s="81"/>
      <c r="M830" s="105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 ht="24" customHeight="1" x14ac:dyDescent="0.5">
      <c r="A831" s="81"/>
      <c r="B831" s="81"/>
      <c r="C831" s="81"/>
      <c r="D831" s="81"/>
      <c r="E831" s="81"/>
      <c r="F831" s="81"/>
      <c r="G831" s="82"/>
      <c r="H831" s="81"/>
      <c r="I831" s="81"/>
      <c r="J831" s="105"/>
      <c r="K831" s="81"/>
      <c r="L831" s="81"/>
      <c r="M831" s="105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 ht="24" customHeight="1" x14ac:dyDescent="0.5">
      <c r="A832" s="81"/>
      <c r="B832" s="81"/>
      <c r="C832" s="81"/>
      <c r="D832" s="81"/>
      <c r="E832" s="81"/>
      <c r="F832" s="81"/>
      <c r="G832" s="82"/>
      <c r="H832" s="81"/>
      <c r="I832" s="81"/>
      <c r="J832" s="105"/>
      <c r="K832" s="81"/>
      <c r="L832" s="81"/>
      <c r="M832" s="105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 ht="24" customHeight="1" x14ac:dyDescent="0.5">
      <c r="A833" s="81"/>
      <c r="B833" s="81"/>
      <c r="C833" s="81"/>
      <c r="D833" s="81"/>
      <c r="E833" s="81"/>
      <c r="F833" s="81"/>
      <c r="G833" s="82"/>
      <c r="H833" s="81"/>
      <c r="I833" s="81"/>
      <c r="J833" s="105"/>
      <c r="K833" s="81"/>
      <c r="L833" s="81"/>
      <c r="M833" s="105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 ht="24" customHeight="1" x14ac:dyDescent="0.5">
      <c r="A834" s="81"/>
      <c r="B834" s="81"/>
      <c r="C834" s="81"/>
      <c r="D834" s="81"/>
      <c r="E834" s="81"/>
      <c r="F834" s="81"/>
      <c r="G834" s="82"/>
      <c r="H834" s="81"/>
      <c r="I834" s="81"/>
      <c r="J834" s="105"/>
      <c r="K834" s="81"/>
      <c r="L834" s="81"/>
      <c r="M834" s="105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 ht="24" customHeight="1" x14ac:dyDescent="0.5">
      <c r="A835" s="81"/>
      <c r="B835" s="81"/>
      <c r="C835" s="81"/>
      <c r="D835" s="81"/>
      <c r="E835" s="81"/>
      <c r="F835" s="81"/>
      <c r="G835" s="82"/>
      <c r="H835" s="81"/>
      <c r="I835" s="81"/>
      <c r="J835" s="105"/>
      <c r="K835" s="81"/>
      <c r="L835" s="81"/>
      <c r="M835" s="105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 ht="24" customHeight="1" x14ac:dyDescent="0.5">
      <c r="A836" s="81"/>
      <c r="B836" s="81"/>
      <c r="C836" s="81"/>
      <c r="D836" s="81"/>
      <c r="E836" s="81"/>
      <c r="F836" s="81"/>
      <c r="G836" s="82"/>
      <c r="H836" s="81"/>
      <c r="I836" s="81"/>
      <c r="J836" s="105"/>
      <c r="K836" s="81"/>
      <c r="L836" s="81"/>
      <c r="M836" s="105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 ht="24" customHeight="1" x14ac:dyDescent="0.5">
      <c r="A837" s="81"/>
      <c r="B837" s="81"/>
      <c r="C837" s="81"/>
      <c r="D837" s="81"/>
      <c r="E837" s="81"/>
      <c r="F837" s="81"/>
      <c r="G837" s="82"/>
      <c r="H837" s="81"/>
      <c r="I837" s="81"/>
      <c r="J837" s="105"/>
      <c r="K837" s="81"/>
      <c r="L837" s="81"/>
      <c r="M837" s="105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 ht="24" customHeight="1" x14ac:dyDescent="0.5">
      <c r="A838" s="81"/>
      <c r="B838" s="81"/>
      <c r="C838" s="81"/>
      <c r="D838" s="81"/>
      <c r="E838" s="81"/>
      <c r="F838" s="81"/>
      <c r="G838" s="82"/>
      <c r="H838" s="81"/>
      <c r="I838" s="81"/>
      <c r="J838" s="105"/>
      <c r="K838" s="81"/>
      <c r="L838" s="81"/>
      <c r="M838" s="105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 ht="24" customHeight="1" x14ac:dyDescent="0.5">
      <c r="A839" s="81"/>
      <c r="B839" s="81"/>
      <c r="C839" s="81"/>
      <c r="D839" s="81"/>
      <c r="E839" s="81"/>
      <c r="F839" s="81"/>
      <c r="G839" s="82"/>
      <c r="H839" s="81"/>
      <c r="I839" s="81"/>
      <c r="J839" s="105"/>
      <c r="K839" s="81"/>
      <c r="L839" s="81"/>
      <c r="M839" s="105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 ht="24" customHeight="1" x14ac:dyDescent="0.5">
      <c r="A840" s="81"/>
      <c r="B840" s="81"/>
      <c r="C840" s="81"/>
      <c r="D840" s="81"/>
      <c r="E840" s="81"/>
      <c r="F840" s="81"/>
      <c r="G840" s="82"/>
      <c r="H840" s="81"/>
      <c r="I840" s="81"/>
      <c r="J840" s="105"/>
      <c r="K840" s="81"/>
      <c r="L840" s="81"/>
      <c r="M840" s="105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 ht="24" customHeight="1" x14ac:dyDescent="0.5">
      <c r="A841" s="81"/>
      <c r="B841" s="81"/>
      <c r="C841" s="81"/>
      <c r="D841" s="81"/>
      <c r="E841" s="81"/>
      <c r="F841" s="81"/>
      <c r="G841" s="82"/>
      <c r="H841" s="81"/>
      <c r="I841" s="81"/>
      <c r="J841" s="105"/>
      <c r="K841" s="81"/>
      <c r="L841" s="81"/>
      <c r="M841" s="105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 ht="24" customHeight="1" x14ac:dyDescent="0.5">
      <c r="A842" s="81"/>
      <c r="B842" s="81"/>
      <c r="C842" s="81"/>
      <c r="D842" s="81"/>
      <c r="E842" s="81"/>
      <c r="F842" s="81"/>
      <c r="G842" s="82"/>
      <c r="H842" s="81"/>
      <c r="I842" s="81"/>
      <c r="J842" s="105"/>
      <c r="K842" s="81"/>
      <c r="L842" s="81"/>
      <c r="M842" s="105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 ht="24" customHeight="1" x14ac:dyDescent="0.5">
      <c r="A843" s="81"/>
      <c r="B843" s="81"/>
      <c r="C843" s="81"/>
      <c r="D843" s="81"/>
      <c r="E843" s="81"/>
      <c r="F843" s="81"/>
      <c r="G843" s="82"/>
      <c r="H843" s="81"/>
      <c r="I843" s="81"/>
      <c r="J843" s="105"/>
      <c r="K843" s="81"/>
      <c r="L843" s="81"/>
      <c r="M843" s="105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 ht="24" customHeight="1" x14ac:dyDescent="0.5">
      <c r="A844" s="81"/>
      <c r="B844" s="81"/>
      <c r="C844" s="81"/>
      <c r="D844" s="81"/>
      <c r="E844" s="81"/>
      <c r="F844" s="81"/>
      <c r="G844" s="82"/>
      <c r="H844" s="81"/>
      <c r="I844" s="81"/>
      <c r="J844" s="105"/>
      <c r="K844" s="81"/>
      <c r="L844" s="81"/>
      <c r="M844" s="105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 ht="24" customHeight="1" x14ac:dyDescent="0.5">
      <c r="A845" s="81"/>
      <c r="B845" s="81"/>
      <c r="C845" s="81"/>
      <c r="D845" s="81"/>
      <c r="E845" s="81"/>
      <c r="F845" s="81"/>
      <c r="G845" s="82"/>
      <c r="H845" s="81"/>
      <c r="I845" s="81"/>
      <c r="J845" s="105"/>
      <c r="K845" s="81"/>
      <c r="L845" s="81"/>
      <c r="M845" s="105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 ht="24" customHeight="1" x14ac:dyDescent="0.5">
      <c r="A846" s="81"/>
      <c r="B846" s="81"/>
      <c r="C846" s="81"/>
      <c r="D846" s="81"/>
      <c r="E846" s="81"/>
      <c r="F846" s="81"/>
      <c r="G846" s="82"/>
      <c r="H846" s="81"/>
      <c r="I846" s="81"/>
      <c r="J846" s="105"/>
      <c r="K846" s="81"/>
      <c r="L846" s="81"/>
      <c r="M846" s="105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 ht="24" customHeight="1" x14ac:dyDescent="0.5">
      <c r="A847" s="81"/>
      <c r="B847" s="81"/>
      <c r="C847" s="81"/>
      <c r="D847" s="81"/>
      <c r="E847" s="81"/>
      <c r="F847" s="81"/>
      <c r="G847" s="82"/>
      <c r="H847" s="81"/>
      <c r="I847" s="81"/>
      <c r="J847" s="105"/>
      <c r="K847" s="81"/>
      <c r="L847" s="81"/>
      <c r="M847" s="105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 ht="24" customHeight="1" x14ac:dyDescent="0.5">
      <c r="A848" s="81"/>
      <c r="B848" s="81"/>
      <c r="C848" s="81"/>
      <c r="D848" s="81"/>
      <c r="E848" s="81"/>
      <c r="F848" s="81"/>
      <c r="G848" s="82"/>
      <c r="H848" s="81"/>
      <c r="I848" s="81"/>
      <c r="J848" s="105"/>
      <c r="K848" s="81"/>
      <c r="L848" s="81"/>
      <c r="M848" s="105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 ht="24" customHeight="1" x14ac:dyDescent="0.5">
      <c r="A849" s="81"/>
      <c r="B849" s="81"/>
      <c r="C849" s="81"/>
      <c r="D849" s="81"/>
      <c r="E849" s="81"/>
      <c r="F849" s="81"/>
      <c r="G849" s="82"/>
      <c r="H849" s="81"/>
      <c r="I849" s="81"/>
      <c r="J849" s="105"/>
      <c r="K849" s="81"/>
      <c r="L849" s="81"/>
      <c r="M849" s="105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 ht="24" customHeight="1" x14ac:dyDescent="0.5">
      <c r="A850" s="81"/>
      <c r="B850" s="81"/>
      <c r="C850" s="81"/>
      <c r="D850" s="81"/>
      <c r="E850" s="81"/>
      <c r="F850" s="81"/>
      <c r="G850" s="82"/>
      <c r="H850" s="81"/>
      <c r="I850" s="81"/>
      <c r="J850" s="105"/>
      <c r="K850" s="81"/>
      <c r="L850" s="81"/>
      <c r="M850" s="105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 ht="24" customHeight="1" x14ac:dyDescent="0.5">
      <c r="A851" s="81"/>
      <c r="B851" s="81"/>
      <c r="C851" s="81"/>
      <c r="D851" s="81"/>
      <c r="E851" s="81"/>
      <c r="F851" s="81"/>
      <c r="G851" s="82"/>
      <c r="H851" s="81"/>
      <c r="I851" s="81"/>
      <c r="J851" s="105"/>
      <c r="K851" s="81"/>
      <c r="L851" s="81"/>
      <c r="M851" s="105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 ht="24" customHeight="1" x14ac:dyDescent="0.5">
      <c r="A852" s="81"/>
      <c r="B852" s="81"/>
      <c r="C852" s="81"/>
      <c r="D852" s="81"/>
      <c r="E852" s="81"/>
      <c r="F852" s="81"/>
      <c r="G852" s="82"/>
      <c r="H852" s="81"/>
      <c r="I852" s="81"/>
      <c r="J852" s="105"/>
      <c r="K852" s="81"/>
      <c r="L852" s="81"/>
      <c r="M852" s="105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 ht="24" customHeight="1" x14ac:dyDescent="0.5">
      <c r="A853" s="81"/>
      <c r="B853" s="81"/>
      <c r="C853" s="81"/>
      <c r="D853" s="81"/>
      <c r="E853" s="81"/>
      <c r="F853" s="81"/>
      <c r="G853" s="82"/>
      <c r="H853" s="81"/>
      <c r="I853" s="81"/>
      <c r="J853" s="105"/>
      <c r="K853" s="81"/>
      <c r="L853" s="81"/>
      <c r="M853" s="105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 ht="24" customHeight="1" x14ac:dyDescent="0.5">
      <c r="A854" s="81"/>
      <c r="B854" s="81"/>
      <c r="C854" s="81"/>
      <c r="D854" s="81"/>
      <c r="E854" s="81"/>
      <c r="F854" s="81"/>
      <c r="G854" s="82"/>
      <c r="H854" s="81"/>
      <c r="I854" s="81"/>
      <c r="J854" s="105"/>
      <c r="K854" s="81"/>
      <c r="L854" s="81"/>
      <c r="M854" s="105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 ht="24" customHeight="1" x14ac:dyDescent="0.5">
      <c r="A855" s="81"/>
      <c r="B855" s="81"/>
      <c r="C855" s="81"/>
      <c r="D855" s="81"/>
      <c r="E855" s="81"/>
      <c r="F855" s="81"/>
      <c r="G855" s="82"/>
      <c r="H855" s="81"/>
      <c r="I855" s="81"/>
      <c r="J855" s="105"/>
      <c r="K855" s="81"/>
      <c r="L855" s="81"/>
      <c r="M855" s="105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 ht="24" customHeight="1" x14ac:dyDescent="0.5">
      <c r="A856" s="81"/>
      <c r="B856" s="81"/>
      <c r="C856" s="81"/>
      <c r="D856" s="81"/>
      <c r="E856" s="81"/>
      <c r="F856" s="81"/>
      <c r="G856" s="82"/>
      <c r="H856" s="81"/>
      <c r="I856" s="81"/>
      <c r="J856" s="105"/>
      <c r="K856" s="81"/>
      <c r="L856" s="81"/>
      <c r="M856" s="105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 ht="24" customHeight="1" x14ac:dyDescent="0.5">
      <c r="A857" s="81"/>
      <c r="B857" s="81"/>
      <c r="C857" s="81"/>
      <c r="D857" s="81"/>
      <c r="E857" s="81"/>
      <c r="F857" s="81"/>
      <c r="G857" s="82"/>
      <c r="H857" s="81"/>
      <c r="I857" s="81"/>
      <c r="J857" s="105"/>
      <c r="K857" s="81"/>
      <c r="L857" s="81"/>
      <c r="M857" s="105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 ht="24" customHeight="1" x14ac:dyDescent="0.5">
      <c r="A858" s="81"/>
      <c r="B858" s="81"/>
      <c r="C858" s="81"/>
      <c r="D858" s="81"/>
      <c r="E858" s="81"/>
      <c r="F858" s="81"/>
      <c r="G858" s="82"/>
      <c r="H858" s="81"/>
      <c r="I858" s="81"/>
      <c r="J858" s="105"/>
      <c r="K858" s="81"/>
      <c r="L858" s="81"/>
      <c r="M858" s="105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 ht="24" customHeight="1" x14ac:dyDescent="0.5">
      <c r="A859" s="81"/>
      <c r="B859" s="81"/>
      <c r="C859" s="81"/>
      <c r="D859" s="81"/>
      <c r="E859" s="81"/>
      <c r="F859" s="81"/>
      <c r="G859" s="82"/>
      <c r="H859" s="81"/>
      <c r="I859" s="81"/>
      <c r="J859" s="105"/>
      <c r="K859" s="81"/>
      <c r="L859" s="81"/>
      <c r="M859" s="105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 ht="24" customHeight="1" x14ac:dyDescent="0.5">
      <c r="A860" s="81"/>
      <c r="B860" s="81"/>
      <c r="C860" s="81"/>
      <c r="D860" s="81"/>
      <c r="E860" s="81"/>
      <c r="F860" s="81"/>
      <c r="G860" s="82"/>
      <c r="H860" s="81"/>
      <c r="I860" s="81"/>
      <c r="J860" s="105"/>
      <c r="K860" s="81"/>
      <c r="L860" s="81"/>
      <c r="M860" s="105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 ht="24" customHeight="1" x14ac:dyDescent="0.5">
      <c r="A861" s="81"/>
      <c r="B861" s="81"/>
      <c r="C861" s="81"/>
      <c r="D861" s="81"/>
      <c r="E861" s="81"/>
      <c r="F861" s="81"/>
      <c r="G861" s="82"/>
      <c r="H861" s="81"/>
      <c r="I861" s="81"/>
      <c r="J861" s="105"/>
      <c r="K861" s="81"/>
      <c r="L861" s="81"/>
      <c r="M861" s="105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 ht="24" customHeight="1" x14ac:dyDescent="0.5">
      <c r="A862" s="81"/>
      <c r="B862" s="81"/>
      <c r="C862" s="81"/>
      <c r="D862" s="81"/>
      <c r="E862" s="81"/>
      <c r="F862" s="81"/>
      <c r="G862" s="82"/>
      <c r="H862" s="81"/>
      <c r="I862" s="81"/>
      <c r="J862" s="105"/>
      <c r="K862" s="81"/>
      <c r="L862" s="81"/>
      <c r="M862" s="105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 ht="24" customHeight="1" x14ac:dyDescent="0.5">
      <c r="A863" s="81"/>
      <c r="B863" s="81"/>
      <c r="C863" s="81"/>
      <c r="D863" s="81"/>
      <c r="E863" s="81"/>
      <c r="F863" s="81"/>
      <c r="G863" s="82"/>
      <c r="H863" s="81"/>
      <c r="I863" s="81"/>
      <c r="J863" s="105"/>
      <c r="K863" s="81"/>
      <c r="L863" s="81"/>
      <c r="M863" s="105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 ht="24" customHeight="1" x14ac:dyDescent="0.5">
      <c r="A864" s="81"/>
      <c r="B864" s="81"/>
      <c r="C864" s="81"/>
      <c r="D864" s="81"/>
      <c r="E864" s="81"/>
      <c r="F864" s="81"/>
      <c r="G864" s="82"/>
      <c r="H864" s="81"/>
      <c r="I864" s="81"/>
      <c r="J864" s="105"/>
      <c r="K864" s="81"/>
      <c r="L864" s="81"/>
      <c r="M864" s="105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 ht="24" customHeight="1" x14ac:dyDescent="0.5">
      <c r="A865" s="81"/>
      <c r="B865" s="81"/>
      <c r="C865" s="81"/>
      <c r="D865" s="81"/>
      <c r="E865" s="81"/>
      <c r="F865" s="81"/>
      <c r="G865" s="82"/>
      <c r="H865" s="81"/>
      <c r="I865" s="81"/>
      <c r="J865" s="105"/>
      <c r="K865" s="81"/>
      <c r="L865" s="81"/>
      <c r="M865" s="105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 ht="24" customHeight="1" x14ac:dyDescent="0.5">
      <c r="A866" s="81"/>
      <c r="B866" s="81"/>
      <c r="C866" s="81"/>
      <c r="D866" s="81"/>
      <c r="E866" s="81"/>
      <c r="F866" s="81"/>
      <c r="G866" s="82"/>
      <c r="H866" s="81"/>
      <c r="I866" s="81"/>
      <c r="J866" s="105"/>
      <c r="K866" s="81"/>
      <c r="L866" s="81"/>
      <c r="M866" s="105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 ht="24" customHeight="1" x14ac:dyDescent="0.5">
      <c r="A867" s="81"/>
      <c r="B867" s="81"/>
      <c r="C867" s="81"/>
      <c r="D867" s="81"/>
      <c r="E867" s="81"/>
      <c r="F867" s="81"/>
      <c r="G867" s="82"/>
      <c r="H867" s="81"/>
      <c r="I867" s="81"/>
      <c r="J867" s="105"/>
      <c r="K867" s="81"/>
      <c r="L867" s="81"/>
      <c r="M867" s="105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 ht="24" customHeight="1" x14ac:dyDescent="0.5">
      <c r="A868" s="81"/>
      <c r="B868" s="81"/>
      <c r="C868" s="81"/>
      <c r="D868" s="81"/>
      <c r="E868" s="81"/>
      <c r="F868" s="81"/>
      <c r="G868" s="82"/>
      <c r="H868" s="81"/>
      <c r="I868" s="81"/>
      <c r="J868" s="105"/>
      <c r="K868" s="81"/>
      <c r="L868" s="81"/>
      <c r="M868" s="105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 ht="24" customHeight="1" x14ac:dyDescent="0.5">
      <c r="A869" s="81"/>
      <c r="B869" s="81"/>
      <c r="C869" s="81"/>
      <c r="D869" s="81"/>
      <c r="E869" s="81"/>
      <c r="F869" s="81"/>
      <c r="G869" s="82"/>
      <c r="H869" s="81"/>
      <c r="I869" s="81"/>
      <c r="J869" s="105"/>
      <c r="K869" s="81"/>
      <c r="L869" s="81"/>
      <c r="M869" s="105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 ht="24" customHeight="1" x14ac:dyDescent="0.5">
      <c r="A870" s="81"/>
      <c r="B870" s="81"/>
      <c r="C870" s="81"/>
      <c r="D870" s="81"/>
      <c r="E870" s="81"/>
      <c r="F870" s="81"/>
      <c r="G870" s="82"/>
      <c r="H870" s="81"/>
      <c r="I870" s="81"/>
      <c r="J870" s="105"/>
      <c r="K870" s="81"/>
      <c r="L870" s="81"/>
      <c r="M870" s="105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 ht="24" customHeight="1" x14ac:dyDescent="0.5">
      <c r="A871" s="81"/>
      <c r="B871" s="81"/>
      <c r="C871" s="81"/>
      <c r="D871" s="81"/>
      <c r="E871" s="81"/>
      <c r="F871" s="81"/>
      <c r="G871" s="82"/>
      <c r="H871" s="81"/>
      <c r="I871" s="81"/>
      <c r="J871" s="105"/>
      <c r="K871" s="81"/>
      <c r="L871" s="81"/>
      <c r="M871" s="105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 ht="24" customHeight="1" x14ac:dyDescent="0.5">
      <c r="A872" s="81"/>
      <c r="B872" s="81"/>
      <c r="C872" s="81"/>
      <c r="D872" s="81"/>
      <c r="E872" s="81"/>
      <c r="F872" s="81"/>
      <c r="G872" s="82"/>
      <c r="H872" s="81"/>
      <c r="I872" s="81"/>
      <c r="J872" s="105"/>
      <c r="K872" s="81"/>
      <c r="L872" s="81"/>
      <c r="M872" s="105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 ht="24" customHeight="1" x14ac:dyDescent="0.5">
      <c r="A873" s="81"/>
      <c r="B873" s="81"/>
      <c r="C873" s="81"/>
      <c r="D873" s="81"/>
      <c r="E873" s="81"/>
      <c r="F873" s="81"/>
      <c r="G873" s="82"/>
      <c r="H873" s="81"/>
      <c r="I873" s="81"/>
      <c r="J873" s="105"/>
      <c r="K873" s="81"/>
      <c r="L873" s="81"/>
      <c r="M873" s="105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 ht="24" customHeight="1" x14ac:dyDescent="0.5">
      <c r="A874" s="81"/>
      <c r="B874" s="81"/>
      <c r="C874" s="81"/>
      <c r="D874" s="81"/>
      <c r="E874" s="81"/>
      <c r="F874" s="81"/>
      <c r="G874" s="82"/>
      <c r="H874" s="81"/>
      <c r="I874" s="81"/>
      <c r="J874" s="105"/>
      <c r="K874" s="81"/>
      <c r="L874" s="81"/>
      <c r="M874" s="105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 ht="24" customHeight="1" x14ac:dyDescent="0.5">
      <c r="A875" s="81"/>
      <c r="B875" s="81"/>
      <c r="C875" s="81"/>
      <c r="D875" s="81"/>
      <c r="E875" s="81"/>
      <c r="F875" s="81"/>
      <c r="G875" s="82"/>
      <c r="H875" s="81"/>
      <c r="I875" s="81"/>
      <c r="J875" s="105"/>
      <c r="K875" s="81"/>
      <c r="L875" s="81"/>
      <c r="M875" s="105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 ht="24" customHeight="1" x14ac:dyDescent="0.5">
      <c r="A876" s="81"/>
      <c r="B876" s="81"/>
      <c r="C876" s="81"/>
      <c r="D876" s="81"/>
      <c r="E876" s="81"/>
      <c r="F876" s="81"/>
      <c r="G876" s="82"/>
      <c r="H876" s="81"/>
      <c r="I876" s="81"/>
      <c r="J876" s="105"/>
      <c r="K876" s="81"/>
      <c r="L876" s="81"/>
      <c r="M876" s="105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 ht="24" customHeight="1" x14ac:dyDescent="0.5">
      <c r="A877" s="81"/>
      <c r="B877" s="81"/>
      <c r="C877" s="81"/>
      <c r="D877" s="81"/>
      <c r="E877" s="81"/>
      <c r="F877" s="81"/>
      <c r="G877" s="82"/>
      <c r="H877" s="81"/>
      <c r="I877" s="81"/>
      <c r="J877" s="105"/>
      <c r="K877" s="81"/>
      <c r="L877" s="81"/>
      <c r="M877" s="105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 ht="24" customHeight="1" x14ac:dyDescent="0.5">
      <c r="A878" s="81"/>
      <c r="B878" s="81"/>
      <c r="C878" s="81"/>
      <c r="D878" s="81"/>
      <c r="E878" s="81"/>
      <c r="F878" s="81"/>
      <c r="G878" s="82"/>
      <c r="H878" s="81"/>
      <c r="I878" s="81"/>
      <c r="J878" s="105"/>
      <c r="K878" s="81"/>
      <c r="L878" s="81"/>
      <c r="M878" s="105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 ht="24" customHeight="1" x14ac:dyDescent="0.5">
      <c r="A879" s="81"/>
      <c r="B879" s="81"/>
      <c r="C879" s="81"/>
      <c r="D879" s="81"/>
      <c r="E879" s="81"/>
      <c r="F879" s="81"/>
      <c r="G879" s="82"/>
      <c r="H879" s="81"/>
      <c r="I879" s="81"/>
      <c r="J879" s="105"/>
      <c r="K879" s="81"/>
      <c r="L879" s="81"/>
      <c r="M879" s="105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 ht="24" customHeight="1" x14ac:dyDescent="0.5">
      <c r="A880" s="81"/>
      <c r="B880" s="81"/>
      <c r="C880" s="81"/>
      <c r="D880" s="81"/>
      <c r="E880" s="81"/>
      <c r="F880" s="81"/>
      <c r="G880" s="82"/>
      <c r="H880" s="81"/>
      <c r="I880" s="81"/>
      <c r="J880" s="105"/>
      <c r="K880" s="81"/>
      <c r="L880" s="81"/>
      <c r="M880" s="105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 ht="24" customHeight="1" x14ac:dyDescent="0.5">
      <c r="A881" s="81"/>
      <c r="B881" s="81"/>
      <c r="C881" s="81"/>
      <c r="D881" s="81"/>
      <c r="E881" s="81"/>
      <c r="F881" s="81"/>
      <c r="G881" s="82"/>
      <c r="H881" s="81"/>
      <c r="I881" s="81"/>
      <c r="J881" s="105"/>
      <c r="K881" s="81"/>
      <c r="L881" s="81"/>
      <c r="M881" s="105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 ht="24" customHeight="1" x14ac:dyDescent="0.5">
      <c r="A882" s="81"/>
      <c r="B882" s="81"/>
      <c r="C882" s="81"/>
      <c r="D882" s="81"/>
      <c r="E882" s="81"/>
      <c r="F882" s="81"/>
      <c r="G882" s="82"/>
      <c r="H882" s="81"/>
      <c r="I882" s="81"/>
      <c r="J882" s="105"/>
      <c r="K882" s="81"/>
      <c r="L882" s="81"/>
      <c r="M882" s="105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 ht="24" customHeight="1" x14ac:dyDescent="0.5">
      <c r="A883" s="81"/>
      <c r="B883" s="81"/>
      <c r="C883" s="81"/>
      <c r="D883" s="81"/>
      <c r="E883" s="81"/>
      <c r="F883" s="81"/>
      <c r="G883" s="82"/>
      <c r="H883" s="81"/>
      <c r="I883" s="81"/>
      <c r="J883" s="105"/>
      <c r="K883" s="81"/>
      <c r="L883" s="81"/>
      <c r="M883" s="105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 ht="24" customHeight="1" x14ac:dyDescent="0.5">
      <c r="A884" s="81"/>
      <c r="B884" s="81"/>
      <c r="C884" s="81"/>
      <c r="D884" s="81"/>
      <c r="E884" s="81"/>
      <c r="F884" s="81"/>
      <c r="G884" s="82"/>
      <c r="H884" s="81"/>
      <c r="I884" s="81"/>
      <c r="J884" s="105"/>
      <c r="K884" s="81"/>
      <c r="L884" s="81"/>
      <c r="M884" s="105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 ht="24" customHeight="1" x14ac:dyDescent="0.5">
      <c r="A885" s="81"/>
      <c r="B885" s="81"/>
      <c r="C885" s="81"/>
      <c r="D885" s="81"/>
      <c r="E885" s="81"/>
      <c r="F885" s="81"/>
      <c r="G885" s="82"/>
      <c r="H885" s="81"/>
      <c r="I885" s="81"/>
      <c r="J885" s="105"/>
      <c r="K885" s="81"/>
      <c r="L885" s="81"/>
      <c r="M885" s="105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 ht="24" customHeight="1" x14ac:dyDescent="0.5">
      <c r="A886" s="81"/>
      <c r="B886" s="81"/>
      <c r="C886" s="81"/>
      <c r="D886" s="81"/>
      <c r="E886" s="81"/>
      <c r="F886" s="81"/>
      <c r="G886" s="82"/>
      <c r="H886" s="81"/>
      <c r="I886" s="81"/>
      <c r="J886" s="105"/>
      <c r="K886" s="81"/>
      <c r="L886" s="81"/>
      <c r="M886" s="105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 ht="24" customHeight="1" x14ac:dyDescent="0.5">
      <c r="A887" s="81"/>
      <c r="B887" s="81"/>
      <c r="C887" s="81"/>
      <c r="D887" s="81"/>
      <c r="E887" s="81"/>
      <c r="F887" s="81"/>
      <c r="G887" s="82"/>
      <c r="H887" s="81"/>
      <c r="I887" s="81"/>
      <c r="J887" s="105"/>
      <c r="K887" s="81"/>
      <c r="L887" s="81"/>
      <c r="M887" s="105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 ht="24" customHeight="1" x14ac:dyDescent="0.5">
      <c r="A888" s="81"/>
      <c r="B888" s="81"/>
      <c r="C888" s="81"/>
      <c r="D888" s="81"/>
      <c r="E888" s="81"/>
      <c r="F888" s="81"/>
      <c r="G888" s="82"/>
      <c r="H888" s="81"/>
      <c r="I888" s="81"/>
      <c r="J888" s="105"/>
      <c r="K888" s="81"/>
      <c r="L888" s="81"/>
      <c r="M888" s="105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 ht="24" customHeight="1" x14ac:dyDescent="0.5">
      <c r="A889" s="81"/>
      <c r="B889" s="81"/>
      <c r="C889" s="81"/>
      <c r="D889" s="81"/>
      <c r="E889" s="81"/>
      <c r="F889" s="81"/>
      <c r="G889" s="82"/>
      <c r="H889" s="81"/>
      <c r="I889" s="81"/>
      <c r="J889" s="105"/>
      <c r="K889" s="81"/>
      <c r="L889" s="81"/>
      <c r="M889" s="105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 ht="24" customHeight="1" x14ac:dyDescent="0.5">
      <c r="A890" s="81"/>
      <c r="B890" s="81"/>
      <c r="C890" s="81"/>
      <c r="D890" s="81"/>
      <c r="E890" s="81"/>
      <c r="F890" s="81"/>
      <c r="G890" s="82"/>
      <c r="H890" s="81"/>
      <c r="I890" s="81"/>
      <c r="J890" s="105"/>
      <c r="K890" s="81"/>
      <c r="L890" s="81"/>
      <c r="M890" s="105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 ht="24" customHeight="1" x14ac:dyDescent="0.5">
      <c r="A891" s="81"/>
      <c r="B891" s="81"/>
      <c r="C891" s="81"/>
      <c r="D891" s="81"/>
      <c r="E891" s="81"/>
      <c r="F891" s="81"/>
      <c r="G891" s="82"/>
      <c r="H891" s="81"/>
      <c r="I891" s="81"/>
      <c r="J891" s="105"/>
      <c r="K891" s="81"/>
      <c r="L891" s="81"/>
      <c r="M891" s="105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 ht="24" customHeight="1" x14ac:dyDescent="0.5">
      <c r="A892" s="81"/>
      <c r="B892" s="81"/>
      <c r="C892" s="81"/>
      <c r="D892" s="81"/>
      <c r="E892" s="81"/>
      <c r="F892" s="81"/>
      <c r="G892" s="82"/>
      <c r="H892" s="81"/>
      <c r="I892" s="81"/>
      <c r="J892" s="105"/>
      <c r="K892" s="81"/>
      <c r="L892" s="81"/>
      <c r="M892" s="105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 ht="24" customHeight="1" x14ac:dyDescent="0.5">
      <c r="A893" s="81"/>
      <c r="B893" s="81"/>
      <c r="C893" s="81"/>
      <c r="D893" s="81"/>
      <c r="E893" s="81"/>
      <c r="F893" s="81"/>
      <c r="G893" s="82"/>
      <c r="H893" s="81"/>
      <c r="I893" s="81"/>
      <c r="J893" s="105"/>
      <c r="K893" s="81"/>
      <c r="L893" s="81"/>
      <c r="M893" s="105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 ht="24" customHeight="1" x14ac:dyDescent="0.5">
      <c r="A894" s="81"/>
      <c r="B894" s="81"/>
      <c r="C894" s="81"/>
      <c r="D894" s="81"/>
      <c r="E894" s="81"/>
      <c r="F894" s="81"/>
      <c r="G894" s="82"/>
      <c r="H894" s="81"/>
      <c r="I894" s="81"/>
      <c r="J894" s="105"/>
      <c r="K894" s="81"/>
      <c r="L894" s="81"/>
      <c r="M894" s="105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 ht="24" customHeight="1" x14ac:dyDescent="0.5">
      <c r="A895" s="81"/>
      <c r="B895" s="81"/>
      <c r="C895" s="81"/>
      <c r="D895" s="81"/>
      <c r="E895" s="81"/>
      <c r="F895" s="81"/>
      <c r="G895" s="82"/>
      <c r="H895" s="81"/>
      <c r="I895" s="81"/>
      <c r="J895" s="105"/>
      <c r="K895" s="81"/>
      <c r="L895" s="81"/>
      <c r="M895" s="105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 ht="24" customHeight="1" x14ac:dyDescent="0.5">
      <c r="A896" s="81"/>
      <c r="B896" s="81"/>
      <c r="C896" s="81"/>
      <c r="D896" s="81"/>
      <c r="E896" s="81"/>
      <c r="F896" s="81"/>
      <c r="G896" s="82"/>
      <c r="H896" s="81"/>
      <c r="I896" s="81"/>
      <c r="J896" s="105"/>
      <c r="K896" s="81"/>
      <c r="L896" s="81"/>
      <c r="M896" s="105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 ht="24" customHeight="1" x14ac:dyDescent="0.5">
      <c r="A897" s="81"/>
      <c r="B897" s="81"/>
      <c r="C897" s="81"/>
      <c r="D897" s="81"/>
      <c r="E897" s="81"/>
      <c r="F897" s="81"/>
      <c r="G897" s="82"/>
      <c r="H897" s="81"/>
      <c r="I897" s="81"/>
      <c r="J897" s="105"/>
      <c r="K897" s="81"/>
      <c r="L897" s="81"/>
      <c r="M897" s="105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 ht="24" customHeight="1" x14ac:dyDescent="0.5">
      <c r="A898" s="81"/>
      <c r="B898" s="81"/>
      <c r="C898" s="81"/>
      <c r="D898" s="81"/>
      <c r="E898" s="81"/>
      <c r="F898" s="81"/>
      <c r="G898" s="82"/>
      <c r="H898" s="81"/>
      <c r="I898" s="81"/>
      <c r="J898" s="105"/>
      <c r="K898" s="81"/>
      <c r="L898" s="81"/>
      <c r="M898" s="105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 ht="24" customHeight="1" x14ac:dyDescent="0.5">
      <c r="A899" s="81"/>
      <c r="B899" s="81"/>
      <c r="C899" s="81"/>
      <c r="D899" s="81"/>
      <c r="E899" s="81"/>
      <c r="F899" s="81"/>
      <c r="G899" s="82"/>
      <c r="H899" s="81"/>
      <c r="I899" s="81"/>
      <c r="J899" s="105"/>
      <c r="K899" s="81"/>
      <c r="L899" s="81"/>
      <c r="M899" s="105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 ht="24" customHeight="1" x14ac:dyDescent="0.5">
      <c r="A900" s="81"/>
      <c r="B900" s="81"/>
      <c r="C900" s="81"/>
      <c r="D900" s="81"/>
      <c r="E900" s="81"/>
      <c r="F900" s="81"/>
      <c r="G900" s="82"/>
      <c r="H900" s="81"/>
      <c r="I900" s="81"/>
      <c r="J900" s="105"/>
      <c r="K900" s="81"/>
      <c r="L900" s="81"/>
      <c r="M900" s="105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 ht="24" customHeight="1" x14ac:dyDescent="0.5">
      <c r="A901" s="81"/>
      <c r="B901" s="81"/>
      <c r="C901" s="81"/>
      <c r="D901" s="81"/>
      <c r="E901" s="81"/>
      <c r="F901" s="81"/>
      <c r="G901" s="82"/>
      <c r="H901" s="81"/>
      <c r="I901" s="81"/>
      <c r="J901" s="105"/>
      <c r="K901" s="81"/>
      <c r="L901" s="81"/>
      <c r="M901" s="105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 ht="24" customHeight="1" x14ac:dyDescent="0.5">
      <c r="A902" s="81"/>
      <c r="B902" s="81"/>
      <c r="C902" s="81"/>
      <c r="D902" s="81"/>
      <c r="E902" s="81"/>
      <c r="F902" s="81"/>
      <c r="G902" s="82"/>
      <c r="H902" s="81"/>
      <c r="I902" s="81"/>
      <c r="J902" s="105"/>
      <c r="K902" s="81"/>
      <c r="L902" s="81"/>
      <c r="M902" s="105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 ht="24" customHeight="1" x14ac:dyDescent="0.5">
      <c r="A903" s="81"/>
      <c r="B903" s="81"/>
      <c r="C903" s="81"/>
      <c r="D903" s="81"/>
      <c r="E903" s="81"/>
      <c r="F903" s="81"/>
      <c r="G903" s="82"/>
      <c r="H903" s="81"/>
      <c r="I903" s="81"/>
      <c r="J903" s="105"/>
      <c r="K903" s="81"/>
      <c r="L903" s="81"/>
      <c r="M903" s="105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 ht="24" customHeight="1" x14ac:dyDescent="0.5">
      <c r="A904" s="81"/>
      <c r="B904" s="81"/>
      <c r="C904" s="81"/>
      <c r="D904" s="81"/>
      <c r="E904" s="81"/>
      <c r="F904" s="81"/>
      <c r="G904" s="82"/>
      <c r="H904" s="81"/>
      <c r="I904" s="81"/>
      <c r="J904" s="105"/>
      <c r="K904" s="81"/>
      <c r="L904" s="81"/>
      <c r="M904" s="105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 ht="24" customHeight="1" x14ac:dyDescent="0.5">
      <c r="A905" s="81"/>
      <c r="B905" s="81"/>
      <c r="C905" s="81"/>
      <c r="D905" s="81"/>
      <c r="E905" s="81"/>
      <c r="F905" s="81"/>
      <c r="G905" s="82"/>
      <c r="H905" s="81"/>
      <c r="I905" s="81"/>
      <c r="J905" s="105"/>
      <c r="K905" s="81"/>
      <c r="L905" s="81"/>
      <c r="M905" s="105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 ht="24" customHeight="1" x14ac:dyDescent="0.5">
      <c r="A906" s="81"/>
      <c r="B906" s="81"/>
      <c r="C906" s="81"/>
      <c r="D906" s="81"/>
      <c r="E906" s="81"/>
      <c r="F906" s="81"/>
      <c r="G906" s="82"/>
      <c r="H906" s="81"/>
      <c r="I906" s="81"/>
      <c r="J906" s="105"/>
      <c r="K906" s="81"/>
      <c r="L906" s="81"/>
      <c r="M906" s="105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 ht="24" customHeight="1" x14ac:dyDescent="0.5">
      <c r="A907" s="81"/>
      <c r="B907" s="81"/>
      <c r="C907" s="81"/>
      <c r="D907" s="81"/>
      <c r="E907" s="81"/>
      <c r="F907" s="81"/>
      <c r="G907" s="82"/>
      <c r="H907" s="81"/>
      <c r="I907" s="81"/>
      <c r="J907" s="105"/>
      <c r="K907" s="81"/>
      <c r="L907" s="81"/>
      <c r="M907" s="105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 ht="24" customHeight="1" x14ac:dyDescent="0.5">
      <c r="A908" s="81"/>
      <c r="B908" s="81"/>
      <c r="C908" s="81"/>
      <c r="D908" s="81"/>
      <c r="E908" s="81"/>
      <c r="F908" s="81"/>
      <c r="G908" s="82"/>
      <c r="H908" s="81"/>
      <c r="I908" s="81"/>
      <c r="J908" s="105"/>
      <c r="K908" s="81"/>
      <c r="L908" s="81"/>
      <c r="M908" s="105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 ht="24" customHeight="1" x14ac:dyDescent="0.5">
      <c r="A909" s="81"/>
      <c r="B909" s="81"/>
      <c r="C909" s="81"/>
      <c r="D909" s="81"/>
      <c r="E909" s="81"/>
      <c r="F909" s="81"/>
      <c r="G909" s="82"/>
      <c r="H909" s="81"/>
      <c r="I909" s="81"/>
      <c r="J909" s="105"/>
      <c r="K909" s="81"/>
      <c r="L909" s="81"/>
      <c r="M909" s="105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 ht="24" customHeight="1" x14ac:dyDescent="0.5">
      <c r="A910" s="81"/>
      <c r="B910" s="81"/>
      <c r="C910" s="81"/>
      <c r="D910" s="81"/>
      <c r="E910" s="81"/>
      <c r="F910" s="81"/>
      <c r="G910" s="82"/>
      <c r="H910" s="81"/>
      <c r="I910" s="81"/>
      <c r="J910" s="105"/>
      <c r="K910" s="81"/>
      <c r="L910" s="81"/>
      <c r="M910" s="105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 ht="24" customHeight="1" x14ac:dyDescent="0.5">
      <c r="A911" s="81"/>
      <c r="B911" s="81"/>
      <c r="C911" s="81"/>
      <c r="D911" s="81"/>
      <c r="E911" s="81"/>
      <c r="F911" s="81"/>
      <c r="G911" s="82"/>
      <c r="H911" s="81"/>
      <c r="I911" s="81"/>
      <c r="J911" s="105"/>
      <c r="K911" s="81"/>
      <c r="L911" s="81"/>
      <c r="M911" s="105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 ht="24" customHeight="1" x14ac:dyDescent="0.5">
      <c r="A912" s="81"/>
      <c r="B912" s="81"/>
      <c r="C912" s="81"/>
      <c r="D912" s="81"/>
      <c r="E912" s="81"/>
      <c r="F912" s="81"/>
      <c r="G912" s="82"/>
      <c r="H912" s="81"/>
      <c r="I912" s="81"/>
      <c r="J912" s="105"/>
      <c r="K912" s="81"/>
      <c r="L912" s="81"/>
      <c r="M912" s="105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 ht="24" customHeight="1" x14ac:dyDescent="0.5">
      <c r="A913" s="81"/>
      <c r="B913" s="81"/>
      <c r="C913" s="81"/>
      <c r="D913" s="81"/>
      <c r="E913" s="81"/>
      <c r="F913" s="81"/>
      <c r="G913" s="82"/>
      <c r="H913" s="81"/>
      <c r="I913" s="81"/>
      <c r="J913" s="105"/>
      <c r="K913" s="81"/>
      <c r="L913" s="81"/>
      <c r="M913" s="105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 ht="24" customHeight="1" x14ac:dyDescent="0.5">
      <c r="A914" s="81"/>
      <c r="B914" s="81"/>
      <c r="C914" s="81"/>
      <c r="D914" s="81"/>
      <c r="E914" s="81"/>
      <c r="F914" s="81"/>
      <c r="G914" s="82"/>
      <c r="H914" s="81"/>
      <c r="I914" s="81"/>
      <c r="J914" s="105"/>
      <c r="K914" s="81"/>
      <c r="L914" s="81"/>
      <c r="M914" s="105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 ht="24" customHeight="1" x14ac:dyDescent="0.5">
      <c r="A915" s="81"/>
      <c r="B915" s="81"/>
      <c r="C915" s="81"/>
      <c r="D915" s="81"/>
      <c r="E915" s="81"/>
      <c r="F915" s="81"/>
      <c r="G915" s="82"/>
      <c r="H915" s="81"/>
      <c r="I915" s="81"/>
      <c r="J915" s="105"/>
      <c r="K915" s="81"/>
      <c r="L915" s="81"/>
      <c r="M915" s="105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 ht="24" customHeight="1" x14ac:dyDescent="0.5">
      <c r="A916" s="81"/>
      <c r="B916" s="81"/>
      <c r="C916" s="81"/>
      <c r="D916" s="81"/>
      <c r="E916" s="81"/>
      <c r="F916" s="81"/>
      <c r="G916" s="82"/>
      <c r="H916" s="81"/>
      <c r="I916" s="81"/>
      <c r="J916" s="105"/>
      <c r="K916" s="81"/>
      <c r="L916" s="81"/>
      <c r="M916" s="105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 ht="24" customHeight="1" x14ac:dyDescent="0.5">
      <c r="A917" s="81"/>
      <c r="B917" s="81"/>
      <c r="C917" s="81"/>
      <c r="D917" s="81"/>
      <c r="E917" s="81"/>
      <c r="F917" s="81"/>
      <c r="G917" s="82"/>
      <c r="H917" s="81"/>
      <c r="I917" s="81"/>
      <c r="J917" s="105"/>
      <c r="K917" s="81"/>
      <c r="L917" s="81"/>
      <c r="M917" s="105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 ht="24" customHeight="1" x14ac:dyDescent="0.5">
      <c r="A918" s="81"/>
      <c r="B918" s="81"/>
      <c r="C918" s="81"/>
      <c r="D918" s="81"/>
      <c r="E918" s="81"/>
      <c r="F918" s="81"/>
      <c r="G918" s="82"/>
      <c r="H918" s="81"/>
      <c r="I918" s="81"/>
      <c r="J918" s="105"/>
      <c r="K918" s="81"/>
      <c r="L918" s="81"/>
      <c r="M918" s="105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 ht="24" customHeight="1" x14ac:dyDescent="0.5">
      <c r="A919" s="81"/>
      <c r="B919" s="81"/>
      <c r="C919" s="81"/>
      <c r="D919" s="81"/>
      <c r="E919" s="81"/>
      <c r="F919" s="81"/>
      <c r="G919" s="82"/>
      <c r="H919" s="81"/>
      <c r="I919" s="81"/>
      <c r="J919" s="105"/>
      <c r="K919" s="81"/>
      <c r="L919" s="81"/>
      <c r="M919" s="105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 ht="24" customHeight="1" x14ac:dyDescent="0.5">
      <c r="A920" s="81"/>
      <c r="B920" s="81"/>
      <c r="C920" s="81"/>
      <c r="D920" s="81"/>
      <c r="E920" s="81"/>
      <c r="F920" s="81"/>
      <c r="G920" s="82"/>
      <c r="H920" s="81"/>
      <c r="I920" s="81"/>
      <c r="J920" s="105"/>
      <c r="K920" s="81"/>
      <c r="L920" s="81"/>
      <c r="M920" s="105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 ht="24" customHeight="1" x14ac:dyDescent="0.5">
      <c r="A921" s="81"/>
      <c r="B921" s="81"/>
      <c r="C921" s="81"/>
      <c r="D921" s="81"/>
      <c r="E921" s="81"/>
      <c r="F921" s="81"/>
      <c r="G921" s="82"/>
      <c r="H921" s="81"/>
      <c r="I921" s="81"/>
      <c r="J921" s="105"/>
      <c r="K921" s="81"/>
      <c r="L921" s="81"/>
      <c r="M921" s="105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 ht="24" customHeight="1" x14ac:dyDescent="0.5">
      <c r="A922" s="81"/>
      <c r="B922" s="81"/>
      <c r="C922" s="81"/>
      <c r="D922" s="81"/>
      <c r="E922" s="81"/>
      <c r="F922" s="81"/>
      <c r="G922" s="82"/>
      <c r="H922" s="81"/>
      <c r="I922" s="81"/>
      <c r="J922" s="105"/>
      <c r="K922" s="81"/>
      <c r="L922" s="81"/>
      <c r="M922" s="105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 ht="24" customHeight="1" x14ac:dyDescent="0.5">
      <c r="A923" s="81"/>
      <c r="B923" s="81"/>
      <c r="C923" s="81"/>
      <c r="D923" s="81"/>
      <c r="E923" s="81"/>
      <c r="F923" s="81"/>
      <c r="G923" s="82"/>
      <c r="H923" s="81"/>
      <c r="I923" s="81"/>
      <c r="J923" s="105"/>
      <c r="K923" s="81"/>
      <c r="L923" s="81"/>
      <c r="M923" s="105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 ht="24" customHeight="1" x14ac:dyDescent="0.5">
      <c r="A924" s="81"/>
      <c r="B924" s="81"/>
      <c r="C924" s="81"/>
      <c r="D924" s="81"/>
      <c r="E924" s="81"/>
      <c r="F924" s="81"/>
      <c r="G924" s="82"/>
      <c r="H924" s="81"/>
      <c r="I924" s="81"/>
      <c r="J924" s="105"/>
      <c r="K924" s="81"/>
      <c r="L924" s="81"/>
      <c r="M924" s="105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 ht="24" customHeight="1" x14ac:dyDescent="0.5">
      <c r="A925" s="81"/>
      <c r="B925" s="81"/>
      <c r="C925" s="81"/>
      <c r="D925" s="81"/>
      <c r="E925" s="81"/>
      <c r="F925" s="81"/>
      <c r="G925" s="82"/>
      <c r="H925" s="81"/>
      <c r="I925" s="81"/>
      <c r="J925" s="105"/>
      <c r="K925" s="81"/>
      <c r="L925" s="81"/>
      <c r="M925" s="105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 ht="24" customHeight="1" x14ac:dyDescent="0.5">
      <c r="A926" s="81"/>
      <c r="B926" s="81"/>
      <c r="C926" s="81"/>
      <c r="D926" s="81"/>
      <c r="E926" s="81"/>
      <c r="F926" s="81"/>
      <c r="G926" s="82"/>
      <c r="H926" s="81"/>
      <c r="I926" s="81"/>
      <c r="J926" s="105"/>
      <c r="K926" s="81"/>
      <c r="L926" s="81"/>
      <c r="M926" s="105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 ht="24" customHeight="1" x14ac:dyDescent="0.5">
      <c r="A927" s="81"/>
      <c r="B927" s="81"/>
      <c r="C927" s="81"/>
      <c r="D927" s="81"/>
      <c r="E927" s="81"/>
      <c r="F927" s="81"/>
      <c r="G927" s="82"/>
      <c r="H927" s="81"/>
      <c r="I927" s="81"/>
      <c r="J927" s="105"/>
      <c r="K927" s="81"/>
      <c r="L927" s="81"/>
      <c r="M927" s="105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 ht="24" customHeight="1" x14ac:dyDescent="0.5">
      <c r="A928" s="81"/>
      <c r="B928" s="81"/>
      <c r="C928" s="81"/>
      <c r="D928" s="81"/>
      <c r="E928" s="81"/>
      <c r="F928" s="81"/>
      <c r="G928" s="82"/>
      <c r="H928" s="81"/>
      <c r="I928" s="81"/>
      <c r="J928" s="105"/>
      <c r="K928" s="81"/>
      <c r="L928" s="81"/>
      <c r="M928" s="105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 ht="24" customHeight="1" x14ac:dyDescent="0.5">
      <c r="A929" s="81"/>
      <c r="B929" s="81"/>
      <c r="C929" s="81"/>
      <c r="D929" s="81"/>
      <c r="E929" s="81"/>
      <c r="F929" s="81"/>
      <c r="G929" s="82"/>
      <c r="H929" s="81"/>
      <c r="I929" s="81"/>
      <c r="J929" s="105"/>
      <c r="K929" s="81"/>
      <c r="L929" s="81"/>
      <c r="M929" s="105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 ht="24" customHeight="1" x14ac:dyDescent="0.5">
      <c r="A930" s="81"/>
      <c r="B930" s="81"/>
      <c r="C930" s="81"/>
      <c r="D930" s="81"/>
      <c r="E930" s="81"/>
      <c r="F930" s="81"/>
      <c r="G930" s="82"/>
      <c r="H930" s="81"/>
      <c r="I930" s="81"/>
      <c r="J930" s="105"/>
      <c r="K930" s="81"/>
      <c r="L930" s="81"/>
      <c r="M930" s="105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 ht="24" customHeight="1" x14ac:dyDescent="0.5">
      <c r="A931" s="81"/>
      <c r="B931" s="81"/>
      <c r="C931" s="81"/>
      <c r="D931" s="81"/>
      <c r="E931" s="81"/>
      <c r="F931" s="81"/>
      <c r="G931" s="82"/>
      <c r="H931" s="81"/>
      <c r="I931" s="81"/>
      <c r="J931" s="105"/>
      <c r="K931" s="81"/>
      <c r="L931" s="81"/>
      <c r="M931" s="105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 ht="24" customHeight="1" x14ac:dyDescent="0.5">
      <c r="A932" s="81"/>
      <c r="B932" s="81"/>
      <c r="C932" s="81"/>
      <c r="D932" s="81"/>
      <c r="E932" s="81"/>
      <c r="F932" s="81"/>
      <c r="G932" s="82"/>
      <c r="H932" s="81"/>
      <c r="I932" s="81"/>
      <c r="J932" s="105"/>
      <c r="K932" s="81"/>
      <c r="L932" s="81"/>
      <c r="M932" s="105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 ht="24" customHeight="1" x14ac:dyDescent="0.5">
      <c r="A933" s="81"/>
      <c r="B933" s="81"/>
      <c r="C933" s="81"/>
      <c r="D933" s="81"/>
      <c r="E933" s="81"/>
      <c r="F933" s="81"/>
      <c r="G933" s="82"/>
      <c r="H933" s="81"/>
      <c r="I933" s="81"/>
      <c r="J933" s="105"/>
      <c r="K933" s="81"/>
      <c r="L933" s="81"/>
      <c r="M933" s="105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 ht="24" customHeight="1" x14ac:dyDescent="0.5">
      <c r="A934" s="81"/>
      <c r="B934" s="81"/>
      <c r="C934" s="81"/>
      <c r="D934" s="81"/>
      <c r="E934" s="81"/>
      <c r="F934" s="81"/>
      <c r="G934" s="82"/>
      <c r="H934" s="81"/>
      <c r="I934" s="81"/>
      <c r="J934" s="105"/>
      <c r="K934" s="81"/>
      <c r="L934" s="81"/>
      <c r="M934" s="105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 ht="24" customHeight="1" x14ac:dyDescent="0.5">
      <c r="A935" s="81"/>
      <c r="B935" s="81"/>
      <c r="C935" s="81"/>
      <c r="D935" s="81"/>
      <c r="E935" s="81"/>
      <c r="F935" s="81"/>
      <c r="G935" s="82"/>
      <c r="H935" s="81"/>
      <c r="I935" s="81"/>
      <c r="J935" s="105"/>
      <c r="K935" s="81"/>
      <c r="L935" s="81"/>
      <c r="M935" s="105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 ht="24" customHeight="1" x14ac:dyDescent="0.5">
      <c r="A936" s="81"/>
      <c r="B936" s="81"/>
      <c r="C936" s="81"/>
      <c r="D936" s="81"/>
      <c r="E936" s="81"/>
      <c r="F936" s="81"/>
      <c r="G936" s="82"/>
      <c r="H936" s="81"/>
      <c r="I936" s="81"/>
      <c r="J936" s="105"/>
      <c r="K936" s="81"/>
      <c r="L936" s="81"/>
      <c r="M936" s="105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 ht="24" customHeight="1" x14ac:dyDescent="0.5">
      <c r="A937" s="81"/>
      <c r="B937" s="81"/>
      <c r="C937" s="81"/>
      <c r="D937" s="81"/>
      <c r="E937" s="81"/>
      <c r="F937" s="81"/>
      <c r="G937" s="82"/>
      <c r="H937" s="81"/>
      <c r="I937" s="81"/>
      <c r="J937" s="105"/>
      <c r="K937" s="81"/>
      <c r="L937" s="81"/>
      <c r="M937" s="105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 ht="24" customHeight="1" x14ac:dyDescent="0.5">
      <c r="A938" s="81"/>
      <c r="B938" s="81"/>
      <c r="C938" s="81"/>
      <c r="D938" s="81"/>
      <c r="E938" s="81"/>
      <c r="F938" s="81"/>
      <c r="G938" s="82"/>
      <c r="H938" s="81"/>
      <c r="I938" s="81"/>
      <c r="J938" s="105"/>
      <c r="K938" s="81"/>
      <c r="L938" s="81"/>
      <c r="M938" s="105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 ht="24" customHeight="1" x14ac:dyDescent="0.5">
      <c r="A939" s="81"/>
      <c r="B939" s="81"/>
      <c r="C939" s="81"/>
      <c r="D939" s="81"/>
      <c r="E939" s="81"/>
      <c r="F939" s="81"/>
      <c r="G939" s="82"/>
      <c r="H939" s="81"/>
      <c r="I939" s="81"/>
      <c r="J939" s="105"/>
      <c r="K939" s="81"/>
      <c r="L939" s="81"/>
      <c r="M939" s="105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 ht="24" customHeight="1" x14ac:dyDescent="0.5">
      <c r="A940" s="81"/>
      <c r="B940" s="81"/>
      <c r="C940" s="81"/>
      <c r="D940" s="81"/>
      <c r="E940" s="81"/>
      <c r="F940" s="81"/>
      <c r="G940" s="82"/>
      <c r="H940" s="81"/>
      <c r="I940" s="81"/>
      <c r="J940" s="105"/>
      <c r="K940" s="81"/>
      <c r="L940" s="81"/>
      <c r="M940" s="105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 ht="24" customHeight="1" x14ac:dyDescent="0.5">
      <c r="A941" s="81"/>
      <c r="B941" s="81"/>
      <c r="C941" s="81"/>
      <c r="D941" s="81"/>
      <c r="E941" s="81"/>
      <c r="F941" s="81"/>
      <c r="G941" s="82"/>
      <c r="H941" s="81"/>
      <c r="I941" s="81"/>
      <c r="J941" s="105"/>
      <c r="K941" s="81"/>
      <c r="L941" s="81"/>
      <c r="M941" s="105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 ht="24" customHeight="1" x14ac:dyDescent="0.5">
      <c r="A942" s="81"/>
      <c r="B942" s="81"/>
      <c r="C942" s="81"/>
      <c r="D942" s="81"/>
      <c r="E942" s="81"/>
      <c r="F942" s="81"/>
      <c r="G942" s="82"/>
      <c r="H942" s="81"/>
      <c r="I942" s="81"/>
      <c r="J942" s="105"/>
      <c r="K942" s="81"/>
      <c r="L942" s="81"/>
      <c r="M942" s="105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 ht="24" customHeight="1" x14ac:dyDescent="0.5">
      <c r="A943" s="81"/>
      <c r="B943" s="81"/>
      <c r="C943" s="81"/>
      <c r="D943" s="81"/>
      <c r="E943" s="81"/>
      <c r="F943" s="81"/>
      <c r="G943" s="82"/>
      <c r="H943" s="81"/>
      <c r="I943" s="81"/>
      <c r="J943" s="105"/>
      <c r="K943" s="81"/>
      <c r="L943" s="81"/>
      <c r="M943" s="105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 ht="24" customHeight="1" x14ac:dyDescent="0.5">
      <c r="A944" s="81"/>
      <c r="B944" s="81"/>
      <c r="C944" s="81"/>
      <c r="D944" s="81"/>
      <c r="E944" s="81"/>
      <c r="F944" s="81"/>
      <c r="G944" s="82"/>
      <c r="H944" s="81"/>
      <c r="I944" s="81"/>
      <c r="J944" s="105"/>
      <c r="K944" s="81"/>
      <c r="L944" s="81"/>
      <c r="M944" s="105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 ht="24" customHeight="1" x14ac:dyDescent="0.5">
      <c r="A945" s="81"/>
      <c r="B945" s="81"/>
      <c r="C945" s="81"/>
      <c r="D945" s="81"/>
      <c r="E945" s="81"/>
      <c r="F945" s="81"/>
      <c r="G945" s="82"/>
      <c r="H945" s="81"/>
      <c r="I945" s="81"/>
      <c r="J945" s="105"/>
      <c r="K945" s="81"/>
      <c r="L945" s="81"/>
      <c r="M945" s="105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 ht="24" customHeight="1" x14ac:dyDescent="0.5">
      <c r="A946" s="81"/>
      <c r="B946" s="81"/>
      <c r="C946" s="81"/>
      <c r="D946" s="81"/>
      <c r="E946" s="81"/>
      <c r="F946" s="81"/>
      <c r="G946" s="82"/>
      <c r="H946" s="81"/>
      <c r="I946" s="81"/>
      <c r="J946" s="105"/>
      <c r="K946" s="81"/>
      <c r="L946" s="81"/>
      <c r="M946" s="105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 ht="24" customHeight="1" x14ac:dyDescent="0.5">
      <c r="A947" s="81"/>
      <c r="B947" s="81"/>
      <c r="C947" s="81"/>
      <c r="D947" s="81"/>
      <c r="E947" s="81"/>
      <c r="F947" s="81"/>
      <c r="G947" s="82"/>
      <c r="H947" s="81"/>
      <c r="I947" s="81"/>
      <c r="J947" s="105"/>
      <c r="K947" s="81"/>
      <c r="L947" s="81"/>
      <c r="M947" s="105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 ht="24" customHeight="1" x14ac:dyDescent="0.5">
      <c r="A948" s="81"/>
      <c r="B948" s="81"/>
      <c r="C948" s="81"/>
      <c r="D948" s="81"/>
      <c r="E948" s="81"/>
      <c r="F948" s="81"/>
      <c r="G948" s="82"/>
      <c r="H948" s="81"/>
      <c r="I948" s="81"/>
      <c r="J948" s="105"/>
      <c r="K948" s="81"/>
      <c r="L948" s="81"/>
      <c r="M948" s="105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 ht="24" customHeight="1" x14ac:dyDescent="0.5">
      <c r="A949" s="81"/>
      <c r="B949" s="81"/>
      <c r="C949" s="81"/>
      <c r="D949" s="81"/>
      <c r="E949" s="81"/>
      <c r="F949" s="81"/>
      <c r="G949" s="82"/>
      <c r="H949" s="81"/>
      <c r="I949" s="81"/>
      <c r="J949" s="105"/>
      <c r="K949" s="81"/>
      <c r="L949" s="81"/>
      <c r="M949" s="105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 ht="24" customHeight="1" x14ac:dyDescent="0.5">
      <c r="A950" s="81"/>
      <c r="B950" s="81"/>
      <c r="C950" s="81"/>
      <c r="D950" s="81"/>
      <c r="E950" s="81"/>
      <c r="F950" s="81"/>
      <c r="G950" s="82"/>
      <c r="H950" s="81"/>
      <c r="I950" s="81"/>
      <c r="J950" s="105"/>
      <c r="K950" s="81"/>
      <c r="L950" s="81"/>
      <c r="M950" s="105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 ht="24" customHeight="1" x14ac:dyDescent="0.5">
      <c r="A951" s="81"/>
      <c r="B951" s="81"/>
      <c r="C951" s="81"/>
      <c r="D951" s="81"/>
      <c r="E951" s="81"/>
      <c r="F951" s="81"/>
      <c r="G951" s="82"/>
      <c r="H951" s="81"/>
      <c r="I951" s="81"/>
      <c r="J951" s="105"/>
      <c r="K951" s="81"/>
      <c r="L951" s="81"/>
      <c r="M951" s="105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 ht="24" customHeight="1" x14ac:dyDescent="0.5">
      <c r="A952" s="81"/>
      <c r="B952" s="81"/>
      <c r="C952" s="81"/>
      <c r="D952" s="81"/>
      <c r="E952" s="81"/>
      <c r="F952" s="81"/>
      <c r="G952" s="82"/>
      <c r="H952" s="81"/>
      <c r="I952" s="81"/>
      <c r="J952" s="105"/>
      <c r="K952" s="81"/>
      <c r="L952" s="81"/>
      <c r="M952" s="105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 ht="24" customHeight="1" x14ac:dyDescent="0.5">
      <c r="A953" s="81"/>
      <c r="B953" s="81"/>
      <c r="C953" s="81"/>
      <c r="D953" s="81"/>
      <c r="E953" s="81"/>
      <c r="F953" s="81"/>
      <c r="G953" s="82"/>
      <c r="H953" s="81"/>
      <c r="I953" s="81"/>
      <c r="J953" s="105"/>
      <c r="K953" s="81"/>
      <c r="L953" s="81"/>
      <c r="M953" s="105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 ht="24" customHeight="1" x14ac:dyDescent="0.5">
      <c r="A954" s="81"/>
      <c r="B954" s="81"/>
      <c r="C954" s="81"/>
      <c r="D954" s="81"/>
      <c r="E954" s="81"/>
      <c r="F954" s="81"/>
      <c r="G954" s="82"/>
      <c r="H954" s="81"/>
      <c r="I954" s="81"/>
      <c r="J954" s="105"/>
      <c r="K954" s="81"/>
      <c r="L954" s="81"/>
      <c r="M954" s="105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 ht="24" customHeight="1" x14ac:dyDescent="0.5">
      <c r="A955" s="81"/>
      <c r="B955" s="81"/>
      <c r="C955" s="81"/>
      <c r="D955" s="81"/>
      <c r="E955" s="81"/>
      <c r="F955" s="81"/>
      <c r="G955" s="82"/>
      <c r="H955" s="81"/>
      <c r="I955" s="81"/>
      <c r="J955" s="105"/>
      <c r="K955" s="81"/>
      <c r="L955" s="81"/>
      <c r="M955" s="105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 ht="24" customHeight="1" x14ac:dyDescent="0.5">
      <c r="A956" s="81"/>
      <c r="B956" s="81"/>
      <c r="C956" s="81"/>
      <c r="D956" s="81"/>
      <c r="E956" s="81"/>
      <c r="F956" s="81"/>
      <c r="G956" s="82"/>
      <c r="H956" s="81"/>
      <c r="I956" s="81"/>
      <c r="J956" s="105"/>
      <c r="K956" s="81"/>
      <c r="L956" s="81"/>
      <c r="M956" s="105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 ht="24" customHeight="1" x14ac:dyDescent="0.5">
      <c r="A957" s="81"/>
      <c r="B957" s="81"/>
      <c r="C957" s="81"/>
      <c r="D957" s="81"/>
      <c r="E957" s="81"/>
      <c r="F957" s="81"/>
      <c r="G957" s="82"/>
      <c r="H957" s="81"/>
      <c r="I957" s="81"/>
      <c r="J957" s="105"/>
      <c r="K957" s="81"/>
      <c r="L957" s="81"/>
      <c r="M957" s="105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 ht="24" customHeight="1" x14ac:dyDescent="0.5">
      <c r="A958" s="81"/>
      <c r="B958" s="81"/>
      <c r="C958" s="81"/>
      <c r="D958" s="81"/>
      <c r="E958" s="81"/>
      <c r="F958" s="81"/>
      <c r="G958" s="82"/>
      <c r="H958" s="81"/>
      <c r="I958" s="81"/>
      <c r="J958" s="105"/>
      <c r="K958" s="81"/>
      <c r="L958" s="81"/>
      <c r="M958" s="105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 ht="24" customHeight="1" x14ac:dyDescent="0.5">
      <c r="A959" s="81"/>
      <c r="B959" s="81"/>
      <c r="C959" s="81"/>
      <c r="D959" s="81"/>
      <c r="E959" s="81"/>
      <c r="F959" s="81"/>
      <c r="G959" s="82"/>
      <c r="H959" s="81"/>
      <c r="I959" s="81"/>
      <c r="J959" s="105"/>
      <c r="K959" s="81"/>
      <c r="L959" s="81"/>
      <c r="M959" s="105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 ht="24" customHeight="1" x14ac:dyDescent="0.5">
      <c r="A960" s="81"/>
      <c r="B960" s="81"/>
      <c r="C960" s="81"/>
      <c r="D960" s="81"/>
      <c r="E960" s="81"/>
      <c r="F960" s="81"/>
      <c r="G960" s="82"/>
      <c r="H960" s="81"/>
      <c r="I960" s="81"/>
      <c r="J960" s="105"/>
      <c r="K960" s="81"/>
      <c r="L960" s="81"/>
      <c r="M960" s="105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 ht="24" customHeight="1" x14ac:dyDescent="0.5">
      <c r="A961" s="81"/>
      <c r="B961" s="81"/>
      <c r="C961" s="81"/>
      <c r="D961" s="81"/>
      <c r="E961" s="81"/>
      <c r="F961" s="81"/>
      <c r="G961" s="82"/>
      <c r="H961" s="81"/>
      <c r="I961" s="81"/>
      <c r="J961" s="105"/>
      <c r="K961" s="81"/>
      <c r="L961" s="81"/>
      <c r="M961" s="105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 ht="24" customHeight="1" x14ac:dyDescent="0.5">
      <c r="A962" s="81"/>
      <c r="B962" s="81"/>
      <c r="C962" s="81"/>
      <c r="D962" s="81"/>
      <c r="E962" s="81"/>
      <c r="F962" s="81"/>
      <c r="G962" s="82"/>
      <c r="H962" s="81"/>
      <c r="I962" s="81"/>
      <c r="J962" s="105"/>
      <c r="K962" s="81"/>
      <c r="L962" s="81"/>
      <c r="M962" s="105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 ht="24" customHeight="1" x14ac:dyDescent="0.5">
      <c r="A963" s="81"/>
      <c r="B963" s="81"/>
      <c r="C963" s="81"/>
      <c r="D963" s="81"/>
      <c r="E963" s="81"/>
      <c r="F963" s="81"/>
      <c r="G963" s="82"/>
      <c r="H963" s="81"/>
      <c r="I963" s="81"/>
      <c r="J963" s="105"/>
      <c r="K963" s="81"/>
      <c r="L963" s="81"/>
      <c r="M963" s="105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 ht="24" customHeight="1" x14ac:dyDescent="0.5">
      <c r="A964" s="81"/>
      <c r="B964" s="81"/>
      <c r="C964" s="81"/>
      <c r="D964" s="81"/>
      <c r="E964" s="81"/>
      <c r="F964" s="81"/>
      <c r="G964" s="82"/>
      <c r="H964" s="81"/>
      <c r="I964" s="81"/>
      <c r="J964" s="105"/>
      <c r="K964" s="81"/>
      <c r="L964" s="81"/>
      <c r="M964" s="105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 ht="24" customHeight="1" x14ac:dyDescent="0.5">
      <c r="A965" s="81"/>
      <c r="B965" s="81"/>
      <c r="C965" s="81"/>
      <c r="D965" s="81"/>
      <c r="E965" s="81"/>
      <c r="F965" s="81"/>
      <c r="G965" s="82"/>
      <c r="H965" s="81"/>
      <c r="I965" s="81"/>
      <c r="J965" s="105"/>
      <c r="K965" s="81"/>
      <c r="L965" s="81"/>
      <c r="M965" s="105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 ht="24" customHeight="1" x14ac:dyDescent="0.5">
      <c r="A966" s="81"/>
      <c r="B966" s="81"/>
      <c r="C966" s="81"/>
      <c r="D966" s="81"/>
      <c r="E966" s="81"/>
      <c r="F966" s="81"/>
      <c r="G966" s="82"/>
      <c r="H966" s="81"/>
      <c r="I966" s="81"/>
      <c r="J966" s="105"/>
      <c r="K966" s="81"/>
      <c r="L966" s="81"/>
      <c r="M966" s="105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 ht="24" customHeight="1" x14ac:dyDescent="0.5">
      <c r="A967" s="81"/>
      <c r="B967" s="81"/>
      <c r="C967" s="81"/>
      <c r="D967" s="81"/>
      <c r="E967" s="81"/>
      <c r="F967" s="81"/>
      <c r="G967" s="82"/>
      <c r="H967" s="81"/>
      <c r="I967" s="81"/>
      <c r="J967" s="105"/>
      <c r="K967" s="81"/>
      <c r="L967" s="81"/>
      <c r="M967" s="105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 ht="24" customHeight="1" x14ac:dyDescent="0.5">
      <c r="A968" s="81"/>
      <c r="B968" s="81"/>
      <c r="C968" s="81"/>
      <c r="D968" s="81"/>
      <c r="E968" s="81"/>
      <c r="F968" s="81"/>
      <c r="G968" s="82"/>
      <c r="H968" s="81"/>
      <c r="I968" s="81"/>
      <c r="J968" s="105"/>
      <c r="K968" s="81"/>
      <c r="L968" s="81"/>
      <c r="M968" s="105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 ht="24" customHeight="1" x14ac:dyDescent="0.5">
      <c r="A969" s="81"/>
      <c r="B969" s="81"/>
      <c r="C969" s="81"/>
      <c r="D969" s="81"/>
      <c r="E969" s="81"/>
      <c r="F969" s="81"/>
      <c r="G969" s="82"/>
      <c r="H969" s="81"/>
      <c r="I969" s="81"/>
      <c r="J969" s="105"/>
      <c r="K969" s="81"/>
      <c r="L969" s="81"/>
      <c r="M969" s="105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 ht="24" customHeight="1" x14ac:dyDescent="0.5">
      <c r="A970" s="81"/>
      <c r="B970" s="81"/>
      <c r="C970" s="81"/>
      <c r="D970" s="81"/>
      <c r="E970" s="81"/>
      <c r="F970" s="81"/>
      <c r="G970" s="82"/>
      <c r="H970" s="81"/>
      <c r="I970" s="81"/>
      <c r="J970" s="105"/>
      <c r="K970" s="81"/>
      <c r="L970" s="81"/>
      <c r="M970" s="105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 ht="24" customHeight="1" x14ac:dyDescent="0.5">
      <c r="A971" s="81"/>
      <c r="B971" s="81"/>
      <c r="C971" s="81"/>
      <c r="D971" s="81"/>
      <c r="E971" s="81"/>
      <c r="F971" s="81"/>
      <c r="G971" s="82"/>
      <c r="H971" s="81"/>
      <c r="I971" s="81"/>
      <c r="J971" s="105"/>
      <c r="K971" s="81"/>
      <c r="L971" s="81"/>
      <c r="M971" s="105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 ht="24" customHeight="1" x14ac:dyDescent="0.5">
      <c r="A972" s="81"/>
      <c r="B972" s="81"/>
      <c r="C972" s="81"/>
      <c r="D972" s="81"/>
      <c r="E972" s="81"/>
      <c r="F972" s="81"/>
      <c r="G972" s="82"/>
      <c r="H972" s="81"/>
      <c r="I972" s="81"/>
      <c r="J972" s="105"/>
      <c r="K972" s="81"/>
      <c r="L972" s="81"/>
      <c r="M972" s="105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 ht="24" customHeight="1" x14ac:dyDescent="0.5">
      <c r="A973" s="81"/>
      <c r="B973" s="81"/>
      <c r="C973" s="81"/>
      <c r="D973" s="81"/>
      <c r="E973" s="81"/>
      <c r="F973" s="81"/>
      <c r="G973" s="82"/>
      <c r="H973" s="81"/>
      <c r="I973" s="81"/>
      <c r="J973" s="105"/>
      <c r="K973" s="81"/>
      <c r="L973" s="81"/>
      <c r="M973" s="105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 ht="24" customHeight="1" x14ac:dyDescent="0.5">
      <c r="A974" s="81"/>
      <c r="B974" s="81"/>
      <c r="C974" s="81"/>
      <c r="D974" s="81"/>
      <c r="E974" s="81"/>
      <c r="F974" s="81"/>
      <c r="G974" s="82"/>
      <c r="H974" s="81"/>
      <c r="I974" s="81"/>
      <c r="J974" s="105"/>
      <c r="K974" s="81"/>
      <c r="L974" s="81"/>
      <c r="M974" s="105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 ht="24" customHeight="1" x14ac:dyDescent="0.5">
      <c r="A975" s="81"/>
      <c r="B975" s="81"/>
      <c r="C975" s="81"/>
      <c r="D975" s="81"/>
      <c r="E975" s="81"/>
      <c r="F975" s="81"/>
      <c r="G975" s="82"/>
      <c r="H975" s="81"/>
      <c r="I975" s="81"/>
      <c r="J975" s="105"/>
      <c r="K975" s="81"/>
      <c r="L975" s="81"/>
      <c r="M975" s="105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 ht="24" customHeight="1" x14ac:dyDescent="0.5">
      <c r="A976" s="81"/>
      <c r="B976" s="81"/>
      <c r="C976" s="81"/>
      <c r="D976" s="81"/>
      <c r="E976" s="81"/>
      <c r="F976" s="81"/>
      <c r="G976" s="82"/>
      <c r="H976" s="81"/>
      <c r="I976" s="81"/>
      <c r="J976" s="105"/>
      <c r="K976" s="81"/>
      <c r="L976" s="81"/>
      <c r="M976" s="105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 ht="24" customHeight="1" x14ac:dyDescent="0.5">
      <c r="A977" s="81"/>
      <c r="B977" s="81"/>
      <c r="C977" s="81"/>
      <c r="D977" s="81"/>
      <c r="E977" s="81"/>
      <c r="F977" s="81"/>
      <c r="G977" s="82"/>
      <c r="H977" s="81"/>
      <c r="I977" s="81"/>
      <c r="J977" s="105"/>
      <c r="K977" s="81"/>
      <c r="L977" s="81"/>
      <c r="M977" s="105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 ht="24" customHeight="1" x14ac:dyDescent="0.5">
      <c r="A978" s="81"/>
      <c r="B978" s="81"/>
      <c r="C978" s="81"/>
      <c r="D978" s="81"/>
      <c r="E978" s="81"/>
      <c r="F978" s="81"/>
      <c r="G978" s="82"/>
      <c r="H978" s="81"/>
      <c r="I978" s="81"/>
      <c r="J978" s="105"/>
      <c r="K978" s="81"/>
      <c r="L978" s="81"/>
      <c r="M978" s="105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 ht="24" customHeight="1" x14ac:dyDescent="0.5">
      <c r="A979" s="81"/>
      <c r="B979" s="81"/>
      <c r="C979" s="81"/>
      <c r="D979" s="81"/>
      <c r="E979" s="81"/>
      <c r="F979" s="81"/>
      <c r="G979" s="82"/>
      <c r="H979" s="81"/>
      <c r="I979" s="81"/>
      <c r="J979" s="105"/>
      <c r="K979" s="81"/>
      <c r="L979" s="81"/>
      <c r="M979" s="105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 ht="24" customHeight="1" x14ac:dyDescent="0.5">
      <c r="A980" s="81"/>
      <c r="B980" s="81"/>
      <c r="C980" s="81"/>
      <c r="D980" s="81"/>
      <c r="E980" s="81"/>
      <c r="F980" s="81"/>
      <c r="G980" s="82"/>
      <c r="H980" s="81"/>
      <c r="I980" s="81"/>
      <c r="J980" s="105"/>
      <c r="K980" s="81"/>
      <c r="L980" s="81"/>
      <c r="M980" s="105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 ht="24" customHeight="1" x14ac:dyDescent="0.5">
      <c r="A981" s="81"/>
      <c r="B981" s="81"/>
      <c r="C981" s="81"/>
      <c r="D981" s="81"/>
      <c r="E981" s="81"/>
      <c r="F981" s="81"/>
      <c r="G981" s="82"/>
      <c r="H981" s="81"/>
      <c r="I981" s="81"/>
      <c r="J981" s="105"/>
      <c r="K981" s="81"/>
      <c r="L981" s="81"/>
      <c r="M981" s="105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 ht="24" customHeight="1" x14ac:dyDescent="0.5">
      <c r="A982" s="81"/>
      <c r="B982" s="81"/>
      <c r="C982" s="81"/>
      <c r="D982" s="81"/>
      <c r="E982" s="81"/>
      <c r="F982" s="81"/>
      <c r="G982" s="82"/>
      <c r="H982" s="81"/>
      <c r="I982" s="81"/>
      <c r="J982" s="105"/>
      <c r="K982" s="81"/>
      <c r="L982" s="81"/>
      <c r="M982" s="105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 ht="24" customHeight="1" x14ac:dyDescent="0.5">
      <c r="A983" s="81"/>
      <c r="B983" s="81"/>
      <c r="C983" s="81"/>
      <c r="D983" s="81"/>
      <c r="E983" s="81"/>
      <c r="F983" s="81"/>
      <c r="G983" s="82"/>
      <c r="H983" s="81"/>
      <c r="I983" s="81"/>
      <c r="J983" s="105"/>
      <c r="K983" s="81"/>
      <c r="L983" s="81"/>
      <c r="M983" s="105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 ht="24" customHeight="1" x14ac:dyDescent="0.5">
      <c r="A984" s="81"/>
      <c r="B984" s="81"/>
      <c r="C984" s="81"/>
      <c r="D984" s="81"/>
      <c r="E984" s="81"/>
      <c r="F984" s="81"/>
      <c r="G984" s="82"/>
      <c r="H984" s="81"/>
      <c r="I984" s="81"/>
      <c r="J984" s="105"/>
      <c r="K984" s="81"/>
      <c r="L984" s="81"/>
      <c r="M984" s="105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 ht="24" customHeight="1" x14ac:dyDescent="0.5">
      <c r="A985" s="81"/>
      <c r="B985" s="81"/>
      <c r="C985" s="81"/>
      <c r="D985" s="81"/>
      <c r="E985" s="81"/>
      <c r="F985" s="81"/>
      <c r="G985" s="82"/>
      <c r="H985" s="81"/>
      <c r="I985" s="81"/>
      <c r="J985" s="105"/>
      <c r="K985" s="81"/>
      <c r="L985" s="81"/>
      <c r="M985" s="105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 ht="24" customHeight="1" x14ac:dyDescent="0.5">
      <c r="A986" s="81"/>
      <c r="B986" s="81"/>
      <c r="C986" s="81"/>
      <c r="D986" s="81"/>
      <c r="E986" s="81"/>
      <c r="F986" s="81"/>
      <c r="G986" s="82"/>
      <c r="H986" s="81"/>
      <c r="I986" s="81"/>
      <c r="J986" s="105"/>
      <c r="K986" s="81"/>
      <c r="L986" s="81"/>
      <c r="M986" s="105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 ht="24" customHeight="1" x14ac:dyDescent="0.5">
      <c r="A987" s="81"/>
      <c r="B987" s="81"/>
      <c r="C987" s="81"/>
      <c r="D987" s="81"/>
      <c r="E987" s="81"/>
      <c r="F987" s="81"/>
      <c r="G987" s="82"/>
      <c r="H987" s="81"/>
      <c r="I987" s="81"/>
      <c r="J987" s="105"/>
      <c r="K987" s="81"/>
      <c r="L987" s="81"/>
      <c r="M987" s="105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 ht="24" customHeight="1" x14ac:dyDescent="0.5">
      <c r="A988" s="81"/>
      <c r="B988" s="81"/>
      <c r="C988" s="81"/>
      <c r="D988" s="81"/>
      <c r="E988" s="81"/>
      <c r="F988" s="81"/>
      <c r="G988" s="82"/>
      <c r="H988" s="81"/>
      <c r="I988" s="81"/>
      <c r="J988" s="105"/>
      <c r="K988" s="81"/>
      <c r="L988" s="81"/>
      <c r="M988" s="105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 ht="24" customHeight="1" x14ac:dyDescent="0.5">
      <c r="A989" s="81"/>
      <c r="B989" s="81"/>
      <c r="C989" s="81"/>
      <c r="D989" s="81"/>
      <c r="E989" s="81"/>
      <c r="F989" s="81"/>
      <c r="G989" s="82"/>
      <c r="H989" s="81"/>
      <c r="I989" s="81"/>
      <c r="J989" s="105"/>
      <c r="K989" s="81"/>
      <c r="L989" s="81"/>
      <c r="M989" s="105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 ht="24" customHeight="1" x14ac:dyDescent="0.5">
      <c r="A990" s="81"/>
      <c r="B990" s="81"/>
      <c r="C990" s="81"/>
      <c r="D990" s="81"/>
      <c r="E990" s="81"/>
      <c r="F990" s="81"/>
      <c r="G990" s="82"/>
      <c r="H990" s="81"/>
      <c r="I990" s="81"/>
      <c r="J990" s="105"/>
      <c r="K990" s="81"/>
      <c r="L990" s="81"/>
      <c r="M990" s="105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 ht="24" customHeight="1" x14ac:dyDescent="0.5">
      <c r="A991" s="81"/>
      <c r="B991" s="81"/>
      <c r="C991" s="81"/>
      <c r="D991" s="81"/>
      <c r="E991" s="81"/>
      <c r="F991" s="81"/>
      <c r="G991" s="82"/>
      <c r="H991" s="81"/>
      <c r="I991" s="81"/>
      <c r="J991" s="105"/>
      <c r="K991" s="81"/>
      <c r="L991" s="81"/>
      <c r="M991" s="105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 ht="24" customHeight="1" x14ac:dyDescent="0.5">
      <c r="A992" s="81"/>
      <c r="B992" s="81"/>
      <c r="C992" s="81"/>
      <c r="D992" s="81"/>
      <c r="E992" s="81"/>
      <c r="F992" s="81"/>
      <c r="G992" s="82"/>
      <c r="H992" s="81"/>
      <c r="I992" s="81"/>
      <c r="J992" s="105"/>
      <c r="K992" s="81"/>
      <c r="L992" s="81"/>
      <c r="M992" s="105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 ht="24" customHeight="1" x14ac:dyDescent="0.5">
      <c r="A993" s="81"/>
      <c r="B993" s="81"/>
      <c r="C993" s="81"/>
      <c r="D993" s="81"/>
      <c r="E993" s="81"/>
      <c r="F993" s="81"/>
      <c r="G993" s="82"/>
      <c r="H993" s="81"/>
      <c r="I993" s="81"/>
      <c r="J993" s="105"/>
      <c r="K993" s="81"/>
      <c r="L993" s="81"/>
      <c r="M993" s="105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 ht="24" customHeight="1" x14ac:dyDescent="0.5">
      <c r="A994" s="81"/>
      <c r="B994" s="81"/>
      <c r="C994" s="81"/>
      <c r="D994" s="81"/>
      <c r="E994" s="81"/>
      <c r="F994" s="81"/>
      <c r="G994" s="82"/>
      <c r="H994" s="81"/>
      <c r="I994" s="81"/>
      <c r="J994" s="105"/>
      <c r="K994" s="81"/>
      <c r="L994" s="81"/>
      <c r="M994" s="105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 ht="24" customHeight="1" x14ac:dyDescent="0.5">
      <c r="A995" s="81"/>
      <c r="B995" s="81"/>
      <c r="C995" s="81"/>
      <c r="D995" s="81"/>
      <c r="E995" s="81"/>
      <c r="F995" s="81"/>
      <c r="G995" s="82"/>
      <c r="H995" s="81"/>
      <c r="I995" s="81"/>
      <c r="J995" s="105"/>
      <c r="K995" s="81"/>
      <c r="L995" s="81"/>
      <c r="M995" s="105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 ht="24" customHeight="1" x14ac:dyDescent="0.5">
      <c r="A996" s="81"/>
      <c r="B996" s="81"/>
      <c r="C996" s="81"/>
      <c r="D996" s="81"/>
      <c r="E996" s="81"/>
      <c r="F996" s="81"/>
      <c r="G996" s="82"/>
      <c r="H996" s="81"/>
      <c r="I996" s="81"/>
      <c r="J996" s="105"/>
      <c r="K996" s="81"/>
      <c r="L996" s="81"/>
      <c r="M996" s="105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 ht="24" customHeight="1" x14ac:dyDescent="0.5">
      <c r="A997" s="81"/>
      <c r="B997" s="81"/>
      <c r="C997" s="81"/>
      <c r="D997" s="81"/>
      <c r="E997" s="81"/>
      <c r="F997" s="81"/>
      <c r="G997" s="82"/>
      <c r="H997" s="81"/>
      <c r="I997" s="81"/>
      <c r="J997" s="105"/>
      <c r="K997" s="81"/>
      <c r="L997" s="81"/>
      <c r="M997" s="105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 ht="24" customHeight="1" x14ac:dyDescent="0.5">
      <c r="A998" s="81"/>
      <c r="B998" s="81"/>
      <c r="C998" s="81"/>
      <c r="D998" s="81"/>
      <c r="E998" s="81"/>
      <c r="F998" s="81"/>
      <c r="G998" s="82"/>
      <c r="H998" s="81"/>
      <c r="I998" s="81"/>
      <c r="J998" s="105"/>
      <c r="K998" s="81"/>
      <c r="L998" s="81"/>
      <c r="M998" s="105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 ht="24" customHeight="1" x14ac:dyDescent="0.5">
      <c r="A999" s="81"/>
      <c r="B999" s="81"/>
      <c r="C999" s="81"/>
      <c r="D999" s="81"/>
      <c r="E999" s="81"/>
      <c r="F999" s="81"/>
      <c r="G999" s="82"/>
      <c r="H999" s="81"/>
      <c r="I999" s="81"/>
      <c r="J999" s="105"/>
      <c r="K999" s="81"/>
      <c r="L999" s="81"/>
      <c r="M999" s="105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  <row r="1000" spans="1:26" ht="24" customHeight="1" x14ac:dyDescent="0.5">
      <c r="A1000" s="81"/>
      <c r="B1000" s="81"/>
      <c r="C1000" s="81"/>
      <c r="D1000" s="81"/>
      <c r="E1000" s="81"/>
      <c r="F1000" s="81"/>
      <c r="G1000" s="82"/>
      <c r="H1000" s="81"/>
      <c r="I1000" s="81"/>
      <c r="J1000" s="105"/>
      <c r="K1000" s="81"/>
      <c r="L1000" s="81"/>
      <c r="M1000" s="105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</row>
  </sheetData>
  <mergeCells count="21">
    <mergeCell ref="A106:B106"/>
    <mergeCell ref="I7:J7"/>
    <mergeCell ref="L7:M7"/>
    <mergeCell ref="A2:B4"/>
    <mergeCell ref="C2:M2"/>
    <mergeCell ref="C3:M3"/>
    <mergeCell ref="C4:M4"/>
    <mergeCell ref="H5:J6"/>
    <mergeCell ref="K5:M6"/>
    <mergeCell ref="A6:B8"/>
    <mergeCell ref="A9:B9"/>
    <mergeCell ref="A15:B15"/>
    <mergeCell ref="A33:B33"/>
    <mergeCell ref="A54:B54"/>
    <mergeCell ref="A76:B76"/>
    <mergeCell ref="A91:B91"/>
    <mergeCell ref="C5:G5"/>
    <mergeCell ref="C6:E6"/>
    <mergeCell ref="F6:G6"/>
    <mergeCell ref="D7:D8"/>
    <mergeCell ref="F7:G7"/>
  </mergeCells>
  <printOptions horizontalCentered="1"/>
  <pageMargins left="0.25" right="0.25" top="0.75" bottom="0.5" header="0.3" footer="0.3"/>
  <pageSetup paperSize="9" scale="64" orientation="landscape" r:id="rId1"/>
  <rowBreaks count="4" manualBreakCount="4">
    <brk id="32" man="1"/>
    <brk id="53" man="1"/>
    <brk id="75" man="1"/>
    <brk id="9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EAADB"/>
  </sheetPr>
  <dimension ref="A1:AU1000"/>
  <sheetViews>
    <sheetView view="pageBreakPreview" zoomScale="55" zoomScaleNormal="40" zoomScaleSheetLayoutView="55" workbookViewId="0">
      <pane xSplit="2" ySplit="9" topLeftCell="C108" activePane="bottomRight" state="frozen"/>
      <selection activeCell="Z5" sqref="Z5:AB6"/>
      <selection pane="topRight" activeCell="Z5" sqref="Z5:AB6"/>
      <selection pane="bottomLeft" activeCell="Z5" sqref="Z5:AB6"/>
      <selection pane="bottomRight" activeCell="Z5" sqref="Z5:AB6"/>
    </sheetView>
  </sheetViews>
  <sheetFormatPr defaultColWidth="12.625" defaultRowHeight="24" customHeight="1" x14ac:dyDescent="0.5"/>
  <cols>
    <col min="1" max="1" width="4.375" style="6" customWidth="1"/>
    <col min="2" max="2" width="27.75" style="6" customWidth="1"/>
    <col min="3" max="6" width="10.75" style="6" customWidth="1"/>
    <col min="7" max="7" width="6.75" style="6" customWidth="1"/>
    <col min="8" max="8" width="8.75" style="6" customWidth="1"/>
    <col min="9" max="13" width="6.75" style="6" customWidth="1"/>
    <col min="14" max="14" width="8.625" style="6" customWidth="1"/>
    <col min="15" max="15" width="8.75" style="6" customWidth="1"/>
    <col min="16" max="18" width="6.75" style="6" customWidth="1"/>
    <col min="19" max="19" width="8.75" style="6" customWidth="1"/>
    <col min="20" max="25" width="6.75" style="6" customWidth="1"/>
    <col min="26" max="28" width="8.75" style="6" customWidth="1"/>
    <col min="29" max="29" width="6.75" style="6" customWidth="1"/>
    <col min="30" max="30" width="8.75" style="6" customWidth="1"/>
    <col min="31" max="31" width="6.75" style="6" customWidth="1"/>
    <col min="32" max="33" width="8.75" style="6" customWidth="1"/>
    <col min="34" max="34" width="6.75" style="6" customWidth="1"/>
    <col min="35" max="37" width="8.75" style="6" customWidth="1"/>
    <col min="38" max="38" width="6.75" style="6" customWidth="1"/>
    <col min="39" max="41" width="8.75" style="6" customWidth="1"/>
    <col min="42" max="42" width="6.75" style="6" customWidth="1"/>
    <col min="43" max="43" width="8.75" style="6" customWidth="1"/>
    <col min="44" max="44" width="6.75" style="6" customWidth="1"/>
    <col min="45" max="46" width="8.75" style="6" customWidth="1"/>
    <col min="47" max="47" width="6.75" style="6" customWidth="1"/>
    <col min="48" max="16384" width="12.625" style="6"/>
  </cols>
  <sheetData>
    <row r="1" spans="1:47" ht="24" customHeight="1" x14ac:dyDescent="0.5">
      <c r="A1" s="2" t="s">
        <v>323</v>
      </c>
      <c r="B1" s="3"/>
      <c r="C1" s="106"/>
      <c r="D1" s="106"/>
      <c r="E1" s="106"/>
      <c r="F1" s="106"/>
      <c r="G1" s="107"/>
      <c r="H1" s="106"/>
      <c r="I1" s="106"/>
      <c r="J1" s="106"/>
      <c r="K1" s="107"/>
      <c r="L1" s="106"/>
      <c r="M1" s="106"/>
      <c r="N1" s="106"/>
      <c r="O1" s="106"/>
      <c r="P1" s="106"/>
      <c r="Q1" s="106"/>
      <c r="R1" s="107"/>
      <c r="S1" s="4"/>
      <c r="T1" s="3"/>
      <c r="U1" s="3"/>
      <c r="V1" s="83"/>
      <c r="W1" s="3"/>
      <c r="X1" s="3"/>
      <c r="Y1" s="83"/>
      <c r="Z1" s="4"/>
      <c r="AA1" s="3"/>
      <c r="AB1" s="3"/>
      <c r="AC1" s="3"/>
      <c r="AD1" s="3"/>
      <c r="AE1" s="3"/>
      <c r="AF1" s="3"/>
      <c r="AG1" s="3"/>
      <c r="AH1" s="3"/>
      <c r="AI1" s="4"/>
      <c r="AJ1" s="3"/>
      <c r="AK1" s="3"/>
      <c r="AL1" s="83"/>
      <c r="AM1" s="3"/>
      <c r="AN1" s="3"/>
      <c r="AO1" s="3"/>
      <c r="AP1" s="3"/>
      <c r="AQ1" s="3"/>
      <c r="AR1" s="3"/>
      <c r="AS1" s="3"/>
      <c r="AT1" s="3"/>
      <c r="AU1" s="3"/>
    </row>
    <row r="2" spans="1:47" ht="24" customHeight="1" x14ac:dyDescent="0.5">
      <c r="A2" s="573" t="s">
        <v>0</v>
      </c>
      <c r="B2" s="627"/>
      <c r="C2" s="642" t="s">
        <v>144</v>
      </c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643"/>
      <c r="Z2" s="644" t="s">
        <v>144</v>
      </c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/>
      <c r="AU2" s="579"/>
    </row>
    <row r="3" spans="1:47" ht="24" customHeight="1" x14ac:dyDescent="0.5">
      <c r="A3" s="628"/>
      <c r="B3" s="629"/>
      <c r="C3" s="645" t="s">
        <v>145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71"/>
      <c r="Z3" s="646" t="s">
        <v>145</v>
      </c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1"/>
      <c r="AN3" s="581"/>
      <c r="AO3" s="581"/>
      <c r="AP3" s="581"/>
      <c r="AQ3" s="581"/>
      <c r="AR3" s="581"/>
      <c r="AS3" s="581"/>
      <c r="AT3" s="581"/>
      <c r="AU3" s="567"/>
    </row>
    <row r="4" spans="1:47" ht="24" customHeight="1" x14ac:dyDescent="0.5">
      <c r="A4" s="630"/>
      <c r="B4" s="631"/>
      <c r="C4" s="647" t="s">
        <v>146</v>
      </c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71"/>
      <c r="Z4" s="648" t="s">
        <v>146</v>
      </c>
      <c r="AA4" s="583"/>
      <c r="AB4" s="583"/>
      <c r="AC4" s="583"/>
      <c r="AD4" s="583"/>
      <c r="AE4" s="583"/>
      <c r="AF4" s="583"/>
      <c r="AG4" s="583"/>
      <c r="AH4" s="583"/>
      <c r="AI4" s="583"/>
      <c r="AJ4" s="583"/>
      <c r="AK4" s="583"/>
      <c r="AL4" s="583"/>
      <c r="AM4" s="583"/>
      <c r="AN4" s="583"/>
      <c r="AO4" s="583"/>
      <c r="AP4" s="583"/>
      <c r="AQ4" s="583"/>
      <c r="AR4" s="583"/>
      <c r="AS4" s="583"/>
      <c r="AT4" s="583"/>
      <c r="AU4" s="584"/>
    </row>
    <row r="5" spans="1:47" ht="24" customHeight="1" x14ac:dyDescent="0.5">
      <c r="A5" s="7"/>
      <c r="B5" s="8"/>
      <c r="C5" s="600" t="s">
        <v>4</v>
      </c>
      <c r="D5" s="581"/>
      <c r="E5" s="581"/>
      <c r="F5" s="581"/>
      <c r="G5" s="567"/>
      <c r="H5" s="585" t="s">
        <v>147</v>
      </c>
      <c r="I5" s="581"/>
      <c r="J5" s="581"/>
      <c r="K5" s="581"/>
      <c r="L5" s="581"/>
      <c r="M5" s="581"/>
      <c r="N5" s="567"/>
      <c r="O5" s="609" t="s">
        <v>148</v>
      </c>
      <c r="P5" s="581"/>
      <c r="Q5" s="581"/>
      <c r="R5" s="567"/>
      <c r="S5" s="585" t="s">
        <v>149</v>
      </c>
      <c r="T5" s="581"/>
      <c r="U5" s="581"/>
      <c r="V5" s="581"/>
      <c r="W5" s="581"/>
      <c r="X5" s="581"/>
      <c r="Y5" s="567"/>
      <c r="Z5" s="585" t="s">
        <v>150</v>
      </c>
      <c r="AA5" s="581"/>
      <c r="AB5" s="581"/>
      <c r="AC5" s="581"/>
      <c r="AD5" s="581"/>
      <c r="AE5" s="581"/>
      <c r="AF5" s="581"/>
      <c r="AG5" s="581"/>
      <c r="AH5" s="571"/>
      <c r="AI5" s="585" t="s">
        <v>151</v>
      </c>
      <c r="AJ5" s="581"/>
      <c r="AK5" s="581"/>
      <c r="AL5" s="581"/>
      <c r="AM5" s="581"/>
      <c r="AN5" s="581"/>
      <c r="AO5" s="581"/>
      <c r="AP5" s="581"/>
      <c r="AQ5" s="581"/>
      <c r="AR5" s="567"/>
      <c r="AS5" s="661" t="s">
        <v>329</v>
      </c>
      <c r="AT5" s="662"/>
      <c r="AU5" s="663"/>
    </row>
    <row r="6" spans="1:47" ht="42.75" customHeight="1" x14ac:dyDescent="0.5">
      <c r="A6" s="595" t="s">
        <v>207</v>
      </c>
      <c r="B6" s="596"/>
      <c r="C6" s="601" t="s">
        <v>6</v>
      </c>
      <c r="D6" s="581"/>
      <c r="E6" s="567"/>
      <c r="F6" s="602" t="s">
        <v>7</v>
      </c>
      <c r="G6" s="584"/>
      <c r="H6" s="649" t="s">
        <v>152</v>
      </c>
      <c r="I6" s="651" t="s">
        <v>153</v>
      </c>
      <c r="J6" s="652"/>
      <c r="K6" s="653"/>
      <c r="L6" s="654" t="s">
        <v>154</v>
      </c>
      <c r="M6" s="633"/>
      <c r="N6" s="634"/>
      <c r="O6" s="649" t="s">
        <v>152</v>
      </c>
      <c r="P6" s="585" t="s">
        <v>155</v>
      </c>
      <c r="Q6" s="581"/>
      <c r="R6" s="567"/>
      <c r="S6" s="649" t="s">
        <v>152</v>
      </c>
      <c r="T6" s="585" t="s">
        <v>156</v>
      </c>
      <c r="U6" s="581"/>
      <c r="V6" s="567"/>
      <c r="W6" s="603" t="s">
        <v>157</v>
      </c>
      <c r="X6" s="583"/>
      <c r="Y6" s="584"/>
      <c r="Z6" s="649" t="s">
        <v>152</v>
      </c>
      <c r="AA6" s="585" t="s">
        <v>158</v>
      </c>
      <c r="AB6" s="581"/>
      <c r="AC6" s="581"/>
      <c r="AD6" s="581"/>
      <c r="AE6" s="571"/>
      <c r="AF6" s="603" t="s">
        <v>159</v>
      </c>
      <c r="AG6" s="583"/>
      <c r="AH6" s="584"/>
      <c r="AI6" s="649" t="s">
        <v>152</v>
      </c>
      <c r="AJ6" s="658" t="s">
        <v>160</v>
      </c>
      <c r="AK6" s="659"/>
      <c r="AL6" s="660"/>
      <c r="AM6" s="585" t="s">
        <v>156</v>
      </c>
      <c r="AN6" s="581"/>
      <c r="AO6" s="581"/>
      <c r="AP6" s="581"/>
      <c r="AQ6" s="581"/>
      <c r="AR6" s="567"/>
      <c r="AS6" s="664"/>
      <c r="AT6" s="665"/>
      <c r="AU6" s="666"/>
    </row>
    <row r="7" spans="1:47" ht="24" customHeight="1" x14ac:dyDescent="0.5">
      <c r="A7" s="595"/>
      <c r="B7" s="596"/>
      <c r="C7" s="9" t="s">
        <v>12</v>
      </c>
      <c r="D7" s="604" t="s">
        <v>13</v>
      </c>
      <c r="E7" s="10" t="s">
        <v>14</v>
      </c>
      <c r="F7" s="606" t="s">
        <v>15</v>
      </c>
      <c r="G7" s="594"/>
      <c r="H7" s="650"/>
      <c r="I7" s="531" t="s">
        <v>16</v>
      </c>
      <c r="J7" s="611" t="s">
        <v>17</v>
      </c>
      <c r="K7" s="567"/>
      <c r="L7" s="108" t="s">
        <v>12</v>
      </c>
      <c r="M7" s="655" t="s">
        <v>161</v>
      </c>
      <c r="N7" s="655" t="s">
        <v>162</v>
      </c>
      <c r="O7" s="650"/>
      <c r="P7" s="532" t="s">
        <v>16</v>
      </c>
      <c r="Q7" s="611" t="s">
        <v>17</v>
      </c>
      <c r="R7" s="567"/>
      <c r="S7" s="650"/>
      <c r="T7" s="84" t="s">
        <v>16</v>
      </c>
      <c r="U7" s="611" t="s">
        <v>17</v>
      </c>
      <c r="V7" s="567"/>
      <c r="W7" s="531" t="s">
        <v>16</v>
      </c>
      <c r="X7" s="611" t="s">
        <v>17</v>
      </c>
      <c r="Y7" s="567"/>
      <c r="Z7" s="650"/>
      <c r="AA7" s="84" t="s">
        <v>16</v>
      </c>
      <c r="AB7" s="667" t="s">
        <v>163</v>
      </c>
      <c r="AC7" s="567"/>
      <c r="AD7" s="667" t="s">
        <v>164</v>
      </c>
      <c r="AE7" s="567"/>
      <c r="AF7" s="84" t="s">
        <v>16</v>
      </c>
      <c r="AG7" s="611" t="s">
        <v>17</v>
      </c>
      <c r="AH7" s="567"/>
      <c r="AI7" s="650"/>
      <c r="AJ7" s="84" t="s">
        <v>16</v>
      </c>
      <c r="AK7" s="611" t="s">
        <v>17</v>
      </c>
      <c r="AL7" s="567"/>
      <c r="AM7" s="607" t="s">
        <v>16</v>
      </c>
      <c r="AN7" s="567"/>
      <c r="AO7" s="611" t="s">
        <v>17</v>
      </c>
      <c r="AP7" s="581"/>
      <c r="AQ7" s="581"/>
      <c r="AR7" s="567"/>
      <c r="AS7" s="84" t="s">
        <v>16</v>
      </c>
      <c r="AT7" s="611" t="s">
        <v>17</v>
      </c>
      <c r="AU7" s="567"/>
    </row>
    <row r="8" spans="1:47" ht="24" customHeight="1" x14ac:dyDescent="0.5">
      <c r="A8" s="597"/>
      <c r="B8" s="598"/>
      <c r="C8" s="12"/>
      <c r="D8" s="605"/>
      <c r="E8" s="13"/>
      <c r="F8" s="14" t="s">
        <v>18</v>
      </c>
      <c r="G8" s="15" t="s">
        <v>19</v>
      </c>
      <c r="H8" s="109" t="s">
        <v>165</v>
      </c>
      <c r="I8" s="16" t="s">
        <v>166</v>
      </c>
      <c r="J8" s="85" t="s">
        <v>167</v>
      </c>
      <c r="K8" s="86" t="s">
        <v>19</v>
      </c>
      <c r="L8" s="110" t="s">
        <v>22</v>
      </c>
      <c r="M8" s="656"/>
      <c r="N8" s="657"/>
      <c r="O8" s="109" t="s">
        <v>165</v>
      </c>
      <c r="P8" s="477" t="s">
        <v>168</v>
      </c>
      <c r="Q8" s="85" t="s">
        <v>169</v>
      </c>
      <c r="R8" s="86" t="s">
        <v>19</v>
      </c>
      <c r="S8" s="109" t="s">
        <v>165</v>
      </c>
      <c r="T8" s="477" t="s">
        <v>168</v>
      </c>
      <c r="U8" s="85" t="s">
        <v>169</v>
      </c>
      <c r="V8" s="86" t="s">
        <v>19</v>
      </c>
      <c r="W8" s="477" t="s">
        <v>168</v>
      </c>
      <c r="X8" s="478" t="s">
        <v>169</v>
      </c>
      <c r="Y8" s="86" t="s">
        <v>19</v>
      </c>
      <c r="Z8" s="109" t="s">
        <v>165</v>
      </c>
      <c r="AA8" s="16" t="s">
        <v>170</v>
      </c>
      <c r="AB8" s="110" t="s">
        <v>171</v>
      </c>
      <c r="AC8" s="85" t="s">
        <v>19</v>
      </c>
      <c r="AD8" s="110" t="s">
        <v>171</v>
      </c>
      <c r="AE8" s="85" t="s">
        <v>19</v>
      </c>
      <c r="AF8" s="16" t="s">
        <v>22</v>
      </c>
      <c r="AG8" s="85" t="s">
        <v>21</v>
      </c>
      <c r="AH8" s="85" t="s">
        <v>19</v>
      </c>
      <c r="AI8" s="109" t="s">
        <v>165</v>
      </c>
      <c r="AJ8" s="16" t="s">
        <v>22</v>
      </c>
      <c r="AK8" s="85" t="s">
        <v>21</v>
      </c>
      <c r="AL8" s="86" t="s">
        <v>19</v>
      </c>
      <c r="AM8" s="16" t="s">
        <v>21</v>
      </c>
      <c r="AN8" s="16" t="s">
        <v>139</v>
      </c>
      <c r="AO8" s="85" t="s">
        <v>21</v>
      </c>
      <c r="AP8" s="85" t="s">
        <v>19</v>
      </c>
      <c r="AQ8" s="85" t="s">
        <v>139</v>
      </c>
      <c r="AR8" s="85" t="s">
        <v>19</v>
      </c>
      <c r="AS8" s="16" t="s">
        <v>22</v>
      </c>
      <c r="AT8" s="85" t="s">
        <v>21</v>
      </c>
      <c r="AU8" s="85" t="s">
        <v>19</v>
      </c>
    </row>
    <row r="9" spans="1:47" ht="24" customHeight="1" x14ac:dyDescent="0.5">
      <c r="A9" s="564" t="s">
        <v>24</v>
      </c>
      <c r="B9" s="565"/>
      <c r="C9" s="19">
        <f t="shared" ref="C9:E9" si="0">C10+C11</f>
        <v>26292200</v>
      </c>
      <c r="D9" s="20">
        <f t="shared" si="0"/>
        <v>14035300</v>
      </c>
      <c r="E9" s="21">
        <f t="shared" si="0"/>
        <v>12256900</v>
      </c>
      <c r="F9" s="22">
        <f ca="1">F10+F11+F14</f>
        <v>683106.07999999984</v>
      </c>
      <c r="G9" s="88">
        <f t="shared" ref="G9:G114" ca="1" si="1">IF(C9&gt;0,F9*100/C9,0)</f>
        <v>2.5981320695871775</v>
      </c>
      <c r="H9" s="111">
        <f t="shared" ref="H9:J9" si="2">H10+H11</f>
        <v>589250</v>
      </c>
      <c r="I9" s="24">
        <f t="shared" si="2"/>
        <v>288</v>
      </c>
      <c r="J9" s="25">
        <f t="shared" ca="1" si="2"/>
        <v>0</v>
      </c>
      <c r="K9" s="89">
        <f t="shared" ref="K9:K114" ca="1" si="3">IF(I9&gt;0,J9*100/I9,0)</f>
        <v>0</v>
      </c>
      <c r="L9" s="25"/>
      <c r="M9" s="25"/>
      <c r="N9" s="25"/>
      <c r="O9" s="111">
        <f t="shared" ref="O9:Q9" si="4">O10+O11</f>
        <v>3224000</v>
      </c>
      <c r="P9" s="24">
        <f t="shared" si="4"/>
        <v>203</v>
      </c>
      <c r="Q9" s="25">
        <f t="shared" ca="1" si="4"/>
        <v>0</v>
      </c>
      <c r="R9" s="89">
        <f t="shared" ref="R9:R114" ca="1" si="5">IF(P9&gt;0,Q9*100/P9,0)</f>
        <v>0</v>
      </c>
      <c r="S9" s="111">
        <f t="shared" ref="S9:U9" si="6">S10+S11</f>
        <v>1052000</v>
      </c>
      <c r="T9" s="24">
        <f t="shared" si="6"/>
        <v>58</v>
      </c>
      <c r="U9" s="25">
        <f t="shared" ca="1" si="6"/>
        <v>0</v>
      </c>
      <c r="V9" s="89">
        <f t="shared" ref="V9:V114" ca="1" si="7">IF(T9&gt;0,U9*100/T9,0)</f>
        <v>0</v>
      </c>
      <c r="W9" s="24">
        <f t="shared" ref="W9:X9" si="8">W10+W11</f>
        <v>58</v>
      </c>
      <c r="X9" s="25">
        <f t="shared" ca="1" si="8"/>
        <v>0</v>
      </c>
      <c r="Y9" s="89">
        <f t="shared" ref="Y9:Y114" ca="1" si="9">IF(W9&gt;0,X9*100/W9,0)</f>
        <v>0</v>
      </c>
      <c r="Z9" s="111">
        <f t="shared" ref="Z9:AB9" si="10">Z10+Z11</f>
        <v>1593600</v>
      </c>
      <c r="AA9" s="24">
        <f t="shared" si="10"/>
        <v>2857800</v>
      </c>
      <c r="AB9" s="25">
        <f t="shared" ca="1" si="10"/>
        <v>148000</v>
      </c>
      <c r="AC9" s="89">
        <f t="shared" ref="AC9:AC114" ca="1" si="11">IF(AA9&gt;0,AB9*100/AA9,0)</f>
        <v>5.1788088739589897</v>
      </c>
      <c r="AD9" s="25">
        <f ca="1">AD10+AD11</f>
        <v>0</v>
      </c>
      <c r="AE9" s="89">
        <f t="shared" ref="AE9:AE114" ca="1" si="12">IF(AA9&gt;0,AD9*100/AA9,0)</f>
        <v>0</v>
      </c>
      <c r="AF9" s="24">
        <f t="shared" ref="AF9:AG9" si="13">AF10+AF11</f>
        <v>240</v>
      </c>
      <c r="AG9" s="25">
        <f t="shared" ca="1" si="13"/>
        <v>16</v>
      </c>
      <c r="AH9" s="89">
        <f t="shared" ref="AH9:AH114" ca="1" si="14">IF(AF9&gt;0,AG9*100/AF9,0)</f>
        <v>6.666666666666667</v>
      </c>
      <c r="AI9" s="111">
        <f t="shared" ref="AI9:AK9" si="15">AI10+AI11</f>
        <v>5798050</v>
      </c>
      <c r="AJ9" s="24">
        <f t="shared" si="15"/>
        <v>960</v>
      </c>
      <c r="AK9" s="25">
        <f t="shared" ca="1" si="15"/>
        <v>30</v>
      </c>
      <c r="AL9" s="89">
        <f t="shared" ref="AL9:AL114" ca="1" si="16">IF(AJ9&gt;0,AK9*100/AJ9,0)</f>
        <v>3.125</v>
      </c>
      <c r="AM9" s="24">
        <f t="shared" ref="AM9:AO9" si="17">AM10+AM11</f>
        <v>327</v>
      </c>
      <c r="AN9" s="24">
        <f t="shared" si="17"/>
        <v>8</v>
      </c>
      <c r="AO9" s="25">
        <f t="shared" ca="1" si="17"/>
        <v>0</v>
      </c>
      <c r="AP9" s="89">
        <f t="shared" ref="AP9:AP114" ca="1" si="18">IF(AM9&gt;0,AO9*100/AM9,0)</f>
        <v>0</v>
      </c>
      <c r="AQ9" s="25">
        <f ca="1">AQ10+AQ11</f>
        <v>0</v>
      </c>
      <c r="AR9" s="89">
        <f t="shared" ref="AR9:AR114" ca="1" si="19">IF(AN9&gt;0,AQ9*100/AN9,0)</f>
        <v>0</v>
      </c>
      <c r="AS9" s="24">
        <f t="shared" ref="AS9:AS90" si="20">+AF9+AJ9</f>
        <v>1200</v>
      </c>
      <c r="AT9" s="25">
        <f ca="1">AT10+AT11</f>
        <v>46</v>
      </c>
      <c r="AU9" s="89">
        <f t="shared" ref="AU9:AU114" ca="1" si="21">IF(AS9&gt;0,AT9*100/AS9,0)</f>
        <v>3.8333333333333335</v>
      </c>
    </row>
    <row r="10" spans="1:47" ht="24" customHeight="1" x14ac:dyDescent="0.5">
      <c r="A10" s="27" t="s">
        <v>25</v>
      </c>
      <c r="B10" s="28"/>
      <c r="C10" s="29">
        <f t="shared" ref="C10:F10" si="22">+C15+C33+C54+C76</f>
        <v>19321350</v>
      </c>
      <c r="D10" s="29">
        <f t="shared" si="22"/>
        <v>8823700</v>
      </c>
      <c r="E10" s="29">
        <f t="shared" si="22"/>
        <v>10497650</v>
      </c>
      <c r="F10" s="29">
        <f t="shared" ca="1" si="22"/>
        <v>488606.07999999984</v>
      </c>
      <c r="G10" s="91">
        <f t="shared" ca="1" si="1"/>
        <v>2.5288402725482424</v>
      </c>
      <c r="H10" s="29">
        <f t="shared" ref="H10:J10" si="23">+H15+H33+H54+H76</f>
        <v>540000</v>
      </c>
      <c r="I10" s="29">
        <f t="shared" si="23"/>
        <v>288</v>
      </c>
      <c r="J10" s="29">
        <f t="shared" ca="1" si="23"/>
        <v>0</v>
      </c>
      <c r="K10" s="91">
        <f t="shared" ca="1" si="3"/>
        <v>0</v>
      </c>
      <c r="L10" s="29">
        <f t="shared" ref="L10:Q10" ca="1" si="24">+L15+L33+L54+L76</f>
        <v>0</v>
      </c>
      <c r="M10" s="29">
        <f t="shared" ca="1" si="24"/>
        <v>0</v>
      </c>
      <c r="N10" s="29">
        <f t="shared" ca="1" si="24"/>
        <v>0</v>
      </c>
      <c r="O10" s="29">
        <f t="shared" si="24"/>
        <v>2842000</v>
      </c>
      <c r="P10" s="29">
        <f t="shared" si="24"/>
        <v>203</v>
      </c>
      <c r="Q10" s="29">
        <f t="shared" ca="1" si="24"/>
        <v>0</v>
      </c>
      <c r="R10" s="91">
        <f t="shared" ca="1" si="5"/>
        <v>0</v>
      </c>
      <c r="S10" s="29">
        <f t="shared" ref="S10:U10" si="25">+S15+S33+S54+S76</f>
        <v>870000</v>
      </c>
      <c r="T10" s="29">
        <f t="shared" si="25"/>
        <v>58</v>
      </c>
      <c r="U10" s="29">
        <f t="shared" ca="1" si="25"/>
        <v>0</v>
      </c>
      <c r="V10" s="91">
        <f t="shared" ca="1" si="7"/>
        <v>0</v>
      </c>
      <c r="W10" s="29">
        <f t="shared" ref="W10:X10" si="26">+W15+W33+W54+W76</f>
        <v>58</v>
      </c>
      <c r="X10" s="29">
        <f t="shared" ca="1" si="26"/>
        <v>0</v>
      </c>
      <c r="Y10" s="91">
        <f t="shared" ca="1" si="9"/>
        <v>0</v>
      </c>
      <c r="Z10" s="29">
        <f t="shared" ref="Z10:AB10" si="27">+Z15+Z33+Z54+Z76</f>
        <v>1399600</v>
      </c>
      <c r="AA10" s="29">
        <f t="shared" si="27"/>
        <v>2857800</v>
      </c>
      <c r="AB10" s="29">
        <f t="shared" ca="1" si="27"/>
        <v>148000</v>
      </c>
      <c r="AC10" s="91">
        <f t="shared" ca="1" si="11"/>
        <v>5.1788088739589897</v>
      </c>
      <c r="AD10" s="29">
        <f ca="1">+AD15+AD33+AD54+AD76</f>
        <v>0</v>
      </c>
      <c r="AE10" s="91">
        <f t="shared" ca="1" si="12"/>
        <v>0</v>
      </c>
      <c r="AF10" s="29">
        <f t="shared" ref="AF10:AG10" si="28">+AF15+AF33+AF54+AF76</f>
        <v>240</v>
      </c>
      <c r="AG10" s="29">
        <f t="shared" ca="1" si="28"/>
        <v>16</v>
      </c>
      <c r="AH10" s="91">
        <f t="shared" ca="1" si="14"/>
        <v>6.666666666666667</v>
      </c>
      <c r="AI10" s="29">
        <f t="shared" ref="AI10:AK10" si="29">+AI15+AI33+AI54+AI76</f>
        <v>4846050</v>
      </c>
      <c r="AJ10" s="29">
        <f t="shared" si="29"/>
        <v>960</v>
      </c>
      <c r="AK10" s="29">
        <f t="shared" ca="1" si="29"/>
        <v>30</v>
      </c>
      <c r="AL10" s="91">
        <f t="shared" ca="1" si="16"/>
        <v>3.125</v>
      </c>
      <c r="AM10" s="29">
        <f t="shared" ref="AM10:AO10" si="30">+AM15+AM33+AM54+AM76</f>
        <v>327</v>
      </c>
      <c r="AN10" s="29">
        <f t="shared" si="30"/>
        <v>8</v>
      </c>
      <c r="AO10" s="29">
        <f t="shared" ca="1" si="30"/>
        <v>0</v>
      </c>
      <c r="AP10" s="91">
        <f t="shared" ca="1" si="18"/>
        <v>0</v>
      </c>
      <c r="AQ10" s="29">
        <f ca="1">+AQ15+AQ33+AQ54+AQ76</f>
        <v>0</v>
      </c>
      <c r="AR10" s="91">
        <f t="shared" ca="1" si="19"/>
        <v>0</v>
      </c>
      <c r="AS10" s="29">
        <f t="shared" si="20"/>
        <v>1200</v>
      </c>
      <c r="AT10" s="29">
        <f ca="1">+AT15+AT33+AT54+AT76</f>
        <v>46</v>
      </c>
      <c r="AU10" s="91">
        <f t="shared" ca="1" si="21"/>
        <v>3.8333333333333335</v>
      </c>
    </row>
    <row r="11" spans="1:47" ht="24" customHeight="1" x14ac:dyDescent="0.5">
      <c r="A11" s="33" t="s">
        <v>26</v>
      </c>
      <c r="B11" s="34"/>
      <c r="C11" s="35">
        <f t="shared" ref="C11:F11" si="31">+C12+C13</f>
        <v>6970850</v>
      </c>
      <c r="D11" s="35">
        <f t="shared" si="31"/>
        <v>5211600</v>
      </c>
      <c r="E11" s="35">
        <f t="shared" si="31"/>
        <v>1759250</v>
      </c>
      <c r="F11" s="35">
        <f t="shared" ca="1" si="31"/>
        <v>194500</v>
      </c>
      <c r="G11" s="92">
        <f t="shared" ca="1" si="1"/>
        <v>2.7901905793411133</v>
      </c>
      <c r="H11" s="35">
        <f t="shared" ref="H11:J11" si="32">+H12+H13</f>
        <v>49250</v>
      </c>
      <c r="I11" s="35">
        <f t="shared" si="32"/>
        <v>0</v>
      </c>
      <c r="J11" s="35">
        <f t="shared" si="32"/>
        <v>0</v>
      </c>
      <c r="K11" s="92">
        <f t="shared" si="3"/>
        <v>0</v>
      </c>
      <c r="L11" s="35"/>
      <c r="M11" s="35"/>
      <c r="N11" s="35"/>
      <c r="O11" s="35">
        <f t="shared" ref="O11:Q11" si="33">+O12+O13</f>
        <v>382000</v>
      </c>
      <c r="P11" s="35">
        <f t="shared" si="33"/>
        <v>0</v>
      </c>
      <c r="Q11" s="35">
        <f t="shared" si="33"/>
        <v>0</v>
      </c>
      <c r="R11" s="92">
        <f t="shared" si="5"/>
        <v>0</v>
      </c>
      <c r="S11" s="35">
        <f t="shared" ref="S11:U11" si="34">+S12+S13</f>
        <v>182000</v>
      </c>
      <c r="T11" s="35">
        <f t="shared" si="34"/>
        <v>0</v>
      </c>
      <c r="U11" s="35">
        <f t="shared" si="34"/>
        <v>0</v>
      </c>
      <c r="V11" s="92">
        <f t="shared" si="7"/>
        <v>0</v>
      </c>
      <c r="W11" s="35">
        <f t="shared" ref="W11:X11" si="35">+W12+W13</f>
        <v>0</v>
      </c>
      <c r="X11" s="35">
        <f t="shared" si="35"/>
        <v>0</v>
      </c>
      <c r="Y11" s="92">
        <f t="shared" si="9"/>
        <v>0</v>
      </c>
      <c r="Z11" s="35">
        <f t="shared" ref="Z11:AB11" si="36">+Z12+Z13</f>
        <v>194000</v>
      </c>
      <c r="AA11" s="35">
        <f t="shared" si="36"/>
        <v>0</v>
      </c>
      <c r="AB11" s="35">
        <f t="shared" si="36"/>
        <v>0</v>
      </c>
      <c r="AC11" s="92">
        <f t="shared" si="11"/>
        <v>0</v>
      </c>
      <c r="AD11" s="35">
        <f>+AD12+AD13</f>
        <v>0</v>
      </c>
      <c r="AE11" s="92">
        <f t="shared" si="12"/>
        <v>0</v>
      </c>
      <c r="AF11" s="35">
        <f t="shared" ref="AF11:AG11" si="37">+AF12+AF13</f>
        <v>0</v>
      </c>
      <c r="AG11" s="35">
        <f t="shared" si="37"/>
        <v>0</v>
      </c>
      <c r="AH11" s="92">
        <f t="shared" si="14"/>
        <v>0</v>
      </c>
      <c r="AI11" s="35">
        <f t="shared" ref="AI11:AK11" si="38">+AI12+AI13</f>
        <v>952000</v>
      </c>
      <c r="AJ11" s="35">
        <f t="shared" si="38"/>
        <v>0</v>
      </c>
      <c r="AK11" s="35">
        <f t="shared" si="38"/>
        <v>0</v>
      </c>
      <c r="AL11" s="92">
        <f t="shared" si="16"/>
        <v>0</v>
      </c>
      <c r="AM11" s="35">
        <f t="shared" ref="AM11:AO11" si="39">+AM12+AM13</f>
        <v>0</v>
      </c>
      <c r="AN11" s="35">
        <f t="shared" si="39"/>
        <v>0</v>
      </c>
      <c r="AO11" s="35">
        <f t="shared" si="39"/>
        <v>0</v>
      </c>
      <c r="AP11" s="92">
        <f t="shared" si="18"/>
        <v>0</v>
      </c>
      <c r="AQ11" s="35">
        <f>+AQ12+AQ13</f>
        <v>0</v>
      </c>
      <c r="AR11" s="92">
        <f t="shared" si="19"/>
        <v>0</v>
      </c>
      <c r="AS11" s="35">
        <f t="shared" si="20"/>
        <v>0</v>
      </c>
      <c r="AT11" s="35">
        <f>+AT12+AT13</f>
        <v>0</v>
      </c>
      <c r="AU11" s="92">
        <f t="shared" si="21"/>
        <v>0</v>
      </c>
    </row>
    <row r="12" spans="1:47" ht="24" customHeight="1" x14ac:dyDescent="0.5">
      <c r="A12" s="33" t="s">
        <v>27</v>
      </c>
      <c r="B12" s="34"/>
      <c r="C12" s="35">
        <f t="shared" ref="C12:F12" si="40">+C91</f>
        <v>2470850</v>
      </c>
      <c r="D12" s="35">
        <f t="shared" si="40"/>
        <v>711600</v>
      </c>
      <c r="E12" s="35">
        <f t="shared" si="40"/>
        <v>1759250</v>
      </c>
      <c r="F12" s="35">
        <f t="shared" ca="1" si="40"/>
        <v>194500</v>
      </c>
      <c r="G12" s="92">
        <f t="shared" ca="1" si="1"/>
        <v>7.8717850132545477</v>
      </c>
      <c r="H12" s="35">
        <f t="shared" ref="H12:J12" si="41">+H91</f>
        <v>49250</v>
      </c>
      <c r="I12" s="35">
        <f t="shared" si="41"/>
        <v>0</v>
      </c>
      <c r="J12" s="35">
        <f t="shared" si="41"/>
        <v>0</v>
      </c>
      <c r="K12" s="92">
        <f t="shared" si="3"/>
        <v>0</v>
      </c>
      <c r="L12" s="35"/>
      <c r="M12" s="35"/>
      <c r="N12" s="35"/>
      <c r="O12" s="35">
        <f t="shared" ref="O12:Q12" si="42">+O91</f>
        <v>382000</v>
      </c>
      <c r="P12" s="35">
        <f t="shared" si="42"/>
        <v>0</v>
      </c>
      <c r="Q12" s="35">
        <f t="shared" si="42"/>
        <v>0</v>
      </c>
      <c r="R12" s="92">
        <f t="shared" si="5"/>
        <v>0</v>
      </c>
      <c r="S12" s="35">
        <f t="shared" ref="S12:U12" si="43">+S91</f>
        <v>182000</v>
      </c>
      <c r="T12" s="35">
        <f t="shared" si="43"/>
        <v>0</v>
      </c>
      <c r="U12" s="35">
        <f t="shared" si="43"/>
        <v>0</v>
      </c>
      <c r="V12" s="92">
        <f t="shared" si="7"/>
        <v>0</v>
      </c>
      <c r="W12" s="35">
        <f t="shared" ref="W12:X12" si="44">+W91</f>
        <v>0</v>
      </c>
      <c r="X12" s="35">
        <f t="shared" si="44"/>
        <v>0</v>
      </c>
      <c r="Y12" s="92">
        <f t="shared" si="9"/>
        <v>0</v>
      </c>
      <c r="Z12" s="35">
        <f t="shared" ref="Z12:AB12" si="45">+Z91</f>
        <v>194000</v>
      </c>
      <c r="AA12" s="35">
        <f t="shared" si="45"/>
        <v>0</v>
      </c>
      <c r="AB12" s="35">
        <f t="shared" si="45"/>
        <v>0</v>
      </c>
      <c r="AC12" s="92">
        <f t="shared" si="11"/>
        <v>0</v>
      </c>
      <c r="AD12" s="35">
        <f>+AD91</f>
        <v>0</v>
      </c>
      <c r="AE12" s="92">
        <f t="shared" si="12"/>
        <v>0</v>
      </c>
      <c r="AF12" s="35">
        <f t="shared" ref="AF12:AG12" si="46">+AF91</f>
        <v>0</v>
      </c>
      <c r="AG12" s="35">
        <f t="shared" si="46"/>
        <v>0</v>
      </c>
      <c r="AH12" s="92">
        <f t="shared" si="14"/>
        <v>0</v>
      </c>
      <c r="AI12" s="35">
        <f t="shared" ref="AI12:AK12" si="47">+AI91</f>
        <v>952000</v>
      </c>
      <c r="AJ12" s="35">
        <f t="shared" si="47"/>
        <v>0</v>
      </c>
      <c r="AK12" s="35">
        <f t="shared" si="47"/>
        <v>0</v>
      </c>
      <c r="AL12" s="92">
        <f t="shared" si="16"/>
        <v>0</v>
      </c>
      <c r="AM12" s="35">
        <f t="shared" ref="AM12:AO12" si="48">+AM91</f>
        <v>0</v>
      </c>
      <c r="AN12" s="35">
        <f t="shared" si="48"/>
        <v>0</v>
      </c>
      <c r="AO12" s="35">
        <f t="shared" si="48"/>
        <v>0</v>
      </c>
      <c r="AP12" s="92">
        <f t="shared" si="18"/>
        <v>0</v>
      </c>
      <c r="AQ12" s="35">
        <f>+AQ91</f>
        <v>0</v>
      </c>
      <c r="AR12" s="92">
        <f t="shared" si="19"/>
        <v>0</v>
      </c>
      <c r="AS12" s="35">
        <f t="shared" si="20"/>
        <v>0</v>
      </c>
      <c r="AT12" s="35">
        <f>+AT91</f>
        <v>0</v>
      </c>
      <c r="AU12" s="92">
        <f t="shared" si="21"/>
        <v>0</v>
      </c>
    </row>
    <row r="13" spans="1:47" ht="24" customHeight="1" x14ac:dyDescent="0.5">
      <c r="A13" s="33" t="s">
        <v>28</v>
      </c>
      <c r="B13" s="34"/>
      <c r="C13" s="35">
        <f t="shared" ref="C13:F13" si="49">+C106</f>
        <v>4500000</v>
      </c>
      <c r="D13" s="35">
        <f t="shared" si="49"/>
        <v>4500000</v>
      </c>
      <c r="E13" s="35">
        <f t="shared" si="49"/>
        <v>0</v>
      </c>
      <c r="F13" s="35">
        <f t="shared" si="49"/>
        <v>0</v>
      </c>
      <c r="G13" s="92">
        <f t="shared" si="1"/>
        <v>0</v>
      </c>
      <c r="H13" s="35">
        <f t="shared" ref="H13:J13" si="50">+H106</f>
        <v>0</v>
      </c>
      <c r="I13" s="35">
        <f t="shared" si="50"/>
        <v>0</v>
      </c>
      <c r="J13" s="35">
        <f t="shared" si="50"/>
        <v>0</v>
      </c>
      <c r="K13" s="92">
        <f t="shared" si="3"/>
        <v>0</v>
      </c>
      <c r="L13" s="35"/>
      <c r="M13" s="35"/>
      <c r="N13" s="35"/>
      <c r="O13" s="35">
        <f t="shared" ref="O13:Q13" si="51">+O106</f>
        <v>0</v>
      </c>
      <c r="P13" s="35">
        <f t="shared" si="51"/>
        <v>0</v>
      </c>
      <c r="Q13" s="35">
        <f t="shared" si="51"/>
        <v>0</v>
      </c>
      <c r="R13" s="92">
        <f t="shared" si="5"/>
        <v>0</v>
      </c>
      <c r="S13" s="35">
        <f t="shared" ref="S13:U13" si="52">+S106</f>
        <v>0</v>
      </c>
      <c r="T13" s="35">
        <f t="shared" si="52"/>
        <v>0</v>
      </c>
      <c r="U13" s="35">
        <f t="shared" si="52"/>
        <v>0</v>
      </c>
      <c r="V13" s="92">
        <f t="shared" si="7"/>
        <v>0</v>
      </c>
      <c r="W13" s="35">
        <f t="shared" ref="W13:X13" si="53">+W106</f>
        <v>0</v>
      </c>
      <c r="X13" s="35">
        <f t="shared" si="53"/>
        <v>0</v>
      </c>
      <c r="Y13" s="92">
        <f t="shared" si="9"/>
        <v>0</v>
      </c>
      <c r="Z13" s="35">
        <f t="shared" ref="Z13:AB13" si="54">+Z106</f>
        <v>0</v>
      </c>
      <c r="AA13" s="35">
        <f t="shared" si="54"/>
        <v>0</v>
      </c>
      <c r="AB13" s="35">
        <f t="shared" si="54"/>
        <v>0</v>
      </c>
      <c r="AC13" s="92">
        <f t="shared" si="11"/>
        <v>0</v>
      </c>
      <c r="AD13" s="35">
        <f>+AD106</f>
        <v>0</v>
      </c>
      <c r="AE13" s="92">
        <f t="shared" si="12"/>
        <v>0</v>
      </c>
      <c r="AF13" s="35">
        <f t="shared" ref="AF13:AG13" si="55">+AF106</f>
        <v>0</v>
      </c>
      <c r="AG13" s="35">
        <f t="shared" si="55"/>
        <v>0</v>
      </c>
      <c r="AH13" s="92">
        <f t="shared" si="14"/>
        <v>0</v>
      </c>
      <c r="AI13" s="35">
        <f t="shared" ref="AI13:AK13" si="56">+AI106</f>
        <v>0</v>
      </c>
      <c r="AJ13" s="35">
        <f t="shared" si="56"/>
        <v>0</v>
      </c>
      <c r="AK13" s="35">
        <f t="shared" si="56"/>
        <v>0</v>
      </c>
      <c r="AL13" s="92">
        <f t="shared" si="16"/>
        <v>0</v>
      </c>
      <c r="AM13" s="35">
        <f t="shared" ref="AM13:AO13" si="57">+AM106</f>
        <v>0</v>
      </c>
      <c r="AN13" s="35">
        <f t="shared" si="57"/>
        <v>0</v>
      </c>
      <c r="AO13" s="35">
        <f t="shared" si="57"/>
        <v>0</v>
      </c>
      <c r="AP13" s="92">
        <f t="shared" si="18"/>
        <v>0</v>
      </c>
      <c r="AQ13" s="35">
        <f>+AQ106</f>
        <v>0</v>
      </c>
      <c r="AR13" s="92">
        <f t="shared" si="19"/>
        <v>0</v>
      </c>
      <c r="AS13" s="35">
        <f t="shared" si="20"/>
        <v>0</v>
      </c>
      <c r="AT13" s="35">
        <f>+AT106</f>
        <v>0</v>
      </c>
      <c r="AU13" s="92">
        <f t="shared" si="21"/>
        <v>0</v>
      </c>
    </row>
    <row r="14" spans="1:47" ht="24" customHeight="1" x14ac:dyDescent="0.5">
      <c r="A14" s="39" t="s">
        <v>29</v>
      </c>
      <c r="B14" s="40"/>
      <c r="C14" s="93">
        <v>0</v>
      </c>
      <c r="D14" s="93">
        <v>0</v>
      </c>
      <c r="E14" s="93">
        <v>0</v>
      </c>
      <c r="F14" s="41">
        <v>0</v>
      </c>
      <c r="G14" s="94">
        <f t="shared" si="1"/>
        <v>0</v>
      </c>
      <c r="H14" s="93">
        <v>0</v>
      </c>
      <c r="I14" s="93">
        <v>0</v>
      </c>
      <c r="J14" s="93">
        <v>0</v>
      </c>
      <c r="K14" s="96">
        <f t="shared" si="3"/>
        <v>0</v>
      </c>
      <c r="L14" s="93"/>
      <c r="M14" s="93"/>
      <c r="N14" s="93"/>
      <c r="O14" s="93">
        <v>0</v>
      </c>
      <c r="P14" s="93">
        <v>0</v>
      </c>
      <c r="Q14" s="93">
        <v>0</v>
      </c>
      <c r="R14" s="96">
        <f t="shared" si="5"/>
        <v>0</v>
      </c>
      <c r="S14" s="93">
        <v>0</v>
      </c>
      <c r="T14" s="93">
        <v>0</v>
      </c>
      <c r="U14" s="93">
        <v>0</v>
      </c>
      <c r="V14" s="96">
        <f t="shared" si="7"/>
        <v>0</v>
      </c>
      <c r="W14" s="93">
        <v>0</v>
      </c>
      <c r="X14" s="93">
        <v>0</v>
      </c>
      <c r="Y14" s="96">
        <f t="shared" si="9"/>
        <v>0</v>
      </c>
      <c r="Z14" s="93">
        <v>0</v>
      </c>
      <c r="AA14" s="93">
        <v>0</v>
      </c>
      <c r="AB14" s="93">
        <v>0</v>
      </c>
      <c r="AC14" s="96">
        <f t="shared" si="11"/>
        <v>0</v>
      </c>
      <c r="AD14" s="93">
        <v>0</v>
      </c>
      <c r="AE14" s="96">
        <f t="shared" si="12"/>
        <v>0</v>
      </c>
      <c r="AF14" s="93">
        <v>0</v>
      </c>
      <c r="AG14" s="93">
        <v>0</v>
      </c>
      <c r="AH14" s="96">
        <f t="shared" si="14"/>
        <v>0</v>
      </c>
      <c r="AI14" s="93">
        <v>0</v>
      </c>
      <c r="AJ14" s="93">
        <v>0</v>
      </c>
      <c r="AK14" s="93">
        <v>0</v>
      </c>
      <c r="AL14" s="96">
        <f t="shared" si="16"/>
        <v>0</v>
      </c>
      <c r="AM14" s="93">
        <v>0</v>
      </c>
      <c r="AN14" s="93">
        <v>0</v>
      </c>
      <c r="AO14" s="93">
        <v>0</v>
      </c>
      <c r="AP14" s="96">
        <f t="shared" si="18"/>
        <v>0</v>
      </c>
      <c r="AQ14" s="93">
        <v>0</v>
      </c>
      <c r="AR14" s="96">
        <f t="shared" si="19"/>
        <v>0</v>
      </c>
      <c r="AS14" s="93">
        <f t="shared" si="20"/>
        <v>0</v>
      </c>
      <c r="AT14" s="93">
        <v>0</v>
      </c>
      <c r="AU14" s="96">
        <f t="shared" si="21"/>
        <v>0</v>
      </c>
    </row>
    <row r="15" spans="1:47" ht="24" customHeight="1" x14ac:dyDescent="0.5">
      <c r="A15" s="566" t="s">
        <v>30</v>
      </c>
      <c r="B15" s="567"/>
      <c r="C15" s="43">
        <f t="shared" ref="C15:F15" si="58">SUM(C16:C32)</f>
        <v>5646000</v>
      </c>
      <c r="D15" s="43">
        <f t="shared" si="58"/>
        <v>2232800</v>
      </c>
      <c r="E15" s="43">
        <f t="shared" si="58"/>
        <v>3413200</v>
      </c>
      <c r="F15" s="43">
        <f t="shared" ca="1" si="58"/>
        <v>210397.07</v>
      </c>
      <c r="G15" s="97">
        <f t="shared" ca="1" si="1"/>
        <v>3.7264801629472193</v>
      </c>
      <c r="H15" s="43">
        <f t="shared" ref="H15:J15" si="59">SUM(H16:H32)</f>
        <v>127500</v>
      </c>
      <c r="I15" s="43">
        <f t="shared" si="59"/>
        <v>68</v>
      </c>
      <c r="J15" s="43">
        <f t="shared" ca="1" si="59"/>
        <v>0</v>
      </c>
      <c r="K15" s="97">
        <f t="shared" ca="1" si="3"/>
        <v>0</v>
      </c>
      <c r="L15" s="43">
        <f t="shared" ref="L15:Q15" ca="1" si="60">SUM(L16:L32)</f>
        <v>0</v>
      </c>
      <c r="M15" s="43">
        <f t="shared" ca="1" si="60"/>
        <v>0</v>
      </c>
      <c r="N15" s="43">
        <f t="shared" ca="1" si="60"/>
        <v>0</v>
      </c>
      <c r="O15" s="43">
        <f t="shared" si="60"/>
        <v>728000</v>
      </c>
      <c r="P15" s="43">
        <f t="shared" si="60"/>
        <v>52</v>
      </c>
      <c r="Q15" s="43">
        <f t="shared" ca="1" si="60"/>
        <v>0</v>
      </c>
      <c r="R15" s="97">
        <f t="shared" ca="1" si="5"/>
        <v>0</v>
      </c>
      <c r="S15" s="43">
        <f t="shared" ref="S15:U15" si="61">SUM(S16:S32)</f>
        <v>60000</v>
      </c>
      <c r="T15" s="43">
        <f t="shared" si="61"/>
        <v>4</v>
      </c>
      <c r="U15" s="43">
        <f t="shared" ca="1" si="61"/>
        <v>0</v>
      </c>
      <c r="V15" s="97">
        <f t="shared" ca="1" si="7"/>
        <v>0</v>
      </c>
      <c r="W15" s="43">
        <f t="shared" ref="W15:X15" si="62">SUM(W16:W32)</f>
        <v>4</v>
      </c>
      <c r="X15" s="43">
        <f t="shared" ca="1" si="62"/>
        <v>0</v>
      </c>
      <c r="Y15" s="97">
        <f t="shared" ca="1" si="9"/>
        <v>0</v>
      </c>
      <c r="Z15" s="43">
        <f t="shared" ref="Z15:AB15" si="63">SUM(Z16:Z32)</f>
        <v>491600</v>
      </c>
      <c r="AA15" s="43">
        <f t="shared" si="63"/>
        <v>1224000</v>
      </c>
      <c r="AB15" s="43">
        <f t="shared" ca="1" si="63"/>
        <v>148000</v>
      </c>
      <c r="AC15" s="97">
        <f t="shared" ca="1" si="11"/>
        <v>12.091503267973856</v>
      </c>
      <c r="AD15" s="43">
        <f ca="1">SUM(AD16:AD32)</f>
        <v>0</v>
      </c>
      <c r="AE15" s="97">
        <f t="shared" ca="1" si="12"/>
        <v>0</v>
      </c>
      <c r="AF15" s="43">
        <f t="shared" ref="AF15:AG15" si="64">SUM(AF16:AF32)</f>
        <v>60</v>
      </c>
      <c r="AG15" s="43">
        <f t="shared" ca="1" si="64"/>
        <v>15</v>
      </c>
      <c r="AH15" s="97">
        <f t="shared" ca="1" si="14"/>
        <v>25</v>
      </c>
      <c r="AI15" s="43">
        <f t="shared" ref="AI15:AK15" si="65">SUM(AI16:AI32)</f>
        <v>2006100</v>
      </c>
      <c r="AJ15" s="43">
        <f t="shared" si="65"/>
        <v>380</v>
      </c>
      <c r="AK15" s="43">
        <f t="shared" ca="1" si="65"/>
        <v>0</v>
      </c>
      <c r="AL15" s="97">
        <f t="shared" ca="1" si="16"/>
        <v>0</v>
      </c>
      <c r="AM15" s="43">
        <f t="shared" ref="AM15:AO15" si="66">SUM(AM16:AM32)</f>
        <v>132</v>
      </c>
      <c r="AN15" s="43">
        <f t="shared" si="66"/>
        <v>2</v>
      </c>
      <c r="AO15" s="43">
        <f t="shared" ca="1" si="66"/>
        <v>0</v>
      </c>
      <c r="AP15" s="97">
        <f t="shared" ca="1" si="18"/>
        <v>0</v>
      </c>
      <c r="AQ15" s="43">
        <f ca="1">SUM(AQ16:AQ32)</f>
        <v>0</v>
      </c>
      <c r="AR15" s="97">
        <f t="shared" ca="1" si="19"/>
        <v>0</v>
      </c>
      <c r="AS15" s="43">
        <f t="shared" si="20"/>
        <v>440</v>
      </c>
      <c r="AT15" s="43">
        <f ca="1">SUM(AT16:AT32)</f>
        <v>15</v>
      </c>
      <c r="AU15" s="97">
        <f t="shared" ca="1" si="21"/>
        <v>3.4090909090909092</v>
      </c>
    </row>
    <row r="16" spans="1:47" ht="24" customHeight="1" x14ac:dyDescent="0.5">
      <c r="A16" s="45">
        <v>1</v>
      </c>
      <c r="B16" s="46" t="s">
        <v>31</v>
      </c>
      <c r="C16" s="47">
        <f>D16+E16</f>
        <v>69000</v>
      </c>
      <c r="D16" s="48">
        <v>0</v>
      </c>
      <c r="E16" s="48">
        <f t="shared" ref="E16:E32" si="67">H16+O16+S16+Z16+AI16</f>
        <v>69000</v>
      </c>
      <c r="F16" s="48">
        <f ca="1">IFERROR(__xludf.DUMMYFUNCTION("IMPORTRANGE(""https://docs.google.com/spreadsheets/d/11923uPwbBZFjjGgGUA6NLw09EwE0CqkOc4q9oUmW1yo/edit?usp=sharing"",""กำแพงเพชร!M71"")"),0)</f>
        <v>0</v>
      </c>
      <c r="G16" s="98">
        <f t="shared" ca="1" si="1"/>
        <v>0</v>
      </c>
      <c r="H16" s="48">
        <v>7500</v>
      </c>
      <c r="I16" s="48">
        <v>4</v>
      </c>
      <c r="J16" s="48">
        <f ca="1">IFERROR(__xludf.DUMMYFUNCTION("IMPORTRANGE(""https://docs.google.com/spreadsheets/d/11923uPwbBZFjjGgGUA6NLw09EwE0CqkOc4q9oUmW1yo/edit?usp=sharing"",""กำแพงเพชร!J83"")"),0)</f>
        <v>0</v>
      </c>
      <c r="K16" s="98">
        <f t="shared" ca="1" si="3"/>
        <v>0</v>
      </c>
      <c r="L16" s="48">
        <f t="shared" ref="L16:L32" ca="1" si="68">M16+N16</f>
        <v>0</v>
      </c>
      <c r="M16" s="48">
        <f ca="1">IFERROR(__xludf.DUMMYFUNCTION("IMPORTRANGE(""https://docs.google.com/spreadsheets/d/11923uPwbBZFjjGgGUA6NLw09EwE0CqkOc4q9oUmW1yo/edit?usp=sharing"",""กำแพงเพชร!J85"")"),0)</f>
        <v>0</v>
      </c>
      <c r="N16" s="48">
        <f ca="1">IFERROR(__xludf.DUMMYFUNCTION("IMPORTRANGE(""https://docs.google.com/spreadsheets/d/11923uPwbBZFjjGgGUA6NLw09EwE0CqkOc4q9oUmW1yo/edit?usp=sharing"",""กำแพงเพชร!J86"")"),0)</f>
        <v>0</v>
      </c>
      <c r="O16" s="48">
        <v>42000</v>
      </c>
      <c r="P16" s="48">
        <v>3</v>
      </c>
      <c r="Q16" s="48">
        <f ca="1">IFERROR(__xludf.DUMMYFUNCTION("IMPORTRANGE(""https://docs.google.com/spreadsheets/d/11923uPwbBZFjjGgGUA6NLw09EwE0CqkOc4q9oUmW1yo/edit?usp=sharing"",""กำแพงเพชร!J98"")"),0)</f>
        <v>0</v>
      </c>
      <c r="R16" s="98">
        <f t="shared" ca="1" si="5"/>
        <v>0</v>
      </c>
      <c r="S16" s="48">
        <v>0</v>
      </c>
      <c r="T16" s="48">
        <v>0</v>
      </c>
      <c r="U16" s="48">
        <f ca="1">IFERROR(__xludf.DUMMYFUNCTION("IMPORTRANGE(""https://docs.google.com/spreadsheets/d/11923uPwbBZFjjGgGUA6NLw09EwE0CqkOc4q9oUmW1yo/edit?usp=sharing"",""กำแพงเพชร!J110"")"),0)</f>
        <v>0</v>
      </c>
      <c r="V16" s="98">
        <f t="shared" si="7"/>
        <v>0</v>
      </c>
      <c r="W16" s="48">
        <v>0</v>
      </c>
      <c r="X16" s="48">
        <f ca="1">IFERROR(__xludf.DUMMYFUNCTION("IMPORTRANGE(""https://docs.google.com/spreadsheets/d/11923uPwbBZFjjGgGUA6NLw09EwE0CqkOc4q9oUmW1yo/edit?usp=sharing"",""กำแพงเพชร!J111"")"),0)</f>
        <v>0</v>
      </c>
      <c r="Y16" s="98">
        <f t="shared" si="9"/>
        <v>0</v>
      </c>
      <c r="Z16" s="48">
        <v>19500</v>
      </c>
      <c r="AA16" s="48">
        <v>50000</v>
      </c>
      <c r="AB16" s="48">
        <f ca="1">IFERROR(__xludf.DUMMYFUNCTION("IMPORTRANGE(""https://docs.google.com/spreadsheets/d/11923uPwbBZFjjGgGUA6NLw09EwE0CqkOc4q9oUmW1yo/edit?usp=sharing"",""กำแพงเพชร!J124"")"),0)</f>
        <v>0</v>
      </c>
      <c r="AC16" s="98">
        <f t="shared" ca="1" si="11"/>
        <v>0</v>
      </c>
      <c r="AD16" s="48">
        <f ca="1">IFERROR(__xludf.DUMMYFUNCTION("IMPORTRANGE(""https://docs.google.com/spreadsheets/d/11923uPwbBZFjjGgGUA6NLw09EwE0CqkOc4q9oUmW1yo/edit?usp=sharing"",""กำแพงเพชร!J125"")"),0)</f>
        <v>0</v>
      </c>
      <c r="AE16" s="98">
        <f t="shared" ca="1" si="12"/>
        <v>0</v>
      </c>
      <c r="AF16" s="48">
        <v>0</v>
      </c>
      <c r="AG16" s="48">
        <f ca="1">IFERROR(__xludf.DUMMYFUNCTION("IMPORTRANGE(""https://docs.google.com/spreadsheets/d/11923uPwbBZFjjGgGUA6NLw09EwE0CqkOc4q9oUmW1yo/edit?usp=sharing"",""กำแพงเพชร!J126"")"),0)</f>
        <v>0</v>
      </c>
      <c r="AH16" s="98">
        <f t="shared" si="14"/>
        <v>0</v>
      </c>
      <c r="AI16" s="48">
        <v>0</v>
      </c>
      <c r="AJ16" s="48">
        <v>0</v>
      </c>
      <c r="AK16" s="48">
        <f ca="1">IFERROR(__xludf.DUMMYFUNCTION("IMPORTRANGE(""https://docs.google.com/spreadsheets/d/11923uPwbBZFjjGgGUA6NLw09EwE0CqkOc4q9oUmW1yo/edit?usp=sharing"",""กำแพงเพชร!J138"")"),0)</f>
        <v>0</v>
      </c>
      <c r="AL16" s="98">
        <f t="shared" si="16"/>
        <v>0</v>
      </c>
      <c r="AM16" s="48">
        <v>0</v>
      </c>
      <c r="AN16" s="48">
        <v>0</v>
      </c>
      <c r="AO16" s="48">
        <f ca="1">IFERROR(__xludf.DUMMYFUNCTION("IMPORTRANGE(""https://docs.google.com/spreadsheets/d/11923uPwbBZFjjGgGUA6NLw09EwE0CqkOc4q9oUmW1yo/edit?usp=sharing"",""กำแพงเพชร!J140"")"),0)</f>
        <v>0</v>
      </c>
      <c r="AP16" s="98">
        <f t="shared" si="18"/>
        <v>0</v>
      </c>
      <c r="AQ16" s="48">
        <f ca="1">IFERROR(__xludf.DUMMYFUNCTION("IMPORTRANGE(""https://docs.google.com/spreadsheets/d/11923uPwbBZFjjGgGUA6NLw09EwE0CqkOc4q9oUmW1yo/edit?usp=sharing"",""กำแพงเพชร!J141"")"),0)</f>
        <v>0</v>
      </c>
      <c r="AR16" s="98">
        <f t="shared" si="19"/>
        <v>0</v>
      </c>
      <c r="AS16" s="48">
        <f t="shared" si="20"/>
        <v>0</v>
      </c>
      <c r="AT16" s="48">
        <f t="shared" ref="AT16:AT32" ca="1" si="69">AG16+AK16</f>
        <v>0</v>
      </c>
      <c r="AU16" s="98">
        <f t="shared" si="21"/>
        <v>0</v>
      </c>
    </row>
    <row r="17" spans="1:47" ht="24" customHeight="1" x14ac:dyDescent="0.5">
      <c r="A17" s="52">
        <v>2</v>
      </c>
      <c r="B17" s="53" t="s">
        <v>32</v>
      </c>
      <c r="C17" s="54">
        <f t="shared" ref="C17:C32" si="70">+D17+E17</f>
        <v>579900</v>
      </c>
      <c r="D17" s="55">
        <v>463400</v>
      </c>
      <c r="E17" s="55">
        <f t="shared" si="67"/>
        <v>116500</v>
      </c>
      <c r="F17" s="55">
        <f ca="1">IFERROR(__xludf.DUMMYFUNCTION("IMPORTRANGE(""https://docs.google.com/spreadsheets/d/11923uPwbBZFjjGgGUA6NLw09EwE0CqkOc4q9oUmW1yo/edit?usp=sharing"",""เชียงราย!M71"")"),0)</f>
        <v>0</v>
      </c>
      <c r="G17" s="99">
        <f t="shared" ca="1" si="1"/>
        <v>0</v>
      </c>
      <c r="H17" s="55">
        <v>7500</v>
      </c>
      <c r="I17" s="55">
        <v>4</v>
      </c>
      <c r="J17" s="55">
        <f ca="1">IFERROR(__xludf.DUMMYFUNCTION("IMPORTRANGE(""https://docs.google.com/spreadsheets/d/11923uPwbBZFjjGgGUA6NLw09EwE0CqkOc4q9oUmW1yo/edit?usp=sharing"",""เชียงราย!J83"")"),0)</f>
        <v>0</v>
      </c>
      <c r="K17" s="99">
        <f t="shared" ca="1" si="3"/>
        <v>0</v>
      </c>
      <c r="L17" s="55">
        <f t="shared" ca="1" si="68"/>
        <v>0</v>
      </c>
      <c r="M17" s="55">
        <f ca="1">IFERROR(__xludf.DUMMYFUNCTION("IMPORTRANGE(""https://docs.google.com/spreadsheets/d/11923uPwbBZFjjGgGUA6NLw09EwE0CqkOc4q9oUmW1yo/edit?usp=sharing"",""กำแพงเพชร!J85"")"),0)</f>
        <v>0</v>
      </c>
      <c r="N17" s="55">
        <f ca="1">IFERROR(__xludf.DUMMYFUNCTION("IMPORTRANGE(""https://docs.google.com/spreadsheets/d/11923uPwbBZFjjGgGUA6NLw09EwE0CqkOc4q9oUmW1yo/edit?usp=sharing"",""กำแพงเพชร!J86"")"),0)</f>
        <v>0</v>
      </c>
      <c r="O17" s="55">
        <v>70000</v>
      </c>
      <c r="P17" s="55">
        <v>5</v>
      </c>
      <c r="Q17" s="55">
        <f ca="1">IFERROR(__xludf.DUMMYFUNCTION("IMPORTRANGE(""https://docs.google.com/spreadsheets/d/11923uPwbBZFjjGgGUA6NLw09EwE0CqkOc4q9oUmW1yo/edit?usp=sharing"",""เชียงราย!J98"")"),0)</f>
        <v>0</v>
      </c>
      <c r="R17" s="99">
        <f t="shared" ca="1" si="5"/>
        <v>0</v>
      </c>
      <c r="S17" s="55">
        <v>0</v>
      </c>
      <c r="T17" s="55">
        <v>0</v>
      </c>
      <c r="U17" s="55">
        <f ca="1">IFERROR(__xludf.DUMMYFUNCTION("IMPORTRANGE(""https://docs.google.com/spreadsheets/d/11923uPwbBZFjjGgGUA6NLw09EwE0CqkOc4q9oUmW1yo/edit?usp=sharing"",""เชียงราย!J110"")"),0)</f>
        <v>0</v>
      </c>
      <c r="V17" s="99">
        <f t="shared" si="7"/>
        <v>0</v>
      </c>
      <c r="W17" s="55">
        <v>0</v>
      </c>
      <c r="X17" s="55">
        <f ca="1">IFERROR(__xludf.DUMMYFUNCTION("IMPORTRANGE(""https://docs.google.com/spreadsheets/d/11923uPwbBZFjjGgGUA6NLw09EwE0CqkOc4q9oUmW1yo/edit?usp=sharing"",""เชียงราย!J111"")"),0)</f>
        <v>0</v>
      </c>
      <c r="Y17" s="99">
        <f t="shared" si="9"/>
        <v>0</v>
      </c>
      <c r="Z17" s="55">
        <v>39000</v>
      </c>
      <c r="AA17" s="55">
        <v>60000</v>
      </c>
      <c r="AB17" s="55">
        <f ca="1">IFERROR(__xludf.DUMMYFUNCTION("IMPORTRANGE(""https://docs.google.com/spreadsheets/d/11923uPwbBZFjjGgGUA6NLw09EwE0CqkOc4q9oUmW1yo/edit?usp=sharing"",""เชียงราย!J124"")"),0)</f>
        <v>0</v>
      </c>
      <c r="AC17" s="99">
        <f t="shared" ca="1" si="11"/>
        <v>0</v>
      </c>
      <c r="AD17" s="55">
        <f ca="1">IFERROR(__xludf.DUMMYFUNCTION("IMPORTRANGE(""https://docs.google.com/spreadsheets/d/11923uPwbBZFjjGgGUA6NLw09EwE0CqkOc4q9oUmW1yo/edit?usp=sharing"",""เชียงราย!J125"")"),0)</f>
        <v>0</v>
      </c>
      <c r="AE17" s="99">
        <f t="shared" ca="1" si="12"/>
        <v>0</v>
      </c>
      <c r="AF17" s="55">
        <v>15</v>
      </c>
      <c r="AG17" s="55">
        <f ca="1">IFERROR(__xludf.DUMMYFUNCTION("IMPORTRANGE(""https://docs.google.com/spreadsheets/d/11923uPwbBZFjjGgGUA6NLw09EwE0CqkOc4q9oUmW1yo/edit?usp=sharing"",""เชียงราย!J126"")"),0)</f>
        <v>0</v>
      </c>
      <c r="AH17" s="99">
        <f t="shared" ca="1" si="14"/>
        <v>0</v>
      </c>
      <c r="AI17" s="55">
        <v>0</v>
      </c>
      <c r="AJ17" s="55">
        <v>0</v>
      </c>
      <c r="AK17" s="55">
        <f ca="1">IFERROR(__xludf.DUMMYFUNCTION("IMPORTRANGE(""https://docs.google.com/spreadsheets/d/11923uPwbBZFjjGgGUA6NLw09EwE0CqkOc4q9oUmW1yo/edit?usp=sharing"",""เชียงราย!J138"")"),0)</f>
        <v>0</v>
      </c>
      <c r="AL17" s="99">
        <f t="shared" si="16"/>
        <v>0</v>
      </c>
      <c r="AM17" s="55">
        <v>0</v>
      </c>
      <c r="AN17" s="55">
        <v>0</v>
      </c>
      <c r="AO17" s="55">
        <f ca="1">IFERROR(__xludf.DUMMYFUNCTION("IMPORTRANGE(""https://docs.google.com/spreadsheets/d/11923uPwbBZFjjGgGUA6NLw09EwE0CqkOc4q9oUmW1yo/edit?usp=sharing"",""เชียงราย!J140"")"),0)</f>
        <v>0</v>
      </c>
      <c r="AP17" s="99">
        <f t="shared" si="18"/>
        <v>0</v>
      </c>
      <c r="AQ17" s="55">
        <f ca="1">IFERROR(__xludf.DUMMYFUNCTION("IMPORTRANGE(""https://docs.google.com/spreadsheets/d/11923uPwbBZFjjGgGUA6NLw09EwE0CqkOc4q9oUmW1yo/edit?usp=sharing"",""เชียงราย!J141"")"),0)</f>
        <v>0</v>
      </c>
      <c r="AR17" s="99">
        <f t="shared" si="19"/>
        <v>0</v>
      </c>
      <c r="AS17" s="55">
        <f t="shared" si="20"/>
        <v>15</v>
      </c>
      <c r="AT17" s="55">
        <f t="shared" ca="1" si="69"/>
        <v>0</v>
      </c>
      <c r="AU17" s="99">
        <f t="shared" ca="1" si="21"/>
        <v>0</v>
      </c>
    </row>
    <row r="18" spans="1:47" ht="24" customHeight="1" x14ac:dyDescent="0.5">
      <c r="A18" s="52">
        <v>3</v>
      </c>
      <c r="B18" s="53" t="s">
        <v>33</v>
      </c>
      <c r="C18" s="54">
        <f t="shared" si="70"/>
        <v>891700</v>
      </c>
      <c r="D18" s="55">
        <v>331400</v>
      </c>
      <c r="E18" s="55">
        <f t="shared" si="67"/>
        <v>560300</v>
      </c>
      <c r="F18" s="55">
        <f ca="1">IFERROR(__xludf.DUMMYFUNCTION("IMPORTRANGE(""https://docs.google.com/spreadsheets/d/11923uPwbBZFjjGgGUA6NLw09EwE0CqkOc4q9oUmW1yo/edit?usp=sharing"",""เชียงใหม่!M71"")"),18912.1)</f>
        <v>18912.099999999999</v>
      </c>
      <c r="G18" s="99">
        <f t="shared" ca="1" si="1"/>
        <v>2.1209038914433105</v>
      </c>
      <c r="H18" s="55">
        <v>7500</v>
      </c>
      <c r="I18" s="55">
        <v>4</v>
      </c>
      <c r="J18" s="55">
        <f ca="1">IFERROR(__xludf.DUMMYFUNCTION("IMPORTRANGE(""https://docs.google.com/spreadsheets/d/11923uPwbBZFjjGgGUA6NLw09EwE0CqkOc4q9oUmW1yo/edit?usp=sharing"",""เชียงใหม่!J83"")"),0)</f>
        <v>0</v>
      </c>
      <c r="K18" s="99">
        <f t="shared" ca="1" si="3"/>
        <v>0</v>
      </c>
      <c r="L18" s="55">
        <f t="shared" ca="1" si="68"/>
        <v>0</v>
      </c>
      <c r="M18" s="55">
        <f ca="1">IFERROR(__xludf.DUMMYFUNCTION("IMPORTRANGE(""https://docs.google.com/spreadsheets/d/11923uPwbBZFjjGgGUA6NLw09EwE0CqkOc4q9oUmW1yo/edit?usp=sharing"",""กำแพงเพชร!J85"")"),0)</f>
        <v>0</v>
      </c>
      <c r="N18" s="55">
        <f ca="1">IFERROR(__xludf.DUMMYFUNCTION("IMPORTRANGE(""https://docs.google.com/spreadsheets/d/11923uPwbBZFjjGgGUA6NLw09EwE0CqkOc4q9oUmW1yo/edit?usp=sharing"",""กำแพงเพชร!J86"")"),0)</f>
        <v>0</v>
      </c>
      <c r="O18" s="55">
        <v>28000</v>
      </c>
      <c r="P18" s="55">
        <v>2</v>
      </c>
      <c r="Q18" s="55">
        <f ca="1">IFERROR(__xludf.DUMMYFUNCTION("IMPORTRANGE(""https://docs.google.com/spreadsheets/d/11923uPwbBZFjjGgGUA6NLw09EwE0CqkOc4q9oUmW1yo/edit?usp=sharing"",""เชียงใหม่!J98"")"),0)</f>
        <v>0</v>
      </c>
      <c r="R18" s="99">
        <f t="shared" ca="1" si="5"/>
        <v>0</v>
      </c>
      <c r="S18" s="55">
        <v>15000</v>
      </c>
      <c r="T18" s="55">
        <v>1</v>
      </c>
      <c r="U18" s="55">
        <f ca="1">IFERROR(__xludf.DUMMYFUNCTION("IMPORTRANGE(""https://docs.google.com/spreadsheets/d/11923uPwbBZFjjGgGUA6NLw09EwE0CqkOc4q9oUmW1yo/edit?usp=sharing"",""เชียงใหม่!J110"")"),0)</f>
        <v>0</v>
      </c>
      <c r="V18" s="99">
        <f t="shared" ca="1" si="7"/>
        <v>0</v>
      </c>
      <c r="W18" s="55">
        <v>1</v>
      </c>
      <c r="X18" s="55">
        <f ca="1">IFERROR(__xludf.DUMMYFUNCTION("IMPORTRANGE(""https://docs.google.com/spreadsheets/d/11923uPwbBZFjjGgGUA6NLw09EwE0CqkOc4q9oUmW1yo/edit?usp=sharing"",""เชียงใหม่!J111"")"),0)</f>
        <v>0</v>
      </c>
      <c r="Y18" s="99">
        <f t="shared" ca="1" si="9"/>
        <v>0</v>
      </c>
      <c r="Z18" s="55">
        <v>8400</v>
      </c>
      <c r="AA18" s="55">
        <v>16000</v>
      </c>
      <c r="AB18" s="55">
        <f ca="1">IFERROR(__xludf.DUMMYFUNCTION("IMPORTRANGE(""https://docs.google.com/spreadsheets/d/11923uPwbBZFjjGgGUA6NLw09EwE0CqkOc4q9oUmW1yo/edit?usp=sharing"",""เชียงใหม่!J124"")"),0)</f>
        <v>0</v>
      </c>
      <c r="AC18" s="99">
        <f t="shared" ca="1" si="11"/>
        <v>0</v>
      </c>
      <c r="AD18" s="55">
        <f ca="1">IFERROR(__xludf.DUMMYFUNCTION("IMPORTRANGE(""https://docs.google.com/spreadsheets/d/11923uPwbBZFjjGgGUA6NLw09EwE0CqkOc4q9oUmW1yo/edit?usp=sharing"",""เชียงใหม่!J125"")"),0)</f>
        <v>0</v>
      </c>
      <c r="AE18" s="99">
        <f t="shared" ca="1" si="12"/>
        <v>0</v>
      </c>
      <c r="AF18" s="55">
        <v>0</v>
      </c>
      <c r="AG18" s="55">
        <f ca="1">IFERROR(__xludf.DUMMYFUNCTION("IMPORTRANGE(""https://docs.google.com/spreadsheets/d/11923uPwbBZFjjGgGUA6NLw09EwE0CqkOc4q9oUmW1yo/edit?usp=sharing"",""เชียงใหม่!J126"")"),0)</f>
        <v>0</v>
      </c>
      <c r="AH18" s="99">
        <f t="shared" si="14"/>
        <v>0</v>
      </c>
      <c r="AI18" s="55">
        <v>501400</v>
      </c>
      <c r="AJ18" s="55">
        <v>100</v>
      </c>
      <c r="AK18" s="55">
        <f ca="1">IFERROR(__xludf.DUMMYFUNCTION("IMPORTRANGE(""https://docs.google.com/spreadsheets/d/11923uPwbBZFjjGgGUA6NLw09EwE0CqkOc4q9oUmW1yo/edit?usp=sharing"",""เชียงใหม่!J138"")"),0)</f>
        <v>0</v>
      </c>
      <c r="AL18" s="99">
        <f t="shared" ca="1" si="16"/>
        <v>0</v>
      </c>
      <c r="AM18" s="55">
        <v>1</v>
      </c>
      <c r="AN18" s="55">
        <v>0</v>
      </c>
      <c r="AO18" s="55">
        <f ca="1">IFERROR(__xludf.DUMMYFUNCTION("IMPORTRANGE(""https://docs.google.com/spreadsheets/d/11923uPwbBZFjjGgGUA6NLw09EwE0CqkOc4q9oUmW1yo/edit?usp=sharing"",""เชียงใหม่!J140"")"),0)</f>
        <v>0</v>
      </c>
      <c r="AP18" s="99">
        <f t="shared" ca="1" si="18"/>
        <v>0</v>
      </c>
      <c r="AQ18" s="55">
        <f ca="1">IFERROR(__xludf.DUMMYFUNCTION("IMPORTRANGE(""https://docs.google.com/spreadsheets/d/11923uPwbBZFjjGgGUA6NLw09EwE0CqkOc4q9oUmW1yo/edit?usp=sharing"",""เชียงใหม่!J141"")"),0)</f>
        <v>0</v>
      </c>
      <c r="AR18" s="99">
        <f t="shared" si="19"/>
        <v>0</v>
      </c>
      <c r="AS18" s="55">
        <f t="shared" si="20"/>
        <v>100</v>
      </c>
      <c r="AT18" s="55">
        <f t="shared" ca="1" si="69"/>
        <v>0</v>
      </c>
      <c r="AU18" s="99">
        <f t="shared" ca="1" si="21"/>
        <v>0</v>
      </c>
    </row>
    <row r="19" spans="1:47" ht="24" customHeight="1" x14ac:dyDescent="0.5">
      <c r="A19" s="52">
        <v>4</v>
      </c>
      <c r="B19" s="53" t="s">
        <v>34</v>
      </c>
      <c r="C19" s="54">
        <f t="shared" si="70"/>
        <v>69000</v>
      </c>
      <c r="D19" s="55">
        <v>0</v>
      </c>
      <c r="E19" s="55">
        <f t="shared" si="67"/>
        <v>69000</v>
      </c>
      <c r="F19" s="55">
        <f ca="1">IFERROR(__xludf.DUMMYFUNCTION("IMPORTRANGE(""https://docs.google.com/spreadsheets/d/11923uPwbBZFjjGgGUA6NLw09EwE0CqkOc4q9oUmW1yo/edit?usp=sharing"",""ตาก!M71"")"),0)</f>
        <v>0</v>
      </c>
      <c r="G19" s="99">
        <f t="shared" ca="1" si="1"/>
        <v>0</v>
      </c>
      <c r="H19" s="55">
        <v>7500</v>
      </c>
      <c r="I19" s="55">
        <v>4</v>
      </c>
      <c r="J19" s="55">
        <f ca="1">IFERROR(__xludf.DUMMYFUNCTION("IMPORTRANGE(""https://docs.google.com/spreadsheets/d/11923uPwbBZFjjGgGUA6NLw09EwE0CqkOc4q9oUmW1yo/edit?usp=sharing"",""ตาก!J83"")"),0)</f>
        <v>0</v>
      </c>
      <c r="K19" s="99">
        <f t="shared" ca="1" si="3"/>
        <v>0</v>
      </c>
      <c r="L19" s="55">
        <f t="shared" ca="1" si="68"/>
        <v>0</v>
      </c>
      <c r="M19" s="55">
        <f ca="1">IFERROR(__xludf.DUMMYFUNCTION("IMPORTRANGE(""https://docs.google.com/spreadsheets/d/11923uPwbBZFjjGgGUA6NLw09EwE0CqkOc4q9oUmW1yo/edit?usp=sharing"",""กำแพงเพชร!J85"")"),0)</f>
        <v>0</v>
      </c>
      <c r="N19" s="55">
        <f ca="1">IFERROR(__xludf.DUMMYFUNCTION("IMPORTRANGE(""https://docs.google.com/spreadsheets/d/11923uPwbBZFjjGgGUA6NLw09EwE0CqkOc4q9oUmW1yo/edit?usp=sharing"",""กำแพงเพชร!J86"")"),0)</f>
        <v>0</v>
      </c>
      <c r="O19" s="55">
        <v>42000</v>
      </c>
      <c r="P19" s="55">
        <v>3</v>
      </c>
      <c r="Q19" s="55">
        <f ca="1">IFERROR(__xludf.DUMMYFUNCTION("IMPORTRANGE(""https://docs.google.com/spreadsheets/d/11923uPwbBZFjjGgGUA6NLw09EwE0CqkOc4q9oUmW1yo/edit?usp=sharing"",""ตาก!J98"")"),0)</f>
        <v>0</v>
      </c>
      <c r="R19" s="99">
        <f t="shared" ca="1" si="5"/>
        <v>0</v>
      </c>
      <c r="S19" s="55">
        <v>0</v>
      </c>
      <c r="T19" s="55">
        <v>0</v>
      </c>
      <c r="U19" s="55">
        <f ca="1">IFERROR(__xludf.DUMMYFUNCTION("IMPORTRANGE(""https://docs.google.com/spreadsheets/d/11923uPwbBZFjjGgGUA6NLw09EwE0CqkOc4q9oUmW1yo/edit?usp=sharing"",""ตาก!J110"")"),0)</f>
        <v>0</v>
      </c>
      <c r="V19" s="99">
        <f t="shared" si="7"/>
        <v>0</v>
      </c>
      <c r="W19" s="55">
        <v>0</v>
      </c>
      <c r="X19" s="55">
        <f ca="1">IFERROR(__xludf.DUMMYFUNCTION("IMPORTRANGE(""https://docs.google.com/spreadsheets/d/11923uPwbBZFjjGgGUA6NLw09EwE0CqkOc4q9oUmW1yo/edit?usp=sharing"",""ตาก!J111"")"),0)</f>
        <v>0</v>
      </c>
      <c r="Y19" s="99">
        <f t="shared" si="9"/>
        <v>0</v>
      </c>
      <c r="Z19" s="55">
        <v>19500</v>
      </c>
      <c r="AA19" s="55">
        <v>50000</v>
      </c>
      <c r="AB19" s="55">
        <f ca="1">IFERROR(__xludf.DUMMYFUNCTION("IMPORTRANGE(""https://docs.google.com/spreadsheets/d/11923uPwbBZFjjGgGUA6NLw09EwE0CqkOc4q9oUmW1yo/edit?usp=sharing"",""ตาก!J124"")"),0)</f>
        <v>0</v>
      </c>
      <c r="AC19" s="99">
        <f t="shared" ca="1" si="11"/>
        <v>0</v>
      </c>
      <c r="AD19" s="55">
        <f ca="1">IFERROR(__xludf.DUMMYFUNCTION("IMPORTRANGE(""https://docs.google.com/spreadsheets/d/11923uPwbBZFjjGgGUA6NLw09EwE0CqkOc4q9oUmW1yo/edit?usp=sharing"",""ตาก!J125"")"),0)</f>
        <v>0</v>
      </c>
      <c r="AE19" s="99">
        <f t="shared" ca="1" si="12"/>
        <v>0</v>
      </c>
      <c r="AF19" s="55">
        <v>0</v>
      </c>
      <c r="AG19" s="55">
        <f ca="1">IFERROR(__xludf.DUMMYFUNCTION("IMPORTRANGE(""https://docs.google.com/spreadsheets/d/11923uPwbBZFjjGgGUA6NLw09EwE0CqkOc4q9oUmW1yo/edit?usp=sharing"",""ตาก!J126"")"),0)</f>
        <v>0</v>
      </c>
      <c r="AH19" s="99">
        <f t="shared" si="14"/>
        <v>0</v>
      </c>
      <c r="AI19" s="55">
        <v>0</v>
      </c>
      <c r="AJ19" s="55">
        <v>0</v>
      </c>
      <c r="AK19" s="55">
        <f ca="1">IFERROR(__xludf.DUMMYFUNCTION("IMPORTRANGE(""https://docs.google.com/spreadsheets/d/11923uPwbBZFjjGgGUA6NLw09EwE0CqkOc4q9oUmW1yo/edit?usp=sharing"",""ตาก!J138"")"),0)</f>
        <v>0</v>
      </c>
      <c r="AL19" s="99">
        <f t="shared" si="16"/>
        <v>0</v>
      </c>
      <c r="AM19" s="55">
        <v>0</v>
      </c>
      <c r="AN19" s="55">
        <v>0</v>
      </c>
      <c r="AO19" s="55">
        <f ca="1">IFERROR(__xludf.DUMMYFUNCTION("IMPORTRANGE(""https://docs.google.com/spreadsheets/d/11923uPwbBZFjjGgGUA6NLw09EwE0CqkOc4q9oUmW1yo/edit?usp=sharing"",""ตาก!J140"")"),0)</f>
        <v>0</v>
      </c>
      <c r="AP19" s="99">
        <f t="shared" si="18"/>
        <v>0</v>
      </c>
      <c r="AQ19" s="55">
        <f ca="1">IFERROR(__xludf.DUMMYFUNCTION("IMPORTRANGE(""https://docs.google.com/spreadsheets/d/11923uPwbBZFjjGgGUA6NLw09EwE0CqkOc4q9oUmW1yo/edit?usp=sharing"",""ตาก!J141"")"),0)</f>
        <v>0</v>
      </c>
      <c r="AR19" s="99">
        <f t="shared" si="19"/>
        <v>0</v>
      </c>
      <c r="AS19" s="55">
        <f t="shared" si="20"/>
        <v>0</v>
      </c>
      <c r="AT19" s="55">
        <f t="shared" ca="1" si="69"/>
        <v>0</v>
      </c>
      <c r="AU19" s="99">
        <f t="shared" si="21"/>
        <v>0</v>
      </c>
    </row>
    <row r="20" spans="1:47" ht="24" customHeight="1" x14ac:dyDescent="0.5">
      <c r="A20" s="52">
        <v>5</v>
      </c>
      <c r="B20" s="53" t="s">
        <v>35</v>
      </c>
      <c r="C20" s="54">
        <f t="shared" si="70"/>
        <v>163500</v>
      </c>
      <c r="D20" s="55">
        <v>0</v>
      </c>
      <c r="E20" s="55">
        <f t="shared" si="67"/>
        <v>163500</v>
      </c>
      <c r="F20" s="55">
        <f ca="1">IFERROR(__xludf.DUMMYFUNCTION("IMPORTRANGE(""https://docs.google.com/spreadsheets/d/11923uPwbBZFjjGgGUA6NLw09EwE0CqkOc4q9oUmW1yo/edit?usp=sharing"",""นครสวรรค์!M71"")"),0)</f>
        <v>0</v>
      </c>
      <c r="G20" s="99">
        <f t="shared" ca="1" si="1"/>
        <v>0</v>
      </c>
      <c r="H20" s="55">
        <v>7500</v>
      </c>
      <c r="I20" s="55">
        <v>4</v>
      </c>
      <c r="J20" s="55">
        <f ca="1">IFERROR(__xludf.DUMMYFUNCTION("IMPORTRANGE(""https://docs.google.com/spreadsheets/d/11923uPwbBZFjjGgGUA6NLw09EwE0CqkOc4q9oUmW1yo/edit?usp=sharing"",""นครสวรรค์!J83"")"),0)</f>
        <v>0</v>
      </c>
      <c r="K20" s="99">
        <f t="shared" ca="1" si="3"/>
        <v>0</v>
      </c>
      <c r="L20" s="55">
        <f t="shared" ca="1" si="68"/>
        <v>0</v>
      </c>
      <c r="M20" s="55">
        <f ca="1">IFERROR(__xludf.DUMMYFUNCTION("IMPORTRANGE(""https://docs.google.com/spreadsheets/d/11923uPwbBZFjjGgGUA6NLw09EwE0CqkOc4q9oUmW1yo/edit?usp=sharing"",""กำแพงเพชร!J85"")"),0)</f>
        <v>0</v>
      </c>
      <c r="N20" s="55">
        <f ca="1">IFERROR(__xludf.DUMMYFUNCTION("IMPORTRANGE(""https://docs.google.com/spreadsheets/d/11923uPwbBZFjjGgGUA6NLw09EwE0CqkOc4q9oUmW1yo/edit?usp=sharing"",""กำแพงเพชร!J86"")"),0)</f>
        <v>0</v>
      </c>
      <c r="O20" s="55">
        <v>70000</v>
      </c>
      <c r="P20" s="55">
        <v>5</v>
      </c>
      <c r="Q20" s="55">
        <f ca="1">IFERROR(__xludf.DUMMYFUNCTION("IMPORTRANGE(""https://docs.google.com/spreadsheets/d/11923uPwbBZFjjGgGUA6NLw09EwE0CqkOc4q9oUmW1yo/edit?usp=sharing"",""นครสวรรค์!J98"")"),0)</f>
        <v>0</v>
      </c>
      <c r="R20" s="99">
        <f t="shared" ca="1" si="5"/>
        <v>0</v>
      </c>
      <c r="S20" s="55">
        <v>0</v>
      </c>
      <c r="T20" s="55">
        <v>0</v>
      </c>
      <c r="U20" s="55">
        <f ca="1">IFERROR(__xludf.DUMMYFUNCTION("IMPORTRANGE(""https://docs.google.com/spreadsheets/d/11923uPwbBZFjjGgGUA6NLw09EwE0CqkOc4q9oUmW1yo/edit?usp=sharing"",""นครสวรรค์!J110"")"),0)</f>
        <v>0</v>
      </c>
      <c r="V20" s="99">
        <f t="shared" si="7"/>
        <v>0</v>
      </c>
      <c r="W20" s="55">
        <v>0</v>
      </c>
      <c r="X20" s="55">
        <f ca="1">IFERROR(__xludf.DUMMYFUNCTION("IMPORTRANGE(""https://docs.google.com/spreadsheets/d/11923uPwbBZFjjGgGUA6NLw09EwE0CqkOc4q9oUmW1yo/edit?usp=sharing"",""นครสวรรค์!J111"")"),0)</f>
        <v>0</v>
      </c>
      <c r="Y20" s="99">
        <f t="shared" si="9"/>
        <v>0</v>
      </c>
      <c r="Z20" s="55">
        <v>86000</v>
      </c>
      <c r="AA20" s="55">
        <v>300000</v>
      </c>
      <c r="AB20" s="55">
        <f ca="1">IFERROR(__xludf.DUMMYFUNCTION("IMPORTRANGE(""https://docs.google.com/spreadsheets/d/11923uPwbBZFjjGgGUA6NLw09EwE0CqkOc4q9oUmW1yo/edit?usp=sharing"",""นครสวรรค์!J124"")"),0)</f>
        <v>0</v>
      </c>
      <c r="AC20" s="99">
        <f t="shared" ca="1" si="11"/>
        <v>0</v>
      </c>
      <c r="AD20" s="55">
        <f ca="1">IFERROR(__xludf.DUMMYFUNCTION("IMPORTRANGE(""https://docs.google.com/spreadsheets/d/11923uPwbBZFjjGgGUA6NLw09EwE0CqkOc4q9oUmW1yo/edit?usp=sharing"",""นครสวรรค์!J125"")"),0)</f>
        <v>0</v>
      </c>
      <c r="AE20" s="99">
        <f t="shared" ca="1" si="12"/>
        <v>0</v>
      </c>
      <c r="AF20" s="55">
        <v>0</v>
      </c>
      <c r="AG20" s="55">
        <f ca="1">IFERROR(__xludf.DUMMYFUNCTION("IMPORTRANGE(""https://docs.google.com/spreadsheets/d/11923uPwbBZFjjGgGUA6NLw09EwE0CqkOc4q9oUmW1yo/edit?usp=sharing"",""นครสวรรค์!J126"")"),0)</f>
        <v>0</v>
      </c>
      <c r="AH20" s="99">
        <f t="shared" si="14"/>
        <v>0</v>
      </c>
      <c r="AI20" s="55">
        <v>0</v>
      </c>
      <c r="AJ20" s="55">
        <v>0</v>
      </c>
      <c r="AK20" s="55">
        <f ca="1">IFERROR(__xludf.DUMMYFUNCTION("IMPORTRANGE(""https://docs.google.com/spreadsheets/d/11923uPwbBZFjjGgGUA6NLw09EwE0CqkOc4q9oUmW1yo/edit?usp=sharing"",""นครสวรรค์!J138"")"),0)</f>
        <v>0</v>
      </c>
      <c r="AL20" s="99">
        <f t="shared" si="16"/>
        <v>0</v>
      </c>
      <c r="AM20" s="55">
        <v>0</v>
      </c>
      <c r="AN20" s="55">
        <v>0</v>
      </c>
      <c r="AO20" s="55">
        <f ca="1">IFERROR(__xludf.DUMMYFUNCTION("IMPORTRANGE(""https://docs.google.com/spreadsheets/d/11923uPwbBZFjjGgGUA6NLw09EwE0CqkOc4q9oUmW1yo/edit?usp=sharing"",""นครสวรรค์!J140"")"),0)</f>
        <v>0</v>
      </c>
      <c r="AP20" s="99">
        <f t="shared" si="18"/>
        <v>0</v>
      </c>
      <c r="AQ20" s="55">
        <f ca="1">IFERROR(__xludf.DUMMYFUNCTION("IMPORTRANGE(""https://docs.google.com/spreadsheets/d/11923uPwbBZFjjGgGUA6NLw09EwE0CqkOc4q9oUmW1yo/edit?usp=sharing"",""นครสวรรค์!J141"")"),0)</f>
        <v>0</v>
      </c>
      <c r="AR20" s="99">
        <f t="shared" si="19"/>
        <v>0</v>
      </c>
      <c r="AS20" s="55">
        <f t="shared" si="20"/>
        <v>0</v>
      </c>
      <c r="AT20" s="55">
        <f t="shared" ca="1" si="69"/>
        <v>0</v>
      </c>
      <c r="AU20" s="99">
        <f t="shared" si="21"/>
        <v>0</v>
      </c>
    </row>
    <row r="21" spans="1:47" ht="24" customHeight="1" x14ac:dyDescent="0.5">
      <c r="A21" s="52">
        <v>6</v>
      </c>
      <c r="B21" s="53" t="s">
        <v>36</v>
      </c>
      <c r="C21" s="54">
        <f t="shared" si="70"/>
        <v>815200</v>
      </c>
      <c r="D21" s="55">
        <v>315900</v>
      </c>
      <c r="E21" s="55">
        <f t="shared" si="67"/>
        <v>499300</v>
      </c>
      <c r="F21" s="55">
        <f ca="1">IFERROR(__xludf.DUMMYFUNCTION("IMPORTRANGE(""https://docs.google.com/spreadsheets/d/11923uPwbBZFjjGgGUA6NLw09EwE0CqkOc4q9oUmW1yo/edit?usp=sharing"",""น่าน!M71"")"),33754.42)</f>
        <v>33754.42</v>
      </c>
      <c r="G21" s="99">
        <f t="shared" ca="1" si="1"/>
        <v>4.1406305201177629</v>
      </c>
      <c r="H21" s="55">
        <v>7500</v>
      </c>
      <c r="I21" s="55">
        <v>4</v>
      </c>
      <c r="J21" s="55">
        <f ca="1">IFERROR(__xludf.DUMMYFUNCTION("IMPORTRANGE(""https://docs.google.com/spreadsheets/d/11923uPwbBZFjjGgGUA6NLw09EwE0CqkOc4q9oUmW1yo/edit?usp=sharing"",""น่าน!J83"")"),0)</f>
        <v>0</v>
      </c>
      <c r="K21" s="99">
        <f t="shared" ca="1" si="3"/>
        <v>0</v>
      </c>
      <c r="L21" s="55">
        <f t="shared" ca="1" si="68"/>
        <v>0</v>
      </c>
      <c r="M21" s="55">
        <f ca="1">IFERROR(__xludf.DUMMYFUNCTION("IMPORTRANGE(""https://docs.google.com/spreadsheets/d/11923uPwbBZFjjGgGUA6NLw09EwE0CqkOc4q9oUmW1yo/edit?usp=sharing"",""กำแพงเพชร!J85"")"),0)</f>
        <v>0</v>
      </c>
      <c r="N21" s="55">
        <f ca="1">IFERROR(__xludf.DUMMYFUNCTION("IMPORTRANGE(""https://docs.google.com/spreadsheets/d/11923uPwbBZFjjGgGUA6NLw09EwE0CqkOc4q9oUmW1yo/edit?usp=sharing"",""กำแพงเพชร!J86"")"),0)</f>
        <v>0</v>
      </c>
      <c r="O21" s="55">
        <v>56000</v>
      </c>
      <c r="P21" s="55">
        <v>4</v>
      </c>
      <c r="Q21" s="55">
        <f ca="1">IFERROR(__xludf.DUMMYFUNCTION("IMPORTRANGE(""https://docs.google.com/spreadsheets/d/11923uPwbBZFjjGgGUA6NLw09EwE0CqkOc4q9oUmW1yo/edit?usp=sharing"",""น่าน!J98"")"),0)</f>
        <v>0</v>
      </c>
      <c r="R21" s="99">
        <f t="shared" ca="1" si="5"/>
        <v>0</v>
      </c>
      <c r="S21" s="55">
        <v>0</v>
      </c>
      <c r="T21" s="55">
        <v>0</v>
      </c>
      <c r="U21" s="55">
        <f ca="1">IFERROR(__xludf.DUMMYFUNCTION("IMPORTRANGE(""https://docs.google.com/spreadsheets/d/11923uPwbBZFjjGgGUA6NLw09EwE0CqkOc4q9oUmW1yo/edit?usp=sharing"",""น่าน!J110"")"),0)</f>
        <v>0</v>
      </c>
      <c r="V21" s="99">
        <f t="shared" si="7"/>
        <v>0</v>
      </c>
      <c r="W21" s="55">
        <v>0</v>
      </c>
      <c r="X21" s="55">
        <f ca="1">IFERROR(__xludf.DUMMYFUNCTION("IMPORTRANGE(""https://docs.google.com/spreadsheets/d/11923uPwbBZFjjGgGUA6NLw09EwE0CqkOc4q9oUmW1yo/edit?usp=sharing"",""น่าน!J111"")"),0)</f>
        <v>0</v>
      </c>
      <c r="Y21" s="99">
        <f t="shared" si="9"/>
        <v>0</v>
      </c>
      <c r="Z21" s="55">
        <v>19500</v>
      </c>
      <c r="AA21" s="55">
        <v>50000</v>
      </c>
      <c r="AB21" s="55">
        <f ca="1">IFERROR(__xludf.DUMMYFUNCTION("IMPORTRANGE(""https://docs.google.com/spreadsheets/d/11923uPwbBZFjjGgGUA6NLw09EwE0CqkOc4q9oUmW1yo/edit?usp=sharing"",""น่าน!J124"")"),0)</f>
        <v>0</v>
      </c>
      <c r="AC21" s="99">
        <f t="shared" ca="1" si="11"/>
        <v>0</v>
      </c>
      <c r="AD21" s="55">
        <f ca="1">IFERROR(__xludf.DUMMYFUNCTION("IMPORTRANGE(""https://docs.google.com/spreadsheets/d/11923uPwbBZFjjGgGUA6NLw09EwE0CqkOc4q9oUmW1yo/edit?usp=sharing"",""น่าน!J125"")"),0)</f>
        <v>0</v>
      </c>
      <c r="AE21" s="99">
        <f t="shared" ca="1" si="12"/>
        <v>0</v>
      </c>
      <c r="AF21" s="55">
        <v>0</v>
      </c>
      <c r="AG21" s="55">
        <f ca="1">IFERROR(__xludf.DUMMYFUNCTION("IMPORTRANGE(""https://docs.google.com/spreadsheets/d/11923uPwbBZFjjGgGUA6NLw09EwE0CqkOc4q9oUmW1yo/edit?usp=sharing"",""น่าน!J126"")"),0)</f>
        <v>0</v>
      </c>
      <c r="AH21" s="99">
        <f t="shared" si="14"/>
        <v>0</v>
      </c>
      <c r="AI21" s="55">
        <v>416300</v>
      </c>
      <c r="AJ21" s="55">
        <v>90</v>
      </c>
      <c r="AK21" s="55">
        <f ca="1">IFERROR(__xludf.DUMMYFUNCTION("IMPORTRANGE(""https://docs.google.com/spreadsheets/d/11923uPwbBZFjjGgGUA6NLw09EwE0CqkOc4q9oUmW1yo/edit?usp=sharing"",""น่าน!J138"")"),0)</f>
        <v>0</v>
      </c>
      <c r="AL21" s="99">
        <f t="shared" ca="1" si="16"/>
        <v>0</v>
      </c>
      <c r="AM21" s="55">
        <v>90</v>
      </c>
      <c r="AN21" s="55">
        <v>0</v>
      </c>
      <c r="AO21" s="55">
        <f ca="1">IFERROR(__xludf.DUMMYFUNCTION("IMPORTRANGE(""https://docs.google.com/spreadsheets/d/11923uPwbBZFjjGgGUA6NLw09EwE0CqkOc4q9oUmW1yo/edit?usp=sharing"",""น่าน!J140"")"),0)</f>
        <v>0</v>
      </c>
      <c r="AP21" s="99">
        <f t="shared" ca="1" si="18"/>
        <v>0</v>
      </c>
      <c r="AQ21" s="55">
        <f ca="1">IFERROR(__xludf.DUMMYFUNCTION("IMPORTRANGE(""https://docs.google.com/spreadsheets/d/11923uPwbBZFjjGgGUA6NLw09EwE0CqkOc4q9oUmW1yo/edit?usp=sharing"",""น่าน!J141"")"),0)</f>
        <v>0</v>
      </c>
      <c r="AR21" s="99">
        <f t="shared" si="19"/>
        <v>0</v>
      </c>
      <c r="AS21" s="55">
        <f t="shared" si="20"/>
        <v>90</v>
      </c>
      <c r="AT21" s="55">
        <f t="shared" ca="1" si="69"/>
        <v>0</v>
      </c>
      <c r="AU21" s="99">
        <f t="shared" ca="1" si="21"/>
        <v>0</v>
      </c>
    </row>
    <row r="22" spans="1:47" ht="24" customHeight="1" x14ac:dyDescent="0.5">
      <c r="A22" s="52">
        <v>7</v>
      </c>
      <c r="B22" s="53" t="s">
        <v>37</v>
      </c>
      <c r="C22" s="54">
        <f t="shared" si="70"/>
        <v>828600</v>
      </c>
      <c r="D22" s="55">
        <v>462100</v>
      </c>
      <c r="E22" s="55">
        <f t="shared" si="67"/>
        <v>366500</v>
      </c>
      <c r="F22" s="55">
        <f ca="1">IFERROR(__xludf.DUMMYFUNCTION("IMPORTRANGE(""https://docs.google.com/spreadsheets/d/11923uPwbBZFjjGgGUA6NLw09EwE0CqkOc4q9oUmW1yo/edit?usp=sharing"",""พะเยา!M71"")"),74149)</f>
        <v>74149</v>
      </c>
      <c r="G22" s="99">
        <f t="shared" ca="1" si="1"/>
        <v>8.9487086652184402</v>
      </c>
      <c r="H22" s="55">
        <v>7500</v>
      </c>
      <c r="I22" s="55">
        <v>4</v>
      </c>
      <c r="J22" s="55">
        <f ca="1">IFERROR(__xludf.DUMMYFUNCTION("IMPORTRANGE(""https://docs.google.com/spreadsheets/d/11923uPwbBZFjjGgGUA6NLw09EwE0CqkOc4q9oUmW1yo/edit?usp=sharing"",""พะเยา!J83"")"),0)</f>
        <v>0</v>
      </c>
      <c r="K22" s="99">
        <f t="shared" ca="1" si="3"/>
        <v>0</v>
      </c>
      <c r="L22" s="55">
        <f t="shared" ca="1" si="68"/>
        <v>0</v>
      </c>
      <c r="M22" s="55">
        <f ca="1">IFERROR(__xludf.DUMMYFUNCTION("IMPORTRANGE(""https://docs.google.com/spreadsheets/d/11923uPwbBZFjjGgGUA6NLw09EwE0CqkOc4q9oUmW1yo/edit?usp=sharing"",""กำแพงเพชร!J85"")"),0)</f>
        <v>0</v>
      </c>
      <c r="N22" s="55">
        <f ca="1">IFERROR(__xludf.DUMMYFUNCTION("IMPORTRANGE(""https://docs.google.com/spreadsheets/d/11923uPwbBZFjjGgGUA6NLw09EwE0CqkOc4q9oUmW1yo/edit?usp=sharing"",""กำแพงเพชร!J86"")"),0)</f>
        <v>0</v>
      </c>
      <c r="O22" s="55">
        <v>28000</v>
      </c>
      <c r="P22" s="55">
        <v>2</v>
      </c>
      <c r="Q22" s="55">
        <f ca="1">IFERROR(__xludf.DUMMYFUNCTION("IMPORTRANGE(""https://docs.google.com/spreadsheets/d/11923uPwbBZFjjGgGUA6NLw09EwE0CqkOc4q9oUmW1yo/edit?usp=sharing"",""พะเยา!J98"")"),0)</f>
        <v>0</v>
      </c>
      <c r="R22" s="99">
        <f t="shared" ca="1" si="5"/>
        <v>0</v>
      </c>
      <c r="S22" s="55">
        <v>0</v>
      </c>
      <c r="T22" s="55">
        <v>0</v>
      </c>
      <c r="U22" s="55">
        <f ca="1">IFERROR(__xludf.DUMMYFUNCTION("IMPORTRANGE(""https://docs.google.com/spreadsheets/d/11923uPwbBZFjjGgGUA6NLw09EwE0CqkOc4q9oUmW1yo/edit?usp=sharing"",""พะเยา!J110"")"),0)</f>
        <v>0</v>
      </c>
      <c r="V22" s="99">
        <f t="shared" si="7"/>
        <v>0</v>
      </c>
      <c r="W22" s="55">
        <v>0</v>
      </c>
      <c r="X22" s="55">
        <f ca="1">IFERROR(__xludf.DUMMYFUNCTION("IMPORTRANGE(""https://docs.google.com/spreadsheets/d/11923uPwbBZFjjGgGUA6NLw09EwE0CqkOc4q9oUmW1yo/edit?usp=sharing"",""พะเยา!J111"")"),0)</f>
        <v>0</v>
      </c>
      <c r="Y22" s="99">
        <f t="shared" si="9"/>
        <v>0</v>
      </c>
      <c r="Z22" s="55">
        <v>24000</v>
      </c>
      <c r="AA22" s="55">
        <v>20000</v>
      </c>
      <c r="AB22" s="55">
        <f ca="1">IFERROR(__xludf.DUMMYFUNCTION("IMPORTRANGE(""https://docs.google.com/spreadsheets/d/11923uPwbBZFjjGgGUA6NLw09EwE0CqkOc4q9oUmW1yo/edit?usp=sharing"",""พะเยา!J124"")"),20000)</f>
        <v>20000</v>
      </c>
      <c r="AC22" s="99">
        <f t="shared" ca="1" si="11"/>
        <v>100</v>
      </c>
      <c r="AD22" s="55">
        <f ca="1">IFERROR(__xludf.DUMMYFUNCTION("IMPORTRANGE(""https://docs.google.com/spreadsheets/d/11923uPwbBZFjjGgGUA6NLw09EwE0CqkOc4q9oUmW1yo/edit?usp=sharing"",""พะเยา!J125"")"),0)</f>
        <v>0</v>
      </c>
      <c r="AE22" s="99">
        <f t="shared" ca="1" si="12"/>
        <v>0</v>
      </c>
      <c r="AF22" s="55">
        <v>15</v>
      </c>
      <c r="AG22" s="55">
        <f ca="1">IFERROR(__xludf.DUMMYFUNCTION("IMPORTRANGE(""https://docs.google.com/spreadsheets/d/11923uPwbBZFjjGgGUA6NLw09EwE0CqkOc4q9oUmW1yo/edit?usp=sharing"",""พะเยา!J126"")"),0)</f>
        <v>0</v>
      </c>
      <c r="AH22" s="99">
        <f t="shared" ca="1" si="14"/>
        <v>0</v>
      </c>
      <c r="AI22" s="55">
        <v>307000</v>
      </c>
      <c r="AJ22" s="55">
        <v>40</v>
      </c>
      <c r="AK22" s="55">
        <f ca="1">IFERROR(__xludf.DUMMYFUNCTION("IMPORTRANGE(""https://docs.google.com/spreadsheets/d/11923uPwbBZFjjGgGUA6NLw09EwE0CqkOc4q9oUmW1yo/edit?usp=sharing"",""พะเยา!J138"")"),0)</f>
        <v>0</v>
      </c>
      <c r="AL22" s="99">
        <f t="shared" ca="1" si="16"/>
        <v>0</v>
      </c>
      <c r="AM22" s="55">
        <v>40</v>
      </c>
      <c r="AN22" s="55">
        <v>0</v>
      </c>
      <c r="AO22" s="55">
        <f ca="1">IFERROR(__xludf.DUMMYFUNCTION("IMPORTRANGE(""https://docs.google.com/spreadsheets/d/11923uPwbBZFjjGgGUA6NLw09EwE0CqkOc4q9oUmW1yo/edit?usp=sharing"",""พะเยา!J140"")"),0)</f>
        <v>0</v>
      </c>
      <c r="AP22" s="99">
        <f t="shared" ca="1" si="18"/>
        <v>0</v>
      </c>
      <c r="AQ22" s="55">
        <f ca="1">IFERROR(__xludf.DUMMYFUNCTION("IMPORTRANGE(""https://docs.google.com/spreadsheets/d/11923uPwbBZFjjGgGUA6NLw09EwE0CqkOc4q9oUmW1yo/edit?usp=sharing"",""พะเยา!J141"")"),0)</f>
        <v>0</v>
      </c>
      <c r="AR22" s="99">
        <f t="shared" si="19"/>
        <v>0</v>
      </c>
      <c r="AS22" s="55">
        <f t="shared" si="20"/>
        <v>55</v>
      </c>
      <c r="AT22" s="55">
        <f t="shared" ca="1" si="69"/>
        <v>0</v>
      </c>
      <c r="AU22" s="99">
        <f t="shared" ca="1" si="21"/>
        <v>0</v>
      </c>
    </row>
    <row r="23" spans="1:47" ht="24" customHeight="1" x14ac:dyDescent="0.5">
      <c r="A23" s="52">
        <v>8</v>
      </c>
      <c r="B23" s="53" t="s">
        <v>38</v>
      </c>
      <c r="C23" s="54">
        <f t="shared" si="70"/>
        <v>58500</v>
      </c>
      <c r="D23" s="55">
        <v>0</v>
      </c>
      <c r="E23" s="55">
        <f t="shared" si="67"/>
        <v>58500</v>
      </c>
      <c r="F23" s="55">
        <f ca="1">IFERROR(__xludf.DUMMYFUNCTION("IMPORTRANGE(""https://docs.google.com/spreadsheets/d/11923uPwbBZFjjGgGUA6NLw09EwE0CqkOc4q9oUmW1yo/edit?usp=sharing"",""พิจิตร!M71"")"),0)</f>
        <v>0</v>
      </c>
      <c r="G23" s="99">
        <f t="shared" ca="1" si="1"/>
        <v>0</v>
      </c>
      <c r="H23" s="55">
        <v>7500</v>
      </c>
      <c r="I23" s="55">
        <v>4</v>
      </c>
      <c r="J23" s="55">
        <f ca="1">IFERROR(__xludf.DUMMYFUNCTION("IMPORTRANGE(""https://docs.google.com/spreadsheets/d/11923uPwbBZFjjGgGUA6NLw09EwE0CqkOc4q9oUmW1yo/edit?usp=sharing"",""พิจิตร!J83"")"),0)</f>
        <v>0</v>
      </c>
      <c r="K23" s="99">
        <f t="shared" ca="1" si="3"/>
        <v>0</v>
      </c>
      <c r="L23" s="55">
        <f t="shared" ca="1" si="68"/>
        <v>0</v>
      </c>
      <c r="M23" s="55">
        <f ca="1">IFERROR(__xludf.DUMMYFUNCTION("IMPORTRANGE(""https://docs.google.com/spreadsheets/d/11923uPwbBZFjjGgGUA6NLw09EwE0CqkOc4q9oUmW1yo/edit?usp=sharing"",""กำแพงเพชร!J85"")"),0)</f>
        <v>0</v>
      </c>
      <c r="N23" s="55">
        <f ca="1">IFERROR(__xludf.DUMMYFUNCTION("IMPORTRANGE(""https://docs.google.com/spreadsheets/d/11923uPwbBZFjjGgGUA6NLw09EwE0CqkOc4q9oUmW1yo/edit?usp=sharing"",""กำแพงเพชร!J86"")"),0)</f>
        <v>0</v>
      </c>
      <c r="O23" s="55">
        <v>42000</v>
      </c>
      <c r="P23" s="55">
        <v>3</v>
      </c>
      <c r="Q23" s="55">
        <f ca="1">IFERROR(__xludf.DUMMYFUNCTION("IMPORTRANGE(""https://docs.google.com/spreadsheets/d/11923uPwbBZFjjGgGUA6NLw09EwE0CqkOc4q9oUmW1yo/edit?usp=sharing"",""พิจิตร!J98"")"),0)</f>
        <v>0</v>
      </c>
      <c r="R23" s="99">
        <f t="shared" ca="1" si="5"/>
        <v>0</v>
      </c>
      <c r="S23" s="55">
        <v>0</v>
      </c>
      <c r="T23" s="55">
        <v>0</v>
      </c>
      <c r="U23" s="55">
        <f ca="1">IFERROR(__xludf.DUMMYFUNCTION("IMPORTRANGE(""https://docs.google.com/spreadsheets/d/11923uPwbBZFjjGgGUA6NLw09EwE0CqkOc4q9oUmW1yo/edit?usp=sharing"",""พิจิตร!J110"")"),0)</f>
        <v>0</v>
      </c>
      <c r="V23" s="99">
        <f t="shared" si="7"/>
        <v>0</v>
      </c>
      <c r="W23" s="55">
        <v>0</v>
      </c>
      <c r="X23" s="55">
        <f ca="1">IFERROR(__xludf.DUMMYFUNCTION("IMPORTRANGE(""https://docs.google.com/spreadsheets/d/11923uPwbBZFjjGgGUA6NLw09EwE0CqkOc4q9oUmW1yo/edit?usp=sharing"",""พิจิตร!J111"")"),0)</f>
        <v>0</v>
      </c>
      <c r="Y23" s="99">
        <f t="shared" si="9"/>
        <v>0</v>
      </c>
      <c r="Z23" s="55">
        <v>9000</v>
      </c>
      <c r="AA23" s="55">
        <v>20000</v>
      </c>
      <c r="AB23" s="55">
        <f ca="1">IFERROR(__xludf.DUMMYFUNCTION("IMPORTRANGE(""https://docs.google.com/spreadsheets/d/11923uPwbBZFjjGgGUA6NLw09EwE0CqkOc4q9oUmW1yo/edit?usp=sharing"",""พิจิตร!J124"")"),0)</f>
        <v>0</v>
      </c>
      <c r="AC23" s="99">
        <f t="shared" ca="1" si="11"/>
        <v>0</v>
      </c>
      <c r="AD23" s="55">
        <f ca="1">IFERROR(__xludf.DUMMYFUNCTION("IMPORTRANGE(""https://docs.google.com/spreadsheets/d/11923uPwbBZFjjGgGUA6NLw09EwE0CqkOc4q9oUmW1yo/edit?usp=sharing"",""พิจิตร!J125"")"),0)</f>
        <v>0</v>
      </c>
      <c r="AE23" s="99">
        <f t="shared" ca="1" si="12"/>
        <v>0</v>
      </c>
      <c r="AF23" s="55">
        <v>0</v>
      </c>
      <c r="AG23" s="55">
        <f ca="1">IFERROR(__xludf.DUMMYFUNCTION("IMPORTRANGE(""https://docs.google.com/spreadsheets/d/11923uPwbBZFjjGgGUA6NLw09EwE0CqkOc4q9oUmW1yo/edit?usp=sharing"",""พิจิตร!J126"")"),0)</f>
        <v>0</v>
      </c>
      <c r="AH23" s="99">
        <f t="shared" si="14"/>
        <v>0</v>
      </c>
      <c r="AI23" s="55">
        <v>0</v>
      </c>
      <c r="AJ23" s="55">
        <v>0</v>
      </c>
      <c r="AK23" s="55">
        <f ca="1">IFERROR(__xludf.DUMMYFUNCTION("IMPORTRANGE(""https://docs.google.com/spreadsheets/d/11923uPwbBZFjjGgGUA6NLw09EwE0CqkOc4q9oUmW1yo/edit?usp=sharing"",""พิจิตร!J138"")"),0)</f>
        <v>0</v>
      </c>
      <c r="AL23" s="99">
        <f t="shared" si="16"/>
        <v>0</v>
      </c>
      <c r="AM23" s="55">
        <v>0</v>
      </c>
      <c r="AN23" s="55">
        <v>0</v>
      </c>
      <c r="AO23" s="55">
        <f ca="1">IFERROR(__xludf.DUMMYFUNCTION("IMPORTRANGE(""https://docs.google.com/spreadsheets/d/11923uPwbBZFjjGgGUA6NLw09EwE0CqkOc4q9oUmW1yo/edit?usp=sharing"",""พิจิตร!J140"")"),0)</f>
        <v>0</v>
      </c>
      <c r="AP23" s="99">
        <f t="shared" si="18"/>
        <v>0</v>
      </c>
      <c r="AQ23" s="55">
        <f ca="1">IFERROR(__xludf.DUMMYFUNCTION("IMPORTRANGE(""https://docs.google.com/spreadsheets/d/11923uPwbBZFjjGgGUA6NLw09EwE0CqkOc4q9oUmW1yo/edit?usp=sharing"",""พิจิตร!J141"")"),0)</f>
        <v>0</v>
      </c>
      <c r="AR23" s="99">
        <f t="shared" si="19"/>
        <v>0</v>
      </c>
      <c r="AS23" s="55">
        <f t="shared" si="20"/>
        <v>0</v>
      </c>
      <c r="AT23" s="55">
        <f t="shared" ca="1" si="69"/>
        <v>0</v>
      </c>
      <c r="AU23" s="99">
        <f t="shared" si="21"/>
        <v>0</v>
      </c>
    </row>
    <row r="24" spans="1:47" ht="24" customHeight="1" x14ac:dyDescent="0.5">
      <c r="A24" s="52">
        <v>9</v>
      </c>
      <c r="B24" s="53" t="s">
        <v>39</v>
      </c>
      <c r="C24" s="54">
        <f t="shared" si="70"/>
        <v>348000</v>
      </c>
      <c r="D24" s="55">
        <v>264000</v>
      </c>
      <c r="E24" s="55">
        <f t="shared" si="67"/>
        <v>84000</v>
      </c>
      <c r="F24" s="55">
        <f ca="1">IFERROR(__xludf.DUMMYFUNCTION("IMPORTRANGE(""https://docs.google.com/spreadsheets/d/11923uPwbBZFjjGgGUA6NLw09EwE0CqkOc4q9oUmW1yo/edit?usp=sharing"",""พิษณุโลก!M71"")"),46511.55)</f>
        <v>46511.55</v>
      </c>
      <c r="G24" s="99">
        <f t="shared" ca="1" si="1"/>
        <v>13.365387931034483</v>
      </c>
      <c r="H24" s="55">
        <v>7500</v>
      </c>
      <c r="I24" s="55">
        <v>4</v>
      </c>
      <c r="J24" s="55">
        <f ca="1">IFERROR(__xludf.DUMMYFUNCTION("IMPORTRANGE(""https://docs.google.com/spreadsheets/d/11923uPwbBZFjjGgGUA6NLw09EwE0CqkOc4q9oUmW1yo/edit?usp=sharing"",""พิษณุโลก!J83"")"),0)</f>
        <v>0</v>
      </c>
      <c r="K24" s="99">
        <f t="shared" ca="1" si="3"/>
        <v>0</v>
      </c>
      <c r="L24" s="55">
        <f t="shared" ca="1" si="68"/>
        <v>0</v>
      </c>
      <c r="M24" s="55">
        <f ca="1">IFERROR(__xludf.DUMMYFUNCTION("IMPORTRANGE(""https://docs.google.com/spreadsheets/d/11923uPwbBZFjjGgGUA6NLw09EwE0CqkOc4q9oUmW1yo/edit?usp=sharing"",""กำแพงเพชร!J85"")"),0)</f>
        <v>0</v>
      </c>
      <c r="N24" s="55">
        <f ca="1">IFERROR(__xludf.DUMMYFUNCTION("IMPORTRANGE(""https://docs.google.com/spreadsheets/d/11923uPwbBZFjjGgGUA6NLw09EwE0CqkOc4q9oUmW1yo/edit?usp=sharing"",""กำแพงเพชร!J86"")"),0)</f>
        <v>0</v>
      </c>
      <c r="O24" s="55">
        <v>42000</v>
      </c>
      <c r="P24" s="55">
        <v>3</v>
      </c>
      <c r="Q24" s="55">
        <f ca="1">IFERROR(__xludf.DUMMYFUNCTION("IMPORTRANGE(""https://docs.google.com/spreadsheets/d/11923uPwbBZFjjGgGUA6NLw09EwE0CqkOc4q9oUmW1yo/edit?usp=sharing"",""พิษณุโลก!J98"")"),0)</f>
        <v>0</v>
      </c>
      <c r="R24" s="99">
        <f t="shared" ca="1" si="5"/>
        <v>0</v>
      </c>
      <c r="S24" s="55">
        <v>0</v>
      </c>
      <c r="T24" s="55">
        <v>0</v>
      </c>
      <c r="U24" s="55">
        <f ca="1">IFERROR(__xludf.DUMMYFUNCTION("IMPORTRANGE(""https://docs.google.com/spreadsheets/d/11923uPwbBZFjjGgGUA6NLw09EwE0CqkOc4q9oUmW1yo/edit?usp=sharing"",""พิษณุโลก!J110"")"),0)</f>
        <v>0</v>
      </c>
      <c r="V24" s="99">
        <f t="shared" si="7"/>
        <v>0</v>
      </c>
      <c r="W24" s="55">
        <v>0</v>
      </c>
      <c r="X24" s="55">
        <f ca="1">IFERROR(__xludf.DUMMYFUNCTION("IMPORTRANGE(""https://docs.google.com/spreadsheets/d/11923uPwbBZFjjGgGUA6NLw09EwE0CqkOc4q9oUmW1yo/edit?usp=sharing"",""พิษณุโลก!J111"")"),0)</f>
        <v>0</v>
      </c>
      <c r="Y24" s="99">
        <f t="shared" si="9"/>
        <v>0</v>
      </c>
      <c r="Z24" s="55">
        <v>34500</v>
      </c>
      <c r="AA24" s="55">
        <v>50000</v>
      </c>
      <c r="AB24" s="55">
        <f ca="1">IFERROR(__xludf.DUMMYFUNCTION("IMPORTRANGE(""https://docs.google.com/spreadsheets/d/11923uPwbBZFjjGgGUA6NLw09EwE0CqkOc4q9oUmW1yo/edit?usp=sharing"",""พิษณุโลก!J124"")"),0)</f>
        <v>0</v>
      </c>
      <c r="AC24" s="99">
        <f t="shared" ca="1" si="11"/>
        <v>0</v>
      </c>
      <c r="AD24" s="55">
        <f ca="1">IFERROR(__xludf.DUMMYFUNCTION("IMPORTRANGE(""https://docs.google.com/spreadsheets/d/11923uPwbBZFjjGgGUA6NLw09EwE0CqkOc4q9oUmW1yo/edit?usp=sharing"",""พิษณุโลก!J125"")"),0)</f>
        <v>0</v>
      </c>
      <c r="AE24" s="99">
        <f t="shared" ca="1" si="12"/>
        <v>0</v>
      </c>
      <c r="AF24" s="55">
        <v>15</v>
      </c>
      <c r="AG24" s="55">
        <f ca="1">IFERROR(__xludf.DUMMYFUNCTION("IMPORTRANGE(""https://docs.google.com/spreadsheets/d/11923uPwbBZFjjGgGUA6NLw09EwE0CqkOc4q9oUmW1yo/edit?usp=sharing"",""พิษณุโลก!J126"")"),0)</f>
        <v>0</v>
      </c>
      <c r="AH24" s="99">
        <f t="shared" ca="1" si="14"/>
        <v>0</v>
      </c>
      <c r="AI24" s="55">
        <v>0</v>
      </c>
      <c r="AJ24" s="55">
        <v>0</v>
      </c>
      <c r="AK24" s="55">
        <f ca="1">IFERROR(__xludf.DUMMYFUNCTION("IMPORTRANGE(""https://docs.google.com/spreadsheets/d/11923uPwbBZFjjGgGUA6NLw09EwE0CqkOc4q9oUmW1yo/edit?usp=sharing"",""พิษณุโลก!J138"")"),0)</f>
        <v>0</v>
      </c>
      <c r="AL24" s="99">
        <f t="shared" si="16"/>
        <v>0</v>
      </c>
      <c r="AM24" s="55">
        <v>0</v>
      </c>
      <c r="AN24" s="55">
        <v>0</v>
      </c>
      <c r="AO24" s="55">
        <f ca="1">IFERROR(__xludf.DUMMYFUNCTION("IMPORTRANGE(""https://docs.google.com/spreadsheets/d/11923uPwbBZFjjGgGUA6NLw09EwE0CqkOc4q9oUmW1yo/edit?usp=sharing"",""พิษณุโลก!J140"")"),0)</f>
        <v>0</v>
      </c>
      <c r="AP24" s="99">
        <f t="shared" si="18"/>
        <v>0</v>
      </c>
      <c r="AQ24" s="55">
        <f ca="1">IFERROR(__xludf.DUMMYFUNCTION("IMPORTRANGE(""https://docs.google.com/spreadsheets/d/11923uPwbBZFjjGgGUA6NLw09EwE0CqkOc4q9oUmW1yo/edit?usp=sharing"",""พิษณุโลก!J141"")"),0)</f>
        <v>0</v>
      </c>
      <c r="AR24" s="99">
        <f t="shared" si="19"/>
        <v>0</v>
      </c>
      <c r="AS24" s="55">
        <f t="shared" si="20"/>
        <v>15</v>
      </c>
      <c r="AT24" s="55">
        <f t="shared" ca="1" si="69"/>
        <v>0</v>
      </c>
      <c r="AU24" s="99">
        <f t="shared" ca="1" si="21"/>
        <v>0</v>
      </c>
    </row>
    <row r="25" spans="1:47" ht="24" customHeight="1" x14ac:dyDescent="0.5">
      <c r="A25" s="52">
        <v>10</v>
      </c>
      <c r="B25" s="53" t="s">
        <v>40</v>
      </c>
      <c r="C25" s="54">
        <f t="shared" si="70"/>
        <v>254700</v>
      </c>
      <c r="D25" s="55">
        <v>132000</v>
      </c>
      <c r="E25" s="55">
        <f t="shared" si="67"/>
        <v>122700</v>
      </c>
      <c r="F25" s="55">
        <f ca="1">IFERROR(__xludf.DUMMYFUNCTION("IMPORTRANGE(""https://docs.google.com/spreadsheets/d/11923uPwbBZFjjGgGUA6NLw09EwE0CqkOc4q9oUmW1yo/edit?usp=sharing"",""เพชรบูรณ์!M71"")"),37070)</f>
        <v>37070</v>
      </c>
      <c r="G25" s="99">
        <f t="shared" ca="1" si="1"/>
        <v>14.554377699254024</v>
      </c>
      <c r="H25" s="55">
        <v>7500</v>
      </c>
      <c r="I25" s="55">
        <v>4</v>
      </c>
      <c r="J25" s="55">
        <f ca="1">IFERROR(__xludf.DUMMYFUNCTION("IMPORTRANGE(""https://docs.google.com/spreadsheets/d/11923uPwbBZFjjGgGUA6NLw09EwE0CqkOc4q9oUmW1yo/edit?usp=sharing"",""เพชรบูรณ์!J83"")"),0)</f>
        <v>0</v>
      </c>
      <c r="K25" s="99">
        <f t="shared" ca="1" si="3"/>
        <v>0</v>
      </c>
      <c r="L25" s="55">
        <f t="shared" ca="1" si="68"/>
        <v>0</v>
      </c>
      <c r="M25" s="55">
        <f ca="1">IFERROR(__xludf.DUMMYFUNCTION("IMPORTRANGE(""https://docs.google.com/spreadsheets/d/11923uPwbBZFjjGgGUA6NLw09EwE0CqkOc4q9oUmW1yo/edit?usp=sharing"",""กำแพงเพชร!J85"")"),0)</f>
        <v>0</v>
      </c>
      <c r="N25" s="55">
        <f ca="1">IFERROR(__xludf.DUMMYFUNCTION("IMPORTRANGE(""https://docs.google.com/spreadsheets/d/11923uPwbBZFjjGgGUA6NLw09EwE0CqkOc4q9oUmW1yo/edit?usp=sharing"",""กำแพงเพชร!J86"")"),0)</f>
        <v>0</v>
      </c>
      <c r="O25" s="55">
        <v>28000</v>
      </c>
      <c r="P25" s="55">
        <v>2</v>
      </c>
      <c r="Q25" s="55">
        <f ca="1">IFERROR(__xludf.DUMMYFUNCTION("IMPORTRANGE(""https://docs.google.com/spreadsheets/d/11923uPwbBZFjjGgGUA6NLw09EwE0CqkOc4q9oUmW1yo/edit?usp=sharing"",""เพชรบูรณ์!J98"")"),0)</f>
        <v>0</v>
      </c>
      <c r="R25" s="99">
        <f t="shared" ca="1" si="5"/>
        <v>0</v>
      </c>
      <c r="S25" s="55">
        <v>30000</v>
      </c>
      <c r="T25" s="55">
        <v>2</v>
      </c>
      <c r="U25" s="55">
        <f ca="1">IFERROR(__xludf.DUMMYFUNCTION("IMPORTRANGE(""https://docs.google.com/spreadsheets/d/11923uPwbBZFjjGgGUA6NLw09EwE0CqkOc4q9oUmW1yo/edit?usp=sharing"",""เพชรบูรณ์!J110"")"),0)</f>
        <v>0</v>
      </c>
      <c r="V25" s="99">
        <f t="shared" ca="1" si="7"/>
        <v>0</v>
      </c>
      <c r="W25" s="55">
        <v>2</v>
      </c>
      <c r="X25" s="55">
        <f ca="1">IFERROR(__xludf.DUMMYFUNCTION("IMPORTRANGE(""https://docs.google.com/spreadsheets/d/11923uPwbBZFjjGgGUA6NLw09EwE0CqkOc4q9oUmW1yo/edit?usp=sharing"",""เพชรบูรณ์!J111"")"),0)</f>
        <v>0</v>
      </c>
      <c r="Y25" s="99">
        <f t="shared" ca="1" si="9"/>
        <v>0</v>
      </c>
      <c r="Z25" s="55">
        <v>57200</v>
      </c>
      <c r="AA25" s="55">
        <v>128000</v>
      </c>
      <c r="AB25" s="55">
        <f ca="1">IFERROR(__xludf.DUMMYFUNCTION("IMPORTRANGE(""https://docs.google.com/spreadsheets/d/11923uPwbBZFjjGgGUA6NLw09EwE0CqkOc4q9oUmW1yo/edit?usp=sharing"",""เพชรบูรณ์!J124"")"),128000)</f>
        <v>128000</v>
      </c>
      <c r="AC25" s="99">
        <f t="shared" ca="1" si="11"/>
        <v>100</v>
      </c>
      <c r="AD25" s="55">
        <f ca="1">IFERROR(__xludf.DUMMYFUNCTION("IMPORTRANGE(""https://docs.google.com/spreadsheets/d/11923uPwbBZFjjGgGUA6NLw09EwE0CqkOc4q9oUmW1yo/edit?usp=sharing"",""เพชรบูรณ์!J125"")"),0)</f>
        <v>0</v>
      </c>
      <c r="AE25" s="99">
        <f t="shared" ca="1" si="12"/>
        <v>0</v>
      </c>
      <c r="AF25" s="55">
        <v>15</v>
      </c>
      <c r="AG25" s="55">
        <f ca="1">IFERROR(__xludf.DUMMYFUNCTION("IMPORTRANGE(""https://docs.google.com/spreadsheets/d/11923uPwbBZFjjGgGUA6NLw09EwE0CqkOc4q9oUmW1yo/edit?usp=sharing"",""เพชรบูรณ์!J126"")"),15)</f>
        <v>15</v>
      </c>
      <c r="AH25" s="99">
        <f t="shared" ca="1" si="14"/>
        <v>100</v>
      </c>
      <c r="AI25" s="55">
        <v>0</v>
      </c>
      <c r="AJ25" s="55">
        <v>0</v>
      </c>
      <c r="AK25" s="55">
        <f ca="1">IFERROR(__xludf.DUMMYFUNCTION("IMPORTRANGE(""https://docs.google.com/spreadsheets/d/11923uPwbBZFjjGgGUA6NLw09EwE0CqkOc4q9oUmW1yo/edit?usp=sharing"",""เพชรบูรณ์!J138"")"),0)</f>
        <v>0</v>
      </c>
      <c r="AL25" s="99">
        <f t="shared" si="16"/>
        <v>0</v>
      </c>
      <c r="AM25" s="55">
        <v>0</v>
      </c>
      <c r="AN25" s="55">
        <v>0</v>
      </c>
      <c r="AO25" s="55">
        <f ca="1">IFERROR(__xludf.DUMMYFUNCTION("IMPORTRANGE(""https://docs.google.com/spreadsheets/d/11923uPwbBZFjjGgGUA6NLw09EwE0CqkOc4q9oUmW1yo/edit?usp=sharing"",""เพชรบูรณ์!J140"")"),0)</f>
        <v>0</v>
      </c>
      <c r="AP25" s="99">
        <f t="shared" si="18"/>
        <v>0</v>
      </c>
      <c r="AQ25" s="55">
        <f ca="1">IFERROR(__xludf.DUMMYFUNCTION("IMPORTRANGE(""https://docs.google.com/spreadsheets/d/11923uPwbBZFjjGgGUA6NLw09EwE0CqkOc4q9oUmW1yo/edit?usp=sharing"",""เพชรบูรณ์!J141"")"),0)</f>
        <v>0</v>
      </c>
      <c r="AR25" s="99">
        <f t="shared" si="19"/>
        <v>0</v>
      </c>
      <c r="AS25" s="55">
        <f t="shared" si="20"/>
        <v>15</v>
      </c>
      <c r="AT25" s="55">
        <f t="shared" ca="1" si="69"/>
        <v>15</v>
      </c>
      <c r="AU25" s="99">
        <f t="shared" ca="1" si="21"/>
        <v>100</v>
      </c>
    </row>
    <row r="26" spans="1:47" ht="24" customHeight="1" x14ac:dyDescent="0.5">
      <c r="A26" s="52">
        <v>11</v>
      </c>
      <c r="B26" s="53" t="s">
        <v>41</v>
      </c>
      <c r="C26" s="54">
        <f t="shared" si="70"/>
        <v>69000</v>
      </c>
      <c r="D26" s="55">
        <v>0</v>
      </c>
      <c r="E26" s="55">
        <f t="shared" si="67"/>
        <v>69000</v>
      </c>
      <c r="F26" s="55">
        <f ca="1">IFERROR(__xludf.DUMMYFUNCTION("IMPORTRANGE(""https://docs.google.com/spreadsheets/d/11923uPwbBZFjjGgGUA6NLw09EwE0CqkOc4q9oUmW1yo/edit?usp=sharing"",""แพร่!M71"")"),0)</f>
        <v>0</v>
      </c>
      <c r="G26" s="99">
        <f t="shared" ca="1" si="1"/>
        <v>0</v>
      </c>
      <c r="H26" s="55">
        <v>7500</v>
      </c>
      <c r="I26" s="55">
        <v>4</v>
      </c>
      <c r="J26" s="55">
        <f ca="1">IFERROR(__xludf.DUMMYFUNCTION("IMPORTRANGE(""https://docs.google.com/spreadsheets/d/11923uPwbBZFjjGgGUA6NLw09EwE0CqkOc4q9oUmW1yo/edit?usp=sharing"",""แพร่!J83"")"),0)</f>
        <v>0</v>
      </c>
      <c r="K26" s="99">
        <f t="shared" ca="1" si="3"/>
        <v>0</v>
      </c>
      <c r="L26" s="55">
        <f t="shared" ca="1" si="68"/>
        <v>0</v>
      </c>
      <c r="M26" s="55">
        <f ca="1">IFERROR(__xludf.DUMMYFUNCTION("IMPORTRANGE(""https://docs.google.com/spreadsheets/d/11923uPwbBZFjjGgGUA6NLw09EwE0CqkOc4q9oUmW1yo/edit?usp=sharing"",""กำแพงเพชร!J85"")"),0)</f>
        <v>0</v>
      </c>
      <c r="N26" s="55">
        <f ca="1">IFERROR(__xludf.DUMMYFUNCTION("IMPORTRANGE(""https://docs.google.com/spreadsheets/d/11923uPwbBZFjjGgGUA6NLw09EwE0CqkOc4q9oUmW1yo/edit?usp=sharing"",""กำแพงเพชร!J86"")"),0)</f>
        <v>0</v>
      </c>
      <c r="O26" s="55">
        <v>42000</v>
      </c>
      <c r="P26" s="55">
        <v>3</v>
      </c>
      <c r="Q26" s="55">
        <f ca="1">IFERROR(__xludf.DUMMYFUNCTION("IMPORTRANGE(""https://docs.google.com/spreadsheets/d/11923uPwbBZFjjGgGUA6NLw09EwE0CqkOc4q9oUmW1yo/edit?usp=sharing"",""แพร่!J98"")"),0)</f>
        <v>0</v>
      </c>
      <c r="R26" s="99">
        <f t="shared" ca="1" si="5"/>
        <v>0</v>
      </c>
      <c r="S26" s="55">
        <v>0</v>
      </c>
      <c r="T26" s="55">
        <v>0</v>
      </c>
      <c r="U26" s="55">
        <f ca="1">IFERROR(__xludf.DUMMYFUNCTION("IMPORTRANGE(""https://docs.google.com/spreadsheets/d/11923uPwbBZFjjGgGUA6NLw09EwE0CqkOc4q9oUmW1yo/edit?usp=sharing"",""แพร่!J110"")"),0)</f>
        <v>0</v>
      </c>
      <c r="V26" s="99">
        <f t="shared" si="7"/>
        <v>0</v>
      </c>
      <c r="W26" s="55">
        <v>0</v>
      </c>
      <c r="X26" s="55">
        <f ca="1">IFERROR(__xludf.DUMMYFUNCTION("IMPORTRANGE(""https://docs.google.com/spreadsheets/d/11923uPwbBZFjjGgGUA6NLw09EwE0CqkOc4q9oUmW1yo/edit?usp=sharing"",""แพร่!J111"")"),0)</f>
        <v>0</v>
      </c>
      <c r="Y26" s="99">
        <f t="shared" si="9"/>
        <v>0</v>
      </c>
      <c r="Z26" s="55">
        <v>19500</v>
      </c>
      <c r="AA26" s="55">
        <v>50000</v>
      </c>
      <c r="AB26" s="55">
        <f ca="1">IFERROR(__xludf.DUMMYFUNCTION("IMPORTRANGE(""https://docs.google.com/spreadsheets/d/11923uPwbBZFjjGgGUA6NLw09EwE0CqkOc4q9oUmW1yo/edit?usp=sharing"",""แพร่!J124"")"),0)</f>
        <v>0</v>
      </c>
      <c r="AC26" s="99">
        <f t="shared" ca="1" si="11"/>
        <v>0</v>
      </c>
      <c r="AD26" s="55">
        <f ca="1">IFERROR(__xludf.DUMMYFUNCTION("IMPORTRANGE(""https://docs.google.com/spreadsheets/d/11923uPwbBZFjjGgGUA6NLw09EwE0CqkOc4q9oUmW1yo/edit?usp=sharing"",""แพร่!J125"")"),0)</f>
        <v>0</v>
      </c>
      <c r="AE26" s="99">
        <f t="shared" ca="1" si="12"/>
        <v>0</v>
      </c>
      <c r="AF26" s="55">
        <v>0</v>
      </c>
      <c r="AG26" s="55">
        <f ca="1">IFERROR(__xludf.DUMMYFUNCTION("IMPORTRANGE(""https://docs.google.com/spreadsheets/d/11923uPwbBZFjjGgGUA6NLw09EwE0CqkOc4q9oUmW1yo/edit?usp=sharing"",""แพร่!J126"")"),0)</f>
        <v>0</v>
      </c>
      <c r="AH26" s="99">
        <f t="shared" si="14"/>
        <v>0</v>
      </c>
      <c r="AI26" s="55">
        <v>0</v>
      </c>
      <c r="AJ26" s="55">
        <v>0</v>
      </c>
      <c r="AK26" s="55">
        <f ca="1">IFERROR(__xludf.DUMMYFUNCTION("IMPORTRANGE(""https://docs.google.com/spreadsheets/d/11923uPwbBZFjjGgGUA6NLw09EwE0CqkOc4q9oUmW1yo/edit?usp=sharing"",""แพร่!J138"")"),0)</f>
        <v>0</v>
      </c>
      <c r="AL26" s="99">
        <f t="shared" si="16"/>
        <v>0</v>
      </c>
      <c r="AM26" s="55">
        <v>0</v>
      </c>
      <c r="AN26" s="55">
        <v>0</v>
      </c>
      <c r="AO26" s="55">
        <f ca="1">IFERROR(__xludf.DUMMYFUNCTION("IMPORTRANGE(""https://docs.google.com/spreadsheets/d/11923uPwbBZFjjGgGUA6NLw09EwE0CqkOc4q9oUmW1yo/edit?usp=sharing"",""แพร่!J140"")"),0)</f>
        <v>0</v>
      </c>
      <c r="AP26" s="99">
        <f t="shared" si="18"/>
        <v>0</v>
      </c>
      <c r="AQ26" s="55">
        <f ca="1">IFERROR(__xludf.DUMMYFUNCTION("IMPORTRANGE(""https://docs.google.com/spreadsheets/d/11923uPwbBZFjjGgGUA6NLw09EwE0CqkOc4q9oUmW1yo/edit?usp=sharing"",""แพร่!J141"")"),0)</f>
        <v>0</v>
      </c>
      <c r="AR26" s="99">
        <f t="shared" si="19"/>
        <v>0</v>
      </c>
      <c r="AS26" s="55">
        <f t="shared" si="20"/>
        <v>0</v>
      </c>
      <c r="AT26" s="55">
        <f t="shared" ca="1" si="69"/>
        <v>0</v>
      </c>
      <c r="AU26" s="99">
        <f t="shared" si="21"/>
        <v>0</v>
      </c>
    </row>
    <row r="27" spans="1:47" ht="24" customHeight="1" x14ac:dyDescent="0.5">
      <c r="A27" s="52">
        <v>12</v>
      </c>
      <c r="B27" s="53" t="s">
        <v>42</v>
      </c>
      <c r="C27" s="54">
        <f t="shared" si="70"/>
        <v>69500</v>
      </c>
      <c r="D27" s="55">
        <v>0</v>
      </c>
      <c r="E27" s="55">
        <f t="shared" si="67"/>
        <v>69500</v>
      </c>
      <c r="F27" s="55">
        <f ca="1">IFERROR(__xludf.DUMMYFUNCTION("IMPORTRANGE(""https://docs.google.com/spreadsheets/d/11923uPwbBZFjjGgGUA6NLw09EwE0CqkOc4q9oUmW1yo/edit?usp=sharing"",""แม่ฮ่องสอน!M71"")"),0)</f>
        <v>0</v>
      </c>
      <c r="G27" s="99">
        <f t="shared" ca="1" si="1"/>
        <v>0</v>
      </c>
      <c r="H27" s="55">
        <v>7500</v>
      </c>
      <c r="I27" s="55">
        <v>4</v>
      </c>
      <c r="J27" s="55">
        <f ca="1">IFERROR(__xludf.DUMMYFUNCTION("IMPORTRANGE(""https://docs.google.com/spreadsheets/d/11923uPwbBZFjjGgGUA6NLw09EwE0CqkOc4q9oUmW1yo/edit?usp=sharing"",""แม่ฮ่องสอน!J83"")"),0)</f>
        <v>0</v>
      </c>
      <c r="K27" s="99">
        <f t="shared" ca="1" si="3"/>
        <v>0</v>
      </c>
      <c r="L27" s="55">
        <f t="shared" ca="1" si="68"/>
        <v>0</v>
      </c>
      <c r="M27" s="55">
        <f ca="1">IFERROR(__xludf.DUMMYFUNCTION("IMPORTRANGE(""https://docs.google.com/spreadsheets/d/11923uPwbBZFjjGgGUA6NLw09EwE0CqkOc4q9oUmW1yo/edit?usp=sharing"",""กำแพงเพชร!J85"")"),0)</f>
        <v>0</v>
      </c>
      <c r="N27" s="55">
        <f ca="1">IFERROR(__xludf.DUMMYFUNCTION("IMPORTRANGE(""https://docs.google.com/spreadsheets/d/11923uPwbBZFjjGgGUA6NLw09EwE0CqkOc4q9oUmW1yo/edit?usp=sharing"",""กำแพงเพชร!J86"")"),0)</f>
        <v>0</v>
      </c>
      <c r="O27" s="55">
        <v>28000</v>
      </c>
      <c r="P27" s="55">
        <v>2</v>
      </c>
      <c r="Q27" s="55">
        <f ca="1">IFERROR(__xludf.DUMMYFUNCTION("IMPORTRANGE(""https://docs.google.com/spreadsheets/d/11923uPwbBZFjjGgGUA6NLw09EwE0CqkOc4q9oUmW1yo/edit?usp=sharing"",""แม่ฮ่องสอน!J98"")"),0)</f>
        <v>0</v>
      </c>
      <c r="R27" s="99">
        <f t="shared" ca="1" si="5"/>
        <v>0</v>
      </c>
      <c r="S27" s="55">
        <v>0</v>
      </c>
      <c r="T27" s="55">
        <v>0</v>
      </c>
      <c r="U27" s="55">
        <f ca="1">IFERROR(__xludf.DUMMYFUNCTION("IMPORTRANGE(""https://docs.google.com/spreadsheets/d/11923uPwbBZFjjGgGUA6NLw09EwE0CqkOc4q9oUmW1yo/edit?usp=sharing"",""แม่ฮ่องสอน!J110"")"),0)</f>
        <v>0</v>
      </c>
      <c r="V27" s="99">
        <f t="shared" si="7"/>
        <v>0</v>
      </c>
      <c r="W27" s="55">
        <v>0</v>
      </c>
      <c r="X27" s="55">
        <f ca="1">IFERROR(__xludf.DUMMYFUNCTION("IMPORTRANGE(""https://docs.google.com/spreadsheets/d/11923uPwbBZFjjGgGUA6NLw09EwE0CqkOc4q9oUmW1yo/edit?usp=sharing"",""แม่ฮ่องสอน!J111"")"),0)</f>
        <v>0</v>
      </c>
      <c r="Y27" s="99">
        <f t="shared" si="9"/>
        <v>0</v>
      </c>
      <c r="Z27" s="55">
        <v>34000</v>
      </c>
      <c r="AA27" s="55">
        <v>100000</v>
      </c>
      <c r="AB27" s="55">
        <f ca="1">IFERROR(__xludf.DUMMYFUNCTION("IMPORTRANGE(""https://docs.google.com/spreadsheets/d/11923uPwbBZFjjGgGUA6NLw09EwE0CqkOc4q9oUmW1yo/edit?usp=sharing"",""แม่ฮ่องสอน!J124"")"),0)</f>
        <v>0</v>
      </c>
      <c r="AC27" s="99">
        <f t="shared" ca="1" si="11"/>
        <v>0</v>
      </c>
      <c r="AD27" s="55">
        <f ca="1">IFERROR(__xludf.DUMMYFUNCTION("IMPORTRANGE(""https://docs.google.com/spreadsheets/d/11923uPwbBZFjjGgGUA6NLw09EwE0CqkOc4q9oUmW1yo/edit?usp=sharing"",""แม่ฮ่องสอน!J125"")"),0)</f>
        <v>0</v>
      </c>
      <c r="AE27" s="99">
        <f t="shared" ca="1" si="12"/>
        <v>0</v>
      </c>
      <c r="AF27" s="55">
        <v>0</v>
      </c>
      <c r="AG27" s="55">
        <f ca="1">IFERROR(__xludf.DUMMYFUNCTION("IMPORTRANGE(""https://docs.google.com/spreadsheets/d/11923uPwbBZFjjGgGUA6NLw09EwE0CqkOc4q9oUmW1yo/edit?usp=sharing"",""แม่ฮ่องสอน!J126"")"),0)</f>
        <v>0</v>
      </c>
      <c r="AH27" s="99">
        <f t="shared" si="14"/>
        <v>0</v>
      </c>
      <c r="AI27" s="55">
        <v>0</v>
      </c>
      <c r="AJ27" s="55">
        <v>0</v>
      </c>
      <c r="AK27" s="55">
        <f ca="1">IFERROR(__xludf.DUMMYFUNCTION("IMPORTRANGE(""https://docs.google.com/spreadsheets/d/11923uPwbBZFjjGgGUA6NLw09EwE0CqkOc4q9oUmW1yo/edit?usp=sharing"",""แม่ฮ่องสอน!J138"")"),0)</f>
        <v>0</v>
      </c>
      <c r="AL27" s="99">
        <f t="shared" si="16"/>
        <v>0</v>
      </c>
      <c r="AM27" s="55">
        <v>0</v>
      </c>
      <c r="AN27" s="55">
        <v>0</v>
      </c>
      <c r="AO27" s="55">
        <f ca="1">IFERROR(__xludf.DUMMYFUNCTION("IMPORTRANGE(""https://docs.google.com/spreadsheets/d/11923uPwbBZFjjGgGUA6NLw09EwE0CqkOc4q9oUmW1yo/edit?usp=sharing"",""แม่ฮ่องสอน!J140"")"),0)</f>
        <v>0</v>
      </c>
      <c r="AP27" s="99">
        <f t="shared" si="18"/>
        <v>0</v>
      </c>
      <c r="AQ27" s="55">
        <f ca="1">IFERROR(__xludf.DUMMYFUNCTION("IMPORTRANGE(""https://docs.google.com/spreadsheets/d/11923uPwbBZFjjGgGUA6NLw09EwE0CqkOc4q9oUmW1yo/edit?usp=sharing"",""แม่ฮ่องสอน!J141"")"),0)</f>
        <v>0</v>
      </c>
      <c r="AR27" s="99">
        <f t="shared" si="19"/>
        <v>0</v>
      </c>
      <c r="AS27" s="55">
        <f t="shared" si="20"/>
        <v>0</v>
      </c>
      <c r="AT27" s="55">
        <f t="shared" ca="1" si="69"/>
        <v>0</v>
      </c>
      <c r="AU27" s="99">
        <f t="shared" si="21"/>
        <v>0</v>
      </c>
    </row>
    <row r="28" spans="1:47" ht="24" customHeight="1" x14ac:dyDescent="0.5">
      <c r="A28" s="52">
        <v>13</v>
      </c>
      <c r="B28" s="53" t="s">
        <v>43</v>
      </c>
      <c r="C28" s="54">
        <f t="shared" si="70"/>
        <v>69000</v>
      </c>
      <c r="D28" s="55">
        <v>0</v>
      </c>
      <c r="E28" s="55">
        <f t="shared" si="67"/>
        <v>69000</v>
      </c>
      <c r="F28" s="55">
        <f ca="1">IFERROR(__xludf.DUMMYFUNCTION("IMPORTRANGE(""https://docs.google.com/spreadsheets/d/11923uPwbBZFjjGgGUA6NLw09EwE0CqkOc4q9oUmW1yo/edit?usp=sharing"",""ลำปาง!M71"")"),0)</f>
        <v>0</v>
      </c>
      <c r="G28" s="99">
        <f t="shared" ca="1" si="1"/>
        <v>0</v>
      </c>
      <c r="H28" s="55">
        <v>7500</v>
      </c>
      <c r="I28" s="55">
        <v>4</v>
      </c>
      <c r="J28" s="55">
        <f ca="1">IFERROR(__xludf.DUMMYFUNCTION("IMPORTRANGE(""https://docs.google.com/spreadsheets/d/11923uPwbBZFjjGgGUA6NLw09EwE0CqkOc4q9oUmW1yo/edit?usp=sharing"",""ลำปาง!J83"")"),0)</f>
        <v>0</v>
      </c>
      <c r="K28" s="99">
        <f t="shared" ca="1" si="3"/>
        <v>0</v>
      </c>
      <c r="L28" s="55">
        <f t="shared" ca="1" si="68"/>
        <v>0</v>
      </c>
      <c r="M28" s="55">
        <f ca="1">IFERROR(__xludf.DUMMYFUNCTION("IMPORTRANGE(""https://docs.google.com/spreadsheets/d/11923uPwbBZFjjGgGUA6NLw09EwE0CqkOc4q9oUmW1yo/edit?usp=sharing"",""กำแพงเพชร!J85"")"),0)</f>
        <v>0</v>
      </c>
      <c r="N28" s="55">
        <f ca="1">IFERROR(__xludf.DUMMYFUNCTION("IMPORTRANGE(""https://docs.google.com/spreadsheets/d/11923uPwbBZFjjGgGUA6NLw09EwE0CqkOc4q9oUmW1yo/edit?usp=sharing"",""กำแพงเพชร!J86"")"),0)</f>
        <v>0</v>
      </c>
      <c r="O28" s="55">
        <v>42000</v>
      </c>
      <c r="P28" s="55">
        <v>3</v>
      </c>
      <c r="Q28" s="55">
        <f ca="1">IFERROR(__xludf.DUMMYFUNCTION("IMPORTRANGE(""https://docs.google.com/spreadsheets/d/11923uPwbBZFjjGgGUA6NLw09EwE0CqkOc4q9oUmW1yo/edit?usp=sharing"",""ลำปาง!J98"")"),0)</f>
        <v>0</v>
      </c>
      <c r="R28" s="99">
        <f t="shared" ca="1" si="5"/>
        <v>0</v>
      </c>
      <c r="S28" s="55">
        <v>0</v>
      </c>
      <c r="T28" s="55">
        <v>0</v>
      </c>
      <c r="U28" s="55">
        <f ca="1">IFERROR(__xludf.DUMMYFUNCTION("IMPORTRANGE(""https://docs.google.com/spreadsheets/d/11923uPwbBZFjjGgGUA6NLw09EwE0CqkOc4q9oUmW1yo/edit?usp=sharing"",""ลำปาง!J110"")"),0)</f>
        <v>0</v>
      </c>
      <c r="V28" s="99">
        <f t="shared" si="7"/>
        <v>0</v>
      </c>
      <c r="W28" s="55">
        <v>0</v>
      </c>
      <c r="X28" s="55">
        <f ca="1">IFERROR(__xludf.DUMMYFUNCTION("IMPORTRANGE(""https://docs.google.com/spreadsheets/d/11923uPwbBZFjjGgGUA6NLw09EwE0CqkOc4q9oUmW1yo/edit?usp=sharing"",""ลำปาง!J111"")"),0)</f>
        <v>0</v>
      </c>
      <c r="Y28" s="99">
        <f t="shared" si="9"/>
        <v>0</v>
      </c>
      <c r="Z28" s="55">
        <v>19500</v>
      </c>
      <c r="AA28" s="55">
        <v>50000</v>
      </c>
      <c r="AB28" s="55">
        <f ca="1">IFERROR(__xludf.DUMMYFUNCTION("IMPORTRANGE(""https://docs.google.com/spreadsheets/d/11923uPwbBZFjjGgGUA6NLw09EwE0CqkOc4q9oUmW1yo/edit?usp=sharing"",""ลำปาง!J124"")"),0)</f>
        <v>0</v>
      </c>
      <c r="AC28" s="99">
        <f t="shared" ca="1" si="11"/>
        <v>0</v>
      </c>
      <c r="AD28" s="55">
        <f ca="1">IFERROR(__xludf.DUMMYFUNCTION("IMPORTRANGE(""https://docs.google.com/spreadsheets/d/11923uPwbBZFjjGgGUA6NLw09EwE0CqkOc4q9oUmW1yo/edit?usp=sharing"",""ลำปาง!J125"")"),0)</f>
        <v>0</v>
      </c>
      <c r="AE28" s="99">
        <f t="shared" ca="1" si="12"/>
        <v>0</v>
      </c>
      <c r="AF28" s="55">
        <v>0</v>
      </c>
      <c r="AG28" s="55">
        <f ca="1">IFERROR(__xludf.DUMMYFUNCTION("IMPORTRANGE(""https://docs.google.com/spreadsheets/d/11923uPwbBZFjjGgGUA6NLw09EwE0CqkOc4q9oUmW1yo/edit?usp=sharing"",""ลำปาง!J126"")"),0)</f>
        <v>0</v>
      </c>
      <c r="AH28" s="99">
        <f t="shared" si="14"/>
        <v>0</v>
      </c>
      <c r="AI28" s="55">
        <v>0</v>
      </c>
      <c r="AJ28" s="55">
        <v>0</v>
      </c>
      <c r="AK28" s="55">
        <f ca="1">IFERROR(__xludf.DUMMYFUNCTION("IMPORTRANGE(""https://docs.google.com/spreadsheets/d/11923uPwbBZFjjGgGUA6NLw09EwE0CqkOc4q9oUmW1yo/edit?usp=sharing"",""ลำปาง!J138"")"),0)</f>
        <v>0</v>
      </c>
      <c r="AL28" s="99">
        <f t="shared" si="16"/>
        <v>0</v>
      </c>
      <c r="AM28" s="55">
        <v>0</v>
      </c>
      <c r="AN28" s="55">
        <v>0</v>
      </c>
      <c r="AO28" s="55">
        <f ca="1">IFERROR(__xludf.DUMMYFUNCTION("IMPORTRANGE(""https://docs.google.com/spreadsheets/d/11923uPwbBZFjjGgGUA6NLw09EwE0CqkOc4q9oUmW1yo/edit?usp=sharing"",""ลำปาง!J140"")"),0)</f>
        <v>0</v>
      </c>
      <c r="AP28" s="99">
        <f t="shared" si="18"/>
        <v>0</v>
      </c>
      <c r="AQ28" s="55">
        <f ca="1">IFERROR(__xludf.DUMMYFUNCTION("IMPORTRANGE(""https://docs.google.com/spreadsheets/d/11923uPwbBZFjjGgGUA6NLw09EwE0CqkOc4q9oUmW1yo/edit?usp=sharing"",""ลำปาง!J141"")"),0)</f>
        <v>0</v>
      </c>
      <c r="AR28" s="99">
        <f t="shared" si="19"/>
        <v>0</v>
      </c>
      <c r="AS28" s="55">
        <f t="shared" si="20"/>
        <v>0</v>
      </c>
      <c r="AT28" s="55">
        <f t="shared" ca="1" si="69"/>
        <v>0</v>
      </c>
      <c r="AU28" s="99">
        <f t="shared" si="21"/>
        <v>0</v>
      </c>
    </row>
    <row r="29" spans="1:47" ht="24" customHeight="1" x14ac:dyDescent="0.5">
      <c r="A29" s="52">
        <v>14</v>
      </c>
      <c r="B29" s="53" t="s">
        <v>44</v>
      </c>
      <c r="C29" s="54">
        <f t="shared" si="70"/>
        <v>1114900</v>
      </c>
      <c r="D29" s="55">
        <v>264000</v>
      </c>
      <c r="E29" s="55">
        <f t="shared" si="67"/>
        <v>850900</v>
      </c>
      <c r="F29" s="55">
        <f ca="1">IFERROR(__xludf.DUMMYFUNCTION("IMPORTRANGE(""https://docs.google.com/spreadsheets/d/11923uPwbBZFjjGgGUA6NLw09EwE0CqkOc4q9oUmW1yo/edit?usp=sharing"",""ลำพูน!M71"")"),0)</f>
        <v>0</v>
      </c>
      <c r="G29" s="99">
        <f t="shared" ca="1" si="1"/>
        <v>0</v>
      </c>
      <c r="H29" s="55">
        <v>7500</v>
      </c>
      <c r="I29" s="55">
        <v>4</v>
      </c>
      <c r="J29" s="55">
        <f ca="1">IFERROR(__xludf.DUMMYFUNCTION("IMPORTRANGE(""https://docs.google.com/spreadsheets/d/11923uPwbBZFjjGgGUA6NLw09EwE0CqkOc4q9oUmW1yo/edit?usp=sharing"",""ลำพูน!J83"")"),0)</f>
        <v>0</v>
      </c>
      <c r="K29" s="99">
        <f t="shared" ca="1" si="3"/>
        <v>0</v>
      </c>
      <c r="L29" s="55">
        <f t="shared" ca="1" si="68"/>
        <v>0</v>
      </c>
      <c r="M29" s="55">
        <f ca="1">IFERROR(__xludf.DUMMYFUNCTION("IMPORTRANGE(""https://docs.google.com/spreadsheets/d/11923uPwbBZFjjGgGUA6NLw09EwE0CqkOc4q9oUmW1yo/edit?usp=sharing"",""กำแพงเพชร!J85"")"),0)</f>
        <v>0</v>
      </c>
      <c r="N29" s="55">
        <f ca="1">IFERROR(__xludf.DUMMYFUNCTION("IMPORTRANGE(""https://docs.google.com/spreadsheets/d/11923uPwbBZFjjGgGUA6NLw09EwE0CqkOc4q9oUmW1yo/edit?usp=sharing"",""กำแพงเพชร!J86"")"),0)</f>
        <v>0</v>
      </c>
      <c r="O29" s="55">
        <v>28000</v>
      </c>
      <c r="P29" s="55">
        <v>2</v>
      </c>
      <c r="Q29" s="55">
        <f ca="1">IFERROR(__xludf.DUMMYFUNCTION("IMPORTRANGE(""https://docs.google.com/spreadsheets/d/11923uPwbBZFjjGgGUA6NLw09EwE0CqkOc4q9oUmW1yo/edit?usp=sharing"",""ลำพูน!J98"")"),0)</f>
        <v>0</v>
      </c>
      <c r="R29" s="99">
        <f t="shared" ca="1" si="5"/>
        <v>0</v>
      </c>
      <c r="S29" s="55">
        <v>0</v>
      </c>
      <c r="T29" s="55">
        <v>0</v>
      </c>
      <c r="U29" s="55">
        <f ca="1">IFERROR(__xludf.DUMMYFUNCTION("IMPORTRANGE(""https://docs.google.com/spreadsheets/d/11923uPwbBZFjjGgGUA6NLw09EwE0CqkOc4q9oUmW1yo/edit?usp=sharing"",""ลำพูน!J110"")"),0)</f>
        <v>0</v>
      </c>
      <c r="V29" s="99">
        <f t="shared" si="7"/>
        <v>0</v>
      </c>
      <c r="W29" s="55">
        <v>0</v>
      </c>
      <c r="X29" s="55">
        <f ca="1">IFERROR(__xludf.DUMMYFUNCTION("IMPORTRANGE(""https://docs.google.com/spreadsheets/d/11923uPwbBZFjjGgGUA6NLw09EwE0CqkOc4q9oUmW1yo/edit?usp=sharing"",""ลำพูน!J111"")"),0)</f>
        <v>0</v>
      </c>
      <c r="Y29" s="99">
        <f t="shared" si="9"/>
        <v>0</v>
      </c>
      <c r="Z29" s="55">
        <v>34000</v>
      </c>
      <c r="AA29" s="55">
        <v>100000</v>
      </c>
      <c r="AB29" s="55">
        <f ca="1">IFERROR(__xludf.DUMMYFUNCTION("IMPORTRANGE(""https://docs.google.com/spreadsheets/d/11923uPwbBZFjjGgGUA6NLw09EwE0CqkOc4q9oUmW1yo/edit?usp=sharing"",""ลำพูน!J124"")"),0)</f>
        <v>0</v>
      </c>
      <c r="AC29" s="99">
        <f t="shared" ca="1" si="11"/>
        <v>0</v>
      </c>
      <c r="AD29" s="55">
        <f ca="1">IFERROR(__xludf.DUMMYFUNCTION("IMPORTRANGE(""https://docs.google.com/spreadsheets/d/11923uPwbBZFjjGgGUA6NLw09EwE0CqkOc4q9oUmW1yo/edit?usp=sharing"",""ลำพูน!J125"")"),0)</f>
        <v>0</v>
      </c>
      <c r="AE29" s="99">
        <f t="shared" ca="1" si="12"/>
        <v>0</v>
      </c>
      <c r="AF29" s="55">
        <v>0</v>
      </c>
      <c r="AG29" s="55">
        <f ca="1">IFERROR(__xludf.DUMMYFUNCTION("IMPORTRANGE(""https://docs.google.com/spreadsheets/d/11923uPwbBZFjjGgGUA6NLw09EwE0CqkOc4q9oUmW1yo/edit?usp=sharing"",""ลำพูน!J126"")"),0)</f>
        <v>0</v>
      </c>
      <c r="AH29" s="99">
        <f t="shared" si="14"/>
        <v>0</v>
      </c>
      <c r="AI29" s="55">
        <v>781400</v>
      </c>
      <c r="AJ29" s="55">
        <v>150</v>
      </c>
      <c r="AK29" s="55">
        <f ca="1">IFERROR(__xludf.DUMMYFUNCTION("IMPORTRANGE(""https://docs.google.com/spreadsheets/d/11923uPwbBZFjjGgGUA6NLw09EwE0CqkOc4q9oUmW1yo/edit?usp=sharing"",""ลำพูน!J138"")"),0)</f>
        <v>0</v>
      </c>
      <c r="AL29" s="99">
        <f t="shared" ca="1" si="16"/>
        <v>0</v>
      </c>
      <c r="AM29" s="55">
        <v>1</v>
      </c>
      <c r="AN29" s="55">
        <v>2</v>
      </c>
      <c r="AO29" s="55">
        <f ca="1">IFERROR(__xludf.DUMMYFUNCTION("IMPORTRANGE(""https://docs.google.com/spreadsheets/d/11923uPwbBZFjjGgGUA6NLw09EwE0CqkOc4q9oUmW1yo/edit?usp=sharing"",""ลำพูน!J140"")"),0)</f>
        <v>0</v>
      </c>
      <c r="AP29" s="99">
        <f t="shared" ca="1" si="18"/>
        <v>0</v>
      </c>
      <c r="AQ29" s="55">
        <f ca="1">IFERROR(__xludf.DUMMYFUNCTION("IMPORTRANGE(""https://docs.google.com/spreadsheets/d/11923uPwbBZFjjGgGUA6NLw09EwE0CqkOc4q9oUmW1yo/edit?usp=sharing"",""ลำพูน!J141"")"),0)</f>
        <v>0</v>
      </c>
      <c r="AR29" s="99">
        <f t="shared" ca="1" si="19"/>
        <v>0</v>
      </c>
      <c r="AS29" s="55">
        <f t="shared" si="20"/>
        <v>150</v>
      </c>
      <c r="AT29" s="55">
        <f t="shared" ca="1" si="69"/>
        <v>0</v>
      </c>
      <c r="AU29" s="99">
        <f t="shared" ca="1" si="21"/>
        <v>0</v>
      </c>
    </row>
    <row r="30" spans="1:47" ht="24" customHeight="1" x14ac:dyDescent="0.5">
      <c r="A30" s="52">
        <v>15</v>
      </c>
      <c r="B30" s="53" t="s">
        <v>45</v>
      </c>
      <c r="C30" s="54">
        <f t="shared" si="70"/>
        <v>83000</v>
      </c>
      <c r="D30" s="55">
        <v>0</v>
      </c>
      <c r="E30" s="55">
        <f t="shared" si="67"/>
        <v>83000</v>
      </c>
      <c r="F30" s="55">
        <f ca="1">IFERROR(__xludf.DUMMYFUNCTION("IMPORTRANGE(""https://docs.google.com/spreadsheets/d/11923uPwbBZFjjGgGUA6NLw09EwE0CqkOc4q9oUmW1yo/edit?usp=sharing"",""สุโขทัย!M71"")"),0)</f>
        <v>0</v>
      </c>
      <c r="G30" s="99">
        <f t="shared" ca="1" si="1"/>
        <v>0</v>
      </c>
      <c r="H30" s="55">
        <v>7500</v>
      </c>
      <c r="I30" s="55">
        <v>4</v>
      </c>
      <c r="J30" s="55">
        <f ca="1">IFERROR(__xludf.DUMMYFUNCTION("IMPORTRANGE(""https://docs.google.com/spreadsheets/d/11923uPwbBZFjjGgGUA6NLw09EwE0CqkOc4q9oUmW1yo/edit?usp=sharing"",""สุโขทัย!J83"")"),0)</f>
        <v>0</v>
      </c>
      <c r="K30" s="99">
        <f t="shared" ca="1" si="3"/>
        <v>0</v>
      </c>
      <c r="L30" s="55">
        <f t="shared" ca="1" si="68"/>
        <v>0</v>
      </c>
      <c r="M30" s="55">
        <f ca="1">IFERROR(__xludf.DUMMYFUNCTION("IMPORTRANGE(""https://docs.google.com/spreadsheets/d/11923uPwbBZFjjGgGUA6NLw09EwE0CqkOc4q9oUmW1yo/edit?usp=sharing"",""กำแพงเพชร!J85"")"),0)</f>
        <v>0</v>
      </c>
      <c r="N30" s="55">
        <f ca="1">IFERROR(__xludf.DUMMYFUNCTION("IMPORTRANGE(""https://docs.google.com/spreadsheets/d/11923uPwbBZFjjGgGUA6NLw09EwE0CqkOc4q9oUmW1yo/edit?usp=sharing"",""กำแพงเพชร!J86"")"),0)</f>
        <v>0</v>
      </c>
      <c r="O30" s="55">
        <v>56000</v>
      </c>
      <c r="P30" s="55">
        <v>4</v>
      </c>
      <c r="Q30" s="55">
        <f ca="1">IFERROR(__xludf.DUMMYFUNCTION("IMPORTRANGE(""https://docs.google.com/spreadsheets/d/11923uPwbBZFjjGgGUA6NLw09EwE0CqkOc4q9oUmW1yo/edit?usp=sharing"",""สุโขทัย!J98"")"),0)</f>
        <v>0</v>
      </c>
      <c r="R30" s="99">
        <f t="shared" ca="1" si="5"/>
        <v>0</v>
      </c>
      <c r="S30" s="55">
        <v>0</v>
      </c>
      <c r="T30" s="55">
        <v>0</v>
      </c>
      <c r="U30" s="55">
        <f ca="1">IFERROR(__xludf.DUMMYFUNCTION("IMPORTRANGE(""https://docs.google.com/spreadsheets/d/11923uPwbBZFjjGgGUA6NLw09EwE0CqkOc4q9oUmW1yo/edit?usp=sharing"",""สุโขทัย!J110"")"),0)</f>
        <v>0</v>
      </c>
      <c r="V30" s="99">
        <f t="shared" si="7"/>
        <v>0</v>
      </c>
      <c r="W30" s="55">
        <v>0</v>
      </c>
      <c r="X30" s="55">
        <f ca="1">IFERROR(__xludf.DUMMYFUNCTION("IMPORTRANGE(""https://docs.google.com/spreadsheets/d/11923uPwbBZFjjGgGUA6NLw09EwE0CqkOc4q9oUmW1yo/edit?usp=sharing"",""สุโขทัย!J111"")"),0)</f>
        <v>0</v>
      </c>
      <c r="Y30" s="99">
        <f t="shared" si="9"/>
        <v>0</v>
      </c>
      <c r="Z30" s="55">
        <v>19500</v>
      </c>
      <c r="AA30" s="55">
        <v>50000</v>
      </c>
      <c r="AB30" s="55">
        <f ca="1">IFERROR(__xludf.DUMMYFUNCTION("IMPORTRANGE(""https://docs.google.com/spreadsheets/d/11923uPwbBZFjjGgGUA6NLw09EwE0CqkOc4q9oUmW1yo/edit?usp=sharing"",""สุโขทัย!J124"")"),0)</f>
        <v>0</v>
      </c>
      <c r="AC30" s="99">
        <f t="shared" ca="1" si="11"/>
        <v>0</v>
      </c>
      <c r="AD30" s="55">
        <f ca="1">IFERROR(__xludf.DUMMYFUNCTION("IMPORTRANGE(""https://docs.google.com/spreadsheets/d/11923uPwbBZFjjGgGUA6NLw09EwE0CqkOc4q9oUmW1yo/edit?usp=sharing"",""สุโขทัย!J125"")"),0)</f>
        <v>0</v>
      </c>
      <c r="AE30" s="99">
        <f t="shared" ca="1" si="12"/>
        <v>0</v>
      </c>
      <c r="AF30" s="55">
        <v>0</v>
      </c>
      <c r="AG30" s="55">
        <f ca="1">IFERROR(__xludf.DUMMYFUNCTION("IMPORTRANGE(""https://docs.google.com/spreadsheets/d/11923uPwbBZFjjGgGUA6NLw09EwE0CqkOc4q9oUmW1yo/edit?usp=sharing"",""สุโขทัย!J126"")"),0)</f>
        <v>0</v>
      </c>
      <c r="AH30" s="99">
        <f t="shared" si="14"/>
        <v>0</v>
      </c>
      <c r="AI30" s="55">
        <v>0</v>
      </c>
      <c r="AJ30" s="55">
        <v>0</v>
      </c>
      <c r="AK30" s="55">
        <f ca="1">IFERROR(__xludf.DUMMYFUNCTION("IMPORTRANGE(""https://docs.google.com/spreadsheets/d/11923uPwbBZFjjGgGUA6NLw09EwE0CqkOc4q9oUmW1yo/edit?usp=sharing"",""สุโขทัย!J138"")"),0)</f>
        <v>0</v>
      </c>
      <c r="AL30" s="99">
        <f t="shared" si="16"/>
        <v>0</v>
      </c>
      <c r="AM30" s="55">
        <v>0</v>
      </c>
      <c r="AN30" s="55">
        <v>0</v>
      </c>
      <c r="AO30" s="55">
        <f ca="1">IFERROR(__xludf.DUMMYFUNCTION("IMPORTRANGE(""https://docs.google.com/spreadsheets/d/11923uPwbBZFjjGgGUA6NLw09EwE0CqkOc4q9oUmW1yo/edit?usp=sharing"",""สุโขทัย!J140"")"),0)</f>
        <v>0</v>
      </c>
      <c r="AP30" s="99">
        <f t="shared" si="18"/>
        <v>0</v>
      </c>
      <c r="AQ30" s="55">
        <f ca="1">IFERROR(__xludf.DUMMYFUNCTION("IMPORTRANGE(""https://docs.google.com/spreadsheets/d/11923uPwbBZFjjGgGUA6NLw09EwE0CqkOc4q9oUmW1yo/edit?usp=sharing"",""สุโขทัย!J141"")"),0)</f>
        <v>0</v>
      </c>
      <c r="AR30" s="99">
        <f t="shared" si="19"/>
        <v>0</v>
      </c>
      <c r="AS30" s="55">
        <f t="shared" si="20"/>
        <v>0</v>
      </c>
      <c r="AT30" s="55">
        <f t="shared" ca="1" si="69"/>
        <v>0</v>
      </c>
      <c r="AU30" s="99">
        <f t="shared" si="21"/>
        <v>0</v>
      </c>
    </row>
    <row r="31" spans="1:47" ht="24" customHeight="1" x14ac:dyDescent="0.5">
      <c r="A31" s="52">
        <v>16</v>
      </c>
      <c r="B31" s="53" t="s">
        <v>46</v>
      </c>
      <c r="C31" s="54">
        <f t="shared" si="70"/>
        <v>79000</v>
      </c>
      <c r="D31" s="55">
        <v>0</v>
      </c>
      <c r="E31" s="55">
        <f t="shared" si="67"/>
        <v>79000</v>
      </c>
      <c r="F31" s="55">
        <f ca="1">IFERROR(__xludf.DUMMYFUNCTION("IMPORTRANGE(""https://docs.google.com/spreadsheets/d/11923uPwbBZFjjGgGUA6NLw09EwE0CqkOc4q9oUmW1yo/edit?usp=sharing"",""อุตรดิตถ์!M71"")"),0)</f>
        <v>0</v>
      </c>
      <c r="G31" s="99">
        <f t="shared" ca="1" si="1"/>
        <v>0</v>
      </c>
      <c r="H31" s="55">
        <v>7500</v>
      </c>
      <c r="I31" s="55">
        <v>4</v>
      </c>
      <c r="J31" s="55">
        <f ca="1">IFERROR(__xludf.DUMMYFUNCTION("IMPORTRANGE(""https://docs.google.com/spreadsheets/d/11923uPwbBZFjjGgGUA6NLw09EwE0CqkOc4q9oUmW1yo/edit?usp=sharing"",""อุตรดิตถ์!J83"")"),0)</f>
        <v>0</v>
      </c>
      <c r="K31" s="99">
        <f t="shared" ca="1" si="3"/>
        <v>0</v>
      </c>
      <c r="L31" s="55">
        <f t="shared" ca="1" si="68"/>
        <v>0</v>
      </c>
      <c r="M31" s="55">
        <f ca="1">IFERROR(__xludf.DUMMYFUNCTION("IMPORTRANGE(""https://docs.google.com/spreadsheets/d/11923uPwbBZFjjGgGUA6NLw09EwE0CqkOc4q9oUmW1yo/edit?usp=sharing"",""กำแพงเพชร!J85"")"),0)</f>
        <v>0</v>
      </c>
      <c r="N31" s="55">
        <f ca="1">IFERROR(__xludf.DUMMYFUNCTION("IMPORTRANGE(""https://docs.google.com/spreadsheets/d/11923uPwbBZFjjGgGUA6NLw09EwE0CqkOc4q9oUmW1yo/edit?usp=sharing"",""กำแพงเพชร!J86"")"),0)</f>
        <v>0</v>
      </c>
      <c r="O31" s="55">
        <v>42000</v>
      </c>
      <c r="P31" s="55">
        <v>3</v>
      </c>
      <c r="Q31" s="55">
        <f ca="1">IFERROR(__xludf.DUMMYFUNCTION("IMPORTRANGE(""https://docs.google.com/spreadsheets/d/11923uPwbBZFjjGgGUA6NLw09EwE0CqkOc4q9oUmW1yo/edit?usp=sharing"",""อุตรดิตถ์!J98"")"),0)</f>
        <v>0</v>
      </c>
      <c r="R31" s="99">
        <f t="shared" ca="1" si="5"/>
        <v>0</v>
      </c>
      <c r="S31" s="55">
        <v>15000</v>
      </c>
      <c r="T31" s="55">
        <v>1</v>
      </c>
      <c r="U31" s="55">
        <f ca="1">IFERROR(__xludf.DUMMYFUNCTION("IMPORTRANGE(""https://docs.google.com/spreadsheets/d/11923uPwbBZFjjGgGUA6NLw09EwE0CqkOc4q9oUmW1yo/edit?usp=sharing"",""อุตรดิตถ์!J110"")"),0)</f>
        <v>0</v>
      </c>
      <c r="V31" s="99">
        <f t="shared" ca="1" si="7"/>
        <v>0</v>
      </c>
      <c r="W31" s="55">
        <v>1</v>
      </c>
      <c r="X31" s="55">
        <f ca="1">IFERROR(__xludf.DUMMYFUNCTION("IMPORTRANGE(""https://docs.google.com/spreadsheets/d/11923uPwbBZFjjGgGUA6NLw09EwE0CqkOc4q9oUmW1yo/edit?usp=sharing"",""อุตรดิตถ์!J111"")"),0)</f>
        <v>0</v>
      </c>
      <c r="Y31" s="99">
        <f t="shared" ca="1" si="9"/>
        <v>0</v>
      </c>
      <c r="Z31" s="55">
        <v>14500</v>
      </c>
      <c r="AA31" s="55">
        <v>30000</v>
      </c>
      <c r="AB31" s="55">
        <f ca="1">IFERROR(__xludf.DUMMYFUNCTION("IMPORTRANGE(""https://docs.google.com/spreadsheets/d/11923uPwbBZFjjGgGUA6NLw09EwE0CqkOc4q9oUmW1yo/edit?usp=sharing"",""อุตรดิตถ์!J124"")"),0)</f>
        <v>0</v>
      </c>
      <c r="AC31" s="99">
        <f t="shared" ca="1" si="11"/>
        <v>0</v>
      </c>
      <c r="AD31" s="55">
        <f ca="1">IFERROR(__xludf.DUMMYFUNCTION("IMPORTRANGE(""https://docs.google.com/spreadsheets/d/11923uPwbBZFjjGgGUA6NLw09EwE0CqkOc4q9oUmW1yo/edit?usp=sharing"",""อุตรดิตถ์!J125"")"),0)</f>
        <v>0</v>
      </c>
      <c r="AE31" s="99">
        <f t="shared" ca="1" si="12"/>
        <v>0</v>
      </c>
      <c r="AF31" s="55">
        <v>0</v>
      </c>
      <c r="AG31" s="55">
        <f ca="1">IFERROR(__xludf.DUMMYFUNCTION("IMPORTRANGE(""https://docs.google.com/spreadsheets/d/11923uPwbBZFjjGgGUA6NLw09EwE0CqkOc4q9oUmW1yo/edit?usp=sharing"",""อุตรดิตถ์!J126"")"),0)</f>
        <v>0</v>
      </c>
      <c r="AH31" s="99">
        <f t="shared" si="14"/>
        <v>0</v>
      </c>
      <c r="AI31" s="55">
        <v>0</v>
      </c>
      <c r="AJ31" s="55">
        <v>0</v>
      </c>
      <c r="AK31" s="55">
        <f ca="1">IFERROR(__xludf.DUMMYFUNCTION("IMPORTRANGE(""https://docs.google.com/spreadsheets/d/11923uPwbBZFjjGgGUA6NLw09EwE0CqkOc4q9oUmW1yo/edit?usp=sharing"",""อุตรดิตถ์!J138"")"),0)</f>
        <v>0</v>
      </c>
      <c r="AL31" s="99">
        <f t="shared" si="16"/>
        <v>0</v>
      </c>
      <c r="AM31" s="55">
        <v>0</v>
      </c>
      <c r="AN31" s="55">
        <v>0</v>
      </c>
      <c r="AO31" s="55">
        <f ca="1">IFERROR(__xludf.DUMMYFUNCTION("IMPORTRANGE(""https://docs.google.com/spreadsheets/d/11923uPwbBZFjjGgGUA6NLw09EwE0CqkOc4q9oUmW1yo/edit?usp=sharing"",""อุตรดิตถ์!J140"")"),0)</f>
        <v>0</v>
      </c>
      <c r="AP31" s="99">
        <f t="shared" si="18"/>
        <v>0</v>
      </c>
      <c r="AQ31" s="55">
        <f ca="1">IFERROR(__xludf.DUMMYFUNCTION("IMPORTRANGE(""https://docs.google.com/spreadsheets/d/11923uPwbBZFjjGgGUA6NLw09EwE0CqkOc4q9oUmW1yo/edit?usp=sharing"",""อุตรดิตถ์!J141"")"),0)</f>
        <v>0</v>
      </c>
      <c r="AR31" s="99">
        <f t="shared" si="19"/>
        <v>0</v>
      </c>
      <c r="AS31" s="55">
        <f t="shared" si="20"/>
        <v>0</v>
      </c>
      <c r="AT31" s="55">
        <f t="shared" ca="1" si="69"/>
        <v>0</v>
      </c>
      <c r="AU31" s="99">
        <f t="shared" si="21"/>
        <v>0</v>
      </c>
    </row>
    <row r="32" spans="1:47" ht="24" customHeight="1" x14ac:dyDescent="0.5">
      <c r="A32" s="483">
        <v>17</v>
      </c>
      <c r="B32" s="484" t="s">
        <v>47</v>
      </c>
      <c r="C32" s="485">
        <f t="shared" si="70"/>
        <v>83500</v>
      </c>
      <c r="D32" s="486">
        <v>0</v>
      </c>
      <c r="E32" s="486">
        <f t="shared" si="67"/>
        <v>83500</v>
      </c>
      <c r="F32" s="486">
        <f ca="1">IFERROR(__xludf.DUMMYFUNCTION("IMPORTRANGE(""https://docs.google.com/spreadsheets/d/11923uPwbBZFjjGgGUA6NLw09EwE0CqkOc4q9oUmW1yo/edit?usp=sharing"",""อุทัยธานี!M71"")"),0)</f>
        <v>0</v>
      </c>
      <c r="G32" s="487">
        <f t="shared" ca="1" si="1"/>
        <v>0</v>
      </c>
      <c r="H32" s="486">
        <v>7500</v>
      </c>
      <c r="I32" s="486">
        <v>4</v>
      </c>
      <c r="J32" s="486">
        <f ca="1">IFERROR(__xludf.DUMMYFUNCTION("IMPORTRANGE(""https://docs.google.com/spreadsheets/d/11923uPwbBZFjjGgGUA6NLw09EwE0CqkOc4q9oUmW1yo/edit?usp=sharing"",""อุทัยธานี!J83"")"),0)</f>
        <v>0</v>
      </c>
      <c r="K32" s="487">
        <f t="shared" ca="1" si="3"/>
        <v>0</v>
      </c>
      <c r="L32" s="486">
        <f t="shared" ca="1" si="68"/>
        <v>0</v>
      </c>
      <c r="M32" s="486">
        <f ca="1">IFERROR(__xludf.DUMMYFUNCTION("IMPORTRANGE(""https://docs.google.com/spreadsheets/d/11923uPwbBZFjjGgGUA6NLw09EwE0CqkOc4q9oUmW1yo/edit?usp=sharing"",""กำแพงเพชร!J85"")"),0)</f>
        <v>0</v>
      </c>
      <c r="N32" s="486">
        <f ca="1">IFERROR(__xludf.DUMMYFUNCTION("IMPORTRANGE(""https://docs.google.com/spreadsheets/d/11923uPwbBZFjjGgGUA6NLw09EwE0CqkOc4q9oUmW1yo/edit?usp=sharing"",""กำแพงเพชร!J86"")"),0)</f>
        <v>0</v>
      </c>
      <c r="O32" s="486">
        <v>42000</v>
      </c>
      <c r="P32" s="486">
        <v>3</v>
      </c>
      <c r="Q32" s="486">
        <f ca="1">IFERROR(__xludf.DUMMYFUNCTION("IMPORTRANGE(""https://docs.google.com/spreadsheets/d/11923uPwbBZFjjGgGUA6NLw09EwE0CqkOc4q9oUmW1yo/edit?usp=sharing"",""อุทัยธานี!J98"")"),0)</f>
        <v>0</v>
      </c>
      <c r="R32" s="487">
        <f t="shared" ca="1" si="5"/>
        <v>0</v>
      </c>
      <c r="S32" s="486">
        <v>0</v>
      </c>
      <c r="T32" s="486">
        <v>0</v>
      </c>
      <c r="U32" s="486">
        <f ca="1">IFERROR(__xludf.DUMMYFUNCTION("IMPORTRANGE(""https://docs.google.com/spreadsheets/d/11923uPwbBZFjjGgGUA6NLw09EwE0CqkOc4q9oUmW1yo/edit?usp=sharing"",""อุทัยธานี!J110"")"),0)</f>
        <v>0</v>
      </c>
      <c r="V32" s="487">
        <f t="shared" si="7"/>
        <v>0</v>
      </c>
      <c r="W32" s="486">
        <v>0</v>
      </c>
      <c r="X32" s="486">
        <f ca="1">IFERROR(__xludf.DUMMYFUNCTION("IMPORTRANGE(""https://docs.google.com/spreadsheets/d/11923uPwbBZFjjGgGUA6NLw09EwE0CqkOc4q9oUmW1yo/edit?usp=sharing"",""อุทัยธานี!J111"")"),0)</f>
        <v>0</v>
      </c>
      <c r="Y32" s="487">
        <f t="shared" si="9"/>
        <v>0</v>
      </c>
      <c r="Z32" s="486">
        <v>34000</v>
      </c>
      <c r="AA32" s="486">
        <v>100000</v>
      </c>
      <c r="AB32" s="486">
        <f ca="1">IFERROR(__xludf.DUMMYFUNCTION("IMPORTRANGE(""https://docs.google.com/spreadsheets/d/11923uPwbBZFjjGgGUA6NLw09EwE0CqkOc4q9oUmW1yo/edit?usp=sharing"",""อุทัยธานี!J124"")"),0)</f>
        <v>0</v>
      </c>
      <c r="AC32" s="487">
        <f t="shared" ca="1" si="11"/>
        <v>0</v>
      </c>
      <c r="AD32" s="486">
        <f ca="1">IFERROR(__xludf.DUMMYFUNCTION("IMPORTRANGE(""https://docs.google.com/spreadsheets/d/11923uPwbBZFjjGgGUA6NLw09EwE0CqkOc4q9oUmW1yo/edit?usp=sharing"",""อุทัยธานี!J125"")"),0)</f>
        <v>0</v>
      </c>
      <c r="AE32" s="487">
        <f t="shared" ca="1" si="12"/>
        <v>0</v>
      </c>
      <c r="AF32" s="486">
        <v>0</v>
      </c>
      <c r="AG32" s="486">
        <f ca="1">IFERROR(__xludf.DUMMYFUNCTION("IMPORTRANGE(""https://docs.google.com/spreadsheets/d/11923uPwbBZFjjGgGUA6NLw09EwE0CqkOc4q9oUmW1yo/edit?usp=sharing"",""อุทัยธานี!J126"")"),0)</f>
        <v>0</v>
      </c>
      <c r="AH32" s="487">
        <f t="shared" si="14"/>
        <v>0</v>
      </c>
      <c r="AI32" s="486">
        <v>0</v>
      </c>
      <c r="AJ32" s="486">
        <v>0</v>
      </c>
      <c r="AK32" s="486">
        <f ca="1">IFERROR(__xludf.DUMMYFUNCTION("IMPORTRANGE(""https://docs.google.com/spreadsheets/d/11923uPwbBZFjjGgGUA6NLw09EwE0CqkOc4q9oUmW1yo/edit?usp=sharing"",""อุทัยธานี!J138"")"),0)</f>
        <v>0</v>
      </c>
      <c r="AL32" s="487">
        <f t="shared" si="16"/>
        <v>0</v>
      </c>
      <c r="AM32" s="486">
        <v>0</v>
      </c>
      <c r="AN32" s="486">
        <v>0</v>
      </c>
      <c r="AO32" s="486">
        <f ca="1">IFERROR(__xludf.DUMMYFUNCTION("IMPORTRANGE(""https://docs.google.com/spreadsheets/d/11923uPwbBZFjjGgGUA6NLw09EwE0CqkOc4q9oUmW1yo/edit?usp=sharing"",""อุทัยธานี!J140"")"),0)</f>
        <v>0</v>
      </c>
      <c r="AP32" s="487">
        <f t="shared" si="18"/>
        <v>0</v>
      </c>
      <c r="AQ32" s="486">
        <f ca="1">IFERROR(__xludf.DUMMYFUNCTION("IMPORTRANGE(""https://docs.google.com/spreadsheets/d/11923uPwbBZFjjGgGUA6NLw09EwE0CqkOc4q9oUmW1yo/edit?usp=sharing"",""อุทัยธานี!J141"")"),0)</f>
        <v>0</v>
      </c>
      <c r="AR32" s="487">
        <f t="shared" si="19"/>
        <v>0</v>
      </c>
      <c r="AS32" s="486">
        <f t="shared" si="20"/>
        <v>0</v>
      </c>
      <c r="AT32" s="486">
        <f t="shared" ca="1" si="69"/>
        <v>0</v>
      </c>
      <c r="AU32" s="487">
        <f t="shared" si="21"/>
        <v>0</v>
      </c>
    </row>
    <row r="33" spans="1:47" ht="24" customHeight="1" x14ac:dyDescent="0.5">
      <c r="A33" s="670" t="s">
        <v>48</v>
      </c>
      <c r="B33" s="669"/>
      <c r="C33" s="481">
        <f t="shared" ref="C33:F33" si="71">SUM(C34:C53)</f>
        <v>4440450</v>
      </c>
      <c r="D33" s="481">
        <f t="shared" si="71"/>
        <v>1888800</v>
      </c>
      <c r="E33" s="481">
        <f t="shared" si="71"/>
        <v>2551650</v>
      </c>
      <c r="F33" s="481">
        <f t="shared" ca="1" si="71"/>
        <v>138112.80999999988</v>
      </c>
      <c r="G33" s="482">
        <f t="shared" ca="1" si="1"/>
        <v>3.1103336373565718</v>
      </c>
      <c r="H33" s="481">
        <f t="shared" ref="H33:J33" si="72">SUM(H34:H53)</f>
        <v>150000</v>
      </c>
      <c r="I33" s="481">
        <f t="shared" si="72"/>
        <v>80</v>
      </c>
      <c r="J33" s="481">
        <f t="shared" ca="1" si="72"/>
        <v>0</v>
      </c>
      <c r="K33" s="482">
        <f t="shared" ca="1" si="3"/>
        <v>0</v>
      </c>
      <c r="L33" s="481">
        <f t="shared" ref="L33:Q33" ca="1" si="73">SUM(L34:L53)</f>
        <v>0</v>
      </c>
      <c r="M33" s="481">
        <f t="shared" ca="1" si="73"/>
        <v>0</v>
      </c>
      <c r="N33" s="481">
        <f t="shared" ca="1" si="73"/>
        <v>0</v>
      </c>
      <c r="O33" s="481">
        <f t="shared" si="73"/>
        <v>924000</v>
      </c>
      <c r="P33" s="481">
        <f t="shared" si="73"/>
        <v>66</v>
      </c>
      <c r="Q33" s="481">
        <f t="shared" ca="1" si="73"/>
        <v>0</v>
      </c>
      <c r="R33" s="482">
        <f t="shared" ca="1" si="5"/>
        <v>0</v>
      </c>
      <c r="S33" s="481">
        <f t="shared" ref="S33:U33" si="74">SUM(S34:S53)</f>
        <v>405000</v>
      </c>
      <c r="T33" s="481">
        <f t="shared" si="74"/>
        <v>27</v>
      </c>
      <c r="U33" s="481">
        <f t="shared" ca="1" si="74"/>
        <v>0</v>
      </c>
      <c r="V33" s="482">
        <f t="shared" ca="1" si="7"/>
        <v>0</v>
      </c>
      <c r="W33" s="481">
        <f t="shared" ref="W33:X33" si="75">SUM(W34:W53)</f>
        <v>27</v>
      </c>
      <c r="X33" s="481">
        <f t="shared" ca="1" si="75"/>
        <v>0</v>
      </c>
      <c r="Y33" s="482">
        <f t="shared" ca="1" si="9"/>
        <v>0</v>
      </c>
      <c r="Z33" s="481">
        <f t="shared" ref="Z33:AB33" si="76">SUM(Z34:Z53)</f>
        <v>438900</v>
      </c>
      <c r="AA33" s="481">
        <f t="shared" si="76"/>
        <v>943800</v>
      </c>
      <c r="AB33" s="481">
        <f t="shared" ca="1" si="76"/>
        <v>0</v>
      </c>
      <c r="AC33" s="482">
        <f t="shared" ca="1" si="11"/>
        <v>0</v>
      </c>
      <c r="AD33" s="481">
        <f ca="1">SUM(AD34:AD53)</f>
        <v>0</v>
      </c>
      <c r="AE33" s="482">
        <f t="shared" ca="1" si="12"/>
        <v>0</v>
      </c>
      <c r="AF33" s="481">
        <f t="shared" ref="AF33:AG33" si="77">SUM(AF34:AF53)</f>
        <v>60</v>
      </c>
      <c r="AG33" s="481">
        <f t="shared" ca="1" si="77"/>
        <v>0</v>
      </c>
      <c r="AH33" s="482">
        <f t="shared" ca="1" si="14"/>
        <v>0</v>
      </c>
      <c r="AI33" s="481">
        <f t="shared" ref="AI33:AK33" si="78">SUM(AI34:AI53)</f>
        <v>633750</v>
      </c>
      <c r="AJ33" s="481">
        <f t="shared" si="78"/>
        <v>100</v>
      </c>
      <c r="AK33" s="481">
        <f t="shared" ca="1" si="78"/>
        <v>0</v>
      </c>
      <c r="AL33" s="482">
        <f t="shared" ca="1" si="16"/>
        <v>0</v>
      </c>
      <c r="AM33" s="481">
        <f t="shared" ref="AM33:AO33" si="79">SUM(AM34:AM53)</f>
        <v>65</v>
      </c>
      <c r="AN33" s="481">
        <f t="shared" si="79"/>
        <v>0</v>
      </c>
      <c r="AO33" s="481">
        <f t="shared" ca="1" si="79"/>
        <v>0</v>
      </c>
      <c r="AP33" s="482">
        <f t="shared" ca="1" si="18"/>
        <v>0</v>
      </c>
      <c r="AQ33" s="481">
        <f ca="1">SUM(AQ34:AQ53)</f>
        <v>0</v>
      </c>
      <c r="AR33" s="482">
        <f t="shared" si="19"/>
        <v>0</v>
      </c>
      <c r="AS33" s="481">
        <f t="shared" si="20"/>
        <v>160</v>
      </c>
      <c r="AT33" s="481">
        <f ca="1">SUM(AT34:AT53)</f>
        <v>0</v>
      </c>
      <c r="AU33" s="482">
        <f t="shared" ca="1" si="21"/>
        <v>0</v>
      </c>
    </row>
    <row r="34" spans="1:47" ht="24" customHeight="1" x14ac:dyDescent="0.5">
      <c r="A34" s="45">
        <v>1</v>
      </c>
      <c r="B34" s="46" t="s">
        <v>49</v>
      </c>
      <c r="C34" s="47">
        <f t="shared" ref="C34:C53" si="80">+D34+E34</f>
        <v>83500</v>
      </c>
      <c r="D34" s="48">
        <v>0</v>
      </c>
      <c r="E34" s="48">
        <f t="shared" ref="E34:E53" si="81">H34+O34+S34+Z34+AI34</f>
        <v>83500</v>
      </c>
      <c r="F34" s="48">
        <f ca="1">IFERROR(__xludf.DUMMYFUNCTION("IMPORTRANGE(""https://docs.google.com/spreadsheets/d/1XL5vhW3sbDhbH9Cz0tuDiY8C3ctxq1tqvaCgkFb8cCA/edit?usp=sharing"",""กาฬสินธุ์!M71"")"),0)</f>
        <v>0</v>
      </c>
      <c r="G34" s="98">
        <f t="shared" ca="1" si="1"/>
        <v>0</v>
      </c>
      <c r="H34" s="48">
        <v>7500</v>
      </c>
      <c r="I34" s="48">
        <v>4</v>
      </c>
      <c r="J34" s="48">
        <f ca="1">IFERROR(__xludf.DUMMYFUNCTION("IMPORTRANGE(""https://docs.google.com/spreadsheets/d/1XL5vhW3sbDhbH9Cz0tuDiY8C3ctxq1tqvaCgkFb8cCA/edit?usp=sharing"",""กาฬสินธุ์!J83"")"),0)</f>
        <v>0</v>
      </c>
      <c r="K34" s="98">
        <f t="shared" ca="1" si="3"/>
        <v>0</v>
      </c>
      <c r="L34" s="48">
        <f t="shared" ref="L34:L53" ca="1" si="82">M34+N34</f>
        <v>0</v>
      </c>
      <c r="M34" s="48">
        <f ca="1">IFERROR(__xludf.DUMMYFUNCTION("IMPORTRANGE(""https://docs.google.com/spreadsheets/d/1XL5vhW3sbDhbH9Cz0tuDiY8C3ctxq1tqvaCgkFb8cCA/edit?usp=sharing"",""กาฬสินธุ์!J85"")"),0)</f>
        <v>0</v>
      </c>
      <c r="N34" s="48">
        <f ca="1">IFERROR(__xludf.DUMMYFUNCTION("IMPORTRANGE(""https://docs.google.com/spreadsheets/d/1XL5vhW3sbDhbH9Cz0tuDiY8C3ctxq1tqvaCgkFb8cCA/edit?usp=sharing"",""กาฬสินธุ์!J86"")"),0)</f>
        <v>0</v>
      </c>
      <c r="O34" s="48">
        <v>42000</v>
      </c>
      <c r="P34" s="48">
        <v>3</v>
      </c>
      <c r="Q34" s="48">
        <f ca="1">IFERROR(__xludf.DUMMYFUNCTION("IMPORTRANGE(""https://docs.google.com/spreadsheets/d/1XL5vhW3sbDhbH9Cz0tuDiY8C3ctxq1tqvaCgkFb8cCA/edit?usp=sharing"",""กาฬสินธุ์!J98"")"),0)</f>
        <v>0</v>
      </c>
      <c r="R34" s="98">
        <f t="shared" ca="1" si="5"/>
        <v>0</v>
      </c>
      <c r="S34" s="48"/>
      <c r="T34" s="48">
        <v>0</v>
      </c>
      <c r="U34" s="48">
        <f ca="1">IFERROR(__xludf.DUMMYFUNCTION("IMPORTRANGE(""https://docs.google.com/spreadsheets/d/1XL5vhW3sbDhbH9Cz0tuDiY8C3ctxq1tqvaCgkFb8cCA/edit?usp=sharing"",""กาฬสินธุ์!J110"")"),0)</f>
        <v>0</v>
      </c>
      <c r="V34" s="98">
        <f t="shared" si="7"/>
        <v>0</v>
      </c>
      <c r="W34" s="48">
        <v>0</v>
      </c>
      <c r="X34" s="48">
        <f ca="1">IFERROR(__xludf.DUMMYFUNCTION("IMPORTRANGE(""https://docs.google.com/spreadsheets/d/1XL5vhW3sbDhbH9Cz0tuDiY8C3ctxq1tqvaCgkFb8cCA/edit?usp=sharing"",""กาฬสินธุ์!J111"")"),0)</f>
        <v>0</v>
      </c>
      <c r="Y34" s="98">
        <f t="shared" si="9"/>
        <v>0</v>
      </c>
      <c r="Z34" s="48">
        <v>34000</v>
      </c>
      <c r="AA34" s="48">
        <v>100000</v>
      </c>
      <c r="AB34" s="48">
        <f ca="1">IFERROR(__xludf.DUMMYFUNCTION("IMPORTRANGE(""https://docs.google.com/spreadsheets/d/1XL5vhW3sbDhbH9Cz0tuDiY8C3ctxq1tqvaCgkFb8cCA/edit?usp=sharing"",""กาฬสินธุ์!J124"")"),0)</f>
        <v>0</v>
      </c>
      <c r="AC34" s="98">
        <f t="shared" ca="1" si="11"/>
        <v>0</v>
      </c>
      <c r="AD34" s="48">
        <f ca="1">IFERROR(__xludf.DUMMYFUNCTION("IMPORTRANGE(""https://docs.google.com/spreadsheets/d/1XL5vhW3sbDhbH9Cz0tuDiY8C3ctxq1tqvaCgkFb8cCA/edit?usp=sharing"",""กาฬสินธุ์!J125"")"),0)</f>
        <v>0</v>
      </c>
      <c r="AE34" s="98">
        <f t="shared" ca="1" si="12"/>
        <v>0</v>
      </c>
      <c r="AF34" s="48">
        <v>0</v>
      </c>
      <c r="AG34" s="48">
        <f ca="1">IFERROR(__xludf.DUMMYFUNCTION("IMPORTRANGE(""https://docs.google.com/spreadsheets/d/1XL5vhW3sbDhbH9Cz0tuDiY8C3ctxq1tqvaCgkFb8cCA/edit?usp=sharing"",""กาฬสินธุ์!J126"")"),0)</f>
        <v>0</v>
      </c>
      <c r="AH34" s="98">
        <f t="shared" si="14"/>
        <v>0</v>
      </c>
      <c r="AI34" s="48">
        <v>0</v>
      </c>
      <c r="AJ34" s="48">
        <v>0</v>
      </c>
      <c r="AK34" s="48">
        <f ca="1">IFERROR(__xludf.DUMMYFUNCTION("IMPORTRANGE(""https://docs.google.com/spreadsheets/d/1XL5vhW3sbDhbH9Cz0tuDiY8C3ctxq1tqvaCgkFb8cCA/edit?usp=sharing"",""กาฬสินธุ์!J138"")"),0)</f>
        <v>0</v>
      </c>
      <c r="AL34" s="98">
        <f t="shared" si="16"/>
        <v>0</v>
      </c>
      <c r="AM34" s="48">
        <v>0</v>
      </c>
      <c r="AN34" s="48">
        <v>0</v>
      </c>
      <c r="AO34" s="48">
        <f ca="1">IFERROR(__xludf.DUMMYFUNCTION("IMPORTRANGE(""https://docs.google.com/spreadsheets/d/1XL5vhW3sbDhbH9Cz0tuDiY8C3ctxq1tqvaCgkFb8cCA/edit?usp=sharing"",""กาฬสินธุ์!J140"")"),0)</f>
        <v>0</v>
      </c>
      <c r="AP34" s="98">
        <f t="shared" si="18"/>
        <v>0</v>
      </c>
      <c r="AQ34" s="48">
        <f ca="1">IFERROR(__xludf.DUMMYFUNCTION("IMPORTRANGE(""https://docs.google.com/spreadsheets/d/1XL5vhW3sbDhbH9Cz0tuDiY8C3ctxq1tqvaCgkFb8cCA/edit?usp=sharing"",""กาฬสินธุ์!J141"")"),0)</f>
        <v>0</v>
      </c>
      <c r="AR34" s="98">
        <f t="shared" si="19"/>
        <v>0</v>
      </c>
      <c r="AS34" s="48">
        <f t="shared" si="20"/>
        <v>0</v>
      </c>
      <c r="AT34" s="48">
        <f t="shared" ref="AT34:AT53" ca="1" si="83">AG34+AK34</f>
        <v>0</v>
      </c>
      <c r="AU34" s="98">
        <f t="shared" si="21"/>
        <v>0</v>
      </c>
    </row>
    <row r="35" spans="1:47" ht="24" customHeight="1" x14ac:dyDescent="0.5">
      <c r="A35" s="52">
        <v>2</v>
      </c>
      <c r="B35" s="53" t="s">
        <v>50</v>
      </c>
      <c r="C35" s="54">
        <f t="shared" si="80"/>
        <v>69000</v>
      </c>
      <c r="D35" s="55">
        <v>0</v>
      </c>
      <c r="E35" s="55">
        <f t="shared" si="81"/>
        <v>69000</v>
      </c>
      <c r="F35" s="55">
        <f ca="1">IFERROR(__xludf.DUMMYFUNCTION("IMPORTRANGE(""https://docs.google.com/spreadsheets/d/1XL5vhW3sbDhbH9Cz0tuDiY8C3ctxq1tqvaCgkFb8cCA/edit?usp=sharing"",""ขอนแก่น!M71"")"),0)</f>
        <v>0</v>
      </c>
      <c r="G35" s="99">
        <f t="shared" ca="1" si="1"/>
        <v>0</v>
      </c>
      <c r="H35" s="55">
        <v>7500</v>
      </c>
      <c r="I35" s="55">
        <v>4</v>
      </c>
      <c r="J35" s="55">
        <f ca="1">IFERROR(__xludf.DUMMYFUNCTION("IMPORTRANGE(""https://docs.google.com/spreadsheets/d/1XL5vhW3sbDhbH9Cz0tuDiY8C3ctxq1tqvaCgkFb8cCA/edit?usp=sharing"",""ขอนแก่น!J83"")"),0)</f>
        <v>0</v>
      </c>
      <c r="K35" s="99">
        <f t="shared" ca="1" si="3"/>
        <v>0</v>
      </c>
      <c r="L35" s="55">
        <f t="shared" ca="1" si="82"/>
        <v>0</v>
      </c>
      <c r="M35" s="55">
        <f ca="1">IFERROR(__xludf.DUMMYFUNCTION("IMPORTRANGE(""https://docs.google.com/spreadsheets/d/1XL5vhW3sbDhbH9Cz0tuDiY8C3ctxq1tqvaCgkFb8cCA/edit?usp=sharing"",""กาฬสินธุ์!J85"")"),0)</f>
        <v>0</v>
      </c>
      <c r="N35" s="55">
        <f ca="1">IFERROR(__xludf.DUMMYFUNCTION("IMPORTRANGE(""https://docs.google.com/spreadsheets/d/1XL5vhW3sbDhbH9Cz0tuDiY8C3ctxq1tqvaCgkFb8cCA/edit?usp=sharing"",""กาฬสินธุ์!J86"")"),0)</f>
        <v>0</v>
      </c>
      <c r="O35" s="55">
        <v>42000</v>
      </c>
      <c r="P35" s="55">
        <v>3</v>
      </c>
      <c r="Q35" s="55">
        <f ca="1">IFERROR(__xludf.DUMMYFUNCTION("IMPORTRANGE(""https://docs.google.com/spreadsheets/d/1XL5vhW3sbDhbH9Cz0tuDiY8C3ctxq1tqvaCgkFb8cCA/edit?usp=sharing"",""ขอนแก่น!J98"")"),0)</f>
        <v>0</v>
      </c>
      <c r="R35" s="99">
        <f t="shared" ca="1" si="5"/>
        <v>0</v>
      </c>
      <c r="S35" s="55"/>
      <c r="T35" s="55">
        <v>0</v>
      </c>
      <c r="U35" s="55">
        <f ca="1">IFERROR(__xludf.DUMMYFUNCTION("IMPORTRANGE(""https://docs.google.com/spreadsheets/d/1XL5vhW3sbDhbH9Cz0tuDiY8C3ctxq1tqvaCgkFb8cCA/edit?usp=sharing"",""ขอนแก่น!J110"")"),0)</f>
        <v>0</v>
      </c>
      <c r="V35" s="99">
        <f t="shared" si="7"/>
        <v>0</v>
      </c>
      <c r="W35" s="55">
        <v>0</v>
      </c>
      <c r="X35" s="55">
        <f ca="1">IFERROR(__xludf.DUMMYFUNCTION("IMPORTRANGE(""https://docs.google.com/spreadsheets/d/1XL5vhW3sbDhbH9Cz0tuDiY8C3ctxq1tqvaCgkFb8cCA/edit?usp=sharing"",""ขอนแก่น!J111"")"),0)</f>
        <v>0</v>
      </c>
      <c r="Y35" s="99">
        <f t="shared" si="9"/>
        <v>0</v>
      </c>
      <c r="Z35" s="55">
        <v>19500</v>
      </c>
      <c r="AA35" s="55">
        <v>50000</v>
      </c>
      <c r="AB35" s="55">
        <f ca="1">IFERROR(__xludf.DUMMYFUNCTION("IMPORTRANGE(""https://docs.google.com/spreadsheets/d/1XL5vhW3sbDhbH9Cz0tuDiY8C3ctxq1tqvaCgkFb8cCA/edit?usp=sharing"",""ขอนแก่น!J124"")"),0)</f>
        <v>0</v>
      </c>
      <c r="AC35" s="99">
        <f t="shared" ca="1" si="11"/>
        <v>0</v>
      </c>
      <c r="AD35" s="55">
        <f ca="1">IFERROR(__xludf.DUMMYFUNCTION("IMPORTRANGE(""https://docs.google.com/spreadsheets/d/1XL5vhW3sbDhbH9Cz0tuDiY8C3ctxq1tqvaCgkFb8cCA/edit?usp=sharing"",""ขอนแก่น!J125"")"),0)</f>
        <v>0</v>
      </c>
      <c r="AE35" s="99">
        <f t="shared" ca="1" si="12"/>
        <v>0</v>
      </c>
      <c r="AF35" s="55">
        <v>0</v>
      </c>
      <c r="AG35" s="55">
        <f ca="1">IFERROR(__xludf.DUMMYFUNCTION("IMPORTRANGE(""https://docs.google.com/spreadsheets/d/1XL5vhW3sbDhbH9Cz0tuDiY8C3ctxq1tqvaCgkFb8cCA/edit?usp=sharing"",""ขอนแก่น!J126"")"),0)</f>
        <v>0</v>
      </c>
      <c r="AH35" s="99">
        <f t="shared" si="14"/>
        <v>0</v>
      </c>
      <c r="AI35" s="55">
        <v>0</v>
      </c>
      <c r="AJ35" s="55">
        <v>0</v>
      </c>
      <c r="AK35" s="55">
        <f ca="1">IFERROR(__xludf.DUMMYFUNCTION("IMPORTRANGE(""https://docs.google.com/spreadsheets/d/1XL5vhW3sbDhbH9Cz0tuDiY8C3ctxq1tqvaCgkFb8cCA/edit?usp=sharing"",""ขอนแก่น!J138"")"),0)</f>
        <v>0</v>
      </c>
      <c r="AL35" s="99">
        <f t="shared" si="16"/>
        <v>0</v>
      </c>
      <c r="AM35" s="55">
        <v>0</v>
      </c>
      <c r="AN35" s="55">
        <v>0</v>
      </c>
      <c r="AO35" s="55">
        <f ca="1">IFERROR(__xludf.DUMMYFUNCTION("IMPORTRANGE(""https://docs.google.com/spreadsheets/d/1XL5vhW3sbDhbH9Cz0tuDiY8C3ctxq1tqvaCgkFb8cCA/edit?usp=sharing"",""ขอนแก่น!J140"")"),0)</f>
        <v>0</v>
      </c>
      <c r="AP35" s="99">
        <f t="shared" si="18"/>
        <v>0</v>
      </c>
      <c r="AQ35" s="55">
        <f ca="1">IFERROR(__xludf.DUMMYFUNCTION("IMPORTRANGE(""https://docs.google.com/spreadsheets/d/1XL5vhW3sbDhbH9Cz0tuDiY8C3ctxq1tqvaCgkFb8cCA/edit?usp=sharing"",""ขอนแก่น!J141"")"),0)</f>
        <v>0</v>
      </c>
      <c r="AR35" s="99">
        <f t="shared" si="19"/>
        <v>0</v>
      </c>
      <c r="AS35" s="55">
        <f t="shared" si="20"/>
        <v>0</v>
      </c>
      <c r="AT35" s="55">
        <f t="shared" ca="1" si="83"/>
        <v>0</v>
      </c>
      <c r="AU35" s="99">
        <f t="shared" si="21"/>
        <v>0</v>
      </c>
    </row>
    <row r="36" spans="1:47" ht="24" customHeight="1" x14ac:dyDescent="0.5">
      <c r="A36" s="52">
        <v>3</v>
      </c>
      <c r="B36" s="53" t="s">
        <v>51</v>
      </c>
      <c r="C36" s="54">
        <f t="shared" si="80"/>
        <v>83000</v>
      </c>
      <c r="D36" s="55">
        <v>0</v>
      </c>
      <c r="E36" s="55">
        <f t="shared" si="81"/>
        <v>83000</v>
      </c>
      <c r="F36" s="55">
        <f ca="1">IFERROR(__xludf.DUMMYFUNCTION("IMPORTRANGE(""https://docs.google.com/spreadsheets/d/1XL5vhW3sbDhbH9Cz0tuDiY8C3ctxq1tqvaCgkFb8cCA/edit?usp=sharing"",""ชัยภูมิ!M71"")"),0)</f>
        <v>0</v>
      </c>
      <c r="G36" s="99">
        <f t="shared" ca="1" si="1"/>
        <v>0</v>
      </c>
      <c r="H36" s="55">
        <v>7500</v>
      </c>
      <c r="I36" s="55">
        <v>4</v>
      </c>
      <c r="J36" s="55">
        <f ca="1">IFERROR(__xludf.DUMMYFUNCTION("IMPORTRANGE(""https://docs.google.com/spreadsheets/d/1XL5vhW3sbDhbH9Cz0tuDiY8C3ctxq1tqvaCgkFb8cCA/edit?usp=sharing"",""ชัยภูมิ!J83"")"),0)</f>
        <v>0</v>
      </c>
      <c r="K36" s="99">
        <f t="shared" ca="1" si="3"/>
        <v>0</v>
      </c>
      <c r="L36" s="55">
        <f t="shared" ca="1" si="82"/>
        <v>0</v>
      </c>
      <c r="M36" s="55">
        <f ca="1">IFERROR(__xludf.DUMMYFUNCTION("IMPORTRANGE(""https://docs.google.com/spreadsheets/d/1XL5vhW3sbDhbH9Cz0tuDiY8C3ctxq1tqvaCgkFb8cCA/edit?usp=sharing"",""กาฬสินธุ์!J85"")"),0)</f>
        <v>0</v>
      </c>
      <c r="N36" s="55">
        <f ca="1">IFERROR(__xludf.DUMMYFUNCTION("IMPORTRANGE(""https://docs.google.com/spreadsheets/d/1XL5vhW3sbDhbH9Cz0tuDiY8C3ctxq1tqvaCgkFb8cCA/edit?usp=sharing"",""กาฬสินธุ์!J86"")"),0)</f>
        <v>0</v>
      </c>
      <c r="O36" s="55">
        <v>56000</v>
      </c>
      <c r="P36" s="55">
        <v>4</v>
      </c>
      <c r="Q36" s="55">
        <f ca="1">IFERROR(__xludf.DUMMYFUNCTION("IMPORTRANGE(""https://docs.google.com/spreadsheets/d/1XL5vhW3sbDhbH9Cz0tuDiY8C3ctxq1tqvaCgkFb8cCA/edit?usp=sharing"",""ชัยภูมิ!J98"")"),0)</f>
        <v>0</v>
      </c>
      <c r="R36" s="99">
        <f t="shared" ca="1" si="5"/>
        <v>0</v>
      </c>
      <c r="S36" s="55"/>
      <c r="T36" s="55">
        <v>0</v>
      </c>
      <c r="U36" s="55">
        <f ca="1">IFERROR(__xludf.DUMMYFUNCTION("IMPORTRANGE(""https://docs.google.com/spreadsheets/d/1XL5vhW3sbDhbH9Cz0tuDiY8C3ctxq1tqvaCgkFb8cCA/edit?usp=sharing"",""ชัยภูมิ!J110"")"),0)</f>
        <v>0</v>
      </c>
      <c r="V36" s="99">
        <f t="shared" si="7"/>
        <v>0</v>
      </c>
      <c r="W36" s="55">
        <v>0</v>
      </c>
      <c r="X36" s="55">
        <f ca="1">IFERROR(__xludf.DUMMYFUNCTION("IMPORTRANGE(""https://docs.google.com/spreadsheets/d/1XL5vhW3sbDhbH9Cz0tuDiY8C3ctxq1tqvaCgkFb8cCA/edit?usp=sharing"",""ชัยภูมิ!J111"")"),0)</f>
        <v>0</v>
      </c>
      <c r="Y36" s="99">
        <f t="shared" si="9"/>
        <v>0</v>
      </c>
      <c r="Z36" s="55">
        <v>19500</v>
      </c>
      <c r="AA36" s="55">
        <v>50000</v>
      </c>
      <c r="AB36" s="55">
        <f ca="1">IFERROR(__xludf.DUMMYFUNCTION("IMPORTRANGE(""https://docs.google.com/spreadsheets/d/1XL5vhW3sbDhbH9Cz0tuDiY8C3ctxq1tqvaCgkFb8cCA/edit?usp=sharing"",""ชัยภูมิ!J124"")"),0)</f>
        <v>0</v>
      </c>
      <c r="AC36" s="99">
        <f t="shared" ca="1" si="11"/>
        <v>0</v>
      </c>
      <c r="AD36" s="55">
        <f ca="1">IFERROR(__xludf.DUMMYFUNCTION("IMPORTRANGE(""https://docs.google.com/spreadsheets/d/1XL5vhW3sbDhbH9Cz0tuDiY8C3ctxq1tqvaCgkFb8cCA/edit?usp=sharing"",""ชัยภูมิ!J125"")"),0)</f>
        <v>0</v>
      </c>
      <c r="AE36" s="99">
        <f t="shared" ca="1" si="12"/>
        <v>0</v>
      </c>
      <c r="AF36" s="55">
        <v>0</v>
      </c>
      <c r="AG36" s="55">
        <f ca="1">IFERROR(__xludf.DUMMYFUNCTION("IMPORTRANGE(""https://docs.google.com/spreadsheets/d/1XL5vhW3sbDhbH9Cz0tuDiY8C3ctxq1tqvaCgkFb8cCA/edit?usp=sharing"",""ชัยภูมิ!J126"")"),0)</f>
        <v>0</v>
      </c>
      <c r="AH36" s="99">
        <f t="shared" si="14"/>
        <v>0</v>
      </c>
      <c r="AI36" s="55">
        <v>0</v>
      </c>
      <c r="AJ36" s="55">
        <v>0</v>
      </c>
      <c r="AK36" s="55">
        <f ca="1">IFERROR(__xludf.DUMMYFUNCTION("IMPORTRANGE(""https://docs.google.com/spreadsheets/d/1XL5vhW3sbDhbH9Cz0tuDiY8C3ctxq1tqvaCgkFb8cCA/edit?usp=sharing"",""ชัยภูมิ!J138"")"),0)</f>
        <v>0</v>
      </c>
      <c r="AL36" s="99">
        <f t="shared" si="16"/>
        <v>0</v>
      </c>
      <c r="AM36" s="55">
        <v>0</v>
      </c>
      <c r="AN36" s="55">
        <v>0</v>
      </c>
      <c r="AO36" s="55">
        <f ca="1">IFERROR(__xludf.DUMMYFUNCTION("IMPORTRANGE(""https://docs.google.com/spreadsheets/d/1XL5vhW3sbDhbH9Cz0tuDiY8C3ctxq1tqvaCgkFb8cCA/edit?usp=sharing"",""ชัยภูมิ!J140"")"),0)</f>
        <v>0</v>
      </c>
      <c r="AP36" s="99">
        <f t="shared" si="18"/>
        <v>0</v>
      </c>
      <c r="AQ36" s="55">
        <f ca="1">IFERROR(__xludf.DUMMYFUNCTION("IMPORTRANGE(""https://docs.google.com/spreadsheets/d/1XL5vhW3sbDhbH9Cz0tuDiY8C3ctxq1tqvaCgkFb8cCA/edit?usp=sharing"",""ชัยภูมิ!J141"")"),0)</f>
        <v>0</v>
      </c>
      <c r="AR36" s="99">
        <f t="shared" si="19"/>
        <v>0</v>
      </c>
      <c r="AS36" s="55">
        <f t="shared" si="20"/>
        <v>0</v>
      </c>
      <c r="AT36" s="55">
        <f t="shared" ca="1" si="83"/>
        <v>0</v>
      </c>
      <c r="AU36" s="99">
        <f t="shared" si="21"/>
        <v>0</v>
      </c>
    </row>
    <row r="37" spans="1:47" ht="24" customHeight="1" x14ac:dyDescent="0.5">
      <c r="A37" s="52">
        <v>4</v>
      </c>
      <c r="B37" s="53" t="s">
        <v>52</v>
      </c>
      <c r="C37" s="54">
        <f t="shared" si="80"/>
        <v>72000</v>
      </c>
      <c r="D37" s="55">
        <v>0</v>
      </c>
      <c r="E37" s="55">
        <f t="shared" si="81"/>
        <v>72000</v>
      </c>
      <c r="F37" s="55">
        <f ca="1">IFERROR(__xludf.DUMMYFUNCTION("IMPORTRANGE(""https://docs.google.com/spreadsheets/d/1XL5vhW3sbDhbH9Cz0tuDiY8C3ctxq1tqvaCgkFb8cCA/edit?usp=sharing"",""นครพนม!M71"")"),0)</f>
        <v>0</v>
      </c>
      <c r="G37" s="99">
        <f t="shared" ca="1" si="1"/>
        <v>0</v>
      </c>
      <c r="H37" s="55">
        <v>7500</v>
      </c>
      <c r="I37" s="55">
        <v>4</v>
      </c>
      <c r="J37" s="55">
        <f ca="1">IFERROR(__xludf.DUMMYFUNCTION("IMPORTRANGE(""https://docs.google.com/spreadsheets/d/1XL5vhW3sbDhbH9Cz0tuDiY8C3ctxq1tqvaCgkFb8cCA/edit?usp=sharing"",""นครพนม!J83"")"),0)</f>
        <v>0</v>
      </c>
      <c r="K37" s="99">
        <f t="shared" ca="1" si="3"/>
        <v>0</v>
      </c>
      <c r="L37" s="55">
        <f t="shared" ca="1" si="82"/>
        <v>0</v>
      </c>
      <c r="M37" s="55">
        <f ca="1">IFERROR(__xludf.DUMMYFUNCTION("IMPORTRANGE(""https://docs.google.com/spreadsheets/d/1XL5vhW3sbDhbH9Cz0tuDiY8C3ctxq1tqvaCgkFb8cCA/edit?usp=sharing"",""กาฬสินธุ์!J85"")"),0)</f>
        <v>0</v>
      </c>
      <c r="N37" s="55">
        <f ca="1">IFERROR(__xludf.DUMMYFUNCTION("IMPORTRANGE(""https://docs.google.com/spreadsheets/d/1XL5vhW3sbDhbH9Cz0tuDiY8C3ctxq1tqvaCgkFb8cCA/edit?usp=sharing"",""กาฬสินธุ์!J86"")"),0)</f>
        <v>0</v>
      </c>
      <c r="O37" s="55">
        <v>42000</v>
      </c>
      <c r="P37" s="55">
        <v>3</v>
      </c>
      <c r="Q37" s="55">
        <f ca="1">IFERROR(__xludf.DUMMYFUNCTION("IMPORTRANGE(""https://docs.google.com/spreadsheets/d/1XL5vhW3sbDhbH9Cz0tuDiY8C3ctxq1tqvaCgkFb8cCA/edit?usp=sharing"",""นครพนม!J98"")"),0)</f>
        <v>0</v>
      </c>
      <c r="R37" s="99">
        <f t="shared" ca="1" si="5"/>
        <v>0</v>
      </c>
      <c r="S37" s="55">
        <v>15000</v>
      </c>
      <c r="T37" s="55">
        <v>1</v>
      </c>
      <c r="U37" s="55">
        <f ca="1">IFERROR(__xludf.DUMMYFUNCTION("IMPORTRANGE(""https://docs.google.com/spreadsheets/d/1XL5vhW3sbDhbH9Cz0tuDiY8C3ctxq1tqvaCgkFb8cCA/edit?usp=sharing"",""นครพนม!J110"")"),0)</f>
        <v>0</v>
      </c>
      <c r="V37" s="99">
        <f t="shared" ca="1" si="7"/>
        <v>0</v>
      </c>
      <c r="W37" s="55">
        <v>1</v>
      </c>
      <c r="X37" s="55">
        <f ca="1">IFERROR(__xludf.DUMMYFUNCTION("IMPORTRANGE(""https://docs.google.com/spreadsheets/d/1XL5vhW3sbDhbH9Cz0tuDiY8C3ctxq1tqvaCgkFb8cCA/edit?usp=sharing"",""นครพนม!J111"")"),0)</f>
        <v>0</v>
      </c>
      <c r="Y37" s="99">
        <f t="shared" ca="1" si="9"/>
        <v>0</v>
      </c>
      <c r="Z37" s="55">
        <v>7500</v>
      </c>
      <c r="AA37" s="55">
        <v>10000</v>
      </c>
      <c r="AB37" s="55">
        <f ca="1">IFERROR(__xludf.DUMMYFUNCTION("IMPORTRANGE(""https://docs.google.com/spreadsheets/d/1XL5vhW3sbDhbH9Cz0tuDiY8C3ctxq1tqvaCgkFb8cCA/edit?usp=sharing"",""นครพนม!J124"")"),0)</f>
        <v>0</v>
      </c>
      <c r="AC37" s="99">
        <f t="shared" ca="1" si="11"/>
        <v>0</v>
      </c>
      <c r="AD37" s="55">
        <f ca="1">IFERROR(__xludf.DUMMYFUNCTION("IMPORTRANGE(""https://docs.google.com/spreadsheets/d/1XL5vhW3sbDhbH9Cz0tuDiY8C3ctxq1tqvaCgkFb8cCA/edit?usp=sharing"",""นครพนม!J125"")"),0)</f>
        <v>0</v>
      </c>
      <c r="AE37" s="99">
        <f t="shared" ca="1" si="12"/>
        <v>0</v>
      </c>
      <c r="AF37" s="55">
        <v>0</v>
      </c>
      <c r="AG37" s="55">
        <f ca="1">IFERROR(__xludf.DUMMYFUNCTION("IMPORTRANGE(""https://docs.google.com/spreadsheets/d/1XL5vhW3sbDhbH9Cz0tuDiY8C3ctxq1tqvaCgkFb8cCA/edit?usp=sharing"",""นครพนม!J126"")"),0)</f>
        <v>0</v>
      </c>
      <c r="AH37" s="99">
        <f t="shared" si="14"/>
        <v>0</v>
      </c>
      <c r="AI37" s="55">
        <v>0</v>
      </c>
      <c r="AJ37" s="55">
        <v>0</v>
      </c>
      <c r="AK37" s="55">
        <f ca="1">IFERROR(__xludf.DUMMYFUNCTION("IMPORTRANGE(""https://docs.google.com/spreadsheets/d/1XL5vhW3sbDhbH9Cz0tuDiY8C3ctxq1tqvaCgkFb8cCA/edit?usp=sharing"",""นครพนม!J138"")"),0)</f>
        <v>0</v>
      </c>
      <c r="AL37" s="99">
        <f t="shared" si="16"/>
        <v>0</v>
      </c>
      <c r="AM37" s="55">
        <v>0</v>
      </c>
      <c r="AN37" s="55">
        <v>0</v>
      </c>
      <c r="AO37" s="55">
        <f ca="1">IFERROR(__xludf.DUMMYFUNCTION("IMPORTRANGE(""https://docs.google.com/spreadsheets/d/1XL5vhW3sbDhbH9Cz0tuDiY8C3ctxq1tqvaCgkFb8cCA/edit?usp=sharing"",""นครพนม!J140"")"),0)</f>
        <v>0</v>
      </c>
      <c r="AP37" s="99">
        <f t="shared" si="18"/>
        <v>0</v>
      </c>
      <c r="AQ37" s="55">
        <f ca="1">IFERROR(__xludf.DUMMYFUNCTION("IMPORTRANGE(""https://docs.google.com/spreadsheets/d/1XL5vhW3sbDhbH9Cz0tuDiY8C3ctxq1tqvaCgkFb8cCA/edit?usp=sharing"",""นครพนม!J141"")"),0)</f>
        <v>0</v>
      </c>
      <c r="AR37" s="99">
        <f t="shared" si="19"/>
        <v>0</v>
      </c>
      <c r="AS37" s="55">
        <f t="shared" si="20"/>
        <v>0</v>
      </c>
      <c r="AT37" s="55">
        <f t="shared" ca="1" si="83"/>
        <v>0</v>
      </c>
      <c r="AU37" s="99">
        <f t="shared" si="21"/>
        <v>0</v>
      </c>
    </row>
    <row r="38" spans="1:47" ht="24" customHeight="1" x14ac:dyDescent="0.5">
      <c r="A38" s="52">
        <v>5</v>
      </c>
      <c r="B38" s="53" t="s">
        <v>53</v>
      </c>
      <c r="C38" s="54">
        <f t="shared" si="80"/>
        <v>589600</v>
      </c>
      <c r="D38" s="55">
        <v>469600</v>
      </c>
      <c r="E38" s="55">
        <f t="shared" si="81"/>
        <v>120000</v>
      </c>
      <c r="F38" s="55">
        <f ca="1">IFERROR(__xludf.DUMMYFUNCTION("IMPORTRANGE(""https://docs.google.com/spreadsheets/d/1XL5vhW3sbDhbH9Cz0tuDiY8C3ctxq1tqvaCgkFb8cCA/edit?usp=sharing"",""นครราชสีมา!M71"")"),0)</f>
        <v>0</v>
      </c>
      <c r="G38" s="99">
        <f t="shared" ca="1" si="1"/>
        <v>0</v>
      </c>
      <c r="H38" s="55">
        <v>7500</v>
      </c>
      <c r="I38" s="55">
        <v>4</v>
      </c>
      <c r="J38" s="55">
        <f ca="1">IFERROR(__xludf.DUMMYFUNCTION("IMPORTRANGE(""https://docs.google.com/spreadsheets/d/1XL5vhW3sbDhbH9Cz0tuDiY8C3ctxq1tqvaCgkFb8cCA/edit?usp=sharing"",""นครราชสีมา!J83"")"),0)</f>
        <v>0</v>
      </c>
      <c r="K38" s="99">
        <f t="shared" ca="1" si="3"/>
        <v>0</v>
      </c>
      <c r="L38" s="55">
        <f t="shared" ca="1" si="82"/>
        <v>0</v>
      </c>
      <c r="M38" s="55">
        <f ca="1">IFERROR(__xludf.DUMMYFUNCTION("IMPORTRANGE(""https://docs.google.com/spreadsheets/d/1XL5vhW3sbDhbH9Cz0tuDiY8C3ctxq1tqvaCgkFb8cCA/edit?usp=sharing"",""กาฬสินธุ์!J85"")"),0)</f>
        <v>0</v>
      </c>
      <c r="N38" s="55">
        <f ca="1">IFERROR(__xludf.DUMMYFUNCTION("IMPORTRANGE(""https://docs.google.com/spreadsheets/d/1XL5vhW3sbDhbH9Cz0tuDiY8C3ctxq1tqvaCgkFb8cCA/edit?usp=sharing"",""กาฬสินธุ์!J86"")"),0)</f>
        <v>0</v>
      </c>
      <c r="O38" s="55">
        <v>70000</v>
      </c>
      <c r="P38" s="55">
        <v>5</v>
      </c>
      <c r="Q38" s="55">
        <f ca="1">IFERROR(__xludf.DUMMYFUNCTION("IMPORTRANGE(""https://docs.google.com/spreadsheets/d/1XL5vhW3sbDhbH9Cz0tuDiY8C3ctxq1tqvaCgkFb8cCA/edit?usp=sharing"",""นครราชสีมา!J98"")"),0)</f>
        <v>0</v>
      </c>
      <c r="R38" s="99">
        <f t="shared" ca="1" si="5"/>
        <v>0</v>
      </c>
      <c r="S38" s="55"/>
      <c r="T38" s="55">
        <v>0</v>
      </c>
      <c r="U38" s="55">
        <f ca="1">IFERROR(__xludf.DUMMYFUNCTION("IMPORTRANGE(""https://docs.google.com/spreadsheets/d/1XL5vhW3sbDhbH9Cz0tuDiY8C3ctxq1tqvaCgkFb8cCA/edit?usp=sharing"",""นครราชสีมา!J110"")"),0)</f>
        <v>0</v>
      </c>
      <c r="V38" s="99">
        <f t="shared" si="7"/>
        <v>0</v>
      </c>
      <c r="W38" s="55">
        <v>0</v>
      </c>
      <c r="X38" s="55">
        <f ca="1">IFERROR(__xludf.DUMMYFUNCTION("IMPORTRANGE(""https://docs.google.com/spreadsheets/d/1XL5vhW3sbDhbH9Cz0tuDiY8C3ctxq1tqvaCgkFb8cCA/edit?usp=sharing"",""นครราชสีมา!J111"")"),0)</f>
        <v>0</v>
      </c>
      <c r="Y38" s="99">
        <f t="shared" si="9"/>
        <v>0</v>
      </c>
      <c r="Z38" s="55">
        <v>42500</v>
      </c>
      <c r="AA38" s="55">
        <v>70000</v>
      </c>
      <c r="AB38" s="55">
        <f ca="1">IFERROR(__xludf.DUMMYFUNCTION("IMPORTRANGE(""https://docs.google.com/spreadsheets/d/1XL5vhW3sbDhbH9Cz0tuDiY8C3ctxq1tqvaCgkFb8cCA/edit?usp=sharing"",""นครราชสีมา!J124"")"),0)</f>
        <v>0</v>
      </c>
      <c r="AC38" s="99">
        <f t="shared" ca="1" si="11"/>
        <v>0</v>
      </c>
      <c r="AD38" s="55">
        <f ca="1">IFERROR(__xludf.DUMMYFUNCTION("IMPORTRANGE(""https://docs.google.com/spreadsheets/d/1XL5vhW3sbDhbH9Cz0tuDiY8C3ctxq1tqvaCgkFb8cCA/edit?usp=sharing"",""นครราชสีมา!J125"")"),0)</f>
        <v>0</v>
      </c>
      <c r="AE38" s="99">
        <f t="shared" ca="1" si="12"/>
        <v>0</v>
      </c>
      <c r="AF38" s="55">
        <v>15</v>
      </c>
      <c r="AG38" s="55">
        <f ca="1">IFERROR(__xludf.DUMMYFUNCTION("IMPORTRANGE(""https://docs.google.com/spreadsheets/d/1XL5vhW3sbDhbH9Cz0tuDiY8C3ctxq1tqvaCgkFb8cCA/edit?usp=sharing"",""นครราชสีมา!J126"")"),0)</f>
        <v>0</v>
      </c>
      <c r="AH38" s="99">
        <f t="shared" ca="1" si="14"/>
        <v>0</v>
      </c>
      <c r="AI38" s="55">
        <v>0</v>
      </c>
      <c r="AJ38" s="55">
        <v>0</v>
      </c>
      <c r="AK38" s="55">
        <f ca="1">IFERROR(__xludf.DUMMYFUNCTION("IMPORTRANGE(""https://docs.google.com/spreadsheets/d/1XL5vhW3sbDhbH9Cz0tuDiY8C3ctxq1tqvaCgkFb8cCA/edit?usp=sharing"",""นครราชสีมา!J138"")"),0)</f>
        <v>0</v>
      </c>
      <c r="AL38" s="99">
        <f t="shared" si="16"/>
        <v>0</v>
      </c>
      <c r="AM38" s="55">
        <v>0</v>
      </c>
      <c r="AN38" s="55">
        <v>0</v>
      </c>
      <c r="AO38" s="55">
        <f ca="1">IFERROR(__xludf.DUMMYFUNCTION("IMPORTRANGE(""https://docs.google.com/spreadsheets/d/1XL5vhW3sbDhbH9Cz0tuDiY8C3ctxq1tqvaCgkFb8cCA/edit?usp=sharing"",""นครราชสีมา!J140"")"),0)</f>
        <v>0</v>
      </c>
      <c r="AP38" s="99">
        <f t="shared" si="18"/>
        <v>0</v>
      </c>
      <c r="AQ38" s="55">
        <f ca="1">IFERROR(__xludf.DUMMYFUNCTION("IMPORTRANGE(""https://docs.google.com/spreadsheets/d/1XL5vhW3sbDhbH9Cz0tuDiY8C3ctxq1tqvaCgkFb8cCA/edit?usp=sharing"",""นครราชสีมา!J141"")"),0)</f>
        <v>0</v>
      </c>
      <c r="AR38" s="99">
        <f t="shared" si="19"/>
        <v>0</v>
      </c>
      <c r="AS38" s="55">
        <f t="shared" si="20"/>
        <v>15</v>
      </c>
      <c r="AT38" s="55">
        <f t="shared" ca="1" si="83"/>
        <v>0</v>
      </c>
      <c r="AU38" s="99">
        <f t="shared" ca="1" si="21"/>
        <v>0</v>
      </c>
    </row>
    <row r="39" spans="1:47" ht="24" customHeight="1" x14ac:dyDescent="0.5">
      <c r="A39" s="52">
        <v>6</v>
      </c>
      <c r="B39" s="53" t="s">
        <v>54</v>
      </c>
      <c r="C39" s="54">
        <f t="shared" si="80"/>
        <v>176500</v>
      </c>
      <c r="D39" s="55">
        <v>0</v>
      </c>
      <c r="E39" s="55">
        <f t="shared" si="81"/>
        <v>176500</v>
      </c>
      <c r="F39" s="55">
        <f ca="1">IFERROR(__xludf.DUMMYFUNCTION("IMPORTRANGE(""https://docs.google.com/spreadsheets/d/1XL5vhW3sbDhbH9Cz0tuDiY8C3ctxq1tqvaCgkFb8cCA/edit?usp=sharing"",""บึงกาฬ!M71"")"),0)</f>
        <v>0</v>
      </c>
      <c r="G39" s="99">
        <f t="shared" ca="1" si="1"/>
        <v>0</v>
      </c>
      <c r="H39" s="55">
        <v>7500</v>
      </c>
      <c r="I39" s="55">
        <v>4</v>
      </c>
      <c r="J39" s="55">
        <f ca="1">IFERROR(__xludf.DUMMYFUNCTION("IMPORTRANGE(""https://docs.google.com/spreadsheets/d/1XL5vhW3sbDhbH9Cz0tuDiY8C3ctxq1tqvaCgkFb8cCA/edit?usp=sharing"",""บึงกาฬ!J83"")"),0)</f>
        <v>0</v>
      </c>
      <c r="K39" s="99">
        <f t="shared" ca="1" si="3"/>
        <v>0</v>
      </c>
      <c r="L39" s="55">
        <f t="shared" ca="1" si="82"/>
        <v>0</v>
      </c>
      <c r="M39" s="55">
        <f ca="1">IFERROR(__xludf.DUMMYFUNCTION("IMPORTRANGE(""https://docs.google.com/spreadsheets/d/1XL5vhW3sbDhbH9Cz0tuDiY8C3ctxq1tqvaCgkFb8cCA/edit?usp=sharing"",""กาฬสินธุ์!J85"")"),0)</f>
        <v>0</v>
      </c>
      <c r="N39" s="55">
        <f ca="1">IFERROR(__xludf.DUMMYFUNCTION("IMPORTRANGE(""https://docs.google.com/spreadsheets/d/1XL5vhW3sbDhbH9Cz0tuDiY8C3ctxq1tqvaCgkFb8cCA/edit?usp=sharing"",""กาฬสินธุ์!J86"")"),0)</f>
        <v>0</v>
      </c>
      <c r="O39" s="55">
        <v>70000</v>
      </c>
      <c r="P39" s="55">
        <v>5</v>
      </c>
      <c r="Q39" s="55">
        <f ca="1">IFERROR(__xludf.DUMMYFUNCTION("IMPORTRANGE(""https://docs.google.com/spreadsheets/d/1XL5vhW3sbDhbH9Cz0tuDiY8C3ctxq1tqvaCgkFb8cCA/edit?usp=sharing"",""บึงกาฬ!J98"")"),0)</f>
        <v>0</v>
      </c>
      <c r="R39" s="99">
        <f t="shared" ca="1" si="5"/>
        <v>0</v>
      </c>
      <c r="S39" s="55">
        <v>90000</v>
      </c>
      <c r="T39" s="55">
        <v>6</v>
      </c>
      <c r="U39" s="55">
        <f ca="1">IFERROR(__xludf.DUMMYFUNCTION("IMPORTRANGE(""https://docs.google.com/spreadsheets/d/1XL5vhW3sbDhbH9Cz0tuDiY8C3ctxq1tqvaCgkFb8cCA/edit?usp=sharing"",""บึงกาฬ!J110"")"),0)</f>
        <v>0</v>
      </c>
      <c r="V39" s="99">
        <f t="shared" ca="1" si="7"/>
        <v>0</v>
      </c>
      <c r="W39" s="55">
        <v>6</v>
      </c>
      <c r="X39" s="55">
        <f ca="1">IFERROR(__xludf.DUMMYFUNCTION("IMPORTRANGE(""https://docs.google.com/spreadsheets/d/1XL5vhW3sbDhbH9Cz0tuDiY8C3ctxq1tqvaCgkFb8cCA/edit?usp=sharing"",""บึงกาฬ!J111"")"),0)</f>
        <v>0</v>
      </c>
      <c r="Y39" s="99">
        <f t="shared" ca="1" si="9"/>
        <v>0</v>
      </c>
      <c r="Z39" s="55">
        <v>9000</v>
      </c>
      <c r="AA39" s="55">
        <v>20000</v>
      </c>
      <c r="AB39" s="55">
        <f ca="1">IFERROR(__xludf.DUMMYFUNCTION("IMPORTRANGE(""https://docs.google.com/spreadsheets/d/1XL5vhW3sbDhbH9Cz0tuDiY8C3ctxq1tqvaCgkFb8cCA/edit?usp=sharing"",""บึงกาฬ!J124"")"),0)</f>
        <v>0</v>
      </c>
      <c r="AC39" s="99">
        <f t="shared" ca="1" si="11"/>
        <v>0</v>
      </c>
      <c r="AD39" s="55">
        <f ca="1">IFERROR(__xludf.DUMMYFUNCTION("IMPORTRANGE(""https://docs.google.com/spreadsheets/d/1XL5vhW3sbDhbH9Cz0tuDiY8C3ctxq1tqvaCgkFb8cCA/edit?usp=sharing"",""บึงกาฬ!J125"")"),0)</f>
        <v>0</v>
      </c>
      <c r="AE39" s="99">
        <f t="shared" ca="1" si="12"/>
        <v>0</v>
      </c>
      <c r="AF39" s="55">
        <v>0</v>
      </c>
      <c r="AG39" s="55">
        <f ca="1">IFERROR(__xludf.DUMMYFUNCTION("IMPORTRANGE(""https://docs.google.com/spreadsheets/d/1XL5vhW3sbDhbH9Cz0tuDiY8C3ctxq1tqvaCgkFb8cCA/edit?usp=sharing"",""บึงกาฬ!J126"")"),0)</f>
        <v>0</v>
      </c>
      <c r="AH39" s="99">
        <f t="shared" si="14"/>
        <v>0</v>
      </c>
      <c r="AI39" s="55">
        <v>0</v>
      </c>
      <c r="AJ39" s="55">
        <v>0</v>
      </c>
      <c r="AK39" s="55">
        <f ca="1">IFERROR(__xludf.DUMMYFUNCTION("IMPORTRANGE(""https://docs.google.com/spreadsheets/d/1XL5vhW3sbDhbH9Cz0tuDiY8C3ctxq1tqvaCgkFb8cCA/edit?usp=sharing"",""บึงกาฬ!J138"")"),0)</f>
        <v>0</v>
      </c>
      <c r="AL39" s="99">
        <f t="shared" si="16"/>
        <v>0</v>
      </c>
      <c r="AM39" s="55">
        <v>0</v>
      </c>
      <c r="AN39" s="55">
        <v>0</v>
      </c>
      <c r="AO39" s="55">
        <f ca="1">IFERROR(__xludf.DUMMYFUNCTION("IMPORTRANGE(""https://docs.google.com/spreadsheets/d/1XL5vhW3sbDhbH9Cz0tuDiY8C3ctxq1tqvaCgkFb8cCA/edit?usp=sharing"",""บึงกาฬ!J140"")"),0)</f>
        <v>0</v>
      </c>
      <c r="AP39" s="99">
        <f t="shared" si="18"/>
        <v>0</v>
      </c>
      <c r="AQ39" s="55">
        <f ca="1">IFERROR(__xludf.DUMMYFUNCTION("IMPORTRANGE(""https://docs.google.com/spreadsheets/d/1XL5vhW3sbDhbH9Cz0tuDiY8C3ctxq1tqvaCgkFb8cCA/edit?usp=sharing"",""บึงกาฬ!J141"")"),0)</f>
        <v>0</v>
      </c>
      <c r="AR39" s="99">
        <f t="shared" si="19"/>
        <v>0</v>
      </c>
      <c r="AS39" s="55">
        <f t="shared" si="20"/>
        <v>0</v>
      </c>
      <c r="AT39" s="55">
        <f t="shared" ca="1" si="83"/>
        <v>0</v>
      </c>
      <c r="AU39" s="99">
        <f t="shared" si="21"/>
        <v>0</v>
      </c>
    </row>
    <row r="40" spans="1:47" ht="24" customHeight="1" x14ac:dyDescent="0.5">
      <c r="A40" s="52">
        <v>7</v>
      </c>
      <c r="B40" s="53" t="s">
        <v>55</v>
      </c>
      <c r="C40" s="54">
        <f t="shared" si="80"/>
        <v>98500</v>
      </c>
      <c r="D40" s="55">
        <v>0</v>
      </c>
      <c r="E40" s="55">
        <f t="shared" si="81"/>
        <v>98500</v>
      </c>
      <c r="F40" s="55">
        <f ca="1">IFERROR(__xludf.DUMMYFUNCTION("IMPORTRANGE(""https://docs.google.com/spreadsheets/d/1XL5vhW3sbDhbH9Cz0tuDiY8C3ctxq1tqvaCgkFb8cCA/edit?usp=sharing"",""บุรีรัมย์!M71"")"),0)</f>
        <v>0</v>
      </c>
      <c r="G40" s="99">
        <f t="shared" ca="1" si="1"/>
        <v>0</v>
      </c>
      <c r="H40" s="55">
        <v>7500</v>
      </c>
      <c r="I40" s="55">
        <v>4</v>
      </c>
      <c r="J40" s="55">
        <f ca="1">IFERROR(__xludf.DUMMYFUNCTION("IMPORTRANGE(""https://docs.google.com/spreadsheets/d/1XL5vhW3sbDhbH9Cz0tuDiY8C3ctxq1tqvaCgkFb8cCA/edit?usp=sharing"",""บุรีรัมย์!J83"")"),0)</f>
        <v>0</v>
      </c>
      <c r="K40" s="99">
        <f t="shared" ca="1" si="3"/>
        <v>0</v>
      </c>
      <c r="L40" s="55">
        <f t="shared" ca="1" si="82"/>
        <v>0</v>
      </c>
      <c r="M40" s="55">
        <f ca="1">IFERROR(__xludf.DUMMYFUNCTION("IMPORTRANGE(""https://docs.google.com/spreadsheets/d/1XL5vhW3sbDhbH9Cz0tuDiY8C3ctxq1tqvaCgkFb8cCA/edit?usp=sharing"",""กาฬสินธุ์!J85"")"),0)</f>
        <v>0</v>
      </c>
      <c r="N40" s="55">
        <f ca="1">IFERROR(__xludf.DUMMYFUNCTION("IMPORTRANGE(""https://docs.google.com/spreadsheets/d/1XL5vhW3sbDhbH9Cz0tuDiY8C3ctxq1tqvaCgkFb8cCA/edit?usp=sharing"",""กาฬสินธุ์!J86"")"),0)</f>
        <v>0</v>
      </c>
      <c r="O40" s="55">
        <v>42000</v>
      </c>
      <c r="P40" s="55">
        <v>3</v>
      </c>
      <c r="Q40" s="55">
        <f ca="1">IFERROR(__xludf.DUMMYFUNCTION("IMPORTRANGE(""https://docs.google.com/spreadsheets/d/1XL5vhW3sbDhbH9Cz0tuDiY8C3ctxq1tqvaCgkFb8cCA/edit?usp=sharing"",""บุรีรัมย์!J98"")"),0)</f>
        <v>0</v>
      </c>
      <c r="R40" s="99">
        <f t="shared" ca="1" si="5"/>
        <v>0</v>
      </c>
      <c r="S40" s="55">
        <v>15000</v>
      </c>
      <c r="T40" s="55">
        <v>1</v>
      </c>
      <c r="U40" s="55">
        <f ca="1">IFERROR(__xludf.DUMMYFUNCTION("IMPORTRANGE(""https://docs.google.com/spreadsheets/d/1XL5vhW3sbDhbH9Cz0tuDiY8C3ctxq1tqvaCgkFb8cCA/edit?usp=sharing"",""บุรีรัมย์!J110"")"),0)</f>
        <v>0</v>
      </c>
      <c r="V40" s="99">
        <f t="shared" ca="1" si="7"/>
        <v>0</v>
      </c>
      <c r="W40" s="55">
        <v>1</v>
      </c>
      <c r="X40" s="55">
        <f ca="1">IFERROR(__xludf.DUMMYFUNCTION("IMPORTRANGE(""https://docs.google.com/spreadsheets/d/1XL5vhW3sbDhbH9Cz0tuDiY8C3ctxq1tqvaCgkFb8cCA/edit?usp=sharing"",""บุรีรัมย์!J111"")"),0)</f>
        <v>0</v>
      </c>
      <c r="Y40" s="99">
        <f t="shared" ca="1" si="9"/>
        <v>0</v>
      </c>
      <c r="Z40" s="55">
        <v>34000</v>
      </c>
      <c r="AA40" s="55">
        <v>100000</v>
      </c>
      <c r="AB40" s="55">
        <f ca="1">IFERROR(__xludf.DUMMYFUNCTION("IMPORTRANGE(""https://docs.google.com/spreadsheets/d/1XL5vhW3sbDhbH9Cz0tuDiY8C3ctxq1tqvaCgkFb8cCA/edit?usp=sharing"",""บุรีรัมย์!J124"")"),0)</f>
        <v>0</v>
      </c>
      <c r="AC40" s="99">
        <f t="shared" ca="1" si="11"/>
        <v>0</v>
      </c>
      <c r="AD40" s="55">
        <f ca="1">IFERROR(__xludf.DUMMYFUNCTION("IMPORTRANGE(""https://docs.google.com/spreadsheets/d/1XL5vhW3sbDhbH9Cz0tuDiY8C3ctxq1tqvaCgkFb8cCA/edit?usp=sharing"",""บุรีรัมย์!J125"")"),0)</f>
        <v>0</v>
      </c>
      <c r="AE40" s="99">
        <f t="shared" ca="1" si="12"/>
        <v>0</v>
      </c>
      <c r="AF40" s="55">
        <v>0</v>
      </c>
      <c r="AG40" s="55">
        <f ca="1">IFERROR(__xludf.DUMMYFUNCTION("IMPORTRANGE(""https://docs.google.com/spreadsheets/d/1XL5vhW3sbDhbH9Cz0tuDiY8C3ctxq1tqvaCgkFb8cCA/edit?usp=sharing"",""บุรีรัมย์!J126"")"),0)</f>
        <v>0</v>
      </c>
      <c r="AH40" s="99">
        <f t="shared" si="14"/>
        <v>0</v>
      </c>
      <c r="AI40" s="55">
        <v>0</v>
      </c>
      <c r="AJ40" s="55">
        <v>0</v>
      </c>
      <c r="AK40" s="55">
        <f ca="1">IFERROR(__xludf.DUMMYFUNCTION("IMPORTRANGE(""https://docs.google.com/spreadsheets/d/1XL5vhW3sbDhbH9Cz0tuDiY8C3ctxq1tqvaCgkFb8cCA/edit?usp=sharing"",""บุรีรัมย์!J138"")"),0)</f>
        <v>0</v>
      </c>
      <c r="AL40" s="99">
        <f t="shared" si="16"/>
        <v>0</v>
      </c>
      <c r="AM40" s="55">
        <v>0</v>
      </c>
      <c r="AN40" s="55">
        <v>0</v>
      </c>
      <c r="AO40" s="55">
        <f ca="1">IFERROR(__xludf.DUMMYFUNCTION("IMPORTRANGE(""https://docs.google.com/spreadsheets/d/1XL5vhW3sbDhbH9Cz0tuDiY8C3ctxq1tqvaCgkFb8cCA/edit?usp=sharing"",""บุรีรัมย์!J140"")"),0)</f>
        <v>0</v>
      </c>
      <c r="AP40" s="99">
        <f t="shared" si="18"/>
        <v>0</v>
      </c>
      <c r="AQ40" s="55">
        <f ca="1">IFERROR(__xludf.DUMMYFUNCTION("IMPORTRANGE(""https://docs.google.com/spreadsheets/d/1XL5vhW3sbDhbH9Cz0tuDiY8C3ctxq1tqvaCgkFb8cCA/edit?usp=sharing"",""บุรีรัมย์!J141"")"),0)</f>
        <v>0</v>
      </c>
      <c r="AR40" s="99">
        <f t="shared" si="19"/>
        <v>0</v>
      </c>
      <c r="AS40" s="55">
        <f t="shared" si="20"/>
        <v>0</v>
      </c>
      <c r="AT40" s="55">
        <f t="shared" ca="1" si="83"/>
        <v>0</v>
      </c>
      <c r="AU40" s="99">
        <f t="shared" si="21"/>
        <v>0</v>
      </c>
    </row>
    <row r="41" spans="1:47" ht="24" customHeight="1" x14ac:dyDescent="0.5">
      <c r="A41" s="52">
        <v>8</v>
      </c>
      <c r="B41" s="53" t="s">
        <v>56</v>
      </c>
      <c r="C41" s="54">
        <f t="shared" si="80"/>
        <v>97500</v>
      </c>
      <c r="D41" s="55">
        <v>0</v>
      </c>
      <c r="E41" s="55">
        <f t="shared" si="81"/>
        <v>97500</v>
      </c>
      <c r="F41" s="55">
        <f ca="1">IFERROR(__xludf.DUMMYFUNCTION("IMPORTRANGE(""https://docs.google.com/spreadsheets/d/1XL5vhW3sbDhbH9Cz0tuDiY8C3ctxq1tqvaCgkFb8cCA/edit?usp=sharing"",""มหาสารคาม!M71"")"),0)</f>
        <v>0</v>
      </c>
      <c r="G41" s="99">
        <f t="shared" ca="1" si="1"/>
        <v>0</v>
      </c>
      <c r="H41" s="55">
        <v>7500</v>
      </c>
      <c r="I41" s="55">
        <v>4</v>
      </c>
      <c r="J41" s="55">
        <f ca="1">IFERROR(__xludf.DUMMYFUNCTION("IMPORTRANGE(""https://docs.google.com/spreadsheets/d/1XL5vhW3sbDhbH9Cz0tuDiY8C3ctxq1tqvaCgkFb8cCA/edit?usp=sharing"",""มหาสารคาม!J83"")"),0)</f>
        <v>0</v>
      </c>
      <c r="K41" s="99">
        <f t="shared" ca="1" si="3"/>
        <v>0</v>
      </c>
      <c r="L41" s="55">
        <f t="shared" ca="1" si="82"/>
        <v>0</v>
      </c>
      <c r="M41" s="55">
        <f ca="1">IFERROR(__xludf.DUMMYFUNCTION("IMPORTRANGE(""https://docs.google.com/spreadsheets/d/1XL5vhW3sbDhbH9Cz0tuDiY8C3ctxq1tqvaCgkFb8cCA/edit?usp=sharing"",""กาฬสินธุ์!J85"")"),0)</f>
        <v>0</v>
      </c>
      <c r="N41" s="55">
        <f ca="1">IFERROR(__xludf.DUMMYFUNCTION("IMPORTRANGE(""https://docs.google.com/spreadsheets/d/1XL5vhW3sbDhbH9Cz0tuDiY8C3ctxq1tqvaCgkFb8cCA/edit?usp=sharing"",""กาฬสินธุ์!J86"")"),0)</f>
        <v>0</v>
      </c>
      <c r="O41" s="55">
        <v>56000</v>
      </c>
      <c r="P41" s="55">
        <v>4</v>
      </c>
      <c r="Q41" s="55">
        <f ca="1">IFERROR(__xludf.DUMMYFUNCTION("IMPORTRANGE(""https://docs.google.com/spreadsheets/d/1XL5vhW3sbDhbH9Cz0tuDiY8C3ctxq1tqvaCgkFb8cCA/edit?usp=sharing"",""มหาสารคาม!J98"")"),0)</f>
        <v>0</v>
      </c>
      <c r="R41" s="99">
        <f t="shared" ca="1" si="5"/>
        <v>0</v>
      </c>
      <c r="S41" s="55"/>
      <c r="T41" s="55">
        <v>0</v>
      </c>
      <c r="U41" s="55">
        <f ca="1">IFERROR(__xludf.DUMMYFUNCTION("IMPORTRANGE(""https://docs.google.com/spreadsheets/d/1XL5vhW3sbDhbH9Cz0tuDiY8C3ctxq1tqvaCgkFb8cCA/edit?usp=sharing"",""มหาสารคาม!J110"")"),0)</f>
        <v>0</v>
      </c>
      <c r="V41" s="99">
        <f t="shared" si="7"/>
        <v>0</v>
      </c>
      <c r="W41" s="55">
        <v>0</v>
      </c>
      <c r="X41" s="55">
        <f ca="1">IFERROR(__xludf.DUMMYFUNCTION("IMPORTRANGE(""https://docs.google.com/spreadsheets/d/1XL5vhW3sbDhbH9Cz0tuDiY8C3ctxq1tqvaCgkFb8cCA/edit?usp=sharing"",""มหาสารคาม!J111"")"),0)</f>
        <v>0</v>
      </c>
      <c r="Y41" s="99">
        <f t="shared" si="9"/>
        <v>0</v>
      </c>
      <c r="Z41" s="55">
        <v>34000</v>
      </c>
      <c r="AA41" s="55">
        <v>100000</v>
      </c>
      <c r="AB41" s="55">
        <f ca="1">IFERROR(__xludf.DUMMYFUNCTION("IMPORTRANGE(""https://docs.google.com/spreadsheets/d/1XL5vhW3sbDhbH9Cz0tuDiY8C3ctxq1tqvaCgkFb8cCA/edit?usp=sharing"",""มหาสารคาม!J124"")"),0)</f>
        <v>0</v>
      </c>
      <c r="AC41" s="99">
        <f t="shared" ca="1" si="11"/>
        <v>0</v>
      </c>
      <c r="AD41" s="55">
        <f ca="1">IFERROR(__xludf.DUMMYFUNCTION("IMPORTRANGE(""https://docs.google.com/spreadsheets/d/1XL5vhW3sbDhbH9Cz0tuDiY8C3ctxq1tqvaCgkFb8cCA/edit?usp=sharing"",""มหาสารคาม!J125"")"),0)</f>
        <v>0</v>
      </c>
      <c r="AE41" s="99">
        <f t="shared" ca="1" si="12"/>
        <v>0</v>
      </c>
      <c r="AF41" s="55">
        <v>0</v>
      </c>
      <c r="AG41" s="55">
        <f ca="1">IFERROR(__xludf.DUMMYFUNCTION("IMPORTRANGE(""https://docs.google.com/spreadsheets/d/1XL5vhW3sbDhbH9Cz0tuDiY8C3ctxq1tqvaCgkFb8cCA/edit?usp=sharing"",""มหาสารคาม!J126"")"),0)</f>
        <v>0</v>
      </c>
      <c r="AH41" s="99">
        <f t="shared" si="14"/>
        <v>0</v>
      </c>
      <c r="AI41" s="55">
        <v>0</v>
      </c>
      <c r="AJ41" s="55">
        <v>0</v>
      </c>
      <c r="AK41" s="55">
        <f ca="1">IFERROR(__xludf.DUMMYFUNCTION("IMPORTRANGE(""https://docs.google.com/spreadsheets/d/1XL5vhW3sbDhbH9Cz0tuDiY8C3ctxq1tqvaCgkFb8cCA/edit?usp=sharing"",""มหาสารคาม!J138"")"),0)</f>
        <v>0</v>
      </c>
      <c r="AL41" s="99">
        <f t="shared" si="16"/>
        <v>0</v>
      </c>
      <c r="AM41" s="55">
        <v>0</v>
      </c>
      <c r="AN41" s="55">
        <v>0</v>
      </c>
      <c r="AO41" s="55">
        <f ca="1">IFERROR(__xludf.DUMMYFUNCTION("IMPORTRANGE(""https://docs.google.com/spreadsheets/d/1XL5vhW3sbDhbH9Cz0tuDiY8C3ctxq1tqvaCgkFb8cCA/edit?usp=sharing"",""มหาสารคาม!J140"")"),0)</f>
        <v>0</v>
      </c>
      <c r="AP41" s="99">
        <f t="shared" si="18"/>
        <v>0</v>
      </c>
      <c r="AQ41" s="55">
        <f ca="1">IFERROR(__xludf.DUMMYFUNCTION("IMPORTRANGE(""https://docs.google.com/spreadsheets/d/1XL5vhW3sbDhbH9Cz0tuDiY8C3ctxq1tqvaCgkFb8cCA/edit?usp=sharing"",""มหาสารคาม!J141"")"),0)</f>
        <v>0</v>
      </c>
      <c r="AR41" s="99">
        <f t="shared" si="19"/>
        <v>0</v>
      </c>
      <c r="AS41" s="55">
        <f t="shared" si="20"/>
        <v>0</v>
      </c>
      <c r="AT41" s="55">
        <f t="shared" ca="1" si="83"/>
        <v>0</v>
      </c>
      <c r="AU41" s="99">
        <f t="shared" si="21"/>
        <v>0</v>
      </c>
    </row>
    <row r="42" spans="1:47" ht="24" customHeight="1" x14ac:dyDescent="0.5">
      <c r="A42" s="52">
        <v>9</v>
      </c>
      <c r="B42" s="53" t="s">
        <v>57</v>
      </c>
      <c r="C42" s="54">
        <f t="shared" si="80"/>
        <v>227500</v>
      </c>
      <c r="D42" s="55">
        <v>132000</v>
      </c>
      <c r="E42" s="55">
        <f t="shared" si="81"/>
        <v>95500</v>
      </c>
      <c r="F42" s="55">
        <f ca="1">IFERROR(__xludf.DUMMYFUNCTION("IMPORTRANGE(""https://docs.google.com/spreadsheets/d/1XL5vhW3sbDhbH9Cz0tuDiY8C3ctxq1tqvaCgkFb8cCA/edit?usp=sharing"",""มุกดาหาร!M71"")"),0)</f>
        <v>0</v>
      </c>
      <c r="G42" s="99">
        <f t="shared" ca="1" si="1"/>
        <v>0</v>
      </c>
      <c r="H42" s="55">
        <v>7500</v>
      </c>
      <c r="I42" s="55">
        <v>4</v>
      </c>
      <c r="J42" s="55">
        <f ca="1">IFERROR(__xludf.DUMMYFUNCTION("IMPORTRANGE(""https://docs.google.com/spreadsheets/d/1XL5vhW3sbDhbH9Cz0tuDiY8C3ctxq1tqvaCgkFb8cCA/edit?usp=sharing"",""มุกดาหาร!J83"")"),0)</f>
        <v>0</v>
      </c>
      <c r="K42" s="99">
        <f t="shared" ca="1" si="3"/>
        <v>0</v>
      </c>
      <c r="L42" s="55">
        <f t="shared" ca="1" si="82"/>
        <v>0</v>
      </c>
      <c r="M42" s="55">
        <f ca="1">IFERROR(__xludf.DUMMYFUNCTION("IMPORTRANGE(""https://docs.google.com/spreadsheets/d/1XL5vhW3sbDhbH9Cz0tuDiY8C3ctxq1tqvaCgkFb8cCA/edit?usp=sharing"",""กาฬสินธุ์!J85"")"),0)</f>
        <v>0</v>
      </c>
      <c r="N42" s="55">
        <f ca="1">IFERROR(__xludf.DUMMYFUNCTION("IMPORTRANGE(""https://docs.google.com/spreadsheets/d/1XL5vhW3sbDhbH9Cz0tuDiY8C3ctxq1tqvaCgkFb8cCA/edit?usp=sharing"",""กาฬสินธุ์!J86"")"),0)</f>
        <v>0</v>
      </c>
      <c r="O42" s="55">
        <v>42000</v>
      </c>
      <c r="P42" s="55">
        <v>3</v>
      </c>
      <c r="Q42" s="55">
        <f ca="1">IFERROR(__xludf.DUMMYFUNCTION("IMPORTRANGE(""https://docs.google.com/spreadsheets/d/1XL5vhW3sbDhbH9Cz0tuDiY8C3ctxq1tqvaCgkFb8cCA/edit?usp=sharing"",""มุกดาหาร!J98"")"),0)</f>
        <v>0</v>
      </c>
      <c r="R42" s="99">
        <f t="shared" ca="1" si="5"/>
        <v>0</v>
      </c>
      <c r="S42" s="55">
        <v>15000</v>
      </c>
      <c r="T42" s="55">
        <v>1</v>
      </c>
      <c r="U42" s="55">
        <f ca="1">IFERROR(__xludf.DUMMYFUNCTION("IMPORTRANGE(""https://docs.google.com/spreadsheets/d/1XL5vhW3sbDhbH9Cz0tuDiY8C3ctxq1tqvaCgkFb8cCA/edit?usp=sharing"",""มุกดาหาร!J110"")"),0)</f>
        <v>0</v>
      </c>
      <c r="V42" s="99">
        <f t="shared" ca="1" si="7"/>
        <v>0</v>
      </c>
      <c r="W42" s="55">
        <v>1</v>
      </c>
      <c r="X42" s="55">
        <f ca="1">IFERROR(__xludf.DUMMYFUNCTION("IMPORTRANGE(""https://docs.google.com/spreadsheets/d/1XL5vhW3sbDhbH9Cz0tuDiY8C3ctxq1tqvaCgkFb8cCA/edit?usp=sharing"",""มุกดาหาร!J111"")"),0)</f>
        <v>0</v>
      </c>
      <c r="Y42" s="99">
        <f t="shared" ca="1" si="9"/>
        <v>0</v>
      </c>
      <c r="Z42" s="55">
        <v>31000</v>
      </c>
      <c r="AA42" s="55">
        <v>40000</v>
      </c>
      <c r="AB42" s="55">
        <f ca="1">IFERROR(__xludf.DUMMYFUNCTION("IMPORTRANGE(""https://docs.google.com/spreadsheets/d/1XL5vhW3sbDhbH9Cz0tuDiY8C3ctxq1tqvaCgkFb8cCA/edit?usp=sharing"",""มุกดาหาร!J124"")"),0)</f>
        <v>0</v>
      </c>
      <c r="AC42" s="99">
        <f t="shared" ca="1" si="11"/>
        <v>0</v>
      </c>
      <c r="AD42" s="55">
        <f ca="1">IFERROR(__xludf.DUMMYFUNCTION("IMPORTRANGE(""https://docs.google.com/spreadsheets/d/1XL5vhW3sbDhbH9Cz0tuDiY8C3ctxq1tqvaCgkFb8cCA/edit?usp=sharing"",""มุกดาหาร!J125"")"),0)</f>
        <v>0</v>
      </c>
      <c r="AE42" s="99">
        <f t="shared" ca="1" si="12"/>
        <v>0</v>
      </c>
      <c r="AF42" s="55">
        <v>15</v>
      </c>
      <c r="AG42" s="55">
        <f ca="1">IFERROR(__xludf.DUMMYFUNCTION("IMPORTRANGE(""https://docs.google.com/spreadsheets/d/1XL5vhW3sbDhbH9Cz0tuDiY8C3ctxq1tqvaCgkFb8cCA/edit?usp=sharing"",""มุกดาหาร!J126"")"),0)</f>
        <v>0</v>
      </c>
      <c r="AH42" s="99">
        <f t="shared" ca="1" si="14"/>
        <v>0</v>
      </c>
      <c r="AI42" s="55">
        <v>0</v>
      </c>
      <c r="AJ42" s="55">
        <v>0</v>
      </c>
      <c r="AK42" s="55">
        <f ca="1">IFERROR(__xludf.DUMMYFUNCTION("IMPORTRANGE(""https://docs.google.com/spreadsheets/d/1XL5vhW3sbDhbH9Cz0tuDiY8C3ctxq1tqvaCgkFb8cCA/edit?usp=sharing"",""มุกดาหาร!J138"")"),0)</f>
        <v>0</v>
      </c>
      <c r="AL42" s="99">
        <f t="shared" si="16"/>
        <v>0</v>
      </c>
      <c r="AM42" s="55">
        <v>0</v>
      </c>
      <c r="AN42" s="55">
        <v>0</v>
      </c>
      <c r="AO42" s="55">
        <f ca="1">IFERROR(__xludf.DUMMYFUNCTION("IMPORTRANGE(""https://docs.google.com/spreadsheets/d/1XL5vhW3sbDhbH9Cz0tuDiY8C3ctxq1tqvaCgkFb8cCA/edit?usp=sharing"",""มุกดาหาร!J140"")"),0)</f>
        <v>0</v>
      </c>
      <c r="AP42" s="99">
        <f t="shared" si="18"/>
        <v>0</v>
      </c>
      <c r="AQ42" s="55">
        <f ca="1">IFERROR(__xludf.DUMMYFUNCTION("IMPORTRANGE(""https://docs.google.com/spreadsheets/d/1XL5vhW3sbDhbH9Cz0tuDiY8C3ctxq1tqvaCgkFb8cCA/edit?usp=sharing"",""มุกดาหาร!J141"")"),0)</f>
        <v>0</v>
      </c>
      <c r="AR42" s="99">
        <f t="shared" si="19"/>
        <v>0</v>
      </c>
      <c r="AS42" s="55">
        <f t="shared" si="20"/>
        <v>15</v>
      </c>
      <c r="AT42" s="55">
        <f t="shared" ca="1" si="83"/>
        <v>0</v>
      </c>
      <c r="AU42" s="99">
        <f t="shared" ca="1" si="21"/>
        <v>0</v>
      </c>
    </row>
    <row r="43" spans="1:47" ht="24" customHeight="1" x14ac:dyDescent="0.5">
      <c r="A43" s="52">
        <v>10</v>
      </c>
      <c r="B43" s="53" t="s">
        <v>58</v>
      </c>
      <c r="C43" s="54">
        <f t="shared" si="80"/>
        <v>79000</v>
      </c>
      <c r="D43" s="55">
        <v>0</v>
      </c>
      <c r="E43" s="55">
        <f t="shared" si="81"/>
        <v>79000</v>
      </c>
      <c r="F43" s="55">
        <f ca="1">IFERROR(__xludf.DUMMYFUNCTION("IMPORTRANGE(""https://docs.google.com/spreadsheets/d/1XL5vhW3sbDhbH9Cz0tuDiY8C3ctxq1tqvaCgkFb8cCA/edit?usp=sharing"",""ยโสธร!M71"")"),1000)</f>
        <v>1000</v>
      </c>
      <c r="G43" s="99">
        <f t="shared" ca="1" si="1"/>
        <v>1.2658227848101267</v>
      </c>
      <c r="H43" s="55">
        <v>7500</v>
      </c>
      <c r="I43" s="55">
        <v>4</v>
      </c>
      <c r="J43" s="55">
        <f ca="1">IFERROR(__xludf.DUMMYFUNCTION("IMPORTRANGE(""https://docs.google.com/spreadsheets/d/1XL5vhW3sbDhbH9Cz0tuDiY8C3ctxq1tqvaCgkFb8cCA/edit?usp=sharing"",""ยโสธร!J83"")"),0)</f>
        <v>0</v>
      </c>
      <c r="K43" s="99">
        <f t="shared" ca="1" si="3"/>
        <v>0</v>
      </c>
      <c r="L43" s="55">
        <f t="shared" ca="1" si="82"/>
        <v>0</v>
      </c>
      <c r="M43" s="55">
        <f ca="1">IFERROR(__xludf.DUMMYFUNCTION("IMPORTRANGE(""https://docs.google.com/spreadsheets/d/1XL5vhW3sbDhbH9Cz0tuDiY8C3ctxq1tqvaCgkFb8cCA/edit?usp=sharing"",""กาฬสินธุ์!J85"")"),0)</f>
        <v>0</v>
      </c>
      <c r="N43" s="55">
        <f ca="1">IFERROR(__xludf.DUMMYFUNCTION("IMPORTRANGE(""https://docs.google.com/spreadsheets/d/1XL5vhW3sbDhbH9Cz0tuDiY8C3ctxq1tqvaCgkFb8cCA/edit?usp=sharing"",""กาฬสินธุ์!J86"")"),0)</f>
        <v>0</v>
      </c>
      <c r="O43" s="55">
        <v>42000</v>
      </c>
      <c r="P43" s="55">
        <v>3</v>
      </c>
      <c r="Q43" s="55">
        <f ca="1">IFERROR(__xludf.DUMMYFUNCTION("IMPORTRANGE(""https://docs.google.com/spreadsheets/d/1XL5vhW3sbDhbH9Cz0tuDiY8C3ctxq1tqvaCgkFb8cCA/edit?usp=sharing"",""ยโสธร!J98"")"),0)</f>
        <v>0</v>
      </c>
      <c r="R43" s="99">
        <f t="shared" ca="1" si="5"/>
        <v>0</v>
      </c>
      <c r="S43" s="55">
        <v>15000</v>
      </c>
      <c r="T43" s="55">
        <v>1</v>
      </c>
      <c r="U43" s="55">
        <f ca="1">IFERROR(__xludf.DUMMYFUNCTION("IMPORTRANGE(""https://docs.google.com/spreadsheets/d/1XL5vhW3sbDhbH9Cz0tuDiY8C3ctxq1tqvaCgkFb8cCA/edit?usp=sharing"",""ยโสธร!J110"")"),0)</f>
        <v>0</v>
      </c>
      <c r="V43" s="99">
        <f t="shared" ca="1" si="7"/>
        <v>0</v>
      </c>
      <c r="W43" s="55">
        <v>1</v>
      </c>
      <c r="X43" s="55">
        <f ca="1">IFERROR(__xludf.DUMMYFUNCTION("IMPORTRANGE(""https://docs.google.com/spreadsheets/d/1XL5vhW3sbDhbH9Cz0tuDiY8C3ctxq1tqvaCgkFb8cCA/edit?usp=sharing"",""ยโสธร!J111"")"),0)</f>
        <v>0</v>
      </c>
      <c r="Y43" s="99">
        <f t="shared" ca="1" si="9"/>
        <v>0</v>
      </c>
      <c r="Z43" s="55">
        <v>14500</v>
      </c>
      <c r="AA43" s="55">
        <v>30000</v>
      </c>
      <c r="AB43" s="55">
        <f ca="1">IFERROR(__xludf.DUMMYFUNCTION("IMPORTRANGE(""https://docs.google.com/spreadsheets/d/1XL5vhW3sbDhbH9Cz0tuDiY8C3ctxq1tqvaCgkFb8cCA/edit?usp=sharing"",""ยโสธร!J124"")"),0)</f>
        <v>0</v>
      </c>
      <c r="AC43" s="99">
        <f t="shared" ca="1" si="11"/>
        <v>0</v>
      </c>
      <c r="AD43" s="55">
        <f ca="1">IFERROR(__xludf.DUMMYFUNCTION("IMPORTRANGE(""https://docs.google.com/spreadsheets/d/1XL5vhW3sbDhbH9Cz0tuDiY8C3ctxq1tqvaCgkFb8cCA/edit?usp=sharing"",""ยโสธร!J125"")"),0)</f>
        <v>0</v>
      </c>
      <c r="AE43" s="99">
        <f t="shared" ca="1" si="12"/>
        <v>0</v>
      </c>
      <c r="AF43" s="55">
        <v>0</v>
      </c>
      <c r="AG43" s="55">
        <f ca="1">IFERROR(__xludf.DUMMYFUNCTION("IMPORTRANGE(""https://docs.google.com/spreadsheets/d/1XL5vhW3sbDhbH9Cz0tuDiY8C3ctxq1tqvaCgkFb8cCA/edit?usp=sharing"",""ยโสธร!J126"")"),0)</f>
        <v>0</v>
      </c>
      <c r="AH43" s="99">
        <f t="shared" si="14"/>
        <v>0</v>
      </c>
      <c r="AI43" s="55">
        <v>0</v>
      </c>
      <c r="AJ43" s="55">
        <v>0</v>
      </c>
      <c r="AK43" s="55">
        <f ca="1">IFERROR(__xludf.DUMMYFUNCTION("IMPORTRANGE(""https://docs.google.com/spreadsheets/d/1XL5vhW3sbDhbH9Cz0tuDiY8C3ctxq1tqvaCgkFb8cCA/edit?usp=sharing"",""ยโสธร!J138"")"),0)</f>
        <v>0</v>
      </c>
      <c r="AL43" s="99">
        <f t="shared" si="16"/>
        <v>0</v>
      </c>
      <c r="AM43" s="55">
        <v>0</v>
      </c>
      <c r="AN43" s="55">
        <v>0</v>
      </c>
      <c r="AO43" s="55">
        <f ca="1">IFERROR(__xludf.DUMMYFUNCTION("IMPORTRANGE(""https://docs.google.com/spreadsheets/d/1XL5vhW3sbDhbH9Cz0tuDiY8C3ctxq1tqvaCgkFb8cCA/edit?usp=sharing"",""ยโสธร!J140"")"),0)</f>
        <v>0</v>
      </c>
      <c r="AP43" s="99">
        <f t="shared" si="18"/>
        <v>0</v>
      </c>
      <c r="AQ43" s="55">
        <f ca="1">IFERROR(__xludf.DUMMYFUNCTION("IMPORTRANGE(""https://docs.google.com/spreadsheets/d/1XL5vhW3sbDhbH9Cz0tuDiY8C3ctxq1tqvaCgkFb8cCA/edit?usp=sharing"",""ยโสธร!J141"")"),0)</f>
        <v>0</v>
      </c>
      <c r="AR43" s="99">
        <f t="shared" si="19"/>
        <v>0</v>
      </c>
      <c r="AS43" s="55">
        <f t="shared" si="20"/>
        <v>0</v>
      </c>
      <c r="AT43" s="55">
        <f t="shared" ca="1" si="83"/>
        <v>0</v>
      </c>
      <c r="AU43" s="99">
        <f t="shared" si="21"/>
        <v>0</v>
      </c>
    </row>
    <row r="44" spans="1:47" ht="24" customHeight="1" x14ac:dyDescent="0.5">
      <c r="A44" s="52">
        <v>11</v>
      </c>
      <c r="B44" s="53" t="s">
        <v>59</v>
      </c>
      <c r="C44" s="54">
        <f t="shared" si="80"/>
        <v>76100</v>
      </c>
      <c r="D44" s="55">
        <v>0</v>
      </c>
      <c r="E44" s="55">
        <f t="shared" si="81"/>
        <v>76100</v>
      </c>
      <c r="F44" s="55">
        <f ca="1">IFERROR(__xludf.DUMMYFUNCTION("IMPORTRANGE(""https://docs.google.com/spreadsheets/d/1XL5vhW3sbDhbH9Cz0tuDiY8C3ctxq1tqvaCgkFb8cCA/edit?usp=sharing"",""ร้อยเอ็ด!M71"")"),0)</f>
        <v>0</v>
      </c>
      <c r="G44" s="99">
        <f t="shared" ca="1" si="1"/>
        <v>0</v>
      </c>
      <c r="H44" s="55">
        <v>7500</v>
      </c>
      <c r="I44" s="55">
        <v>4</v>
      </c>
      <c r="J44" s="55">
        <f ca="1">IFERROR(__xludf.DUMMYFUNCTION("IMPORTRANGE(""https://docs.google.com/spreadsheets/d/1XL5vhW3sbDhbH9Cz0tuDiY8C3ctxq1tqvaCgkFb8cCA/edit?usp=sharing"",""ร้อยเอ็ด!J83"")"),0)</f>
        <v>0</v>
      </c>
      <c r="K44" s="99">
        <f t="shared" ca="1" si="3"/>
        <v>0</v>
      </c>
      <c r="L44" s="55">
        <f t="shared" ca="1" si="82"/>
        <v>0</v>
      </c>
      <c r="M44" s="55">
        <f ca="1">IFERROR(__xludf.DUMMYFUNCTION("IMPORTRANGE(""https://docs.google.com/spreadsheets/d/1XL5vhW3sbDhbH9Cz0tuDiY8C3ctxq1tqvaCgkFb8cCA/edit?usp=sharing"",""กาฬสินธุ์!J85"")"),0)</f>
        <v>0</v>
      </c>
      <c r="N44" s="55">
        <f ca="1">IFERROR(__xludf.DUMMYFUNCTION("IMPORTRANGE(""https://docs.google.com/spreadsheets/d/1XL5vhW3sbDhbH9Cz0tuDiY8C3ctxq1tqvaCgkFb8cCA/edit?usp=sharing"",""กาฬสินธุ์!J86"")"),0)</f>
        <v>0</v>
      </c>
      <c r="O44" s="55">
        <v>42000</v>
      </c>
      <c r="P44" s="55">
        <v>3</v>
      </c>
      <c r="Q44" s="55">
        <f ca="1">IFERROR(__xludf.DUMMYFUNCTION("IMPORTRANGE(""https://docs.google.com/spreadsheets/d/1XL5vhW3sbDhbH9Cz0tuDiY8C3ctxq1tqvaCgkFb8cCA/edit?usp=sharing"",""ร้อยเอ็ด!J98"")"),0)</f>
        <v>0</v>
      </c>
      <c r="R44" s="99">
        <f t="shared" ca="1" si="5"/>
        <v>0</v>
      </c>
      <c r="S44" s="55"/>
      <c r="T44" s="55">
        <v>0</v>
      </c>
      <c r="U44" s="55">
        <f ca="1">IFERROR(__xludf.DUMMYFUNCTION("IMPORTRANGE(""https://docs.google.com/spreadsheets/d/1XL5vhW3sbDhbH9Cz0tuDiY8C3ctxq1tqvaCgkFb8cCA/edit?usp=sharing"",""ร้อยเอ็ด!J110"")"),0)</f>
        <v>0</v>
      </c>
      <c r="V44" s="99">
        <f t="shared" si="7"/>
        <v>0</v>
      </c>
      <c r="W44" s="55">
        <v>0</v>
      </c>
      <c r="X44" s="55">
        <f ca="1">IFERROR(__xludf.DUMMYFUNCTION("IMPORTRANGE(""https://docs.google.com/spreadsheets/d/1XL5vhW3sbDhbH9Cz0tuDiY8C3ctxq1tqvaCgkFb8cCA/edit?usp=sharing"",""ร้อยเอ็ด!J111"")"),0)</f>
        <v>0</v>
      </c>
      <c r="Y44" s="99">
        <f t="shared" si="9"/>
        <v>0</v>
      </c>
      <c r="Z44" s="55">
        <v>26600</v>
      </c>
      <c r="AA44" s="55">
        <v>64000</v>
      </c>
      <c r="AB44" s="55">
        <f ca="1">IFERROR(__xludf.DUMMYFUNCTION("IMPORTRANGE(""https://docs.google.com/spreadsheets/d/1XL5vhW3sbDhbH9Cz0tuDiY8C3ctxq1tqvaCgkFb8cCA/edit?usp=sharing"",""ร้อยเอ็ด!J124"")"),0)</f>
        <v>0</v>
      </c>
      <c r="AC44" s="99">
        <f t="shared" ca="1" si="11"/>
        <v>0</v>
      </c>
      <c r="AD44" s="55">
        <f ca="1">IFERROR(__xludf.DUMMYFUNCTION("IMPORTRANGE(""https://docs.google.com/spreadsheets/d/1XL5vhW3sbDhbH9Cz0tuDiY8C3ctxq1tqvaCgkFb8cCA/edit?usp=sharing"",""ร้อยเอ็ด!J125"")"),0)</f>
        <v>0</v>
      </c>
      <c r="AE44" s="99">
        <f t="shared" ca="1" si="12"/>
        <v>0</v>
      </c>
      <c r="AF44" s="55">
        <v>0</v>
      </c>
      <c r="AG44" s="55">
        <f ca="1">IFERROR(__xludf.DUMMYFUNCTION("IMPORTRANGE(""https://docs.google.com/spreadsheets/d/1XL5vhW3sbDhbH9Cz0tuDiY8C3ctxq1tqvaCgkFb8cCA/edit?usp=sharing"",""ร้อยเอ็ด!J126"")"),0)</f>
        <v>0</v>
      </c>
      <c r="AH44" s="99">
        <f t="shared" si="14"/>
        <v>0</v>
      </c>
      <c r="AI44" s="55">
        <v>0</v>
      </c>
      <c r="AJ44" s="55">
        <v>0</v>
      </c>
      <c r="AK44" s="55">
        <f ca="1">IFERROR(__xludf.DUMMYFUNCTION("IMPORTRANGE(""https://docs.google.com/spreadsheets/d/1XL5vhW3sbDhbH9Cz0tuDiY8C3ctxq1tqvaCgkFb8cCA/edit?usp=sharing"",""ร้อยเอ็ด!J138"")"),0)</f>
        <v>0</v>
      </c>
      <c r="AL44" s="99">
        <f t="shared" si="16"/>
        <v>0</v>
      </c>
      <c r="AM44" s="55">
        <v>0</v>
      </c>
      <c r="AN44" s="55">
        <v>0</v>
      </c>
      <c r="AO44" s="55">
        <f ca="1">IFERROR(__xludf.DUMMYFUNCTION("IMPORTRANGE(""https://docs.google.com/spreadsheets/d/1XL5vhW3sbDhbH9Cz0tuDiY8C3ctxq1tqvaCgkFb8cCA/edit?usp=sharing"",""ร้อยเอ็ด!J140"")"),0)</f>
        <v>0</v>
      </c>
      <c r="AP44" s="99">
        <f t="shared" si="18"/>
        <v>0</v>
      </c>
      <c r="AQ44" s="55">
        <f ca="1">IFERROR(__xludf.DUMMYFUNCTION("IMPORTRANGE(""https://docs.google.com/spreadsheets/d/1XL5vhW3sbDhbH9Cz0tuDiY8C3ctxq1tqvaCgkFb8cCA/edit?usp=sharing"",""ร้อยเอ็ด!J141"")"),0)</f>
        <v>0</v>
      </c>
      <c r="AR44" s="99">
        <f t="shared" si="19"/>
        <v>0</v>
      </c>
      <c r="AS44" s="55">
        <f t="shared" si="20"/>
        <v>0</v>
      </c>
      <c r="AT44" s="55">
        <f t="shared" ca="1" si="83"/>
        <v>0</v>
      </c>
      <c r="AU44" s="99">
        <f t="shared" si="21"/>
        <v>0</v>
      </c>
    </row>
    <row r="45" spans="1:47" ht="24" customHeight="1" x14ac:dyDescent="0.5">
      <c r="A45" s="52">
        <v>12</v>
      </c>
      <c r="B45" s="53" t="s">
        <v>60</v>
      </c>
      <c r="C45" s="54">
        <f t="shared" si="80"/>
        <v>581800</v>
      </c>
      <c r="D45" s="55">
        <v>459100</v>
      </c>
      <c r="E45" s="55">
        <f t="shared" si="81"/>
        <v>122700</v>
      </c>
      <c r="F45" s="55">
        <f ca="1">IFERROR(__xludf.DUMMYFUNCTION("IMPORTRANGE(""https://docs.google.com/spreadsheets/d/1XL5vhW3sbDhbH9Cz0tuDiY8C3ctxq1tqvaCgkFb8cCA/edit?usp=sharing"",""เลย!M71"")"),61853)</f>
        <v>61853</v>
      </c>
      <c r="G45" s="99">
        <f t="shared" ca="1" si="1"/>
        <v>10.631316603643864</v>
      </c>
      <c r="H45" s="55">
        <v>7500</v>
      </c>
      <c r="I45" s="55">
        <v>4</v>
      </c>
      <c r="J45" s="55">
        <f ca="1">IFERROR(__xludf.DUMMYFUNCTION("IMPORTRANGE(""https://docs.google.com/spreadsheets/d/1XL5vhW3sbDhbH9Cz0tuDiY8C3ctxq1tqvaCgkFb8cCA/edit?usp=sharing"",""เลย!J83"")"),0)</f>
        <v>0</v>
      </c>
      <c r="K45" s="99">
        <f t="shared" ca="1" si="3"/>
        <v>0</v>
      </c>
      <c r="L45" s="55">
        <f t="shared" ca="1" si="82"/>
        <v>0</v>
      </c>
      <c r="M45" s="55">
        <f ca="1">IFERROR(__xludf.DUMMYFUNCTION("IMPORTRANGE(""https://docs.google.com/spreadsheets/d/1XL5vhW3sbDhbH9Cz0tuDiY8C3ctxq1tqvaCgkFb8cCA/edit?usp=sharing"",""กาฬสินธุ์!J85"")"),0)</f>
        <v>0</v>
      </c>
      <c r="N45" s="55">
        <f ca="1">IFERROR(__xludf.DUMMYFUNCTION("IMPORTRANGE(""https://docs.google.com/spreadsheets/d/1XL5vhW3sbDhbH9Cz0tuDiY8C3ctxq1tqvaCgkFb8cCA/edit?usp=sharing"",""กาฬสินธุ์!J86"")"),0)</f>
        <v>0</v>
      </c>
      <c r="O45" s="55">
        <v>28000</v>
      </c>
      <c r="P45" s="55">
        <v>2</v>
      </c>
      <c r="Q45" s="55">
        <f ca="1">IFERROR(__xludf.DUMMYFUNCTION("IMPORTRANGE(""https://docs.google.com/spreadsheets/d/1XL5vhW3sbDhbH9Cz0tuDiY8C3ctxq1tqvaCgkFb8cCA/edit?usp=sharing"",""เลย!J98"")"),0)</f>
        <v>0</v>
      </c>
      <c r="R45" s="99">
        <f t="shared" ca="1" si="5"/>
        <v>0</v>
      </c>
      <c r="S45" s="55">
        <v>30000</v>
      </c>
      <c r="T45" s="55">
        <v>2</v>
      </c>
      <c r="U45" s="55">
        <f ca="1">IFERROR(__xludf.DUMMYFUNCTION("IMPORTRANGE(""https://docs.google.com/spreadsheets/d/1XL5vhW3sbDhbH9Cz0tuDiY8C3ctxq1tqvaCgkFb8cCA/edit?usp=sharing"",""เลย!J110"")"),0)</f>
        <v>0</v>
      </c>
      <c r="V45" s="99">
        <f t="shared" ca="1" si="7"/>
        <v>0</v>
      </c>
      <c r="W45" s="55">
        <v>2</v>
      </c>
      <c r="X45" s="55">
        <f ca="1">IFERROR(__xludf.DUMMYFUNCTION("IMPORTRANGE(""https://docs.google.com/spreadsheets/d/1XL5vhW3sbDhbH9Cz0tuDiY8C3ctxq1tqvaCgkFb8cCA/edit?usp=sharing"",""เลย!J111"")"),0)</f>
        <v>0</v>
      </c>
      <c r="Y45" s="99">
        <f t="shared" ca="1" si="9"/>
        <v>0</v>
      </c>
      <c r="Z45" s="55">
        <v>57200</v>
      </c>
      <c r="AA45" s="55">
        <v>128000</v>
      </c>
      <c r="AB45" s="55">
        <f ca="1">IFERROR(__xludf.DUMMYFUNCTION("IMPORTRANGE(""https://docs.google.com/spreadsheets/d/1XL5vhW3sbDhbH9Cz0tuDiY8C3ctxq1tqvaCgkFb8cCA/edit?usp=sharing"",""เลย!J124"")"),0)</f>
        <v>0</v>
      </c>
      <c r="AC45" s="99">
        <f t="shared" ca="1" si="11"/>
        <v>0</v>
      </c>
      <c r="AD45" s="55">
        <f ca="1">IFERROR(__xludf.DUMMYFUNCTION("IMPORTRANGE(""https://docs.google.com/spreadsheets/d/1XL5vhW3sbDhbH9Cz0tuDiY8C3ctxq1tqvaCgkFb8cCA/edit?usp=sharing"",""เลย!J125"")"),0)</f>
        <v>0</v>
      </c>
      <c r="AE45" s="99">
        <f t="shared" ca="1" si="12"/>
        <v>0</v>
      </c>
      <c r="AF45" s="55">
        <v>15</v>
      </c>
      <c r="AG45" s="55">
        <f ca="1">IFERROR(__xludf.DUMMYFUNCTION("IMPORTRANGE(""https://docs.google.com/spreadsheets/d/1XL5vhW3sbDhbH9Cz0tuDiY8C3ctxq1tqvaCgkFb8cCA/edit?usp=sharing"",""เลย!J126"")"),0)</f>
        <v>0</v>
      </c>
      <c r="AH45" s="99">
        <f t="shared" ca="1" si="14"/>
        <v>0</v>
      </c>
      <c r="AI45" s="55">
        <v>0</v>
      </c>
      <c r="AJ45" s="55">
        <v>0</v>
      </c>
      <c r="AK45" s="55">
        <f ca="1">IFERROR(__xludf.DUMMYFUNCTION("IMPORTRANGE(""https://docs.google.com/spreadsheets/d/1XL5vhW3sbDhbH9Cz0tuDiY8C3ctxq1tqvaCgkFb8cCA/edit?usp=sharing"",""เลย!J138"")"),0)</f>
        <v>0</v>
      </c>
      <c r="AL45" s="99">
        <f t="shared" si="16"/>
        <v>0</v>
      </c>
      <c r="AM45" s="55">
        <v>0</v>
      </c>
      <c r="AN45" s="55">
        <v>0</v>
      </c>
      <c r="AO45" s="55">
        <f ca="1">IFERROR(__xludf.DUMMYFUNCTION("IMPORTRANGE(""https://docs.google.com/spreadsheets/d/1XL5vhW3sbDhbH9Cz0tuDiY8C3ctxq1tqvaCgkFb8cCA/edit?usp=sharing"",""เลย!J140"")"),0)</f>
        <v>0</v>
      </c>
      <c r="AP45" s="99">
        <f t="shared" si="18"/>
        <v>0</v>
      </c>
      <c r="AQ45" s="55">
        <f ca="1">IFERROR(__xludf.DUMMYFUNCTION("IMPORTRANGE(""https://docs.google.com/spreadsheets/d/1XL5vhW3sbDhbH9Cz0tuDiY8C3ctxq1tqvaCgkFb8cCA/edit?usp=sharing"",""เลย!J141"")"),0)</f>
        <v>0</v>
      </c>
      <c r="AR45" s="99">
        <f t="shared" si="19"/>
        <v>0</v>
      </c>
      <c r="AS45" s="55">
        <f t="shared" si="20"/>
        <v>15</v>
      </c>
      <c r="AT45" s="55">
        <f t="shared" ca="1" si="83"/>
        <v>0</v>
      </c>
      <c r="AU45" s="99">
        <f t="shared" ca="1" si="21"/>
        <v>0</v>
      </c>
    </row>
    <row r="46" spans="1:47" ht="24" customHeight="1" x14ac:dyDescent="0.5">
      <c r="A46" s="52">
        <v>13</v>
      </c>
      <c r="B46" s="53" t="s">
        <v>61</v>
      </c>
      <c r="C46" s="54">
        <f t="shared" si="80"/>
        <v>86000</v>
      </c>
      <c r="D46" s="55">
        <v>0</v>
      </c>
      <c r="E46" s="55">
        <f t="shared" si="81"/>
        <v>86000</v>
      </c>
      <c r="F46" s="55">
        <f ca="1">IFERROR(__xludf.DUMMYFUNCTION("IMPORTRANGE(""https://docs.google.com/spreadsheets/d/1XL5vhW3sbDhbH9Cz0tuDiY8C3ctxq1tqvaCgkFb8cCA/edit?usp=sharing"",""ศรีสะเกษ!M71"")"),0)</f>
        <v>0</v>
      </c>
      <c r="G46" s="99">
        <f t="shared" ca="1" si="1"/>
        <v>0</v>
      </c>
      <c r="H46" s="55">
        <v>7500</v>
      </c>
      <c r="I46" s="55">
        <v>4</v>
      </c>
      <c r="J46" s="55">
        <f ca="1">IFERROR(__xludf.DUMMYFUNCTION("IMPORTRANGE(""https://docs.google.com/spreadsheets/d/1XL5vhW3sbDhbH9Cz0tuDiY8C3ctxq1tqvaCgkFb8cCA/edit?usp=sharing"",""ศรีสะเกษ!J83"")"),0)</f>
        <v>0</v>
      </c>
      <c r="K46" s="99">
        <f t="shared" ca="1" si="3"/>
        <v>0</v>
      </c>
      <c r="L46" s="55">
        <f t="shared" ca="1" si="82"/>
        <v>0</v>
      </c>
      <c r="M46" s="55">
        <f ca="1">IFERROR(__xludf.DUMMYFUNCTION("IMPORTRANGE(""https://docs.google.com/spreadsheets/d/1XL5vhW3sbDhbH9Cz0tuDiY8C3ctxq1tqvaCgkFb8cCA/edit?usp=sharing"",""กาฬสินธุ์!J85"")"),0)</f>
        <v>0</v>
      </c>
      <c r="N46" s="55">
        <f ca="1">IFERROR(__xludf.DUMMYFUNCTION("IMPORTRANGE(""https://docs.google.com/spreadsheets/d/1XL5vhW3sbDhbH9Cz0tuDiY8C3ctxq1tqvaCgkFb8cCA/edit?usp=sharing"",""กาฬสินธุ์!J86"")"),0)</f>
        <v>0</v>
      </c>
      <c r="O46" s="55">
        <v>56000</v>
      </c>
      <c r="P46" s="55">
        <v>4</v>
      </c>
      <c r="Q46" s="55">
        <f ca="1">IFERROR(__xludf.DUMMYFUNCTION("IMPORTRANGE(""https://docs.google.com/spreadsheets/d/1XL5vhW3sbDhbH9Cz0tuDiY8C3ctxq1tqvaCgkFb8cCA/edit?usp=sharing"",""ศรีสะเกษ!J98"")"),0)</f>
        <v>0</v>
      </c>
      <c r="R46" s="99">
        <f t="shared" ca="1" si="5"/>
        <v>0</v>
      </c>
      <c r="S46" s="55">
        <v>15000</v>
      </c>
      <c r="T46" s="55">
        <v>1</v>
      </c>
      <c r="U46" s="55">
        <f ca="1">IFERROR(__xludf.DUMMYFUNCTION("IMPORTRANGE(""https://docs.google.com/spreadsheets/d/1XL5vhW3sbDhbH9Cz0tuDiY8C3ctxq1tqvaCgkFb8cCA/edit?usp=sharing"",""ศรีสะเกษ!J110"")"),0)</f>
        <v>0</v>
      </c>
      <c r="V46" s="99">
        <f t="shared" ca="1" si="7"/>
        <v>0</v>
      </c>
      <c r="W46" s="55">
        <v>1</v>
      </c>
      <c r="X46" s="55">
        <f ca="1">IFERROR(__xludf.DUMMYFUNCTION("IMPORTRANGE(""https://docs.google.com/spreadsheets/d/1XL5vhW3sbDhbH9Cz0tuDiY8C3ctxq1tqvaCgkFb8cCA/edit?usp=sharing"",""ศรีสะเกษ!J111"")"),0)</f>
        <v>0</v>
      </c>
      <c r="Y46" s="99">
        <f t="shared" ca="1" si="9"/>
        <v>0</v>
      </c>
      <c r="Z46" s="55">
        <v>7500</v>
      </c>
      <c r="AA46" s="55">
        <v>10000</v>
      </c>
      <c r="AB46" s="55">
        <f ca="1">IFERROR(__xludf.DUMMYFUNCTION("IMPORTRANGE(""https://docs.google.com/spreadsheets/d/1XL5vhW3sbDhbH9Cz0tuDiY8C3ctxq1tqvaCgkFb8cCA/edit?usp=sharing"",""ศรีสะเกษ!J124"")"),0)</f>
        <v>0</v>
      </c>
      <c r="AC46" s="99">
        <f t="shared" ca="1" si="11"/>
        <v>0</v>
      </c>
      <c r="AD46" s="55">
        <f ca="1">IFERROR(__xludf.DUMMYFUNCTION("IMPORTRANGE(""https://docs.google.com/spreadsheets/d/1XL5vhW3sbDhbH9Cz0tuDiY8C3ctxq1tqvaCgkFb8cCA/edit?usp=sharing"",""ศรีสะเกษ!J125"")"),0)</f>
        <v>0</v>
      </c>
      <c r="AE46" s="99">
        <f t="shared" ca="1" si="12"/>
        <v>0</v>
      </c>
      <c r="AF46" s="55">
        <v>0</v>
      </c>
      <c r="AG46" s="55">
        <f ca="1">IFERROR(__xludf.DUMMYFUNCTION("IMPORTRANGE(""https://docs.google.com/spreadsheets/d/1XL5vhW3sbDhbH9Cz0tuDiY8C3ctxq1tqvaCgkFb8cCA/edit?usp=sharing"",""ศรีสะเกษ!J126"")"),0)</f>
        <v>0</v>
      </c>
      <c r="AH46" s="99">
        <f t="shared" si="14"/>
        <v>0</v>
      </c>
      <c r="AI46" s="55">
        <v>0</v>
      </c>
      <c r="AJ46" s="55">
        <v>0</v>
      </c>
      <c r="AK46" s="55">
        <f ca="1">IFERROR(__xludf.DUMMYFUNCTION("IMPORTRANGE(""https://docs.google.com/spreadsheets/d/1XL5vhW3sbDhbH9Cz0tuDiY8C3ctxq1tqvaCgkFb8cCA/edit?usp=sharing"",""ศรีสะเกษ!J138"")"),0)</f>
        <v>0</v>
      </c>
      <c r="AL46" s="99">
        <f t="shared" si="16"/>
        <v>0</v>
      </c>
      <c r="AM46" s="55">
        <v>0</v>
      </c>
      <c r="AN46" s="55">
        <v>0</v>
      </c>
      <c r="AO46" s="55">
        <f ca="1">IFERROR(__xludf.DUMMYFUNCTION("IMPORTRANGE(""https://docs.google.com/spreadsheets/d/1XL5vhW3sbDhbH9Cz0tuDiY8C3ctxq1tqvaCgkFb8cCA/edit?usp=sharing"",""ศรีสะเกษ!J140"")"),0)</f>
        <v>0</v>
      </c>
      <c r="AP46" s="99">
        <f t="shared" si="18"/>
        <v>0</v>
      </c>
      <c r="AQ46" s="55">
        <f ca="1">IFERROR(__xludf.DUMMYFUNCTION("IMPORTRANGE(""https://docs.google.com/spreadsheets/d/1XL5vhW3sbDhbH9Cz0tuDiY8C3ctxq1tqvaCgkFb8cCA/edit?usp=sharing"",""ศรีสะเกษ!J141"")"),0)</f>
        <v>0</v>
      </c>
      <c r="AR46" s="99">
        <f t="shared" si="19"/>
        <v>0</v>
      </c>
      <c r="AS46" s="55">
        <f t="shared" si="20"/>
        <v>0</v>
      </c>
      <c r="AT46" s="55">
        <f t="shared" ca="1" si="83"/>
        <v>0</v>
      </c>
      <c r="AU46" s="99">
        <f t="shared" si="21"/>
        <v>0</v>
      </c>
    </row>
    <row r="47" spans="1:47" ht="24" customHeight="1" x14ac:dyDescent="0.5">
      <c r="A47" s="52">
        <v>14</v>
      </c>
      <c r="B47" s="53" t="s">
        <v>62</v>
      </c>
      <c r="C47" s="54">
        <f t="shared" si="80"/>
        <v>619500</v>
      </c>
      <c r="D47" s="55">
        <v>264000</v>
      </c>
      <c r="E47" s="55">
        <f t="shared" si="81"/>
        <v>355500</v>
      </c>
      <c r="F47" s="55">
        <f ca="1">IFERROR(__xludf.DUMMYFUNCTION("IMPORTRANGE(""https://docs.google.com/spreadsheets/d/1XL5vhW3sbDhbH9Cz0tuDiY8C3ctxq1tqvaCgkFb8cCA/edit?usp=sharing"",""สกลนคร!M71"")"),16725.8099999999)</f>
        <v>16725.809999999899</v>
      </c>
      <c r="G47" s="99">
        <f t="shared" ca="1" si="1"/>
        <v>2.6998886198547054</v>
      </c>
      <c r="H47" s="55">
        <v>7500</v>
      </c>
      <c r="I47" s="55">
        <v>4</v>
      </c>
      <c r="J47" s="55">
        <f ca="1">IFERROR(__xludf.DUMMYFUNCTION("IMPORTRANGE(""https://docs.google.com/spreadsheets/d/1XL5vhW3sbDhbH9Cz0tuDiY8C3ctxq1tqvaCgkFb8cCA/edit?usp=sharing"",""สกลนคร!J83"")"),0)</f>
        <v>0</v>
      </c>
      <c r="K47" s="99">
        <f t="shared" ca="1" si="3"/>
        <v>0</v>
      </c>
      <c r="L47" s="55">
        <f t="shared" ca="1" si="82"/>
        <v>0</v>
      </c>
      <c r="M47" s="55">
        <f ca="1">IFERROR(__xludf.DUMMYFUNCTION("IMPORTRANGE(""https://docs.google.com/spreadsheets/d/1XL5vhW3sbDhbH9Cz0tuDiY8C3ctxq1tqvaCgkFb8cCA/edit?usp=sharing"",""กาฬสินธุ์!J85"")"),0)</f>
        <v>0</v>
      </c>
      <c r="N47" s="55">
        <f ca="1">IFERROR(__xludf.DUMMYFUNCTION("IMPORTRANGE(""https://docs.google.com/spreadsheets/d/1XL5vhW3sbDhbH9Cz0tuDiY8C3ctxq1tqvaCgkFb8cCA/edit?usp=sharing"",""กาฬสินธุ์!J86"")"),0)</f>
        <v>0</v>
      </c>
      <c r="O47" s="55">
        <v>42000</v>
      </c>
      <c r="P47" s="55">
        <v>3</v>
      </c>
      <c r="Q47" s="55">
        <f ca="1">IFERROR(__xludf.DUMMYFUNCTION("IMPORTRANGE(""https://docs.google.com/spreadsheets/d/1XL5vhW3sbDhbH9Cz0tuDiY8C3ctxq1tqvaCgkFb8cCA/edit?usp=sharing"",""สกลนคร!J98"")"),0)</f>
        <v>0</v>
      </c>
      <c r="R47" s="99">
        <f t="shared" ca="1" si="5"/>
        <v>0</v>
      </c>
      <c r="S47" s="55"/>
      <c r="T47" s="55">
        <v>0</v>
      </c>
      <c r="U47" s="55">
        <f ca="1">IFERROR(__xludf.DUMMYFUNCTION("IMPORTRANGE(""https://docs.google.com/spreadsheets/d/1XL5vhW3sbDhbH9Cz0tuDiY8C3ctxq1tqvaCgkFb8cCA/edit?usp=sharing"",""สกลนคร!J110"")"),0)</f>
        <v>0</v>
      </c>
      <c r="V47" s="99">
        <f t="shared" si="7"/>
        <v>0</v>
      </c>
      <c r="W47" s="55">
        <v>0</v>
      </c>
      <c r="X47" s="55">
        <f ca="1">IFERROR(__xludf.DUMMYFUNCTION("IMPORTRANGE(""https://docs.google.com/spreadsheets/d/1XL5vhW3sbDhbH9Cz0tuDiY8C3ctxq1tqvaCgkFb8cCA/edit?usp=sharing"",""สกลนคร!J111"")"),0)</f>
        <v>0</v>
      </c>
      <c r="Y47" s="99">
        <f t="shared" si="9"/>
        <v>0</v>
      </c>
      <c r="Z47" s="55">
        <v>8100</v>
      </c>
      <c r="AA47" s="55">
        <v>12800</v>
      </c>
      <c r="AB47" s="55">
        <f ca="1">IFERROR(__xludf.DUMMYFUNCTION("IMPORTRANGE(""https://docs.google.com/spreadsheets/d/1XL5vhW3sbDhbH9Cz0tuDiY8C3ctxq1tqvaCgkFb8cCA/edit?usp=sharing"",""สกลนคร!J124"")"),0)</f>
        <v>0</v>
      </c>
      <c r="AC47" s="99">
        <f t="shared" ca="1" si="11"/>
        <v>0</v>
      </c>
      <c r="AD47" s="55">
        <f ca="1">IFERROR(__xludf.DUMMYFUNCTION("IMPORTRANGE(""https://docs.google.com/spreadsheets/d/1XL5vhW3sbDhbH9Cz0tuDiY8C3ctxq1tqvaCgkFb8cCA/edit?usp=sharing"",""สกลนคร!J125"")"),0)</f>
        <v>0</v>
      </c>
      <c r="AE47" s="99">
        <f t="shared" ca="1" si="12"/>
        <v>0</v>
      </c>
      <c r="AF47" s="55">
        <v>0</v>
      </c>
      <c r="AG47" s="55">
        <f ca="1">IFERROR(__xludf.DUMMYFUNCTION("IMPORTRANGE(""https://docs.google.com/spreadsheets/d/1XL5vhW3sbDhbH9Cz0tuDiY8C3ctxq1tqvaCgkFb8cCA/edit?usp=sharing"",""สกลนคร!J126"")"),0)</f>
        <v>0</v>
      </c>
      <c r="AH47" s="99">
        <f t="shared" si="14"/>
        <v>0</v>
      </c>
      <c r="AI47" s="55">
        <v>297900</v>
      </c>
      <c r="AJ47" s="55">
        <v>50</v>
      </c>
      <c r="AK47" s="55">
        <f ca="1">IFERROR(__xludf.DUMMYFUNCTION("IMPORTRANGE(""https://docs.google.com/spreadsheets/d/1XL5vhW3sbDhbH9Cz0tuDiY8C3ctxq1tqvaCgkFb8cCA/edit?usp=sharing"",""สกลนคร!J138"")"),0)</f>
        <v>0</v>
      </c>
      <c r="AL47" s="99">
        <f t="shared" ca="1" si="16"/>
        <v>0</v>
      </c>
      <c r="AM47" s="55">
        <v>50</v>
      </c>
      <c r="AN47" s="55">
        <v>0</v>
      </c>
      <c r="AO47" s="55">
        <f ca="1">IFERROR(__xludf.DUMMYFUNCTION("IMPORTRANGE(""https://docs.google.com/spreadsheets/d/1XL5vhW3sbDhbH9Cz0tuDiY8C3ctxq1tqvaCgkFb8cCA/edit?usp=sharing"",""สกลนคร!J140"")"),0)</f>
        <v>0</v>
      </c>
      <c r="AP47" s="99">
        <f t="shared" ca="1" si="18"/>
        <v>0</v>
      </c>
      <c r="AQ47" s="55">
        <f ca="1">IFERROR(__xludf.DUMMYFUNCTION("IMPORTRANGE(""https://docs.google.com/spreadsheets/d/1XL5vhW3sbDhbH9Cz0tuDiY8C3ctxq1tqvaCgkFb8cCA/edit?usp=sharing"",""สกลนคร!J141"")"),0)</f>
        <v>0</v>
      </c>
      <c r="AR47" s="99">
        <f t="shared" si="19"/>
        <v>0</v>
      </c>
      <c r="AS47" s="55">
        <f t="shared" si="20"/>
        <v>50</v>
      </c>
      <c r="AT47" s="55">
        <f t="shared" ca="1" si="83"/>
        <v>0</v>
      </c>
      <c r="AU47" s="99">
        <f t="shared" ca="1" si="21"/>
        <v>0</v>
      </c>
    </row>
    <row r="48" spans="1:47" ht="24" customHeight="1" x14ac:dyDescent="0.5">
      <c r="A48" s="52">
        <v>15</v>
      </c>
      <c r="B48" s="53" t="s">
        <v>63</v>
      </c>
      <c r="C48" s="54">
        <f t="shared" si="80"/>
        <v>117900</v>
      </c>
      <c r="D48" s="55">
        <v>0</v>
      </c>
      <c r="E48" s="55">
        <f t="shared" si="81"/>
        <v>117900</v>
      </c>
      <c r="F48" s="55">
        <f ca="1">IFERROR(__xludf.DUMMYFUNCTION("IMPORTRANGE(""https://docs.google.com/spreadsheets/d/1XL5vhW3sbDhbH9Cz0tuDiY8C3ctxq1tqvaCgkFb8cCA/edit?usp=sharing"",""สุรินทร์!M71"")"),0)</f>
        <v>0</v>
      </c>
      <c r="G48" s="99">
        <f t="shared" ca="1" si="1"/>
        <v>0</v>
      </c>
      <c r="H48" s="55">
        <v>7500</v>
      </c>
      <c r="I48" s="55">
        <v>4</v>
      </c>
      <c r="J48" s="55">
        <f ca="1">IFERROR(__xludf.DUMMYFUNCTION("IMPORTRANGE(""https://docs.google.com/spreadsheets/d/1XL5vhW3sbDhbH9Cz0tuDiY8C3ctxq1tqvaCgkFb8cCA/edit?usp=sharing"",""สุรินทร์!J83"")"),0)</f>
        <v>0</v>
      </c>
      <c r="K48" s="99">
        <f t="shared" ca="1" si="3"/>
        <v>0</v>
      </c>
      <c r="L48" s="55">
        <f t="shared" ca="1" si="82"/>
        <v>0</v>
      </c>
      <c r="M48" s="55">
        <f ca="1">IFERROR(__xludf.DUMMYFUNCTION("IMPORTRANGE(""https://docs.google.com/spreadsheets/d/1XL5vhW3sbDhbH9Cz0tuDiY8C3ctxq1tqvaCgkFb8cCA/edit?usp=sharing"",""กาฬสินธุ์!J85"")"),0)</f>
        <v>0</v>
      </c>
      <c r="N48" s="55">
        <f ca="1">IFERROR(__xludf.DUMMYFUNCTION("IMPORTRANGE(""https://docs.google.com/spreadsheets/d/1XL5vhW3sbDhbH9Cz0tuDiY8C3ctxq1tqvaCgkFb8cCA/edit?usp=sharing"",""กาฬสินธุ์!J86"")"),0)</f>
        <v>0</v>
      </c>
      <c r="O48" s="55">
        <v>42000</v>
      </c>
      <c r="P48" s="55">
        <v>3</v>
      </c>
      <c r="Q48" s="55">
        <f ca="1">IFERROR(__xludf.DUMMYFUNCTION("IMPORTRANGE(""https://docs.google.com/spreadsheets/d/1XL5vhW3sbDhbH9Cz0tuDiY8C3ctxq1tqvaCgkFb8cCA/edit?usp=sharing"",""สุรินทร์!J98"")"),0)</f>
        <v>0</v>
      </c>
      <c r="R48" s="99">
        <f t="shared" ca="1" si="5"/>
        <v>0</v>
      </c>
      <c r="S48" s="55">
        <v>60000</v>
      </c>
      <c r="T48" s="55">
        <v>4</v>
      </c>
      <c r="U48" s="55">
        <f ca="1">IFERROR(__xludf.DUMMYFUNCTION("IMPORTRANGE(""https://docs.google.com/spreadsheets/d/1XL5vhW3sbDhbH9Cz0tuDiY8C3ctxq1tqvaCgkFb8cCA/edit?usp=sharing"",""สุรินทร์!J110"")"),0)</f>
        <v>0</v>
      </c>
      <c r="V48" s="99">
        <f t="shared" ca="1" si="7"/>
        <v>0</v>
      </c>
      <c r="W48" s="55">
        <v>4</v>
      </c>
      <c r="X48" s="55">
        <f ca="1">IFERROR(__xludf.DUMMYFUNCTION("IMPORTRANGE(""https://docs.google.com/spreadsheets/d/1XL5vhW3sbDhbH9Cz0tuDiY8C3ctxq1tqvaCgkFb8cCA/edit?usp=sharing"",""สุรินทร์!J111"")"),0)</f>
        <v>0</v>
      </c>
      <c r="Y48" s="99">
        <f t="shared" ca="1" si="9"/>
        <v>0</v>
      </c>
      <c r="Z48" s="55">
        <v>8400</v>
      </c>
      <c r="AA48" s="55">
        <v>15000</v>
      </c>
      <c r="AB48" s="55">
        <f ca="1">IFERROR(__xludf.DUMMYFUNCTION("IMPORTRANGE(""https://docs.google.com/spreadsheets/d/1XL5vhW3sbDhbH9Cz0tuDiY8C3ctxq1tqvaCgkFb8cCA/edit?usp=sharing"",""สุรินทร์!J124"")"),0)</f>
        <v>0</v>
      </c>
      <c r="AC48" s="99">
        <f t="shared" ca="1" si="11"/>
        <v>0</v>
      </c>
      <c r="AD48" s="55">
        <f ca="1">IFERROR(__xludf.DUMMYFUNCTION("IMPORTRANGE(""https://docs.google.com/spreadsheets/d/1XL5vhW3sbDhbH9Cz0tuDiY8C3ctxq1tqvaCgkFb8cCA/edit?usp=sharing"",""สุรินทร์!J125"")"),0)</f>
        <v>0</v>
      </c>
      <c r="AE48" s="99">
        <f t="shared" ca="1" si="12"/>
        <v>0</v>
      </c>
      <c r="AF48" s="55">
        <v>0</v>
      </c>
      <c r="AG48" s="55">
        <f ca="1">IFERROR(__xludf.DUMMYFUNCTION("IMPORTRANGE(""https://docs.google.com/spreadsheets/d/1XL5vhW3sbDhbH9Cz0tuDiY8C3ctxq1tqvaCgkFb8cCA/edit?usp=sharing"",""สุรินทร์!J126"")"),0)</f>
        <v>0</v>
      </c>
      <c r="AH48" s="99">
        <f t="shared" si="14"/>
        <v>0</v>
      </c>
      <c r="AI48" s="55">
        <v>0</v>
      </c>
      <c r="AJ48" s="55">
        <v>0</v>
      </c>
      <c r="AK48" s="55">
        <f ca="1">IFERROR(__xludf.DUMMYFUNCTION("IMPORTRANGE(""https://docs.google.com/spreadsheets/d/1XL5vhW3sbDhbH9Cz0tuDiY8C3ctxq1tqvaCgkFb8cCA/edit?usp=sharing"",""สุรินทร์!J138"")"),0)</f>
        <v>0</v>
      </c>
      <c r="AL48" s="99">
        <f t="shared" si="16"/>
        <v>0</v>
      </c>
      <c r="AM48" s="55">
        <v>0</v>
      </c>
      <c r="AN48" s="55">
        <v>0</v>
      </c>
      <c r="AO48" s="55">
        <f ca="1">IFERROR(__xludf.DUMMYFUNCTION("IMPORTRANGE(""https://docs.google.com/spreadsheets/d/1XL5vhW3sbDhbH9Cz0tuDiY8C3ctxq1tqvaCgkFb8cCA/edit?usp=sharing"",""สุรินทร์!J140"")"),0)</f>
        <v>0</v>
      </c>
      <c r="AP48" s="99">
        <f t="shared" si="18"/>
        <v>0</v>
      </c>
      <c r="AQ48" s="55">
        <f ca="1">IFERROR(__xludf.DUMMYFUNCTION("IMPORTRANGE(""https://docs.google.com/spreadsheets/d/1XL5vhW3sbDhbH9Cz0tuDiY8C3ctxq1tqvaCgkFb8cCA/edit?usp=sharing"",""สุรินทร์!J141"")"),0)</f>
        <v>0</v>
      </c>
      <c r="AR48" s="99">
        <f t="shared" si="19"/>
        <v>0</v>
      </c>
      <c r="AS48" s="55">
        <f t="shared" si="20"/>
        <v>0</v>
      </c>
      <c r="AT48" s="55">
        <f t="shared" ca="1" si="83"/>
        <v>0</v>
      </c>
      <c r="AU48" s="99">
        <f t="shared" si="21"/>
        <v>0</v>
      </c>
    </row>
    <row r="49" spans="1:47" ht="24" customHeight="1" x14ac:dyDescent="0.5">
      <c r="A49" s="52">
        <v>16</v>
      </c>
      <c r="B49" s="53" t="s">
        <v>64</v>
      </c>
      <c r="C49" s="54">
        <f t="shared" si="80"/>
        <v>79000</v>
      </c>
      <c r="D49" s="55">
        <v>0</v>
      </c>
      <c r="E49" s="55">
        <f t="shared" si="81"/>
        <v>79000</v>
      </c>
      <c r="F49" s="55">
        <f ca="1">IFERROR(__xludf.DUMMYFUNCTION("IMPORTRANGE(""https://docs.google.com/spreadsheets/d/1XL5vhW3sbDhbH9Cz0tuDiY8C3ctxq1tqvaCgkFb8cCA/edit?usp=sharing"",""หนองคาย!M71"")"),0)</f>
        <v>0</v>
      </c>
      <c r="G49" s="99">
        <f t="shared" ca="1" si="1"/>
        <v>0</v>
      </c>
      <c r="H49" s="55">
        <v>7500</v>
      </c>
      <c r="I49" s="55">
        <v>4</v>
      </c>
      <c r="J49" s="55">
        <f ca="1">IFERROR(__xludf.DUMMYFUNCTION("IMPORTRANGE(""https://docs.google.com/spreadsheets/d/1XL5vhW3sbDhbH9Cz0tuDiY8C3ctxq1tqvaCgkFb8cCA/edit?usp=sharing"",""หนองคาย!J83"")"),0)</f>
        <v>0</v>
      </c>
      <c r="K49" s="99">
        <f t="shared" ca="1" si="3"/>
        <v>0</v>
      </c>
      <c r="L49" s="55">
        <f t="shared" ca="1" si="82"/>
        <v>0</v>
      </c>
      <c r="M49" s="55">
        <f ca="1">IFERROR(__xludf.DUMMYFUNCTION("IMPORTRANGE(""https://docs.google.com/spreadsheets/d/1XL5vhW3sbDhbH9Cz0tuDiY8C3ctxq1tqvaCgkFb8cCA/edit?usp=sharing"",""กาฬสินธุ์!J85"")"),0)</f>
        <v>0</v>
      </c>
      <c r="N49" s="55">
        <f ca="1">IFERROR(__xludf.DUMMYFUNCTION("IMPORTRANGE(""https://docs.google.com/spreadsheets/d/1XL5vhW3sbDhbH9Cz0tuDiY8C3ctxq1tqvaCgkFb8cCA/edit?usp=sharing"",""กาฬสินธุ์!J86"")"),0)</f>
        <v>0</v>
      </c>
      <c r="O49" s="55">
        <v>42000</v>
      </c>
      <c r="P49" s="55">
        <v>3</v>
      </c>
      <c r="Q49" s="55">
        <f ca="1">IFERROR(__xludf.DUMMYFUNCTION("IMPORTRANGE(""https://docs.google.com/spreadsheets/d/1XL5vhW3sbDhbH9Cz0tuDiY8C3ctxq1tqvaCgkFb8cCA/edit?usp=sharing"",""หนองคาย!J98"")"),0)</f>
        <v>0</v>
      </c>
      <c r="R49" s="99">
        <f t="shared" ca="1" si="5"/>
        <v>0</v>
      </c>
      <c r="S49" s="55">
        <v>15000</v>
      </c>
      <c r="T49" s="55">
        <v>1</v>
      </c>
      <c r="U49" s="55">
        <f ca="1">IFERROR(__xludf.DUMMYFUNCTION("IMPORTRANGE(""https://docs.google.com/spreadsheets/d/1XL5vhW3sbDhbH9Cz0tuDiY8C3ctxq1tqvaCgkFb8cCA/edit?usp=sharing"",""หนองคาย!J110"")"),0)</f>
        <v>0</v>
      </c>
      <c r="V49" s="99">
        <f t="shared" ca="1" si="7"/>
        <v>0</v>
      </c>
      <c r="W49" s="55">
        <v>1</v>
      </c>
      <c r="X49" s="55">
        <f ca="1">IFERROR(__xludf.DUMMYFUNCTION("IMPORTRANGE(""https://docs.google.com/spreadsheets/d/1XL5vhW3sbDhbH9Cz0tuDiY8C3ctxq1tqvaCgkFb8cCA/edit?usp=sharing"",""หนองคาย!J111"")"),0)</f>
        <v>0</v>
      </c>
      <c r="Y49" s="99">
        <f t="shared" ca="1" si="9"/>
        <v>0</v>
      </c>
      <c r="Z49" s="55">
        <v>14500</v>
      </c>
      <c r="AA49" s="55">
        <v>30000</v>
      </c>
      <c r="AB49" s="55">
        <f ca="1">IFERROR(__xludf.DUMMYFUNCTION("IMPORTRANGE(""https://docs.google.com/spreadsheets/d/1XL5vhW3sbDhbH9Cz0tuDiY8C3ctxq1tqvaCgkFb8cCA/edit?usp=sharing"",""หนองคาย!J124"")"),0)</f>
        <v>0</v>
      </c>
      <c r="AC49" s="99">
        <f t="shared" ca="1" si="11"/>
        <v>0</v>
      </c>
      <c r="AD49" s="55">
        <f ca="1">IFERROR(__xludf.DUMMYFUNCTION("IMPORTRANGE(""https://docs.google.com/spreadsheets/d/1XL5vhW3sbDhbH9Cz0tuDiY8C3ctxq1tqvaCgkFb8cCA/edit?usp=sharing"",""หนองคาย!J125"")"),0)</f>
        <v>0</v>
      </c>
      <c r="AE49" s="99">
        <f t="shared" ca="1" si="12"/>
        <v>0</v>
      </c>
      <c r="AF49" s="55">
        <v>0</v>
      </c>
      <c r="AG49" s="55">
        <f ca="1">IFERROR(__xludf.DUMMYFUNCTION("IMPORTRANGE(""https://docs.google.com/spreadsheets/d/1XL5vhW3sbDhbH9Cz0tuDiY8C3ctxq1tqvaCgkFb8cCA/edit?usp=sharing"",""หนองคาย!J126"")"),0)</f>
        <v>0</v>
      </c>
      <c r="AH49" s="99">
        <f t="shared" si="14"/>
        <v>0</v>
      </c>
      <c r="AI49" s="55">
        <v>0</v>
      </c>
      <c r="AJ49" s="55">
        <v>0</v>
      </c>
      <c r="AK49" s="55">
        <f ca="1">IFERROR(__xludf.DUMMYFUNCTION("IMPORTRANGE(""https://docs.google.com/spreadsheets/d/1XL5vhW3sbDhbH9Cz0tuDiY8C3ctxq1tqvaCgkFb8cCA/edit?usp=sharing"",""หนองคาย!J138"")"),0)</f>
        <v>0</v>
      </c>
      <c r="AL49" s="99">
        <f t="shared" si="16"/>
        <v>0</v>
      </c>
      <c r="AM49" s="55">
        <v>0</v>
      </c>
      <c r="AN49" s="55">
        <v>0</v>
      </c>
      <c r="AO49" s="55">
        <f ca="1">IFERROR(__xludf.DUMMYFUNCTION("IMPORTRANGE(""https://docs.google.com/spreadsheets/d/1XL5vhW3sbDhbH9Cz0tuDiY8C3ctxq1tqvaCgkFb8cCA/edit?usp=sharing"",""หนองคาย!J140"")"),0)</f>
        <v>0</v>
      </c>
      <c r="AP49" s="99">
        <f t="shared" si="18"/>
        <v>0</v>
      </c>
      <c r="AQ49" s="55">
        <f ca="1">IFERROR(__xludf.DUMMYFUNCTION("IMPORTRANGE(""https://docs.google.com/spreadsheets/d/1XL5vhW3sbDhbH9Cz0tuDiY8C3ctxq1tqvaCgkFb8cCA/edit?usp=sharing"",""หนองคาย!J141"")"),0)</f>
        <v>0</v>
      </c>
      <c r="AR49" s="99">
        <f t="shared" si="19"/>
        <v>0</v>
      </c>
      <c r="AS49" s="55">
        <f t="shared" si="20"/>
        <v>0</v>
      </c>
      <c r="AT49" s="55">
        <f t="shared" ca="1" si="83"/>
        <v>0</v>
      </c>
      <c r="AU49" s="99">
        <f t="shared" si="21"/>
        <v>0</v>
      </c>
    </row>
    <row r="50" spans="1:47" ht="24" customHeight="1" x14ac:dyDescent="0.5">
      <c r="A50" s="52">
        <v>17</v>
      </c>
      <c r="B50" s="53" t="s">
        <v>65</v>
      </c>
      <c r="C50" s="54">
        <f t="shared" si="80"/>
        <v>212100</v>
      </c>
      <c r="D50" s="55">
        <v>95100</v>
      </c>
      <c r="E50" s="55">
        <f t="shared" si="81"/>
        <v>117000</v>
      </c>
      <c r="F50" s="55">
        <f ca="1">IFERROR(__xludf.DUMMYFUNCTION("IMPORTRANGE(""https://docs.google.com/spreadsheets/d/1XL5vhW3sbDhbH9Cz0tuDiY8C3ctxq1tqvaCgkFb8cCA/edit?usp=sharing"",""หนองบัวลำภู!M71"")"),1190)</f>
        <v>1190</v>
      </c>
      <c r="G50" s="99">
        <f t="shared" ca="1" si="1"/>
        <v>0.56105610561056107</v>
      </c>
      <c r="H50" s="55">
        <v>7500</v>
      </c>
      <c r="I50" s="55">
        <v>4</v>
      </c>
      <c r="J50" s="55">
        <f ca="1">IFERROR(__xludf.DUMMYFUNCTION("IMPORTRANGE(""https://docs.google.com/spreadsheets/d/1XL5vhW3sbDhbH9Cz0tuDiY8C3ctxq1tqvaCgkFb8cCA/edit?usp=sharing"",""หนองบัวลำภู!J83"")"),0)</f>
        <v>0</v>
      </c>
      <c r="K50" s="99">
        <f t="shared" ca="1" si="3"/>
        <v>0</v>
      </c>
      <c r="L50" s="55">
        <f t="shared" ca="1" si="82"/>
        <v>0</v>
      </c>
      <c r="M50" s="55">
        <f ca="1">IFERROR(__xludf.DUMMYFUNCTION("IMPORTRANGE(""https://docs.google.com/spreadsheets/d/1XL5vhW3sbDhbH9Cz0tuDiY8C3ctxq1tqvaCgkFb8cCA/edit?usp=sharing"",""กาฬสินธุ์!J85"")"),0)</f>
        <v>0</v>
      </c>
      <c r="N50" s="55">
        <f ca="1">IFERROR(__xludf.DUMMYFUNCTION("IMPORTRANGE(""https://docs.google.com/spreadsheets/d/1XL5vhW3sbDhbH9Cz0tuDiY8C3ctxq1tqvaCgkFb8cCA/edit?usp=sharing"",""กาฬสินธุ์!J86"")"),0)</f>
        <v>0</v>
      </c>
      <c r="O50" s="55">
        <v>42000</v>
      </c>
      <c r="P50" s="55">
        <v>3</v>
      </c>
      <c r="Q50" s="55">
        <f ca="1">IFERROR(__xludf.DUMMYFUNCTION("IMPORTRANGE(""https://docs.google.com/spreadsheets/d/1XL5vhW3sbDhbH9Cz0tuDiY8C3ctxq1tqvaCgkFb8cCA/edit?usp=sharing"",""หนองบัวลำภู!J98"")"),0)</f>
        <v>0</v>
      </c>
      <c r="R50" s="99">
        <f t="shared" ca="1" si="5"/>
        <v>0</v>
      </c>
      <c r="S50" s="55">
        <v>45000</v>
      </c>
      <c r="T50" s="55">
        <v>3</v>
      </c>
      <c r="U50" s="55">
        <f ca="1">IFERROR(__xludf.DUMMYFUNCTION("IMPORTRANGE(""https://docs.google.com/spreadsheets/d/1XL5vhW3sbDhbH9Cz0tuDiY8C3ctxq1tqvaCgkFb8cCA/edit?usp=sharing"",""หนองบัวลำภู!J110"")"),0)</f>
        <v>0</v>
      </c>
      <c r="V50" s="99">
        <f t="shared" ca="1" si="7"/>
        <v>0</v>
      </c>
      <c r="W50" s="55">
        <v>3</v>
      </c>
      <c r="X50" s="55">
        <f ca="1">IFERROR(__xludf.DUMMYFUNCTION("IMPORTRANGE(""https://docs.google.com/spreadsheets/d/1XL5vhW3sbDhbH9Cz0tuDiY8C3ctxq1tqvaCgkFb8cCA/edit?usp=sharing"",""หนองบัวลำภู!J111"")"),0)</f>
        <v>0</v>
      </c>
      <c r="Y50" s="99">
        <f t="shared" ca="1" si="9"/>
        <v>0</v>
      </c>
      <c r="Z50" s="55">
        <v>22500</v>
      </c>
      <c r="AA50" s="55">
        <v>10000</v>
      </c>
      <c r="AB50" s="55">
        <f ca="1">IFERROR(__xludf.DUMMYFUNCTION("IMPORTRANGE(""https://docs.google.com/spreadsheets/d/1XL5vhW3sbDhbH9Cz0tuDiY8C3ctxq1tqvaCgkFb8cCA/edit?usp=sharing"",""หนองบัวลำภู!J124"")"),0)</f>
        <v>0</v>
      </c>
      <c r="AC50" s="99">
        <f t="shared" ca="1" si="11"/>
        <v>0</v>
      </c>
      <c r="AD50" s="55">
        <f ca="1">IFERROR(__xludf.DUMMYFUNCTION("IMPORTRANGE(""https://docs.google.com/spreadsheets/d/1XL5vhW3sbDhbH9Cz0tuDiY8C3ctxq1tqvaCgkFb8cCA/edit?usp=sharing"",""หนองบัวลำภู!J125"")"),0)</f>
        <v>0</v>
      </c>
      <c r="AE50" s="99">
        <f t="shared" ca="1" si="12"/>
        <v>0</v>
      </c>
      <c r="AF50" s="55">
        <v>15</v>
      </c>
      <c r="AG50" s="55">
        <f ca="1">IFERROR(__xludf.DUMMYFUNCTION("IMPORTRANGE(""https://docs.google.com/spreadsheets/d/1XL5vhW3sbDhbH9Cz0tuDiY8C3ctxq1tqvaCgkFb8cCA/edit?usp=sharing"",""หนองบัวลำภู!J126"")"),0)</f>
        <v>0</v>
      </c>
      <c r="AH50" s="99">
        <f t="shared" ca="1" si="14"/>
        <v>0</v>
      </c>
      <c r="AI50" s="55">
        <v>0</v>
      </c>
      <c r="AJ50" s="55">
        <v>0</v>
      </c>
      <c r="AK50" s="55">
        <f ca="1">IFERROR(__xludf.DUMMYFUNCTION("IMPORTRANGE(""https://docs.google.com/spreadsheets/d/1XL5vhW3sbDhbH9Cz0tuDiY8C3ctxq1tqvaCgkFb8cCA/edit?usp=sharing"",""หนองบัวลำภู!J138"")"),0)</f>
        <v>0</v>
      </c>
      <c r="AL50" s="99">
        <f t="shared" si="16"/>
        <v>0</v>
      </c>
      <c r="AM50" s="55">
        <v>0</v>
      </c>
      <c r="AN50" s="55">
        <v>0</v>
      </c>
      <c r="AO50" s="55">
        <f ca="1">IFERROR(__xludf.DUMMYFUNCTION("IMPORTRANGE(""https://docs.google.com/spreadsheets/d/1XL5vhW3sbDhbH9Cz0tuDiY8C3ctxq1tqvaCgkFb8cCA/edit?usp=sharing"",""หนองบัวลำภู!J140"")"),0)</f>
        <v>0</v>
      </c>
      <c r="AP50" s="99">
        <f t="shared" si="18"/>
        <v>0</v>
      </c>
      <c r="AQ50" s="55">
        <f ca="1">IFERROR(__xludf.DUMMYFUNCTION("IMPORTRANGE(""https://docs.google.com/spreadsheets/d/1XL5vhW3sbDhbH9Cz0tuDiY8C3ctxq1tqvaCgkFb8cCA/edit?usp=sharing"",""หนองบัวลำภู!J141"")"),0)</f>
        <v>0</v>
      </c>
      <c r="AR50" s="99">
        <f t="shared" si="19"/>
        <v>0</v>
      </c>
      <c r="AS50" s="55">
        <f t="shared" si="20"/>
        <v>15</v>
      </c>
      <c r="AT50" s="55">
        <f t="shared" ca="1" si="83"/>
        <v>0</v>
      </c>
      <c r="AU50" s="99">
        <f t="shared" ca="1" si="21"/>
        <v>0</v>
      </c>
    </row>
    <row r="51" spans="1:47" ht="24" customHeight="1" x14ac:dyDescent="0.5">
      <c r="A51" s="52">
        <v>18</v>
      </c>
      <c r="B51" s="53" t="s">
        <v>66</v>
      </c>
      <c r="C51" s="54">
        <f t="shared" si="80"/>
        <v>77100</v>
      </c>
      <c r="D51" s="55">
        <v>0</v>
      </c>
      <c r="E51" s="55">
        <f t="shared" si="81"/>
        <v>77100</v>
      </c>
      <c r="F51" s="55">
        <f ca="1">IFERROR(__xludf.DUMMYFUNCTION("IMPORTRANGE(""https://docs.google.com/spreadsheets/d/1XL5vhW3sbDhbH9Cz0tuDiY8C3ctxq1tqvaCgkFb8cCA/edit?usp=sharing"",""อำนาจเจริญ!M71"")"),0)</f>
        <v>0</v>
      </c>
      <c r="G51" s="99">
        <f t="shared" ca="1" si="1"/>
        <v>0</v>
      </c>
      <c r="H51" s="55">
        <v>7500</v>
      </c>
      <c r="I51" s="55">
        <v>4</v>
      </c>
      <c r="J51" s="55">
        <f ca="1">IFERROR(__xludf.DUMMYFUNCTION("IMPORTRANGE(""https://docs.google.com/spreadsheets/d/1XL5vhW3sbDhbH9Cz0tuDiY8C3ctxq1tqvaCgkFb8cCA/edit?usp=sharing"",""อำนาจเจริญ!J83"")"),0)</f>
        <v>0</v>
      </c>
      <c r="K51" s="99">
        <f t="shared" ca="1" si="3"/>
        <v>0</v>
      </c>
      <c r="L51" s="55">
        <f t="shared" ca="1" si="82"/>
        <v>0</v>
      </c>
      <c r="M51" s="55">
        <f ca="1">IFERROR(__xludf.DUMMYFUNCTION("IMPORTRANGE(""https://docs.google.com/spreadsheets/d/1XL5vhW3sbDhbH9Cz0tuDiY8C3ctxq1tqvaCgkFb8cCA/edit?usp=sharing"",""กาฬสินธุ์!J85"")"),0)</f>
        <v>0</v>
      </c>
      <c r="N51" s="55">
        <f ca="1">IFERROR(__xludf.DUMMYFUNCTION("IMPORTRANGE(""https://docs.google.com/spreadsheets/d/1XL5vhW3sbDhbH9Cz0tuDiY8C3ctxq1tqvaCgkFb8cCA/edit?usp=sharing"",""กาฬสินธุ์!J86"")"),0)</f>
        <v>0</v>
      </c>
      <c r="O51" s="55">
        <v>28000</v>
      </c>
      <c r="P51" s="55">
        <v>2</v>
      </c>
      <c r="Q51" s="55">
        <f ca="1">IFERROR(__xludf.DUMMYFUNCTION("IMPORTRANGE(""https://docs.google.com/spreadsheets/d/1XL5vhW3sbDhbH9Cz0tuDiY8C3ctxq1tqvaCgkFb8cCA/edit?usp=sharing"",""อำนาจเจริญ!J98"")"),0)</f>
        <v>0</v>
      </c>
      <c r="R51" s="99">
        <f t="shared" ca="1" si="5"/>
        <v>0</v>
      </c>
      <c r="S51" s="55">
        <v>15000</v>
      </c>
      <c r="T51" s="55">
        <v>1</v>
      </c>
      <c r="U51" s="55">
        <f ca="1">IFERROR(__xludf.DUMMYFUNCTION("IMPORTRANGE(""https://docs.google.com/spreadsheets/d/1XL5vhW3sbDhbH9Cz0tuDiY8C3ctxq1tqvaCgkFb8cCA/edit?usp=sharing"",""อำนาจเจริญ!J110"")"),0)</f>
        <v>0</v>
      </c>
      <c r="V51" s="99">
        <f t="shared" ca="1" si="7"/>
        <v>0</v>
      </c>
      <c r="W51" s="55">
        <v>1</v>
      </c>
      <c r="X51" s="55">
        <f ca="1">IFERROR(__xludf.DUMMYFUNCTION("IMPORTRANGE(""https://docs.google.com/spreadsheets/d/1XL5vhW3sbDhbH9Cz0tuDiY8C3ctxq1tqvaCgkFb8cCA/edit?usp=sharing"",""อำนาจเจริญ!J111"")"),0)</f>
        <v>0</v>
      </c>
      <c r="Y51" s="99">
        <f t="shared" ca="1" si="9"/>
        <v>0</v>
      </c>
      <c r="Z51" s="55">
        <v>26600</v>
      </c>
      <c r="AA51" s="55">
        <v>64000</v>
      </c>
      <c r="AB51" s="55">
        <f ca="1">IFERROR(__xludf.DUMMYFUNCTION("IMPORTRANGE(""https://docs.google.com/spreadsheets/d/1XL5vhW3sbDhbH9Cz0tuDiY8C3ctxq1tqvaCgkFb8cCA/edit?usp=sharing"",""อำนาจเจริญ!J124"")"),0)</f>
        <v>0</v>
      </c>
      <c r="AC51" s="99">
        <f t="shared" ca="1" si="11"/>
        <v>0</v>
      </c>
      <c r="AD51" s="55">
        <f ca="1">IFERROR(__xludf.DUMMYFUNCTION("IMPORTRANGE(""https://docs.google.com/spreadsheets/d/1XL5vhW3sbDhbH9Cz0tuDiY8C3ctxq1tqvaCgkFb8cCA/edit?usp=sharing"",""อำนาจเจริญ!J125"")"),0)</f>
        <v>0</v>
      </c>
      <c r="AE51" s="99">
        <f t="shared" ca="1" si="12"/>
        <v>0</v>
      </c>
      <c r="AF51" s="55">
        <v>0</v>
      </c>
      <c r="AG51" s="55">
        <f ca="1">IFERROR(__xludf.DUMMYFUNCTION("IMPORTRANGE(""https://docs.google.com/spreadsheets/d/1XL5vhW3sbDhbH9Cz0tuDiY8C3ctxq1tqvaCgkFb8cCA/edit?usp=sharing"",""อำนาจเจริญ!J126"")"),0)</f>
        <v>0</v>
      </c>
      <c r="AH51" s="99">
        <f t="shared" si="14"/>
        <v>0</v>
      </c>
      <c r="AI51" s="55">
        <v>0</v>
      </c>
      <c r="AJ51" s="55">
        <v>0</v>
      </c>
      <c r="AK51" s="55">
        <f ca="1">IFERROR(__xludf.DUMMYFUNCTION("IMPORTRANGE(""https://docs.google.com/spreadsheets/d/1XL5vhW3sbDhbH9Cz0tuDiY8C3ctxq1tqvaCgkFb8cCA/edit?usp=sharing"",""อำนาจเจริญ!J138"")"),0)</f>
        <v>0</v>
      </c>
      <c r="AL51" s="99">
        <f t="shared" si="16"/>
        <v>0</v>
      </c>
      <c r="AM51" s="55">
        <v>0</v>
      </c>
      <c r="AN51" s="55">
        <v>0</v>
      </c>
      <c r="AO51" s="55">
        <f ca="1">IFERROR(__xludf.DUMMYFUNCTION("IMPORTRANGE(""https://docs.google.com/spreadsheets/d/1XL5vhW3sbDhbH9Cz0tuDiY8C3ctxq1tqvaCgkFb8cCA/edit?usp=sharing"",""อำนาจเจริญ!J140"")"),0)</f>
        <v>0</v>
      </c>
      <c r="AP51" s="99">
        <f t="shared" si="18"/>
        <v>0</v>
      </c>
      <c r="AQ51" s="55">
        <f ca="1">IFERROR(__xludf.DUMMYFUNCTION("IMPORTRANGE(""https://docs.google.com/spreadsheets/d/1XL5vhW3sbDhbH9Cz0tuDiY8C3ctxq1tqvaCgkFb8cCA/edit?usp=sharing"",""อำนาจเจริญ!J141"")"),0)</f>
        <v>0</v>
      </c>
      <c r="AR51" s="99">
        <f t="shared" si="19"/>
        <v>0</v>
      </c>
      <c r="AS51" s="55">
        <f t="shared" si="20"/>
        <v>0</v>
      </c>
      <c r="AT51" s="55">
        <f t="shared" ca="1" si="83"/>
        <v>0</v>
      </c>
      <c r="AU51" s="99">
        <f t="shared" si="21"/>
        <v>0</v>
      </c>
    </row>
    <row r="52" spans="1:47" ht="24" customHeight="1" x14ac:dyDescent="0.5">
      <c r="A52" s="52">
        <v>19</v>
      </c>
      <c r="B52" s="53" t="s">
        <v>67</v>
      </c>
      <c r="C52" s="54">
        <f t="shared" si="80"/>
        <v>102000</v>
      </c>
      <c r="D52" s="55">
        <v>0</v>
      </c>
      <c r="E52" s="55">
        <f t="shared" si="81"/>
        <v>102000</v>
      </c>
      <c r="F52" s="55">
        <f ca="1">IFERROR(__xludf.DUMMYFUNCTION("IMPORTRANGE(""https://docs.google.com/spreadsheets/d/1XL5vhW3sbDhbH9Cz0tuDiY8C3ctxq1tqvaCgkFb8cCA/edit?usp=sharing"",""อุดรธานี!M71"")"),3360)</f>
        <v>3360</v>
      </c>
      <c r="G52" s="99">
        <f t="shared" ca="1" si="1"/>
        <v>3.2941176470588234</v>
      </c>
      <c r="H52" s="55">
        <v>7500</v>
      </c>
      <c r="I52" s="55">
        <v>4</v>
      </c>
      <c r="J52" s="55">
        <f ca="1">IFERROR(__xludf.DUMMYFUNCTION("IMPORTRANGE(""https://docs.google.com/spreadsheets/d/1XL5vhW3sbDhbH9Cz0tuDiY8C3ctxq1tqvaCgkFb8cCA/edit?usp=sharing"",""อุดรธานี!J83"")"),0)</f>
        <v>0</v>
      </c>
      <c r="K52" s="99">
        <f t="shared" ca="1" si="3"/>
        <v>0</v>
      </c>
      <c r="L52" s="55">
        <f t="shared" ca="1" si="82"/>
        <v>0</v>
      </c>
      <c r="M52" s="55">
        <f ca="1">IFERROR(__xludf.DUMMYFUNCTION("IMPORTRANGE(""https://docs.google.com/spreadsheets/d/1XL5vhW3sbDhbH9Cz0tuDiY8C3ctxq1tqvaCgkFb8cCA/edit?usp=sharing"",""กาฬสินธุ์!J85"")"),0)</f>
        <v>0</v>
      </c>
      <c r="N52" s="55">
        <f ca="1">IFERROR(__xludf.DUMMYFUNCTION("IMPORTRANGE(""https://docs.google.com/spreadsheets/d/1XL5vhW3sbDhbH9Cz0tuDiY8C3ctxq1tqvaCgkFb8cCA/edit?usp=sharing"",""กาฬสินธุ์!J86"")"),0)</f>
        <v>0</v>
      </c>
      <c r="O52" s="55">
        <v>42000</v>
      </c>
      <c r="P52" s="55">
        <v>3</v>
      </c>
      <c r="Q52" s="55">
        <f ca="1">IFERROR(__xludf.DUMMYFUNCTION("IMPORTRANGE(""https://docs.google.com/spreadsheets/d/1XL5vhW3sbDhbH9Cz0tuDiY8C3ctxq1tqvaCgkFb8cCA/edit?usp=sharing"",""อุดรธานี!J98"")"),0)</f>
        <v>0</v>
      </c>
      <c r="R52" s="99">
        <f t="shared" ca="1" si="5"/>
        <v>0</v>
      </c>
      <c r="S52" s="55">
        <v>45000</v>
      </c>
      <c r="T52" s="55">
        <v>3</v>
      </c>
      <c r="U52" s="55">
        <f ca="1">IFERROR(__xludf.DUMMYFUNCTION("IMPORTRANGE(""https://docs.google.com/spreadsheets/d/1XL5vhW3sbDhbH9Cz0tuDiY8C3ctxq1tqvaCgkFb8cCA/edit?usp=sharing"",""อุดรธานี!J110"")"),0)</f>
        <v>0</v>
      </c>
      <c r="V52" s="99">
        <f t="shared" ca="1" si="7"/>
        <v>0</v>
      </c>
      <c r="W52" s="55">
        <v>3</v>
      </c>
      <c r="X52" s="55">
        <f ca="1">IFERROR(__xludf.DUMMYFUNCTION("IMPORTRANGE(""https://docs.google.com/spreadsheets/d/1XL5vhW3sbDhbH9Cz0tuDiY8C3ctxq1tqvaCgkFb8cCA/edit?usp=sharing"",""อุดรธานี!J111"")"),0)</f>
        <v>0</v>
      </c>
      <c r="Y52" s="99">
        <f t="shared" ca="1" si="9"/>
        <v>0</v>
      </c>
      <c r="Z52" s="55">
        <v>7500</v>
      </c>
      <c r="AA52" s="55">
        <v>10000</v>
      </c>
      <c r="AB52" s="55">
        <f ca="1">IFERROR(__xludf.DUMMYFUNCTION("IMPORTRANGE(""https://docs.google.com/spreadsheets/d/1XL5vhW3sbDhbH9Cz0tuDiY8C3ctxq1tqvaCgkFb8cCA/edit?usp=sharing"",""อุดรธานี!J124"")"),0)</f>
        <v>0</v>
      </c>
      <c r="AC52" s="99">
        <f t="shared" ca="1" si="11"/>
        <v>0</v>
      </c>
      <c r="AD52" s="55">
        <f ca="1">IFERROR(__xludf.DUMMYFUNCTION("IMPORTRANGE(""https://docs.google.com/spreadsheets/d/1XL5vhW3sbDhbH9Cz0tuDiY8C3ctxq1tqvaCgkFb8cCA/edit?usp=sharing"",""อุดรธานี!J125"")"),0)</f>
        <v>0</v>
      </c>
      <c r="AE52" s="99">
        <f t="shared" ca="1" si="12"/>
        <v>0</v>
      </c>
      <c r="AF52" s="55">
        <v>0</v>
      </c>
      <c r="AG52" s="55">
        <f ca="1">IFERROR(__xludf.DUMMYFUNCTION("IMPORTRANGE(""https://docs.google.com/spreadsheets/d/1XL5vhW3sbDhbH9Cz0tuDiY8C3ctxq1tqvaCgkFb8cCA/edit?usp=sharing"",""อุดรธานี!J126"")"),0)</f>
        <v>0</v>
      </c>
      <c r="AH52" s="99">
        <f t="shared" si="14"/>
        <v>0</v>
      </c>
      <c r="AI52" s="55">
        <v>0</v>
      </c>
      <c r="AJ52" s="55">
        <v>0</v>
      </c>
      <c r="AK52" s="55">
        <f ca="1">IFERROR(__xludf.DUMMYFUNCTION("IMPORTRANGE(""https://docs.google.com/spreadsheets/d/1XL5vhW3sbDhbH9Cz0tuDiY8C3ctxq1tqvaCgkFb8cCA/edit?usp=sharing"",""อุดรธานี!J138"")"),0)</f>
        <v>0</v>
      </c>
      <c r="AL52" s="99">
        <f t="shared" si="16"/>
        <v>0</v>
      </c>
      <c r="AM52" s="55">
        <v>0</v>
      </c>
      <c r="AN52" s="55">
        <v>0</v>
      </c>
      <c r="AO52" s="55">
        <f ca="1">IFERROR(__xludf.DUMMYFUNCTION("IMPORTRANGE(""https://docs.google.com/spreadsheets/d/1XL5vhW3sbDhbH9Cz0tuDiY8C3ctxq1tqvaCgkFb8cCA/edit?usp=sharing"",""อุดรธานี!J140"")"),0)</f>
        <v>0</v>
      </c>
      <c r="AP52" s="99">
        <f t="shared" si="18"/>
        <v>0</v>
      </c>
      <c r="AQ52" s="55">
        <f ca="1">IFERROR(__xludf.DUMMYFUNCTION("IMPORTRANGE(""https://docs.google.com/spreadsheets/d/1XL5vhW3sbDhbH9Cz0tuDiY8C3ctxq1tqvaCgkFb8cCA/edit?usp=sharing"",""อุดรธานี!J141"")"),0)</f>
        <v>0</v>
      </c>
      <c r="AR52" s="99">
        <f t="shared" si="19"/>
        <v>0</v>
      </c>
      <c r="AS52" s="55">
        <f t="shared" si="20"/>
        <v>0</v>
      </c>
      <c r="AT52" s="55">
        <f t="shared" ca="1" si="83"/>
        <v>0</v>
      </c>
      <c r="AU52" s="99">
        <f t="shared" si="21"/>
        <v>0</v>
      </c>
    </row>
    <row r="53" spans="1:47" ht="24" customHeight="1" x14ac:dyDescent="0.5">
      <c r="A53" s="59">
        <v>20</v>
      </c>
      <c r="B53" s="60" t="s">
        <v>68</v>
      </c>
      <c r="C53" s="61">
        <f t="shared" si="80"/>
        <v>912850</v>
      </c>
      <c r="D53" s="62">
        <v>469000</v>
      </c>
      <c r="E53" s="55">
        <f t="shared" si="81"/>
        <v>443850</v>
      </c>
      <c r="F53" s="62">
        <f ca="1">IFERROR(__xludf.DUMMYFUNCTION("IMPORTRANGE(""https://docs.google.com/spreadsheets/d/1XL5vhW3sbDhbH9Cz0tuDiY8C3ctxq1tqvaCgkFb8cCA/edit?usp=sharing"",""อุบลราชธานี!M71"")"),53984)</f>
        <v>53984</v>
      </c>
      <c r="G53" s="100">
        <f t="shared" ca="1" si="1"/>
        <v>5.9137864928520569</v>
      </c>
      <c r="H53" s="62">
        <v>7500</v>
      </c>
      <c r="I53" s="62">
        <v>4</v>
      </c>
      <c r="J53" s="62">
        <f ca="1">IFERROR(__xludf.DUMMYFUNCTION("IMPORTRANGE(""https://docs.google.com/spreadsheets/d/1XL5vhW3sbDhbH9Cz0tuDiY8C3ctxq1tqvaCgkFb8cCA/edit?usp=sharing"",""อุบลราชธานี!J83"")"),0)</f>
        <v>0</v>
      </c>
      <c r="K53" s="100">
        <f t="shared" ca="1" si="3"/>
        <v>0</v>
      </c>
      <c r="L53" s="62">
        <f t="shared" ca="1" si="82"/>
        <v>0</v>
      </c>
      <c r="M53" s="62">
        <f ca="1">IFERROR(__xludf.DUMMYFUNCTION("IMPORTRANGE(""https://docs.google.com/spreadsheets/d/1XL5vhW3sbDhbH9Cz0tuDiY8C3ctxq1tqvaCgkFb8cCA/edit?usp=sharing"",""กาฬสินธุ์!J85"")"),0)</f>
        <v>0</v>
      </c>
      <c r="N53" s="62">
        <f ca="1">IFERROR(__xludf.DUMMYFUNCTION("IMPORTRANGE(""https://docs.google.com/spreadsheets/d/1XL5vhW3sbDhbH9Cz0tuDiY8C3ctxq1tqvaCgkFb8cCA/edit?usp=sharing"",""กาฬสินธุ์!J86"")"),0)</f>
        <v>0</v>
      </c>
      <c r="O53" s="62">
        <v>56000</v>
      </c>
      <c r="P53" s="62">
        <v>4</v>
      </c>
      <c r="Q53" s="62">
        <f ca="1">IFERROR(__xludf.DUMMYFUNCTION("IMPORTRANGE(""https://docs.google.com/spreadsheets/d/1XL5vhW3sbDhbH9Cz0tuDiY8C3ctxq1tqvaCgkFb8cCA/edit?usp=sharing"",""อุบลราชธานี!J98"")"),0)</f>
        <v>0</v>
      </c>
      <c r="R53" s="100">
        <f t="shared" ca="1" si="5"/>
        <v>0</v>
      </c>
      <c r="S53" s="62">
        <v>30000</v>
      </c>
      <c r="T53" s="62">
        <v>2</v>
      </c>
      <c r="U53" s="62">
        <f ca="1">IFERROR(__xludf.DUMMYFUNCTION("IMPORTRANGE(""https://docs.google.com/spreadsheets/d/1XL5vhW3sbDhbH9Cz0tuDiY8C3ctxq1tqvaCgkFb8cCA/edit?usp=sharing"",""อุบลราชธานี!J110"")"),0)</f>
        <v>0</v>
      </c>
      <c r="V53" s="100">
        <f t="shared" ca="1" si="7"/>
        <v>0</v>
      </c>
      <c r="W53" s="62">
        <v>2</v>
      </c>
      <c r="X53" s="62">
        <f ca="1">IFERROR(__xludf.DUMMYFUNCTION("IMPORTRANGE(""https://docs.google.com/spreadsheets/d/1XL5vhW3sbDhbH9Cz0tuDiY8C3ctxq1tqvaCgkFb8cCA/edit?usp=sharing"",""อุบลราชธานี!J111"")"),0)</f>
        <v>0</v>
      </c>
      <c r="Y53" s="100">
        <f t="shared" ca="1" si="9"/>
        <v>0</v>
      </c>
      <c r="Z53" s="62">
        <v>14500</v>
      </c>
      <c r="AA53" s="62">
        <v>30000</v>
      </c>
      <c r="AB53" s="62">
        <f ca="1">IFERROR(__xludf.DUMMYFUNCTION("IMPORTRANGE(""https://docs.google.com/spreadsheets/d/1XL5vhW3sbDhbH9Cz0tuDiY8C3ctxq1tqvaCgkFb8cCA/edit?usp=sharing"",""อุบลราชธานี!J124"")"),0)</f>
        <v>0</v>
      </c>
      <c r="AC53" s="100">
        <f t="shared" ca="1" si="11"/>
        <v>0</v>
      </c>
      <c r="AD53" s="62">
        <f ca="1">IFERROR(__xludf.DUMMYFUNCTION("IMPORTRANGE(""https://docs.google.com/spreadsheets/d/1XL5vhW3sbDhbH9Cz0tuDiY8C3ctxq1tqvaCgkFb8cCA/edit?usp=sharing"",""อุบลราชธานี!J125"")"),0)</f>
        <v>0</v>
      </c>
      <c r="AE53" s="100">
        <f t="shared" ca="1" si="12"/>
        <v>0</v>
      </c>
      <c r="AF53" s="62">
        <v>0</v>
      </c>
      <c r="AG53" s="62">
        <f ca="1">IFERROR(__xludf.DUMMYFUNCTION("IMPORTRANGE(""https://docs.google.com/spreadsheets/d/1XL5vhW3sbDhbH9Cz0tuDiY8C3ctxq1tqvaCgkFb8cCA/edit?usp=sharing"",""อุบลราชธานี!J126"")"),0)</f>
        <v>0</v>
      </c>
      <c r="AH53" s="100">
        <f t="shared" si="14"/>
        <v>0</v>
      </c>
      <c r="AI53" s="62">
        <v>335850</v>
      </c>
      <c r="AJ53" s="62">
        <v>50</v>
      </c>
      <c r="AK53" s="62">
        <f ca="1">IFERROR(__xludf.DUMMYFUNCTION("IMPORTRANGE(""https://docs.google.com/spreadsheets/d/1XL5vhW3sbDhbH9Cz0tuDiY8C3ctxq1tqvaCgkFb8cCA/edit?usp=sharing"",""อุบลราชธานี!J138"")"),0)</f>
        <v>0</v>
      </c>
      <c r="AL53" s="100">
        <f t="shared" ca="1" si="16"/>
        <v>0</v>
      </c>
      <c r="AM53" s="62">
        <v>15</v>
      </c>
      <c r="AN53" s="62">
        <v>0</v>
      </c>
      <c r="AO53" s="62">
        <f ca="1">IFERROR(__xludf.DUMMYFUNCTION("IMPORTRANGE(""https://docs.google.com/spreadsheets/d/1XL5vhW3sbDhbH9Cz0tuDiY8C3ctxq1tqvaCgkFb8cCA/edit?usp=sharing"",""อุบลราชธานี!J140"")"),0)</f>
        <v>0</v>
      </c>
      <c r="AP53" s="100">
        <f t="shared" ca="1" si="18"/>
        <v>0</v>
      </c>
      <c r="AQ53" s="62">
        <f ca="1">IFERROR(__xludf.DUMMYFUNCTION("IMPORTRANGE(""https://docs.google.com/spreadsheets/d/1XL5vhW3sbDhbH9Cz0tuDiY8C3ctxq1tqvaCgkFb8cCA/edit?usp=sharing"",""อุบลราชธานี!J141"")"),0)</f>
        <v>0</v>
      </c>
      <c r="AR53" s="100">
        <f t="shared" si="19"/>
        <v>0</v>
      </c>
      <c r="AS53" s="62">
        <f t="shared" si="20"/>
        <v>50</v>
      </c>
      <c r="AT53" s="62">
        <f t="shared" ca="1" si="83"/>
        <v>0</v>
      </c>
      <c r="AU53" s="100">
        <f t="shared" ca="1" si="21"/>
        <v>0</v>
      </c>
    </row>
    <row r="54" spans="1:47" ht="24" customHeight="1" x14ac:dyDescent="0.5">
      <c r="A54" s="570" t="s">
        <v>69</v>
      </c>
      <c r="B54" s="569"/>
      <c r="C54" s="66">
        <f t="shared" ref="C54:F54" si="84">SUM(C55:C75)</f>
        <v>6816300</v>
      </c>
      <c r="D54" s="66">
        <f t="shared" si="84"/>
        <v>3590600</v>
      </c>
      <c r="E54" s="66">
        <f t="shared" si="84"/>
        <v>3225700</v>
      </c>
      <c r="F54" s="66">
        <f t="shared" ca="1" si="84"/>
        <v>121225.48</v>
      </c>
      <c r="G54" s="101">
        <f t="shared" ca="1" si="1"/>
        <v>1.7784645628860232</v>
      </c>
      <c r="H54" s="66">
        <f t="shared" ref="H54:J54" si="85">SUM(H55:H75)</f>
        <v>157500</v>
      </c>
      <c r="I54" s="66">
        <f t="shared" si="85"/>
        <v>84</v>
      </c>
      <c r="J54" s="66">
        <f t="shared" ca="1" si="85"/>
        <v>0</v>
      </c>
      <c r="K54" s="101">
        <f t="shared" ca="1" si="3"/>
        <v>0</v>
      </c>
      <c r="L54" s="66">
        <f t="shared" ref="L54:Q54" ca="1" si="86">SUM(L55:L75)</f>
        <v>0</v>
      </c>
      <c r="M54" s="66">
        <f t="shared" ca="1" si="86"/>
        <v>0</v>
      </c>
      <c r="N54" s="66">
        <f t="shared" ca="1" si="86"/>
        <v>0</v>
      </c>
      <c r="O54" s="66">
        <f t="shared" si="86"/>
        <v>700000</v>
      </c>
      <c r="P54" s="66">
        <f t="shared" si="86"/>
        <v>50</v>
      </c>
      <c r="Q54" s="66">
        <f t="shared" ca="1" si="86"/>
        <v>0</v>
      </c>
      <c r="R54" s="101">
        <f t="shared" ca="1" si="5"/>
        <v>0</v>
      </c>
      <c r="S54" s="66">
        <f t="shared" ref="S54:U54" si="87">SUM(S55:S75)</f>
        <v>255000</v>
      </c>
      <c r="T54" s="66">
        <f t="shared" si="87"/>
        <v>17</v>
      </c>
      <c r="U54" s="66">
        <f t="shared" ca="1" si="87"/>
        <v>0</v>
      </c>
      <c r="V54" s="101">
        <f t="shared" ca="1" si="7"/>
        <v>0</v>
      </c>
      <c r="W54" s="66">
        <f t="shared" ref="W54:X54" si="88">SUM(W55:W75)</f>
        <v>17</v>
      </c>
      <c r="X54" s="66">
        <f t="shared" ca="1" si="88"/>
        <v>0</v>
      </c>
      <c r="Y54" s="101">
        <f t="shared" ca="1" si="9"/>
        <v>0</v>
      </c>
      <c r="Z54" s="66">
        <f t="shared" ref="Z54:AB54" si="89">SUM(Z55:Z75)</f>
        <v>282500</v>
      </c>
      <c r="AA54" s="66">
        <f t="shared" si="89"/>
        <v>451000</v>
      </c>
      <c r="AB54" s="66">
        <f t="shared" ca="1" si="89"/>
        <v>0</v>
      </c>
      <c r="AC54" s="101">
        <f t="shared" ca="1" si="11"/>
        <v>0</v>
      </c>
      <c r="AD54" s="66">
        <f ca="1">SUM(AD55:AD75)</f>
        <v>0</v>
      </c>
      <c r="AE54" s="101">
        <f t="shared" ca="1" si="12"/>
        <v>0</v>
      </c>
      <c r="AF54" s="66">
        <f t="shared" ref="AF54:AG54" si="90">SUM(AF55:AF75)</f>
        <v>60</v>
      </c>
      <c r="AG54" s="66">
        <f t="shared" ca="1" si="90"/>
        <v>1</v>
      </c>
      <c r="AH54" s="101">
        <f t="shared" ca="1" si="14"/>
        <v>1.6666666666666667</v>
      </c>
      <c r="AI54" s="66">
        <f t="shared" ref="AI54:AK54" si="91">SUM(AI55:AI75)</f>
        <v>1830700</v>
      </c>
      <c r="AJ54" s="66">
        <f t="shared" si="91"/>
        <v>380</v>
      </c>
      <c r="AK54" s="66">
        <f t="shared" ca="1" si="91"/>
        <v>30</v>
      </c>
      <c r="AL54" s="101">
        <f t="shared" ca="1" si="16"/>
        <v>7.8947368421052628</v>
      </c>
      <c r="AM54" s="66">
        <f t="shared" ref="AM54:AO54" si="92">SUM(AM55:AM75)</f>
        <v>130</v>
      </c>
      <c r="AN54" s="66">
        <f t="shared" si="92"/>
        <v>0</v>
      </c>
      <c r="AO54" s="66">
        <f t="shared" ca="1" si="92"/>
        <v>0</v>
      </c>
      <c r="AP54" s="101">
        <f t="shared" ca="1" si="18"/>
        <v>0</v>
      </c>
      <c r="AQ54" s="66">
        <f ca="1">SUM(AQ55:AQ75)</f>
        <v>0</v>
      </c>
      <c r="AR54" s="101">
        <f t="shared" si="19"/>
        <v>0</v>
      </c>
      <c r="AS54" s="66">
        <f t="shared" si="20"/>
        <v>440</v>
      </c>
      <c r="AT54" s="66">
        <f ca="1">SUM(AT55:AT75)</f>
        <v>31</v>
      </c>
      <c r="AU54" s="101">
        <f t="shared" ca="1" si="21"/>
        <v>7.0454545454545459</v>
      </c>
    </row>
    <row r="55" spans="1:47" ht="24" customHeight="1" x14ac:dyDescent="0.5">
      <c r="A55" s="45">
        <v>1</v>
      </c>
      <c r="B55" s="46" t="s">
        <v>70</v>
      </c>
      <c r="C55" s="47">
        <f t="shared" ref="C55:C75" si="93">+D55+E55</f>
        <v>647600</v>
      </c>
      <c r="D55" s="48">
        <v>364700</v>
      </c>
      <c r="E55" s="48">
        <f t="shared" ref="E55:E75" si="94">H55+O55+S55+Z55+AI55</f>
        <v>282900</v>
      </c>
      <c r="F55" s="48">
        <f ca="1">IFERROR(__xludf.DUMMYFUNCTION("IMPORTRANGE(""https://docs.google.com/spreadsheets/d/1SX6NBoVAgQJ6U1MVXOaj8PK2l7WJ3RER9xtqwdhxkhw/edit?usp=sharing"",""กาญจนบุรี!M71"")"),0)</f>
        <v>0</v>
      </c>
      <c r="G55" s="98">
        <f t="shared" ca="1" si="1"/>
        <v>0</v>
      </c>
      <c r="H55" s="48">
        <v>7500</v>
      </c>
      <c r="I55" s="48">
        <v>4</v>
      </c>
      <c r="J55" s="48">
        <f ca="1">IFERROR(__xludf.DUMMYFUNCTION("IMPORTRANGE(""https://docs.google.com/spreadsheets/d/1SX6NBoVAgQJ6U1MVXOaj8PK2l7WJ3RER9xtqwdhxkhw/edit?usp=sharing"",""กาญจนบุรี!J83"")"),0)</f>
        <v>0</v>
      </c>
      <c r="K55" s="98">
        <f t="shared" ca="1" si="3"/>
        <v>0</v>
      </c>
      <c r="L55" s="48">
        <f t="shared" ref="L55:L75" ca="1" si="95">M55+N55</f>
        <v>0</v>
      </c>
      <c r="M55" s="48">
        <f ca="1">IFERROR(__xludf.DUMMYFUNCTION("IMPORTRANGE(""https://docs.google.com/spreadsheets/d/1SX6NBoVAgQJ6U1MVXOaj8PK2l7WJ3RER9xtqwdhxkhw/edit?usp=sharing"",""กาญจนบุรี!J85"")"),0)</f>
        <v>0</v>
      </c>
      <c r="N55" s="48">
        <f ca="1">IFERROR(__xludf.DUMMYFUNCTION("IMPORTRANGE(""https://docs.google.com/spreadsheets/d/1SX6NBoVAgQJ6U1MVXOaj8PK2l7WJ3RER9xtqwdhxkhw/edit?usp=sharing"",""กาญจนบุรี!J86"")"),0)</f>
        <v>0</v>
      </c>
      <c r="O55" s="48">
        <v>56000</v>
      </c>
      <c r="P55" s="48">
        <v>4</v>
      </c>
      <c r="Q55" s="48">
        <f ca="1">IFERROR(__xludf.DUMMYFUNCTION("IMPORTRANGE(""https://docs.google.com/spreadsheets/d/1SX6NBoVAgQJ6U1MVXOaj8PK2l7WJ3RER9xtqwdhxkhw/edit?usp=sharing"",""กาญจนบุรี!J98"")"),0)</f>
        <v>0</v>
      </c>
      <c r="R55" s="98">
        <f t="shared" ca="1" si="5"/>
        <v>0</v>
      </c>
      <c r="S55" s="48">
        <v>90000</v>
      </c>
      <c r="T55" s="48">
        <v>6</v>
      </c>
      <c r="U55" s="48">
        <f ca="1">IFERROR(__xludf.DUMMYFUNCTION("IMPORTRANGE(""https://docs.google.com/spreadsheets/d/1SX6NBoVAgQJ6U1MVXOaj8PK2l7WJ3RER9xtqwdhxkhw/edit?usp=sharing"",""กาญจนบุรี!J110"")"),0)</f>
        <v>0</v>
      </c>
      <c r="V55" s="98">
        <f t="shared" ca="1" si="7"/>
        <v>0</v>
      </c>
      <c r="W55" s="48">
        <v>6</v>
      </c>
      <c r="X55" s="48">
        <f ca="1">IFERROR(__xludf.DUMMYFUNCTION("IMPORTRANGE(""https://docs.google.com/spreadsheets/d/1SX6NBoVAgQJ6U1MVXOaj8PK2l7WJ3RER9xtqwdhxkhw/edit?usp=sharing"",""กาญจนบุรี!J111"")"),0)</f>
        <v>0</v>
      </c>
      <c r="Y55" s="98">
        <f t="shared" ca="1" si="9"/>
        <v>0</v>
      </c>
      <c r="Z55" s="48">
        <v>9000</v>
      </c>
      <c r="AA55" s="48">
        <v>20000</v>
      </c>
      <c r="AB55" s="48">
        <f ca="1">IFERROR(__xludf.DUMMYFUNCTION("IMPORTRANGE(""https://docs.google.com/spreadsheets/d/1SX6NBoVAgQJ6U1MVXOaj8PK2l7WJ3RER9xtqwdhxkhw/edit?usp=sharing"",""กาญจนบุรี!J124"")"),0)</f>
        <v>0</v>
      </c>
      <c r="AC55" s="98">
        <f t="shared" ca="1" si="11"/>
        <v>0</v>
      </c>
      <c r="AD55" s="48">
        <f ca="1">IFERROR(__xludf.DUMMYFUNCTION("IMPORTRANGE(""https://docs.google.com/spreadsheets/d/1SX6NBoVAgQJ6U1MVXOaj8PK2l7WJ3RER9xtqwdhxkhw/edit?usp=sharing"",""กาญจนบุรี!J125"")"),0)</f>
        <v>0</v>
      </c>
      <c r="AE55" s="98">
        <f t="shared" ca="1" si="12"/>
        <v>0</v>
      </c>
      <c r="AF55" s="48">
        <v>0</v>
      </c>
      <c r="AG55" s="48">
        <f ca="1">IFERROR(__xludf.DUMMYFUNCTION("IMPORTRANGE(""https://docs.google.com/spreadsheets/d/1SX6NBoVAgQJ6U1MVXOaj8PK2l7WJ3RER9xtqwdhxkhw/edit?usp=sharing"",""กาญจนบุรี!J126"")"),0)</f>
        <v>0</v>
      </c>
      <c r="AH55" s="98">
        <f t="shared" si="14"/>
        <v>0</v>
      </c>
      <c r="AI55" s="48">
        <v>120400</v>
      </c>
      <c r="AJ55" s="48">
        <v>30</v>
      </c>
      <c r="AK55" s="48">
        <f ca="1">IFERROR(__xludf.DUMMYFUNCTION("IMPORTRANGE(""https://docs.google.com/spreadsheets/d/1SX6NBoVAgQJ6U1MVXOaj8PK2l7WJ3RER9xtqwdhxkhw/edit?usp=sharing"",""กาญจนบุรี!J138"")"),0)</f>
        <v>0</v>
      </c>
      <c r="AL55" s="98">
        <f t="shared" ca="1" si="16"/>
        <v>0</v>
      </c>
      <c r="AM55" s="48">
        <v>1</v>
      </c>
      <c r="AN55" s="48">
        <v>0</v>
      </c>
      <c r="AO55" s="48">
        <f ca="1">IFERROR(__xludf.DUMMYFUNCTION("IMPORTRANGE(""https://docs.google.com/spreadsheets/d/1SX6NBoVAgQJ6U1MVXOaj8PK2l7WJ3RER9xtqwdhxkhw/edit?usp=sharing"",""กาญจนบุรี!J140"")"),0)</f>
        <v>0</v>
      </c>
      <c r="AP55" s="98">
        <f t="shared" ca="1" si="18"/>
        <v>0</v>
      </c>
      <c r="AQ55" s="48">
        <f ca="1">IFERROR(__xludf.DUMMYFUNCTION("IMPORTRANGE(""https://docs.google.com/spreadsheets/d/1SX6NBoVAgQJ6U1MVXOaj8PK2l7WJ3RER9xtqwdhxkhw/edit?usp=sharing"",""กาญจนบุรี!J141"")"),0)</f>
        <v>0</v>
      </c>
      <c r="AR55" s="98">
        <f t="shared" si="19"/>
        <v>0</v>
      </c>
      <c r="AS55" s="48">
        <f t="shared" si="20"/>
        <v>30</v>
      </c>
      <c r="AT55" s="48">
        <f t="shared" ref="AT55:AT75" ca="1" si="96">AG55+AK55</f>
        <v>0</v>
      </c>
      <c r="AU55" s="98">
        <f t="shared" ca="1" si="21"/>
        <v>0</v>
      </c>
    </row>
    <row r="56" spans="1:47" ht="24" customHeight="1" x14ac:dyDescent="0.5">
      <c r="A56" s="52">
        <v>2</v>
      </c>
      <c r="B56" s="53" t="s">
        <v>71</v>
      </c>
      <c r="C56" s="54">
        <f t="shared" si="93"/>
        <v>255400</v>
      </c>
      <c r="D56" s="55">
        <v>132000</v>
      </c>
      <c r="E56" s="55">
        <f t="shared" si="94"/>
        <v>123400</v>
      </c>
      <c r="F56" s="55">
        <f ca="1">IFERROR(__xludf.DUMMYFUNCTION("IMPORTRANGE(""https://docs.google.com/spreadsheets/d/1SX6NBoVAgQJ6U1MVXOaj8PK2l7WJ3RER9xtqwdhxkhw/edit?usp=sharing"",""จันทบุรี!M71"")"),39700)</f>
        <v>39700</v>
      </c>
      <c r="G56" s="99">
        <f t="shared" ca="1" si="1"/>
        <v>15.544244322631167</v>
      </c>
      <c r="H56" s="55">
        <v>7500</v>
      </c>
      <c r="I56" s="55">
        <v>4</v>
      </c>
      <c r="J56" s="55">
        <f ca="1">IFERROR(__xludf.DUMMYFUNCTION("IMPORTRANGE(""https://docs.google.com/spreadsheets/d/1SX6NBoVAgQJ6U1MVXOaj8PK2l7WJ3RER9xtqwdhxkhw/edit?usp=sharing"",""จันทบุรี!J83"")"),0)</f>
        <v>0</v>
      </c>
      <c r="K56" s="99">
        <f t="shared" ca="1" si="3"/>
        <v>0</v>
      </c>
      <c r="L56" s="55">
        <f t="shared" ca="1" si="95"/>
        <v>0</v>
      </c>
      <c r="M56" s="55">
        <f ca="1">IFERROR(__xludf.DUMMYFUNCTION("IMPORTRANGE(""https://docs.google.com/spreadsheets/d/1SX6NBoVAgQJ6U1MVXOaj8PK2l7WJ3RER9xtqwdhxkhw/edit?usp=sharing"",""กาญจนบุรี!J85"")"),0)</f>
        <v>0</v>
      </c>
      <c r="N56" s="55">
        <f ca="1">IFERROR(__xludf.DUMMYFUNCTION("IMPORTRANGE(""https://docs.google.com/spreadsheets/d/1SX6NBoVAgQJ6U1MVXOaj8PK2l7WJ3RER9xtqwdhxkhw/edit?usp=sharing"",""กาญจนบุรี!J86"")"),0)</f>
        <v>0</v>
      </c>
      <c r="O56" s="55">
        <v>28000</v>
      </c>
      <c r="P56" s="55">
        <v>2</v>
      </c>
      <c r="Q56" s="55">
        <f ca="1">IFERROR(__xludf.DUMMYFUNCTION("IMPORTRANGE(""https://docs.google.com/spreadsheets/d/1SX6NBoVAgQJ6U1MVXOaj8PK2l7WJ3RER9xtqwdhxkhw/edit?usp=sharing"",""จันทบุรี!J98"")"),0)</f>
        <v>0</v>
      </c>
      <c r="R56" s="99">
        <f t="shared" ca="1" si="5"/>
        <v>0</v>
      </c>
      <c r="S56" s="55">
        <v>15000</v>
      </c>
      <c r="T56" s="55">
        <v>1</v>
      </c>
      <c r="U56" s="55">
        <f ca="1">IFERROR(__xludf.DUMMYFUNCTION("IMPORTRANGE(""https://docs.google.com/spreadsheets/d/1SX6NBoVAgQJ6U1MVXOaj8PK2l7WJ3RER9xtqwdhxkhw/edit?usp=sharing"",""จันทบุรี!J110"")"),0)</f>
        <v>0</v>
      </c>
      <c r="V56" s="99">
        <f t="shared" ca="1" si="7"/>
        <v>0</v>
      </c>
      <c r="W56" s="55">
        <v>1</v>
      </c>
      <c r="X56" s="55">
        <f ca="1">IFERROR(__xludf.DUMMYFUNCTION("IMPORTRANGE(""https://docs.google.com/spreadsheets/d/1SX6NBoVAgQJ6U1MVXOaj8PK2l7WJ3RER9xtqwdhxkhw/edit?usp=sharing"",""จันทบุรี!J111"")"),0)</f>
        <v>0</v>
      </c>
      <c r="Y56" s="99">
        <f t="shared" ca="1" si="9"/>
        <v>0</v>
      </c>
      <c r="Z56" s="55">
        <v>8100</v>
      </c>
      <c r="AA56" s="55">
        <v>12800</v>
      </c>
      <c r="AB56" s="55">
        <f ca="1">IFERROR(__xludf.DUMMYFUNCTION("IMPORTRANGE(""https://docs.google.com/spreadsheets/d/1SX6NBoVAgQJ6U1MVXOaj8PK2l7WJ3RER9xtqwdhxkhw/edit?usp=sharing"",""จันทบุรี!J124"")"),0)</f>
        <v>0</v>
      </c>
      <c r="AC56" s="99">
        <f t="shared" ca="1" si="11"/>
        <v>0</v>
      </c>
      <c r="AD56" s="55">
        <f ca="1">IFERROR(__xludf.DUMMYFUNCTION("IMPORTRANGE(""https://docs.google.com/spreadsheets/d/1SX6NBoVAgQJ6U1MVXOaj8PK2l7WJ3RER9xtqwdhxkhw/edit?usp=sharing"",""จันทบุรี!J125"")"),0)</f>
        <v>0</v>
      </c>
      <c r="AE56" s="99">
        <f t="shared" ca="1" si="12"/>
        <v>0</v>
      </c>
      <c r="AF56" s="55">
        <v>0</v>
      </c>
      <c r="AG56" s="55">
        <f ca="1">IFERROR(__xludf.DUMMYFUNCTION("IMPORTRANGE(""https://docs.google.com/spreadsheets/d/1SX6NBoVAgQJ6U1MVXOaj8PK2l7WJ3RER9xtqwdhxkhw/edit?usp=sharing"",""จันทบุรี!J126"")"),0)</f>
        <v>0</v>
      </c>
      <c r="AH56" s="99">
        <f t="shared" si="14"/>
        <v>0</v>
      </c>
      <c r="AI56" s="55">
        <v>64800</v>
      </c>
      <c r="AJ56" s="55">
        <v>20</v>
      </c>
      <c r="AK56" s="55">
        <f ca="1">IFERROR(__xludf.DUMMYFUNCTION("IMPORTRANGE(""https://docs.google.com/spreadsheets/d/1SX6NBoVAgQJ6U1MVXOaj8PK2l7WJ3RER9xtqwdhxkhw/edit?usp=sharing"",""จันทบุรี!J138"")"),0)</f>
        <v>0</v>
      </c>
      <c r="AL56" s="99">
        <f t="shared" ca="1" si="16"/>
        <v>0</v>
      </c>
      <c r="AM56" s="55">
        <v>0</v>
      </c>
      <c r="AN56" s="55">
        <v>0</v>
      </c>
      <c r="AO56" s="55">
        <f ca="1">IFERROR(__xludf.DUMMYFUNCTION("IMPORTRANGE(""https://docs.google.com/spreadsheets/d/1SX6NBoVAgQJ6U1MVXOaj8PK2l7WJ3RER9xtqwdhxkhw/edit?usp=sharing"",""จันทบุรี!J140"")"),0)</f>
        <v>0</v>
      </c>
      <c r="AP56" s="99">
        <f t="shared" si="18"/>
        <v>0</v>
      </c>
      <c r="AQ56" s="55">
        <f ca="1">IFERROR(__xludf.DUMMYFUNCTION("IMPORTRANGE(""https://docs.google.com/spreadsheets/d/1SX6NBoVAgQJ6U1MVXOaj8PK2l7WJ3RER9xtqwdhxkhw/edit?usp=sharing"",""จันทบุรี!J141"")"),0)</f>
        <v>0</v>
      </c>
      <c r="AR56" s="99">
        <f t="shared" si="19"/>
        <v>0</v>
      </c>
      <c r="AS56" s="55">
        <f t="shared" si="20"/>
        <v>20</v>
      </c>
      <c r="AT56" s="55">
        <f t="shared" ca="1" si="96"/>
        <v>0</v>
      </c>
      <c r="AU56" s="99">
        <f t="shared" ca="1" si="21"/>
        <v>0</v>
      </c>
    </row>
    <row r="57" spans="1:47" ht="24" customHeight="1" x14ac:dyDescent="0.5">
      <c r="A57" s="52">
        <v>3</v>
      </c>
      <c r="B57" s="53" t="s">
        <v>72</v>
      </c>
      <c r="C57" s="54">
        <f t="shared" si="93"/>
        <v>842400</v>
      </c>
      <c r="D57" s="55">
        <v>311500</v>
      </c>
      <c r="E57" s="55">
        <f t="shared" si="94"/>
        <v>530900</v>
      </c>
      <c r="F57" s="55">
        <f ca="1">IFERROR(__xludf.DUMMYFUNCTION("IMPORTRANGE(""https://docs.google.com/spreadsheets/d/1SX6NBoVAgQJ6U1MVXOaj8PK2l7WJ3RER9xtqwdhxkhw/edit?usp=sharing"",""ฉะเชิงเทรา!M71"")"),37070)</f>
        <v>37070</v>
      </c>
      <c r="G57" s="99">
        <f t="shared" ca="1" si="1"/>
        <v>4.400522317188984</v>
      </c>
      <c r="H57" s="55">
        <v>7500</v>
      </c>
      <c r="I57" s="55">
        <v>4</v>
      </c>
      <c r="J57" s="55">
        <f ca="1">IFERROR(__xludf.DUMMYFUNCTION("IMPORTRANGE(""https://docs.google.com/spreadsheets/d/1SX6NBoVAgQJ6U1MVXOaj8PK2l7WJ3RER9xtqwdhxkhw/edit?usp=sharing"",""ฉะเชิงเทรา!J83"")"),0)</f>
        <v>0</v>
      </c>
      <c r="K57" s="99">
        <f t="shared" ca="1" si="3"/>
        <v>0</v>
      </c>
      <c r="L57" s="55">
        <f t="shared" ca="1" si="95"/>
        <v>0</v>
      </c>
      <c r="M57" s="55">
        <f ca="1">IFERROR(__xludf.DUMMYFUNCTION("IMPORTRANGE(""https://docs.google.com/spreadsheets/d/1SX6NBoVAgQJ6U1MVXOaj8PK2l7WJ3RER9xtqwdhxkhw/edit?usp=sharing"",""กาญจนบุรี!J85"")"),0)</f>
        <v>0</v>
      </c>
      <c r="N57" s="55">
        <f ca="1">IFERROR(__xludf.DUMMYFUNCTION("IMPORTRANGE(""https://docs.google.com/spreadsheets/d/1SX6NBoVAgQJ6U1MVXOaj8PK2l7WJ3RER9xtqwdhxkhw/edit?usp=sharing"",""กาญจนบุรี!J86"")"),0)</f>
        <v>0</v>
      </c>
      <c r="O57" s="55">
        <v>56000</v>
      </c>
      <c r="P57" s="55">
        <v>4</v>
      </c>
      <c r="Q57" s="55">
        <f ca="1">IFERROR(__xludf.DUMMYFUNCTION("IMPORTRANGE(""https://docs.google.com/spreadsheets/d/1SX6NBoVAgQJ6U1MVXOaj8PK2l7WJ3RER9xtqwdhxkhw/edit?usp=sharing"",""ฉะเชิงเทรา!J98"")"),0)</f>
        <v>0</v>
      </c>
      <c r="R57" s="99">
        <f t="shared" ca="1" si="5"/>
        <v>0</v>
      </c>
      <c r="S57" s="55">
        <v>45000</v>
      </c>
      <c r="T57" s="55">
        <v>3</v>
      </c>
      <c r="U57" s="55">
        <f ca="1">IFERROR(__xludf.DUMMYFUNCTION("IMPORTRANGE(""https://docs.google.com/spreadsheets/d/1SX6NBoVAgQJ6U1MVXOaj8PK2l7WJ3RER9xtqwdhxkhw/edit?usp=sharing"",""ฉะเชิงเทรา!J110"")"),0)</f>
        <v>0</v>
      </c>
      <c r="V57" s="99">
        <f t="shared" ca="1" si="7"/>
        <v>0</v>
      </c>
      <c r="W57" s="55">
        <v>3</v>
      </c>
      <c r="X57" s="55">
        <f ca="1">IFERROR(__xludf.DUMMYFUNCTION("IMPORTRANGE(""https://docs.google.com/spreadsheets/d/1SX6NBoVAgQJ6U1MVXOaj8PK2l7WJ3RER9xtqwdhxkhw/edit?usp=sharing"",""ฉะเชิงเทรา!J111"")"),0)</f>
        <v>0</v>
      </c>
      <c r="Y57" s="99">
        <f t="shared" ca="1" si="9"/>
        <v>0</v>
      </c>
      <c r="Z57" s="55">
        <v>31000</v>
      </c>
      <c r="AA57" s="55">
        <v>40000</v>
      </c>
      <c r="AB57" s="55">
        <f ca="1">IFERROR(__xludf.DUMMYFUNCTION("IMPORTRANGE(""https://docs.google.com/spreadsheets/d/1SX6NBoVAgQJ6U1MVXOaj8PK2l7WJ3RER9xtqwdhxkhw/edit?usp=sharing"",""ฉะเชิงเทรา!J124"")"),0)</f>
        <v>0</v>
      </c>
      <c r="AC57" s="99">
        <f t="shared" ca="1" si="11"/>
        <v>0</v>
      </c>
      <c r="AD57" s="55">
        <f ca="1">IFERROR(__xludf.DUMMYFUNCTION("IMPORTRANGE(""https://docs.google.com/spreadsheets/d/1SX6NBoVAgQJ6U1MVXOaj8PK2l7WJ3RER9xtqwdhxkhw/edit?usp=sharing"",""ฉะเชิงเทรา!J125"")"),0)</f>
        <v>0</v>
      </c>
      <c r="AE57" s="99">
        <f t="shared" ca="1" si="12"/>
        <v>0</v>
      </c>
      <c r="AF57" s="55">
        <v>15</v>
      </c>
      <c r="AG57" s="55">
        <f ca="1">IFERROR(__xludf.DUMMYFUNCTION("IMPORTRANGE(""https://docs.google.com/spreadsheets/d/1SX6NBoVAgQJ6U1MVXOaj8PK2l7WJ3RER9xtqwdhxkhw/edit?usp=sharing"",""ฉะเชิงเทรา!J126"")"),1)</f>
        <v>1</v>
      </c>
      <c r="AH57" s="99">
        <f t="shared" ca="1" si="14"/>
        <v>6.666666666666667</v>
      </c>
      <c r="AI57" s="55">
        <v>391400</v>
      </c>
      <c r="AJ57" s="55">
        <v>80</v>
      </c>
      <c r="AK57" s="55">
        <f ca="1">IFERROR(__xludf.DUMMYFUNCTION("IMPORTRANGE(""https://docs.google.com/spreadsheets/d/1SX6NBoVAgQJ6U1MVXOaj8PK2l7WJ3RER9xtqwdhxkhw/edit?usp=sharing"",""ฉะเชิงเทรา!J138"")"),0)</f>
        <v>0</v>
      </c>
      <c r="AL57" s="99">
        <f t="shared" ca="1" si="16"/>
        <v>0</v>
      </c>
      <c r="AM57" s="55">
        <v>41</v>
      </c>
      <c r="AN57" s="55">
        <v>0</v>
      </c>
      <c r="AO57" s="55">
        <f ca="1">IFERROR(__xludf.DUMMYFUNCTION("IMPORTRANGE(""https://docs.google.com/spreadsheets/d/1SX6NBoVAgQJ6U1MVXOaj8PK2l7WJ3RER9xtqwdhxkhw/edit?usp=sharing"",""ฉะเชิงเทรา!J140"")"),0)</f>
        <v>0</v>
      </c>
      <c r="AP57" s="99">
        <f t="shared" ca="1" si="18"/>
        <v>0</v>
      </c>
      <c r="AQ57" s="55">
        <f ca="1">IFERROR(__xludf.DUMMYFUNCTION("IMPORTRANGE(""https://docs.google.com/spreadsheets/d/1SX6NBoVAgQJ6U1MVXOaj8PK2l7WJ3RER9xtqwdhxkhw/edit?usp=sharing"",""ฉะเชิงเทรา!J141"")"),0)</f>
        <v>0</v>
      </c>
      <c r="AR57" s="99">
        <f t="shared" si="19"/>
        <v>0</v>
      </c>
      <c r="AS57" s="55">
        <f t="shared" si="20"/>
        <v>95</v>
      </c>
      <c r="AT57" s="55">
        <f t="shared" ca="1" si="96"/>
        <v>1</v>
      </c>
      <c r="AU57" s="99">
        <f t="shared" ca="1" si="21"/>
        <v>1.0526315789473684</v>
      </c>
    </row>
    <row r="58" spans="1:47" ht="24" customHeight="1" x14ac:dyDescent="0.5">
      <c r="A58" s="52">
        <v>4</v>
      </c>
      <c r="B58" s="53" t="s">
        <v>73</v>
      </c>
      <c r="C58" s="458">
        <f t="shared" si="93"/>
        <v>323600</v>
      </c>
      <c r="D58" s="55">
        <v>132000</v>
      </c>
      <c r="E58" s="55">
        <f t="shared" si="94"/>
        <v>191600</v>
      </c>
      <c r="F58" s="55">
        <f ca="1">IFERROR(__xludf.DUMMYFUNCTION("IMPORTRANGE(""https://docs.google.com/spreadsheets/d/1SX6NBoVAgQJ6U1MVXOaj8PK2l7WJ3RER9xtqwdhxkhw/edit?usp=sharing"",""ชลบุรี!M71"")"),16675.48)</f>
        <v>16675.48</v>
      </c>
      <c r="G58" s="99">
        <f t="shared" ca="1" si="1"/>
        <v>5.1531149567367116</v>
      </c>
      <c r="H58" s="55">
        <v>7500</v>
      </c>
      <c r="I58" s="55">
        <v>4</v>
      </c>
      <c r="J58" s="55">
        <f ca="1">IFERROR(__xludf.DUMMYFUNCTION("IMPORTRANGE(""https://docs.google.com/spreadsheets/d/1SX6NBoVAgQJ6U1MVXOaj8PK2l7WJ3RER9xtqwdhxkhw/edit?usp=sharing"",""ชลบุรี!J83"")"),0)</f>
        <v>0</v>
      </c>
      <c r="K58" s="99">
        <f t="shared" ca="1" si="3"/>
        <v>0</v>
      </c>
      <c r="L58" s="55">
        <f t="shared" ca="1" si="95"/>
        <v>0</v>
      </c>
      <c r="M58" s="55">
        <f ca="1">IFERROR(__xludf.DUMMYFUNCTION("IMPORTRANGE(""https://docs.google.com/spreadsheets/d/1SX6NBoVAgQJ6U1MVXOaj8PK2l7WJ3RER9xtqwdhxkhw/edit?usp=sharing"",""กาญจนบุรี!J85"")"),0)</f>
        <v>0</v>
      </c>
      <c r="N58" s="55">
        <f ca="1">IFERROR(__xludf.DUMMYFUNCTION("IMPORTRANGE(""https://docs.google.com/spreadsheets/d/1SX6NBoVAgQJ6U1MVXOaj8PK2l7WJ3RER9xtqwdhxkhw/edit?usp=sharing"",""กาญจนบุรี!J86"")"),0)</f>
        <v>0</v>
      </c>
      <c r="O58" s="55">
        <v>56000</v>
      </c>
      <c r="P58" s="55">
        <v>4</v>
      </c>
      <c r="Q58" s="55">
        <f ca="1">IFERROR(__xludf.DUMMYFUNCTION("IMPORTRANGE(""https://docs.google.com/spreadsheets/d/1SX6NBoVAgQJ6U1MVXOaj8PK2l7WJ3RER9xtqwdhxkhw/edit?usp=sharing"",""ชลบุรี!J98"")"),0)</f>
        <v>0</v>
      </c>
      <c r="R58" s="99">
        <f t="shared" ca="1" si="5"/>
        <v>0</v>
      </c>
      <c r="S58" s="55"/>
      <c r="T58" s="55">
        <v>0</v>
      </c>
      <c r="U58" s="55">
        <f ca="1">IFERROR(__xludf.DUMMYFUNCTION("IMPORTRANGE(""https://docs.google.com/spreadsheets/d/1SX6NBoVAgQJ6U1MVXOaj8PK2l7WJ3RER9xtqwdhxkhw/edit?usp=sharing"",""ชลบุรี!J110"")"),0)</f>
        <v>0</v>
      </c>
      <c r="V58" s="99">
        <f t="shared" si="7"/>
        <v>0</v>
      </c>
      <c r="W58" s="55">
        <v>0</v>
      </c>
      <c r="X58" s="55">
        <f ca="1">IFERROR(__xludf.DUMMYFUNCTION("IMPORTRANGE(""https://docs.google.com/spreadsheets/d/1SX6NBoVAgQJ6U1MVXOaj8PK2l7WJ3RER9xtqwdhxkhw/edit?usp=sharing"",""ชลบุรี!J111"")"),0)</f>
        <v>0</v>
      </c>
      <c r="Y58" s="99">
        <f t="shared" si="9"/>
        <v>0</v>
      </c>
      <c r="Z58" s="55">
        <v>21900</v>
      </c>
      <c r="AA58" s="55">
        <v>5000</v>
      </c>
      <c r="AB58" s="55">
        <f ca="1">IFERROR(__xludf.DUMMYFUNCTION("IMPORTRANGE(""https://docs.google.com/spreadsheets/d/1SX6NBoVAgQJ6U1MVXOaj8PK2l7WJ3RER9xtqwdhxkhw/edit?usp=sharing"",""ชลบุรี!J124"")"),0)</f>
        <v>0</v>
      </c>
      <c r="AC58" s="99">
        <f t="shared" ca="1" si="11"/>
        <v>0</v>
      </c>
      <c r="AD58" s="55">
        <f ca="1">IFERROR(__xludf.DUMMYFUNCTION("IMPORTRANGE(""https://docs.google.com/spreadsheets/d/1SX6NBoVAgQJ6U1MVXOaj8PK2l7WJ3RER9xtqwdhxkhw/edit?usp=sharing"",""ชลบุรี!J125"")"),0)</f>
        <v>0</v>
      </c>
      <c r="AE58" s="99">
        <f t="shared" ca="1" si="12"/>
        <v>0</v>
      </c>
      <c r="AF58" s="55">
        <v>15</v>
      </c>
      <c r="AG58" s="55">
        <f ca="1">IFERROR(__xludf.DUMMYFUNCTION("IMPORTRANGE(""https://docs.google.com/spreadsheets/d/1SX6NBoVAgQJ6U1MVXOaj8PK2l7WJ3RER9xtqwdhxkhw/edit?usp=sharing"",""ชลบุรี!J126"")"),0)</f>
        <v>0</v>
      </c>
      <c r="AH58" s="99">
        <f t="shared" ca="1" si="14"/>
        <v>0</v>
      </c>
      <c r="AI58" s="55">
        <v>106200</v>
      </c>
      <c r="AJ58" s="55">
        <v>40</v>
      </c>
      <c r="AK58" s="55">
        <f ca="1">IFERROR(__xludf.DUMMYFUNCTION("IMPORTRANGE(""https://docs.google.com/spreadsheets/d/1SX6NBoVAgQJ6U1MVXOaj8PK2l7WJ3RER9xtqwdhxkhw/edit?usp=sharing"",""ชลบุรี!J138"")"),0)</f>
        <v>0</v>
      </c>
      <c r="AL58" s="99">
        <f t="shared" ca="1" si="16"/>
        <v>0</v>
      </c>
      <c r="AM58" s="55">
        <v>40</v>
      </c>
      <c r="AN58" s="55">
        <v>0</v>
      </c>
      <c r="AO58" s="55">
        <f ca="1">IFERROR(__xludf.DUMMYFUNCTION("IMPORTRANGE(""https://docs.google.com/spreadsheets/d/1SX6NBoVAgQJ6U1MVXOaj8PK2l7WJ3RER9xtqwdhxkhw/edit?usp=sharing"",""ชลบุรี!J140"")"),0)</f>
        <v>0</v>
      </c>
      <c r="AP58" s="99">
        <f t="shared" ca="1" si="18"/>
        <v>0</v>
      </c>
      <c r="AQ58" s="55">
        <f ca="1">IFERROR(__xludf.DUMMYFUNCTION("IMPORTRANGE(""https://docs.google.com/spreadsheets/d/1SX6NBoVAgQJ6U1MVXOaj8PK2l7WJ3RER9xtqwdhxkhw/edit?usp=sharing"",""ชลบุรี!J141"")"),0)</f>
        <v>0</v>
      </c>
      <c r="AR58" s="99">
        <f t="shared" si="19"/>
        <v>0</v>
      </c>
      <c r="AS58" s="55">
        <f t="shared" si="20"/>
        <v>55</v>
      </c>
      <c r="AT58" s="55">
        <f t="shared" ca="1" si="96"/>
        <v>0</v>
      </c>
      <c r="AU58" s="99">
        <f t="shared" ca="1" si="21"/>
        <v>0</v>
      </c>
    </row>
    <row r="59" spans="1:47" ht="24" customHeight="1" x14ac:dyDescent="0.5">
      <c r="A59" s="52">
        <v>5</v>
      </c>
      <c r="B59" s="53" t="s">
        <v>74</v>
      </c>
      <c r="C59" s="54">
        <f t="shared" si="93"/>
        <v>264400</v>
      </c>
      <c r="D59" s="55">
        <v>219800</v>
      </c>
      <c r="E59" s="55">
        <f t="shared" si="94"/>
        <v>44600</v>
      </c>
      <c r="F59" s="55">
        <f ca="1">IFERROR(__xludf.DUMMYFUNCTION("IMPORTRANGE(""https://docs.google.com/spreadsheets/d/1SX6NBoVAgQJ6U1MVXOaj8PK2l7WJ3RER9xtqwdhxkhw/edit?usp=sharing"",""ชัยนาท!M71"")"),0)</f>
        <v>0</v>
      </c>
      <c r="G59" s="99">
        <f t="shared" ca="1" si="1"/>
        <v>0</v>
      </c>
      <c r="H59" s="55">
        <v>7500</v>
      </c>
      <c r="I59" s="55">
        <v>4</v>
      </c>
      <c r="J59" s="55">
        <f ca="1">IFERROR(__xludf.DUMMYFUNCTION("IMPORTRANGE(""https://docs.google.com/spreadsheets/d/1SX6NBoVAgQJ6U1MVXOaj8PK2l7WJ3RER9xtqwdhxkhw/edit?usp=sharing"",""ชัยนาท!J83"")"),0)</f>
        <v>0</v>
      </c>
      <c r="K59" s="99">
        <f t="shared" ca="1" si="3"/>
        <v>0</v>
      </c>
      <c r="L59" s="55">
        <f t="shared" ca="1" si="95"/>
        <v>0</v>
      </c>
      <c r="M59" s="55">
        <f ca="1">IFERROR(__xludf.DUMMYFUNCTION("IMPORTRANGE(""https://docs.google.com/spreadsheets/d/1SX6NBoVAgQJ6U1MVXOaj8PK2l7WJ3RER9xtqwdhxkhw/edit?usp=sharing"",""กาญจนบุรี!J85"")"),0)</f>
        <v>0</v>
      </c>
      <c r="N59" s="55">
        <f ca="1">IFERROR(__xludf.DUMMYFUNCTION("IMPORTRANGE(""https://docs.google.com/spreadsheets/d/1SX6NBoVAgQJ6U1MVXOaj8PK2l7WJ3RER9xtqwdhxkhw/edit?usp=sharing"",""กาญจนบุรี!J86"")"),0)</f>
        <v>0</v>
      </c>
      <c r="O59" s="55">
        <v>14000</v>
      </c>
      <c r="P59" s="55">
        <v>1</v>
      </c>
      <c r="Q59" s="55">
        <f ca="1">IFERROR(__xludf.DUMMYFUNCTION("IMPORTRANGE(""https://docs.google.com/spreadsheets/d/1SX6NBoVAgQJ6U1MVXOaj8PK2l7WJ3RER9xtqwdhxkhw/edit?usp=sharing"",""ชัยนาท!J98"")"),0)</f>
        <v>0</v>
      </c>
      <c r="R59" s="99">
        <f t="shared" ca="1" si="5"/>
        <v>0</v>
      </c>
      <c r="S59" s="55"/>
      <c r="T59" s="55">
        <v>0</v>
      </c>
      <c r="U59" s="55">
        <f ca="1">IFERROR(__xludf.DUMMYFUNCTION("IMPORTRANGE(""https://docs.google.com/spreadsheets/d/1SX6NBoVAgQJ6U1MVXOaj8PK2l7WJ3RER9xtqwdhxkhw/edit?usp=sharing"",""ชัยนาท!J110"")"),0)</f>
        <v>0</v>
      </c>
      <c r="V59" s="99">
        <f t="shared" si="7"/>
        <v>0</v>
      </c>
      <c r="W59" s="55">
        <v>0</v>
      </c>
      <c r="X59" s="55">
        <f ca="1">IFERROR(__xludf.DUMMYFUNCTION("IMPORTRANGE(""https://docs.google.com/spreadsheets/d/1SX6NBoVAgQJ6U1MVXOaj8PK2l7WJ3RER9xtqwdhxkhw/edit?usp=sharing"",""ชัยนาท!J111"")"),0)</f>
        <v>0</v>
      </c>
      <c r="Y59" s="99">
        <f t="shared" si="9"/>
        <v>0</v>
      </c>
      <c r="Z59" s="55">
        <v>23100</v>
      </c>
      <c r="AA59" s="55">
        <v>12800</v>
      </c>
      <c r="AB59" s="55">
        <f ca="1">IFERROR(__xludf.DUMMYFUNCTION("IMPORTRANGE(""https://docs.google.com/spreadsheets/d/1SX6NBoVAgQJ6U1MVXOaj8PK2l7WJ3RER9xtqwdhxkhw/edit?usp=sharing"",""ชัยนาท!J124"")"),0)</f>
        <v>0</v>
      </c>
      <c r="AC59" s="99">
        <f t="shared" ca="1" si="11"/>
        <v>0</v>
      </c>
      <c r="AD59" s="55">
        <f ca="1">IFERROR(__xludf.DUMMYFUNCTION("IMPORTRANGE(""https://docs.google.com/spreadsheets/d/1SX6NBoVAgQJ6U1MVXOaj8PK2l7WJ3RER9xtqwdhxkhw/edit?usp=sharing"",""ชัยนาท!J125"")"),0)</f>
        <v>0</v>
      </c>
      <c r="AE59" s="99">
        <f t="shared" ca="1" si="12"/>
        <v>0</v>
      </c>
      <c r="AF59" s="55">
        <v>15</v>
      </c>
      <c r="AG59" s="55">
        <f ca="1">IFERROR(__xludf.DUMMYFUNCTION("IMPORTRANGE(""https://docs.google.com/spreadsheets/d/1SX6NBoVAgQJ6U1MVXOaj8PK2l7WJ3RER9xtqwdhxkhw/edit?usp=sharing"",""ชัยนาท!J126"")"),0)</f>
        <v>0</v>
      </c>
      <c r="AH59" s="99">
        <f t="shared" ca="1" si="14"/>
        <v>0</v>
      </c>
      <c r="AI59" s="55">
        <v>0</v>
      </c>
      <c r="AJ59" s="55">
        <v>0</v>
      </c>
      <c r="AK59" s="55">
        <f ca="1">IFERROR(__xludf.DUMMYFUNCTION("IMPORTRANGE(""https://docs.google.com/spreadsheets/d/1SX6NBoVAgQJ6U1MVXOaj8PK2l7WJ3RER9xtqwdhxkhw/edit?usp=sharing"",""ชัยนาท!J138"")"),0)</f>
        <v>0</v>
      </c>
      <c r="AL59" s="99">
        <f t="shared" si="16"/>
        <v>0</v>
      </c>
      <c r="AM59" s="55">
        <v>0</v>
      </c>
      <c r="AN59" s="55">
        <v>0</v>
      </c>
      <c r="AO59" s="55">
        <f ca="1">IFERROR(__xludf.DUMMYFUNCTION("IMPORTRANGE(""https://docs.google.com/spreadsheets/d/1SX6NBoVAgQJ6U1MVXOaj8PK2l7WJ3RER9xtqwdhxkhw/edit?usp=sharing"",""ชัยนาท!J140"")"),0)</f>
        <v>0</v>
      </c>
      <c r="AP59" s="99">
        <f t="shared" si="18"/>
        <v>0</v>
      </c>
      <c r="AQ59" s="55">
        <f ca="1">IFERROR(__xludf.DUMMYFUNCTION("IMPORTRANGE(""https://docs.google.com/spreadsheets/d/1SX6NBoVAgQJ6U1MVXOaj8PK2l7WJ3RER9xtqwdhxkhw/edit?usp=sharing"",""ชัยนาท!J141"")"),0)</f>
        <v>0</v>
      </c>
      <c r="AR59" s="99">
        <f t="shared" si="19"/>
        <v>0</v>
      </c>
      <c r="AS59" s="55">
        <f t="shared" si="20"/>
        <v>15</v>
      </c>
      <c r="AT59" s="55">
        <f t="shared" ca="1" si="96"/>
        <v>0</v>
      </c>
      <c r="AU59" s="99">
        <f t="shared" ca="1" si="21"/>
        <v>0</v>
      </c>
    </row>
    <row r="60" spans="1:47" ht="24" customHeight="1" x14ac:dyDescent="0.5">
      <c r="A60" s="52">
        <v>6</v>
      </c>
      <c r="B60" s="53" t="s">
        <v>75</v>
      </c>
      <c r="C60" s="54">
        <f t="shared" si="93"/>
        <v>43100</v>
      </c>
      <c r="D60" s="55">
        <v>0</v>
      </c>
      <c r="E60" s="55">
        <f t="shared" si="94"/>
        <v>43100</v>
      </c>
      <c r="F60" s="55">
        <f ca="1">IFERROR(__xludf.DUMMYFUNCTION("IMPORTRANGE(""https://docs.google.com/spreadsheets/d/1SX6NBoVAgQJ6U1MVXOaj8PK2l7WJ3RER9xtqwdhxkhw/edit?usp=sharing"",""ตราด!M71"")"),8480)</f>
        <v>8480</v>
      </c>
      <c r="G60" s="99">
        <f t="shared" ca="1" si="1"/>
        <v>19.675174013921115</v>
      </c>
      <c r="H60" s="55">
        <v>7500</v>
      </c>
      <c r="I60" s="55">
        <v>4</v>
      </c>
      <c r="J60" s="55">
        <f ca="1">IFERROR(__xludf.DUMMYFUNCTION("IMPORTRANGE(""https://docs.google.com/spreadsheets/d/1SX6NBoVAgQJ6U1MVXOaj8PK2l7WJ3RER9xtqwdhxkhw/edit?usp=sharing"",""ตราด!J83"")"),0)</f>
        <v>0</v>
      </c>
      <c r="K60" s="99">
        <f t="shared" ca="1" si="3"/>
        <v>0</v>
      </c>
      <c r="L60" s="55">
        <f t="shared" ca="1" si="95"/>
        <v>0</v>
      </c>
      <c r="M60" s="55">
        <f ca="1">IFERROR(__xludf.DUMMYFUNCTION("IMPORTRANGE(""https://docs.google.com/spreadsheets/d/1SX6NBoVAgQJ6U1MVXOaj8PK2l7WJ3RER9xtqwdhxkhw/edit?usp=sharing"",""กาญจนบุรี!J85"")"),0)</f>
        <v>0</v>
      </c>
      <c r="N60" s="55">
        <f ca="1">IFERROR(__xludf.DUMMYFUNCTION("IMPORTRANGE(""https://docs.google.com/spreadsheets/d/1SX6NBoVAgQJ6U1MVXOaj8PK2l7WJ3RER9xtqwdhxkhw/edit?usp=sharing"",""กาญจนบุรี!J86"")"),0)</f>
        <v>0</v>
      </c>
      <c r="O60" s="55">
        <v>14000</v>
      </c>
      <c r="P60" s="55">
        <v>1</v>
      </c>
      <c r="Q60" s="55">
        <f ca="1">IFERROR(__xludf.DUMMYFUNCTION("IMPORTRANGE(""https://docs.google.com/spreadsheets/d/1SX6NBoVAgQJ6U1MVXOaj8PK2l7WJ3RER9xtqwdhxkhw/edit?usp=sharing"",""ตราด!J98"")"),0)</f>
        <v>0</v>
      </c>
      <c r="R60" s="99">
        <f t="shared" ca="1" si="5"/>
        <v>0</v>
      </c>
      <c r="S60" s="55">
        <v>15000</v>
      </c>
      <c r="T60" s="55">
        <v>1</v>
      </c>
      <c r="U60" s="55">
        <f ca="1">IFERROR(__xludf.DUMMYFUNCTION("IMPORTRANGE(""https://docs.google.com/spreadsheets/d/1SX6NBoVAgQJ6U1MVXOaj8PK2l7WJ3RER9xtqwdhxkhw/edit?usp=sharing"",""ตราด!J110"")"),0)</f>
        <v>0</v>
      </c>
      <c r="V60" s="99">
        <f t="shared" ca="1" si="7"/>
        <v>0</v>
      </c>
      <c r="W60" s="55">
        <v>1</v>
      </c>
      <c r="X60" s="55">
        <f ca="1">IFERROR(__xludf.DUMMYFUNCTION("IMPORTRANGE(""https://docs.google.com/spreadsheets/d/1SX6NBoVAgQJ6U1MVXOaj8PK2l7WJ3RER9xtqwdhxkhw/edit?usp=sharing"",""ตราด!J111"")"),0)</f>
        <v>0</v>
      </c>
      <c r="Y60" s="99">
        <f t="shared" ca="1" si="9"/>
        <v>0</v>
      </c>
      <c r="Z60" s="55">
        <v>6600</v>
      </c>
      <c r="AA60" s="55">
        <v>3200</v>
      </c>
      <c r="AB60" s="55">
        <f ca="1">IFERROR(__xludf.DUMMYFUNCTION("IMPORTRANGE(""https://docs.google.com/spreadsheets/d/1SX6NBoVAgQJ6U1MVXOaj8PK2l7WJ3RER9xtqwdhxkhw/edit?usp=sharing"",""ตราด!J124"")"),0)</f>
        <v>0</v>
      </c>
      <c r="AC60" s="99">
        <f t="shared" ca="1" si="11"/>
        <v>0</v>
      </c>
      <c r="AD60" s="55">
        <f ca="1">IFERROR(__xludf.DUMMYFUNCTION("IMPORTRANGE(""https://docs.google.com/spreadsheets/d/1SX6NBoVAgQJ6U1MVXOaj8PK2l7WJ3RER9xtqwdhxkhw/edit?usp=sharing"",""ตราด!J125"")"),0)</f>
        <v>0</v>
      </c>
      <c r="AE60" s="99">
        <f t="shared" ca="1" si="12"/>
        <v>0</v>
      </c>
      <c r="AF60" s="55">
        <v>0</v>
      </c>
      <c r="AG60" s="55">
        <f ca="1">IFERROR(__xludf.DUMMYFUNCTION("IMPORTRANGE(""https://docs.google.com/spreadsheets/d/1SX6NBoVAgQJ6U1MVXOaj8PK2l7WJ3RER9xtqwdhxkhw/edit?usp=sharing"",""ตราด!J126"")"),0)</f>
        <v>0</v>
      </c>
      <c r="AH60" s="99">
        <f t="shared" si="14"/>
        <v>0</v>
      </c>
      <c r="AI60" s="55">
        <v>0</v>
      </c>
      <c r="AJ60" s="55">
        <v>0</v>
      </c>
      <c r="AK60" s="55">
        <f ca="1">IFERROR(__xludf.DUMMYFUNCTION("IMPORTRANGE(""https://docs.google.com/spreadsheets/d/1SX6NBoVAgQJ6U1MVXOaj8PK2l7WJ3RER9xtqwdhxkhw/edit?usp=sharing"",""ตราด!J138"")"),0)</f>
        <v>0</v>
      </c>
      <c r="AL60" s="99">
        <f t="shared" si="16"/>
        <v>0</v>
      </c>
      <c r="AM60" s="55">
        <v>0</v>
      </c>
      <c r="AN60" s="55">
        <v>0</v>
      </c>
      <c r="AO60" s="55">
        <f ca="1">IFERROR(__xludf.DUMMYFUNCTION("IMPORTRANGE(""https://docs.google.com/spreadsheets/d/1SX6NBoVAgQJ6U1MVXOaj8PK2l7WJ3RER9xtqwdhxkhw/edit?usp=sharing"",""ตราด!J140"")"),0)</f>
        <v>0</v>
      </c>
      <c r="AP60" s="99">
        <f t="shared" si="18"/>
        <v>0</v>
      </c>
      <c r="AQ60" s="55">
        <f ca="1">IFERROR(__xludf.DUMMYFUNCTION("IMPORTRANGE(""https://docs.google.com/spreadsheets/d/1SX6NBoVAgQJ6U1MVXOaj8PK2l7WJ3RER9xtqwdhxkhw/edit?usp=sharing"",""ตราด!J141"")"),0)</f>
        <v>0</v>
      </c>
      <c r="AR60" s="99">
        <f t="shared" si="19"/>
        <v>0</v>
      </c>
      <c r="AS60" s="55">
        <f t="shared" si="20"/>
        <v>0</v>
      </c>
      <c r="AT60" s="55">
        <f t="shared" ca="1" si="96"/>
        <v>0</v>
      </c>
      <c r="AU60" s="99">
        <f t="shared" si="21"/>
        <v>0</v>
      </c>
    </row>
    <row r="61" spans="1:47" ht="24" customHeight="1" x14ac:dyDescent="0.5">
      <c r="A61" s="52">
        <v>7</v>
      </c>
      <c r="B61" s="53" t="s">
        <v>76</v>
      </c>
      <c r="C61" s="458">
        <f t="shared" si="93"/>
        <v>569800</v>
      </c>
      <c r="D61" s="55">
        <v>305000</v>
      </c>
      <c r="E61" s="55">
        <f t="shared" si="94"/>
        <v>264800</v>
      </c>
      <c r="F61" s="55">
        <f ca="1">IFERROR(__xludf.DUMMYFUNCTION("IMPORTRANGE(""https://docs.google.com/spreadsheets/d/1SX6NBoVAgQJ6U1MVXOaj8PK2l7WJ3RER9xtqwdhxkhw/edit?usp=sharing"",""นครนายก!M71"")"),0)</f>
        <v>0</v>
      </c>
      <c r="G61" s="99">
        <f t="shared" ca="1" si="1"/>
        <v>0</v>
      </c>
      <c r="H61" s="55">
        <v>7500</v>
      </c>
      <c r="I61" s="55">
        <v>4</v>
      </c>
      <c r="J61" s="55">
        <f ca="1">IFERROR(__xludf.DUMMYFUNCTION("IMPORTRANGE(""https://docs.google.com/spreadsheets/d/1SX6NBoVAgQJ6U1MVXOaj8PK2l7WJ3RER9xtqwdhxkhw/edit?usp=sharing"",""นครนายก!J83"")"),0)</f>
        <v>0</v>
      </c>
      <c r="K61" s="99">
        <f t="shared" ca="1" si="3"/>
        <v>0</v>
      </c>
      <c r="L61" s="55">
        <f t="shared" ca="1" si="95"/>
        <v>0</v>
      </c>
      <c r="M61" s="55">
        <f ca="1">IFERROR(__xludf.DUMMYFUNCTION("IMPORTRANGE(""https://docs.google.com/spreadsheets/d/1SX6NBoVAgQJ6U1MVXOaj8PK2l7WJ3RER9xtqwdhxkhw/edit?usp=sharing"",""กาญจนบุรี!J85"")"),0)</f>
        <v>0</v>
      </c>
      <c r="N61" s="55">
        <f ca="1">IFERROR(__xludf.DUMMYFUNCTION("IMPORTRANGE(""https://docs.google.com/spreadsheets/d/1SX6NBoVAgQJ6U1MVXOaj8PK2l7WJ3RER9xtqwdhxkhw/edit?usp=sharing"",""กาญจนบุรี!J86"")"),0)</f>
        <v>0</v>
      </c>
      <c r="O61" s="55">
        <v>42000</v>
      </c>
      <c r="P61" s="55">
        <v>3</v>
      </c>
      <c r="Q61" s="55">
        <f ca="1">IFERROR(__xludf.DUMMYFUNCTION("IMPORTRANGE(""https://docs.google.com/spreadsheets/d/1SX6NBoVAgQJ6U1MVXOaj8PK2l7WJ3RER9xtqwdhxkhw/edit?usp=sharing"",""นครนายก!J98"")"),0)</f>
        <v>0</v>
      </c>
      <c r="R61" s="99">
        <f t="shared" ca="1" si="5"/>
        <v>0</v>
      </c>
      <c r="S61" s="55"/>
      <c r="T61" s="55">
        <v>0</v>
      </c>
      <c r="U61" s="55">
        <f ca="1">IFERROR(__xludf.DUMMYFUNCTION("IMPORTRANGE(""https://docs.google.com/spreadsheets/d/1SX6NBoVAgQJ6U1MVXOaj8PK2l7WJ3RER9xtqwdhxkhw/edit?usp=sharing"",""นครนายก!J110"")"),0)</f>
        <v>0</v>
      </c>
      <c r="V61" s="99">
        <f t="shared" si="7"/>
        <v>0</v>
      </c>
      <c r="W61" s="55">
        <v>0</v>
      </c>
      <c r="X61" s="55">
        <f ca="1">IFERROR(__xludf.DUMMYFUNCTION("IMPORTRANGE(""https://docs.google.com/spreadsheets/d/1SX6NBoVAgQJ6U1MVXOaj8PK2l7WJ3RER9xtqwdhxkhw/edit?usp=sharing"",""นครนายก!J111"")"),0)</f>
        <v>0</v>
      </c>
      <c r="Y61" s="99">
        <f t="shared" si="9"/>
        <v>0</v>
      </c>
      <c r="Z61" s="55">
        <v>14500</v>
      </c>
      <c r="AA61" s="55">
        <v>30000</v>
      </c>
      <c r="AB61" s="55">
        <f ca="1">IFERROR(__xludf.DUMMYFUNCTION("IMPORTRANGE(""https://docs.google.com/spreadsheets/d/1SX6NBoVAgQJ6U1MVXOaj8PK2l7WJ3RER9xtqwdhxkhw/edit?usp=sharing"",""นครนายก!J124"")"),0)</f>
        <v>0</v>
      </c>
      <c r="AC61" s="99">
        <f t="shared" ca="1" si="11"/>
        <v>0</v>
      </c>
      <c r="AD61" s="55">
        <f ca="1">IFERROR(__xludf.DUMMYFUNCTION("IMPORTRANGE(""https://docs.google.com/spreadsheets/d/1SX6NBoVAgQJ6U1MVXOaj8PK2l7WJ3RER9xtqwdhxkhw/edit?usp=sharing"",""นครนายก!J125"")"),0)</f>
        <v>0</v>
      </c>
      <c r="AE61" s="99">
        <f t="shared" ca="1" si="12"/>
        <v>0</v>
      </c>
      <c r="AF61" s="55">
        <v>0</v>
      </c>
      <c r="AG61" s="55">
        <f ca="1">IFERROR(__xludf.DUMMYFUNCTION("IMPORTRANGE(""https://docs.google.com/spreadsheets/d/1SX6NBoVAgQJ6U1MVXOaj8PK2l7WJ3RER9xtqwdhxkhw/edit?usp=sharing"",""นครนายก!J126"")"),0)</f>
        <v>0</v>
      </c>
      <c r="AH61" s="99">
        <f t="shared" si="14"/>
        <v>0</v>
      </c>
      <c r="AI61" s="55">
        <v>200800</v>
      </c>
      <c r="AJ61" s="55">
        <v>20</v>
      </c>
      <c r="AK61" s="55">
        <f ca="1">IFERROR(__xludf.DUMMYFUNCTION("IMPORTRANGE(""https://docs.google.com/spreadsheets/d/1SX6NBoVAgQJ6U1MVXOaj8PK2l7WJ3RER9xtqwdhxkhw/edit?usp=sharing"",""นครนายก!J138"")"),0)</f>
        <v>0</v>
      </c>
      <c r="AL61" s="99">
        <f t="shared" ca="1" si="16"/>
        <v>0</v>
      </c>
      <c r="AM61" s="55">
        <v>1</v>
      </c>
      <c r="AN61" s="55">
        <v>0</v>
      </c>
      <c r="AO61" s="55">
        <f ca="1">IFERROR(__xludf.DUMMYFUNCTION("IMPORTRANGE(""https://docs.google.com/spreadsheets/d/1SX6NBoVAgQJ6U1MVXOaj8PK2l7WJ3RER9xtqwdhxkhw/edit?usp=sharing"",""นครนายก!J140"")"),0)</f>
        <v>0</v>
      </c>
      <c r="AP61" s="99">
        <f t="shared" ca="1" si="18"/>
        <v>0</v>
      </c>
      <c r="AQ61" s="55">
        <f ca="1">IFERROR(__xludf.DUMMYFUNCTION("IMPORTRANGE(""https://docs.google.com/spreadsheets/d/1SX6NBoVAgQJ6U1MVXOaj8PK2l7WJ3RER9xtqwdhxkhw/edit?usp=sharing"",""นครนายก!J141"")"),0)</f>
        <v>0</v>
      </c>
      <c r="AR61" s="99">
        <f t="shared" si="19"/>
        <v>0</v>
      </c>
      <c r="AS61" s="55">
        <f t="shared" si="20"/>
        <v>20</v>
      </c>
      <c r="AT61" s="55">
        <f t="shared" ca="1" si="96"/>
        <v>0</v>
      </c>
      <c r="AU61" s="99">
        <f t="shared" ca="1" si="21"/>
        <v>0</v>
      </c>
    </row>
    <row r="62" spans="1:47" ht="24" customHeight="1" x14ac:dyDescent="0.5">
      <c r="A62" s="52">
        <v>8</v>
      </c>
      <c r="B62" s="53" t="s">
        <v>77</v>
      </c>
      <c r="C62" s="54">
        <f t="shared" si="93"/>
        <v>567900</v>
      </c>
      <c r="D62" s="55">
        <v>310700</v>
      </c>
      <c r="E62" s="55">
        <f t="shared" si="94"/>
        <v>257200</v>
      </c>
      <c r="F62" s="55">
        <f ca="1">IFERROR(__xludf.DUMMYFUNCTION("IMPORTRANGE(""https://docs.google.com/spreadsheets/d/1SX6NBoVAgQJ6U1MVXOaj8PK2l7WJ3RER9xtqwdhxkhw/edit?usp=sharing"",""นครปฐม!M71"")"),0)</f>
        <v>0</v>
      </c>
      <c r="G62" s="99">
        <f t="shared" ca="1" si="1"/>
        <v>0</v>
      </c>
      <c r="H62" s="55">
        <v>7500</v>
      </c>
      <c r="I62" s="55">
        <v>4</v>
      </c>
      <c r="J62" s="55">
        <f ca="1">IFERROR(__xludf.DUMMYFUNCTION("IMPORTRANGE(""https://docs.google.com/spreadsheets/d/1SX6NBoVAgQJ6U1MVXOaj8PK2l7WJ3RER9xtqwdhxkhw/edit?usp=sharing"",""นครปฐม!J83"")"),0)</f>
        <v>0</v>
      </c>
      <c r="K62" s="99">
        <f t="shared" ca="1" si="3"/>
        <v>0</v>
      </c>
      <c r="L62" s="55">
        <f t="shared" ca="1" si="95"/>
        <v>0</v>
      </c>
      <c r="M62" s="55">
        <f ca="1">IFERROR(__xludf.DUMMYFUNCTION("IMPORTRANGE(""https://docs.google.com/spreadsheets/d/1SX6NBoVAgQJ6U1MVXOaj8PK2l7WJ3RER9xtqwdhxkhw/edit?usp=sharing"",""กาญจนบุรี!J85"")"),0)</f>
        <v>0</v>
      </c>
      <c r="N62" s="55">
        <f ca="1">IFERROR(__xludf.DUMMYFUNCTION("IMPORTRANGE(""https://docs.google.com/spreadsheets/d/1SX6NBoVAgQJ6U1MVXOaj8PK2l7WJ3RER9xtqwdhxkhw/edit?usp=sharing"",""กาญจนบุรี!J86"")"),0)</f>
        <v>0</v>
      </c>
      <c r="O62" s="55">
        <v>42000</v>
      </c>
      <c r="P62" s="55">
        <v>3</v>
      </c>
      <c r="Q62" s="55">
        <f ca="1">IFERROR(__xludf.DUMMYFUNCTION("IMPORTRANGE(""https://docs.google.com/spreadsheets/d/1SX6NBoVAgQJ6U1MVXOaj8PK2l7WJ3RER9xtqwdhxkhw/edit?usp=sharing"",""นครปฐม!J98"")"),0)</f>
        <v>0</v>
      </c>
      <c r="R62" s="99">
        <f t="shared" ca="1" si="5"/>
        <v>0</v>
      </c>
      <c r="S62" s="55"/>
      <c r="T62" s="55">
        <v>0</v>
      </c>
      <c r="U62" s="55">
        <f ca="1">IFERROR(__xludf.DUMMYFUNCTION("IMPORTRANGE(""https://docs.google.com/spreadsheets/d/1SX6NBoVAgQJ6U1MVXOaj8PK2l7WJ3RER9xtqwdhxkhw/edit?usp=sharing"",""นครปฐม!J110"")"),0)</f>
        <v>0</v>
      </c>
      <c r="V62" s="99">
        <f t="shared" si="7"/>
        <v>0</v>
      </c>
      <c r="W62" s="55">
        <v>0</v>
      </c>
      <c r="X62" s="55">
        <f ca="1">IFERROR(__xludf.DUMMYFUNCTION("IMPORTRANGE(""https://docs.google.com/spreadsheets/d/1SX6NBoVAgQJ6U1MVXOaj8PK2l7WJ3RER9xtqwdhxkhw/edit?usp=sharing"",""นครปฐม!J111"")"),0)</f>
        <v>0</v>
      </c>
      <c r="Y62" s="99">
        <f t="shared" si="9"/>
        <v>0</v>
      </c>
      <c r="Z62" s="55">
        <v>6900</v>
      </c>
      <c r="AA62" s="55">
        <v>5000</v>
      </c>
      <c r="AB62" s="55">
        <f ca="1">IFERROR(__xludf.DUMMYFUNCTION("IMPORTRANGE(""https://docs.google.com/spreadsheets/d/1SX6NBoVAgQJ6U1MVXOaj8PK2l7WJ3RER9xtqwdhxkhw/edit?usp=sharing"",""นครปฐม!J124"")"),0)</f>
        <v>0</v>
      </c>
      <c r="AC62" s="99">
        <f t="shared" ca="1" si="11"/>
        <v>0</v>
      </c>
      <c r="AD62" s="55">
        <f ca="1">IFERROR(__xludf.DUMMYFUNCTION("IMPORTRANGE(""https://docs.google.com/spreadsheets/d/1SX6NBoVAgQJ6U1MVXOaj8PK2l7WJ3RER9xtqwdhxkhw/edit?usp=sharing"",""นครปฐม!J125"")"),0)</f>
        <v>0</v>
      </c>
      <c r="AE62" s="99">
        <f t="shared" ca="1" si="12"/>
        <v>0</v>
      </c>
      <c r="AF62" s="55">
        <v>0</v>
      </c>
      <c r="AG62" s="55">
        <f ca="1">IFERROR(__xludf.DUMMYFUNCTION("IMPORTRANGE(""https://docs.google.com/spreadsheets/d/1SX6NBoVAgQJ6U1MVXOaj8PK2l7WJ3RER9xtqwdhxkhw/edit?usp=sharing"",""นครปฐม!J126"")"),0)</f>
        <v>0</v>
      </c>
      <c r="AH62" s="99">
        <f t="shared" si="14"/>
        <v>0</v>
      </c>
      <c r="AI62" s="55">
        <v>200800</v>
      </c>
      <c r="AJ62" s="55">
        <v>20</v>
      </c>
      <c r="AK62" s="55">
        <f ca="1">IFERROR(__xludf.DUMMYFUNCTION("IMPORTRANGE(""https://docs.google.com/spreadsheets/d/1SX6NBoVAgQJ6U1MVXOaj8PK2l7WJ3RER9xtqwdhxkhw/edit?usp=sharing"",""นครปฐม!J138"")"),0)</f>
        <v>0</v>
      </c>
      <c r="AL62" s="99">
        <f t="shared" ca="1" si="16"/>
        <v>0</v>
      </c>
      <c r="AM62" s="55">
        <v>1</v>
      </c>
      <c r="AN62" s="55">
        <v>0</v>
      </c>
      <c r="AO62" s="55">
        <f ca="1">IFERROR(__xludf.DUMMYFUNCTION("IMPORTRANGE(""https://docs.google.com/spreadsheets/d/1SX6NBoVAgQJ6U1MVXOaj8PK2l7WJ3RER9xtqwdhxkhw/edit?usp=sharing"",""นครปฐม!J140"")"),0)</f>
        <v>0</v>
      </c>
      <c r="AP62" s="99">
        <f t="shared" ca="1" si="18"/>
        <v>0</v>
      </c>
      <c r="AQ62" s="55">
        <f ca="1">IFERROR(__xludf.DUMMYFUNCTION("IMPORTRANGE(""https://docs.google.com/spreadsheets/d/1SX6NBoVAgQJ6U1MVXOaj8PK2l7WJ3RER9xtqwdhxkhw/edit?usp=sharing"",""นครปฐม!J141"")"),0)</f>
        <v>0</v>
      </c>
      <c r="AR62" s="99">
        <f t="shared" si="19"/>
        <v>0</v>
      </c>
      <c r="AS62" s="55">
        <f t="shared" si="20"/>
        <v>20</v>
      </c>
      <c r="AT62" s="55">
        <f t="shared" ca="1" si="96"/>
        <v>0</v>
      </c>
      <c r="AU62" s="99">
        <f t="shared" ca="1" si="21"/>
        <v>0</v>
      </c>
    </row>
    <row r="63" spans="1:47" ht="24" customHeight="1" x14ac:dyDescent="0.5">
      <c r="A63" s="52">
        <v>9</v>
      </c>
      <c r="B63" s="53" t="s">
        <v>78</v>
      </c>
      <c r="C63" s="458">
        <f t="shared" si="93"/>
        <v>668300</v>
      </c>
      <c r="D63" s="55">
        <v>448300</v>
      </c>
      <c r="E63" s="55">
        <f t="shared" si="94"/>
        <v>220000</v>
      </c>
      <c r="F63" s="55">
        <f ca="1">IFERROR(__xludf.DUMMYFUNCTION("IMPORTRANGE(""https://docs.google.com/spreadsheets/d/1SX6NBoVAgQJ6U1MVXOaj8PK2l7WJ3RER9xtqwdhxkhw/edit?usp=sharing"",""ปทุมธานี!M71"")"),19300)</f>
        <v>19300</v>
      </c>
      <c r="G63" s="99">
        <f t="shared" ca="1" si="1"/>
        <v>2.8879245847673203</v>
      </c>
      <c r="H63" s="55">
        <v>7500</v>
      </c>
      <c r="I63" s="55">
        <v>4</v>
      </c>
      <c r="J63" s="55">
        <f ca="1">IFERROR(__xludf.DUMMYFUNCTION("IMPORTRANGE(""https://docs.google.com/spreadsheets/d/1SX6NBoVAgQJ6U1MVXOaj8PK2l7WJ3RER9xtqwdhxkhw/edit?usp=sharing"",""ปทุมธานี!J83"")"),0)</f>
        <v>0</v>
      </c>
      <c r="K63" s="99">
        <f t="shared" ca="1" si="3"/>
        <v>0</v>
      </c>
      <c r="L63" s="55">
        <f t="shared" ca="1" si="95"/>
        <v>0</v>
      </c>
      <c r="M63" s="55">
        <f ca="1">IFERROR(__xludf.DUMMYFUNCTION("IMPORTRANGE(""https://docs.google.com/spreadsheets/d/1SX6NBoVAgQJ6U1MVXOaj8PK2l7WJ3RER9xtqwdhxkhw/edit?usp=sharing"",""กาญจนบุรี!J85"")"),0)</f>
        <v>0</v>
      </c>
      <c r="N63" s="55">
        <f ca="1">IFERROR(__xludf.DUMMYFUNCTION("IMPORTRANGE(""https://docs.google.com/spreadsheets/d/1SX6NBoVAgQJ6U1MVXOaj8PK2l7WJ3RER9xtqwdhxkhw/edit?usp=sharing"",""กาญจนบุรี!J86"")"),0)</f>
        <v>0</v>
      </c>
      <c r="O63" s="55">
        <v>14000</v>
      </c>
      <c r="P63" s="55">
        <v>1</v>
      </c>
      <c r="Q63" s="55">
        <f ca="1">IFERROR(__xludf.DUMMYFUNCTION("IMPORTRANGE(""https://docs.google.com/spreadsheets/d/1SX6NBoVAgQJ6U1MVXOaj8PK2l7WJ3RER9xtqwdhxkhw/edit?usp=sharing"",""ปทุมธานี!J98"")"),0)</f>
        <v>0</v>
      </c>
      <c r="R63" s="99">
        <f t="shared" ca="1" si="5"/>
        <v>0</v>
      </c>
      <c r="S63" s="55"/>
      <c r="T63" s="55">
        <v>0</v>
      </c>
      <c r="U63" s="55">
        <f ca="1">IFERROR(__xludf.DUMMYFUNCTION("IMPORTRANGE(""https://docs.google.com/spreadsheets/d/1SX6NBoVAgQJ6U1MVXOaj8PK2l7WJ3RER9xtqwdhxkhw/edit?usp=sharing"",""ปทุมธานี!J110"")"),0)</f>
        <v>0</v>
      </c>
      <c r="V63" s="99">
        <f t="shared" si="7"/>
        <v>0</v>
      </c>
      <c r="W63" s="55">
        <v>0</v>
      </c>
      <c r="X63" s="55">
        <f ca="1">IFERROR(__xludf.DUMMYFUNCTION("IMPORTRANGE(""https://docs.google.com/spreadsheets/d/1SX6NBoVAgQJ6U1MVXOaj8PK2l7WJ3RER9xtqwdhxkhw/edit?usp=sharing"",""ปทุมธานี!J111"")"),0)</f>
        <v>0</v>
      </c>
      <c r="Y63" s="99">
        <f t="shared" si="9"/>
        <v>0</v>
      </c>
      <c r="Z63" s="55">
        <v>7500</v>
      </c>
      <c r="AA63" s="55">
        <v>20000</v>
      </c>
      <c r="AB63" s="55">
        <f ca="1">IFERROR(__xludf.DUMMYFUNCTION("IMPORTRANGE(""https://docs.google.com/spreadsheets/d/1SX6NBoVAgQJ6U1MVXOaj8PK2l7WJ3RER9xtqwdhxkhw/edit?usp=sharing"",""ปทุมธานี!J124"")"),0)</f>
        <v>0</v>
      </c>
      <c r="AC63" s="99">
        <f t="shared" ca="1" si="11"/>
        <v>0</v>
      </c>
      <c r="AD63" s="55">
        <f ca="1">IFERROR(__xludf.DUMMYFUNCTION("IMPORTRANGE(""https://docs.google.com/spreadsheets/d/1SX6NBoVAgQJ6U1MVXOaj8PK2l7WJ3RER9xtqwdhxkhw/edit?usp=sharing"",""ปทุมธานี!J125"")"),0)</f>
        <v>0</v>
      </c>
      <c r="AE63" s="99">
        <f t="shared" ca="1" si="12"/>
        <v>0</v>
      </c>
      <c r="AF63" s="55">
        <v>0</v>
      </c>
      <c r="AG63" s="55">
        <f ca="1">IFERROR(__xludf.DUMMYFUNCTION("IMPORTRANGE(""https://docs.google.com/spreadsheets/d/1SX6NBoVAgQJ6U1MVXOaj8PK2l7WJ3RER9xtqwdhxkhw/edit?usp=sharing"",""ปทุมธานี!J126"")"),0)</f>
        <v>0</v>
      </c>
      <c r="AH63" s="99">
        <f t="shared" si="14"/>
        <v>0</v>
      </c>
      <c r="AI63" s="55">
        <v>191000</v>
      </c>
      <c r="AJ63" s="55">
        <v>30</v>
      </c>
      <c r="AK63" s="55">
        <f ca="1">IFERROR(__xludf.DUMMYFUNCTION("IMPORTRANGE(""https://docs.google.com/spreadsheets/d/1SX6NBoVAgQJ6U1MVXOaj8PK2l7WJ3RER9xtqwdhxkhw/edit?usp=sharing"",""ปทุมธานี!J138"")"),30)</f>
        <v>30</v>
      </c>
      <c r="AL63" s="99">
        <f t="shared" ca="1" si="16"/>
        <v>100</v>
      </c>
      <c r="AM63" s="55">
        <v>1</v>
      </c>
      <c r="AN63" s="55">
        <v>0</v>
      </c>
      <c r="AO63" s="55">
        <f ca="1">IFERROR(__xludf.DUMMYFUNCTION("IMPORTRANGE(""https://docs.google.com/spreadsheets/d/1SX6NBoVAgQJ6U1MVXOaj8PK2l7WJ3RER9xtqwdhxkhw/edit?usp=sharing"",""ปทุมธานี!J140"")"),0)</f>
        <v>0</v>
      </c>
      <c r="AP63" s="99">
        <f t="shared" ca="1" si="18"/>
        <v>0</v>
      </c>
      <c r="AQ63" s="55">
        <f ca="1">IFERROR(__xludf.DUMMYFUNCTION("IMPORTRANGE(""https://docs.google.com/spreadsheets/d/1SX6NBoVAgQJ6U1MVXOaj8PK2l7WJ3RER9xtqwdhxkhw/edit?usp=sharing"",""ปทุมธานี!J141"")"),0)</f>
        <v>0</v>
      </c>
      <c r="AR63" s="99">
        <f t="shared" si="19"/>
        <v>0</v>
      </c>
      <c r="AS63" s="55">
        <f t="shared" si="20"/>
        <v>30</v>
      </c>
      <c r="AT63" s="55">
        <f t="shared" ca="1" si="96"/>
        <v>30</v>
      </c>
      <c r="AU63" s="99">
        <f t="shared" ca="1" si="21"/>
        <v>100</v>
      </c>
    </row>
    <row r="64" spans="1:47" ht="24" customHeight="1" x14ac:dyDescent="0.5">
      <c r="A64" s="52">
        <v>10</v>
      </c>
      <c r="B64" s="53" t="s">
        <v>79</v>
      </c>
      <c r="C64" s="54">
        <f t="shared" si="93"/>
        <v>44500</v>
      </c>
      <c r="D64" s="55">
        <v>0</v>
      </c>
      <c r="E64" s="55">
        <f t="shared" si="94"/>
        <v>44500</v>
      </c>
      <c r="F64" s="55">
        <f ca="1">IFERROR(__xludf.DUMMYFUNCTION("IMPORTRANGE(""https://docs.google.com/spreadsheets/d/1SX6NBoVAgQJ6U1MVXOaj8PK2l7WJ3RER9xtqwdhxkhw/edit?usp=sharing"",""ประจวบคีรีขันธ์!M71"")"),0)</f>
        <v>0</v>
      </c>
      <c r="G64" s="99">
        <f t="shared" ca="1" si="1"/>
        <v>0</v>
      </c>
      <c r="H64" s="55">
        <v>7500</v>
      </c>
      <c r="I64" s="55">
        <v>4</v>
      </c>
      <c r="J64" s="55">
        <f ca="1">IFERROR(__xludf.DUMMYFUNCTION("IMPORTRANGE(""https://docs.google.com/spreadsheets/d/1SX6NBoVAgQJ6U1MVXOaj8PK2l7WJ3RER9xtqwdhxkhw/edit?usp=sharing"",""ประจวบคีรีขันธ์!J83"")"),0)</f>
        <v>0</v>
      </c>
      <c r="K64" s="99">
        <f t="shared" ca="1" si="3"/>
        <v>0</v>
      </c>
      <c r="L64" s="55">
        <f t="shared" ca="1" si="95"/>
        <v>0</v>
      </c>
      <c r="M64" s="55">
        <f ca="1">IFERROR(__xludf.DUMMYFUNCTION("IMPORTRANGE(""https://docs.google.com/spreadsheets/d/1SX6NBoVAgQJ6U1MVXOaj8PK2l7WJ3RER9xtqwdhxkhw/edit?usp=sharing"",""กาญจนบุรี!J85"")"),0)</f>
        <v>0</v>
      </c>
      <c r="N64" s="55">
        <f ca="1">IFERROR(__xludf.DUMMYFUNCTION("IMPORTRANGE(""https://docs.google.com/spreadsheets/d/1SX6NBoVAgQJ6U1MVXOaj8PK2l7WJ3RER9xtqwdhxkhw/edit?usp=sharing"",""กาญจนบุรี!J86"")"),0)</f>
        <v>0</v>
      </c>
      <c r="O64" s="55">
        <v>28000</v>
      </c>
      <c r="P64" s="55">
        <v>2</v>
      </c>
      <c r="Q64" s="55">
        <f ca="1">IFERROR(__xludf.DUMMYFUNCTION("IMPORTRANGE(""https://docs.google.com/spreadsheets/d/1SX6NBoVAgQJ6U1MVXOaj8PK2l7WJ3RER9xtqwdhxkhw/edit?usp=sharing"",""ประจวบคีรีขันธ์!J98"")"),0)</f>
        <v>0</v>
      </c>
      <c r="R64" s="99">
        <f t="shared" ca="1" si="5"/>
        <v>0</v>
      </c>
      <c r="S64" s="55"/>
      <c r="T64" s="55">
        <v>0</v>
      </c>
      <c r="U64" s="55">
        <f ca="1">IFERROR(__xludf.DUMMYFUNCTION("IMPORTRANGE(""https://docs.google.com/spreadsheets/d/1SX6NBoVAgQJ6U1MVXOaj8PK2l7WJ3RER9xtqwdhxkhw/edit?usp=sharing"",""ประจวบคีรีขันธ์!J110"")"),0)</f>
        <v>0</v>
      </c>
      <c r="V64" s="99">
        <f t="shared" si="7"/>
        <v>0</v>
      </c>
      <c r="W64" s="55">
        <v>0</v>
      </c>
      <c r="X64" s="55">
        <f ca="1">IFERROR(__xludf.DUMMYFUNCTION("IMPORTRANGE(""https://docs.google.com/spreadsheets/d/1SX6NBoVAgQJ6U1MVXOaj8PK2l7WJ3RER9xtqwdhxkhw/edit?usp=sharing"",""ประจวบคีรีขันธ์!J111"")"),0)</f>
        <v>0</v>
      </c>
      <c r="Y64" s="99">
        <f t="shared" si="9"/>
        <v>0</v>
      </c>
      <c r="Z64" s="55">
        <v>9000</v>
      </c>
      <c r="AA64" s="55">
        <v>20000</v>
      </c>
      <c r="AB64" s="55">
        <f ca="1">IFERROR(__xludf.DUMMYFUNCTION("IMPORTRANGE(""https://docs.google.com/spreadsheets/d/1SX6NBoVAgQJ6U1MVXOaj8PK2l7WJ3RER9xtqwdhxkhw/edit?usp=sharing"",""ประจวบคีรีขันธ์!J124"")"),0)</f>
        <v>0</v>
      </c>
      <c r="AC64" s="99">
        <f t="shared" ca="1" si="11"/>
        <v>0</v>
      </c>
      <c r="AD64" s="55">
        <f ca="1">IFERROR(__xludf.DUMMYFUNCTION("IMPORTRANGE(""https://docs.google.com/spreadsheets/d/1SX6NBoVAgQJ6U1MVXOaj8PK2l7WJ3RER9xtqwdhxkhw/edit?usp=sharing"",""ประจวบคีรีขันธ์!J125"")"),0)</f>
        <v>0</v>
      </c>
      <c r="AE64" s="99">
        <f t="shared" ca="1" si="12"/>
        <v>0</v>
      </c>
      <c r="AF64" s="55">
        <v>0</v>
      </c>
      <c r="AG64" s="55">
        <f ca="1">IFERROR(__xludf.DUMMYFUNCTION("IMPORTRANGE(""https://docs.google.com/spreadsheets/d/1SX6NBoVAgQJ6U1MVXOaj8PK2l7WJ3RER9xtqwdhxkhw/edit?usp=sharing"",""ประจวบคีรีขันธ์!J126"")"),0)</f>
        <v>0</v>
      </c>
      <c r="AH64" s="99">
        <f t="shared" si="14"/>
        <v>0</v>
      </c>
      <c r="AI64" s="55">
        <v>0</v>
      </c>
      <c r="AJ64" s="55">
        <v>0</v>
      </c>
      <c r="AK64" s="55">
        <f ca="1">IFERROR(__xludf.DUMMYFUNCTION("IMPORTRANGE(""https://docs.google.com/spreadsheets/d/1SX6NBoVAgQJ6U1MVXOaj8PK2l7WJ3RER9xtqwdhxkhw/edit?usp=sharing"",""ประจวบคีรีขันธ์!J138"")"),0)</f>
        <v>0</v>
      </c>
      <c r="AL64" s="99">
        <f t="shared" si="16"/>
        <v>0</v>
      </c>
      <c r="AM64" s="55">
        <v>0</v>
      </c>
      <c r="AN64" s="55">
        <v>0</v>
      </c>
      <c r="AO64" s="55">
        <f ca="1">IFERROR(__xludf.DUMMYFUNCTION("IMPORTRANGE(""https://docs.google.com/spreadsheets/d/1SX6NBoVAgQJ6U1MVXOaj8PK2l7WJ3RER9xtqwdhxkhw/edit?usp=sharing"",""ประจวบคีรีขันธ์!J140"")"),0)</f>
        <v>0</v>
      </c>
      <c r="AP64" s="99">
        <f t="shared" si="18"/>
        <v>0</v>
      </c>
      <c r="AQ64" s="55">
        <f ca="1">IFERROR(__xludf.DUMMYFUNCTION("IMPORTRANGE(""https://docs.google.com/spreadsheets/d/1SX6NBoVAgQJ6U1MVXOaj8PK2l7WJ3RER9xtqwdhxkhw/edit?usp=sharing"",""ประจวบคีรีขันธ์!J141"")"),0)</f>
        <v>0</v>
      </c>
      <c r="AR64" s="99">
        <f t="shared" si="19"/>
        <v>0</v>
      </c>
      <c r="AS64" s="55">
        <f t="shared" si="20"/>
        <v>0</v>
      </c>
      <c r="AT64" s="55">
        <f t="shared" ca="1" si="96"/>
        <v>0</v>
      </c>
      <c r="AU64" s="99">
        <f t="shared" si="21"/>
        <v>0</v>
      </c>
    </row>
    <row r="65" spans="1:47" ht="24" customHeight="1" x14ac:dyDescent="0.5">
      <c r="A65" s="52">
        <v>11</v>
      </c>
      <c r="B65" s="53" t="s">
        <v>80</v>
      </c>
      <c r="C65" s="54">
        <f t="shared" si="93"/>
        <v>431300</v>
      </c>
      <c r="D65" s="55">
        <v>305000</v>
      </c>
      <c r="E65" s="55">
        <f t="shared" si="94"/>
        <v>126300</v>
      </c>
      <c r="F65" s="55">
        <f ca="1">IFERROR(__xludf.DUMMYFUNCTION("IMPORTRANGE(""https://docs.google.com/spreadsheets/d/1SX6NBoVAgQJ6U1MVXOaj8PK2l7WJ3RER9xtqwdhxkhw/edit?usp=sharing"",""ปราจีนบุรี!M71"")"),0)</f>
        <v>0</v>
      </c>
      <c r="G65" s="99">
        <f t="shared" ca="1" si="1"/>
        <v>0</v>
      </c>
      <c r="H65" s="55">
        <v>7500</v>
      </c>
      <c r="I65" s="55">
        <v>4</v>
      </c>
      <c r="J65" s="55">
        <f ca="1">IFERROR(__xludf.DUMMYFUNCTION("IMPORTRANGE(""https://docs.google.com/spreadsheets/d/1SX6NBoVAgQJ6U1MVXOaj8PK2l7WJ3RER9xtqwdhxkhw/edit?usp=sharing"",""ปราจีนบุรี!J83"")"),0)</f>
        <v>0</v>
      </c>
      <c r="K65" s="99">
        <f t="shared" ca="1" si="3"/>
        <v>0</v>
      </c>
      <c r="L65" s="55">
        <f t="shared" ca="1" si="95"/>
        <v>0</v>
      </c>
      <c r="M65" s="55">
        <f ca="1">IFERROR(__xludf.DUMMYFUNCTION("IMPORTRANGE(""https://docs.google.com/spreadsheets/d/1SX6NBoVAgQJ6U1MVXOaj8PK2l7WJ3RER9xtqwdhxkhw/edit?usp=sharing"",""กาญจนบุรี!J85"")"),0)</f>
        <v>0</v>
      </c>
      <c r="N65" s="55">
        <f ca="1">IFERROR(__xludf.DUMMYFUNCTION("IMPORTRANGE(""https://docs.google.com/spreadsheets/d/1SX6NBoVAgQJ6U1MVXOaj8PK2l7WJ3RER9xtqwdhxkhw/edit?usp=sharing"",""กาญจนบุรี!J86"")"),0)</f>
        <v>0</v>
      </c>
      <c r="O65" s="55">
        <v>42000</v>
      </c>
      <c r="P65" s="55">
        <v>3</v>
      </c>
      <c r="Q65" s="55">
        <f ca="1">IFERROR(__xludf.DUMMYFUNCTION("IMPORTRANGE(""https://docs.google.com/spreadsheets/d/1SX6NBoVAgQJ6U1MVXOaj8PK2l7WJ3RER9xtqwdhxkhw/edit?usp=sharing"",""ปราจีนบุรี!J98"")"),0)</f>
        <v>0</v>
      </c>
      <c r="R65" s="99">
        <f t="shared" ca="1" si="5"/>
        <v>0</v>
      </c>
      <c r="S65" s="55"/>
      <c r="T65" s="55">
        <v>0</v>
      </c>
      <c r="U65" s="55">
        <f ca="1">IFERROR(__xludf.DUMMYFUNCTION("IMPORTRANGE(""https://docs.google.com/spreadsheets/d/1SX6NBoVAgQJ6U1MVXOaj8PK2l7WJ3RER9xtqwdhxkhw/edit?usp=sharing"",""ปราจีนบุรี!J110"")"),0)</f>
        <v>0</v>
      </c>
      <c r="V65" s="99">
        <f t="shared" si="7"/>
        <v>0</v>
      </c>
      <c r="W65" s="55">
        <v>0</v>
      </c>
      <c r="X65" s="55">
        <f ca="1">IFERROR(__xludf.DUMMYFUNCTION("IMPORTRANGE(""https://docs.google.com/spreadsheets/d/1SX6NBoVAgQJ6U1MVXOaj8PK2l7WJ3RER9xtqwdhxkhw/edit?usp=sharing"",""ปราจีนบุรี!J111"")"),0)</f>
        <v>0</v>
      </c>
      <c r="Y65" s="99">
        <f t="shared" si="9"/>
        <v>0</v>
      </c>
      <c r="Z65" s="55">
        <v>9000</v>
      </c>
      <c r="AA65" s="55">
        <v>20000</v>
      </c>
      <c r="AB65" s="55">
        <f ca="1">IFERROR(__xludf.DUMMYFUNCTION("IMPORTRANGE(""https://docs.google.com/spreadsheets/d/1SX6NBoVAgQJ6U1MVXOaj8PK2l7WJ3RER9xtqwdhxkhw/edit?usp=sharing"",""ปราจีนบุรี!J124"")"),0)</f>
        <v>0</v>
      </c>
      <c r="AC65" s="99">
        <f t="shared" ca="1" si="11"/>
        <v>0</v>
      </c>
      <c r="AD65" s="55">
        <f ca="1">IFERROR(__xludf.DUMMYFUNCTION("IMPORTRANGE(""https://docs.google.com/spreadsheets/d/1SX6NBoVAgQJ6U1MVXOaj8PK2l7WJ3RER9xtqwdhxkhw/edit?usp=sharing"",""ปราจีนบุรี!J125"")"),0)</f>
        <v>0</v>
      </c>
      <c r="AE65" s="99">
        <f t="shared" ca="1" si="12"/>
        <v>0</v>
      </c>
      <c r="AF65" s="55">
        <v>0</v>
      </c>
      <c r="AG65" s="55">
        <f ca="1">IFERROR(__xludf.DUMMYFUNCTION("IMPORTRANGE(""https://docs.google.com/spreadsheets/d/1SX6NBoVAgQJ6U1MVXOaj8PK2l7WJ3RER9xtqwdhxkhw/edit?usp=sharing"",""ปราจีนบุรี!J126"")"),0)</f>
        <v>0</v>
      </c>
      <c r="AH65" s="99">
        <f t="shared" si="14"/>
        <v>0</v>
      </c>
      <c r="AI65" s="55">
        <v>67800</v>
      </c>
      <c r="AJ65" s="55">
        <v>20</v>
      </c>
      <c r="AK65" s="55">
        <f ca="1">IFERROR(__xludf.DUMMYFUNCTION("IMPORTRANGE(""https://docs.google.com/spreadsheets/d/1SX6NBoVAgQJ6U1MVXOaj8PK2l7WJ3RER9xtqwdhxkhw/edit?usp=sharing"",""ปราจีนบุรี!J138"")"),0)</f>
        <v>0</v>
      </c>
      <c r="AL65" s="99">
        <f t="shared" ca="1" si="16"/>
        <v>0</v>
      </c>
      <c r="AM65" s="55">
        <v>1</v>
      </c>
      <c r="AN65" s="55">
        <v>0</v>
      </c>
      <c r="AO65" s="55">
        <f ca="1">IFERROR(__xludf.DUMMYFUNCTION("IMPORTRANGE(""https://docs.google.com/spreadsheets/d/1SX6NBoVAgQJ6U1MVXOaj8PK2l7WJ3RER9xtqwdhxkhw/edit?usp=sharing"",""ปราจีนบุรี!J140"")"),0)</f>
        <v>0</v>
      </c>
      <c r="AP65" s="99">
        <f t="shared" ca="1" si="18"/>
        <v>0</v>
      </c>
      <c r="AQ65" s="55">
        <f ca="1">IFERROR(__xludf.DUMMYFUNCTION("IMPORTRANGE(""https://docs.google.com/spreadsheets/d/1SX6NBoVAgQJ6U1MVXOaj8PK2l7WJ3RER9xtqwdhxkhw/edit?usp=sharing"",""ปราจีนบุรี!J141"")"),0)</f>
        <v>0</v>
      </c>
      <c r="AR65" s="99">
        <f t="shared" si="19"/>
        <v>0</v>
      </c>
      <c r="AS65" s="55">
        <f t="shared" si="20"/>
        <v>20</v>
      </c>
      <c r="AT65" s="55">
        <f t="shared" ca="1" si="96"/>
        <v>0</v>
      </c>
      <c r="AU65" s="99">
        <f t="shared" ca="1" si="21"/>
        <v>0</v>
      </c>
    </row>
    <row r="66" spans="1:47" ht="24" customHeight="1" x14ac:dyDescent="0.5">
      <c r="A66" s="52">
        <v>12</v>
      </c>
      <c r="B66" s="53" t="s">
        <v>81</v>
      </c>
      <c r="C66" s="54">
        <f t="shared" si="93"/>
        <v>670200</v>
      </c>
      <c r="D66" s="55">
        <v>396000</v>
      </c>
      <c r="E66" s="55">
        <f t="shared" si="94"/>
        <v>274200</v>
      </c>
      <c r="F66" s="55">
        <f ca="1">IFERROR(__xludf.DUMMYFUNCTION("IMPORTRANGE(""https://docs.google.com/spreadsheets/d/1SX6NBoVAgQJ6U1MVXOaj8PK2l7WJ3RER9xtqwdhxkhw/edit?usp=sharing"",""พระนครศรีอยุธยา!M71"")"),0)</f>
        <v>0</v>
      </c>
      <c r="G66" s="99">
        <f t="shared" ca="1" si="1"/>
        <v>0</v>
      </c>
      <c r="H66" s="55">
        <v>7500</v>
      </c>
      <c r="I66" s="55">
        <v>4</v>
      </c>
      <c r="J66" s="55">
        <f ca="1">IFERROR(__xludf.DUMMYFUNCTION("IMPORTRANGE(""https://docs.google.com/spreadsheets/d/1SX6NBoVAgQJ6U1MVXOaj8PK2l7WJ3RER9xtqwdhxkhw/edit?usp=sharing"",""พระนครศรีอยุธยา!J83"")"),0)</f>
        <v>0</v>
      </c>
      <c r="K66" s="99">
        <f t="shared" ca="1" si="3"/>
        <v>0</v>
      </c>
      <c r="L66" s="55">
        <f t="shared" ca="1" si="95"/>
        <v>0</v>
      </c>
      <c r="M66" s="55">
        <f ca="1">IFERROR(__xludf.DUMMYFUNCTION("IMPORTRANGE(""https://docs.google.com/spreadsheets/d/1SX6NBoVAgQJ6U1MVXOaj8PK2l7WJ3RER9xtqwdhxkhw/edit?usp=sharing"",""กาญจนบุรี!J85"")"),0)</f>
        <v>0</v>
      </c>
      <c r="N66" s="55">
        <f ca="1">IFERROR(__xludf.DUMMYFUNCTION("IMPORTRANGE(""https://docs.google.com/spreadsheets/d/1SX6NBoVAgQJ6U1MVXOaj8PK2l7WJ3RER9xtqwdhxkhw/edit?usp=sharing"",""กาญจนบุรี!J86"")"),0)</f>
        <v>0</v>
      </c>
      <c r="O66" s="55">
        <v>42000</v>
      </c>
      <c r="P66" s="55">
        <v>3</v>
      </c>
      <c r="Q66" s="55">
        <f ca="1">IFERROR(__xludf.DUMMYFUNCTION("IMPORTRANGE(""https://docs.google.com/spreadsheets/d/1SX6NBoVAgQJ6U1MVXOaj8PK2l7WJ3RER9xtqwdhxkhw/edit?usp=sharing"",""พระนครศรีอยุธยา!J98"")"),0)</f>
        <v>0</v>
      </c>
      <c r="R66" s="99">
        <f t="shared" ca="1" si="5"/>
        <v>0</v>
      </c>
      <c r="S66" s="55"/>
      <c r="T66" s="55">
        <v>0</v>
      </c>
      <c r="U66" s="55">
        <f ca="1">IFERROR(__xludf.DUMMYFUNCTION("IMPORTRANGE(""https://docs.google.com/spreadsheets/d/1SX6NBoVAgQJ6U1MVXOaj8PK2l7WJ3RER9xtqwdhxkhw/edit?usp=sharing"",""พระนครศรีอยุธยา!J110"")"),0)</f>
        <v>0</v>
      </c>
      <c r="V66" s="99">
        <f t="shared" si="7"/>
        <v>0</v>
      </c>
      <c r="W66" s="55">
        <v>0</v>
      </c>
      <c r="X66" s="55">
        <f ca="1">IFERROR(__xludf.DUMMYFUNCTION("IMPORTRANGE(""https://docs.google.com/spreadsheets/d/1SX6NBoVAgQJ6U1MVXOaj8PK2l7WJ3RER9xtqwdhxkhw/edit?usp=sharing"",""พระนครศรีอยุธยา!J111"")"),0)</f>
        <v>0</v>
      </c>
      <c r="Y66" s="99">
        <f t="shared" si="9"/>
        <v>0</v>
      </c>
      <c r="Z66" s="55">
        <v>9000</v>
      </c>
      <c r="AA66" s="55">
        <v>20000</v>
      </c>
      <c r="AB66" s="55">
        <f ca="1">IFERROR(__xludf.DUMMYFUNCTION("IMPORTRANGE(""https://docs.google.com/spreadsheets/d/1SX6NBoVAgQJ6U1MVXOaj8PK2l7WJ3RER9xtqwdhxkhw/edit?usp=sharing"",""พระนครศรีอยุธยา!J124"")"),0)</f>
        <v>0</v>
      </c>
      <c r="AC66" s="99">
        <f t="shared" ca="1" si="11"/>
        <v>0</v>
      </c>
      <c r="AD66" s="55">
        <f ca="1">IFERROR(__xludf.DUMMYFUNCTION("IMPORTRANGE(""https://docs.google.com/spreadsheets/d/1SX6NBoVAgQJ6U1MVXOaj8PK2l7WJ3RER9xtqwdhxkhw/edit?usp=sharing"",""พระนครศรีอยุธยา!J125"")"),0)</f>
        <v>0</v>
      </c>
      <c r="AE66" s="99">
        <f t="shared" ca="1" si="12"/>
        <v>0</v>
      </c>
      <c r="AF66" s="55">
        <v>0</v>
      </c>
      <c r="AG66" s="55">
        <f ca="1">IFERROR(__xludf.DUMMYFUNCTION("IMPORTRANGE(""https://docs.google.com/spreadsheets/d/1SX6NBoVAgQJ6U1MVXOaj8PK2l7WJ3RER9xtqwdhxkhw/edit?usp=sharing"",""พระนครศรีอยุธยา!J126"")"),0)</f>
        <v>0</v>
      </c>
      <c r="AH66" s="99">
        <f t="shared" si="14"/>
        <v>0</v>
      </c>
      <c r="AI66" s="55">
        <v>215700</v>
      </c>
      <c r="AJ66" s="55">
        <v>40</v>
      </c>
      <c r="AK66" s="55">
        <f ca="1">IFERROR(__xludf.DUMMYFUNCTION("IMPORTRANGE(""https://docs.google.com/spreadsheets/d/1SX6NBoVAgQJ6U1MVXOaj8PK2l7WJ3RER9xtqwdhxkhw/edit?usp=sharing"",""พระนครศรีอยุธยา!J138"")"),0)</f>
        <v>0</v>
      </c>
      <c r="AL66" s="99">
        <f t="shared" ca="1" si="16"/>
        <v>0</v>
      </c>
      <c r="AM66" s="55">
        <v>1</v>
      </c>
      <c r="AN66" s="55">
        <v>0</v>
      </c>
      <c r="AO66" s="55">
        <f ca="1">IFERROR(__xludf.DUMMYFUNCTION("IMPORTRANGE(""https://docs.google.com/spreadsheets/d/1SX6NBoVAgQJ6U1MVXOaj8PK2l7WJ3RER9xtqwdhxkhw/edit?usp=sharing"",""พระนครศรีอยุธยา!J140"")"),0)</f>
        <v>0</v>
      </c>
      <c r="AP66" s="99">
        <f t="shared" ca="1" si="18"/>
        <v>0</v>
      </c>
      <c r="AQ66" s="55">
        <f ca="1">IFERROR(__xludf.DUMMYFUNCTION("IMPORTRANGE(""https://docs.google.com/spreadsheets/d/1SX6NBoVAgQJ6U1MVXOaj8PK2l7WJ3RER9xtqwdhxkhw/edit?usp=sharing"",""พระนครศรีอยุธยา!J141"")"),0)</f>
        <v>0</v>
      </c>
      <c r="AR66" s="99">
        <f t="shared" si="19"/>
        <v>0</v>
      </c>
      <c r="AS66" s="55">
        <f t="shared" si="20"/>
        <v>40</v>
      </c>
      <c r="AT66" s="55">
        <f t="shared" ca="1" si="96"/>
        <v>0</v>
      </c>
      <c r="AU66" s="99">
        <f t="shared" ca="1" si="21"/>
        <v>0</v>
      </c>
    </row>
    <row r="67" spans="1:47" ht="24" customHeight="1" x14ac:dyDescent="0.5">
      <c r="A67" s="52">
        <v>13</v>
      </c>
      <c r="B67" s="53" t="s">
        <v>82</v>
      </c>
      <c r="C67" s="458">
        <f t="shared" si="93"/>
        <v>50000</v>
      </c>
      <c r="D67" s="55">
        <v>0</v>
      </c>
      <c r="E67" s="55">
        <f t="shared" si="94"/>
        <v>50000</v>
      </c>
      <c r="F67" s="55">
        <f ca="1">IFERROR(__xludf.DUMMYFUNCTION("IMPORTRANGE(""https://docs.google.com/spreadsheets/d/1SX6NBoVAgQJ6U1MVXOaj8PK2l7WJ3RER9xtqwdhxkhw/edit?usp=sharing"",""เพชรบุรี!M71"")"),0)</f>
        <v>0</v>
      </c>
      <c r="G67" s="99">
        <f t="shared" ca="1" si="1"/>
        <v>0</v>
      </c>
      <c r="H67" s="55">
        <v>7500</v>
      </c>
      <c r="I67" s="55">
        <v>4</v>
      </c>
      <c r="J67" s="55">
        <f ca="1">IFERROR(__xludf.DUMMYFUNCTION("IMPORTRANGE(""https://docs.google.com/spreadsheets/d/1SX6NBoVAgQJ6U1MVXOaj8PK2l7WJ3RER9xtqwdhxkhw/edit?usp=sharing"",""เพชรบุรี!J83"")"),0)</f>
        <v>0</v>
      </c>
      <c r="K67" s="99">
        <f t="shared" ca="1" si="3"/>
        <v>0</v>
      </c>
      <c r="L67" s="55">
        <f t="shared" ca="1" si="95"/>
        <v>0</v>
      </c>
      <c r="M67" s="55">
        <f ca="1">IFERROR(__xludf.DUMMYFUNCTION("IMPORTRANGE(""https://docs.google.com/spreadsheets/d/1SX6NBoVAgQJ6U1MVXOaj8PK2l7WJ3RER9xtqwdhxkhw/edit?usp=sharing"",""กาญจนบุรี!J85"")"),0)</f>
        <v>0</v>
      </c>
      <c r="N67" s="55">
        <f ca="1">IFERROR(__xludf.DUMMYFUNCTION("IMPORTRANGE(""https://docs.google.com/spreadsheets/d/1SX6NBoVAgQJ6U1MVXOaj8PK2l7WJ3RER9xtqwdhxkhw/edit?usp=sharing"",""กาญจนบุรี!J86"")"),0)</f>
        <v>0</v>
      </c>
      <c r="O67" s="55">
        <v>28000</v>
      </c>
      <c r="P67" s="55">
        <v>2</v>
      </c>
      <c r="Q67" s="55">
        <f ca="1">IFERROR(__xludf.DUMMYFUNCTION("IMPORTRANGE(""https://docs.google.com/spreadsheets/d/1SX6NBoVAgQJ6U1MVXOaj8PK2l7WJ3RER9xtqwdhxkhw/edit?usp=sharing"",""เพชรบุรี!J98"")"),0)</f>
        <v>0</v>
      </c>
      <c r="R67" s="99">
        <f t="shared" ca="1" si="5"/>
        <v>0</v>
      </c>
      <c r="S67" s="55"/>
      <c r="T67" s="55">
        <v>0</v>
      </c>
      <c r="U67" s="55">
        <f ca="1">IFERROR(__xludf.DUMMYFUNCTION("IMPORTRANGE(""https://docs.google.com/spreadsheets/d/1SX6NBoVAgQJ6U1MVXOaj8PK2l7WJ3RER9xtqwdhxkhw/edit?usp=sharing"",""เพชรบุรี!J110"")"),0)</f>
        <v>0</v>
      </c>
      <c r="V67" s="99">
        <f t="shared" si="7"/>
        <v>0</v>
      </c>
      <c r="W67" s="55">
        <v>0</v>
      </c>
      <c r="X67" s="55">
        <f ca="1">IFERROR(__xludf.DUMMYFUNCTION("IMPORTRANGE(""https://docs.google.com/spreadsheets/d/1SX6NBoVAgQJ6U1MVXOaj8PK2l7WJ3RER9xtqwdhxkhw/edit?usp=sharing"",""เพชรบุรี!J111"")"),0)</f>
        <v>0</v>
      </c>
      <c r="Y67" s="99">
        <f t="shared" si="9"/>
        <v>0</v>
      </c>
      <c r="Z67" s="55">
        <v>14500</v>
      </c>
      <c r="AA67" s="55">
        <v>30000</v>
      </c>
      <c r="AB67" s="55">
        <f ca="1">IFERROR(__xludf.DUMMYFUNCTION("IMPORTRANGE(""https://docs.google.com/spreadsheets/d/1SX6NBoVAgQJ6U1MVXOaj8PK2l7WJ3RER9xtqwdhxkhw/edit?usp=sharing"",""เพชรบุรี!J124"")"),0)</f>
        <v>0</v>
      </c>
      <c r="AC67" s="99">
        <f t="shared" ca="1" si="11"/>
        <v>0</v>
      </c>
      <c r="AD67" s="55">
        <f ca="1">IFERROR(__xludf.DUMMYFUNCTION("IMPORTRANGE(""https://docs.google.com/spreadsheets/d/1SX6NBoVAgQJ6U1MVXOaj8PK2l7WJ3RER9xtqwdhxkhw/edit?usp=sharing"",""เพชรบุรี!J125"")"),0)</f>
        <v>0</v>
      </c>
      <c r="AE67" s="99">
        <f t="shared" ca="1" si="12"/>
        <v>0</v>
      </c>
      <c r="AF67" s="55">
        <v>0</v>
      </c>
      <c r="AG67" s="55">
        <f ca="1">IFERROR(__xludf.DUMMYFUNCTION("IMPORTRANGE(""https://docs.google.com/spreadsheets/d/1SX6NBoVAgQJ6U1MVXOaj8PK2l7WJ3RER9xtqwdhxkhw/edit?usp=sharing"",""เพชรบุรี!J126"")"),0)</f>
        <v>0</v>
      </c>
      <c r="AH67" s="99">
        <f t="shared" si="14"/>
        <v>0</v>
      </c>
      <c r="AI67" s="55">
        <v>0</v>
      </c>
      <c r="AJ67" s="55">
        <v>0</v>
      </c>
      <c r="AK67" s="55">
        <f ca="1">IFERROR(__xludf.DUMMYFUNCTION("IMPORTRANGE(""https://docs.google.com/spreadsheets/d/1SX6NBoVAgQJ6U1MVXOaj8PK2l7WJ3RER9xtqwdhxkhw/edit?usp=sharing"",""เพชรบุรี!J138"")"),0)</f>
        <v>0</v>
      </c>
      <c r="AL67" s="99">
        <f t="shared" si="16"/>
        <v>0</v>
      </c>
      <c r="AM67" s="55">
        <v>0</v>
      </c>
      <c r="AN67" s="55">
        <v>0</v>
      </c>
      <c r="AO67" s="55">
        <f ca="1">IFERROR(__xludf.DUMMYFUNCTION("IMPORTRANGE(""https://docs.google.com/spreadsheets/d/1SX6NBoVAgQJ6U1MVXOaj8PK2l7WJ3RER9xtqwdhxkhw/edit?usp=sharing"",""เพชรบุรี!J140"")"),0)</f>
        <v>0</v>
      </c>
      <c r="AP67" s="99">
        <f t="shared" si="18"/>
        <v>0</v>
      </c>
      <c r="AQ67" s="55">
        <f ca="1">IFERROR(__xludf.DUMMYFUNCTION("IMPORTRANGE(""https://docs.google.com/spreadsheets/d/1SX6NBoVAgQJ6U1MVXOaj8PK2l7WJ3RER9xtqwdhxkhw/edit?usp=sharing"",""เพชรบุรี!J141"")"),0)</f>
        <v>0</v>
      </c>
      <c r="AR67" s="99">
        <f t="shared" si="19"/>
        <v>0</v>
      </c>
      <c r="AS67" s="55">
        <f t="shared" si="20"/>
        <v>0</v>
      </c>
      <c r="AT67" s="55">
        <f t="shared" ca="1" si="96"/>
        <v>0</v>
      </c>
      <c r="AU67" s="99">
        <f t="shared" si="21"/>
        <v>0</v>
      </c>
    </row>
    <row r="68" spans="1:47" ht="24" customHeight="1" x14ac:dyDescent="0.5">
      <c r="A68" s="52">
        <v>14</v>
      </c>
      <c r="B68" s="53" t="s">
        <v>83</v>
      </c>
      <c r="C68" s="54">
        <f t="shared" si="93"/>
        <v>340900</v>
      </c>
      <c r="D68" s="55">
        <v>232000</v>
      </c>
      <c r="E68" s="55">
        <f t="shared" si="94"/>
        <v>108900</v>
      </c>
      <c r="F68" s="55">
        <f ca="1">IFERROR(__xludf.DUMMYFUNCTION("IMPORTRANGE(""https://docs.google.com/spreadsheets/d/1SX6NBoVAgQJ6U1MVXOaj8PK2l7WJ3RER9xtqwdhxkhw/edit?usp=sharing"",""ระยอง!M71"")"),0)</f>
        <v>0</v>
      </c>
      <c r="G68" s="99">
        <f t="shared" ca="1" si="1"/>
        <v>0</v>
      </c>
      <c r="H68" s="55">
        <v>7500</v>
      </c>
      <c r="I68" s="55">
        <v>4</v>
      </c>
      <c r="J68" s="55">
        <f ca="1">IFERROR(__xludf.DUMMYFUNCTION("IMPORTRANGE(""https://docs.google.com/spreadsheets/d/1SX6NBoVAgQJ6U1MVXOaj8PK2l7WJ3RER9xtqwdhxkhw/edit?usp=sharing"",""ระยอง!J83"")"),0)</f>
        <v>0</v>
      </c>
      <c r="K68" s="99">
        <f t="shared" ca="1" si="3"/>
        <v>0</v>
      </c>
      <c r="L68" s="55">
        <f t="shared" ca="1" si="95"/>
        <v>0</v>
      </c>
      <c r="M68" s="55">
        <f ca="1">IFERROR(__xludf.DUMMYFUNCTION("IMPORTRANGE(""https://docs.google.com/spreadsheets/d/1SX6NBoVAgQJ6U1MVXOaj8PK2l7WJ3RER9xtqwdhxkhw/edit?usp=sharing"",""กาญจนบุรี!J85"")"),0)</f>
        <v>0</v>
      </c>
      <c r="N68" s="55">
        <f ca="1">IFERROR(__xludf.DUMMYFUNCTION("IMPORTRANGE(""https://docs.google.com/spreadsheets/d/1SX6NBoVAgQJ6U1MVXOaj8PK2l7WJ3RER9xtqwdhxkhw/edit?usp=sharing"",""กาญจนบุรี!J86"")"),0)</f>
        <v>0</v>
      </c>
      <c r="O68" s="55">
        <v>14000</v>
      </c>
      <c r="P68" s="55">
        <v>1</v>
      </c>
      <c r="Q68" s="55">
        <f ca="1">IFERROR(__xludf.DUMMYFUNCTION("IMPORTRANGE(""https://docs.google.com/spreadsheets/d/1SX6NBoVAgQJ6U1MVXOaj8PK2l7WJ3RER9xtqwdhxkhw/edit?usp=sharing"",""ระยอง!J98"")"),0)</f>
        <v>0</v>
      </c>
      <c r="R68" s="99">
        <f t="shared" ca="1" si="5"/>
        <v>0</v>
      </c>
      <c r="S68" s="55"/>
      <c r="T68" s="55">
        <v>0</v>
      </c>
      <c r="U68" s="55">
        <f ca="1">IFERROR(__xludf.DUMMYFUNCTION("IMPORTRANGE(""https://docs.google.com/spreadsheets/d/1SX6NBoVAgQJ6U1MVXOaj8PK2l7WJ3RER9xtqwdhxkhw/edit?usp=sharing"",""ระยอง!J110"")"),0)</f>
        <v>0</v>
      </c>
      <c r="V68" s="99">
        <f t="shared" si="7"/>
        <v>0</v>
      </c>
      <c r="W68" s="55">
        <v>0</v>
      </c>
      <c r="X68" s="55">
        <f ca="1">IFERROR(__xludf.DUMMYFUNCTION("IMPORTRANGE(""https://docs.google.com/spreadsheets/d/1SX6NBoVAgQJ6U1MVXOaj8PK2l7WJ3RER9xtqwdhxkhw/edit?usp=sharing"",""ระยอง!J111"")"),0)</f>
        <v>0</v>
      </c>
      <c r="Y68" s="99">
        <f t="shared" si="9"/>
        <v>0</v>
      </c>
      <c r="Z68" s="55">
        <v>7200</v>
      </c>
      <c r="AA68" s="55">
        <v>6400</v>
      </c>
      <c r="AB68" s="55">
        <f ca="1">IFERROR(__xludf.DUMMYFUNCTION("IMPORTRANGE(""https://docs.google.com/spreadsheets/d/1SX6NBoVAgQJ6U1MVXOaj8PK2l7WJ3RER9xtqwdhxkhw/edit?usp=sharing"",""ระยอง!J124"")"),0)</f>
        <v>0</v>
      </c>
      <c r="AC68" s="99">
        <f t="shared" ca="1" si="11"/>
        <v>0</v>
      </c>
      <c r="AD68" s="55">
        <f ca="1">IFERROR(__xludf.DUMMYFUNCTION("IMPORTRANGE(""https://docs.google.com/spreadsheets/d/1SX6NBoVAgQJ6U1MVXOaj8PK2l7WJ3RER9xtqwdhxkhw/edit?usp=sharing"",""ระยอง!J125"")"),0)</f>
        <v>0</v>
      </c>
      <c r="AE68" s="99">
        <f t="shared" ca="1" si="12"/>
        <v>0</v>
      </c>
      <c r="AF68" s="55">
        <v>0</v>
      </c>
      <c r="AG68" s="55">
        <f ca="1">IFERROR(__xludf.DUMMYFUNCTION("IMPORTRANGE(""https://docs.google.com/spreadsheets/d/1SX6NBoVAgQJ6U1MVXOaj8PK2l7WJ3RER9xtqwdhxkhw/edit?usp=sharing"",""ระยอง!J126"")"),0)</f>
        <v>0</v>
      </c>
      <c r="AH68" s="99">
        <f t="shared" si="14"/>
        <v>0</v>
      </c>
      <c r="AI68" s="55">
        <v>80200</v>
      </c>
      <c r="AJ68" s="55">
        <v>20</v>
      </c>
      <c r="AK68" s="55">
        <f ca="1">IFERROR(__xludf.DUMMYFUNCTION("IMPORTRANGE(""https://docs.google.com/spreadsheets/d/1SX6NBoVAgQJ6U1MVXOaj8PK2l7WJ3RER9xtqwdhxkhw/edit?usp=sharing"",""ระยอง!J138"")"),0)</f>
        <v>0</v>
      </c>
      <c r="AL68" s="99">
        <f t="shared" ca="1" si="16"/>
        <v>0</v>
      </c>
      <c r="AM68" s="55">
        <v>20</v>
      </c>
      <c r="AN68" s="55">
        <v>0</v>
      </c>
      <c r="AO68" s="55">
        <f ca="1">IFERROR(__xludf.DUMMYFUNCTION("IMPORTRANGE(""https://docs.google.com/spreadsheets/d/1SX6NBoVAgQJ6U1MVXOaj8PK2l7WJ3RER9xtqwdhxkhw/edit?usp=sharing"",""ระยอง!J140"")"),0)</f>
        <v>0</v>
      </c>
      <c r="AP68" s="99">
        <f t="shared" ca="1" si="18"/>
        <v>0</v>
      </c>
      <c r="AQ68" s="55">
        <f ca="1">IFERROR(__xludf.DUMMYFUNCTION("IMPORTRANGE(""https://docs.google.com/spreadsheets/d/1SX6NBoVAgQJ6U1MVXOaj8PK2l7WJ3RER9xtqwdhxkhw/edit?usp=sharing"",""ระยอง!J141"")"),0)</f>
        <v>0</v>
      </c>
      <c r="AR68" s="99">
        <f t="shared" si="19"/>
        <v>0</v>
      </c>
      <c r="AS68" s="55">
        <f t="shared" si="20"/>
        <v>20</v>
      </c>
      <c r="AT68" s="55">
        <f t="shared" ca="1" si="96"/>
        <v>0</v>
      </c>
      <c r="AU68" s="99">
        <f t="shared" ca="1" si="21"/>
        <v>0</v>
      </c>
    </row>
    <row r="69" spans="1:47" ht="24" customHeight="1" x14ac:dyDescent="0.5">
      <c r="A69" s="52">
        <v>15</v>
      </c>
      <c r="B69" s="53" t="s">
        <v>84</v>
      </c>
      <c r="C69" s="54">
        <f t="shared" si="93"/>
        <v>58500</v>
      </c>
      <c r="D69" s="55">
        <v>0</v>
      </c>
      <c r="E69" s="55">
        <f t="shared" si="94"/>
        <v>58500</v>
      </c>
      <c r="F69" s="55">
        <f ca="1">IFERROR(__xludf.DUMMYFUNCTION("IMPORTRANGE(""https://docs.google.com/spreadsheets/d/1SX6NBoVAgQJ6U1MVXOaj8PK2l7WJ3RER9xtqwdhxkhw/edit?usp=sharing"",""ราชบุรี!M71"")"),0)</f>
        <v>0</v>
      </c>
      <c r="G69" s="99">
        <f t="shared" ca="1" si="1"/>
        <v>0</v>
      </c>
      <c r="H69" s="55">
        <v>7500</v>
      </c>
      <c r="I69" s="55">
        <v>4</v>
      </c>
      <c r="J69" s="55">
        <f ca="1">IFERROR(__xludf.DUMMYFUNCTION("IMPORTRANGE(""https://docs.google.com/spreadsheets/d/1SX6NBoVAgQJ6U1MVXOaj8PK2l7WJ3RER9xtqwdhxkhw/edit?usp=sharing"",""ราชบุรี!J83"")"),0)</f>
        <v>0</v>
      </c>
      <c r="K69" s="99">
        <f t="shared" ca="1" si="3"/>
        <v>0</v>
      </c>
      <c r="L69" s="55">
        <f t="shared" ca="1" si="95"/>
        <v>0</v>
      </c>
      <c r="M69" s="55">
        <f ca="1">IFERROR(__xludf.DUMMYFUNCTION("IMPORTRANGE(""https://docs.google.com/spreadsheets/d/1SX6NBoVAgQJ6U1MVXOaj8PK2l7WJ3RER9xtqwdhxkhw/edit?usp=sharing"",""กาญจนบุรี!J85"")"),0)</f>
        <v>0</v>
      </c>
      <c r="N69" s="55">
        <f ca="1">IFERROR(__xludf.DUMMYFUNCTION("IMPORTRANGE(""https://docs.google.com/spreadsheets/d/1SX6NBoVAgQJ6U1MVXOaj8PK2l7WJ3RER9xtqwdhxkhw/edit?usp=sharing"",""กาญจนบุรี!J86"")"),0)</f>
        <v>0</v>
      </c>
      <c r="O69" s="55">
        <v>42000</v>
      </c>
      <c r="P69" s="55">
        <v>3</v>
      </c>
      <c r="Q69" s="55">
        <f ca="1">IFERROR(__xludf.DUMMYFUNCTION("IMPORTRANGE(""https://docs.google.com/spreadsheets/d/1SX6NBoVAgQJ6U1MVXOaj8PK2l7WJ3RER9xtqwdhxkhw/edit?usp=sharing"",""ราชบุรี!J98"")"),0)</f>
        <v>0</v>
      </c>
      <c r="R69" s="99">
        <f t="shared" ca="1" si="5"/>
        <v>0</v>
      </c>
      <c r="S69" s="55"/>
      <c r="T69" s="55">
        <v>0</v>
      </c>
      <c r="U69" s="55">
        <f ca="1">IFERROR(__xludf.DUMMYFUNCTION("IMPORTRANGE(""https://docs.google.com/spreadsheets/d/1SX6NBoVAgQJ6U1MVXOaj8PK2l7WJ3RER9xtqwdhxkhw/edit?usp=sharing"",""ราชบุรี!J110"")"),0)</f>
        <v>0</v>
      </c>
      <c r="V69" s="99">
        <f t="shared" si="7"/>
        <v>0</v>
      </c>
      <c r="W69" s="55">
        <v>0</v>
      </c>
      <c r="X69" s="55">
        <f ca="1">IFERROR(__xludf.DUMMYFUNCTION("IMPORTRANGE(""https://docs.google.com/spreadsheets/d/1SX6NBoVAgQJ6U1MVXOaj8PK2l7WJ3RER9xtqwdhxkhw/edit?usp=sharing"",""ราชบุรี!J111"")"),0)</f>
        <v>0</v>
      </c>
      <c r="Y69" s="99">
        <f t="shared" si="9"/>
        <v>0</v>
      </c>
      <c r="Z69" s="55">
        <v>9000</v>
      </c>
      <c r="AA69" s="55">
        <v>20000</v>
      </c>
      <c r="AB69" s="55">
        <f ca="1">IFERROR(__xludf.DUMMYFUNCTION("IMPORTRANGE(""https://docs.google.com/spreadsheets/d/1SX6NBoVAgQJ6U1MVXOaj8PK2l7WJ3RER9xtqwdhxkhw/edit?usp=sharing"",""ราชบุรี!J124"")"),0)</f>
        <v>0</v>
      </c>
      <c r="AC69" s="99">
        <f t="shared" ca="1" si="11"/>
        <v>0</v>
      </c>
      <c r="AD69" s="55">
        <f ca="1">IFERROR(__xludf.DUMMYFUNCTION("IMPORTRANGE(""https://docs.google.com/spreadsheets/d/1SX6NBoVAgQJ6U1MVXOaj8PK2l7WJ3RER9xtqwdhxkhw/edit?usp=sharing"",""ราชบุรี!J125"")"),0)</f>
        <v>0</v>
      </c>
      <c r="AE69" s="99">
        <f t="shared" ca="1" si="12"/>
        <v>0</v>
      </c>
      <c r="AF69" s="55">
        <v>0</v>
      </c>
      <c r="AG69" s="55">
        <f ca="1">IFERROR(__xludf.DUMMYFUNCTION("IMPORTRANGE(""https://docs.google.com/spreadsheets/d/1SX6NBoVAgQJ6U1MVXOaj8PK2l7WJ3RER9xtqwdhxkhw/edit?usp=sharing"",""ราชบุรี!J126"")"),0)</f>
        <v>0</v>
      </c>
      <c r="AH69" s="99">
        <f t="shared" si="14"/>
        <v>0</v>
      </c>
      <c r="AI69" s="55">
        <v>0</v>
      </c>
      <c r="AJ69" s="55">
        <v>0</v>
      </c>
      <c r="AK69" s="55">
        <f ca="1">IFERROR(__xludf.DUMMYFUNCTION("IMPORTRANGE(""https://docs.google.com/spreadsheets/d/1SX6NBoVAgQJ6U1MVXOaj8PK2l7WJ3RER9xtqwdhxkhw/edit?usp=sharing"",""ราชบุรี!J138"")"),0)</f>
        <v>0</v>
      </c>
      <c r="AL69" s="99">
        <f t="shared" si="16"/>
        <v>0</v>
      </c>
      <c r="AM69" s="55">
        <v>0</v>
      </c>
      <c r="AN69" s="55">
        <v>0</v>
      </c>
      <c r="AO69" s="55">
        <f ca="1">IFERROR(__xludf.DUMMYFUNCTION("IMPORTRANGE(""https://docs.google.com/spreadsheets/d/1SX6NBoVAgQJ6U1MVXOaj8PK2l7WJ3RER9xtqwdhxkhw/edit?usp=sharing"",""ราชบุรี!J140"")"),0)</f>
        <v>0</v>
      </c>
      <c r="AP69" s="99">
        <f t="shared" si="18"/>
        <v>0</v>
      </c>
      <c r="AQ69" s="55">
        <f ca="1">IFERROR(__xludf.DUMMYFUNCTION("IMPORTRANGE(""https://docs.google.com/spreadsheets/d/1SX6NBoVAgQJ6U1MVXOaj8PK2l7WJ3RER9xtqwdhxkhw/edit?usp=sharing"",""ราชบุรี!J141"")"),0)</f>
        <v>0</v>
      </c>
      <c r="AR69" s="99">
        <f t="shared" si="19"/>
        <v>0</v>
      </c>
      <c r="AS69" s="55">
        <f t="shared" si="20"/>
        <v>0</v>
      </c>
      <c r="AT69" s="55">
        <f t="shared" ca="1" si="96"/>
        <v>0</v>
      </c>
      <c r="AU69" s="99">
        <f t="shared" si="21"/>
        <v>0</v>
      </c>
    </row>
    <row r="70" spans="1:47" ht="24" customHeight="1" x14ac:dyDescent="0.5">
      <c r="A70" s="52">
        <v>16</v>
      </c>
      <c r="B70" s="53" t="s">
        <v>85</v>
      </c>
      <c r="C70" s="54">
        <f t="shared" si="93"/>
        <v>97500</v>
      </c>
      <c r="D70" s="55">
        <v>0</v>
      </c>
      <c r="E70" s="55">
        <f t="shared" si="94"/>
        <v>97500</v>
      </c>
      <c r="F70" s="55">
        <f ca="1">IFERROR(__xludf.DUMMYFUNCTION("IMPORTRANGE(""https://docs.google.com/spreadsheets/d/1SX6NBoVAgQJ6U1MVXOaj8PK2l7WJ3RER9xtqwdhxkhw/edit?usp=sharing"",""ลพบุรี!M71"")"),0)</f>
        <v>0</v>
      </c>
      <c r="G70" s="99">
        <f t="shared" ca="1" si="1"/>
        <v>0</v>
      </c>
      <c r="H70" s="55">
        <v>7500</v>
      </c>
      <c r="I70" s="55">
        <v>4</v>
      </c>
      <c r="J70" s="55">
        <f ca="1">IFERROR(__xludf.DUMMYFUNCTION("IMPORTRANGE(""https://docs.google.com/spreadsheets/d/1SX6NBoVAgQJ6U1MVXOaj8PK2l7WJ3RER9xtqwdhxkhw/edit?usp=sharing"",""ลพบุรี!J83"")"),0)</f>
        <v>0</v>
      </c>
      <c r="K70" s="99">
        <f t="shared" ca="1" si="3"/>
        <v>0</v>
      </c>
      <c r="L70" s="55">
        <f t="shared" ca="1" si="95"/>
        <v>0</v>
      </c>
      <c r="M70" s="55">
        <f ca="1">IFERROR(__xludf.DUMMYFUNCTION("IMPORTRANGE(""https://docs.google.com/spreadsheets/d/1SX6NBoVAgQJ6U1MVXOaj8PK2l7WJ3RER9xtqwdhxkhw/edit?usp=sharing"",""กาญจนบุรี!J85"")"),0)</f>
        <v>0</v>
      </c>
      <c r="N70" s="55">
        <f ca="1">IFERROR(__xludf.DUMMYFUNCTION("IMPORTRANGE(""https://docs.google.com/spreadsheets/d/1SX6NBoVAgQJ6U1MVXOaj8PK2l7WJ3RER9xtqwdhxkhw/edit?usp=sharing"",""กาญจนบุรี!J86"")"),0)</f>
        <v>0</v>
      </c>
      <c r="O70" s="55">
        <v>56000</v>
      </c>
      <c r="P70" s="55">
        <v>4</v>
      </c>
      <c r="Q70" s="55">
        <f ca="1">IFERROR(__xludf.DUMMYFUNCTION("IMPORTRANGE(""https://docs.google.com/spreadsheets/d/1SX6NBoVAgQJ6U1MVXOaj8PK2l7WJ3RER9xtqwdhxkhw/edit?usp=sharing"",""ลพบุรี!J98"")"),0)</f>
        <v>0</v>
      </c>
      <c r="R70" s="99">
        <f t="shared" ca="1" si="5"/>
        <v>0</v>
      </c>
      <c r="S70" s="55"/>
      <c r="T70" s="55">
        <v>0</v>
      </c>
      <c r="U70" s="55">
        <f ca="1">IFERROR(__xludf.DUMMYFUNCTION("IMPORTRANGE(""https://docs.google.com/spreadsheets/d/1SX6NBoVAgQJ6U1MVXOaj8PK2l7WJ3RER9xtqwdhxkhw/edit?usp=sharing"",""ลพบุรี!J110"")"),0)</f>
        <v>0</v>
      </c>
      <c r="V70" s="99">
        <f t="shared" si="7"/>
        <v>0</v>
      </c>
      <c r="W70" s="55">
        <v>0</v>
      </c>
      <c r="X70" s="55">
        <f ca="1">IFERROR(__xludf.DUMMYFUNCTION("IMPORTRANGE(""https://docs.google.com/spreadsheets/d/1SX6NBoVAgQJ6U1MVXOaj8PK2l7WJ3RER9xtqwdhxkhw/edit?usp=sharing"",""ลพบุรี!J111"")"),0)</f>
        <v>0</v>
      </c>
      <c r="Y70" s="99">
        <f t="shared" si="9"/>
        <v>0</v>
      </c>
      <c r="Z70" s="55">
        <v>34000</v>
      </c>
      <c r="AA70" s="55">
        <v>100000</v>
      </c>
      <c r="AB70" s="55">
        <f ca="1">IFERROR(__xludf.DUMMYFUNCTION("IMPORTRANGE(""https://docs.google.com/spreadsheets/d/1SX6NBoVAgQJ6U1MVXOaj8PK2l7WJ3RER9xtqwdhxkhw/edit?usp=sharing"",""ลพบุรี!J124"")"),0)</f>
        <v>0</v>
      </c>
      <c r="AC70" s="99">
        <f t="shared" ca="1" si="11"/>
        <v>0</v>
      </c>
      <c r="AD70" s="55">
        <f ca="1">IFERROR(__xludf.DUMMYFUNCTION("IMPORTRANGE(""https://docs.google.com/spreadsheets/d/1SX6NBoVAgQJ6U1MVXOaj8PK2l7WJ3RER9xtqwdhxkhw/edit?usp=sharing"",""ลพบุรี!J125"")"),0)</f>
        <v>0</v>
      </c>
      <c r="AE70" s="99">
        <f t="shared" ca="1" si="12"/>
        <v>0</v>
      </c>
      <c r="AF70" s="55">
        <v>0</v>
      </c>
      <c r="AG70" s="55">
        <f ca="1">IFERROR(__xludf.DUMMYFUNCTION("IMPORTRANGE(""https://docs.google.com/spreadsheets/d/1SX6NBoVAgQJ6U1MVXOaj8PK2l7WJ3RER9xtqwdhxkhw/edit?usp=sharing"",""ลพบุรี!J126"")"),0)</f>
        <v>0</v>
      </c>
      <c r="AH70" s="99">
        <f t="shared" si="14"/>
        <v>0</v>
      </c>
      <c r="AI70" s="55">
        <v>0</v>
      </c>
      <c r="AJ70" s="55">
        <v>0</v>
      </c>
      <c r="AK70" s="55">
        <f ca="1">IFERROR(__xludf.DUMMYFUNCTION("IMPORTRANGE(""https://docs.google.com/spreadsheets/d/1SX6NBoVAgQJ6U1MVXOaj8PK2l7WJ3RER9xtqwdhxkhw/edit?usp=sharing"",""ลพบุรี!J138"")"),0)</f>
        <v>0</v>
      </c>
      <c r="AL70" s="99">
        <f t="shared" si="16"/>
        <v>0</v>
      </c>
      <c r="AM70" s="55">
        <v>0</v>
      </c>
      <c r="AN70" s="55">
        <v>0</v>
      </c>
      <c r="AO70" s="55">
        <f ca="1">IFERROR(__xludf.DUMMYFUNCTION("IMPORTRANGE(""https://docs.google.com/spreadsheets/d/1SX6NBoVAgQJ6U1MVXOaj8PK2l7WJ3RER9xtqwdhxkhw/edit?usp=sharing"",""ลพบุรี!J140"")"),0)</f>
        <v>0</v>
      </c>
      <c r="AP70" s="99">
        <f t="shared" si="18"/>
        <v>0</v>
      </c>
      <c r="AQ70" s="55">
        <f ca="1">IFERROR(__xludf.DUMMYFUNCTION("IMPORTRANGE(""https://docs.google.com/spreadsheets/d/1SX6NBoVAgQJ6U1MVXOaj8PK2l7WJ3RER9xtqwdhxkhw/edit?usp=sharing"",""ลพบุรี!J141"")"),0)</f>
        <v>0</v>
      </c>
      <c r="AR70" s="99">
        <f t="shared" si="19"/>
        <v>0</v>
      </c>
      <c r="AS70" s="55">
        <f t="shared" si="20"/>
        <v>0</v>
      </c>
      <c r="AT70" s="55">
        <f t="shared" ca="1" si="96"/>
        <v>0</v>
      </c>
      <c r="AU70" s="99">
        <f t="shared" si="21"/>
        <v>0</v>
      </c>
    </row>
    <row r="71" spans="1:47" ht="24" customHeight="1" x14ac:dyDescent="0.5">
      <c r="A71" s="52">
        <v>17</v>
      </c>
      <c r="B71" s="53" t="s">
        <v>86</v>
      </c>
      <c r="C71" s="54">
        <f t="shared" si="93"/>
        <v>479100</v>
      </c>
      <c r="D71" s="55">
        <v>132000</v>
      </c>
      <c r="E71" s="55">
        <f t="shared" si="94"/>
        <v>347100</v>
      </c>
      <c r="F71" s="55">
        <f ca="1">IFERROR(__xludf.DUMMYFUNCTION("IMPORTRANGE(""https://docs.google.com/spreadsheets/d/1SX6NBoVAgQJ6U1MVXOaj8PK2l7WJ3RER9xtqwdhxkhw/edit?usp=sharing"",""สระแก้ว!M71"")"),0)</f>
        <v>0</v>
      </c>
      <c r="G71" s="99">
        <f t="shared" ca="1" si="1"/>
        <v>0</v>
      </c>
      <c r="H71" s="55">
        <v>7500</v>
      </c>
      <c r="I71" s="55">
        <v>4</v>
      </c>
      <c r="J71" s="55">
        <f ca="1">IFERROR(__xludf.DUMMYFUNCTION("IMPORTRANGE(""https://docs.google.com/spreadsheets/d/1SX6NBoVAgQJ6U1MVXOaj8PK2l7WJ3RER9xtqwdhxkhw/edit?usp=sharing"",""สระแก้ว!J83"")"),0)</f>
        <v>0</v>
      </c>
      <c r="K71" s="99">
        <f t="shared" ca="1" si="3"/>
        <v>0</v>
      </c>
      <c r="L71" s="55">
        <f t="shared" ca="1" si="95"/>
        <v>0</v>
      </c>
      <c r="M71" s="55">
        <f ca="1">IFERROR(__xludf.DUMMYFUNCTION("IMPORTRANGE(""https://docs.google.com/spreadsheets/d/1SX6NBoVAgQJ6U1MVXOaj8PK2l7WJ3RER9xtqwdhxkhw/edit?usp=sharing"",""กาญจนบุรี!J85"")"),0)</f>
        <v>0</v>
      </c>
      <c r="N71" s="55">
        <f ca="1">IFERROR(__xludf.DUMMYFUNCTION("IMPORTRANGE(""https://docs.google.com/spreadsheets/d/1SX6NBoVAgQJ6U1MVXOaj8PK2l7WJ3RER9xtqwdhxkhw/edit?usp=sharing"",""กาญจนบุรี!J86"")"),0)</f>
        <v>0</v>
      </c>
      <c r="O71" s="55">
        <v>42000</v>
      </c>
      <c r="P71" s="55">
        <v>3</v>
      </c>
      <c r="Q71" s="55">
        <f ca="1">IFERROR(__xludf.DUMMYFUNCTION("IMPORTRANGE(""https://docs.google.com/spreadsheets/d/1SX6NBoVAgQJ6U1MVXOaj8PK2l7WJ3RER9xtqwdhxkhw/edit?usp=sharing"",""สระแก้ว!J98"")"),0)</f>
        <v>0</v>
      </c>
      <c r="R71" s="99">
        <f t="shared" ca="1" si="5"/>
        <v>0</v>
      </c>
      <c r="S71" s="55">
        <v>90000</v>
      </c>
      <c r="T71" s="55">
        <v>6</v>
      </c>
      <c r="U71" s="55">
        <f ca="1">IFERROR(__xludf.DUMMYFUNCTION("IMPORTRANGE(""https://docs.google.com/spreadsheets/d/1SX6NBoVAgQJ6U1MVXOaj8PK2l7WJ3RER9xtqwdhxkhw/edit?usp=sharing"",""สระแก้ว!J110"")"),0)</f>
        <v>0</v>
      </c>
      <c r="V71" s="99">
        <f t="shared" ca="1" si="7"/>
        <v>0</v>
      </c>
      <c r="W71" s="55">
        <v>6</v>
      </c>
      <c r="X71" s="55">
        <f ca="1">IFERROR(__xludf.DUMMYFUNCTION("IMPORTRANGE(""https://docs.google.com/spreadsheets/d/1SX6NBoVAgQJ6U1MVXOaj8PK2l7WJ3RER9xtqwdhxkhw/edit?usp=sharing"",""สระแก้ว!J111"")"),0)</f>
        <v>0</v>
      </c>
      <c r="Y71" s="99">
        <f t="shared" ca="1" si="9"/>
        <v>0</v>
      </c>
      <c r="Z71" s="55">
        <v>16000</v>
      </c>
      <c r="AA71" s="55">
        <v>40000</v>
      </c>
      <c r="AB71" s="55">
        <f ca="1">IFERROR(__xludf.DUMMYFUNCTION("IMPORTRANGE(""https://docs.google.com/spreadsheets/d/1SX6NBoVAgQJ6U1MVXOaj8PK2l7WJ3RER9xtqwdhxkhw/edit?usp=sharing"",""สระแก้ว!J124"")"),0)</f>
        <v>0</v>
      </c>
      <c r="AC71" s="99">
        <f t="shared" ca="1" si="11"/>
        <v>0</v>
      </c>
      <c r="AD71" s="55">
        <f ca="1">IFERROR(__xludf.DUMMYFUNCTION("IMPORTRANGE(""https://docs.google.com/spreadsheets/d/1SX6NBoVAgQJ6U1MVXOaj8PK2l7WJ3RER9xtqwdhxkhw/edit?usp=sharing"",""สระแก้ว!J125"")"),0)</f>
        <v>0</v>
      </c>
      <c r="AE71" s="99">
        <f t="shared" ca="1" si="12"/>
        <v>0</v>
      </c>
      <c r="AF71" s="55">
        <v>0</v>
      </c>
      <c r="AG71" s="55">
        <f ca="1">IFERROR(__xludf.DUMMYFUNCTION("IMPORTRANGE(""https://docs.google.com/spreadsheets/d/1SX6NBoVAgQJ6U1MVXOaj8PK2l7WJ3RER9xtqwdhxkhw/edit?usp=sharing"",""สระแก้ว!J126"")"),0)</f>
        <v>0</v>
      </c>
      <c r="AH71" s="99">
        <f t="shared" si="14"/>
        <v>0</v>
      </c>
      <c r="AI71" s="55">
        <v>191600</v>
      </c>
      <c r="AJ71" s="55">
        <v>60</v>
      </c>
      <c r="AK71" s="55">
        <f ca="1">IFERROR(__xludf.DUMMYFUNCTION("IMPORTRANGE(""https://docs.google.com/spreadsheets/d/1SX6NBoVAgQJ6U1MVXOaj8PK2l7WJ3RER9xtqwdhxkhw/edit?usp=sharing"",""สระแก้ว!J138"")"),0)</f>
        <v>0</v>
      </c>
      <c r="AL71" s="99">
        <f t="shared" ca="1" si="16"/>
        <v>0</v>
      </c>
      <c r="AM71" s="55">
        <v>23</v>
      </c>
      <c r="AN71" s="55"/>
      <c r="AO71" s="55">
        <f ca="1">IFERROR(__xludf.DUMMYFUNCTION("IMPORTRANGE(""https://docs.google.com/spreadsheets/d/1SX6NBoVAgQJ6U1MVXOaj8PK2l7WJ3RER9xtqwdhxkhw/edit?usp=sharing"",""สระแก้ว!J140"")"),0)</f>
        <v>0</v>
      </c>
      <c r="AP71" s="99">
        <f t="shared" ca="1" si="18"/>
        <v>0</v>
      </c>
      <c r="AQ71" s="55">
        <f ca="1">IFERROR(__xludf.DUMMYFUNCTION("IMPORTRANGE(""https://docs.google.com/spreadsheets/d/1SX6NBoVAgQJ6U1MVXOaj8PK2l7WJ3RER9xtqwdhxkhw/edit?usp=sharing"",""สระแก้ว!J141"")"),0)</f>
        <v>0</v>
      </c>
      <c r="AR71" s="99">
        <f t="shared" si="19"/>
        <v>0</v>
      </c>
      <c r="AS71" s="55">
        <f t="shared" si="20"/>
        <v>60</v>
      </c>
      <c r="AT71" s="55">
        <f t="shared" ca="1" si="96"/>
        <v>0</v>
      </c>
      <c r="AU71" s="99">
        <f t="shared" ca="1" si="21"/>
        <v>0</v>
      </c>
    </row>
    <row r="72" spans="1:47" ht="24" customHeight="1" x14ac:dyDescent="0.5">
      <c r="A72" s="52">
        <v>18</v>
      </c>
      <c r="B72" s="53" t="s">
        <v>87</v>
      </c>
      <c r="C72" s="54">
        <f t="shared" si="93"/>
        <v>374200</v>
      </c>
      <c r="D72" s="55">
        <v>301600</v>
      </c>
      <c r="E72" s="55">
        <f t="shared" si="94"/>
        <v>72600</v>
      </c>
      <c r="F72" s="55">
        <f ca="1">IFERROR(__xludf.DUMMYFUNCTION("IMPORTRANGE(""https://docs.google.com/spreadsheets/d/1SX6NBoVAgQJ6U1MVXOaj8PK2l7WJ3RER9xtqwdhxkhw/edit?usp=sharing"",""สระบุรี!M71"")"),0)</f>
        <v>0</v>
      </c>
      <c r="G72" s="99">
        <f t="shared" ca="1" si="1"/>
        <v>0</v>
      </c>
      <c r="H72" s="55">
        <v>7500</v>
      </c>
      <c r="I72" s="55">
        <v>4</v>
      </c>
      <c r="J72" s="55">
        <f ca="1">IFERROR(__xludf.DUMMYFUNCTION("IMPORTRANGE(""https://docs.google.com/spreadsheets/d/1SX6NBoVAgQJ6U1MVXOaj8PK2l7WJ3RER9xtqwdhxkhw/edit?usp=sharing"",""สระบุรี!J83"")"),0)</f>
        <v>0</v>
      </c>
      <c r="K72" s="99">
        <f t="shared" ca="1" si="3"/>
        <v>0</v>
      </c>
      <c r="L72" s="55">
        <f t="shared" ca="1" si="95"/>
        <v>0</v>
      </c>
      <c r="M72" s="55">
        <f ca="1">IFERROR(__xludf.DUMMYFUNCTION("IMPORTRANGE(""https://docs.google.com/spreadsheets/d/1SX6NBoVAgQJ6U1MVXOaj8PK2l7WJ3RER9xtqwdhxkhw/edit?usp=sharing"",""กาญจนบุรี!J85"")"),0)</f>
        <v>0</v>
      </c>
      <c r="N72" s="55">
        <f ca="1">IFERROR(__xludf.DUMMYFUNCTION("IMPORTRANGE(""https://docs.google.com/spreadsheets/d/1SX6NBoVAgQJ6U1MVXOaj8PK2l7WJ3RER9xtqwdhxkhw/edit?usp=sharing"",""กาญจนบุรี!J86"")"),0)</f>
        <v>0</v>
      </c>
      <c r="O72" s="55">
        <v>42000</v>
      </c>
      <c r="P72" s="55">
        <v>3</v>
      </c>
      <c r="Q72" s="55">
        <f ca="1">IFERROR(__xludf.DUMMYFUNCTION("IMPORTRANGE(""https://docs.google.com/spreadsheets/d/1SX6NBoVAgQJ6U1MVXOaj8PK2l7WJ3RER9xtqwdhxkhw/edit?usp=sharing"",""สระบุรี!J98"")"),0)</f>
        <v>0</v>
      </c>
      <c r="R72" s="99">
        <f t="shared" ca="1" si="5"/>
        <v>0</v>
      </c>
      <c r="S72" s="55"/>
      <c r="T72" s="55">
        <v>0</v>
      </c>
      <c r="U72" s="55">
        <f ca="1">IFERROR(__xludf.DUMMYFUNCTION("IMPORTRANGE(""https://docs.google.com/spreadsheets/d/1SX6NBoVAgQJ6U1MVXOaj8PK2l7WJ3RER9xtqwdhxkhw/edit?usp=sharing"",""สระบุรี!J110"")"),0)</f>
        <v>0</v>
      </c>
      <c r="V72" s="99">
        <f t="shared" si="7"/>
        <v>0</v>
      </c>
      <c r="W72" s="55">
        <v>0</v>
      </c>
      <c r="X72" s="55">
        <f ca="1">IFERROR(__xludf.DUMMYFUNCTION("IMPORTRANGE(""https://docs.google.com/spreadsheets/d/1SX6NBoVAgQJ6U1MVXOaj8PK2l7WJ3RER9xtqwdhxkhw/edit?usp=sharing"",""สระบุรี!J111"")"),0)</f>
        <v>0</v>
      </c>
      <c r="Y72" s="99">
        <f t="shared" si="9"/>
        <v>0</v>
      </c>
      <c r="Z72" s="55">
        <v>23100</v>
      </c>
      <c r="AA72" s="55">
        <v>12800</v>
      </c>
      <c r="AB72" s="55">
        <f ca="1">IFERROR(__xludf.DUMMYFUNCTION("IMPORTRANGE(""https://docs.google.com/spreadsheets/d/1SX6NBoVAgQJ6U1MVXOaj8PK2l7WJ3RER9xtqwdhxkhw/edit?usp=sharing"",""สระบุรี!J124"")"),0)</f>
        <v>0</v>
      </c>
      <c r="AC72" s="99">
        <f t="shared" ca="1" si="11"/>
        <v>0</v>
      </c>
      <c r="AD72" s="55">
        <f ca="1">IFERROR(__xludf.DUMMYFUNCTION("IMPORTRANGE(""https://docs.google.com/spreadsheets/d/1SX6NBoVAgQJ6U1MVXOaj8PK2l7WJ3RER9xtqwdhxkhw/edit?usp=sharing"",""สระบุรี!J125"")"),0)</f>
        <v>0</v>
      </c>
      <c r="AE72" s="99">
        <f t="shared" ca="1" si="12"/>
        <v>0</v>
      </c>
      <c r="AF72" s="55">
        <v>15</v>
      </c>
      <c r="AG72" s="55">
        <f ca="1">IFERROR(__xludf.DUMMYFUNCTION("IMPORTRANGE(""https://docs.google.com/spreadsheets/d/1SX6NBoVAgQJ6U1MVXOaj8PK2l7WJ3RER9xtqwdhxkhw/edit?usp=sharing"",""สระบุรี!J126"")"),0)</f>
        <v>0</v>
      </c>
      <c r="AH72" s="99">
        <f t="shared" ca="1" si="14"/>
        <v>0</v>
      </c>
      <c r="AI72" s="55">
        <v>0</v>
      </c>
      <c r="AJ72" s="55">
        <v>0</v>
      </c>
      <c r="AK72" s="55">
        <f ca="1">IFERROR(__xludf.DUMMYFUNCTION("IMPORTRANGE(""https://docs.google.com/spreadsheets/d/1SX6NBoVAgQJ6U1MVXOaj8PK2l7WJ3RER9xtqwdhxkhw/edit?usp=sharing"",""สระบุรี!J138"")"),0)</f>
        <v>0</v>
      </c>
      <c r="AL72" s="99">
        <f t="shared" si="16"/>
        <v>0</v>
      </c>
      <c r="AM72" s="55">
        <v>0</v>
      </c>
      <c r="AN72" s="55">
        <v>0</v>
      </c>
      <c r="AO72" s="55">
        <f ca="1">IFERROR(__xludf.DUMMYFUNCTION("IMPORTRANGE(""https://docs.google.com/spreadsheets/d/1SX6NBoVAgQJ6U1MVXOaj8PK2l7WJ3RER9xtqwdhxkhw/edit?usp=sharing"",""สระบุรี!J140"")"),0)</f>
        <v>0</v>
      </c>
      <c r="AP72" s="99">
        <f t="shared" si="18"/>
        <v>0</v>
      </c>
      <c r="AQ72" s="55">
        <f ca="1">IFERROR(__xludf.DUMMYFUNCTION("IMPORTRANGE(""https://docs.google.com/spreadsheets/d/1SX6NBoVAgQJ6U1MVXOaj8PK2l7WJ3RER9xtqwdhxkhw/edit?usp=sharing"",""สระบุรี!J141"")"),0)</f>
        <v>0</v>
      </c>
      <c r="AR72" s="99">
        <f t="shared" si="19"/>
        <v>0</v>
      </c>
      <c r="AS72" s="55">
        <f t="shared" si="20"/>
        <v>15</v>
      </c>
      <c r="AT72" s="55">
        <f t="shared" ca="1" si="96"/>
        <v>0</v>
      </c>
      <c r="AU72" s="99">
        <f t="shared" ca="1" si="21"/>
        <v>0</v>
      </c>
    </row>
    <row r="73" spans="1:47" ht="24" customHeight="1" x14ac:dyDescent="0.5">
      <c r="A73" s="52">
        <v>19</v>
      </c>
      <c r="B73" s="53" t="s">
        <v>88</v>
      </c>
      <c r="C73" s="54">
        <f t="shared" si="93"/>
        <v>28700</v>
      </c>
      <c r="D73" s="55">
        <v>0</v>
      </c>
      <c r="E73" s="55">
        <f t="shared" si="94"/>
        <v>28700</v>
      </c>
      <c r="F73" s="55">
        <f ca="1">IFERROR(__xludf.DUMMYFUNCTION("IMPORTRANGE(""https://docs.google.com/spreadsheets/d/1SX6NBoVAgQJ6U1MVXOaj8PK2l7WJ3RER9xtqwdhxkhw/edit?usp=sharing"",""สิงห์บุรี!M71"")"),0)</f>
        <v>0</v>
      </c>
      <c r="G73" s="99">
        <f t="shared" ca="1" si="1"/>
        <v>0</v>
      </c>
      <c r="H73" s="55">
        <v>7500</v>
      </c>
      <c r="I73" s="55">
        <v>4</v>
      </c>
      <c r="J73" s="55">
        <f ca="1">IFERROR(__xludf.DUMMYFUNCTION("IMPORTRANGE(""https://docs.google.com/spreadsheets/d/1SX6NBoVAgQJ6U1MVXOaj8PK2l7WJ3RER9xtqwdhxkhw/edit?usp=sharing"",""สิงห์บุรี!J83"")"),0)</f>
        <v>0</v>
      </c>
      <c r="K73" s="99">
        <f t="shared" ca="1" si="3"/>
        <v>0</v>
      </c>
      <c r="L73" s="55">
        <f t="shared" ca="1" si="95"/>
        <v>0</v>
      </c>
      <c r="M73" s="55">
        <f ca="1">IFERROR(__xludf.DUMMYFUNCTION("IMPORTRANGE(""https://docs.google.com/spreadsheets/d/1SX6NBoVAgQJ6U1MVXOaj8PK2l7WJ3RER9xtqwdhxkhw/edit?usp=sharing"",""กาญจนบุรี!J85"")"),0)</f>
        <v>0</v>
      </c>
      <c r="N73" s="55">
        <f ca="1">IFERROR(__xludf.DUMMYFUNCTION("IMPORTRANGE(""https://docs.google.com/spreadsheets/d/1SX6NBoVAgQJ6U1MVXOaj8PK2l7WJ3RER9xtqwdhxkhw/edit?usp=sharing"",""กาญจนบุรี!J86"")"),0)</f>
        <v>0</v>
      </c>
      <c r="O73" s="55">
        <v>14000</v>
      </c>
      <c r="P73" s="55">
        <v>1</v>
      </c>
      <c r="Q73" s="55">
        <f ca="1">IFERROR(__xludf.DUMMYFUNCTION("IMPORTRANGE(""https://docs.google.com/spreadsheets/d/1SX6NBoVAgQJ6U1MVXOaj8PK2l7WJ3RER9xtqwdhxkhw/edit?usp=sharing"",""สิงห์บุรี!J98"")"),0)</f>
        <v>0</v>
      </c>
      <c r="R73" s="99">
        <f t="shared" ca="1" si="5"/>
        <v>0</v>
      </c>
      <c r="S73" s="55"/>
      <c r="T73" s="55">
        <v>0</v>
      </c>
      <c r="U73" s="55">
        <f ca="1">IFERROR(__xludf.DUMMYFUNCTION("IMPORTRANGE(""https://docs.google.com/spreadsheets/d/1SX6NBoVAgQJ6U1MVXOaj8PK2l7WJ3RER9xtqwdhxkhw/edit?usp=sharing"",""สิงห์บุรี!J110"")"),0)</f>
        <v>0</v>
      </c>
      <c r="V73" s="99">
        <f t="shared" si="7"/>
        <v>0</v>
      </c>
      <c r="W73" s="55">
        <v>0</v>
      </c>
      <c r="X73" s="55">
        <f ca="1">IFERROR(__xludf.DUMMYFUNCTION("IMPORTRANGE(""https://docs.google.com/spreadsheets/d/1SX6NBoVAgQJ6U1MVXOaj8PK2l7WJ3RER9xtqwdhxkhw/edit?usp=sharing"",""สิงห์บุรี!J111"")"),0)</f>
        <v>0</v>
      </c>
      <c r="Y73" s="99">
        <f t="shared" si="9"/>
        <v>0</v>
      </c>
      <c r="Z73" s="55">
        <v>7200</v>
      </c>
      <c r="AA73" s="55">
        <v>8000</v>
      </c>
      <c r="AB73" s="55">
        <f ca="1">IFERROR(__xludf.DUMMYFUNCTION("IMPORTRANGE(""https://docs.google.com/spreadsheets/d/1SX6NBoVAgQJ6U1MVXOaj8PK2l7WJ3RER9xtqwdhxkhw/edit?usp=sharing"",""สิงห์บุรี!J124"")"),0)</f>
        <v>0</v>
      </c>
      <c r="AC73" s="99">
        <f t="shared" ca="1" si="11"/>
        <v>0</v>
      </c>
      <c r="AD73" s="55">
        <f ca="1">IFERROR(__xludf.DUMMYFUNCTION("IMPORTRANGE(""https://docs.google.com/spreadsheets/d/1SX6NBoVAgQJ6U1MVXOaj8PK2l7WJ3RER9xtqwdhxkhw/edit?usp=sharing"",""สิงห์บุรี!J125"")"),0)</f>
        <v>0</v>
      </c>
      <c r="AE73" s="99">
        <f t="shared" ca="1" si="12"/>
        <v>0</v>
      </c>
      <c r="AF73" s="55">
        <v>0</v>
      </c>
      <c r="AG73" s="55">
        <f ca="1">IFERROR(__xludf.DUMMYFUNCTION("IMPORTRANGE(""https://docs.google.com/spreadsheets/d/1SX6NBoVAgQJ6U1MVXOaj8PK2l7WJ3RER9xtqwdhxkhw/edit?usp=sharing"",""สิงห์บุรี!J126"")"),0)</f>
        <v>0</v>
      </c>
      <c r="AH73" s="99">
        <f t="shared" si="14"/>
        <v>0</v>
      </c>
      <c r="AI73" s="55">
        <v>0</v>
      </c>
      <c r="AJ73" s="55">
        <v>0</v>
      </c>
      <c r="AK73" s="55">
        <f ca="1">IFERROR(__xludf.DUMMYFUNCTION("IMPORTRANGE(""https://docs.google.com/spreadsheets/d/1SX6NBoVAgQJ6U1MVXOaj8PK2l7WJ3RER9xtqwdhxkhw/edit?usp=sharing"",""สิงห์บุรี!J138"")"),0)</f>
        <v>0</v>
      </c>
      <c r="AL73" s="99">
        <f t="shared" si="16"/>
        <v>0</v>
      </c>
      <c r="AM73" s="55">
        <v>0</v>
      </c>
      <c r="AN73" s="55">
        <v>0</v>
      </c>
      <c r="AO73" s="55">
        <f ca="1">IFERROR(__xludf.DUMMYFUNCTION("IMPORTRANGE(""https://docs.google.com/spreadsheets/d/1SX6NBoVAgQJ6U1MVXOaj8PK2l7WJ3RER9xtqwdhxkhw/edit?usp=sharing"",""สิงห์บุรี!J140"")"),0)</f>
        <v>0</v>
      </c>
      <c r="AP73" s="99">
        <f t="shared" si="18"/>
        <v>0</v>
      </c>
      <c r="AQ73" s="55">
        <f ca="1">IFERROR(__xludf.DUMMYFUNCTION("IMPORTRANGE(""https://docs.google.com/spreadsheets/d/1SX6NBoVAgQJ6U1MVXOaj8PK2l7WJ3RER9xtqwdhxkhw/edit?usp=sharing"",""สิงห์บุรี!J141"")"),0)</f>
        <v>0</v>
      </c>
      <c r="AR73" s="99">
        <f t="shared" si="19"/>
        <v>0</v>
      </c>
      <c r="AS73" s="55">
        <f t="shared" si="20"/>
        <v>0</v>
      </c>
      <c r="AT73" s="55">
        <f t="shared" ca="1" si="96"/>
        <v>0</v>
      </c>
      <c r="AU73" s="99">
        <f t="shared" si="21"/>
        <v>0</v>
      </c>
    </row>
    <row r="74" spans="1:47" ht="24" customHeight="1" x14ac:dyDescent="0.5">
      <c r="A74" s="52">
        <v>20</v>
      </c>
      <c r="B74" s="53" t="s">
        <v>89</v>
      </c>
      <c r="C74" s="458">
        <f t="shared" si="93"/>
        <v>30500</v>
      </c>
      <c r="D74" s="55">
        <v>0</v>
      </c>
      <c r="E74" s="55">
        <f t="shared" si="94"/>
        <v>30500</v>
      </c>
      <c r="F74" s="55">
        <f ca="1">IFERROR(__xludf.DUMMYFUNCTION("IMPORTRANGE(""https://docs.google.com/spreadsheets/d/1SX6NBoVAgQJ6U1MVXOaj8PK2l7WJ3RER9xtqwdhxkhw/edit?usp=sharing"",""สุพรรณบุรี!M71"")"),0)</f>
        <v>0</v>
      </c>
      <c r="G74" s="99">
        <f t="shared" ca="1" si="1"/>
        <v>0</v>
      </c>
      <c r="H74" s="55">
        <v>7500</v>
      </c>
      <c r="I74" s="55">
        <v>4</v>
      </c>
      <c r="J74" s="55">
        <f ca="1">IFERROR(__xludf.DUMMYFUNCTION("IMPORTRANGE(""https://docs.google.com/spreadsheets/d/1SX6NBoVAgQJ6U1MVXOaj8PK2l7WJ3RER9xtqwdhxkhw/edit?usp=sharing"",""สุพรรณบุรี!J83"")"),0)</f>
        <v>0</v>
      </c>
      <c r="K74" s="99">
        <f t="shared" ca="1" si="3"/>
        <v>0</v>
      </c>
      <c r="L74" s="55">
        <f t="shared" ca="1" si="95"/>
        <v>0</v>
      </c>
      <c r="M74" s="55">
        <f ca="1">IFERROR(__xludf.DUMMYFUNCTION("IMPORTRANGE(""https://docs.google.com/spreadsheets/d/1SX6NBoVAgQJ6U1MVXOaj8PK2l7WJ3RER9xtqwdhxkhw/edit?usp=sharing"",""กาญจนบุรี!J85"")"),0)</f>
        <v>0</v>
      </c>
      <c r="N74" s="55">
        <f ca="1">IFERROR(__xludf.DUMMYFUNCTION("IMPORTRANGE(""https://docs.google.com/spreadsheets/d/1SX6NBoVAgQJ6U1MVXOaj8PK2l7WJ3RER9xtqwdhxkhw/edit?usp=sharing"",""กาญจนบุรี!J86"")"),0)</f>
        <v>0</v>
      </c>
      <c r="O74" s="55">
        <v>14000</v>
      </c>
      <c r="P74" s="55">
        <v>1</v>
      </c>
      <c r="Q74" s="55">
        <f ca="1">IFERROR(__xludf.DUMMYFUNCTION("IMPORTRANGE(""https://docs.google.com/spreadsheets/d/1SX6NBoVAgQJ6U1MVXOaj8PK2l7WJ3RER9xtqwdhxkhw/edit?usp=sharing"",""สุพรรณบุรี!J98"")"),0)</f>
        <v>0</v>
      </c>
      <c r="R74" s="99">
        <f t="shared" ca="1" si="5"/>
        <v>0</v>
      </c>
      <c r="S74" s="55"/>
      <c r="T74" s="55">
        <v>0</v>
      </c>
      <c r="U74" s="55">
        <f ca="1">IFERROR(__xludf.DUMMYFUNCTION("IMPORTRANGE(""https://docs.google.com/spreadsheets/d/1SX6NBoVAgQJ6U1MVXOaj8PK2l7WJ3RER9xtqwdhxkhw/edit?usp=sharing"",""สุพรรณบุรี!J110"")"),0)</f>
        <v>0</v>
      </c>
      <c r="V74" s="99">
        <f t="shared" si="7"/>
        <v>0</v>
      </c>
      <c r="W74" s="55">
        <v>0</v>
      </c>
      <c r="X74" s="55">
        <f ca="1">IFERROR(__xludf.DUMMYFUNCTION("IMPORTRANGE(""https://docs.google.com/spreadsheets/d/1SX6NBoVAgQJ6U1MVXOaj8PK2l7WJ3RER9xtqwdhxkhw/edit?usp=sharing"",""สุพรรณบุรี!J111"")"),0)</f>
        <v>0</v>
      </c>
      <c r="Y74" s="99">
        <f t="shared" si="9"/>
        <v>0</v>
      </c>
      <c r="Z74" s="55">
        <v>9000</v>
      </c>
      <c r="AA74" s="55">
        <v>20000</v>
      </c>
      <c r="AB74" s="55">
        <f ca="1">IFERROR(__xludf.DUMMYFUNCTION("IMPORTRANGE(""https://docs.google.com/spreadsheets/d/1SX6NBoVAgQJ6U1MVXOaj8PK2l7WJ3RER9xtqwdhxkhw/edit?usp=sharing"",""สุพรรณบุรี!J124"")"),0)</f>
        <v>0</v>
      </c>
      <c r="AC74" s="99">
        <f t="shared" ca="1" si="11"/>
        <v>0</v>
      </c>
      <c r="AD74" s="55">
        <f ca="1">IFERROR(__xludf.DUMMYFUNCTION("IMPORTRANGE(""https://docs.google.com/spreadsheets/d/1SX6NBoVAgQJ6U1MVXOaj8PK2l7WJ3RER9xtqwdhxkhw/edit?usp=sharing"",""สุพรรณบุรี!J125"")"),0)</f>
        <v>0</v>
      </c>
      <c r="AE74" s="99">
        <f t="shared" ca="1" si="12"/>
        <v>0</v>
      </c>
      <c r="AF74" s="55">
        <v>0</v>
      </c>
      <c r="AG74" s="55">
        <f ca="1">IFERROR(__xludf.DUMMYFUNCTION("IMPORTRANGE(""https://docs.google.com/spreadsheets/d/1SX6NBoVAgQJ6U1MVXOaj8PK2l7WJ3RER9xtqwdhxkhw/edit?usp=sharing"",""สุพรรณบุรี!J126"")"),0)</f>
        <v>0</v>
      </c>
      <c r="AH74" s="99">
        <f t="shared" si="14"/>
        <v>0</v>
      </c>
      <c r="AI74" s="55">
        <v>0</v>
      </c>
      <c r="AJ74" s="55">
        <v>0</v>
      </c>
      <c r="AK74" s="55">
        <f ca="1">IFERROR(__xludf.DUMMYFUNCTION("IMPORTRANGE(""https://docs.google.com/spreadsheets/d/1SX6NBoVAgQJ6U1MVXOaj8PK2l7WJ3RER9xtqwdhxkhw/edit?usp=sharing"",""สุพรรณบุรี!J138"")"),0)</f>
        <v>0</v>
      </c>
      <c r="AL74" s="99">
        <f t="shared" si="16"/>
        <v>0</v>
      </c>
      <c r="AM74" s="55">
        <v>0</v>
      </c>
      <c r="AN74" s="55">
        <v>0</v>
      </c>
      <c r="AO74" s="55">
        <f ca="1">IFERROR(__xludf.DUMMYFUNCTION("IMPORTRANGE(""https://docs.google.com/spreadsheets/d/1SX6NBoVAgQJ6U1MVXOaj8PK2l7WJ3RER9xtqwdhxkhw/edit?usp=sharing"",""สุพรรณบุรี!J140"")"),0)</f>
        <v>0</v>
      </c>
      <c r="AP74" s="99">
        <f t="shared" si="18"/>
        <v>0</v>
      </c>
      <c r="AQ74" s="55">
        <f ca="1">IFERROR(__xludf.DUMMYFUNCTION("IMPORTRANGE(""https://docs.google.com/spreadsheets/d/1SX6NBoVAgQJ6U1MVXOaj8PK2l7WJ3RER9xtqwdhxkhw/edit?usp=sharing"",""สุพรรณบุรี!J141"")"),0)</f>
        <v>0</v>
      </c>
      <c r="AR74" s="99">
        <f t="shared" si="19"/>
        <v>0</v>
      </c>
      <c r="AS74" s="55">
        <f t="shared" si="20"/>
        <v>0</v>
      </c>
      <c r="AT74" s="55">
        <f t="shared" ca="1" si="96"/>
        <v>0</v>
      </c>
      <c r="AU74" s="99">
        <f t="shared" si="21"/>
        <v>0</v>
      </c>
    </row>
    <row r="75" spans="1:47" ht="24" customHeight="1" x14ac:dyDescent="0.5">
      <c r="A75" s="483">
        <v>21</v>
      </c>
      <c r="B75" s="484" t="s">
        <v>90</v>
      </c>
      <c r="C75" s="485">
        <f t="shared" si="93"/>
        <v>28400</v>
      </c>
      <c r="D75" s="486">
        <v>0</v>
      </c>
      <c r="E75" s="486">
        <f t="shared" si="94"/>
        <v>28400</v>
      </c>
      <c r="F75" s="486">
        <f ca="1">IFERROR(__xludf.DUMMYFUNCTION("IMPORTRANGE(""https://docs.google.com/spreadsheets/d/1SX6NBoVAgQJ6U1MVXOaj8PK2l7WJ3RER9xtqwdhxkhw/edit?usp=sharing"",""อ่างทอง!M71"")"),0)</f>
        <v>0</v>
      </c>
      <c r="G75" s="487">
        <f t="shared" ca="1" si="1"/>
        <v>0</v>
      </c>
      <c r="H75" s="486">
        <v>7500</v>
      </c>
      <c r="I75" s="486">
        <v>4</v>
      </c>
      <c r="J75" s="486">
        <f ca="1">IFERROR(__xludf.DUMMYFUNCTION("IMPORTRANGE(""https://docs.google.com/spreadsheets/d/1SX6NBoVAgQJ6U1MVXOaj8PK2l7WJ3RER9xtqwdhxkhw/edit?usp=sharing"",""อ่างทอง!J83"")"),0)</f>
        <v>0</v>
      </c>
      <c r="K75" s="487">
        <f t="shared" ca="1" si="3"/>
        <v>0</v>
      </c>
      <c r="L75" s="486">
        <f t="shared" ca="1" si="95"/>
        <v>0</v>
      </c>
      <c r="M75" s="486">
        <f ca="1">IFERROR(__xludf.DUMMYFUNCTION("IMPORTRANGE(""https://docs.google.com/spreadsheets/d/1SX6NBoVAgQJ6U1MVXOaj8PK2l7WJ3RER9xtqwdhxkhw/edit?usp=sharing"",""กาญจนบุรี!J85"")"),0)</f>
        <v>0</v>
      </c>
      <c r="N75" s="486">
        <f ca="1">IFERROR(__xludf.DUMMYFUNCTION("IMPORTRANGE(""https://docs.google.com/spreadsheets/d/1SX6NBoVAgQJ6U1MVXOaj8PK2l7WJ3RER9xtqwdhxkhw/edit?usp=sharing"",""กาญจนบุรี!J86"")"),0)</f>
        <v>0</v>
      </c>
      <c r="O75" s="486">
        <v>14000</v>
      </c>
      <c r="P75" s="486">
        <v>1</v>
      </c>
      <c r="Q75" s="486">
        <f ca="1">IFERROR(__xludf.DUMMYFUNCTION("IMPORTRANGE(""https://docs.google.com/spreadsheets/d/1SX6NBoVAgQJ6U1MVXOaj8PK2l7WJ3RER9xtqwdhxkhw/edit?usp=sharing"",""อ่างทอง!J98"")"),0)</f>
        <v>0</v>
      </c>
      <c r="R75" s="487">
        <f t="shared" ca="1" si="5"/>
        <v>0</v>
      </c>
      <c r="S75" s="486"/>
      <c r="T75" s="486">
        <v>0</v>
      </c>
      <c r="U75" s="486">
        <f ca="1">IFERROR(__xludf.DUMMYFUNCTION("IMPORTRANGE(""https://docs.google.com/spreadsheets/d/1SX6NBoVAgQJ6U1MVXOaj8PK2l7WJ3RER9xtqwdhxkhw/edit?usp=sharing"",""อ่างทอง!J110"")"),0)</f>
        <v>0</v>
      </c>
      <c r="V75" s="487">
        <f t="shared" si="7"/>
        <v>0</v>
      </c>
      <c r="W75" s="486">
        <v>0</v>
      </c>
      <c r="X75" s="486">
        <f ca="1">IFERROR(__xludf.DUMMYFUNCTION("IMPORTRANGE(""https://docs.google.com/spreadsheets/d/1SX6NBoVAgQJ6U1MVXOaj8PK2l7WJ3RER9xtqwdhxkhw/edit?usp=sharing"",""อ่างทอง!J111"")"),0)</f>
        <v>0</v>
      </c>
      <c r="Y75" s="487">
        <f t="shared" si="9"/>
        <v>0</v>
      </c>
      <c r="Z75" s="486">
        <v>6900</v>
      </c>
      <c r="AA75" s="486">
        <v>5000</v>
      </c>
      <c r="AB75" s="486">
        <f ca="1">IFERROR(__xludf.DUMMYFUNCTION("IMPORTRANGE(""https://docs.google.com/spreadsheets/d/1SX6NBoVAgQJ6U1MVXOaj8PK2l7WJ3RER9xtqwdhxkhw/edit?usp=sharing"",""อ่างทอง!J124"")"),0)</f>
        <v>0</v>
      </c>
      <c r="AC75" s="487">
        <f t="shared" ca="1" si="11"/>
        <v>0</v>
      </c>
      <c r="AD75" s="486">
        <f ca="1">IFERROR(__xludf.DUMMYFUNCTION("IMPORTRANGE(""https://docs.google.com/spreadsheets/d/1SX6NBoVAgQJ6U1MVXOaj8PK2l7WJ3RER9xtqwdhxkhw/edit?usp=sharing"",""อ่างทอง!J125"")"),0)</f>
        <v>0</v>
      </c>
      <c r="AE75" s="487">
        <f t="shared" ca="1" si="12"/>
        <v>0</v>
      </c>
      <c r="AF75" s="486">
        <v>0</v>
      </c>
      <c r="AG75" s="486">
        <f ca="1">IFERROR(__xludf.DUMMYFUNCTION("IMPORTRANGE(""https://docs.google.com/spreadsheets/d/1SX6NBoVAgQJ6U1MVXOaj8PK2l7WJ3RER9xtqwdhxkhw/edit?usp=sharing"",""อ่างทอง!J126"")"),0)</f>
        <v>0</v>
      </c>
      <c r="AH75" s="487">
        <f t="shared" si="14"/>
        <v>0</v>
      </c>
      <c r="AI75" s="486">
        <v>0</v>
      </c>
      <c r="AJ75" s="486">
        <v>0</v>
      </c>
      <c r="AK75" s="486">
        <f ca="1">IFERROR(__xludf.DUMMYFUNCTION("IMPORTRANGE(""https://docs.google.com/spreadsheets/d/1SX6NBoVAgQJ6U1MVXOaj8PK2l7WJ3RER9xtqwdhxkhw/edit?usp=sharing"",""อ่างทอง!J138"")"),0)</f>
        <v>0</v>
      </c>
      <c r="AL75" s="487">
        <f t="shared" si="16"/>
        <v>0</v>
      </c>
      <c r="AM75" s="486">
        <v>0</v>
      </c>
      <c r="AN75" s="486">
        <v>0</v>
      </c>
      <c r="AO75" s="486">
        <f ca="1">IFERROR(__xludf.DUMMYFUNCTION("IMPORTRANGE(""https://docs.google.com/spreadsheets/d/1SX6NBoVAgQJ6U1MVXOaj8PK2l7WJ3RER9xtqwdhxkhw/edit?usp=sharing"",""อ่างทอง!J140"")"),0)</f>
        <v>0</v>
      </c>
      <c r="AP75" s="487">
        <f t="shared" si="18"/>
        <v>0</v>
      </c>
      <c r="AQ75" s="486">
        <f ca="1">IFERROR(__xludf.DUMMYFUNCTION("IMPORTRANGE(""https://docs.google.com/spreadsheets/d/1SX6NBoVAgQJ6U1MVXOaj8PK2l7WJ3RER9xtqwdhxkhw/edit?usp=sharing"",""อ่างทอง!J141"")"),0)</f>
        <v>0</v>
      </c>
      <c r="AR75" s="487">
        <f t="shared" si="19"/>
        <v>0</v>
      </c>
      <c r="AS75" s="486">
        <f t="shared" si="20"/>
        <v>0</v>
      </c>
      <c r="AT75" s="486">
        <f t="shared" ca="1" si="96"/>
        <v>0</v>
      </c>
      <c r="AU75" s="487">
        <f t="shared" si="21"/>
        <v>0</v>
      </c>
    </row>
    <row r="76" spans="1:47" ht="24" customHeight="1" x14ac:dyDescent="0.5">
      <c r="A76" s="670" t="s">
        <v>91</v>
      </c>
      <c r="B76" s="669"/>
      <c r="C76" s="481">
        <f t="shared" ref="C76:F76" si="97">SUM(C77:C90)</f>
        <v>2418600</v>
      </c>
      <c r="D76" s="481">
        <f t="shared" si="97"/>
        <v>1111500</v>
      </c>
      <c r="E76" s="481">
        <f t="shared" si="97"/>
        <v>1307100</v>
      </c>
      <c r="F76" s="481">
        <f t="shared" ca="1" si="97"/>
        <v>18870.72</v>
      </c>
      <c r="G76" s="482">
        <f t="shared" ca="1" si="1"/>
        <v>0.78023319275613989</v>
      </c>
      <c r="H76" s="481">
        <f t="shared" ref="H76:J76" si="98">SUM(H77:H90)</f>
        <v>105000</v>
      </c>
      <c r="I76" s="481">
        <f t="shared" si="98"/>
        <v>56</v>
      </c>
      <c r="J76" s="481">
        <f t="shared" ca="1" si="98"/>
        <v>0</v>
      </c>
      <c r="K76" s="482">
        <f t="shared" ca="1" si="3"/>
        <v>0</v>
      </c>
      <c r="L76" s="481">
        <f t="shared" ref="L76:Q76" ca="1" si="99">SUM(L77:L90)</f>
        <v>0</v>
      </c>
      <c r="M76" s="481">
        <f t="shared" ca="1" si="99"/>
        <v>0</v>
      </c>
      <c r="N76" s="481">
        <f t="shared" ca="1" si="99"/>
        <v>0</v>
      </c>
      <c r="O76" s="481">
        <f t="shared" si="99"/>
        <v>490000</v>
      </c>
      <c r="P76" s="481">
        <f t="shared" si="99"/>
        <v>35</v>
      </c>
      <c r="Q76" s="481">
        <f t="shared" ca="1" si="99"/>
        <v>0</v>
      </c>
      <c r="R76" s="482">
        <f t="shared" ca="1" si="5"/>
        <v>0</v>
      </c>
      <c r="S76" s="481">
        <f t="shared" ref="S76:U76" si="100">SUM(S77:S90)</f>
        <v>150000</v>
      </c>
      <c r="T76" s="481">
        <f t="shared" si="100"/>
        <v>10</v>
      </c>
      <c r="U76" s="481">
        <f t="shared" ca="1" si="100"/>
        <v>0</v>
      </c>
      <c r="V76" s="482">
        <f t="shared" ca="1" si="7"/>
        <v>0</v>
      </c>
      <c r="W76" s="481">
        <f t="shared" ref="W76:X76" si="101">SUM(W77:W90)</f>
        <v>10</v>
      </c>
      <c r="X76" s="481">
        <f t="shared" ca="1" si="101"/>
        <v>0</v>
      </c>
      <c r="Y76" s="482">
        <f t="shared" ca="1" si="9"/>
        <v>0</v>
      </c>
      <c r="Z76" s="481">
        <f t="shared" ref="Z76:AB76" si="102">SUM(Z77:Z90)</f>
        <v>186600</v>
      </c>
      <c r="AA76" s="481">
        <f t="shared" si="102"/>
        <v>239000</v>
      </c>
      <c r="AB76" s="481">
        <f t="shared" ca="1" si="102"/>
        <v>0</v>
      </c>
      <c r="AC76" s="482">
        <f t="shared" ca="1" si="11"/>
        <v>0</v>
      </c>
      <c r="AD76" s="481">
        <f ca="1">SUM(AD77:AD90)</f>
        <v>0</v>
      </c>
      <c r="AE76" s="482">
        <f t="shared" ca="1" si="12"/>
        <v>0</v>
      </c>
      <c r="AF76" s="481">
        <f t="shared" ref="AF76:AG76" si="103">SUM(AF77:AF90)</f>
        <v>60</v>
      </c>
      <c r="AG76" s="481">
        <f t="shared" ca="1" si="103"/>
        <v>0</v>
      </c>
      <c r="AH76" s="482">
        <f t="shared" ca="1" si="14"/>
        <v>0</v>
      </c>
      <c r="AI76" s="481">
        <f t="shared" ref="AI76:AK76" si="104">SUM(AI77:AI90)</f>
        <v>375500</v>
      </c>
      <c r="AJ76" s="481">
        <f t="shared" si="104"/>
        <v>100</v>
      </c>
      <c r="AK76" s="481">
        <f t="shared" ca="1" si="104"/>
        <v>0</v>
      </c>
      <c r="AL76" s="482">
        <f t="shared" ca="1" si="16"/>
        <v>0</v>
      </c>
      <c r="AM76" s="481">
        <f t="shared" ref="AM76:AO76" si="105">SUM(AM77:AM90)</f>
        <v>0</v>
      </c>
      <c r="AN76" s="481">
        <f t="shared" si="105"/>
        <v>6</v>
      </c>
      <c r="AO76" s="481">
        <f t="shared" ca="1" si="105"/>
        <v>0</v>
      </c>
      <c r="AP76" s="482">
        <f t="shared" si="18"/>
        <v>0</v>
      </c>
      <c r="AQ76" s="481">
        <f ca="1">SUM(AQ77:AQ90)</f>
        <v>0</v>
      </c>
      <c r="AR76" s="482">
        <f t="shared" ca="1" si="19"/>
        <v>0</v>
      </c>
      <c r="AS76" s="481">
        <f t="shared" si="20"/>
        <v>160</v>
      </c>
      <c r="AT76" s="481">
        <f ca="1">SUM(AT77:AT90)</f>
        <v>0</v>
      </c>
      <c r="AU76" s="482">
        <f t="shared" ca="1" si="21"/>
        <v>0</v>
      </c>
    </row>
    <row r="77" spans="1:47" ht="24" customHeight="1" x14ac:dyDescent="0.5">
      <c r="A77" s="45">
        <v>1</v>
      </c>
      <c r="B77" s="46" t="s">
        <v>92</v>
      </c>
      <c r="C77" s="47">
        <f t="shared" ref="C77:C90" si="106">+D77+E77</f>
        <v>70000</v>
      </c>
      <c r="D77" s="48">
        <v>0</v>
      </c>
      <c r="E77" s="48">
        <f t="shared" ref="E77:E90" si="107">H77+O77+S77+Z77+AI77</f>
        <v>70000</v>
      </c>
      <c r="F77" s="48">
        <f ca="1">IFERROR(__xludf.DUMMYFUNCTION("IMPORTRANGE(""https://docs.google.com/spreadsheets/d/1IYY_tgx_IHuhSq3AJ5eI5OnqOPBNLWSHKh2a30DoXe8/edit?usp=sharing"",""กระบี่!M71"")"),480)</f>
        <v>480</v>
      </c>
      <c r="G77" s="98">
        <f t="shared" ca="1" si="1"/>
        <v>0.68571428571428572</v>
      </c>
      <c r="H77" s="48">
        <v>7500</v>
      </c>
      <c r="I77" s="48">
        <v>4</v>
      </c>
      <c r="J77" s="48">
        <f ca="1">IFERROR(__xludf.DUMMYFUNCTION("IMPORTRANGE(""https://docs.google.com/spreadsheets/d/1IYY_tgx_IHuhSq3AJ5eI5OnqOPBNLWSHKh2a30DoXe8/edit?usp=sharing"",""กระบี่!J83"")"),0)</f>
        <v>0</v>
      </c>
      <c r="K77" s="98">
        <f t="shared" ca="1" si="3"/>
        <v>0</v>
      </c>
      <c r="L77" s="48">
        <f t="shared" ref="L77:L90" ca="1" si="108">M77+N77</f>
        <v>0</v>
      </c>
      <c r="M77" s="48">
        <f ca="1">IFERROR(__xludf.DUMMYFUNCTION("IMPORTRANGE(""https://docs.google.com/spreadsheets/d/1IYY_tgx_IHuhSq3AJ5eI5OnqOPBNLWSHKh2a30DoXe8/edit?usp=sharing"",""กระบี่!J85"")"),0)</f>
        <v>0</v>
      </c>
      <c r="N77" s="48">
        <f ca="1">IFERROR(__xludf.DUMMYFUNCTION("IMPORTRANGE(""https://docs.google.com/spreadsheets/d/1IYY_tgx_IHuhSq3AJ5eI5OnqOPBNLWSHKh2a30DoXe8/edit?usp=sharing"",""กระบี่!J86"")"),0)</f>
        <v>0</v>
      </c>
      <c r="O77" s="48">
        <v>28000</v>
      </c>
      <c r="P77" s="48">
        <v>2</v>
      </c>
      <c r="Q77" s="48">
        <f ca="1">IFERROR(__xludf.DUMMYFUNCTION("IMPORTRANGE(""https://docs.google.com/spreadsheets/d/1IYY_tgx_IHuhSq3AJ5eI5OnqOPBNLWSHKh2a30DoXe8/edit?usp=sharing"",""กระบี่!J98"")"),0)</f>
        <v>0</v>
      </c>
      <c r="R77" s="98">
        <f t="shared" ca="1" si="5"/>
        <v>0</v>
      </c>
      <c r="S77" s="48"/>
      <c r="T77" s="48">
        <v>0</v>
      </c>
      <c r="U77" s="48">
        <f ca="1">IFERROR(__xludf.DUMMYFUNCTION("IMPORTRANGE(""https://docs.google.com/spreadsheets/d/1IYY_tgx_IHuhSq3AJ5eI5OnqOPBNLWSHKh2a30DoXe8/edit?usp=sharing"",""กระบี่!J110"")"),0)</f>
        <v>0</v>
      </c>
      <c r="V77" s="98">
        <f t="shared" si="7"/>
        <v>0</v>
      </c>
      <c r="W77" s="48">
        <v>0</v>
      </c>
      <c r="X77" s="48">
        <f ca="1">IFERROR(__xludf.DUMMYFUNCTION("IMPORTRANGE(""https://docs.google.com/spreadsheets/d/1IYY_tgx_IHuhSq3AJ5eI5OnqOPBNLWSHKh2a30DoXe8/edit?usp=sharing"",""กระบี่!J111"")"),0)</f>
        <v>0</v>
      </c>
      <c r="Y77" s="98">
        <f t="shared" si="9"/>
        <v>0</v>
      </c>
      <c r="Z77" s="48">
        <v>34500</v>
      </c>
      <c r="AA77" s="48">
        <v>50000</v>
      </c>
      <c r="AB77" s="48">
        <f ca="1">IFERROR(__xludf.DUMMYFUNCTION("IMPORTRANGE(""https://docs.google.com/spreadsheets/d/1IYY_tgx_IHuhSq3AJ5eI5OnqOPBNLWSHKh2a30DoXe8/edit?usp=sharing"",""กระบี่!J124"")"),0)</f>
        <v>0</v>
      </c>
      <c r="AC77" s="98">
        <f t="shared" ca="1" si="11"/>
        <v>0</v>
      </c>
      <c r="AD77" s="48">
        <f ca="1">IFERROR(__xludf.DUMMYFUNCTION("IMPORTRANGE(""https://docs.google.com/spreadsheets/d/1IYY_tgx_IHuhSq3AJ5eI5OnqOPBNLWSHKh2a30DoXe8/edit?usp=sharing"",""กระบี่!J125"")"),0)</f>
        <v>0</v>
      </c>
      <c r="AE77" s="98">
        <f t="shared" ca="1" si="12"/>
        <v>0</v>
      </c>
      <c r="AF77" s="48">
        <v>15</v>
      </c>
      <c r="AG77" s="48">
        <f ca="1">IFERROR(__xludf.DUMMYFUNCTION("IMPORTRANGE(""https://docs.google.com/spreadsheets/d/1IYY_tgx_IHuhSq3AJ5eI5OnqOPBNLWSHKh2a30DoXe8/edit?usp=sharing"",""กระบี่!J126"")"),0)</f>
        <v>0</v>
      </c>
      <c r="AH77" s="98">
        <f t="shared" ca="1" si="14"/>
        <v>0</v>
      </c>
      <c r="AI77" s="48">
        <v>0</v>
      </c>
      <c r="AJ77" s="48">
        <v>0</v>
      </c>
      <c r="AK77" s="48">
        <f ca="1">IFERROR(__xludf.DUMMYFUNCTION("IMPORTRANGE(""https://docs.google.com/spreadsheets/d/1IYY_tgx_IHuhSq3AJ5eI5OnqOPBNLWSHKh2a30DoXe8/edit?usp=sharing"",""กระบี่!J138"")"),0)</f>
        <v>0</v>
      </c>
      <c r="AL77" s="98">
        <f t="shared" si="16"/>
        <v>0</v>
      </c>
      <c r="AM77" s="48">
        <v>0</v>
      </c>
      <c r="AN77" s="48">
        <v>0</v>
      </c>
      <c r="AO77" s="48">
        <f ca="1">IFERROR(__xludf.DUMMYFUNCTION("IMPORTRANGE(""https://docs.google.com/spreadsheets/d/1IYY_tgx_IHuhSq3AJ5eI5OnqOPBNLWSHKh2a30DoXe8/edit?usp=sharing"",""กระบี่!J140"")"),0)</f>
        <v>0</v>
      </c>
      <c r="AP77" s="98">
        <f t="shared" si="18"/>
        <v>0</v>
      </c>
      <c r="AQ77" s="48">
        <f ca="1">IFERROR(__xludf.DUMMYFUNCTION("IMPORTRANGE(""https://docs.google.com/spreadsheets/d/1IYY_tgx_IHuhSq3AJ5eI5OnqOPBNLWSHKh2a30DoXe8/edit?usp=sharing"",""กระบี่!J141"")"),0)</f>
        <v>0</v>
      </c>
      <c r="AR77" s="98">
        <f t="shared" si="19"/>
        <v>0</v>
      </c>
      <c r="AS77" s="48">
        <f t="shared" si="20"/>
        <v>15</v>
      </c>
      <c r="AT77" s="48">
        <f t="shared" ref="AT77:AT90" ca="1" si="109">AG77+AK77</f>
        <v>0</v>
      </c>
      <c r="AU77" s="98">
        <f t="shared" ca="1" si="21"/>
        <v>0</v>
      </c>
    </row>
    <row r="78" spans="1:47" ht="24" customHeight="1" x14ac:dyDescent="0.5">
      <c r="A78" s="52">
        <v>2</v>
      </c>
      <c r="B78" s="53" t="s">
        <v>93</v>
      </c>
      <c r="C78" s="54">
        <f t="shared" si="106"/>
        <v>206500</v>
      </c>
      <c r="D78" s="55">
        <v>132000</v>
      </c>
      <c r="E78" s="55">
        <f t="shared" si="107"/>
        <v>74500</v>
      </c>
      <c r="F78" s="55">
        <f ca="1">IFERROR(__xludf.DUMMYFUNCTION("IMPORTRANGE(""https://docs.google.com/spreadsheets/d/1IYY_tgx_IHuhSq3AJ5eI5OnqOPBNLWSHKh2a30DoXe8/edit?usp=sharing"",""ชุมพร!M71"")"),0)</f>
        <v>0</v>
      </c>
      <c r="G78" s="99">
        <f t="shared" ca="1" si="1"/>
        <v>0</v>
      </c>
      <c r="H78" s="55">
        <v>7500</v>
      </c>
      <c r="I78" s="55">
        <v>4</v>
      </c>
      <c r="J78" s="55">
        <f ca="1">IFERROR(__xludf.DUMMYFUNCTION("IMPORTRANGE(""https://docs.google.com/spreadsheets/d/1IYY_tgx_IHuhSq3AJ5eI5OnqOPBNLWSHKh2a30DoXe8/edit?usp=sharing"",""ชุมพร!J83"")"),0)</f>
        <v>0</v>
      </c>
      <c r="K78" s="99">
        <f t="shared" ca="1" si="3"/>
        <v>0</v>
      </c>
      <c r="L78" s="55">
        <f t="shared" ca="1" si="108"/>
        <v>0</v>
      </c>
      <c r="M78" s="55">
        <f ca="1">IFERROR(__xludf.DUMMYFUNCTION("IMPORTRANGE(""https://docs.google.com/spreadsheets/d/1IYY_tgx_IHuhSq3AJ5eI5OnqOPBNLWSHKh2a30DoXe8/edit?usp=sharing"",""กระบี่!J85"")"),0)</f>
        <v>0</v>
      </c>
      <c r="N78" s="55">
        <f ca="1">IFERROR(__xludf.DUMMYFUNCTION("IMPORTRANGE(""https://docs.google.com/spreadsheets/d/1IYY_tgx_IHuhSq3AJ5eI5OnqOPBNLWSHKh2a30DoXe8/edit?usp=sharing"",""กระบี่!J86"")"),0)</f>
        <v>0</v>
      </c>
      <c r="O78" s="55">
        <v>28000</v>
      </c>
      <c r="P78" s="55">
        <v>2</v>
      </c>
      <c r="Q78" s="55">
        <f ca="1">IFERROR(__xludf.DUMMYFUNCTION("IMPORTRANGE(""https://docs.google.com/spreadsheets/d/1IYY_tgx_IHuhSq3AJ5eI5OnqOPBNLWSHKh2a30DoXe8/edit?usp=sharing"",""ชุมพร!J98"")"),0)</f>
        <v>0</v>
      </c>
      <c r="R78" s="99">
        <f t="shared" ca="1" si="5"/>
        <v>0</v>
      </c>
      <c r="S78" s="55">
        <v>15000</v>
      </c>
      <c r="T78" s="55">
        <v>1</v>
      </c>
      <c r="U78" s="55">
        <f ca="1">IFERROR(__xludf.DUMMYFUNCTION("IMPORTRANGE(""https://docs.google.com/spreadsheets/d/1IYY_tgx_IHuhSq3AJ5eI5OnqOPBNLWSHKh2a30DoXe8/edit?usp=sharing"",""ชุมพร!J110"")"),0)</f>
        <v>0</v>
      </c>
      <c r="V78" s="99">
        <f t="shared" ca="1" si="7"/>
        <v>0</v>
      </c>
      <c r="W78" s="55">
        <v>1</v>
      </c>
      <c r="X78" s="55">
        <f ca="1">IFERROR(__xludf.DUMMYFUNCTION("IMPORTRANGE(""https://docs.google.com/spreadsheets/d/1IYY_tgx_IHuhSq3AJ5eI5OnqOPBNLWSHKh2a30DoXe8/edit?usp=sharing"",""ชุมพร!J111"")"),0)</f>
        <v>0</v>
      </c>
      <c r="Y78" s="99">
        <f t="shared" ca="1" si="9"/>
        <v>0</v>
      </c>
      <c r="Z78" s="55">
        <v>24000</v>
      </c>
      <c r="AA78" s="55">
        <v>20000</v>
      </c>
      <c r="AB78" s="55">
        <f ca="1">IFERROR(__xludf.DUMMYFUNCTION("IMPORTRANGE(""https://docs.google.com/spreadsheets/d/1IYY_tgx_IHuhSq3AJ5eI5OnqOPBNLWSHKh2a30DoXe8/edit?usp=sharing"",""ชุมพร!J124"")"),0)</f>
        <v>0</v>
      </c>
      <c r="AC78" s="99">
        <f t="shared" ca="1" si="11"/>
        <v>0</v>
      </c>
      <c r="AD78" s="55">
        <f ca="1">IFERROR(__xludf.DUMMYFUNCTION("IMPORTRANGE(""https://docs.google.com/spreadsheets/d/1IYY_tgx_IHuhSq3AJ5eI5OnqOPBNLWSHKh2a30DoXe8/edit?usp=sharing"",""ชุมพร!J125"")"),0)</f>
        <v>0</v>
      </c>
      <c r="AE78" s="99">
        <f t="shared" ca="1" si="12"/>
        <v>0</v>
      </c>
      <c r="AF78" s="55">
        <v>15</v>
      </c>
      <c r="AG78" s="55">
        <f ca="1">IFERROR(__xludf.DUMMYFUNCTION("IMPORTRANGE(""https://docs.google.com/spreadsheets/d/1IYY_tgx_IHuhSq3AJ5eI5OnqOPBNLWSHKh2a30DoXe8/edit?usp=sharing"",""ชุมพร!J126"")"),0)</f>
        <v>0</v>
      </c>
      <c r="AH78" s="99">
        <f t="shared" ca="1" si="14"/>
        <v>0</v>
      </c>
      <c r="AI78" s="55">
        <v>0</v>
      </c>
      <c r="AJ78" s="55">
        <v>0</v>
      </c>
      <c r="AK78" s="55">
        <f ca="1">IFERROR(__xludf.DUMMYFUNCTION("IMPORTRANGE(""https://docs.google.com/spreadsheets/d/1IYY_tgx_IHuhSq3AJ5eI5OnqOPBNLWSHKh2a30DoXe8/edit?usp=sharing"",""ชุมพร!J138"")"),0)</f>
        <v>0</v>
      </c>
      <c r="AL78" s="99">
        <f t="shared" si="16"/>
        <v>0</v>
      </c>
      <c r="AM78" s="55">
        <v>0</v>
      </c>
      <c r="AN78" s="55">
        <v>0</v>
      </c>
      <c r="AO78" s="55">
        <f ca="1">IFERROR(__xludf.DUMMYFUNCTION("IMPORTRANGE(""https://docs.google.com/spreadsheets/d/1IYY_tgx_IHuhSq3AJ5eI5OnqOPBNLWSHKh2a30DoXe8/edit?usp=sharing"",""ชุมพร!J140"")"),0)</f>
        <v>0</v>
      </c>
      <c r="AP78" s="99">
        <f t="shared" si="18"/>
        <v>0</v>
      </c>
      <c r="AQ78" s="55">
        <f ca="1">IFERROR(__xludf.DUMMYFUNCTION("IMPORTRANGE(""https://docs.google.com/spreadsheets/d/1IYY_tgx_IHuhSq3AJ5eI5OnqOPBNLWSHKh2a30DoXe8/edit?usp=sharing"",""ชุมพร!J141"")"),0)</f>
        <v>0</v>
      </c>
      <c r="AR78" s="99">
        <f t="shared" si="19"/>
        <v>0</v>
      </c>
      <c r="AS78" s="55">
        <f t="shared" si="20"/>
        <v>15</v>
      </c>
      <c r="AT78" s="55">
        <f t="shared" ca="1" si="109"/>
        <v>0</v>
      </c>
      <c r="AU78" s="99">
        <f t="shared" ca="1" si="21"/>
        <v>0</v>
      </c>
    </row>
    <row r="79" spans="1:47" ht="24" customHeight="1" x14ac:dyDescent="0.5">
      <c r="A79" s="52">
        <v>3</v>
      </c>
      <c r="B79" s="53" t="s">
        <v>94</v>
      </c>
      <c r="C79" s="54">
        <f t="shared" si="106"/>
        <v>389400</v>
      </c>
      <c r="D79" s="55">
        <v>331400</v>
      </c>
      <c r="E79" s="55">
        <f t="shared" si="107"/>
        <v>58000</v>
      </c>
      <c r="F79" s="55">
        <f ca="1">IFERROR(__xludf.DUMMYFUNCTION("IMPORTRANGE(""https://docs.google.com/spreadsheets/d/1IYY_tgx_IHuhSq3AJ5eI5OnqOPBNLWSHKh2a30DoXe8/edit?usp=sharing"",""ตรัง!M71"")"),18390.72)</f>
        <v>18390.72</v>
      </c>
      <c r="G79" s="99">
        <f t="shared" ca="1" si="1"/>
        <v>4.7228351309707239</v>
      </c>
      <c r="H79" s="55">
        <v>7500</v>
      </c>
      <c r="I79" s="55">
        <v>4</v>
      </c>
      <c r="J79" s="55">
        <f ca="1">IFERROR(__xludf.DUMMYFUNCTION("IMPORTRANGE(""https://docs.google.com/spreadsheets/d/1IYY_tgx_IHuhSq3AJ5eI5OnqOPBNLWSHKh2a30DoXe8/edit?usp=sharing"",""ตรัง!J83"")"),0)</f>
        <v>0</v>
      </c>
      <c r="K79" s="99">
        <f t="shared" ca="1" si="3"/>
        <v>0</v>
      </c>
      <c r="L79" s="55">
        <f t="shared" ca="1" si="108"/>
        <v>0</v>
      </c>
      <c r="M79" s="55">
        <f ca="1">IFERROR(__xludf.DUMMYFUNCTION("IMPORTRANGE(""https://docs.google.com/spreadsheets/d/1IYY_tgx_IHuhSq3AJ5eI5OnqOPBNLWSHKh2a30DoXe8/edit?usp=sharing"",""กระบี่!J85"")"),0)</f>
        <v>0</v>
      </c>
      <c r="N79" s="55">
        <f ca="1">IFERROR(__xludf.DUMMYFUNCTION("IMPORTRANGE(""https://docs.google.com/spreadsheets/d/1IYY_tgx_IHuhSq3AJ5eI5OnqOPBNLWSHKh2a30DoXe8/edit?usp=sharing"",""กระบี่!J86"")"),0)</f>
        <v>0</v>
      </c>
      <c r="O79" s="55">
        <v>28000</v>
      </c>
      <c r="P79" s="55">
        <v>2</v>
      </c>
      <c r="Q79" s="55">
        <f ca="1">IFERROR(__xludf.DUMMYFUNCTION("IMPORTRANGE(""https://docs.google.com/spreadsheets/d/1IYY_tgx_IHuhSq3AJ5eI5OnqOPBNLWSHKh2a30DoXe8/edit?usp=sharing"",""ตรัง!J98"")"),0)</f>
        <v>0</v>
      </c>
      <c r="R79" s="99">
        <f t="shared" ca="1" si="5"/>
        <v>0</v>
      </c>
      <c r="S79" s="55"/>
      <c r="T79" s="55">
        <v>0</v>
      </c>
      <c r="U79" s="55">
        <f ca="1">IFERROR(__xludf.DUMMYFUNCTION("IMPORTRANGE(""https://docs.google.com/spreadsheets/d/1IYY_tgx_IHuhSq3AJ5eI5OnqOPBNLWSHKh2a30DoXe8/edit?usp=sharing"",""ตรัง!J110"")"),0)</f>
        <v>0</v>
      </c>
      <c r="V79" s="99">
        <f t="shared" si="7"/>
        <v>0</v>
      </c>
      <c r="W79" s="55">
        <v>0</v>
      </c>
      <c r="X79" s="55">
        <f ca="1">IFERROR(__xludf.DUMMYFUNCTION("IMPORTRANGE(""https://docs.google.com/spreadsheets/d/1IYY_tgx_IHuhSq3AJ5eI5OnqOPBNLWSHKh2a30DoXe8/edit?usp=sharing"",""ตรัง!J111"")"),0)</f>
        <v>0</v>
      </c>
      <c r="Y79" s="99">
        <f t="shared" si="9"/>
        <v>0</v>
      </c>
      <c r="Z79" s="55">
        <v>22500</v>
      </c>
      <c r="AA79" s="55">
        <v>10000</v>
      </c>
      <c r="AB79" s="55">
        <f ca="1">IFERROR(__xludf.DUMMYFUNCTION("IMPORTRANGE(""https://docs.google.com/spreadsheets/d/1IYY_tgx_IHuhSq3AJ5eI5OnqOPBNLWSHKh2a30DoXe8/edit?usp=sharing"",""ตรัง!J124"")"),0)</f>
        <v>0</v>
      </c>
      <c r="AC79" s="99">
        <f t="shared" ca="1" si="11"/>
        <v>0</v>
      </c>
      <c r="AD79" s="55">
        <f ca="1">IFERROR(__xludf.DUMMYFUNCTION("IMPORTRANGE(""https://docs.google.com/spreadsheets/d/1IYY_tgx_IHuhSq3AJ5eI5OnqOPBNLWSHKh2a30DoXe8/edit?usp=sharing"",""ตรัง!J125"")"),0)</f>
        <v>0</v>
      </c>
      <c r="AE79" s="99">
        <f t="shared" ca="1" si="12"/>
        <v>0</v>
      </c>
      <c r="AF79" s="55">
        <v>15</v>
      </c>
      <c r="AG79" s="55">
        <f ca="1">IFERROR(__xludf.DUMMYFUNCTION("IMPORTRANGE(""https://docs.google.com/spreadsheets/d/1IYY_tgx_IHuhSq3AJ5eI5OnqOPBNLWSHKh2a30DoXe8/edit?usp=sharing"",""ตรัง!J126"")"),0)</f>
        <v>0</v>
      </c>
      <c r="AH79" s="99">
        <f t="shared" ca="1" si="14"/>
        <v>0</v>
      </c>
      <c r="AI79" s="55">
        <v>0</v>
      </c>
      <c r="AJ79" s="55">
        <v>0</v>
      </c>
      <c r="AK79" s="55">
        <f ca="1">IFERROR(__xludf.DUMMYFUNCTION("IMPORTRANGE(""https://docs.google.com/spreadsheets/d/1IYY_tgx_IHuhSq3AJ5eI5OnqOPBNLWSHKh2a30DoXe8/edit?usp=sharing"",""ตรัง!J138"")"),0)</f>
        <v>0</v>
      </c>
      <c r="AL79" s="99">
        <f t="shared" si="16"/>
        <v>0</v>
      </c>
      <c r="AM79" s="55">
        <v>0</v>
      </c>
      <c r="AN79" s="55">
        <v>0</v>
      </c>
      <c r="AO79" s="55">
        <f ca="1">IFERROR(__xludf.DUMMYFUNCTION("IMPORTRANGE(""https://docs.google.com/spreadsheets/d/1IYY_tgx_IHuhSq3AJ5eI5OnqOPBNLWSHKh2a30DoXe8/edit?usp=sharing"",""ตรัง!J140"")"),0)</f>
        <v>0</v>
      </c>
      <c r="AP79" s="99">
        <f t="shared" si="18"/>
        <v>0</v>
      </c>
      <c r="AQ79" s="55">
        <f ca="1">IFERROR(__xludf.DUMMYFUNCTION("IMPORTRANGE(""https://docs.google.com/spreadsheets/d/1IYY_tgx_IHuhSq3AJ5eI5OnqOPBNLWSHKh2a30DoXe8/edit?usp=sharing"",""ตรัง!J141"")"),0)</f>
        <v>0</v>
      </c>
      <c r="AR79" s="99">
        <f t="shared" si="19"/>
        <v>0</v>
      </c>
      <c r="AS79" s="55">
        <f t="shared" si="20"/>
        <v>15</v>
      </c>
      <c r="AT79" s="55">
        <f t="shared" ca="1" si="109"/>
        <v>0</v>
      </c>
      <c r="AU79" s="99">
        <f t="shared" ca="1" si="21"/>
        <v>0</v>
      </c>
    </row>
    <row r="80" spans="1:47" ht="24" customHeight="1" x14ac:dyDescent="0.5">
      <c r="A80" s="52">
        <v>4</v>
      </c>
      <c r="B80" s="53" t="s">
        <v>95</v>
      </c>
      <c r="C80" s="54">
        <f t="shared" si="106"/>
        <v>818600</v>
      </c>
      <c r="D80" s="55">
        <v>330100</v>
      </c>
      <c r="E80" s="55">
        <f t="shared" si="107"/>
        <v>488500</v>
      </c>
      <c r="F80" s="55">
        <f ca="1">IFERROR(__xludf.DUMMYFUNCTION("IMPORTRANGE(""https://docs.google.com/spreadsheets/d/1IYY_tgx_IHuhSq3AJ5eI5OnqOPBNLWSHKh2a30DoXe8/edit?usp=sharing"",""นครศรีธรรมราช!M71"")"),0)</f>
        <v>0</v>
      </c>
      <c r="G80" s="99">
        <f t="shared" ca="1" si="1"/>
        <v>0</v>
      </c>
      <c r="H80" s="55">
        <v>7500</v>
      </c>
      <c r="I80" s="55">
        <v>4</v>
      </c>
      <c r="J80" s="55">
        <v>0</v>
      </c>
      <c r="K80" s="99">
        <f t="shared" si="3"/>
        <v>0</v>
      </c>
      <c r="L80" s="55">
        <f t="shared" ca="1" si="108"/>
        <v>0</v>
      </c>
      <c r="M80" s="55">
        <f ca="1">IFERROR(__xludf.DUMMYFUNCTION("IMPORTRANGE(""https://docs.google.com/spreadsheets/d/1IYY_tgx_IHuhSq3AJ5eI5OnqOPBNLWSHKh2a30DoXe8/edit?usp=sharing"",""กระบี่!J85"")"),0)</f>
        <v>0</v>
      </c>
      <c r="N80" s="55">
        <f ca="1">IFERROR(__xludf.DUMMYFUNCTION("IMPORTRANGE(""https://docs.google.com/spreadsheets/d/1IYY_tgx_IHuhSq3AJ5eI5OnqOPBNLWSHKh2a30DoXe8/edit?usp=sharing"",""กระบี่!J86"")"),0)</f>
        <v>0</v>
      </c>
      <c r="O80" s="55">
        <v>56000</v>
      </c>
      <c r="P80" s="55">
        <v>4</v>
      </c>
      <c r="Q80" s="55">
        <f ca="1">IFERROR(__xludf.DUMMYFUNCTION("IMPORTRANGE(""https://docs.google.com/spreadsheets/d/1IYY_tgx_IHuhSq3AJ5eI5OnqOPBNLWSHKh2a30DoXe8/edit?usp=sharing"",""นครศรีธรรมราช!J98"")"),0)</f>
        <v>0</v>
      </c>
      <c r="R80" s="99">
        <f t="shared" ca="1" si="5"/>
        <v>0</v>
      </c>
      <c r="S80" s="55">
        <v>30000</v>
      </c>
      <c r="T80" s="55">
        <v>2</v>
      </c>
      <c r="U80" s="55">
        <f ca="1">IFERROR(__xludf.DUMMYFUNCTION("IMPORTRANGE(""https://docs.google.com/spreadsheets/d/1IYY_tgx_IHuhSq3AJ5eI5OnqOPBNLWSHKh2a30DoXe8/edit?usp=sharing"",""นครศรีธรรมราช!J110"")"),0)</f>
        <v>0</v>
      </c>
      <c r="V80" s="99">
        <f t="shared" ca="1" si="7"/>
        <v>0</v>
      </c>
      <c r="W80" s="55">
        <v>2</v>
      </c>
      <c r="X80" s="55">
        <f ca="1">IFERROR(__xludf.DUMMYFUNCTION("IMPORTRANGE(""https://docs.google.com/spreadsheets/d/1IYY_tgx_IHuhSq3AJ5eI5OnqOPBNLWSHKh2a30DoXe8/edit?usp=sharing"",""นครศรีธรรมราช!J111"")"),0)</f>
        <v>0</v>
      </c>
      <c r="Y80" s="99">
        <f t="shared" ca="1" si="9"/>
        <v>0</v>
      </c>
      <c r="Z80" s="55">
        <v>19500</v>
      </c>
      <c r="AA80" s="55">
        <v>50000</v>
      </c>
      <c r="AB80" s="55">
        <f ca="1">IFERROR(__xludf.DUMMYFUNCTION("IMPORTRANGE(""https://docs.google.com/spreadsheets/d/1IYY_tgx_IHuhSq3AJ5eI5OnqOPBNLWSHKh2a30DoXe8/edit?usp=sharing"",""นครศรีธรรมราช!J124"")"),0)</f>
        <v>0</v>
      </c>
      <c r="AC80" s="99">
        <f t="shared" ca="1" si="11"/>
        <v>0</v>
      </c>
      <c r="AD80" s="55">
        <f ca="1">IFERROR(__xludf.DUMMYFUNCTION("IMPORTRANGE(""https://docs.google.com/spreadsheets/d/1IYY_tgx_IHuhSq3AJ5eI5OnqOPBNLWSHKh2a30DoXe8/edit?usp=sharing"",""นครศรีธรรมราช!J125"")"),0)</f>
        <v>0</v>
      </c>
      <c r="AE80" s="99">
        <f t="shared" ca="1" si="12"/>
        <v>0</v>
      </c>
      <c r="AF80" s="55">
        <v>0</v>
      </c>
      <c r="AG80" s="55">
        <f ca="1">IFERROR(__xludf.DUMMYFUNCTION("IMPORTRANGE(""https://docs.google.com/spreadsheets/d/1IYY_tgx_IHuhSq3AJ5eI5OnqOPBNLWSHKh2a30DoXe8/edit?usp=sharing"",""นครศรีธรรมราช!J126"")"),0)</f>
        <v>0</v>
      </c>
      <c r="AH80" s="99">
        <f t="shared" si="14"/>
        <v>0</v>
      </c>
      <c r="AI80" s="55">
        <v>375500</v>
      </c>
      <c r="AJ80" s="55">
        <v>100</v>
      </c>
      <c r="AK80" s="55">
        <f ca="1">IFERROR(__xludf.DUMMYFUNCTION("IMPORTRANGE(""https://docs.google.com/spreadsheets/d/1IYY_tgx_IHuhSq3AJ5eI5OnqOPBNLWSHKh2a30DoXe8/edit?usp=sharing"",""นครศรีธรรมราช!J138"")"),0)</f>
        <v>0</v>
      </c>
      <c r="AL80" s="99">
        <f t="shared" ca="1" si="16"/>
        <v>0</v>
      </c>
      <c r="AM80" s="55">
        <v>0</v>
      </c>
      <c r="AN80" s="55">
        <v>6</v>
      </c>
      <c r="AO80" s="55">
        <f ca="1">IFERROR(__xludf.DUMMYFUNCTION("IMPORTRANGE(""https://docs.google.com/spreadsheets/d/1IYY_tgx_IHuhSq3AJ5eI5OnqOPBNLWSHKh2a30DoXe8/edit?usp=sharing"",""นครศรีธรรมราช!J140"")"),0)</f>
        <v>0</v>
      </c>
      <c r="AP80" s="99">
        <f t="shared" si="18"/>
        <v>0</v>
      </c>
      <c r="AQ80" s="55">
        <f ca="1">IFERROR(__xludf.DUMMYFUNCTION("IMPORTRANGE(""https://docs.google.com/spreadsheets/d/1IYY_tgx_IHuhSq3AJ5eI5OnqOPBNLWSHKh2a30DoXe8/edit?usp=sharing"",""นครศรีธรรมราช!J141"")"),0)</f>
        <v>0</v>
      </c>
      <c r="AR80" s="99">
        <f t="shared" ca="1" si="19"/>
        <v>0</v>
      </c>
      <c r="AS80" s="55">
        <f t="shared" si="20"/>
        <v>100</v>
      </c>
      <c r="AT80" s="55">
        <f t="shared" ca="1" si="109"/>
        <v>0</v>
      </c>
      <c r="AU80" s="99">
        <f t="shared" ca="1" si="21"/>
        <v>0</v>
      </c>
    </row>
    <row r="81" spans="1:47" ht="24" customHeight="1" x14ac:dyDescent="0.5">
      <c r="A81" s="52">
        <v>5</v>
      </c>
      <c r="B81" s="53" t="s">
        <v>96</v>
      </c>
      <c r="C81" s="54">
        <f t="shared" si="106"/>
        <v>43000</v>
      </c>
      <c r="D81" s="55">
        <v>0</v>
      </c>
      <c r="E81" s="55">
        <f t="shared" si="107"/>
        <v>43000</v>
      </c>
      <c r="F81" s="55">
        <f ca="1">IFERROR(__xludf.DUMMYFUNCTION("IMPORTRANGE(""https://docs.google.com/spreadsheets/d/1IYY_tgx_IHuhSq3AJ5eI5OnqOPBNLWSHKh2a30DoXe8/edit?usp=sharing"",""นราธิวาส!M71"")"),0)</f>
        <v>0</v>
      </c>
      <c r="G81" s="99">
        <f t="shared" ca="1" si="1"/>
        <v>0</v>
      </c>
      <c r="H81" s="55">
        <v>7500</v>
      </c>
      <c r="I81" s="55">
        <v>4</v>
      </c>
      <c r="J81" s="55">
        <f ca="1">IFERROR(__xludf.DUMMYFUNCTION("IMPORTRANGE(""https://docs.google.com/spreadsheets/d/1IYY_tgx_IHuhSq3AJ5eI5OnqOPBNLWSHKh2a30DoXe8/edit?usp=sharing"",""นราธิวาส!J83"")"),0)</f>
        <v>0</v>
      </c>
      <c r="K81" s="99">
        <f t="shared" ca="1" si="3"/>
        <v>0</v>
      </c>
      <c r="L81" s="55">
        <f t="shared" ca="1" si="108"/>
        <v>0</v>
      </c>
      <c r="M81" s="55">
        <f ca="1">IFERROR(__xludf.DUMMYFUNCTION("IMPORTRANGE(""https://docs.google.com/spreadsheets/d/1IYY_tgx_IHuhSq3AJ5eI5OnqOPBNLWSHKh2a30DoXe8/edit?usp=sharing"",""กระบี่!J85"")"),0)</f>
        <v>0</v>
      </c>
      <c r="N81" s="55">
        <f ca="1">IFERROR(__xludf.DUMMYFUNCTION("IMPORTRANGE(""https://docs.google.com/spreadsheets/d/1IYY_tgx_IHuhSq3AJ5eI5OnqOPBNLWSHKh2a30DoXe8/edit?usp=sharing"",""กระบี่!J86"")"),0)</f>
        <v>0</v>
      </c>
      <c r="O81" s="55">
        <v>28000</v>
      </c>
      <c r="P81" s="55">
        <v>2</v>
      </c>
      <c r="Q81" s="55">
        <f ca="1">IFERROR(__xludf.DUMMYFUNCTION("IMPORTRANGE(""https://docs.google.com/spreadsheets/d/1IYY_tgx_IHuhSq3AJ5eI5OnqOPBNLWSHKh2a30DoXe8/edit?usp=sharing"",""นราธิวาส!J98"")"),0)</f>
        <v>0</v>
      </c>
      <c r="R81" s="99">
        <f t="shared" ca="1" si="5"/>
        <v>0</v>
      </c>
      <c r="S81" s="55"/>
      <c r="T81" s="55">
        <v>0</v>
      </c>
      <c r="U81" s="55">
        <f ca="1">IFERROR(__xludf.DUMMYFUNCTION("IMPORTRANGE(""https://docs.google.com/spreadsheets/d/1IYY_tgx_IHuhSq3AJ5eI5OnqOPBNLWSHKh2a30DoXe8/edit?usp=sharing"",""นราธิวาส!J110"")"),0)</f>
        <v>0</v>
      </c>
      <c r="V81" s="99">
        <f t="shared" si="7"/>
        <v>0</v>
      </c>
      <c r="W81" s="55">
        <v>0</v>
      </c>
      <c r="X81" s="55">
        <f ca="1">IFERROR(__xludf.DUMMYFUNCTION("IMPORTRANGE(""https://docs.google.com/spreadsheets/d/1IYY_tgx_IHuhSq3AJ5eI5OnqOPBNLWSHKh2a30DoXe8/edit?usp=sharing"",""นราธิวาส!J111"")"),0)</f>
        <v>0</v>
      </c>
      <c r="Y81" s="99">
        <f t="shared" si="9"/>
        <v>0</v>
      </c>
      <c r="Z81" s="55">
        <v>7500</v>
      </c>
      <c r="AA81" s="55">
        <v>10000</v>
      </c>
      <c r="AB81" s="55">
        <f ca="1">IFERROR(__xludf.DUMMYFUNCTION("IMPORTRANGE(""https://docs.google.com/spreadsheets/d/1IYY_tgx_IHuhSq3AJ5eI5OnqOPBNLWSHKh2a30DoXe8/edit?usp=sharing"",""นราธิวาส!J124"")"),0)</f>
        <v>0</v>
      </c>
      <c r="AC81" s="99">
        <f t="shared" ca="1" si="11"/>
        <v>0</v>
      </c>
      <c r="AD81" s="55">
        <f ca="1">IFERROR(__xludf.DUMMYFUNCTION("IMPORTRANGE(""https://docs.google.com/spreadsheets/d/1IYY_tgx_IHuhSq3AJ5eI5OnqOPBNLWSHKh2a30DoXe8/edit?usp=sharing"",""นราธิวาส!J125"")"),0)</f>
        <v>0</v>
      </c>
      <c r="AE81" s="99">
        <f t="shared" ca="1" si="12"/>
        <v>0</v>
      </c>
      <c r="AF81" s="55">
        <v>0</v>
      </c>
      <c r="AG81" s="55">
        <f ca="1">IFERROR(__xludf.DUMMYFUNCTION("IMPORTRANGE(""https://docs.google.com/spreadsheets/d/1IYY_tgx_IHuhSq3AJ5eI5OnqOPBNLWSHKh2a30DoXe8/edit?usp=sharing"",""นราธิวาส!J126"")"),0)</f>
        <v>0</v>
      </c>
      <c r="AH81" s="99">
        <f t="shared" si="14"/>
        <v>0</v>
      </c>
      <c r="AI81" s="55">
        <v>0</v>
      </c>
      <c r="AJ81" s="55">
        <v>0</v>
      </c>
      <c r="AK81" s="55">
        <f ca="1">IFERROR(__xludf.DUMMYFUNCTION("IMPORTRANGE(""https://docs.google.com/spreadsheets/d/1IYY_tgx_IHuhSq3AJ5eI5OnqOPBNLWSHKh2a30DoXe8/edit?usp=sharing"",""นราธิวาส!J138"")"),0)</f>
        <v>0</v>
      </c>
      <c r="AL81" s="99">
        <f t="shared" si="16"/>
        <v>0</v>
      </c>
      <c r="AM81" s="55">
        <v>0</v>
      </c>
      <c r="AN81" s="55">
        <v>0</v>
      </c>
      <c r="AO81" s="55">
        <f ca="1">IFERROR(__xludf.DUMMYFUNCTION("IMPORTRANGE(""https://docs.google.com/spreadsheets/d/1IYY_tgx_IHuhSq3AJ5eI5OnqOPBNLWSHKh2a30DoXe8/edit?usp=sharing"",""นราธิวาส!J140"")"),0)</f>
        <v>0</v>
      </c>
      <c r="AP81" s="99">
        <f t="shared" si="18"/>
        <v>0</v>
      </c>
      <c r="AQ81" s="55">
        <f ca="1">IFERROR(__xludf.DUMMYFUNCTION("IMPORTRANGE(""https://docs.google.com/spreadsheets/d/1IYY_tgx_IHuhSq3AJ5eI5OnqOPBNLWSHKh2a30DoXe8/edit?usp=sharing"",""นราธิวาส!J141"")"),0)</f>
        <v>0</v>
      </c>
      <c r="AR81" s="99">
        <f t="shared" si="19"/>
        <v>0</v>
      </c>
      <c r="AS81" s="55">
        <f t="shared" si="20"/>
        <v>0</v>
      </c>
      <c r="AT81" s="55">
        <f t="shared" ca="1" si="109"/>
        <v>0</v>
      </c>
      <c r="AU81" s="99">
        <f t="shared" si="21"/>
        <v>0</v>
      </c>
    </row>
    <row r="82" spans="1:47" ht="24" customHeight="1" x14ac:dyDescent="0.5">
      <c r="A82" s="52">
        <v>6</v>
      </c>
      <c r="B82" s="53" t="s">
        <v>97</v>
      </c>
      <c r="C82" s="54">
        <f t="shared" si="106"/>
        <v>376600</v>
      </c>
      <c r="D82" s="55">
        <v>318000</v>
      </c>
      <c r="E82" s="55">
        <f t="shared" si="107"/>
        <v>58600</v>
      </c>
      <c r="F82" s="55">
        <f ca="1">IFERROR(__xludf.DUMMYFUNCTION("IMPORTRANGE(""https://docs.google.com/spreadsheets/d/1IYY_tgx_IHuhSq3AJ5eI5OnqOPBNLWSHKh2a30DoXe8/edit?usp=sharing"",""ปัตตานี!M71"")"),0)</f>
        <v>0</v>
      </c>
      <c r="G82" s="99">
        <f t="shared" ca="1" si="1"/>
        <v>0</v>
      </c>
      <c r="H82" s="55">
        <v>7500</v>
      </c>
      <c r="I82" s="55">
        <v>4</v>
      </c>
      <c r="J82" s="55">
        <f ca="1">IFERROR(__xludf.DUMMYFUNCTION("IMPORTRANGE(""https://docs.google.com/spreadsheets/d/1IYY_tgx_IHuhSq3AJ5eI5OnqOPBNLWSHKh2a30DoXe8/edit?usp=sharing"",""ปัตตานี!J83"")"),0)</f>
        <v>0</v>
      </c>
      <c r="K82" s="99">
        <f t="shared" ca="1" si="3"/>
        <v>0</v>
      </c>
      <c r="L82" s="55">
        <f t="shared" ca="1" si="108"/>
        <v>0</v>
      </c>
      <c r="M82" s="55">
        <f ca="1">IFERROR(__xludf.DUMMYFUNCTION("IMPORTRANGE(""https://docs.google.com/spreadsheets/d/1IYY_tgx_IHuhSq3AJ5eI5OnqOPBNLWSHKh2a30DoXe8/edit?usp=sharing"",""กระบี่!J85"")"),0)</f>
        <v>0</v>
      </c>
      <c r="N82" s="55">
        <f ca="1">IFERROR(__xludf.DUMMYFUNCTION("IMPORTRANGE(""https://docs.google.com/spreadsheets/d/1IYY_tgx_IHuhSq3AJ5eI5OnqOPBNLWSHKh2a30DoXe8/edit?usp=sharing"",""กระบี่!J86"")"),0)</f>
        <v>0</v>
      </c>
      <c r="O82" s="55">
        <v>28000</v>
      </c>
      <c r="P82" s="55">
        <v>2</v>
      </c>
      <c r="Q82" s="55">
        <f ca="1">IFERROR(__xludf.DUMMYFUNCTION("IMPORTRANGE(""https://docs.google.com/spreadsheets/d/1IYY_tgx_IHuhSq3AJ5eI5OnqOPBNLWSHKh2a30DoXe8/edit?usp=sharing"",""ปัตตานี!J98"")"),0)</f>
        <v>0</v>
      </c>
      <c r="R82" s="99">
        <f t="shared" ca="1" si="5"/>
        <v>0</v>
      </c>
      <c r="S82" s="55"/>
      <c r="T82" s="55">
        <v>0</v>
      </c>
      <c r="U82" s="55">
        <f ca="1">IFERROR(__xludf.DUMMYFUNCTION("IMPORTRANGE(""https://docs.google.com/spreadsheets/d/1IYY_tgx_IHuhSq3AJ5eI5OnqOPBNLWSHKh2a30DoXe8/edit?usp=sharing"",""ปัตตานี!J110"")"),0)</f>
        <v>0</v>
      </c>
      <c r="V82" s="99">
        <f t="shared" si="7"/>
        <v>0</v>
      </c>
      <c r="W82" s="55">
        <v>0</v>
      </c>
      <c r="X82" s="55">
        <f ca="1">IFERROR(__xludf.DUMMYFUNCTION("IMPORTRANGE(""https://docs.google.com/spreadsheets/d/1IYY_tgx_IHuhSq3AJ5eI5OnqOPBNLWSHKh2a30DoXe8/edit?usp=sharing"",""ปัตตานี!J111"")"),0)</f>
        <v>0</v>
      </c>
      <c r="Y82" s="99">
        <f t="shared" si="9"/>
        <v>0</v>
      </c>
      <c r="Z82" s="55">
        <v>23100</v>
      </c>
      <c r="AA82" s="55">
        <v>12800</v>
      </c>
      <c r="AB82" s="55">
        <f ca="1">IFERROR(__xludf.DUMMYFUNCTION("IMPORTRANGE(""https://docs.google.com/spreadsheets/d/1IYY_tgx_IHuhSq3AJ5eI5OnqOPBNLWSHKh2a30DoXe8/edit?usp=sharing"",""ปัตตานี!J124"")"),0)</f>
        <v>0</v>
      </c>
      <c r="AC82" s="99">
        <f t="shared" ca="1" si="11"/>
        <v>0</v>
      </c>
      <c r="AD82" s="55">
        <f ca="1">IFERROR(__xludf.DUMMYFUNCTION("IMPORTRANGE(""https://docs.google.com/spreadsheets/d/1IYY_tgx_IHuhSq3AJ5eI5OnqOPBNLWSHKh2a30DoXe8/edit?usp=sharing"",""ปัตตานี!J125"")"),0)</f>
        <v>0</v>
      </c>
      <c r="AE82" s="99">
        <f t="shared" ca="1" si="12"/>
        <v>0</v>
      </c>
      <c r="AF82" s="55">
        <v>15</v>
      </c>
      <c r="AG82" s="55">
        <f ca="1">IFERROR(__xludf.DUMMYFUNCTION("IMPORTRANGE(""https://docs.google.com/spreadsheets/d/1IYY_tgx_IHuhSq3AJ5eI5OnqOPBNLWSHKh2a30DoXe8/edit?usp=sharing"",""ปัตตานี!J126"")"),0)</f>
        <v>0</v>
      </c>
      <c r="AH82" s="99">
        <f t="shared" ca="1" si="14"/>
        <v>0</v>
      </c>
      <c r="AI82" s="55">
        <v>0</v>
      </c>
      <c r="AJ82" s="55">
        <v>0</v>
      </c>
      <c r="AK82" s="55">
        <f ca="1">IFERROR(__xludf.DUMMYFUNCTION("IMPORTRANGE(""https://docs.google.com/spreadsheets/d/1IYY_tgx_IHuhSq3AJ5eI5OnqOPBNLWSHKh2a30DoXe8/edit?usp=sharing"",""ปัตตานี!J138"")"),0)</f>
        <v>0</v>
      </c>
      <c r="AL82" s="99">
        <f t="shared" si="16"/>
        <v>0</v>
      </c>
      <c r="AM82" s="55">
        <v>0</v>
      </c>
      <c r="AN82" s="55">
        <v>0</v>
      </c>
      <c r="AO82" s="55">
        <f ca="1">IFERROR(__xludf.DUMMYFUNCTION("IMPORTRANGE(""https://docs.google.com/spreadsheets/d/1IYY_tgx_IHuhSq3AJ5eI5OnqOPBNLWSHKh2a30DoXe8/edit?usp=sharing"",""ปัตตานี!J140"")"),0)</f>
        <v>0</v>
      </c>
      <c r="AP82" s="99">
        <f t="shared" si="18"/>
        <v>0</v>
      </c>
      <c r="AQ82" s="55">
        <f ca="1">IFERROR(__xludf.DUMMYFUNCTION("IMPORTRANGE(""https://docs.google.com/spreadsheets/d/1IYY_tgx_IHuhSq3AJ5eI5OnqOPBNLWSHKh2a30DoXe8/edit?usp=sharing"",""ปัตตานี!J141"")"),0)</f>
        <v>0</v>
      </c>
      <c r="AR82" s="99">
        <f t="shared" si="19"/>
        <v>0</v>
      </c>
      <c r="AS82" s="55">
        <f t="shared" si="20"/>
        <v>15</v>
      </c>
      <c r="AT82" s="55">
        <f t="shared" ca="1" si="109"/>
        <v>0</v>
      </c>
      <c r="AU82" s="99">
        <f t="shared" ca="1" si="21"/>
        <v>0</v>
      </c>
    </row>
    <row r="83" spans="1:47" ht="24" customHeight="1" x14ac:dyDescent="0.5">
      <c r="A83" s="52">
        <v>7</v>
      </c>
      <c r="B83" s="53" t="s">
        <v>98</v>
      </c>
      <c r="C83" s="54">
        <f t="shared" si="106"/>
        <v>72500</v>
      </c>
      <c r="D83" s="55">
        <v>0</v>
      </c>
      <c r="E83" s="55">
        <f t="shared" si="107"/>
        <v>72500</v>
      </c>
      <c r="F83" s="55">
        <f ca="1">IFERROR(__xludf.DUMMYFUNCTION("IMPORTRANGE(""https://docs.google.com/spreadsheets/d/1IYY_tgx_IHuhSq3AJ5eI5OnqOPBNLWSHKh2a30DoXe8/edit?usp=sharing"",""พังงา!M71"")"),0)</f>
        <v>0</v>
      </c>
      <c r="G83" s="99">
        <f t="shared" ca="1" si="1"/>
        <v>0</v>
      </c>
      <c r="H83" s="55">
        <v>7500</v>
      </c>
      <c r="I83" s="55">
        <v>4</v>
      </c>
      <c r="J83" s="55">
        <f ca="1">IFERROR(__xludf.DUMMYFUNCTION("IMPORTRANGE(""https://docs.google.com/spreadsheets/d/1IYY_tgx_IHuhSq3AJ5eI5OnqOPBNLWSHKh2a30DoXe8/edit?usp=sharing"",""พังงา!J83"")"),0)</f>
        <v>0</v>
      </c>
      <c r="K83" s="99">
        <f t="shared" ca="1" si="3"/>
        <v>0</v>
      </c>
      <c r="L83" s="55">
        <f t="shared" ca="1" si="108"/>
        <v>0</v>
      </c>
      <c r="M83" s="55">
        <f ca="1">IFERROR(__xludf.DUMMYFUNCTION("IMPORTRANGE(""https://docs.google.com/spreadsheets/d/1IYY_tgx_IHuhSq3AJ5eI5OnqOPBNLWSHKh2a30DoXe8/edit?usp=sharing"",""กระบี่!J85"")"),0)</f>
        <v>0</v>
      </c>
      <c r="N83" s="55">
        <f ca="1">IFERROR(__xludf.DUMMYFUNCTION("IMPORTRANGE(""https://docs.google.com/spreadsheets/d/1IYY_tgx_IHuhSq3AJ5eI5OnqOPBNLWSHKh2a30DoXe8/edit?usp=sharing"",""กระบี่!J86"")"),0)</f>
        <v>0</v>
      </c>
      <c r="O83" s="55">
        <v>56000</v>
      </c>
      <c r="P83" s="55">
        <v>4</v>
      </c>
      <c r="Q83" s="55">
        <f ca="1">IFERROR(__xludf.DUMMYFUNCTION("IMPORTRANGE(""https://docs.google.com/spreadsheets/d/1IYY_tgx_IHuhSq3AJ5eI5OnqOPBNLWSHKh2a30DoXe8/edit?usp=sharing"",""พังงา!J98"")"),0)</f>
        <v>0</v>
      </c>
      <c r="R83" s="99">
        <f t="shared" ca="1" si="5"/>
        <v>0</v>
      </c>
      <c r="S83" s="55"/>
      <c r="T83" s="55">
        <v>0</v>
      </c>
      <c r="U83" s="55">
        <f ca="1">IFERROR(__xludf.DUMMYFUNCTION("IMPORTRANGE(""https://docs.google.com/spreadsheets/d/1IYY_tgx_IHuhSq3AJ5eI5OnqOPBNLWSHKh2a30DoXe8/edit?usp=sharing"",""พังงา!J110"")"),0)</f>
        <v>0</v>
      </c>
      <c r="V83" s="99">
        <f t="shared" si="7"/>
        <v>0</v>
      </c>
      <c r="W83" s="55">
        <v>0</v>
      </c>
      <c r="X83" s="55">
        <f ca="1">IFERROR(__xludf.DUMMYFUNCTION("IMPORTRANGE(""https://docs.google.com/spreadsheets/d/1IYY_tgx_IHuhSq3AJ5eI5OnqOPBNLWSHKh2a30DoXe8/edit?usp=sharing"",""พังงา!J111"")"),0)</f>
        <v>0</v>
      </c>
      <c r="Y83" s="99">
        <f t="shared" si="9"/>
        <v>0</v>
      </c>
      <c r="Z83" s="55">
        <v>9000</v>
      </c>
      <c r="AA83" s="55">
        <v>20000</v>
      </c>
      <c r="AB83" s="55">
        <f ca="1">IFERROR(__xludf.DUMMYFUNCTION("IMPORTRANGE(""https://docs.google.com/spreadsheets/d/1IYY_tgx_IHuhSq3AJ5eI5OnqOPBNLWSHKh2a30DoXe8/edit?usp=sharing"",""พังงา!J124"")"),0)</f>
        <v>0</v>
      </c>
      <c r="AC83" s="99">
        <f t="shared" ca="1" si="11"/>
        <v>0</v>
      </c>
      <c r="AD83" s="55">
        <f ca="1">IFERROR(__xludf.DUMMYFUNCTION("IMPORTRANGE(""https://docs.google.com/spreadsheets/d/1IYY_tgx_IHuhSq3AJ5eI5OnqOPBNLWSHKh2a30DoXe8/edit?usp=sharing"",""พังงา!J125"")"),0)</f>
        <v>0</v>
      </c>
      <c r="AE83" s="99">
        <f t="shared" ca="1" si="12"/>
        <v>0</v>
      </c>
      <c r="AF83" s="55">
        <v>0</v>
      </c>
      <c r="AG83" s="55">
        <f ca="1">IFERROR(__xludf.DUMMYFUNCTION("IMPORTRANGE(""https://docs.google.com/spreadsheets/d/1IYY_tgx_IHuhSq3AJ5eI5OnqOPBNLWSHKh2a30DoXe8/edit?usp=sharing"",""พังงา!J126"")"),0)</f>
        <v>0</v>
      </c>
      <c r="AH83" s="99">
        <f t="shared" si="14"/>
        <v>0</v>
      </c>
      <c r="AI83" s="55">
        <v>0</v>
      </c>
      <c r="AJ83" s="55">
        <v>0</v>
      </c>
      <c r="AK83" s="55">
        <f ca="1">IFERROR(__xludf.DUMMYFUNCTION("IMPORTRANGE(""https://docs.google.com/spreadsheets/d/1IYY_tgx_IHuhSq3AJ5eI5OnqOPBNLWSHKh2a30DoXe8/edit?usp=sharing"",""พังงา!J138"")"),0)</f>
        <v>0</v>
      </c>
      <c r="AL83" s="99">
        <f t="shared" si="16"/>
        <v>0</v>
      </c>
      <c r="AM83" s="55">
        <v>0</v>
      </c>
      <c r="AN83" s="55">
        <v>0</v>
      </c>
      <c r="AO83" s="55">
        <f ca="1">IFERROR(__xludf.DUMMYFUNCTION("IMPORTRANGE(""https://docs.google.com/spreadsheets/d/1IYY_tgx_IHuhSq3AJ5eI5OnqOPBNLWSHKh2a30DoXe8/edit?usp=sharing"",""พังงา!J140"")"),0)</f>
        <v>0</v>
      </c>
      <c r="AP83" s="99">
        <f t="shared" si="18"/>
        <v>0</v>
      </c>
      <c r="AQ83" s="55">
        <f ca="1">IFERROR(__xludf.DUMMYFUNCTION("IMPORTRANGE(""https://docs.google.com/spreadsheets/d/1IYY_tgx_IHuhSq3AJ5eI5OnqOPBNLWSHKh2a30DoXe8/edit?usp=sharing"",""พังงา!J141"")"),0)</f>
        <v>0</v>
      </c>
      <c r="AR83" s="99">
        <f t="shared" si="19"/>
        <v>0</v>
      </c>
      <c r="AS83" s="55">
        <f t="shared" si="20"/>
        <v>0</v>
      </c>
      <c r="AT83" s="55">
        <f t="shared" ca="1" si="109"/>
        <v>0</v>
      </c>
      <c r="AU83" s="99">
        <f t="shared" si="21"/>
        <v>0</v>
      </c>
    </row>
    <row r="84" spans="1:47" ht="24" customHeight="1" x14ac:dyDescent="0.5">
      <c r="A84" s="52">
        <v>8</v>
      </c>
      <c r="B84" s="53" t="s">
        <v>99</v>
      </c>
      <c r="C84" s="54">
        <f t="shared" si="106"/>
        <v>43000</v>
      </c>
      <c r="D84" s="55">
        <v>0</v>
      </c>
      <c r="E84" s="55">
        <f t="shared" si="107"/>
        <v>43000</v>
      </c>
      <c r="F84" s="55">
        <f ca="1">IFERROR(__xludf.DUMMYFUNCTION("IMPORTRANGE(""https://docs.google.com/spreadsheets/d/1IYY_tgx_IHuhSq3AJ5eI5OnqOPBNLWSHKh2a30DoXe8/edit?usp=sharing"",""พัทลุง!M71"")"),0)</f>
        <v>0</v>
      </c>
      <c r="G84" s="99">
        <f t="shared" ca="1" si="1"/>
        <v>0</v>
      </c>
      <c r="H84" s="55">
        <v>7500</v>
      </c>
      <c r="I84" s="55">
        <v>4</v>
      </c>
      <c r="J84" s="55">
        <f ca="1">IFERROR(__xludf.DUMMYFUNCTION("IMPORTRANGE(""https://docs.google.com/spreadsheets/d/1IYY_tgx_IHuhSq3AJ5eI5OnqOPBNLWSHKh2a30DoXe8/edit?usp=sharing"",""พัทลุง!J83"")"),0)</f>
        <v>0</v>
      </c>
      <c r="K84" s="99">
        <f t="shared" ca="1" si="3"/>
        <v>0</v>
      </c>
      <c r="L84" s="55">
        <f t="shared" ca="1" si="108"/>
        <v>0</v>
      </c>
      <c r="M84" s="55">
        <f ca="1">IFERROR(__xludf.DUMMYFUNCTION("IMPORTRANGE(""https://docs.google.com/spreadsheets/d/1IYY_tgx_IHuhSq3AJ5eI5OnqOPBNLWSHKh2a30DoXe8/edit?usp=sharing"",""กระบี่!J85"")"),0)</f>
        <v>0</v>
      </c>
      <c r="N84" s="55">
        <f ca="1">IFERROR(__xludf.DUMMYFUNCTION("IMPORTRANGE(""https://docs.google.com/spreadsheets/d/1IYY_tgx_IHuhSq3AJ5eI5OnqOPBNLWSHKh2a30DoXe8/edit?usp=sharing"",""กระบี่!J86"")"),0)</f>
        <v>0</v>
      </c>
      <c r="O84" s="55">
        <v>28000</v>
      </c>
      <c r="P84" s="55">
        <v>2</v>
      </c>
      <c r="Q84" s="55">
        <f ca="1">IFERROR(__xludf.DUMMYFUNCTION("IMPORTRANGE(""https://docs.google.com/spreadsheets/d/1IYY_tgx_IHuhSq3AJ5eI5OnqOPBNLWSHKh2a30DoXe8/edit?usp=sharing"",""พัทลุง!J98"")"),0)</f>
        <v>0</v>
      </c>
      <c r="R84" s="99">
        <f t="shared" ca="1" si="5"/>
        <v>0</v>
      </c>
      <c r="S84" s="55"/>
      <c r="T84" s="55">
        <v>0</v>
      </c>
      <c r="U84" s="55">
        <f ca="1">IFERROR(__xludf.DUMMYFUNCTION("IMPORTRANGE(""https://docs.google.com/spreadsheets/d/1IYY_tgx_IHuhSq3AJ5eI5OnqOPBNLWSHKh2a30DoXe8/edit?usp=sharing"",""พัทลุง!J110"")"),0)</f>
        <v>0</v>
      </c>
      <c r="V84" s="99">
        <f t="shared" si="7"/>
        <v>0</v>
      </c>
      <c r="W84" s="55">
        <v>0</v>
      </c>
      <c r="X84" s="55">
        <f ca="1">IFERROR(__xludf.DUMMYFUNCTION("IMPORTRANGE(""https://docs.google.com/spreadsheets/d/1IYY_tgx_IHuhSq3AJ5eI5OnqOPBNLWSHKh2a30DoXe8/edit?usp=sharing"",""พัทลุง!J111"")"),0)</f>
        <v>0</v>
      </c>
      <c r="Y84" s="99">
        <f t="shared" si="9"/>
        <v>0</v>
      </c>
      <c r="Z84" s="55">
        <v>7500</v>
      </c>
      <c r="AA84" s="55">
        <v>10000</v>
      </c>
      <c r="AB84" s="55">
        <f ca="1">IFERROR(__xludf.DUMMYFUNCTION("IMPORTRANGE(""https://docs.google.com/spreadsheets/d/1IYY_tgx_IHuhSq3AJ5eI5OnqOPBNLWSHKh2a30DoXe8/edit?usp=sharing"",""พัทลุง!J124"")"),0)</f>
        <v>0</v>
      </c>
      <c r="AC84" s="99">
        <f t="shared" ca="1" si="11"/>
        <v>0</v>
      </c>
      <c r="AD84" s="55">
        <f ca="1">IFERROR(__xludf.DUMMYFUNCTION("IMPORTRANGE(""https://docs.google.com/spreadsheets/d/1IYY_tgx_IHuhSq3AJ5eI5OnqOPBNLWSHKh2a30DoXe8/edit?usp=sharing"",""พัทลุง!J125"")"),0)</f>
        <v>0</v>
      </c>
      <c r="AE84" s="99">
        <f t="shared" ca="1" si="12"/>
        <v>0</v>
      </c>
      <c r="AF84" s="55">
        <v>0</v>
      </c>
      <c r="AG84" s="55">
        <f ca="1">IFERROR(__xludf.DUMMYFUNCTION("IMPORTRANGE(""https://docs.google.com/spreadsheets/d/1IYY_tgx_IHuhSq3AJ5eI5OnqOPBNLWSHKh2a30DoXe8/edit?usp=sharing"",""พัทลุง!J126"")"),0)</f>
        <v>0</v>
      </c>
      <c r="AH84" s="99">
        <f t="shared" si="14"/>
        <v>0</v>
      </c>
      <c r="AI84" s="55">
        <v>0</v>
      </c>
      <c r="AJ84" s="55">
        <v>0</v>
      </c>
      <c r="AK84" s="55">
        <f ca="1">IFERROR(__xludf.DUMMYFUNCTION("IMPORTRANGE(""https://docs.google.com/spreadsheets/d/1IYY_tgx_IHuhSq3AJ5eI5OnqOPBNLWSHKh2a30DoXe8/edit?usp=sharing"",""พัทลุง!J138"")"),0)</f>
        <v>0</v>
      </c>
      <c r="AL84" s="99">
        <f t="shared" si="16"/>
        <v>0</v>
      </c>
      <c r="AM84" s="55">
        <v>0</v>
      </c>
      <c r="AN84" s="55">
        <v>0</v>
      </c>
      <c r="AO84" s="55">
        <f ca="1">IFERROR(__xludf.DUMMYFUNCTION("IMPORTRANGE(""https://docs.google.com/spreadsheets/d/1IYY_tgx_IHuhSq3AJ5eI5OnqOPBNLWSHKh2a30DoXe8/edit?usp=sharing"",""พัทลุง!J140"")"),0)</f>
        <v>0</v>
      </c>
      <c r="AP84" s="99">
        <f t="shared" si="18"/>
        <v>0</v>
      </c>
      <c r="AQ84" s="55">
        <f ca="1">IFERROR(__xludf.DUMMYFUNCTION("IMPORTRANGE(""https://docs.google.com/spreadsheets/d/1IYY_tgx_IHuhSq3AJ5eI5OnqOPBNLWSHKh2a30DoXe8/edit?usp=sharing"",""พัทลุง!J141"")"),0)</f>
        <v>0</v>
      </c>
      <c r="AR84" s="99">
        <f t="shared" si="19"/>
        <v>0</v>
      </c>
      <c r="AS84" s="55">
        <f t="shared" si="20"/>
        <v>0</v>
      </c>
      <c r="AT84" s="55">
        <f t="shared" ca="1" si="109"/>
        <v>0</v>
      </c>
      <c r="AU84" s="99">
        <f t="shared" si="21"/>
        <v>0</v>
      </c>
    </row>
    <row r="85" spans="1:47" ht="24" customHeight="1" x14ac:dyDescent="0.5">
      <c r="A85" s="52">
        <v>9</v>
      </c>
      <c r="B85" s="53" t="s">
        <v>100</v>
      </c>
      <c r="C85" s="54">
        <f t="shared" si="106"/>
        <v>21500</v>
      </c>
      <c r="D85" s="55">
        <v>0</v>
      </c>
      <c r="E85" s="55">
        <f t="shared" si="107"/>
        <v>21500</v>
      </c>
      <c r="F85" s="55">
        <f ca="1">IFERROR(__xludf.DUMMYFUNCTION("IMPORTRANGE(""https://docs.google.com/spreadsheets/d/1IYY_tgx_IHuhSq3AJ5eI5OnqOPBNLWSHKh2a30DoXe8/edit?usp=sharing"",""ภูเก็ต!M71"")"),0)</f>
        <v>0</v>
      </c>
      <c r="G85" s="99">
        <f t="shared" ca="1" si="1"/>
        <v>0</v>
      </c>
      <c r="H85" s="55">
        <v>7500</v>
      </c>
      <c r="I85" s="55">
        <v>4</v>
      </c>
      <c r="J85" s="55">
        <f ca="1">IFERROR(__xludf.DUMMYFUNCTION("IMPORTRANGE(""https://docs.google.com/spreadsheets/d/1IYY_tgx_IHuhSq3AJ5eI5OnqOPBNLWSHKh2a30DoXe8/edit?usp=sharing"",""ภูเก็ต!J83"")"),0)</f>
        <v>0</v>
      </c>
      <c r="K85" s="99">
        <f t="shared" ca="1" si="3"/>
        <v>0</v>
      </c>
      <c r="L85" s="55">
        <f t="shared" ca="1" si="108"/>
        <v>0</v>
      </c>
      <c r="M85" s="55">
        <f ca="1">IFERROR(__xludf.DUMMYFUNCTION("IMPORTRANGE(""https://docs.google.com/spreadsheets/d/1IYY_tgx_IHuhSq3AJ5eI5OnqOPBNLWSHKh2a30DoXe8/edit?usp=sharing"",""กระบี่!J85"")"),0)</f>
        <v>0</v>
      </c>
      <c r="N85" s="55">
        <f ca="1">IFERROR(__xludf.DUMMYFUNCTION("IMPORTRANGE(""https://docs.google.com/spreadsheets/d/1IYY_tgx_IHuhSq3AJ5eI5OnqOPBNLWSHKh2a30DoXe8/edit?usp=sharing"",""กระบี่!J86"")"),0)</f>
        <v>0</v>
      </c>
      <c r="O85" s="55">
        <v>14000</v>
      </c>
      <c r="P85" s="55">
        <v>1</v>
      </c>
      <c r="Q85" s="55">
        <f ca="1">IFERROR(__xludf.DUMMYFUNCTION("IMPORTRANGE(""https://docs.google.com/spreadsheets/d/1IYY_tgx_IHuhSq3AJ5eI5OnqOPBNLWSHKh2a30DoXe8/edit?usp=sharing"",""ภูเก็ต!J98"")"),0)</f>
        <v>0</v>
      </c>
      <c r="R85" s="99">
        <f t="shared" ca="1" si="5"/>
        <v>0</v>
      </c>
      <c r="S85" s="55"/>
      <c r="T85" s="55">
        <v>0</v>
      </c>
      <c r="U85" s="55">
        <f ca="1">IFERROR(__xludf.DUMMYFUNCTION("IMPORTRANGE(""https://docs.google.com/spreadsheets/d/1IYY_tgx_IHuhSq3AJ5eI5OnqOPBNLWSHKh2a30DoXe8/edit?usp=sharing"",""ภูเก็ต!J110"")"),0)</f>
        <v>0</v>
      </c>
      <c r="V85" s="99">
        <f t="shared" si="7"/>
        <v>0</v>
      </c>
      <c r="W85" s="55">
        <v>0</v>
      </c>
      <c r="X85" s="55">
        <f ca="1">IFERROR(__xludf.DUMMYFUNCTION("IMPORTRANGE(""https://docs.google.com/spreadsheets/d/1IYY_tgx_IHuhSq3AJ5eI5OnqOPBNLWSHKh2a30DoXe8/edit?usp=sharing"",""ภูเก็ต!J111"")"),0)</f>
        <v>0</v>
      </c>
      <c r="Y85" s="99">
        <f t="shared" si="9"/>
        <v>0</v>
      </c>
      <c r="Z85" s="55">
        <v>0</v>
      </c>
      <c r="AA85" s="55"/>
      <c r="AB85" s="55">
        <f ca="1">IFERROR(__xludf.DUMMYFUNCTION("IMPORTRANGE(""https://docs.google.com/spreadsheets/d/1IYY_tgx_IHuhSq3AJ5eI5OnqOPBNLWSHKh2a30DoXe8/edit?usp=sharing"",""ภูเก็ต!J124"")"),0)</f>
        <v>0</v>
      </c>
      <c r="AC85" s="99">
        <f t="shared" si="11"/>
        <v>0</v>
      </c>
      <c r="AD85" s="55">
        <f ca="1">IFERROR(__xludf.DUMMYFUNCTION("IMPORTRANGE(""https://docs.google.com/spreadsheets/d/1IYY_tgx_IHuhSq3AJ5eI5OnqOPBNLWSHKh2a30DoXe8/edit?usp=sharing"",""ภูเก็ต!J125"")"),0)</f>
        <v>0</v>
      </c>
      <c r="AE85" s="99">
        <f t="shared" si="12"/>
        <v>0</v>
      </c>
      <c r="AF85" s="55">
        <v>0</v>
      </c>
      <c r="AG85" s="55">
        <f ca="1">IFERROR(__xludf.DUMMYFUNCTION("IMPORTRANGE(""https://docs.google.com/spreadsheets/d/1IYY_tgx_IHuhSq3AJ5eI5OnqOPBNLWSHKh2a30DoXe8/edit?usp=sharing"",""ภูเก็ต!J126"")"),0)</f>
        <v>0</v>
      </c>
      <c r="AH85" s="99">
        <f t="shared" si="14"/>
        <v>0</v>
      </c>
      <c r="AI85" s="55">
        <v>0</v>
      </c>
      <c r="AJ85" s="55">
        <v>0</v>
      </c>
      <c r="AK85" s="55">
        <f ca="1">IFERROR(__xludf.DUMMYFUNCTION("IMPORTRANGE(""https://docs.google.com/spreadsheets/d/1IYY_tgx_IHuhSq3AJ5eI5OnqOPBNLWSHKh2a30DoXe8/edit?usp=sharing"",""ภูเก็ต!J138"")"),0)</f>
        <v>0</v>
      </c>
      <c r="AL85" s="99">
        <f t="shared" si="16"/>
        <v>0</v>
      </c>
      <c r="AM85" s="55">
        <v>0</v>
      </c>
      <c r="AN85" s="55">
        <v>0</v>
      </c>
      <c r="AO85" s="55">
        <f ca="1">IFERROR(__xludf.DUMMYFUNCTION("IMPORTRANGE(""https://docs.google.com/spreadsheets/d/1IYY_tgx_IHuhSq3AJ5eI5OnqOPBNLWSHKh2a30DoXe8/edit?usp=sharing"",""ภูเก็ต!J140"")"),0)</f>
        <v>0</v>
      </c>
      <c r="AP85" s="99">
        <f t="shared" si="18"/>
        <v>0</v>
      </c>
      <c r="AQ85" s="55">
        <f ca="1">IFERROR(__xludf.DUMMYFUNCTION("IMPORTRANGE(""https://docs.google.com/spreadsheets/d/1IYY_tgx_IHuhSq3AJ5eI5OnqOPBNLWSHKh2a30DoXe8/edit?usp=sharing"",""ภูเก็ต!J141"")"),0)</f>
        <v>0</v>
      </c>
      <c r="AR85" s="99">
        <f t="shared" si="19"/>
        <v>0</v>
      </c>
      <c r="AS85" s="55">
        <f t="shared" si="20"/>
        <v>0</v>
      </c>
      <c r="AT85" s="55">
        <f t="shared" ca="1" si="109"/>
        <v>0</v>
      </c>
      <c r="AU85" s="99">
        <f t="shared" si="21"/>
        <v>0</v>
      </c>
    </row>
    <row r="86" spans="1:47" ht="24" customHeight="1" x14ac:dyDescent="0.5">
      <c r="A86" s="52">
        <v>10</v>
      </c>
      <c r="B86" s="53" t="s">
        <v>101</v>
      </c>
      <c r="C86" s="54">
        <f t="shared" si="106"/>
        <v>29300</v>
      </c>
      <c r="D86" s="55">
        <v>0</v>
      </c>
      <c r="E86" s="55">
        <f t="shared" si="107"/>
        <v>29300</v>
      </c>
      <c r="F86" s="55">
        <f ca="1">IFERROR(__xludf.DUMMYFUNCTION("IMPORTRANGE(""https://docs.google.com/spreadsheets/d/1IYY_tgx_IHuhSq3AJ5eI5OnqOPBNLWSHKh2a30DoXe8/edit?usp=sharing"",""ยะลา!M71"")"),0)</f>
        <v>0</v>
      </c>
      <c r="G86" s="99">
        <f t="shared" ca="1" si="1"/>
        <v>0</v>
      </c>
      <c r="H86" s="55">
        <v>7500</v>
      </c>
      <c r="I86" s="55">
        <v>4</v>
      </c>
      <c r="J86" s="55">
        <f ca="1">IFERROR(__xludf.DUMMYFUNCTION("IMPORTRANGE(""https://docs.google.com/spreadsheets/d/1IYY_tgx_IHuhSq3AJ5eI5OnqOPBNLWSHKh2a30DoXe8/edit?usp=sharing"",""ยะลา!J83"")"),0)</f>
        <v>0</v>
      </c>
      <c r="K86" s="99">
        <f t="shared" ca="1" si="3"/>
        <v>0</v>
      </c>
      <c r="L86" s="55">
        <f t="shared" ca="1" si="108"/>
        <v>0</v>
      </c>
      <c r="M86" s="55">
        <f ca="1">IFERROR(__xludf.DUMMYFUNCTION("IMPORTRANGE(""https://docs.google.com/spreadsheets/d/1IYY_tgx_IHuhSq3AJ5eI5OnqOPBNLWSHKh2a30DoXe8/edit?usp=sharing"",""กระบี่!J85"")"),0)</f>
        <v>0</v>
      </c>
      <c r="N86" s="55">
        <f ca="1">IFERROR(__xludf.DUMMYFUNCTION("IMPORTRANGE(""https://docs.google.com/spreadsheets/d/1IYY_tgx_IHuhSq3AJ5eI5OnqOPBNLWSHKh2a30DoXe8/edit?usp=sharing"",""กระบี่!J86"")"),0)</f>
        <v>0</v>
      </c>
      <c r="O86" s="55">
        <v>14000</v>
      </c>
      <c r="P86" s="55">
        <v>1</v>
      </c>
      <c r="Q86" s="55">
        <f ca="1">IFERROR(__xludf.DUMMYFUNCTION("IMPORTRANGE(""https://docs.google.com/spreadsheets/d/1IYY_tgx_IHuhSq3AJ5eI5OnqOPBNLWSHKh2a30DoXe8/edit?usp=sharing"",""ยะลา!J98"")"),0)</f>
        <v>0</v>
      </c>
      <c r="R86" s="99">
        <f t="shared" ca="1" si="5"/>
        <v>0</v>
      </c>
      <c r="S86" s="55"/>
      <c r="T86" s="55">
        <v>0</v>
      </c>
      <c r="U86" s="55">
        <f ca="1">IFERROR(__xludf.DUMMYFUNCTION("IMPORTRANGE(""https://docs.google.com/spreadsheets/d/1IYY_tgx_IHuhSq3AJ5eI5OnqOPBNLWSHKh2a30DoXe8/edit?usp=sharing"",""ยะลา!J110"")"),0)</f>
        <v>0</v>
      </c>
      <c r="V86" s="99">
        <f t="shared" si="7"/>
        <v>0</v>
      </c>
      <c r="W86" s="55">
        <v>0</v>
      </c>
      <c r="X86" s="55">
        <f ca="1">IFERROR(__xludf.DUMMYFUNCTION("IMPORTRANGE(""https://docs.google.com/spreadsheets/d/1IYY_tgx_IHuhSq3AJ5eI5OnqOPBNLWSHKh2a30DoXe8/edit?usp=sharing"",""ยะลา!J111"")"),0)</f>
        <v>0</v>
      </c>
      <c r="Y86" s="99">
        <f t="shared" si="9"/>
        <v>0</v>
      </c>
      <c r="Z86" s="55">
        <v>7800</v>
      </c>
      <c r="AA86" s="55">
        <v>12000</v>
      </c>
      <c r="AB86" s="55">
        <f ca="1">IFERROR(__xludf.DUMMYFUNCTION("IMPORTRANGE(""https://docs.google.com/spreadsheets/d/1IYY_tgx_IHuhSq3AJ5eI5OnqOPBNLWSHKh2a30DoXe8/edit?usp=sharing"",""ยะลา!J124"")"),0)</f>
        <v>0</v>
      </c>
      <c r="AC86" s="99">
        <f t="shared" ca="1" si="11"/>
        <v>0</v>
      </c>
      <c r="AD86" s="55">
        <f ca="1">IFERROR(__xludf.DUMMYFUNCTION("IMPORTRANGE(""https://docs.google.com/spreadsheets/d/1IYY_tgx_IHuhSq3AJ5eI5OnqOPBNLWSHKh2a30DoXe8/edit?usp=sharing"",""ยะลา!J125"")"),0)</f>
        <v>0</v>
      </c>
      <c r="AE86" s="99">
        <f t="shared" ca="1" si="12"/>
        <v>0</v>
      </c>
      <c r="AF86" s="55">
        <v>0</v>
      </c>
      <c r="AG86" s="55">
        <f ca="1">IFERROR(__xludf.DUMMYFUNCTION("IMPORTRANGE(""https://docs.google.com/spreadsheets/d/1IYY_tgx_IHuhSq3AJ5eI5OnqOPBNLWSHKh2a30DoXe8/edit?usp=sharing"",""ยะลา!J126"")"),0)</f>
        <v>0</v>
      </c>
      <c r="AH86" s="99">
        <f t="shared" si="14"/>
        <v>0</v>
      </c>
      <c r="AI86" s="55">
        <v>0</v>
      </c>
      <c r="AJ86" s="55">
        <v>0</v>
      </c>
      <c r="AK86" s="55">
        <f ca="1">IFERROR(__xludf.DUMMYFUNCTION("IMPORTRANGE(""https://docs.google.com/spreadsheets/d/1IYY_tgx_IHuhSq3AJ5eI5OnqOPBNLWSHKh2a30DoXe8/edit?usp=sharing"",""ยะลา!J138"")"),0)</f>
        <v>0</v>
      </c>
      <c r="AL86" s="99">
        <f t="shared" si="16"/>
        <v>0</v>
      </c>
      <c r="AM86" s="55">
        <v>0</v>
      </c>
      <c r="AN86" s="55">
        <v>0</v>
      </c>
      <c r="AO86" s="55">
        <f ca="1">IFERROR(__xludf.DUMMYFUNCTION("IMPORTRANGE(""https://docs.google.com/spreadsheets/d/1IYY_tgx_IHuhSq3AJ5eI5OnqOPBNLWSHKh2a30DoXe8/edit?usp=sharing"",""ยะลา!J140"")"),0)</f>
        <v>0</v>
      </c>
      <c r="AP86" s="99">
        <f t="shared" si="18"/>
        <v>0</v>
      </c>
      <c r="AQ86" s="55">
        <f ca="1">IFERROR(__xludf.DUMMYFUNCTION("IMPORTRANGE(""https://docs.google.com/spreadsheets/d/1IYY_tgx_IHuhSq3AJ5eI5OnqOPBNLWSHKh2a30DoXe8/edit?usp=sharing"",""ยะลา!J141"")"),0)</f>
        <v>0</v>
      </c>
      <c r="AR86" s="99">
        <f t="shared" si="19"/>
        <v>0</v>
      </c>
      <c r="AS86" s="55">
        <f t="shared" si="20"/>
        <v>0</v>
      </c>
      <c r="AT86" s="55">
        <f t="shared" ca="1" si="109"/>
        <v>0</v>
      </c>
      <c r="AU86" s="99">
        <f t="shared" si="21"/>
        <v>0</v>
      </c>
    </row>
    <row r="87" spans="1:47" ht="24" customHeight="1" x14ac:dyDescent="0.5">
      <c r="A87" s="52">
        <v>11</v>
      </c>
      <c r="B87" s="53" t="s">
        <v>102</v>
      </c>
      <c r="C87" s="54">
        <f t="shared" si="106"/>
        <v>43600</v>
      </c>
      <c r="D87" s="55">
        <v>0</v>
      </c>
      <c r="E87" s="55">
        <f t="shared" si="107"/>
        <v>43600</v>
      </c>
      <c r="F87" s="55">
        <f ca="1">IFERROR(__xludf.DUMMYFUNCTION("IMPORTRANGE(""https://docs.google.com/spreadsheets/d/1IYY_tgx_IHuhSq3AJ5eI5OnqOPBNLWSHKh2a30DoXe8/edit?usp=sharing"",""ระนอง!M71"")"),0)</f>
        <v>0</v>
      </c>
      <c r="G87" s="99">
        <f t="shared" ca="1" si="1"/>
        <v>0</v>
      </c>
      <c r="H87" s="55">
        <v>7500</v>
      </c>
      <c r="I87" s="55">
        <v>4</v>
      </c>
      <c r="J87" s="55">
        <f ca="1">IFERROR(__xludf.DUMMYFUNCTION("IMPORTRANGE(""https://docs.google.com/spreadsheets/d/1IYY_tgx_IHuhSq3AJ5eI5OnqOPBNLWSHKh2a30DoXe8/edit?usp=sharing"",""ระนอง!J83"")"),0)</f>
        <v>0</v>
      </c>
      <c r="K87" s="99">
        <f t="shared" ca="1" si="3"/>
        <v>0</v>
      </c>
      <c r="L87" s="55">
        <f t="shared" ca="1" si="108"/>
        <v>0</v>
      </c>
      <c r="M87" s="55">
        <f ca="1">IFERROR(__xludf.DUMMYFUNCTION("IMPORTRANGE(""https://docs.google.com/spreadsheets/d/1IYY_tgx_IHuhSq3AJ5eI5OnqOPBNLWSHKh2a30DoXe8/edit?usp=sharing"",""กระบี่!J85"")"),0)</f>
        <v>0</v>
      </c>
      <c r="N87" s="55">
        <f ca="1">IFERROR(__xludf.DUMMYFUNCTION("IMPORTRANGE(""https://docs.google.com/spreadsheets/d/1IYY_tgx_IHuhSq3AJ5eI5OnqOPBNLWSHKh2a30DoXe8/edit?usp=sharing"",""กระบี่!J86"")"),0)</f>
        <v>0</v>
      </c>
      <c r="O87" s="55">
        <v>28000</v>
      </c>
      <c r="P87" s="55">
        <v>2</v>
      </c>
      <c r="Q87" s="55">
        <f ca="1">IFERROR(__xludf.DUMMYFUNCTION("IMPORTRANGE(""https://docs.google.com/spreadsheets/d/1IYY_tgx_IHuhSq3AJ5eI5OnqOPBNLWSHKh2a30DoXe8/edit?usp=sharing"",""ระนอง!J98"")"),0)</f>
        <v>0</v>
      </c>
      <c r="R87" s="99">
        <f t="shared" ca="1" si="5"/>
        <v>0</v>
      </c>
      <c r="S87" s="55"/>
      <c r="T87" s="55">
        <v>0</v>
      </c>
      <c r="U87" s="55">
        <f ca="1">IFERROR(__xludf.DUMMYFUNCTION("IMPORTRANGE(""https://docs.google.com/spreadsheets/d/1IYY_tgx_IHuhSq3AJ5eI5OnqOPBNLWSHKh2a30DoXe8/edit?usp=sharing"",""ระนอง!J110"")"),0)</f>
        <v>0</v>
      </c>
      <c r="V87" s="99">
        <f t="shared" si="7"/>
        <v>0</v>
      </c>
      <c r="W87" s="55">
        <v>0</v>
      </c>
      <c r="X87" s="55">
        <f ca="1">IFERROR(__xludf.DUMMYFUNCTION("IMPORTRANGE(""https://docs.google.com/spreadsheets/d/1IYY_tgx_IHuhSq3AJ5eI5OnqOPBNLWSHKh2a30DoXe8/edit?usp=sharing"",""ระนอง!J111"")"),0)</f>
        <v>0</v>
      </c>
      <c r="Y87" s="99">
        <f t="shared" si="9"/>
        <v>0</v>
      </c>
      <c r="Z87" s="55">
        <v>8100</v>
      </c>
      <c r="AA87" s="55">
        <v>12800</v>
      </c>
      <c r="AB87" s="55">
        <f ca="1">IFERROR(__xludf.DUMMYFUNCTION("IMPORTRANGE(""https://docs.google.com/spreadsheets/d/1IYY_tgx_IHuhSq3AJ5eI5OnqOPBNLWSHKh2a30DoXe8/edit?usp=sharing"",""ระนอง!J124"")"),0)</f>
        <v>0</v>
      </c>
      <c r="AC87" s="99">
        <f t="shared" ca="1" si="11"/>
        <v>0</v>
      </c>
      <c r="AD87" s="55">
        <f ca="1">IFERROR(__xludf.DUMMYFUNCTION("IMPORTRANGE(""https://docs.google.com/spreadsheets/d/1IYY_tgx_IHuhSq3AJ5eI5OnqOPBNLWSHKh2a30DoXe8/edit?usp=sharing"",""ระนอง!J125"")"),0)</f>
        <v>0</v>
      </c>
      <c r="AE87" s="99">
        <f t="shared" ca="1" si="12"/>
        <v>0</v>
      </c>
      <c r="AF87" s="55">
        <v>0</v>
      </c>
      <c r="AG87" s="55">
        <f ca="1">IFERROR(__xludf.DUMMYFUNCTION("IMPORTRANGE(""https://docs.google.com/spreadsheets/d/1IYY_tgx_IHuhSq3AJ5eI5OnqOPBNLWSHKh2a30DoXe8/edit?usp=sharing"",""ระนอง!J126"")"),0)</f>
        <v>0</v>
      </c>
      <c r="AH87" s="99">
        <f t="shared" si="14"/>
        <v>0</v>
      </c>
      <c r="AI87" s="55">
        <v>0</v>
      </c>
      <c r="AJ87" s="55">
        <v>0</v>
      </c>
      <c r="AK87" s="55">
        <f ca="1">IFERROR(__xludf.DUMMYFUNCTION("IMPORTRANGE(""https://docs.google.com/spreadsheets/d/1IYY_tgx_IHuhSq3AJ5eI5OnqOPBNLWSHKh2a30DoXe8/edit?usp=sharing"",""ระนอง!J138"")"),0)</f>
        <v>0</v>
      </c>
      <c r="AL87" s="99">
        <f t="shared" si="16"/>
        <v>0</v>
      </c>
      <c r="AM87" s="55">
        <v>0</v>
      </c>
      <c r="AN87" s="55">
        <v>0</v>
      </c>
      <c r="AO87" s="55">
        <f ca="1">IFERROR(__xludf.DUMMYFUNCTION("IMPORTRANGE(""https://docs.google.com/spreadsheets/d/1IYY_tgx_IHuhSq3AJ5eI5OnqOPBNLWSHKh2a30DoXe8/edit?usp=sharing"",""ระนอง!J140"")"),0)</f>
        <v>0</v>
      </c>
      <c r="AP87" s="99">
        <f t="shared" si="18"/>
        <v>0</v>
      </c>
      <c r="AQ87" s="55">
        <f ca="1">IFERROR(__xludf.DUMMYFUNCTION("IMPORTRANGE(""https://docs.google.com/spreadsheets/d/1IYY_tgx_IHuhSq3AJ5eI5OnqOPBNLWSHKh2a30DoXe8/edit?usp=sharing"",""ระนอง!J141"")"),0)</f>
        <v>0</v>
      </c>
      <c r="AR87" s="99">
        <f t="shared" si="19"/>
        <v>0</v>
      </c>
      <c r="AS87" s="55">
        <f t="shared" si="20"/>
        <v>0</v>
      </c>
      <c r="AT87" s="55">
        <f t="shared" ca="1" si="109"/>
        <v>0</v>
      </c>
      <c r="AU87" s="99">
        <f t="shared" si="21"/>
        <v>0</v>
      </c>
    </row>
    <row r="88" spans="1:47" ht="24" customHeight="1" x14ac:dyDescent="0.5">
      <c r="A88" s="52">
        <v>12</v>
      </c>
      <c r="B88" s="53" t="s">
        <v>103</v>
      </c>
      <c r="C88" s="54">
        <f t="shared" si="106"/>
        <v>204900</v>
      </c>
      <c r="D88" s="55">
        <v>0</v>
      </c>
      <c r="E88" s="55">
        <f t="shared" si="107"/>
        <v>204900</v>
      </c>
      <c r="F88" s="55">
        <f ca="1">IFERROR(__xludf.DUMMYFUNCTION("IMPORTRANGE(""https://docs.google.com/spreadsheets/d/1IYY_tgx_IHuhSq3AJ5eI5OnqOPBNLWSHKh2a30DoXe8/edit?usp=sharing"",""สงขลา!M71"")"),0)</f>
        <v>0</v>
      </c>
      <c r="G88" s="99">
        <f t="shared" ca="1" si="1"/>
        <v>0</v>
      </c>
      <c r="H88" s="55">
        <v>7500</v>
      </c>
      <c r="I88" s="55">
        <v>4</v>
      </c>
      <c r="J88" s="55">
        <f ca="1">IFERROR(__xludf.DUMMYFUNCTION("IMPORTRANGE(""https://docs.google.com/spreadsheets/d/1IYY_tgx_IHuhSq3AJ5eI5OnqOPBNLWSHKh2a30DoXe8/edit?usp=sharing"",""สงขลา!J83"")"),0)</f>
        <v>0</v>
      </c>
      <c r="K88" s="99">
        <f t="shared" ca="1" si="3"/>
        <v>0</v>
      </c>
      <c r="L88" s="55">
        <f t="shared" ca="1" si="108"/>
        <v>0</v>
      </c>
      <c r="M88" s="55">
        <f ca="1">IFERROR(__xludf.DUMMYFUNCTION("IMPORTRANGE(""https://docs.google.com/spreadsheets/d/1IYY_tgx_IHuhSq3AJ5eI5OnqOPBNLWSHKh2a30DoXe8/edit?usp=sharing"",""กระบี่!J85"")"),0)</f>
        <v>0</v>
      </c>
      <c r="N88" s="55">
        <f ca="1">IFERROR(__xludf.DUMMYFUNCTION("IMPORTRANGE(""https://docs.google.com/spreadsheets/d/1IYY_tgx_IHuhSq3AJ5eI5OnqOPBNLWSHKh2a30DoXe8/edit?usp=sharing"",""กระบี่!J86"")"),0)</f>
        <v>0</v>
      </c>
      <c r="O88" s="55">
        <v>84000</v>
      </c>
      <c r="P88" s="55">
        <v>6</v>
      </c>
      <c r="Q88" s="55">
        <f ca="1">IFERROR(__xludf.DUMMYFUNCTION("IMPORTRANGE(""https://docs.google.com/spreadsheets/d/1IYY_tgx_IHuhSq3AJ5eI5OnqOPBNLWSHKh2a30DoXe8/edit?usp=sharing"",""สงขลา!J98"")"),0)</f>
        <v>0</v>
      </c>
      <c r="R88" s="99">
        <f t="shared" ca="1" si="5"/>
        <v>0</v>
      </c>
      <c r="S88" s="55">
        <v>105000</v>
      </c>
      <c r="T88" s="55">
        <v>7</v>
      </c>
      <c r="U88" s="55">
        <f ca="1">IFERROR(__xludf.DUMMYFUNCTION("IMPORTRANGE(""https://docs.google.com/spreadsheets/d/1IYY_tgx_IHuhSq3AJ5eI5OnqOPBNLWSHKh2a30DoXe8/edit?usp=sharing"",""สงขลา!J110"")"),0)</f>
        <v>0</v>
      </c>
      <c r="V88" s="99">
        <f t="shared" ca="1" si="7"/>
        <v>0</v>
      </c>
      <c r="W88" s="55">
        <v>7</v>
      </c>
      <c r="X88" s="55">
        <f ca="1">IFERROR(__xludf.DUMMYFUNCTION("IMPORTRANGE(""https://docs.google.com/spreadsheets/d/1IYY_tgx_IHuhSq3AJ5eI5OnqOPBNLWSHKh2a30DoXe8/edit?usp=sharing"",""สงขลา!J111"")"),0)</f>
        <v>0</v>
      </c>
      <c r="Y88" s="99">
        <f t="shared" ca="1" si="9"/>
        <v>0</v>
      </c>
      <c r="Z88" s="55">
        <v>8400</v>
      </c>
      <c r="AA88" s="55">
        <v>15000</v>
      </c>
      <c r="AB88" s="55">
        <f ca="1">IFERROR(__xludf.DUMMYFUNCTION("IMPORTRANGE(""https://docs.google.com/spreadsheets/d/1IYY_tgx_IHuhSq3AJ5eI5OnqOPBNLWSHKh2a30DoXe8/edit?usp=sharing"",""สงขลา!J124"")"),0)</f>
        <v>0</v>
      </c>
      <c r="AC88" s="99">
        <f t="shared" ca="1" si="11"/>
        <v>0</v>
      </c>
      <c r="AD88" s="55">
        <f ca="1">IFERROR(__xludf.DUMMYFUNCTION("IMPORTRANGE(""https://docs.google.com/spreadsheets/d/1IYY_tgx_IHuhSq3AJ5eI5OnqOPBNLWSHKh2a30DoXe8/edit?usp=sharing"",""สงขลา!J125"")"),0)</f>
        <v>0</v>
      </c>
      <c r="AE88" s="99">
        <f t="shared" ca="1" si="12"/>
        <v>0</v>
      </c>
      <c r="AF88" s="55">
        <v>0</v>
      </c>
      <c r="AG88" s="55">
        <f ca="1">IFERROR(__xludf.DUMMYFUNCTION("IMPORTRANGE(""https://docs.google.com/spreadsheets/d/1IYY_tgx_IHuhSq3AJ5eI5OnqOPBNLWSHKh2a30DoXe8/edit?usp=sharing"",""สงขลา!J126"")"),0)</f>
        <v>0</v>
      </c>
      <c r="AH88" s="99">
        <f t="shared" si="14"/>
        <v>0</v>
      </c>
      <c r="AI88" s="55">
        <v>0</v>
      </c>
      <c r="AJ88" s="55">
        <v>0</v>
      </c>
      <c r="AK88" s="55">
        <f ca="1">IFERROR(__xludf.DUMMYFUNCTION("IMPORTRANGE(""https://docs.google.com/spreadsheets/d/1IYY_tgx_IHuhSq3AJ5eI5OnqOPBNLWSHKh2a30DoXe8/edit?usp=sharing"",""สงขลา!J138"")"),0)</f>
        <v>0</v>
      </c>
      <c r="AL88" s="99">
        <f t="shared" si="16"/>
        <v>0</v>
      </c>
      <c r="AM88" s="55">
        <v>0</v>
      </c>
      <c r="AN88" s="55">
        <v>0</v>
      </c>
      <c r="AO88" s="55">
        <f ca="1">IFERROR(__xludf.DUMMYFUNCTION("IMPORTRANGE(""https://docs.google.com/spreadsheets/d/1IYY_tgx_IHuhSq3AJ5eI5OnqOPBNLWSHKh2a30DoXe8/edit?usp=sharing"",""สงขลา!J140"")"),0)</f>
        <v>0</v>
      </c>
      <c r="AP88" s="99">
        <f t="shared" si="18"/>
        <v>0</v>
      </c>
      <c r="AQ88" s="55">
        <f ca="1">IFERROR(__xludf.DUMMYFUNCTION("IMPORTRANGE(""https://docs.google.com/spreadsheets/d/1IYY_tgx_IHuhSq3AJ5eI5OnqOPBNLWSHKh2a30DoXe8/edit?usp=sharing"",""สงขลา!J141"")"),0)</f>
        <v>0</v>
      </c>
      <c r="AR88" s="99">
        <f t="shared" si="19"/>
        <v>0</v>
      </c>
      <c r="AS88" s="55">
        <f t="shared" si="20"/>
        <v>0</v>
      </c>
      <c r="AT88" s="55">
        <f t="shared" ca="1" si="109"/>
        <v>0</v>
      </c>
      <c r="AU88" s="99">
        <f t="shared" si="21"/>
        <v>0</v>
      </c>
    </row>
    <row r="89" spans="1:47" ht="24" customHeight="1" x14ac:dyDescent="0.5">
      <c r="A89" s="52">
        <v>13</v>
      </c>
      <c r="B89" s="53" t="s">
        <v>104</v>
      </c>
      <c r="C89" s="54">
        <f t="shared" si="106"/>
        <v>42700</v>
      </c>
      <c r="D89" s="55">
        <v>0</v>
      </c>
      <c r="E89" s="55">
        <f t="shared" si="107"/>
        <v>42700</v>
      </c>
      <c r="F89" s="55">
        <f ca="1">IFERROR(__xludf.DUMMYFUNCTION("IMPORTRANGE(""https://docs.google.com/spreadsheets/d/1IYY_tgx_IHuhSq3AJ5eI5OnqOPBNLWSHKh2a30DoXe8/edit?usp=sharing"",""สตูล!M71"")"),0)</f>
        <v>0</v>
      </c>
      <c r="G89" s="99">
        <f t="shared" ca="1" si="1"/>
        <v>0</v>
      </c>
      <c r="H89" s="55">
        <v>7500</v>
      </c>
      <c r="I89" s="55">
        <v>4</v>
      </c>
      <c r="J89" s="55">
        <f ca="1">IFERROR(__xludf.DUMMYFUNCTION("IMPORTRANGE(""https://docs.google.com/spreadsheets/d/1IYY_tgx_IHuhSq3AJ5eI5OnqOPBNLWSHKh2a30DoXe8/edit?usp=sharing"",""สตูล!J83"")"),0)</f>
        <v>0</v>
      </c>
      <c r="K89" s="99">
        <f t="shared" ca="1" si="3"/>
        <v>0</v>
      </c>
      <c r="L89" s="55">
        <f t="shared" ca="1" si="108"/>
        <v>0</v>
      </c>
      <c r="M89" s="55">
        <f ca="1">IFERROR(__xludf.DUMMYFUNCTION("IMPORTRANGE(""https://docs.google.com/spreadsheets/d/1IYY_tgx_IHuhSq3AJ5eI5OnqOPBNLWSHKh2a30DoXe8/edit?usp=sharing"",""กระบี่!J85"")"),0)</f>
        <v>0</v>
      </c>
      <c r="N89" s="55">
        <f ca="1">IFERROR(__xludf.DUMMYFUNCTION("IMPORTRANGE(""https://docs.google.com/spreadsheets/d/1IYY_tgx_IHuhSq3AJ5eI5OnqOPBNLWSHKh2a30DoXe8/edit?usp=sharing"",""กระบี่!J86"")"),0)</f>
        <v>0</v>
      </c>
      <c r="O89" s="55">
        <v>28000</v>
      </c>
      <c r="P89" s="55">
        <v>2</v>
      </c>
      <c r="Q89" s="55">
        <f ca="1">IFERROR(__xludf.DUMMYFUNCTION("IMPORTRANGE(""https://docs.google.com/spreadsheets/d/1IYY_tgx_IHuhSq3AJ5eI5OnqOPBNLWSHKh2a30DoXe8/edit?usp=sharing"",""สตูล!J98"")"),0)</f>
        <v>0</v>
      </c>
      <c r="R89" s="99">
        <f t="shared" ca="1" si="5"/>
        <v>0</v>
      </c>
      <c r="S89" s="55"/>
      <c r="T89" s="55">
        <v>0</v>
      </c>
      <c r="U89" s="55">
        <f ca="1">IFERROR(__xludf.DUMMYFUNCTION("IMPORTRANGE(""https://docs.google.com/spreadsheets/d/1IYY_tgx_IHuhSq3AJ5eI5OnqOPBNLWSHKh2a30DoXe8/edit?usp=sharing"",""สตูล!J110"")"),0)</f>
        <v>0</v>
      </c>
      <c r="V89" s="99">
        <f t="shared" si="7"/>
        <v>0</v>
      </c>
      <c r="W89" s="55">
        <v>0</v>
      </c>
      <c r="X89" s="55">
        <f ca="1">IFERROR(__xludf.DUMMYFUNCTION("IMPORTRANGE(""https://docs.google.com/spreadsheets/d/1IYY_tgx_IHuhSq3AJ5eI5OnqOPBNLWSHKh2a30DoXe8/edit?usp=sharing"",""สตูล!J111"")"),0)</f>
        <v>0</v>
      </c>
      <c r="Y89" s="99">
        <f t="shared" si="9"/>
        <v>0</v>
      </c>
      <c r="Z89" s="55">
        <v>7200</v>
      </c>
      <c r="AA89" s="55">
        <v>6400</v>
      </c>
      <c r="AB89" s="55">
        <f ca="1">IFERROR(__xludf.DUMMYFUNCTION("IMPORTRANGE(""https://docs.google.com/spreadsheets/d/1IYY_tgx_IHuhSq3AJ5eI5OnqOPBNLWSHKh2a30DoXe8/edit?usp=sharing"",""สตูล!J124"")"),0)</f>
        <v>0</v>
      </c>
      <c r="AC89" s="99">
        <f t="shared" ca="1" si="11"/>
        <v>0</v>
      </c>
      <c r="AD89" s="55">
        <f ca="1">IFERROR(__xludf.DUMMYFUNCTION("IMPORTRANGE(""https://docs.google.com/spreadsheets/d/1IYY_tgx_IHuhSq3AJ5eI5OnqOPBNLWSHKh2a30DoXe8/edit?usp=sharing"",""สตูล!J125"")"),0)</f>
        <v>0</v>
      </c>
      <c r="AE89" s="99">
        <f t="shared" ca="1" si="12"/>
        <v>0</v>
      </c>
      <c r="AF89" s="55">
        <v>0</v>
      </c>
      <c r="AG89" s="55">
        <f ca="1">IFERROR(__xludf.DUMMYFUNCTION("IMPORTRANGE(""https://docs.google.com/spreadsheets/d/1IYY_tgx_IHuhSq3AJ5eI5OnqOPBNLWSHKh2a30DoXe8/edit?usp=sharing"",""สตูล!J126"")"),0)</f>
        <v>0</v>
      </c>
      <c r="AH89" s="99">
        <f t="shared" si="14"/>
        <v>0</v>
      </c>
      <c r="AI89" s="55">
        <v>0</v>
      </c>
      <c r="AJ89" s="55">
        <v>0</v>
      </c>
      <c r="AK89" s="55">
        <f ca="1">IFERROR(__xludf.DUMMYFUNCTION("IMPORTRANGE(""https://docs.google.com/spreadsheets/d/1IYY_tgx_IHuhSq3AJ5eI5OnqOPBNLWSHKh2a30DoXe8/edit?usp=sharing"",""สตูล!J138"")"),0)</f>
        <v>0</v>
      </c>
      <c r="AL89" s="99">
        <f t="shared" si="16"/>
        <v>0</v>
      </c>
      <c r="AM89" s="55">
        <v>0</v>
      </c>
      <c r="AN89" s="55">
        <v>0</v>
      </c>
      <c r="AO89" s="55">
        <f ca="1">IFERROR(__xludf.DUMMYFUNCTION("IMPORTRANGE(""https://docs.google.com/spreadsheets/d/1IYY_tgx_IHuhSq3AJ5eI5OnqOPBNLWSHKh2a30DoXe8/edit?usp=sharing"",""สตูล!J140"")"),0)</f>
        <v>0</v>
      </c>
      <c r="AP89" s="99">
        <f t="shared" si="18"/>
        <v>0</v>
      </c>
      <c r="AQ89" s="55">
        <f ca="1">IFERROR(__xludf.DUMMYFUNCTION("IMPORTRANGE(""https://docs.google.com/spreadsheets/d/1IYY_tgx_IHuhSq3AJ5eI5OnqOPBNLWSHKh2a30DoXe8/edit?usp=sharing"",""สตูล!J141"")"),0)</f>
        <v>0</v>
      </c>
      <c r="AR89" s="99">
        <f t="shared" si="19"/>
        <v>0</v>
      </c>
      <c r="AS89" s="55">
        <f t="shared" si="20"/>
        <v>0</v>
      </c>
      <c r="AT89" s="55">
        <f t="shared" ca="1" si="109"/>
        <v>0</v>
      </c>
      <c r="AU89" s="99">
        <f t="shared" si="21"/>
        <v>0</v>
      </c>
    </row>
    <row r="90" spans="1:47" ht="24" customHeight="1" x14ac:dyDescent="0.5">
      <c r="A90" s="483">
        <v>14</v>
      </c>
      <c r="B90" s="484" t="s">
        <v>105</v>
      </c>
      <c r="C90" s="485">
        <f t="shared" si="106"/>
        <v>57000</v>
      </c>
      <c r="D90" s="486">
        <v>0</v>
      </c>
      <c r="E90" s="486">
        <f t="shared" si="107"/>
        <v>57000</v>
      </c>
      <c r="F90" s="486">
        <f ca="1">IFERROR(__xludf.DUMMYFUNCTION("IMPORTRANGE(""https://docs.google.com/spreadsheets/d/1IYY_tgx_IHuhSq3AJ5eI5OnqOPBNLWSHKh2a30DoXe8/edit?usp=sharing"",""สุราษฎร์ธานี!M71"")"),0)</f>
        <v>0</v>
      </c>
      <c r="G90" s="487">
        <f t="shared" ca="1" si="1"/>
        <v>0</v>
      </c>
      <c r="H90" s="486">
        <v>7500</v>
      </c>
      <c r="I90" s="486">
        <v>4</v>
      </c>
      <c r="J90" s="486">
        <f ca="1">IFERROR(__xludf.DUMMYFUNCTION("IMPORTRANGE(""https://docs.google.com/spreadsheets/d/1IYY_tgx_IHuhSq3AJ5eI5OnqOPBNLWSHKh2a30DoXe8/edit?usp=sharing"",""สุราษฎร์ธานี!J83"")"),0)</f>
        <v>0</v>
      </c>
      <c r="K90" s="487">
        <f t="shared" ca="1" si="3"/>
        <v>0</v>
      </c>
      <c r="L90" s="486">
        <f t="shared" ca="1" si="108"/>
        <v>0</v>
      </c>
      <c r="M90" s="486">
        <f ca="1">IFERROR(__xludf.DUMMYFUNCTION("IMPORTRANGE(""https://docs.google.com/spreadsheets/d/1IYY_tgx_IHuhSq3AJ5eI5OnqOPBNLWSHKh2a30DoXe8/edit?usp=sharing"",""กระบี่!J85"")"),0)</f>
        <v>0</v>
      </c>
      <c r="N90" s="486">
        <f ca="1">IFERROR(__xludf.DUMMYFUNCTION("IMPORTRANGE(""https://docs.google.com/spreadsheets/d/1IYY_tgx_IHuhSq3AJ5eI5OnqOPBNLWSHKh2a30DoXe8/edit?usp=sharing"",""กระบี่!J86"")"),0)</f>
        <v>0</v>
      </c>
      <c r="O90" s="486">
        <v>42000</v>
      </c>
      <c r="P90" s="486">
        <v>3</v>
      </c>
      <c r="Q90" s="486">
        <f ca="1">IFERROR(__xludf.DUMMYFUNCTION("IMPORTRANGE(""https://docs.google.com/spreadsheets/d/1IYY_tgx_IHuhSq3AJ5eI5OnqOPBNLWSHKh2a30DoXe8/edit?usp=sharing"",""สุราษฎร์ธานี!J98"")"),0)</f>
        <v>0</v>
      </c>
      <c r="R90" s="487">
        <f t="shared" ca="1" si="5"/>
        <v>0</v>
      </c>
      <c r="S90" s="486"/>
      <c r="T90" s="486">
        <v>0</v>
      </c>
      <c r="U90" s="486">
        <f ca="1">IFERROR(__xludf.DUMMYFUNCTION("IMPORTRANGE(""https://docs.google.com/spreadsheets/d/1IYY_tgx_IHuhSq3AJ5eI5OnqOPBNLWSHKh2a30DoXe8/edit?usp=sharing"",""สุราษฎร์ธานี!J110"")"),0)</f>
        <v>0</v>
      </c>
      <c r="V90" s="487">
        <f t="shared" si="7"/>
        <v>0</v>
      </c>
      <c r="W90" s="486">
        <v>0</v>
      </c>
      <c r="X90" s="486">
        <f ca="1">IFERROR(__xludf.DUMMYFUNCTION("IMPORTRANGE(""https://docs.google.com/spreadsheets/d/1IYY_tgx_IHuhSq3AJ5eI5OnqOPBNLWSHKh2a30DoXe8/edit?usp=sharing"",""สุราษฎร์ธานี!J111"")"),0)</f>
        <v>0</v>
      </c>
      <c r="Y90" s="487">
        <f t="shared" si="9"/>
        <v>0</v>
      </c>
      <c r="Z90" s="486">
        <v>7500</v>
      </c>
      <c r="AA90" s="486">
        <v>10000</v>
      </c>
      <c r="AB90" s="486">
        <f ca="1">IFERROR(__xludf.DUMMYFUNCTION("IMPORTRANGE(""https://docs.google.com/spreadsheets/d/1IYY_tgx_IHuhSq3AJ5eI5OnqOPBNLWSHKh2a30DoXe8/edit?usp=sharing"",""สุราษฎร์ธานี!J124"")"),0)</f>
        <v>0</v>
      </c>
      <c r="AC90" s="487">
        <f t="shared" ca="1" si="11"/>
        <v>0</v>
      </c>
      <c r="AD90" s="486">
        <f ca="1">IFERROR(__xludf.DUMMYFUNCTION("IMPORTRANGE(""https://docs.google.com/spreadsheets/d/1IYY_tgx_IHuhSq3AJ5eI5OnqOPBNLWSHKh2a30DoXe8/edit?usp=sharing"",""สุราษฎร์ธานี!J125"")"),0)</f>
        <v>0</v>
      </c>
      <c r="AE90" s="487">
        <f t="shared" ca="1" si="12"/>
        <v>0</v>
      </c>
      <c r="AF90" s="486">
        <v>0</v>
      </c>
      <c r="AG90" s="486">
        <f ca="1">IFERROR(__xludf.DUMMYFUNCTION("IMPORTRANGE(""https://docs.google.com/spreadsheets/d/1IYY_tgx_IHuhSq3AJ5eI5OnqOPBNLWSHKh2a30DoXe8/edit?usp=sharing"",""สุราษฎร์ธานี!J126"")"),0)</f>
        <v>0</v>
      </c>
      <c r="AH90" s="487">
        <f t="shared" si="14"/>
        <v>0</v>
      </c>
      <c r="AI90" s="486">
        <v>0</v>
      </c>
      <c r="AJ90" s="486">
        <v>0</v>
      </c>
      <c r="AK90" s="486">
        <f ca="1">IFERROR(__xludf.DUMMYFUNCTION("IMPORTRANGE(""https://docs.google.com/spreadsheets/d/1IYY_tgx_IHuhSq3AJ5eI5OnqOPBNLWSHKh2a30DoXe8/edit?usp=sharing"",""สุราษฎร์ธานี!J138"")"),0)</f>
        <v>0</v>
      </c>
      <c r="AL90" s="487">
        <f t="shared" si="16"/>
        <v>0</v>
      </c>
      <c r="AM90" s="486">
        <v>0</v>
      </c>
      <c r="AN90" s="486">
        <v>0</v>
      </c>
      <c r="AO90" s="486">
        <f ca="1">IFERROR(__xludf.DUMMYFUNCTION("IMPORTRANGE(""https://docs.google.com/spreadsheets/d/1IYY_tgx_IHuhSq3AJ5eI5OnqOPBNLWSHKh2a30DoXe8/edit?usp=sharing"",""สุราษฎร์ธานี!J140"")"),0)</f>
        <v>0</v>
      </c>
      <c r="AP90" s="487">
        <f t="shared" si="18"/>
        <v>0</v>
      </c>
      <c r="AQ90" s="486">
        <f ca="1">IFERROR(__xludf.DUMMYFUNCTION("IMPORTRANGE(""https://docs.google.com/spreadsheets/d/1IYY_tgx_IHuhSq3AJ5eI5OnqOPBNLWSHKh2a30DoXe8/edit?usp=sharing"",""สุราษฎร์ธานี!J141"")"),0)</f>
        <v>0</v>
      </c>
      <c r="AR90" s="487">
        <f t="shared" si="19"/>
        <v>0</v>
      </c>
      <c r="AS90" s="486">
        <f t="shared" si="20"/>
        <v>0</v>
      </c>
      <c r="AT90" s="486">
        <f t="shared" ca="1" si="109"/>
        <v>0</v>
      </c>
      <c r="AU90" s="487">
        <f t="shared" si="21"/>
        <v>0</v>
      </c>
    </row>
    <row r="91" spans="1:47" ht="24" customHeight="1" x14ac:dyDescent="0.5">
      <c r="A91" s="668" t="s">
        <v>106</v>
      </c>
      <c r="B91" s="669"/>
      <c r="C91" s="488">
        <f t="shared" ref="C91:F91" si="110">+C92+C93+C94+C95+C96+C97+C98+C99+C100+C101+C102+C103+C104+C105</f>
        <v>2470850</v>
      </c>
      <c r="D91" s="488">
        <f t="shared" si="110"/>
        <v>711600</v>
      </c>
      <c r="E91" s="488">
        <f t="shared" si="110"/>
        <v>1759250</v>
      </c>
      <c r="F91" s="488">
        <f t="shared" ca="1" si="110"/>
        <v>194500</v>
      </c>
      <c r="G91" s="489">
        <f t="shared" ca="1" si="1"/>
        <v>7.8717850132545477</v>
      </c>
      <c r="H91" s="488">
        <f t="shared" ref="H91:J91" si="111">+H92+H93+H94+H95+H96+H97+H98+H99+H100+H101+H102+H103+H104+H105</f>
        <v>49250</v>
      </c>
      <c r="I91" s="488">
        <f t="shared" si="111"/>
        <v>0</v>
      </c>
      <c r="J91" s="488">
        <f t="shared" si="111"/>
        <v>0</v>
      </c>
      <c r="K91" s="489">
        <f t="shared" si="3"/>
        <v>0</v>
      </c>
      <c r="L91" s="488"/>
      <c r="M91" s="488"/>
      <c r="N91" s="488"/>
      <c r="O91" s="488">
        <f t="shared" ref="O91:Q91" si="112">+O92+O93+O94+O95+O96+O97+O98+O99+O100+O101+O102+O103+O104+O105</f>
        <v>382000</v>
      </c>
      <c r="P91" s="488">
        <f t="shared" si="112"/>
        <v>0</v>
      </c>
      <c r="Q91" s="488">
        <f t="shared" si="112"/>
        <v>0</v>
      </c>
      <c r="R91" s="489">
        <f t="shared" si="5"/>
        <v>0</v>
      </c>
      <c r="S91" s="488">
        <f t="shared" ref="S91:U91" si="113">+S92+S93+S94+S95+S96+S97+S98+S99+S100+S101+S102+S103+S104+S105</f>
        <v>182000</v>
      </c>
      <c r="T91" s="488">
        <f t="shared" si="113"/>
        <v>0</v>
      </c>
      <c r="U91" s="488">
        <f t="shared" si="113"/>
        <v>0</v>
      </c>
      <c r="V91" s="489">
        <f t="shared" si="7"/>
        <v>0</v>
      </c>
      <c r="W91" s="488">
        <f t="shared" ref="W91:X91" si="114">+W92+W93+W94+W95+W96+W97+W98+W99+W100+W101+W102+W103+W104+W105</f>
        <v>0</v>
      </c>
      <c r="X91" s="488">
        <f t="shared" si="114"/>
        <v>0</v>
      </c>
      <c r="Y91" s="489">
        <f t="shared" si="9"/>
        <v>0</v>
      </c>
      <c r="Z91" s="488">
        <f t="shared" ref="Z91:AB91" si="115">+Z92+Z93+Z94+Z95+Z96+Z97+Z98+Z99+Z100+Z101+Z102+Z103+Z104+Z105</f>
        <v>194000</v>
      </c>
      <c r="AA91" s="488">
        <f t="shared" si="115"/>
        <v>0</v>
      </c>
      <c r="AB91" s="488">
        <f t="shared" si="115"/>
        <v>0</v>
      </c>
      <c r="AC91" s="489">
        <f t="shared" si="11"/>
        <v>0</v>
      </c>
      <c r="AD91" s="488">
        <f>+AD92+AD93+AD94+AD95+AD96+AD97+AD98+AD99+AD100+AD101+AD102+AD103+AD104+AD105</f>
        <v>0</v>
      </c>
      <c r="AE91" s="489">
        <f t="shared" si="12"/>
        <v>0</v>
      </c>
      <c r="AF91" s="488">
        <f t="shared" ref="AF91:AG91" si="116">+AF92+AF93+AF94+AF95+AF96+AF97+AF98+AF99+AF100+AF101+AF102+AF103+AF104+AF105</f>
        <v>0</v>
      </c>
      <c r="AG91" s="488">
        <f t="shared" si="116"/>
        <v>0</v>
      </c>
      <c r="AH91" s="489">
        <f t="shared" si="14"/>
        <v>0</v>
      </c>
      <c r="AI91" s="488">
        <f t="shared" ref="AI91:AK91" si="117">+AI92+AI93+AI94+AI95+AI96+AI97+AI98+AI99+AI100+AI101+AI102+AI103+AI104+AI105</f>
        <v>952000</v>
      </c>
      <c r="AJ91" s="488">
        <f t="shared" si="117"/>
        <v>0</v>
      </c>
      <c r="AK91" s="488">
        <f t="shared" si="117"/>
        <v>0</v>
      </c>
      <c r="AL91" s="489">
        <f t="shared" si="16"/>
        <v>0</v>
      </c>
      <c r="AM91" s="488">
        <f t="shared" ref="AM91:AO91" si="118">+AM92+AM93+AM94+AM95+AM96+AM97+AM98+AM99+AM100+AM101+AM102+AM103+AM104+AM105</f>
        <v>0</v>
      </c>
      <c r="AN91" s="488">
        <f t="shared" si="118"/>
        <v>0</v>
      </c>
      <c r="AO91" s="488">
        <f t="shared" si="118"/>
        <v>0</v>
      </c>
      <c r="AP91" s="489">
        <f t="shared" si="18"/>
        <v>0</v>
      </c>
      <c r="AQ91" s="488">
        <f>+AQ92+AQ93+AQ94+AQ95+AQ96+AQ97+AQ98+AQ99+AQ100+AQ101+AQ102+AQ103+AQ104+AQ105</f>
        <v>0</v>
      </c>
      <c r="AR91" s="489">
        <f t="shared" si="19"/>
        <v>0</v>
      </c>
      <c r="AS91" s="488">
        <f t="shared" ref="AS91:AT91" si="119">+AS92+AS93+AS94+AS95+AS96+AS97+AS98+AS99+AS100+AS101+AS102+AS103+AS104+AS105</f>
        <v>0</v>
      </c>
      <c r="AT91" s="488">
        <f t="shared" si="119"/>
        <v>0</v>
      </c>
      <c r="AU91" s="489">
        <f t="shared" si="21"/>
        <v>0</v>
      </c>
    </row>
    <row r="92" spans="1:47" ht="24" customHeight="1" x14ac:dyDescent="0.5">
      <c r="A92" s="68">
        <v>1</v>
      </c>
      <c r="B92" s="69" t="s">
        <v>107</v>
      </c>
      <c r="C92" s="47">
        <f t="shared" ref="C92:C105" si="120">+D92+E92</f>
        <v>0</v>
      </c>
      <c r="D92" s="48">
        <v>0</v>
      </c>
      <c r="E92" s="48">
        <f t="shared" ref="E92:E105" si="121">H92+O92+S92+Z92+AI92</f>
        <v>0</v>
      </c>
      <c r="F92" s="48">
        <f ca="1">IFERROR(__xludf.DUMMYFUNCTION("IMPORTRANGE(""https://docs.google.com/spreadsheets/d/1Yj_ptqi66GCucihVvJfMjLAmec39IyEx_6qawtMGysU/edit?usp=sharing"",""สบก!BK96"")"),0)</f>
        <v>0</v>
      </c>
      <c r="G92" s="98">
        <f t="shared" si="1"/>
        <v>0</v>
      </c>
      <c r="H92" s="48">
        <v>0</v>
      </c>
      <c r="I92" s="48">
        <v>0</v>
      </c>
      <c r="J92" s="48">
        <v>0</v>
      </c>
      <c r="K92" s="98">
        <f t="shared" si="3"/>
        <v>0</v>
      </c>
      <c r="L92" s="48"/>
      <c r="M92" s="48"/>
      <c r="N92" s="48"/>
      <c r="O92" s="48">
        <v>0</v>
      </c>
      <c r="P92" s="48">
        <v>0</v>
      </c>
      <c r="Q92" s="48">
        <v>0</v>
      </c>
      <c r="R92" s="98">
        <f t="shared" si="5"/>
        <v>0</v>
      </c>
      <c r="S92" s="48">
        <v>0</v>
      </c>
      <c r="T92" s="48">
        <v>0</v>
      </c>
      <c r="U92" s="48">
        <v>0</v>
      </c>
      <c r="V92" s="98">
        <f t="shared" si="7"/>
        <v>0</v>
      </c>
      <c r="W92" s="48">
        <v>0</v>
      </c>
      <c r="X92" s="48">
        <v>0</v>
      </c>
      <c r="Y92" s="98">
        <f t="shared" si="9"/>
        <v>0</v>
      </c>
      <c r="Z92" s="48">
        <v>0</v>
      </c>
      <c r="AA92" s="48">
        <v>0</v>
      </c>
      <c r="AB92" s="48">
        <v>0</v>
      </c>
      <c r="AC92" s="98">
        <f t="shared" si="11"/>
        <v>0</v>
      </c>
      <c r="AD92" s="48">
        <v>0</v>
      </c>
      <c r="AE92" s="98">
        <f t="shared" si="12"/>
        <v>0</v>
      </c>
      <c r="AF92" s="48">
        <v>0</v>
      </c>
      <c r="AG92" s="48">
        <v>0</v>
      </c>
      <c r="AH92" s="98">
        <f t="shared" si="14"/>
        <v>0</v>
      </c>
      <c r="AI92" s="48">
        <v>0</v>
      </c>
      <c r="AJ92" s="48">
        <v>0</v>
      </c>
      <c r="AK92" s="48">
        <v>0</v>
      </c>
      <c r="AL92" s="98">
        <f t="shared" si="16"/>
        <v>0</v>
      </c>
      <c r="AM92" s="48">
        <v>0</v>
      </c>
      <c r="AN92" s="48">
        <v>0</v>
      </c>
      <c r="AO92" s="48">
        <v>0</v>
      </c>
      <c r="AP92" s="98">
        <f t="shared" si="18"/>
        <v>0</v>
      </c>
      <c r="AQ92" s="48">
        <v>0</v>
      </c>
      <c r="AR92" s="98">
        <f t="shared" si="19"/>
        <v>0</v>
      </c>
      <c r="AS92" s="48">
        <v>0</v>
      </c>
      <c r="AT92" s="48">
        <v>0</v>
      </c>
      <c r="AU92" s="98">
        <f t="shared" si="21"/>
        <v>0</v>
      </c>
    </row>
    <row r="93" spans="1:47" ht="24" customHeight="1" x14ac:dyDescent="0.5">
      <c r="A93" s="70">
        <v>2</v>
      </c>
      <c r="B93" s="71" t="s">
        <v>108</v>
      </c>
      <c r="C93" s="54">
        <f t="shared" si="120"/>
        <v>0</v>
      </c>
      <c r="D93" s="55">
        <v>0</v>
      </c>
      <c r="E93" s="55">
        <f t="shared" si="121"/>
        <v>0</v>
      </c>
      <c r="F93" s="55">
        <f ca="1">IFERROR(__xludf.DUMMYFUNCTION("IMPORTRANGE(""https://docs.google.com/spreadsheets/d/1Yj_ptqi66GCucihVvJfMjLAmec39IyEx_6qawtMGysU/edit?usp=sharing"",""สบก!BK97"")"),0)</f>
        <v>0</v>
      </c>
      <c r="G93" s="99">
        <f t="shared" si="1"/>
        <v>0</v>
      </c>
      <c r="H93" s="55">
        <v>0</v>
      </c>
      <c r="I93" s="55">
        <v>0</v>
      </c>
      <c r="J93" s="55">
        <v>0</v>
      </c>
      <c r="K93" s="99">
        <f t="shared" si="3"/>
        <v>0</v>
      </c>
      <c r="L93" s="55"/>
      <c r="M93" s="55"/>
      <c r="N93" s="55"/>
      <c r="O93" s="55">
        <v>0</v>
      </c>
      <c r="P93" s="55">
        <v>0</v>
      </c>
      <c r="Q93" s="55">
        <v>0</v>
      </c>
      <c r="R93" s="99">
        <f t="shared" si="5"/>
        <v>0</v>
      </c>
      <c r="S93" s="55">
        <v>0</v>
      </c>
      <c r="T93" s="55">
        <v>0</v>
      </c>
      <c r="U93" s="55">
        <v>0</v>
      </c>
      <c r="V93" s="99">
        <f t="shared" si="7"/>
        <v>0</v>
      </c>
      <c r="W93" s="55">
        <v>0</v>
      </c>
      <c r="X93" s="55">
        <v>0</v>
      </c>
      <c r="Y93" s="99">
        <f t="shared" si="9"/>
        <v>0</v>
      </c>
      <c r="Z93" s="55">
        <v>0</v>
      </c>
      <c r="AA93" s="55">
        <v>0</v>
      </c>
      <c r="AB93" s="55">
        <v>0</v>
      </c>
      <c r="AC93" s="99">
        <f t="shared" si="11"/>
        <v>0</v>
      </c>
      <c r="AD93" s="55">
        <v>0</v>
      </c>
      <c r="AE93" s="99">
        <f t="shared" si="12"/>
        <v>0</v>
      </c>
      <c r="AF93" s="55">
        <v>0</v>
      </c>
      <c r="AG93" s="55">
        <v>0</v>
      </c>
      <c r="AH93" s="99">
        <f t="shared" si="14"/>
        <v>0</v>
      </c>
      <c r="AI93" s="55">
        <v>0</v>
      </c>
      <c r="AJ93" s="55">
        <v>0</v>
      </c>
      <c r="AK93" s="55">
        <v>0</v>
      </c>
      <c r="AL93" s="99">
        <f t="shared" si="16"/>
        <v>0</v>
      </c>
      <c r="AM93" s="55">
        <v>0</v>
      </c>
      <c r="AN93" s="55">
        <v>0</v>
      </c>
      <c r="AO93" s="55">
        <v>0</v>
      </c>
      <c r="AP93" s="99">
        <f t="shared" si="18"/>
        <v>0</v>
      </c>
      <c r="AQ93" s="55">
        <v>0</v>
      </c>
      <c r="AR93" s="99">
        <f t="shared" si="19"/>
        <v>0</v>
      </c>
      <c r="AS93" s="55">
        <v>0</v>
      </c>
      <c r="AT93" s="55">
        <v>0</v>
      </c>
      <c r="AU93" s="99">
        <f t="shared" si="21"/>
        <v>0</v>
      </c>
    </row>
    <row r="94" spans="1:47" ht="24" customHeight="1" x14ac:dyDescent="0.5">
      <c r="A94" s="70">
        <v>3</v>
      </c>
      <c r="B94" s="71" t="s">
        <v>109</v>
      </c>
      <c r="C94" s="54">
        <f t="shared" si="120"/>
        <v>0</v>
      </c>
      <c r="D94" s="55">
        <v>0</v>
      </c>
      <c r="E94" s="55">
        <f t="shared" si="121"/>
        <v>0</v>
      </c>
      <c r="F94" s="55">
        <f ca="1">IFERROR(__xludf.DUMMYFUNCTION("IMPORTRANGE(""https://docs.google.com/spreadsheets/d/1Yj_ptqi66GCucihVvJfMjLAmec39IyEx_6qawtMGysU/edit?usp=sharing"",""สบก!BK98"")"),0)</f>
        <v>0</v>
      </c>
      <c r="G94" s="99">
        <f t="shared" si="1"/>
        <v>0</v>
      </c>
      <c r="H94" s="55">
        <v>0</v>
      </c>
      <c r="I94" s="55">
        <v>0</v>
      </c>
      <c r="J94" s="55">
        <v>0</v>
      </c>
      <c r="K94" s="99">
        <f t="shared" si="3"/>
        <v>0</v>
      </c>
      <c r="L94" s="55"/>
      <c r="M94" s="55"/>
      <c r="N94" s="55"/>
      <c r="O94" s="55">
        <v>0</v>
      </c>
      <c r="P94" s="55">
        <v>0</v>
      </c>
      <c r="Q94" s="55">
        <v>0</v>
      </c>
      <c r="R94" s="99">
        <f t="shared" si="5"/>
        <v>0</v>
      </c>
      <c r="S94" s="55">
        <v>0</v>
      </c>
      <c r="T94" s="55">
        <v>0</v>
      </c>
      <c r="U94" s="55">
        <v>0</v>
      </c>
      <c r="V94" s="99">
        <f t="shared" si="7"/>
        <v>0</v>
      </c>
      <c r="W94" s="55">
        <v>0</v>
      </c>
      <c r="X94" s="55">
        <v>0</v>
      </c>
      <c r="Y94" s="99">
        <f t="shared" si="9"/>
        <v>0</v>
      </c>
      <c r="Z94" s="55">
        <v>0</v>
      </c>
      <c r="AA94" s="55">
        <v>0</v>
      </c>
      <c r="AB94" s="55">
        <v>0</v>
      </c>
      <c r="AC94" s="99">
        <f t="shared" si="11"/>
        <v>0</v>
      </c>
      <c r="AD94" s="55">
        <v>0</v>
      </c>
      <c r="AE94" s="99">
        <f t="shared" si="12"/>
        <v>0</v>
      </c>
      <c r="AF94" s="55">
        <v>0</v>
      </c>
      <c r="AG94" s="55">
        <v>0</v>
      </c>
      <c r="AH94" s="99">
        <f t="shared" si="14"/>
        <v>0</v>
      </c>
      <c r="AI94" s="55">
        <v>0</v>
      </c>
      <c r="AJ94" s="55">
        <v>0</v>
      </c>
      <c r="AK94" s="55">
        <v>0</v>
      </c>
      <c r="AL94" s="99">
        <f t="shared" si="16"/>
        <v>0</v>
      </c>
      <c r="AM94" s="55">
        <v>0</v>
      </c>
      <c r="AN94" s="55">
        <v>0</v>
      </c>
      <c r="AO94" s="55">
        <v>0</v>
      </c>
      <c r="AP94" s="99">
        <f t="shared" si="18"/>
        <v>0</v>
      </c>
      <c r="AQ94" s="55">
        <v>0</v>
      </c>
      <c r="AR94" s="99">
        <f t="shared" si="19"/>
        <v>0</v>
      </c>
      <c r="AS94" s="55">
        <v>0</v>
      </c>
      <c r="AT94" s="55">
        <v>0</v>
      </c>
      <c r="AU94" s="99">
        <f t="shared" si="21"/>
        <v>0</v>
      </c>
    </row>
    <row r="95" spans="1:47" ht="24" customHeight="1" x14ac:dyDescent="0.5">
      <c r="A95" s="70">
        <f t="shared" ref="A95:A105" si="122">+A94+1</f>
        <v>4</v>
      </c>
      <c r="B95" s="71" t="s">
        <v>110</v>
      </c>
      <c r="C95" s="54">
        <f t="shared" si="120"/>
        <v>80000</v>
      </c>
      <c r="D95" s="55">
        <v>80000</v>
      </c>
      <c r="E95" s="55">
        <f t="shared" si="121"/>
        <v>0</v>
      </c>
      <c r="F95" s="55">
        <f ca="1">IFERROR(__xludf.DUMMYFUNCTION("IMPORTRANGE(""https://docs.google.com/spreadsheets/d/1Yj_ptqi66GCucihVvJfMjLAmec39IyEx_6qawtMGysU/edit?usp=sharing"",""สบก!BK99"")"),0)</f>
        <v>0</v>
      </c>
      <c r="G95" s="99">
        <f t="shared" ca="1" si="1"/>
        <v>0</v>
      </c>
      <c r="H95" s="55">
        <v>0</v>
      </c>
      <c r="I95" s="55">
        <v>0</v>
      </c>
      <c r="J95" s="55">
        <v>0</v>
      </c>
      <c r="K95" s="99">
        <f t="shared" si="3"/>
        <v>0</v>
      </c>
      <c r="L95" s="55"/>
      <c r="M95" s="55"/>
      <c r="N95" s="55"/>
      <c r="O95" s="55">
        <v>0</v>
      </c>
      <c r="P95" s="55">
        <v>0</v>
      </c>
      <c r="Q95" s="55">
        <v>0</v>
      </c>
      <c r="R95" s="99">
        <f t="shared" si="5"/>
        <v>0</v>
      </c>
      <c r="S95" s="55">
        <v>0</v>
      </c>
      <c r="T95" s="55">
        <v>0</v>
      </c>
      <c r="U95" s="55">
        <v>0</v>
      </c>
      <c r="V95" s="99">
        <f t="shared" si="7"/>
        <v>0</v>
      </c>
      <c r="W95" s="55">
        <v>0</v>
      </c>
      <c r="X95" s="55">
        <v>0</v>
      </c>
      <c r="Y95" s="99">
        <f t="shared" si="9"/>
        <v>0</v>
      </c>
      <c r="Z95" s="55">
        <v>0</v>
      </c>
      <c r="AA95" s="55">
        <v>0</v>
      </c>
      <c r="AB95" s="55">
        <v>0</v>
      </c>
      <c r="AC95" s="99">
        <f t="shared" si="11"/>
        <v>0</v>
      </c>
      <c r="AD95" s="55">
        <v>0</v>
      </c>
      <c r="AE95" s="99">
        <f t="shared" si="12"/>
        <v>0</v>
      </c>
      <c r="AF95" s="55">
        <v>0</v>
      </c>
      <c r="AG95" s="55">
        <v>0</v>
      </c>
      <c r="AH95" s="99">
        <f t="shared" si="14"/>
        <v>0</v>
      </c>
      <c r="AI95" s="55">
        <v>0</v>
      </c>
      <c r="AJ95" s="55">
        <v>0</v>
      </c>
      <c r="AK95" s="55">
        <v>0</v>
      </c>
      <c r="AL95" s="99">
        <f t="shared" si="16"/>
        <v>0</v>
      </c>
      <c r="AM95" s="55">
        <v>0</v>
      </c>
      <c r="AN95" s="55">
        <v>0</v>
      </c>
      <c r="AO95" s="55">
        <v>0</v>
      </c>
      <c r="AP95" s="99">
        <f t="shared" si="18"/>
        <v>0</v>
      </c>
      <c r="AQ95" s="55">
        <v>0</v>
      </c>
      <c r="AR95" s="99">
        <f t="shared" si="19"/>
        <v>0</v>
      </c>
      <c r="AS95" s="55">
        <v>0</v>
      </c>
      <c r="AT95" s="55">
        <v>0</v>
      </c>
      <c r="AU95" s="99">
        <f t="shared" si="21"/>
        <v>0</v>
      </c>
    </row>
    <row r="96" spans="1:47" ht="24" customHeight="1" x14ac:dyDescent="0.5">
      <c r="A96" s="70">
        <f t="shared" si="122"/>
        <v>5</v>
      </c>
      <c r="B96" s="71" t="s">
        <v>111</v>
      </c>
      <c r="C96" s="54">
        <f t="shared" si="120"/>
        <v>0</v>
      </c>
      <c r="D96" s="55">
        <v>0</v>
      </c>
      <c r="E96" s="55">
        <f t="shared" si="121"/>
        <v>0</v>
      </c>
      <c r="F96" s="55">
        <f ca="1">IFERROR(__xludf.DUMMYFUNCTION("IMPORTRANGE(""https://docs.google.com/spreadsheets/d/1Yj_ptqi66GCucihVvJfMjLAmec39IyEx_6qawtMGysU/edit?usp=sharing"",""สบก!BK100"")"),0)</f>
        <v>0</v>
      </c>
      <c r="G96" s="99">
        <f t="shared" si="1"/>
        <v>0</v>
      </c>
      <c r="H96" s="55">
        <v>0</v>
      </c>
      <c r="I96" s="55">
        <v>0</v>
      </c>
      <c r="J96" s="55">
        <v>0</v>
      </c>
      <c r="K96" s="99">
        <f t="shared" si="3"/>
        <v>0</v>
      </c>
      <c r="L96" s="55"/>
      <c r="M96" s="55"/>
      <c r="N96" s="55"/>
      <c r="O96" s="55">
        <v>0</v>
      </c>
      <c r="P96" s="55">
        <v>0</v>
      </c>
      <c r="Q96" s="55">
        <v>0</v>
      </c>
      <c r="R96" s="99">
        <f t="shared" si="5"/>
        <v>0</v>
      </c>
      <c r="S96" s="55">
        <v>0</v>
      </c>
      <c r="T96" s="55">
        <v>0</v>
      </c>
      <c r="U96" s="55">
        <v>0</v>
      </c>
      <c r="V96" s="99">
        <f t="shared" si="7"/>
        <v>0</v>
      </c>
      <c r="W96" s="55">
        <v>0</v>
      </c>
      <c r="X96" s="55">
        <v>0</v>
      </c>
      <c r="Y96" s="99">
        <f t="shared" si="9"/>
        <v>0</v>
      </c>
      <c r="Z96" s="55">
        <v>0</v>
      </c>
      <c r="AA96" s="55">
        <v>0</v>
      </c>
      <c r="AB96" s="55">
        <v>0</v>
      </c>
      <c r="AC96" s="99">
        <f t="shared" si="11"/>
        <v>0</v>
      </c>
      <c r="AD96" s="55">
        <v>0</v>
      </c>
      <c r="AE96" s="99">
        <f t="shared" si="12"/>
        <v>0</v>
      </c>
      <c r="AF96" s="55">
        <v>0</v>
      </c>
      <c r="AG96" s="55">
        <v>0</v>
      </c>
      <c r="AH96" s="99">
        <f t="shared" si="14"/>
        <v>0</v>
      </c>
      <c r="AI96" s="55">
        <v>0</v>
      </c>
      <c r="AJ96" s="55">
        <v>0</v>
      </c>
      <c r="AK96" s="55">
        <v>0</v>
      </c>
      <c r="AL96" s="99">
        <f t="shared" si="16"/>
        <v>0</v>
      </c>
      <c r="AM96" s="55">
        <v>0</v>
      </c>
      <c r="AN96" s="55">
        <v>0</v>
      </c>
      <c r="AO96" s="55">
        <v>0</v>
      </c>
      <c r="AP96" s="99">
        <f t="shared" si="18"/>
        <v>0</v>
      </c>
      <c r="AQ96" s="55">
        <v>0</v>
      </c>
      <c r="AR96" s="99">
        <f t="shared" si="19"/>
        <v>0</v>
      </c>
      <c r="AS96" s="55">
        <v>0</v>
      </c>
      <c r="AT96" s="55">
        <v>0</v>
      </c>
      <c r="AU96" s="99">
        <f t="shared" si="21"/>
        <v>0</v>
      </c>
    </row>
    <row r="97" spans="1:47" ht="24" customHeight="1" x14ac:dyDescent="0.5">
      <c r="A97" s="70">
        <f t="shared" si="122"/>
        <v>6</v>
      </c>
      <c r="B97" s="71" t="s">
        <v>112</v>
      </c>
      <c r="C97" s="54">
        <f t="shared" si="120"/>
        <v>0</v>
      </c>
      <c r="D97" s="55">
        <v>0</v>
      </c>
      <c r="E97" s="55">
        <f t="shared" si="121"/>
        <v>0</v>
      </c>
      <c r="F97" s="55">
        <f ca="1">IFERROR(__xludf.DUMMYFUNCTION("IMPORTRANGE(""https://docs.google.com/spreadsheets/d/1Yj_ptqi66GCucihVvJfMjLAmec39IyEx_6qawtMGysU/edit?usp=sharing"",""สบก!BK101"")"),0)</f>
        <v>0</v>
      </c>
      <c r="G97" s="99">
        <f t="shared" si="1"/>
        <v>0</v>
      </c>
      <c r="H97" s="55">
        <v>0</v>
      </c>
      <c r="I97" s="55">
        <v>0</v>
      </c>
      <c r="J97" s="55">
        <v>0</v>
      </c>
      <c r="K97" s="99">
        <f t="shared" si="3"/>
        <v>0</v>
      </c>
      <c r="L97" s="55"/>
      <c r="M97" s="55"/>
      <c r="N97" s="55"/>
      <c r="O97" s="55">
        <v>0</v>
      </c>
      <c r="P97" s="55">
        <v>0</v>
      </c>
      <c r="Q97" s="55">
        <v>0</v>
      </c>
      <c r="R97" s="99">
        <f t="shared" si="5"/>
        <v>0</v>
      </c>
      <c r="S97" s="55">
        <v>0</v>
      </c>
      <c r="T97" s="55">
        <v>0</v>
      </c>
      <c r="U97" s="55">
        <v>0</v>
      </c>
      <c r="V97" s="99">
        <f t="shared" si="7"/>
        <v>0</v>
      </c>
      <c r="W97" s="55">
        <v>0</v>
      </c>
      <c r="X97" s="55">
        <v>0</v>
      </c>
      <c r="Y97" s="99">
        <f t="shared" si="9"/>
        <v>0</v>
      </c>
      <c r="Z97" s="55">
        <v>0</v>
      </c>
      <c r="AA97" s="55">
        <v>0</v>
      </c>
      <c r="AB97" s="55">
        <v>0</v>
      </c>
      <c r="AC97" s="99">
        <f t="shared" si="11"/>
        <v>0</v>
      </c>
      <c r="AD97" s="55">
        <v>0</v>
      </c>
      <c r="AE97" s="99">
        <f t="shared" si="12"/>
        <v>0</v>
      </c>
      <c r="AF97" s="55">
        <v>0</v>
      </c>
      <c r="AG97" s="55">
        <v>0</v>
      </c>
      <c r="AH97" s="99">
        <f t="shared" si="14"/>
        <v>0</v>
      </c>
      <c r="AI97" s="55">
        <v>0</v>
      </c>
      <c r="AJ97" s="55">
        <v>0</v>
      </c>
      <c r="AK97" s="55">
        <v>0</v>
      </c>
      <c r="AL97" s="99">
        <f t="shared" si="16"/>
        <v>0</v>
      </c>
      <c r="AM97" s="55">
        <v>0</v>
      </c>
      <c r="AN97" s="55">
        <v>0</v>
      </c>
      <c r="AO97" s="55">
        <v>0</v>
      </c>
      <c r="AP97" s="99">
        <f t="shared" si="18"/>
        <v>0</v>
      </c>
      <c r="AQ97" s="55">
        <v>0</v>
      </c>
      <c r="AR97" s="99">
        <f t="shared" si="19"/>
        <v>0</v>
      </c>
      <c r="AS97" s="55">
        <v>0</v>
      </c>
      <c r="AT97" s="55">
        <v>0</v>
      </c>
      <c r="AU97" s="99">
        <f t="shared" si="21"/>
        <v>0</v>
      </c>
    </row>
    <row r="98" spans="1:47" ht="24" customHeight="1" x14ac:dyDescent="0.5">
      <c r="A98" s="70">
        <f t="shared" si="122"/>
        <v>7</v>
      </c>
      <c r="B98" s="71" t="s">
        <v>113</v>
      </c>
      <c r="C98" s="54">
        <f t="shared" si="120"/>
        <v>0</v>
      </c>
      <c r="D98" s="55">
        <v>0</v>
      </c>
      <c r="E98" s="55">
        <f t="shared" si="121"/>
        <v>0</v>
      </c>
      <c r="F98" s="55">
        <f ca="1">IFERROR(__xludf.DUMMYFUNCTION("IMPORTRANGE(""https://docs.google.com/spreadsheets/d/1Yj_ptqi66GCucihVvJfMjLAmec39IyEx_6qawtMGysU/edit?usp=sharing"",""สบก!BK102"")"),0)</f>
        <v>0</v>
      </c>
      <c r="G98" s="99">
        <f t="shared" si="1"/>
        <v>0</v>
      </c>
      <c r="H98" s="55">
        <v>0</v>
      </c>
      <c r="I98" s="55">
        <v>0</v>
      </c>
      <c r="J98" s="55">
        <v>0</v>
      </c>
      <c r="K98" s="99">
        <f t="shared" si="3"/>
        <v>0</v>
      </c>
      <c r="L98" s="55"/>
      <c r="M98" s="55"/>
      <c r="N98" s="55"/>
      <c r="O98" s="55">
        <v>0</v>
      </c>
      <c r="P98" s="55">
        <v>0</v>
      </c>
      <c r="Q98" s="55">
        <v>0</v>
      </c>
      <c r="R98" s="99">
        <f t="shared" si="5"/>
        <v>0</v>
      </c>
      <c r="S98" s="55">
        <v>0</v>
      </c>
      <c r="T98" s="55">
        <v>0</v>
      </c>
      <c r="U98" s="55">
        <v>0</v>
      </c>
      <c r="V98" s="99">
        <f t="shared" si="7"/>
        <v>0</v>
      </c>
      <c r="W98" s="55">
        <v>0</v>
      </c>
      <c r="X98" s="55">
        <v>0</v>
      </c>
      <c r="Y98" s="99">
        <f t="shared" si="9"/>
        <v>0</v>
      </c>
      <c r="Z98" s="55">
        <v>0</v>
      </c>
      <c r="AA98" s="55">
        <v>0</v>
      </c>
      <c r="AB98" s="55">
        <v>0</v>
      </c>
      <c r="AC98" s="99">
        <f t="shared" si="11"/>
        <v>0</v>
      </c>
      <c r="AD98" s="55">
        <v>0</v>
      </c>
      <c r="AE98" s="99">
        <f t="shared" si="12"/>
        <v>0</v>
      </c>
      <c r="AF98" s="55">
        <v>0</v>
      </c>
      <c r="AG98" s="55">
        <v>0</v>
      </c>
      <c r="AH98" s="99">
        <f t="shared" si="14"/>
        <v>0</v>
      </c>
      <c r="AI98" s="55">
        <v>0</v>
      </c>
      <c r="AJ98" s="55">
        <v>0</v>
      </c>
      <c r="AK98" s="55">
        <v>0</v>
      </c>
      <c r="AL98" s="99">
        <f t="shared" si="16"/>
        <v>0</v>
      </c>
      <c r="AM98" s="55">
        <v>0</v>
      </c>
      <c r="AN98" s="55">
        <v>0</v>
      </c>
      <c r="AO98" s="55">
        <v>0</v>
      </c>
      <c r="AP98" s="99">
        <f t="shared" si="18"/>
        <v>0</v>
      </c>
      <c r="AQ98" s="55">
        <v>0</v>
      </c>
      <c r="AR98" s="99">
        <f t="shared" si="19"/>
        <v>0</v>
      </c>
      <c r="AS98" s="55">
        <v>0</v>
      </c>
      <c r="AT98" s="55">
        <v>0</v>
      </c>
      <c r="AU98" s="99">
        <f t="shared" si="21"/>
        <v>0</v>
      </c>
    </row>
    <row r="99" spans="1:47" ht="24" customHeight="1" x14ac:dyDescent="0.5">
      <c r="A99" s="70">
        <f t="shared" si="122"/>
        <v>8</v>
      </c>
      <c r="B99" s="71" t="s">
        <v>114</v>
      </c>
      <c r="C99" s="54">
        <f t="shared" si="120"/>
        <v>0</v>
      </c>
      <c r="D99" s="55">
        <v>0</v>
      </c>
      <c r="E99" s="55">
        <f t="shared" si="121"/>
        <v>0</v>
      </c>
      <c r="F99" s="55">
        <f ca="1">IFERROR(__xludf.DUMMYFUNCTION("IMPORTRANGE(""https://docs.google.com/spreadsheets/d/1Yj_ptqi66GCucihVvJfMjLAmec39IyEx_6qawtMGysU/edit?usp=sharing"",""สบก!BK103"")"),0)</f>
        <v>0</v>
      </c>
      <c r="G99" s="99">
        <f t="shared" si="1"/>
        <v>0</v>
      </c>
      <c r="H99" s="55">
        <v>0</v>
      </c>
      <c r="I99" s="55">
        <v>0</v>
      </c>
      <c r="J99" s="55">
        <v>0</v>
      </c>
      <c r="K99" s="99">
        <f t="shared" si="3"/>
        <v>0</v>
      </c>
      <c r="L99" s="55"/>
      <c r="M99" s="55"/>
      <c r="N99" s="55"/>
      <c r="O99" s="55">
        <v>0</v>
      </c>
      <c r="P99" s="55">
        <v>0</v>
      </c>
      <c r="Q99" s="55">
        <v>0</v>
      </c>
      <c r="R99" s="99">
        <f t="shared" si="5"/>
        <v>0</v>
      </c>
      <c r="S99" s="55">
        <v>0</v>
      </c>
      <c r="T99" s="55">
        <v>0</v>
      </c>
      <c r="U99" s="55">
        <v>0</v>
      </c>
      <c r="V99" s="99">
        <f t="shared" si="7"/>
        <v>0</v>
      </c>
      <c r="W99" s="55">
        <v>0</v>
      </c>
      <c r="X99" s="55">
        <v>0</v>
      </c>
      <c r="Y99" s="99">
        <f t="shared" si="9"/>
        <v>0</v>
      </c>
      <c r="Z99" s="55">
        <v>0</v>
      </c>
      <c r="AA99" s="55">
        <v>0</v>
      </c>
      <c r="AB99" s="55">
        <v>0</v>
      </c>
      <c r="AC99" s="99">
        <f t="shared" si="11"/>
        <v>0</v>
      </c>
      <c r="AD99" s="55">
        <v>0</v>
      </c>
      <c r="AE99" s="99">
        <f t="shared" si="12"/>
        <v>0</v>
      </c>
      <c r="AF99" s="55">
        <v>0</v>
      </c>
      <c r="AG99" s="55">
        <v>0</v>
      </c>
      <c r="AH99" s="99">
        <f t="shared" si="14"/>
        <v>0</v>
      </c>
      <c r="AI99" s="55">
        <v>0</v>
      </c>
      <c r="AJ99" s="55">
        <v>0</v>
      </c>
      <c r="AK99" s="55">
        <v>0</v>
      </c>
      <c r="AL99" s="99">
        <f t="shared" si="16"/>
        <v>0</v>
      </c>
      <c r="AM99" s="55">
        <v>0</v>
      </c>
      <c r="AN99" s="55">
        <v>0</v>
      </c>
      <c r="AO99" s="55">
        <v>0</v>
      </c>
      <c r="AP99" s="99">
        <f t="shared" si="18"/>
        <v>0</v>
      </c>
      <c r="AQ99" s="55">
        <v>0</v>
      </c>
      <c r="AR99" s="99">
        <f t="shared" si="19"/>
        <v>0</v>
      </c>
      <c r="AS99" s="55">
        <v>0</v>
      </c>
      <c r="AT99" s="55">
        <v>0</v>
      </c>
      <c r="AU99" s="99">
        <f t="shared" si="21"/>
        <v>0</v>
      </c>
    </row>
    <row r="100" spans="1:47" ht="24" customHeight="1" x14ac:dyDescent="0.5">
      <c r="A100" s="70">
        <f t="shared" si="122"/>
        <v>9</v>
      </c>
      <c r="B100" s="71" t="s">
        <v>115</v>
      </c>
      <c r="C100" s="54">
        <f t="shared" si="120"/>
        <v>0</v>
      </c>
      <c r="D100" s="55">
        <v>0</v>
      </c>
      <c r="E100" s="55">
        <f t="shared" si="121"/>
        <v>0</v>
      </c>
      <c r="F100" s="55">
        <f ca="1">IFERROR(__xludf.DUMMYFUNCTION("IMPORTRANGE(""https://docs.google.com/spreadsheets/d/1Yj_ptqi66GCucihVvJfMjLAmec39IyEx_6qawtMGysU/edit?usp=sharing"",""สบก!BK104"")"),0)</f>
        <v>0</v>
      </c>
      <c r="G100" s="99">
        <f t="shared" si="1"/>
        <v>0</v>
      </c>
      <c r="H100" s="55">
        <v>0</v>
      </c>
      <c r="I100" s="55">
        <v>0</v>
      </c>
      <c r="J100" s="55">
        <v>0</v>
      </c>
      <c r="K100" s="99">
        <f t="shared" si="3"/>
        <v>0</v>
      </c>
      <c r="L100" s="55"/>
      <c r="M100" s="55"/>
      <c r="N100" s="55"/>
      <c r="O100" s="55">
        <v>0</v>
      </c>
      <c r="P100" s="55">
        <v>0</v>
      </c>
      <c r="Q100" s="55">
        <v>0</v>
      </c>
      <c r="R100" s="99">
        <f t="shared" si="5"/>
        <v>0</v>
      </c>
      <c r="S100" s="55">
        <v>0</v>
      </c>
      <c r="T100" s="55">
        <v>0</v>
      </c>
      <c r="U100" s="55">
        <v>0</v>
      </c>
      <c r="V100" s="99">
        <f t="shared" si="7"/>
        <v>0</v>
      </c>
      <c r="W100" s="55">
        <v>0</v>
      </c>
      <c r="X100" s="55">
        <v>0</v>
      </c>
      <c r="Y100" s="99">
        <f t="shared" si="9"/>
        <v>0</v>
      </c>
      <c r="Z100" s="55">
        <v>0</v>
      </c>
      <c r="AA100" s="55">
        <v>0</v>
      </c>
      <c r="AB100" s="55">
        <v>0</v>
      </c>
      <c r="AC100" s="99">
        <f t="shared" si="11"/>
        <v>0</v>
      </c>
      <c r="AD100" s="55">
        <v>0</v>
      </c>
      <c r="AE100" s="99">
        <f t="shared" si="12"/>
        <v>0</v>
      </c>
      <c r="AF100" s="55">
        <v>0</v>
      </c>
      <c r="AG100" s="55">
        <v>0</v>
      </c>
      <c r="AH100" s="99">
        <f t="shared" si="14"/>
        <v>0</v>
      </c>
      <c r="AI100" s="55">
        <v>0</v>
      </c>
      <c r="AJ100" s="55">
        <v>0</v>
      </c>
      <c r="AK100" s="55">
        <v>0</v>
      </c>
      <c r="AL100" s="99">
        <f t="shared" si="16"/>
        <v>0</v>
      </c>
      <c r="AM100" s="55">
        <v>0</v>
      </c>
      <c r="AN100" s="55">
        <v>0</v>
      </c>
      <c r="AO100" s="55">
        <v>0</v>
      </c>
      <c r="AP100" s="99">
        <f t="shared" si="18"/>
        <v>0</v>
      </c>
      <c r="AQ100" s="55">
        <v>0</v>
      </c>
      <c r="AR100" s="99">
        <f t="shared" si="19"/>
        <v>0</v>
      </c>
      <c r="AS100" s="55">
        <v>0</v>
      </c>
      <c r="AT100" s="55">
        <v>0</v>
      </c>
      <c r="AU100" s="99">
        <f t="shared" si="21"/>
        <v>0</v>
      </c>
    </row>
    <row r="101" spans="1:47" ht="24" customHeight="1" x14ac:dyDescent="0.5">
      <c r="A101" s="70">
        <f t="shared" si="122"/>
        <v>10</v>
      </c>
      <c r="B101" s="71" t="s">
        <v>116</v>
      </c>
      <c r="C101" s="54">
        <f t="shared" si="120"/>
        <v>0</v>
      </c>
      <c r="D101" s="55">
        <v>0</v>
      </c>
      <c r="E101" s="55">
        <f t="shared" si="121"/>
        <v>0</v>
      </c>
      <c r="F101" s="55">
        <f ca="1">IFERROR(__xludf.DUMMYFUNCTION("IMPORTRANGE(""https://docs.google.com/spreadsheets/d/1Yj_ptqi66GCucihVvJfMjLAmec39IyEx_6qawtMGysU/edit?usp=sharing"",""สบก!BK105"")"),0)</f>
        <v>0</v>
      </c>
      <c r="G101" s="99">
        <f t="shared" si="1"/>
        <v>0</v>
      </c>
      <c r="H101" s="55">
        <v>0</v>
      </c>
      <c r="I101" s="55">
        <v>0</v>
      </c>
      <c r="J101" s="55">
        <v>0</v>
      </c>
      <c r="K101" s="99">
        <f t="shared" si="3"/>
        <v>0</v>
      </c>
      <c r="L101" s="55"/>
      <c r="M101" s="55"/>
      <c r="N101" s="55"/>
      <c r="O101" s="55">
        <v>0</v>
      </c>
      <c r="P101" s="55">
        <v>0</v>
      </c>
      <c r="Q101" s="55">
        <v>0</v>
      </c>
      <c r="R101" s="99">
        <f t="shared" si="5"/>
        <v>0</v>
      </c>
      <c r="S101" s="55">
        <v>0</v>
      </c>
      <c r="T101" s="55">
        <v>0</v>
      </c>
      <c r="U101" s="55">
        <v>0</v>
      </c>
      <c r="V101" s="99">
        <f t="shared" si="7"/>
        <v>0</v>
      </c>
      <c r="W101" s="55">
        <v>0</v>
      </c>
      <c r="X101" s="55">
        <v>0</v>
      </c>
      <c r="Y101" s="99">
        <f t="shared" si="9"/>
        <v>0</v>
      </c>
      <c r="Z101" s="55">
        <v>0</v>
      </c>
      <c r="AA101" s="55">
        <v>0</v>
      </c>
      <c r="AB101" s="55">
        <v>0</v>
      </c>
      <c r="AC101" s="99">
        <f t="shared" si="11"/>
        <v>0</v>
      </c>
      <c r="AD101" s="55">
        <v>0</v>
      </c>
      <c r="AE101" s="99">
        <f t="shared" si="12"/>
        <v>0</v>
      </c>
      <c r="AF101" s="55">
        <v>0</v>
      </c>
      <c r="AG101" s="55">
        <v>0</v>
      </c>
      <c r="AH101" s="99">
        <f t="shared" si="14"/>
        <v>0</v>
      </c>
      <c r="AI101" s="55">
        <v>0</v>
      </c>
      <c r="AJ101" s="55">
        <v>0</v>
      </c>
      <c r="AK101" s="55">
        <v>0</v>
      </c>
      <c r="AL101" s="99">
        <f t="shared" si="16"/>
        <v>0</v>
      </c>
      <c r="AM101" s="55">
        <v>0</v>
      </c>
      <c r="AN101" s="55">
        <v>0</v>
      </c>
      <c r="AO101" s="55">
        <v>0</v>
      </c>
      <c r="AP101" s="99">
        <f t="shared" si="18"/>
        <v>0</v>
      </c>
      <c r="AQ101" s="55">
        <v>0</v>
      </c>
      <c r="AR101" s="99">
        <f t="shared" si="19"/>
        <v>0</v>
      </c>
      <c r="AS101" s="55">
        <v>0</v>
      </c>
      <c r="AT101" s="55">
        <v>0</v>
      </c>
      <c r="AU101" s="99">
        <f t="shared" si="21"/>
        <v>0</v>
      </c>
    </row>
    <row r="102" spans="1:47" ht="24" customHeight="1" x14ac:dyDescent="0.5">
      <c r="A102" s="70">
        <f t="shared" si="122"/>
        <v>11</v>
      </c>
      <c r="B102" s="71" t="s">
        <v>117</v>
      </c>
      <c r="C102" s="54">
        <f t="shared" si="120"/>
        <v>0</v>
      </c>
      <c r="D102" s="55">
        <v>0</v>
      </c>
      <c r="E102" s="55">
        <f t="shared" si="121"/>
        <v>0</v>
      </c>
      <c r="F102" s="55">
        <f ca="1">IFERROR(__xludf.DUMMYFUNCTION("IMPORTRANGE(""https://docs.google.com/spreadsheets/d/1Yj_ptqi66GCucihVvJfMjLAmec39IyEx_6qawtMGysU/edit?usp=sharing"",""สบก!BK106"")"),0)</f>
        <v>0</v>
      </c>
      <c r="G102" s="99">
        <f t="shared" si="1"/>
        <v>0</v>
      </c>
      <c r="H102" s="55">
        <v>0</v>
      </c>
      <c r="I102" s="55">
        <v>0</v>
      </c>
      <c r="J102" s="55">
        <v>0</v>
      </c>
      <c r="K102" s="99">
        <f t="shared" si="3"/>
        <v>0</v>
      </c>
      <c r="L102" s="55"/>
      <c r="M102" s="55"/>
      <c r="N102" s="55"/>
      <c r="O102" s="55">
        <v>0</v>
      </c>
      <c r="P102" s="55">
        <v>0</v>
      </c>
      <c r="Q102" s="55">
        <v>0</v>
      </c>
      <c r="R102" s="99">
        <f t="shared" si="5"/>
        <v>0</v>
      </c>
      <c r="S102" s="55">
        <v>0</v>
      </c>
      <c r="T102" s="55">
        <v>0</v>
      </c>
      <c r="U102" s="55">
        <v>0</v>
      </c>
      <c r="V102" s="99">
        <f t="shared" si="7"/>
        <v>0</v>
      </c>
      <c r="W102" s="55">
        <v>0</v>
      </c>
      <c r="X102" s="55">
        <v>0</v>
      </c>
      <c r="Y102" s="99">
        <f t="shared" si="9"/>
        <v>0</v>
      </c>
      <c r="Z102" s="55">
        <v>0</v>
      </c>
      <c r="AA102" s="55">
        <v>0</v>
      </c>
      <c r="AB102" s="55">
        <v>0</v>
      </c>
      <c r="AC102" s="99">
        <f t="shared" si="11"/>
        <v>0</v>
      </c>
      <c r="AD102" s="55">
        <v>0</v>
      </c>
      <c r="AE102" s="99">
        <f t="shared" si="12"/>
        <v>0</v>
      </c>
      <c r="AF102" s="55">
        <v>0</v>
      </c>
      <c r="AG102" s="55">
        <v>0</v>
      </c>
      <c r="AH102" s="99">
        <f t="shared" si="14"/>
        <v>0</v>
      </c>
      <c r="AI102" s="55">
        <v>0</v>
      </c>
      <c r="AJ102" s="55">
        <v>0</v>
      </c>
      <c r="AK102" s="55">
        <v>0</v>
      </c>
      <c r="AL102" s="99">
        <f t="shared" si="16"/>
        <v>0</v>
      </c>
      <c r="AM102" s="55">
        <v>0</v>
      </c>
      <c r="AN102" s="55">
        <v>0</v>
      </c>
      <c r="AO102" s="55">
        <v>0</v>
      </c>
      <c r="AP102" s="99">
        <f t="shared" si="18"/>
        <v>0</v>
      </c>
      <c r="AQ102" s="55">
        <v>0</v>
      </c>
      <c r="AR102" s="99">
        <f t="shared" si="19"/>
        <v>0</v>
      </c>
      <c r="AS102" s="55">
        <v>0</v>
      </c>
      <c r="AT102" s="55">
        <v>0</v>
      </c>
      <c r="AU102" s="99">
        <f t="shared" si="21"/>
        <v>0</v>
      </c>
    </row>
    <row r="103" spans="1:47" ht="24" customHeight="1" x14ac:dyDescent="0.5">
      <c r="A103" s="70">
        <f t="shared" si="122"/>
        <v>12</v>
      </c>
      <c r="B103" s="71" t="s">
        <v>118</v>
      </c>
      <c r="C103" s="54">
        <f t="shared" si="120"/>
        <v>0</v>
      </c>
      <c r="D103" s="55">
        <v>0</v>
      </c>
      <c r="E103" s="55">
        <f t="shared" si="121"/>
        <v>0</v>
      </c>
      <c r="F103" s="55">
        <f ca="1">IFERROR(__xludf.DUMMYFUNCTION("IMPORTRANGE(""https://docs.google.com/spreadsheets/d/1Yj_ptqi66GCucihVvJfMjLAmec39IyEx_6qawtMGysU/edit?usp=sharing"",""สบก!BK107"")"),0)</f>
        <v>0</v>
      </c>
      <c r="G103" s="99">
        <f t="shared" si="1"/>
        <v>0</v>
      </c>
      <c r="H103" s="55">
        <v>0</v>
      </c>
      <c r="I103" s="55">
        <v>0</v>
      </c>
      <c r="J103" s="55">
        <v>0</v>
      </c>
      <c r="K103" s="99">
        <f t="shared" si="3"/>
        <v>0</v>
      </c>
      <c r="L103" s="55"/>
      <c r="M103" s="55"/>
      <c r="N103" s="55"/>
      <c r="O103" s="55">
        <v>0</v>
      </c>
      <c r="P103" s="55">
        <v>0</v>
      </c>
      <c r="Q103" s="55">
        <v>0</v>
      </c>
      <c r="R103" s="99">
        <f t="shared" si="5"/>
        <v>0</v>
      </c>
      <c r="S103" s="55">
        <v>0</v>
      </c>
      <c r="T103" s="55">
        <v>0</v>
      </c>
      <c r="U103" s="55">
        <v>0</v>
      </c>
      <c r="V103" s="99">
        <f t="shared" si="7"/>
        <v>0</v>
      </c>
      <c r="W103" s="55">
        <v>0</v>
      </c>
      <c r="X103" s="55">
        <v>0</v>
      </c>
      <c r="Y103" s="99">
        <f t="shared" si="9"/>
        <v>0</v>
      </c>
      <c r="Z103" s="55">
        <v>0</v>
      </c>
      <c r="AA103" s="55">
        <v>0</v>
      </c>
      <c r="AB103" s="55">
        <v>0</v>
      </c>
      <c r="AC103" s="99">
        <f t="shared" si="11"/>
        <v>0</v>
      </c>
      <c r="AD103" s="55">
        <v>0</v>
      </c>
      <c r="AE103" s="99">
        <f t="shared" si="12"/>
        <v>0</v>
      </c>
      <c r="AF103" s="55">
        <v>0</v>
      </c>
      <c r="AG103" s="55">
        <v>0</v>
      </c>
      <c r="AH103" s="99">
        <f t="shared" si="14"/>
        <v>0</v>
      </c>
      <c r="AI103" s="55">
        <v>0</v>
      </c>
      <c r="AJ103" s="55">
        <v>0</v>
      </c>
      <c r="AK103" s="55">
        <v>0</v>
      </c>
      <c r="AL103" s="99">
        <f t="shared" si="16"/>
        <v>0</v>
      </c>
      <c r="AM103" s="55">
        <v>0</v>
      </c>
      <c r="AN103" s="55">
        <v>0</v>
      </c>
      <c r="AO103" s="55">
        <v>0</v>
      </c>
      <c r="AP103" s="99">
        <f t="shared" si="18"/>
        <v>0</v>
      </c>
      <c r="AQ103" s="55">
        <v>0</v>
      </c>
      <c r="AR103" s="99">
        <f t="shared" si="19"/>
        <v>0</v>
      </c>
      <c r="AS103" s="55">
        <v>0</v>
      </c>
      <c r="AT103" s="55">
        <v>0</v>
      </c>
      <c r="AU103" s="99">
        <f t="shared" si="21"/>
        <v>0</v>
      </c>
    </row>
    <row r="104" spans="1:47" ht="24" customHeight="1" x14ac:dyDescent="0.5">
      <c r="A104" s="70">
        <f t="shared" si="122"/>
        <v>13</v>
      </c>
      <c r="B104" s="71" t="s">
        <v>119</v>
      </c>
      <c r="C104" s="54">
        <f t="shared" si="120"/>
        <v>2390850</v>
      </c>
      <c r="D104" s="55">
        <v>631600</v>
      </c>
      <c r="E104" s="55">
        <f t="shared" si="121"/>
        <v>1759250</v>
      </c>
      <c r="F104" s="55">
        <f ca="1">IFERROR(__xludf.DUMMYFUNCTION("IMPORTRANGE(""https://docs.google.com/spreadsheets/d/1Yj_ptqi66GCucihVvJfMjLAmec39IyEx_6qawtMGysU/edit?usp=sharing"",""สบก!BK108"")"),194500)</f>
        <v>194500</v>
      </c>
      <c r="G104" s="99">
        <f t="shared" ca="1" si="1"/>
        <v>8.135182048225527</v>
      </c>
      <c r="H104" s="55">
        <v>49250</v>
      </c>
      <c r="I104" s="55">
        <v>0</v>
      </c>
      <c r="J104" s="55">
        <v>0</v>
      </c>
      <c r="K104" s="99">
        <f t="shared" si="3"/>
        <v>0</v>
      </c>
      <c r="L104" s="55"/>
      <c r="M104" s="55"/>
      <c r="N104" s="55"/>
      <c r="O104" s="55">
        <v>382000</v>
      </c>
      <c r="P104" s="55">
        <v>0</v>
      </c>
      <c r="Q104" s="55">
        <v>0</v>
      </c>
      <c r="R104" s="99">
        <f t="shared" si="5"/>
        <v>0</v>
      </c>
      <c r="S104" s="55">
        <v>182000</v>
      </c>
      <c r="T104" s="55">
        <v>0</v>
      </c>
      <c r="U104" s="55">
        <v>0</v>
      </c>
      <c r="V104" s="99">
        <f t="shared" si="7"/>
        <v>0</v>
      </c>
      <c r="W104" s="55">
        <v>0</v>
      </c>
      <c r="X104" s="55">
        <v>0</v>
      </c>
      <c r="Y104" s="99">
        <f t="shared" si="9"/>
        <v>0</v>
      </c>
      <c r="Z104" s="55">
        <v>194000</v>
      </c>
      <c r="AA104" s="55">
        <v>0</v>
      </c>
      <c r="AB104" s="55">
        <v>0</v>
      </c>
      <c r="AC104" s="99">
        <f t="shared" si="11"/>
        <v>0</v>
      </c>
      <c r="AD104" s="55">
        <v>0</v>
      </c>
      <c r="AE104" s="99">
        <f t="shared" si="12"/>
        <v>0</v>
      </c>
      <c r="AF104" s="55">
        <v>0</v>
      </c>
      <c r="AG104" s="55">
        <v>0</v>
      </c>
      <c r="AH104" s="99">
        <f t="shared" si="14"/>
        <v>0</v>
      </c>
      <c r="AI104" s="55">
        <v>952000</v>
      </c>
      <c r="AJ104" s="55">
        <v>0</v>
      </c>
      <c r="AK104" s="55">
        <v>0</v>
      </c>
      <c r="AL104" s="99">
        <f t="shared" si="16"/>
        <v>0</v>
      </c>
      <c r="AM104" s="55">
        <v>0</v>
      </c>
      <c r="AN104" s="55">
        <v>0</v>
      </c>
      <c r="AO104" s="55">
        <v>0</v>
      </c>
      <c r="AP104" s="99">
        <f t="shared" si="18"/>
        <v>0</v>
      </c>
      <c r="AQ104" s="55">
        <v>0</v>
      </c>
      <c r="AR104" s="99">
        <f t="shared" si="19"/>
        <v>0</v>
      </c>
      <c r="AS104" s="55">
        <v>0</v>
      </c>
      <c r="AT104" s="55">
        <v>0</v>
      </c>
      <c r="AU104" s="99">
        <f t="shared" si="21"/>
        <v>0</v>
      </c>
    </row>
    <row r="105" spans="1:47" ht="24" customHeight="1" x14ac:dyDescent="0.5">
      <c r="A105" s="72">
        <f t="shared" si="122"/>
        <v>14</v>
      </c>
      <c r="B105" s="73" t="s">
        <v>120</v>
      </c>
      <c r="C105" s="61">
        <f t="shared" si="120"/>
        <v>0</v>
      </c>
      <c r="D105" s="62">
        <v>0</v>
      </c>
      <c r="E105" s="55">
        <f t="shared" si="121"/>
        <v>0</v>
      </c>
      <c r="F105" s="62">
        <f ca="1">IFERROR(__xludf.DUMMYFUNCTION("IMPORTRANGE(""https://docs.google.com/spreadsheets/d/1Yj_ptqi66GCucihVvJfMjLAmec39IyEx_6qawtMGysU/edit?usp=sharing"",""สบก!BK109"")"),0)</f>
        <v>0</v>
      </c>
      <c r="G105" s="100">
        <f t="shared" si="1"/>
        <v>0</v>
      </c>
      <c r="H105" s="62">
        <v>0</v>
      </c>
      <c r="I105" s="62">
        <v>0</v>
      </c>
      <c r="J105" s="62">
        <v>0</v>
      </c>
      <c r="K105" s="100">
        <f t="shared" si="3"/>
        <v>0</v>
      </c>
      <c r="L105" s="62"/>
      <c r="M105" s="62"/>
      <c r="N105" s="62"/>
      <c r="O105" s="62">
        <v>0</v>
      </c>
      <c r="P105" s="62">
        <v>0</v>
      </c>
      <c r="Q105" s="62">
        <v>0</v>
      </c>
      <c r="R105" s="100">
        <f t="shared" si="5"/>
        <v>0</v>
      </c>
      <c r="S105" s="62">
        <v>0</v>
      </c>
      <c r="T105" s="62">
        <v>0</v>
      </c>
      <c r="U105" s="62">
        <v>0</v>
      </c>
      <c r="V105" s="100">
        <f t="shared" si="7"/>
        <v>0</v>
      </c>
      <c r="W105" s="62">
        <v>0</v>
      </c>
      <c r="X105" s="62">
        <v>0</v>
      </c>
      <c r="Y105" s="100">
        <f t="shared" si="9"/>
        <v>0</v>
      </c>
      <c r="Z105" s="62">
        <v>0</v>
      </c>
      <c r="AA105" s="62">
        <v>0</v>
      </c>
      <c r="AB105" s="62">
        <v>0</v>
      </c>
      <c r="AC105" s="100">
        <f t="shared" si="11"/>
        <v>0</v>
      </c>
      <c r="AD105" s="62">
        <v>0</v>
      </c>
      <c r="AE105" s="100">
        <f t="shared" si="12"/>
        <v>0</v>
      </c>
      <c r="AF105" s="62">
        <v>0</v>
      </c>
      <c r="AG105" s="62">
        <v>0</v>
      </c>
      <c r="AH105" s="100">
        <f t="shared" si="14"/>
        <v>0</v>
      </c>
      <c r="AI105" s="62">
        <v>0</v>
      </c>
      <c r="AJ105" s="62">
        <v>0</v>
      </c>
      <c r="AK105" s="62">
        <v>0</v>
      </c>
      <c r="AL105" s="100">
        <f t="shared" si="16"/>
        <v>0</v>
      </c>
      <c r="AM105" s="62">
        <v>0</v>
      </c>
      <c r="AN105" s="62">
        <v>0</v>
      </c>
      <c r="AO105" s="62">
        <v>0</v>
      </c>
      <c r="AP105" s="100">
        <f t="shared" si="18"/>
        <v>0</v>
      </c>
      <c r="AQ105" s="62">
        <v>0</v>
      </c>
      <c r="AR105" s="100">
        <f t="shared" si="19"/>
        <v>0</v>
      </c>
      <c r="AS105" s="62">
        <v>0</v>
      </c>
      <c r="AT105" s="62">
        <v>0</v>
      </c>
      <c r="AU105" s="100">
        <f t="shared" si="21"/>
        <v>0</v>
      </c>
    </row>
    <row r="106" spans="1:47" ht="24" customHeight="1" x14ac:dyDescent="0.5">
      <c r="A106" s="572" t="s">
        <v>121</v>
      </c>
      <c r="B106" s="571"/>
      <c r="C106" s="35">
        <f t="shared" ref="C106:F106" si="123">+C107+C108+C109+C110+C111+C112+C113+C114</f>
        <v>4500000</v>
      </c>
      <c r="D106" s="35">
        <f t="shared" si="123"/>
        <v>4500000</v>
      </c>
      <c r="E106" s="35">
        <f t="shared" si="123"/>
        <v>0</v>
      </c>
      <c r="F106" s="35">
        <f t="shared" si="123"/>
        <v>0</v>
      </c>
      <c r="G106" s="92">
        <f t="shared" si="1"/>
        <v>0</v>
      </c>
      <c r="H106" s="35">
        <f t="shared" ref="H106:J106" si="124">+H107+H108+H109+H110+H111+H112+H113+H114</f>
        <v>0</v>
      </c>
      <c r="I106" s="35">
        <f t="shared" si="124"/>
        <v>0</v>
      </c>
      <c r="J106" s="35">
        <f t="shared" si="124"/>
        <v>0</v>
      </c>
      <c r="K106" s="92">
        <f t="shared" si="3"/>
        <v>0</v>
      </c>
      <c r="L106" s="35"/>
      <c r="M106" s="35"/>
      <c r="N106" s="35"/>
      <c r="O106" s="35">
        <f t="shared" ref="O106:Q106" si="125">+O107+O108+O109+O110+O111+O112+O113+O114</f>
        <v>0</v>
      </c>
      <c r="P106" s="35">
        <f t="shared" si="125"/>
        <v>0</v>
      </c>
      <c r="Q106" s="35">
        <f t="shared" si="125"/>
        <v>0</v>
      </c>
      <c r="R106" s="92">
        <f t="shared" si="5"/>
        <v>0</v>
      </c>
      <c r="S106" s="35">
        <f t="shared" ref="S106:U106" si="126">+S107+S108+S109+S110+S111+S112+S113+S114</f>
        <v>0</v>
      </c>
      <c r="T106" s="35">
        <f t="shared" si="126"/>
        <v>0</v>
      </c>
      <c r="U106" s="35">
        <f t="shared" si="126"/>
        <v>0</v>
      </c>
      <c r="V106" s="92">
        <f t="shared" si="7"/>
        <v>0</v>
      </c>
      <c r="W106" s="35">
        <f t="shared" ref="W106:X106" si="127">+W107+W108+W109+W110+W111+W112+W113+W114</f>
        <v>0</v>
      </c>
      <c r="X106" s="35">
        <f t="shared" si="127"/>
        <v>0</v>
      </c>
      <c r="Y106" s="92">
        <f t="shared" si="9"/>
        <v>0</v>
      </c>
      <c r="Z106" s="35">
        <f t="shared" ref="Z106:AB106" si="128">+Z107+Z108+Z109+Z110+Z111+Z112+Z113+Z114</f>
        <v>0</v>
      </c>
      <c r="AA106" s="35">
        <f t="shared" si="128"/>
        <v>0</v>
      </c>
      <c r="AB106" s="35">
        <f t="shared" si="128"/>
        <v>0</v>
      </c>
      <c r="AC106" s="92">
        <f t="shared" si="11"/>
        <v>0</v>
      </c>
      <c r="AD106" s="35">
        <f>+AD107+AD108+AD109+AD110+AD111+AD112+AD113+AD114</f>
        <v>0</v>
      </c>
      <c r="AE106" s="92">
        <f t="shared" si="12"/>
        <v>0</v>
      </c>
      <c r="AF106" s="35">
        <f t="shared" ref="AF106:AG106" si="129">+AF107+AF108+AF109+AF110+AF111+AF112+AF113+AF114</f>
        <v>0</v>
      </c>
      <c r="AG106" s="35">
        <f t="shared" si="129"/>
        <v>0</v>
      </c>
      <c r="AH106" s="92">
        <f t="shared" si="14"/>
        <v>0</v>
      </c>
      <c r="AI106" s="35">
        <f t="shared" ref="AI106:AK106" si="130">+AI107+AI108+AI109+AI110+AI111+AI112+AI113+AI114</f>
        <v>0</v>
      </c>
      <c r="AJ106" s="35">
        <f t="shared" si="130"/>
        <v>0</v>
      </c>
      <c r="AK106" s="35">
        <f t="shared" si="130"/>
        <v>0</v>
      </c>
      <c r="AL106" s="92">
        <f t="shared" si="16"/>
        <v>0</v>
      </c>
      <c r="AM106" s="35">
        <f t="shared" ref="AM106:AO106" si="131">+AM107+AM108+AM109+AM110+AM111+AM112+AM113+AM114</f>
        <v>0</v>
      </c>
      <c r="AN106" s="35">
        <f t="shared" si="131"/>
        <v>0</v>
      </c>
      <c r="AO106" s="35">
        <f t="shared" si="131"/>
        <v>0</v>
      </c>
      <c r="AP106" s="92">
        <f t="shared" si="18"/>
        <v>0</v>
      </c>
      <c r="AQ106" s="35">
        <f>+AQ107+AQ108+AQ109+AQ110+AQ111+AQ112+AQ113+AQ114</f>
        <v>0</v>
      </c>
      <c r="AR106" s="92">
        <f t="shared" si="19"/>
        <v>0</v>
      </c>
      <c r="AS106" s="35">
        <f t="shared" ref="AS106:AT106" si="132">+AS107+AS108+AS109+AS110+AS111+AS112+AS113+AS114</f>
        <v>0</v>
      </c>
      <c r="AT106" s="35">
        <f t="shared" si="132"/>
        <v>0</v>
      </c>
      <c r="AU106" s="92">
        <f t="shared" si="21"/>
        <v>0</v>
      </c>
    </row>
    <row r="107" spans="1:47" ht="24" customHeight="1" x14ac:dyDescent="0.5">
      <c r="A107" s="68">
        <v>1</v>
      </c>
      <c r="B107" s="74" t="s">
        <v>122</v>
      </c>
      <c r="C107" s="47">
        <f t="shared" ref="C107:C114" si="133">+D107+E107</f>
        <v>1000000</v>
      </c>
      <c r="D107" s="48">
        <v>1000000</v>
      </c>
      <c r="E107" s="48">
        <f t="shared" ref="E107:E114" si="134">H107+O107+S107+Z107+AI107</f>
        <v>0</v>
      </c>
      <c r="F107" s="48">
        <v>0</v>
      </c>
      <c r="G107" s="98">
        <f t="shared" si="1"/>
        <v>0</v>
      </c>
      <c r="H107" s="48"/>
      <c r="I107" s="48">
        <v>0</v>
      </c>
      <c r="J107" s="48">
        <v>0</v>
      </c>
      <c r="K107" s="98">
        <f t="shared" si="3"/>
        <v>0</v>
      </c>
      <c r="L107" s="48"/>
      <c r="M107" s="48"/>
      <c r="N107" s="48"/>
      <c r="O107" s="48"/>
      <c r="P107" s="48">
        <v>0</v>
      </c>
      <c r="Q107" s="48">
        <v>0</v>
      </c>
      <c r="R107" s="98">
        <f t="shared" si="5"/>
        <v>0</v>
      </c>
      <c r="S107" s="48"/>
      <c r="T107" s="48">
        <v>0</v>
      </c>
      <c r="U107" s="48">
        <v>0</v>
      </c>
      <c r="V107" s="98">
        <f t="shared" si="7"/>
        <v>0</v>
      </c>
      <c r="W107" s="48">
        <v>0</v>
      </c>
      <c r="X107" s="48">
        <v>0</v>
      </c>
      <c r="Y107" s="98">
        <f t="shared" si="9"/>
        <v>0</v>
      </c>
      <c r="Z107" s="48">
        <v>0</v>
      </c>
      <c r="AA107" s="48">
        <v>0</v>
      </c>
      <c r="AB107" s="48">
        <v>0</v>
      </c>
      <c r="AC107" s="98">
        <f t="shared" si="11"/>
        <v>0</v>
      </c>
      <c r="AD107" s="48">
        <v>0</v>
      </c>
      <c r="AE107" s="98">
        <f t="shared" si="12"/>
        <v>0</v>
      </c>
      <c r="AF107" s="48">
        <v>0</v>
      </c>
      <c r="AG107" s="48">
        <v>0</v>
      </c>
      <c r="AH107" s="98">
        <f t="shared" si="14"/>
        <v>0</v>
      </c>
      <c r="AI107" s="48">
        <v>0</v>
      </c>
      <c r="AJ107" s="48">
        <v>0</v>
      </c>
      <c r="AK107" s="48">
        <v>0</v>
      </c>
      <c r="AL107" s="98">
        <f t="shared" si="16"/>
        <v>0</v>
      </c>
      <c r="AM107" s="48">
        <v>0</v>
      </c>
      <c r="AN107" s="48">
        <v>0</v>
      </c>
      <c r="AO107" s="48">
        <v>0</v>
      </c>
      <c r="AP107" s="98">
        <f t="shared" si="18"/>
        <v>0</v>
      </c>
      <c r="AQ107" s="48">
        <v>0</v>
      </c>
      <c r="AR107" s="98">
        <f t="shared" si="19"/>
        <v>0</v>
      </c>
      <c r="AS107" s="48">
        <v>0</v>
      </c>
      <c r="AT107" s="48">
        <v>0</v>
      </c>
      <c r="AU107" s="98">
        <f t="shared" si="21"/>
        <v>0</v>
      </c>
    </row>
    <row r="108" spans="1:47" ht="24" customHeight="1" x14ac:dyDescent="0.5">
      <c r="A108" s="70">
        <v>2</v>
      </c>
      <c r="B108" s="75" t="s">
        <v>123</v>
      </c>
      <c r="C108" s="54">
        <f t="shared" si="133"/>
        <v>0</v>
      </c>
      <c r="D108" s="55">
        <v>0</v>
      </c>
      <c r="E108" s="55">
        <f t="shared" si="134"/>
        <v>0</v>
      </c>
      <c r="F108" s="55">
        <v>0</v>
      </c>
      <c r="G108" s="99">
        <f t="shared" si="1"/>
        <v>0</v>
      </c>
      <c r="H108" s="55">
        <v>0</v>
      </c>
      <c r="I108" s="55">
        <v>0</v>
      </c>
      <c r="J108" s="55">
        <v>0</v>
      </c>
      <c r="K108" s="99">
        <f t="shared" si="3"/>
        <v>0</v>
      </c>
      <c r="L108" s="55"/>
      <c r="M108" s="55"/>
      <c r="N108" s="55"/>
      <c r="O108" s="55">
        <v>0</v>
      </c>
      <c r="P108" s="55">
        <v>0</v>
      </c>
      <c r="Q108" s="55">
        <v>0</v>
      </c>
      <c r="R108" s="99">
        <f t="shared" si="5"/>
        <v>0</v>
      </c>
      <c r="S108" s="55">
        <v>0</v>
      </c>
      <c r="T108" s="55">
        <v>0</v>
      </c>
      <c r="U108" s="55">
        <v>0</v>
      </c>
      <c r="V108" s="99">
        <f t="shared" si="7"/>
        <v>0</v>
      </c>
      <c r="W108" s="55">
        <v>0</v>
      </c>
      <c r="X108" s="55">
        <v>0</v>
      </c>
      <c r="Y108" s="99">
        <f t="shared" si="9"/>
        <v>0</v>
      </c>
      <c r="Z108" s="55">
        <v>0</v>
      </c>
      <c r="AA108" s="55">
        <v>0</v>
      </c>
      <c r="AB108" s="55">
        <v>0</v>
      </c>
      <c r="AC108" s="99">
        <f t="shared" si="11"/>
        <v>0</v>
      </c>
      <c r="AD108" s="55">
        <v>0</v>
      </c>
      <c r="AE108" s="99">
        <f t="shared" si="12"/>
        <v>0</v>
      </c>
      <c r="AF108" s="55">
        <v>0</v>
      </c>
      <c r="AG108" s="55">
        <v>0</v>
      </c>
      <c r="AH108" s="99">
        <f t="shared" si="14"/>
        <v>0</v>
      </c>
      <c r="AI108" s="55">
        <v>0</v>
      </c>
      <c r="AJ108" s="55">
        <v>0</v>
      </c>
      <c r="AK108" s="55">
        <v>0</v>
      </c>
      <c r="AL108" s="99">
        <f t="shared" si="16"/>
        <v>0</v>
      </c>
      <c r="AM108" s="55">
        <v>0</v>
      </c>
      <c r="AN108" s="55">
        <v>0</v>
      </c>
      <c r="AO108" s="55">
        <v>0</v>
      </c>
      <c r="AP108" s="99">
        <f t="shared" si="18"/>
        <v>0</v>
      </c>
      <c r="AQ108" s="55">
        <v>0</v>
      </c>
      <c r="AR108" s="99">
        <f t="shared" si="19"/>
        <v>0</v>
      </c>
      <c r="AS108" s="55">
        <v>0</v>
      </c>
      <c r="AT108" s="55">
        <v>0</v>
      </c>
      <c r="AU108" s="99">
        <f t="shared" si="21"/>
        <v>0</v>
      </c>
    </row>
    <row r="109" spans="1:47" ht="24" customHeight="1" x14ac:dyDescent="0.5">
      <c r="A109" s="70">
        <v>3</v>
      </c>
      <c r="B109" s="75" t="s">
        <v>124</v>
      </c>
      <c r="C109" s="54">
        <f t="shared" si="133"/>
        <v>500000</v>
      </c>
      <c r="D109" s="55">
        <v>500000</v>
      </c>
      <c r="E109" s="55">
        <f t="shared" si="134"/>
        <v>0</v>
      </c>
      <c r="F109" s="55">
        <v>0</v>
      </c>
      <c r="G109" s="99">
        <f t="shared" si="1"/>
        <v>0</v>
      </c>
      <c r="H109" s="55">
        <v>0</v>
      </c>
      <c r="I109" s="55">
        <v>0</v>
      </c>
      <c r="J109" s="55">
        <v>0</v>
      </c>
      <c r="K109" s="99">
        <f t="shared" si="3"/>
        <v>0</v>
      </c>
      <c r="L109" s="55"/>
      <c r="M109" s="55"/>
      <c r="N109" s="55"/>
      <c r="O109" s="55">
        <v>0</v>
      </c>
      <c r="P109" s="55">
        <v>0</v>
      </c>
      <c r="Q109" s="55">
        <v>0</v>
      </c>
      <c r="R109" s="99">
        <f t="shared" si="5"/>
        <v>0</v>
      </c>
      <c r="S109" s="55">
        <v>0</v>
      </c>
      <c r="T109" s="55">
        <v>0</v>
      </c>
      <c r="U109" s="55">
        <v>0</v>
      </c>
      <c r="V109" s="99">
        <f t="shared" si="7"/>
        <v>0</v>
      </c>
      <c r="W109" s="55">
        <v>0</v>
      </c>
      <c r="X109" s="55">
        <v>0</v>
      </c>
      <c r="Y109" s="99">
        <f t="shared" si="9"/>
        <v>0</v>
      </c>
      <c r="Z109" s="55">
        <v>0</v>
      </c>
      <c r="AA109" s="55">
        <v>0</v>
      </c>
      <c r="AB109" s="55">
        <v>0</v>
      </c>
      <c r="AC109" s="99">
        <f t="shared" si="11"/>
        <v>0</v>
      </c>
      <c r="AD109" s="55">
        <v>0</v>
      </c>
      <c r="AE109" s="99">
        <f t="shared" si="12"/>
        <v>0</v>
      </c>
      <c r="AF109" s="55">
        <v>0</v>
      </c>
      <c r="AG109" s="55">
        <v>0</v>
      </c>
      <c r="AH109" s="99">
        <f t="shared" si="14"/>
        <v>0</v>
      </c>
      <c r="AI109" s="55">
        <v>0</v>
      </c>
      <c r="AJ109" s="55">
        <v>0</v>
      </c>
      <c r="AK109" s="55">
        <v>0</v>
      </c>
      <c r="AL109" s="99">
        <f t="shared" si="16"/>
        <v>0</v>
      </c>
      <c r="AM109" s="55">
        <v>0</v>
      </c>
      <c r="AN109" s="55">
        <v>0</v>
      </c>
      <c r="AO109" s="55">
        <v>0</v>
      </c>
      <c r="AP109" s="99">
        <f t="shared" si="18"/>
        <v>0</v>
      </c>
      <c r="AQ109" s="55">
        <v>0</v>
      </c>
      <c r="AR109" s="99">
        <f t="shared" si="19"/>
        <v>0</v>
      </c>
      <c r="AS109" s="55">
        <v>0</v>
      </c>
      <c r="AT109" s="55">
        <v>0</v>
      </c>
      <c r="AU109" s="99">
        <f t="shared" si="21"/>
        <v>0</v>
      </c>
    </row>
    <row r="110" spans="1:47" ht="24" customHeight="1" x14ac:dyDescent="0.5">
      <c r="A110" s="70">
        <f t="shared" ref="A110:A112" si="135">+A109+1</f>
        <v>4</v>
      </c>
      <c r="B110" s="75" t="s">
        <v>125</v>
      </c>
      <c r="C110" s="54">
        <f t="shared" si="133"/>
        <v>1000000</v>
      </c>
      <c r="D110" s="55">
        <v>1000000</v>
      </c>
      <c r="E110" s="55">
        <f t="shared" si="134"/>
        <v>0</v>
      </c>
      <c r="F110" s="55">
        <v>0</v>
      </c>
      <c r="G110" s="99">
        <f t="shared" si="1"/>
        <v>0</v>
      </c>
      <c r="H110" s="55">
        <v>0</v>
      </c>
      <c r="I110" s="55">
        <v>0</v>
      </c>
      <c r="J110" s="55">
        <v>0</v>
      </c>
      <c r="K110" s="99">
        <f t="shared" si="3"/>
        <v>0</v>
      </c>
      <c r="L110" s="55"/>
      <c r="M110" s="55"/>
      <c r="N110" s="55"/>
      <c r="O110" s="55">
        <v>0</v>
      </c>
      <c r="P110" s="55">
        <v>0</v>
      </c>
      <c r="Q110" s="55">
        <v>0</v>
      </c>
      <c r="R110" s="99">
        <f t="shared" si="5"/>
        <v>0</v>
      </c>
      <c r="S110" s="55">
        <v>0</v>
      </c>
      <c r="T110" s="55">
        <v>0</v>
      </c>
      <c r="U110" s="55">
        <v>0</v>
      </c>
      <c r="V110" s="99">
        <f t="shared" si="7"/>
        <v>0</v>
      </c>
      <c r="W110" s="55">
        <v>0</v>
      </c>
      <c r="X110" s="55">
        <v>0</v>
      </c>
      <c r="Y110" s="99">
        <f t="shared" si="9"/>
        <v>0</v>
      </c>
      <c r="Z110" s="55">
        <v>0</v>
      </c>
      <c r="AA110" s="55">
        <v>0</v>
      </c>
      <c r="AB110" s="55">
        <v>0</v>
      </c>
      <c r="AC110" s="99">
        <f t="shared" si="11"/>
        <v>0</v>
      </c>
      <c r="AD110" s="55">
        <v>0</v>
      </c>
      <c r="AE110" s="99">
        <f t="shared" si="12"/>
        <v>0</v>
      </c>
      <c r="AF110" s="55">
        <v>0</v>
      </c>
      <c r="AG110" s="55">
        <v>0</v>
      </c>
      <c r="AH110" s="99">
        <f t="shared" si="14"/>
        <v>0</v>
      </c>
      <c r="AI110" s="55">
        <v>0</v>
      </c>
      <c r="AJ110" s="55">
        <v>0</v>
      </c>
      <c r="AK110" s="55">
        <v>0</v>
      </c>
      <c r="AL110" s="99">
        <f t="shared" si="16"/>
        <v>0</v>
      </c>
      <c r="AM110" s="55">
        <v>0</v>
      </c>
      <c r="AN110" s="55">
        <v>0</v>
      </c>
      <c r="AO110" s="55">
        <v>0</v>
      </c>
      <c r="AP110" s="99">
        <f t="shared" si="18"/>
        <v>0</v>
      </c>
      <c r="AQ110" s="55">
        <v>0</v>
      </c>
      <c r="AR110" s="99">
        <f t="shared" si="19"/>
        <v>0</v>
      </c>
      <c r="AS110" s="55">
        <v>0</v>
      </c>
      <c r="AT110" s="55">
        <v>0</v>
      </c>
      <c r="AU110" s="99">
        <f t="shared" si="21"/>
        <v>0</v>
      </c>
    </row>
    <row r="111" spans="1:47" ht="24" customHeight="1" x14ac:dyDescent="0.5">
      <c r="A111" s="70">
        <f t="shared" si="135"/>
        <v>5</v>
      </c>
      <c r="B111" s="75" t="s">
        <v>126</v>
      </c>
      <c r="C111" s="54">
        <f t="shared" si="133"/>
        <v>1500000</v>
      </c>
      <c r="D111" s="55">
        <v>1500000</v>
      </c>
      <c r="E111" s="55">
        <f t="shared" si="134"/>
        <v>0</v>
      </c>
      <c r="F111" s="55">
        <v>0</v>
      </c>
      <c r="G111" s="99">
        <f t="shared" si="1"/>
        <v>0</v>
      </c>
      <c r="H111" s="55">
        <v>0</v>
      </c>
      <c r="I111" s="55">
        <v>0</v>
      </c>
      <c r="J111" s="55">
        <v>0</v>
      </c>
      <c r="K111" s="99">
        <f t="shared" si="3"/>
        <v>0</v>
      </c>
      <c r="L111" s="55"/>
      <c r="M111" s="55"/>
      <c r="N111" s="55"/>
      <c r="O111" s="55">
        <v>0</v>
      </c>
      <c r="P111" s="55">
        <v>0</v>
      </c>
      <c r="Q111" s="55">
        <v>0</v>
      </c>
      <c r="R111" s="99">
        <f t="shared" si="5"/>
        <v>0</v>
      </c>
      <c r="S111" s="55">
        <v>0</v>
      </c>
      <c r="T111" s="55">
        <v>0</v>
      </c>
      <c r="U111" s="55">
        <v>0</v>
      </c>
      <c r="V111" s="99">
        <f t="shared" si="7"/>
        <v>0</v>
      </c>
      <c r="W111" s="55">
        <v>0</v>
      </c>
      <c r="X111" s="55">
        <v>0</v>
      </c>
      <c r="Y111" s="99">
        <f t="shared" si="9"/>
        <v>0</v>
      </c>
      <c r="Z111" s="55">
        <v>0</v>
      </c>
      <c r="AA111" s="55">
        <v>0</v>
      </c>
      <c r="AB111" s="55">
        <v>0</v>
      </c>
      <c r="AC111" s="99">
        <f t="shared" si="11"/>
        <v>0</v>
      </c>
      <c r="AD111" s="55">
        <v>0</v>
      </c>
      <c r="AE111" s="99">
        <f t="shared" si="12"/>
        <v>0</v>
      </c>
      <c r="AF111" s="55">
        <v>0</v>
      </c>
      <c r="AG111" s="55">
        <v>0</v>
      </c>
      <c r="AH111" s="99">
        <f t="shared" si="14"/>
        <v>0</v>
      </c>
      <c r="AI111" s="55">
        <v>0</v>
      </c>
      <c r="AJ111" s="55">
        <v>0</v>
      </c>
      <c r="AK111" s="55">
        <v>0</v>
      </c>
      <c r="AL111" s="99">
        <f t="shared" si="16"/>
        <v>0</v>
      </c>
      <c r="AM111" s="55">
        <v>0</v>
      </c>
      <c r="AN111" s="55">
        <v>0</v>
      </c>
      <c r="AO111" s="55">
        <v>0</v>
      </c>
      <c r="AP111" s="99">
        <f t="shared" si="18"/>
        <v>0</v>
      </c>
      <c r="AQ111" s="55">
        <v>0</v>
      </c>
      <c r="AR111" s="99">
        <f t="shared" si="19"/>
        <v>0</v>
      </c>
      <c r="AS111" s="55">
        <v>0</v>
      </c>
      <c r="AT111" s="55">
        <v>0</v>
      </c>
      <c r="AU111" s="99">
        <f t="shared" si="21"/>
        <v>0</v>
      </c>
    </row>
    <row r="112" spans="1:47" ht="24" customHeight="1" x14ac:dyDescent="0.5">
      <c r="A112" s="70">
        <f t="shared" si="135"/>
        <v>6</v>
      </c>
      <c r="B112" s="75" t="s">
        <v>127</v>
      </c>
      <c r="C112" s="54">
        <f t="shared" si="133"/>
        <v>500000</v>
      </c>
      <c r="D112" s="55">
        <v>500000</v>
      </c>
      <c r="E112" s="55">
        <f t="shared" si="134"/>
        <v>0</v>
      </c>
      <c r="F112" s="55">
        <v>0</v>
      </c>
      <c r="G112" s="99">
        <f t="shared" si="1"/>
        <v>0</v>
      </c>
      <c r="H112" s="55">
        <v>0</v>
      </c>
      <c r="I112" s="55">
        <v>0</v>
      </c>
      <c r="J112" s="55">
        <v>0</v>
      </c>
      <c r="K112" s="99">
        <f t="shared" si="3"/>
        <v>0</v>
      </c>
      <c r="L112" s="55"/>
      <c r="M112" s="55"/>
      <c r="N112" s="55"/>
      <c r="O112" s="55">
        <v>0</v>
      </c>
      <c r="P112" s="55">
        <v>0</v>
      </c>
      <c r="Q112" s="55">
        <v>0</v>
      </c>
      <c r="R112" s="99">
        <f t="shared" si="5"/>
        <v>0</v>
      </c>
      <c r="S112" s="55">
        <v>0</v>
      </c>
      <c r="T112" s="55">
        <v>0</v>
      </c>
      <c r="U112" s="55">
        <v>0</v>
      </c>
      <c r="V112" s="99">
        <f t="shared" si="7"/>
        <v>0</v>
      </c>
      <c r="W112" s="55">
        <v>0</v>
      </c>
      <c r="X112" s="55">
        <v>0</v>
      </c>
      <c r="Y112" s="99">
        <f t="shared" si="9"/>
        <v>0</v>
      </c>
      <c r="Z112" s="55">
        <v>0</v>
      </c>
      <c r="AA112" s="55">
        <v>0</v>
      </c>
      <c r="AB112" s="55">
        <v>0</v>
      </c>
      <c r="AC112" s="99">
        <f t="shared" si="11"/>
        <v>0</v>
      </c>
      <c r="AD112" s="55">
        <v>0</v>
      </c>
      <c r="AE112" s="99">
        <f t="shared" si="12"/>
        <v>0</v>
      </c>
      <c r="AF112" s="55">
        <v>0</v>
      </c>
      <c r="AG112" s="55">
        <v>0</v>
      </c>
      <c r="AH112" s="99">
        <f t="shared" si="14"/>
        <v>0</v>
      </c>
      <c r="AI112" s="55">
        <v>0</v>
      </c>
      <c r="AJ112" s="55">
        <v>0</v>
      </c>
      <c r="AK112" s="55">
        <v>0</v>
      </c>
      <c r="AL112" s="99">
        <f t="shared" si="16"/>
        <v>0</v>
      </c>
      <c r="AM112" s="55">
        <v>0</v>
      </c>
      <c r="AN112" s="55">
        <v>0</v>
      </c>
      <c r="AO112" s="55">
        <v>0</v>
      </c>
      <c r="AP112" s="99">
        <f t="shared" si="18"/>
        <v>0</v>
      </c>
      <c r="AQ112" s="55">
        <v>0</v>
      </c>
      <c r="AR112" s="99">
        <f t="shared" si="19"/>
        <v>0</v>
      </c>
      <c r="AS112" s="55">
        <v>0</v>
      </c>
      <c r="AT112" s="55">
        <v>0</v>
      </c>
      <c r="AU112" s="99">
        <f t="shared" si="21"/>
        <v>0</v>
      </c>
    </row>
    <row r="113" spans="1:47" ht="24" customHeight="1" x14ac:dyDescent="0.5">
      <c r="A113" s="70">
        <v>7</v>
      </c>
      <c r="B113" s="75" t="s">
        <v>128</v>
      </c>
      <c r="C113" s="54">
        <f t="shared" si="133"/>
        <v>0</v>
      </c>
      <c r="D113" s="55">
        <v>0</v>
      </c>
      <c r="E113" s="55">
        <f t="shared" si="134"/>
        <v>0</v>
      </c>
      <c r="F113" s="55">
        <v>0</v>
      </c>
      <c r="G113" s="99">
        <f t="shared" si="1"/>
        <v>0</v>
      </c>
      <c r="H113" s="55">
        <v>0</v>
      </c>
      <c r="I113" s="55">
        <v>0</v>
      </c>
      <c r="J113" s="55">
        <v>0</v>
      </c>
      <c r="K113" s="99">
        <f t="shared" si="3"/>
        <v>0</v>
      </c>
      <c r="L113" s="55"/>
      <c r="M113" s="55"/>
      <c r="N113" s="55"/>
      <c r="O113" s="55">
        <v>0</v>
      </c>
      <c r="P113" s="55">
        <v>0</v>
      </c>
      <c r="Q113" s="55">
        <v>0</v>
      </c>
      <c r="R113" s="99">
        <f t="shared" si="5"/>
        <v>0</v>
      </c>
      <c r="S113" s="55">
        <v>0</v>
      </c>
      <c r="T113" s="55">
        <v>0</v>
      </c>
      <c r="U113" s="55">
        <v>0</v>
      </c>
      <c r="V113" s="99">
        <f t="shared" si="7"/>
        <v>0</v>
      </c>
      <c r="W113" s="55">
        <v>0</v>
      </c>
      <c r="X113" s="55">
        <v>0</v>
      </c>
      <c r="Y113" s="99">
        <f t="shared" si="9"/>
        <v>0</v>
      </c>
      <c r="Z113" s="55">
        <v>0</v>
      </c>
      <c r="AA113" s="55">
        <v>0</v>
      </c>
      <c r="AB113" s="55">
        <v>0</v>
      </c>
      <c r="AC113" s="99">
        <f t="shared" si="11"/>
        <v>0</v>
      </c>
      <c r="AD113" s="55">
        <v>0</v>
      </c>
      <c r="AE113" s="99">
        <f t="shared" si="12"/>
        <v>0</v>
      </c>
      <c r="AF113" s="55">
        <v>0</v>
      </c>
      <c r="AG113" s="55">
        <v>0</v>
      </c>
      <c r="AH113" s="99">
        <f t="shared" si="14"/>
        <v>0</v>
      </c>
      <c r="AI113" s="55">
        <v>0</v>
      </c>
      <c r="AJ113" s="55">
        <v>0</v>
      </c>
      <c r="AK113" s="55">
        <v>0</v>
      </c>
      <c r="AL113" s="99">
        <f t="shared" si="16"/>
        <v>0</v>
      </c>
      <c r="AM113" s="55">
        <v>0</v>
      </c>
      <c r="AN113" s="55">
        <v>0</v>
      </c>
      <c r="AO113" s="55">
        <v>0</v>
      </c>
      <c r="AP113" s="99">
        <f t="shared" si="18"/>
        <v>0</v>
      </c>
      <c r="AQ113" s="55">
        <v>0</v>
      </c>
      <c r="AR113" s="99">
        <f t="shared" si="19"/>
        <v>0</v>
      </c>
      <c r="AS113" s="55">
        <v>0</v>
      </c>
      <c r="AT113" s="55">
        <v>0</v>
      </c>
      <c r="AU113" s="99">
        <f t="shared" si="21"/>
        <v>0</v>
      </c>
    </row>
    <row r="114" spans="1:47" ht="24" customHeight="1" x14ac:dyDescent="0.5">
      <c r="A114" s="76">
        <v>8</v>
      </c>
      <c r="B114" s="77" t="s">
        <v>129</v>
      </c>
      <c r="C114" s="78">
        <f t="shared" si="133"/>
        <v>0</v>
      </c>
      <c r="D114" s="79">
        <v>0</v>
      </c>
      <c r="E114" s="79">
        <f t="shared" si="134"/>
        <v>0</v>
      </c>
      <c r="F114" s="79">
        <v>0</v>
      </c>
      <c r="G114" s="104">
        <f t="shared" si="1"/>
        <v>0</v>
      </c>
      <c r="H114" s="79">
        <v>0</v>
      </c>
      <c r="I114" s="79">
        <v>0</v>
      </c>
      <c r="J114" s="79">
        <v>0</v>
      </c>
      <c r="K114" s="104">
        <f t="shared" si="3"/>
        <v>0</v>
      </c>
      <c r="L114" s="79"/>
      <c r="M114" s="79"/>
      <c r="N114" s="79"/>
      <c r="O114" s="79">
        <v>0</v>
      </c>
      <c r="P114" s="79">
        <v>0</v>
      </c>
      <c r="Q114" s="79">
        <v>0</v>
      </c>
      <c r="R114" s="104">
        <f t="shared" si="5"/>
        <v>0</v>
      </c>
      <c r="S114" s="79">
        <v>0</v>
      </c>
      <c r="T114" s="79">
        <v>0</v>
      </c>
      <c r="U114" s="79">
        <v>0</v>
      </c>
      <c r="V114" s="104">
        <f t="shared" si="7"/>
        <v>0</v>
      </c>
      <c r="W114" s="79">
        <v>0</v>
      </c>
      <c r="X114" s="79">
        <v>0</v>
      </c>
      <c r="Y114" s="104">
        <f t="shared" si="9"/>
        <v>0</v>
      </c>
      <c r="Z114" s="79">
        <v>0</v>
      </c>
      <c r="AA114" s="79">
        <v>0</v>
      </c>
      <c r="AB114" s="79">
        <v>0</v>
      </c>
      <c r="AC114" s="104">
        <f t="shared" si="11"/>
        <v>0</v>
      </c>
      <c r="AD114" s="79">
        <v>0</v>
      </c>
      <c r="AE114" s="104">
        <f t="shared" si="12"/>
        <v>0</v>
      </c>
      <c r="AF114" s="79">
        <v>0</v>
      </c>
      <c r="AG114" s="79">
        <v>0</v>
      </c>
      <c r="AH114" s="104">
        <f t="shared" si="14"/>
        <v>0</v>
      </c>
      <c r="AI114" s="79">
        <v>0</v>
      </c>
      <c r="AJ114" s="79">
        <v>0</v>
      </c>
      <c r="AK114" s="79">
        <v>0</v>
      </c>
      <c r="AL114" s="104">
        <f t="shared" si="16"/>
        <v>0</v>
      </c>
      <c r="AM114" s="79">
        <v>0</v>
      </c>
      <c r="AN114" s="79">
        <v>0</v>
      </c>
      <c r="AO114" s="79">
        <v>0</v>
      </c>
      <c r="AP114" s="104">
        <f t="shared" si="18"/>
        <v>0</v>
      </c>
      <c r="AQ114" s="79">
        <v>0</v>
      </c>
      <c r="AR114" s="104">
        <f t="shared" si="19"/>
        <v>0</v>
      </c>
      <c r="AS114" s="79">
        <v>0</v>
      </c>
      <c r="AT114" s="79">
        <v>0</v>
      </c>
      <c r="AU114" s="104">
        <f t="shared" si="21"/>
        <v>0</v>
      </c>
    </row>
    <row r="115" spans="1:47" ht="24" customHeight="1" x14ac:dyDescent="0.55000000000000004">
      <c r="A115" s="467" t="s">
        <v>321</v>
      </c>
      <c r="B115" s="3"/>
      <c r="C115" s="3"/>
      <c r="D115" s="3"/>
      <c r="E115" s="3"/>
      <c r="F115" s="3"/>
      <c r="G115" s="83"/>
      <c r="H115" s="3"/>
      <c r="I115" s="3"/>
      <c r="J115" s="3"/>
      <c r="K115" s="83"/>
      <c r="L115" s="3"/>
      <c r="M115" s="3"/>
      <c r="N115" s="3"/>
      <c r="O115" s="3"/>
      <c r="P115" s="3"/>
      <c r="Q115" s="3"/>
      <c r="R115" s="83"/>
      <c r="S115" s="3"/>
      <c r="T115" s="3"/>
      <c r="U115" s="3"/>
      <c r="V115" s="83"/>
      <c r="W115" s="3"/>
      <c r="X115" s="3"/>
      <c r="Y115" s="8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8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ht="24" customHeight="1" x14ac:dyDescent="0.5">
      <c r="A116" s="3"/>
      <c r="B116" s="3"/>
      <c r="C116" s="3"/>
      <c r="D116" s="3"/>
      <c r="E116" s="3"/>
      <c r="F116" s="3"/>
      <c r="G116" s="83"/>
      <c r="H116" s="3"/>
      <c r="I116" s="3"/>
      <c r="J116" s="3"/>
      <c r="K116" s="83"/>
      <c r="L116" s="3"/>
      <c r="M116" s="3"/>
      <c r="N116" s="3"/>
      <c r="O116" s="3"/>
      <c r="P116" s="3"/>
      <c r="Q116" s="3"/>
      <c r="R116" s="83"/>
      <c r="S116" s="3"/>
      <c r="T116" s="3"/>
      <c r="U116" s="3"/>
      <c r="V116" s="83"/>
      <c r="W116" s="3"/>
      <c r="X116" s="3"/>
      <c r="Y116" s="8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8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ht="24" customHeight="1" x14ac:dyDescent="0.5">
      <c r="A117" s="3"/>
      <c r="B117" s="3"/>
      <c r="C117" s="3"/>
      <c r="D117" s="3"/>
      <c r="E117" s="3"/>
      <c r="F117" s="3"/>
      <c r="G117" s="83"/>
      <c r="H117" s="3"/>
      <c r="I117" s="3"/>
      <c r="J117" s="3"/>
      <c r="K117" s="83"/>
      <c r="L117" s="3"/>
      <c r="M117" s="3"/>
      <c r="N117" s="3"/>
      <c r="O117" s="3"/>
      <c r="P117" s="3"/>
      <c r="Q117" s="3"/>
      <c r="R117" s="83"/>
      <c r="S117" s="3"/>
      <c r="T117" s="3"/>
      <c r="U117" s="3"/>
      <c r="V117" s="83"/>
      <c r="W117" s="3"/>
      <c r="X117" s="3"/>
      <c r="Y117" s="8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8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ht="24" customHeight="1" x14ac:dyDescent="0.5">
      <c r="A118" s="3"/>
      <c r="B118" s="3"/>
      <c r="C118" s="3"/>
      <c r="D118" s="3"/>
      <c r="E118" s="3"/>
      <c r="F118" s="3"/>
      <c r="G118" s="83"/>
      <c r="H118" s="3"/>
      <c r="I118" s="3"/>
      <c r="J118" s="3"/>
      <c r="K118" s="83"/>
      <c r="L118" s="3"/>
      <c r="M118" s="3"/>
      <c r="N118" s="3"/>
      <c r="O118" s="3"/>
      <c r="P118" s="3"/>
      <c r="Q118" s="3"/>
      <c r="R118" s="83"/>
      <c r="S118" s="3"/>
      <c r="T118" s="3"/>
      <c r="U118" s="3"/>
      <c r="V118" s="83"/>
      <c r="W118" s="3"/>
      <c r="X118" s="3"/>
      <c r="Y118" s="8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8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ht="24" customHeight="1" x14ac:dyDescent="0.5">
      <c r="A119" s="3"/>
      <c r="B119" s="3"/>
      <c r="C119" s="3"/>
      <c r="D119" s="3"/>
      <c r="E119" s="3"/>
      <c r="F119" s="3"/>
      <c r="G119" s="83"/>
      <c r="H119" s="3"/>
      <c r="I119" s="3"/>
      <c r="J119" s="3"/>
      <c r="K119" s="83"/>
      <c r="L119" s="3"/>
      <c r="M119" s="3"/>
      <c r="N119" s="3"/>
      <c r="O119" s="3"/>
      <c r="P119" s="3"/>
      <c r="Q119" s="3"/>
      <c r="R119" s="83"/>
      <c r="S119" s="3"/>
      <c r="T119" s="3"/>
      <c r="U119" s="3"/>
      <c r="V119" s="83"/>
      <c r="W119" s="3"/>
      <c r="X119" s="3"/>
      <c r="Y119" s="8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8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1:47" ht="24" customHeight="1" x14ac:dyDescent="0.5">
      <c r="A120" s="3"/>
      <c r="B120" s="3"/>
      <c r="C120" s="3"/>
      <c r="D120" s="3"/>
      <c r="E120" s="3"/>
      <c r="F120" s="3"/>
      <c r="G120" s="83"/>
      <c r="H120" s="3"/>
      <c r="I120" s="3"/>
      <c r="J120" s="3"/>
      <c r="K120" s="83"/>
      <c r="L120" s="3"/>
      <c r="M120" s="3"/>
      <c r="N120" s="3"/>
      <c r="O120" s="3"/>
      <c r="P120" s="3"/>
      <c r="Q120" s="3"/>
      <c r="R120" s="83"/>
      <c r="S120" s="3"/>
      <c r="T120" s="3"/>
      <c r="U120" s="3"/>
      <c r="V120" s="83"/>
      <c r="W120" s="3"/>
      <c r="X120" s="3"/>
      <c r="Y120" s="8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83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1:47" ht="24" customHeight="1" x14ac:dyDescent="0.5">
      <c r="A121" s="3"/>
      <c r="B121" s="3"/>
      <c r="C121" s="3"/>
      <c r="D121" s="3"/>
      <c r="E121" s="3"/>
      <c r="F121" s="3"/>
      <c r="G121" s="83"/>
      <c r="H121" s="3"/>
      <c r="I121" s="3"/>
      <c r="J121" s="3"/>
      <c r="K121" s="83"/>
      <c r="L121" s="3"/>
      <c r="M121" s="3"/>
      <c r="N121" s="3"/>
      <c r="O121" s="3"/>
      <c r="P121" s="3"/>
      <c r="Q121" s="3"/>
      <c r="R121" s="83"/>
      <c r="S121" s="3"/>
      <c r="T121" s="3"/>
      <c r="U121" s="3"/>
      <c r="V121" s="83"/>
      <c r="W121" s="3"/>
      <c r="X121" s="3"/>
      <c r="Y121" s="8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83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1:47" ht="24" customHeight="1" x14ac:dyDescent="0.5">
      <c r="A122" s="3"/>
      <c r="B122" s="3"/>
      <c r="C122" s="3"/>
      <c r="D122" s="3"/>
      <c r="E122" s="3"/>
      <c r="F122" s="3"/>
      <c r="G122" s="83"/>
      <c r="H122" s="3"/>
      <c r="I122" s="3"/>
      <c r="J122" s="3"/>
      <c r="K122" s="83"/>
      <c r="L122" s="3"/>
      <c r="M122" s="3"/>
      <c r="N122" s="3"/>
      <c r="O122" s="3"/>
      <c r="P122" s="3"/>
      <c r="Q122" s="3"/>
      <c r="R122" s="83"/>
      <c r="S122" s="3"/>
      <c r="T122" s="3"/>
      <c r="U122" s="3"/>
      <c r="V122" s="83"/>
      <c r="W122" s="3"/>
      <c r="X122" s="3"/>
      <c r="Y122" s="8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83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1:47" ht="24" customHeight="1" x14ac:dyDescent="0.5">
      <c r="A123" s="3"/>
      <c r="B123" s="3"/>
      <c r="C123" s="3"/>
      <c r="D123" s="3"/>
      <c r="E123" s="3"/>
      <c r="F123" s="3"/>
      <c r="G123" s="83"/>
      <c r="H123" s="3"/>
      <c r="I123" s="3"/>
      <c r="J123" s="3"/>
      <c r="K123" s="83"/>
      <c r="L123" s="3"/>
      <c r="M123" s="3"/>
      <c r="N123" s="3"/>
      <c r="O123" s="3"/>
      <c r="P123" s="3"/>
      <c r="Q123" s="3"/>
      <c r="R123" s="83"/>
      <c r="S123" s="3"/>
      <c r="T123" s="3"/>
      <c r="U123" s="3"/>
      <c r="V123" s="83"/>
      <c r="W123" s="3"/>
      <c r="X123" s="3"/>
      <c r="Y123" s="8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8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1:47" ht="24" customHeight="1" x14ac:dyDescent="0.5">
      <c r="A124" s="3"/>
      <c r="B124" s="3"/>
      <c r="C124" s="3"/>
      <c r="D124" s="3"/>
      <c r="E124" s="3"/>
      <c r="F124" s="3"/>
      <c r="G124" s="83"/>
      <c r="H124" s="3"/>
      <c r="I124" s="3"/>
      <c r="J124" s="3"/>
      <c r="K124" s="83"/>
      <c r="L124" s="3"/>
      <c r="M124" s="3"/>
      <c r="N124" s="3"/>
      <c r="O124" s="3"/>
      <c r="P124" s="3"/>
      <c r="Q124" s="3"/>
      <c r="R124" s="83"/>
      <c r="S124" s="3"/>
      <c r="T124" s="3"/>
      <c r="U124" s="3"/>
      <c r="V124" s="83"/>
      <c r="W124" s="3"/>
      <c r="X124" s="3"/>
      <c r="Y124" s="8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83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1:47" ht="24" customHeight="1" x14ac:dyDescent="0.5">
      <c r="A125" s="3"/>
      <c r="B125" s="3"/>
      <c r="C125" s="3"/>
      <c r="D125" s="3"/>
      <c r="E125" s="3"/>
      <c r="F125" s="3"/>
      <c r="G125" s="83"/>
      <c r="H125" s="3"/>
      <c r="I125" s="3"/>
      <c r="J125" s="3"/>
      <c r="K125" s="83"/>
      <c r="L125" s="3"/>
      <c r="M125" s="3"/>
      <c r="N125" s="3"/>
      <c r="O125" s="3"/>
      <c r="P125" s="3"/>
      <c r="Q125" s="3"/>
      <c r="R125" s="83"/>
      <c r="S125" s="3"/>
      <c r="T125" s="3"/>
      <c r="U125" s="3"/>
      <c r="V125" s="83"/>
      <c r="W125" s="3"/>
      <c r="X125" s="3"/>
      <c r="Y125" s="8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83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1:47" ht="24" customHeight="1" x14ac:dyDescent="0.5">
      <c r="A126" s="3"/>
      <c r="B126" s="3"/>
      <c r="C126" s="3"/>
      <c r="D126" s="3"/>
      <c r="E126" s="3"/>
      <c r="F126" s="3"/>
      <c r="G126" s="83"/>
      <c r="H126" s="3"/>
      <c r="I126" s="3"/>
      <c r="J126" s="3"/>
      <c r="K126" s="83"/>
      <c r="L126" s="3"/>
      <c r="M126" s="3"/>
      <c r="N126" s="3"/>
      <c r="O126" s="3"/>
      <c r="P126" s="3"/>
      <c r="Q126" s="3"/>
      <c r="R126" s="83"/>
      <c r="S126" s="3"/>
      <c r="T126" s="3"/>
      <c r="U126" s="3"/>
      <c r="V126" s="83"/>
      <c r="W126" s="3"/>
      <c r="X126" s="3"/>
      <c r="Y126" s="8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83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1:47" ht="24" customHeight="1" x14ac:dyDescent="0.5">
      <c r="A127" s="3"/>
      <c r="B127" s="3"/>
      <c r="C127" s="3"/>
      <c r="D127" s="3"/>
      <c r="E127" s="3"/>
      <c r="F127" s="3"/>
      <c r="G127" s="83"/>
      <c r="H127" s="3"/>
      <c r="I127" s="3"/>
      <c r="J127" s="3"/>
      <c r="K127" s="83"/>
      <c r="L127" s="3"/>
      <c r="M127" s="3"/>
      <c r="N127" s="3"/>
      <c r="O127" s="3"/>
      <c r="P127" s="3"/>
      <c r="Q127" s="3"/>
      <c r="R127" s="83"/>
      <c r="S127" s="3"/>
      <c r="T127" s="3"/>
      <c r="U127" s="3"/>
      <c r="V127" s="83"/>
      <c r="W127" s="3"/>
      <c r="X127" s="3"/>
      <c r="Y127" s="8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83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1:47" ht="24" customHeight="1" x14ac:dyDescent="0.5">
      <c r="A128" s="3"/>
      <c r="B128" s="3"/>
      <c r="C128" s="3"/>
      <c r="D128" s="3"/>
      <c r="E128" s="3"/>
      <c r="F128" s="3"/>
      <c r="G128" s="83"/>
      <c r="H128" s="3"/>
      <c r="I128" s="3"/>
      <c r="J128" s="3"/>
      <c r="K128" s="83"/>
      <c r="L128" s="3"/>
      <c r="M128" s="3"/>
      <c r="N128" s="3"/>
      <c r="O128" s="3"/>
      <c r="P128" s="3"/>
      <c r="Q128" s="3"/>
      <c r="R128" s="83"/>
      <c r="S128" s="3"/>
      <c r="T128" s="3"/>
      <c r="U128" s="3"/>
      <c r="V128" s="83"/>
      <c r="W128" s="3"/>
      <c r="X128" s="3"/>
      <c r="Y128" s="8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83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1:47" ht="24" customHeight="1" x14ac:dyDescent="0.5">
      <c r="A129" s="3"/>
      <c r="B129" s="3"/>
      <c r="C129" s="3"/>
      <c r="D129" s="3"/>
      <c r="E129" s="3"/>
      <c r="F129" s="3"/>
      <c r="G129" s="83"/>
      <c r="H129" s="3"/>
      <c r="I129" s="3"/>
      <c r="J129" s="3"/>
      <c r="K129" s="83"/>
      <c r="L129" s="3"/>
      <c r="M129" s="3"/>
      <c r="N129" s="3"/>
      <c r="O129" s="3"/>
      <c r="P129" s="3"/>
      <c r="Q129" s="3"/>
      <c r="R129" s="83"/>
      <c r="S129" s="3"/>
      <c r="T129" s="3"/>
      <c r="U129" s="3"/>
      <c r="V129" s="83"/>
      <c r="W129" s="3"/>
      <c r="X129" s="3"/>
      <c r="Y129" s="8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83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1:47" ht="24" customHeight="1" x14ac:dyDescent="0.5">
      <c r="A130" s="3"/>
      <c r="B130" s="3"/>
      <c r="C130" s="3"/>
      <c r="D130" s="3"/>
      <c r="E130" s="3"/>
      <c r="F130" s="3"/>
      <c r="G130" s="83"/>
      <c r="H130" s="3"/>
      <c r="I130" s="3"/>
      <c r="J130" s="3"/>
      <c r="K130" s="83"/>
      <c r="L130" s="3"/>
      <c r="M130" s="3"/>
      <c r="N130" s="3"/>
      <c r="O130" s="3"/>
      <c r="P130" s="3"/>
      <c r="Q130" s="3"/>
      <c r="R130" s="83"/>
      <c r="S130" s="3"/>
      <c r="T130" s="3"/>
      <c r="U130" s="3"/>
      <c r="V130" s="83"/>
      <c r="W130" s="3"/>
      <c r="X130" s="3"/>
      <c r="Y130" s="8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83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1:47" ht="24" customHeight="1" x14ac:dyDescent="0.5">
      <c r="A131" s="3"/>
      <c r="B131" s="3"/>
      <c r="C131" s="3"/>
      <c r="D131" s="3"/>
      <c r="E131" s="3"/>
      <c r="F131" s="3"/>
      <c r="G131" s="83"/>
      <c r="H131" s="3"/>
      <c r="I131" s="3"/>
      <c r="J131" s="3"/>
      <c r="K131" s="83"/>
      <c r="L131" s="3"/>
      <c r="M131" s="3"/>
      <c r="N131" s="3"/>
      <c r="O131" s="3"/>
      <c r="P131" s="3"/>
      <c r="Q131" s="3"/>
      <c r="R131" s="83"/>
      <c r="S131" s="3"/>
      <c r="T131" s="3"/>
      <c r="U131" s="3"/>
      <c r="V131" s="83"/>
      <c r="W131" s="3"/>
      <c r="X131" s="3"/>
      <c r="Y131" s="8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83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1:47" ht="24" customHeight="1" x14ac:dyDescent="0.5">
      <c r="A132" s="3"/>
      <c r="B132" s="3"/>
      <c r="C132" s="3"/>
      <c r="D132" s="3"/>
      <c r="E132" s="3"/>
      <c r="F132" s="3"/>
      <c r="G132" s="83"/>
      <c r="H132" s="3"/>
      <c r="I132" s="3"/>
      <c r="J132" s="3"/>
      <c r="K132" s="83"/>
      <c r="L132" s="3"/>
      <c r="M132" s="3"/>
      <c r="N132" s="3"/>
      <c r="O132" s="3"/>
      <c r="P132" s="3"/>
      <c r="Q132" s="3"/>
      <c r="R132" s="83"/>
      <c r="S132" s="3"/>
      <c r="T132" s="3"/>
      <c r="U132" s="3"/>
      <c r="V132" s="83"/>
      <c r="W132" s="3"/>
      <c r="X132" s="3"/>
      <c r="Y132" s="8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83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1:47" ht="24" customHeight="1" x14ac:dyDescent="0.5">
      <c r="A133" s="3"/>
      <c r="B133" s="3"/>
      <c r="C133" s="3"/>
      <c r="D133" s="3"/>
      <c r="E133" s="3"/>
      <c r="F133" s="3"/>
      <c r="G133" s="83"/>
      <c r="H133" s="3"/>
      <c r="I133" s="3"/>
      <c r="J133" s="3"/>
      <c r="K133" s="83"/>
      <c r="L133" s="3"/>
      <c r="M133" s="3"/>
      <c r="N133" s="3"/>
      <c r="O133" s="3"/>
      <c r="P133" s="3"/>
      <c r="Q133" s="3"/>
      <c r="R133" s="83"/>
      <c r="S133" s="3"/>
      <c r="T133" s="3"/>
      <c r="U133" s="3"/>
      <c r="V133" s="83"/>
      <c r="W133" s="3"/>
      <c r="X133" s="3"/>
      <c r="Y133" s="8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8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ht="24" customHeight="1" x14ac:dyDescent="0.5">
      <c r="A134" s="3"/>
      <c r="B134" s="3"/>
      <c r="C134" s="3"/>
      <c r="D134" s="3"/>
      <c r="E134" s="3"/>
      <c r="F134" s="3"/>
      <c r="G134" s="83"/>
      <c r="H134" s="3"/>
      <c r="I134" s="3"/>
      <c r="J134" s="3"/>
      <c r="K134" s="83"/>
      <c r="L134" s="3"/>
      <c r="M134" s="3"/>
      <c r="N134" s="3"/>
      <c r="O134" s="3"/>
      <c r="P134" s="3"/>
      <c r="Q134" s="3"/>
      <c r="R134" s="83"/>
      <c r="S134" s="3"/>
      <c r="T134" s="3"/>
      <c r="U134" s="3"/>
      <c r="V134" s="83"/>
      <c r="W134" s="3"/>
      <c r="X134" s="3"/>
      <c r="Y134" s="8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83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1:47" ht="24" customHeight="1" x14ac:dyDescent="0.5">
      <c r="A135" s="3"/>
      <c r="B135" s="3"/>
      <c r="C135" s="3"/>
      <c r="D135" s="3"/>
      <c r="E135" s="3"/>
      <c r="F135" s="3"/>
      <c r="G135" s="83"/>
      <c r="H135" s="3"/>
      <c r="I135" s="3"/>
      <c r="J135" s="3"/>
      <c r="K135" s="83"/>
      <c r="L135" s="3"/>
      <c r="M135" s="3"/>
      <c r="N135" s="3"/>
      <c r="O135" s="3"/>
      <c r="P135" s="3"/>
      <c r="Q135" s="3"/>
      <c r="R135" s="83"/>
      <c r="S135" s="3"/>
      <c r="T135" s="3"/>
      <c r="U135" s="3"/>
      <c r="V135" s="83"/>
      <c r="W135" s="3"/>
      <c r="X135" s="3"/>
      <c r="Y135" s="8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83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1:47" ht="24" customHeight="1" x14ac:dyDescent="0.5">
      <c r="A136" s="3"/>
      <c r="B136" s="3"/>
      <c r="C136" s="3"/>
      <c r="D136" s="3"/>
      <c r="E136" s="3"/>
      <c r="F136" s="3"/>
      <c r="G136" s="83"/>
      <c r="H136" s="3"/>
      <c r="I136" s="3"/>
      <c r="J136" s="3"/>
      <c r="K136" s="83"/>
      <c r="L136" s="3"/>
      <c r="M136" s="3"/>
      <c r="N136" s="3"/>
      <c r="O136" s="3"/>
      <c r="P136" s="3"/>
      <c r="Q136" s="3"/>
      <c r="R136" s="83"/>
      <c r="S136" s="3"/>
      <c r="T136" s="3"/>
      <c r="U136" s="3"/>
      <c r="V136" s="83"/>
      <c r="W136" s="3"/>
      <c r="X136" s="3"/>
      <c r="Y136" s="8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8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ht="24" customHeight="1" x14ac:dyDescent="0.5">
      <c r="A137" s="3"/>
      <c r="B137" s="3"/>
      <c r="C137" s="3"/>
      <c r="D137" s="3"/>
      <c r="E137" s="3"/>
      <c r="F137" s="3"/>
      <c r="G137" s="83"/>
      <c r="H137" s="3"/>
      <c r="I137" s="3"/>
      <c r="J137" s="3"/>
      <c r="K137" s="83"/>
      <c r="L137" s="3"/>
      <c r="M137" s="3"/>
      <c r="N137" s="3"/>
      <c r="O137" s="3"/>
      <c r="P137" s="3"/>
      <c r="Q137" s="3"/>
      <c r="R137" s="83"/>
      <c r="S137" s="3"/>
      <c r="T137" s="3"/>
      <c r="U137" s="3"/>
      <c r="V137" s="83"/>
      <c r="W137" s="3"/>
      <c r="X137" s="3"/>
      <c r="Y137" s="8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8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ht="24" customHeight="1" x14ac:dyDescent="0.5">
      <c r="A138" s="3"/>
      <c r="B138" s="3"/>
      <c r="C138" s="3"/>
      <c r="D138" s="3"/>
      <c r="E138" s="3"/>
      <c r="F138" s="3"/>
      <c r="G138" s="83"/>
      <c r="H138" s="3"/>
      <c r="I138" s="3"/>
      <c r="J138" s="3"/>
      <c r="K138" s="83"/>
      <c r="L138" s="3"/>
      <c r="M138" s="3"/>
      <c r="N138" s="3"/>
      <c r="O138" s="3"/>
      <c r="P138" s="3"/>
      <c r="Q138" s="3"/>
      <c r="R138" s="83"/>
      <c r="S138" s="3"/>
      <c r="T138" s="3"/>
      <c r="U138" s="3"/>
      <c r="V138" s="83"/>
      <c r="W138" s="3"/>
      <c r="X138" s="3"/>
      <c r="Y138" s="8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8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ht="24" customHeight="1" x14ac:dyDescent="0.5">
      <c r="A139" s="3"/>
      <c r="B139" s="3"/>
      <c r="C139" s="3"/>
      <c r="D139" s="3"/>
      <c r="E139" s="3"/>
      <c r="F139" s="3"/>
      <c r="G139" s="83"/>
      <c r="H139" s="3"/>
      <c r="I139" s="3"/>
      <c r="J139" s="3"/>
      <c r="K139" s="83"/>
      <c r="L139" s="3"/>
      <c r="M139" s="3"/>
      <c r="N139" s="3"/>
      <c r="O139" s="3"/>
      <c r="P139" s="3"/>
      <c r="Q139" s="3"/>
      <c r="R139" s="83"/>
      <c r="S139" s="3"/>
      <c r="T139" s="3"/>
      <c r="U139" s="3"/>
      <c r="V139" s="83"/>
      <c r="W139" s="3"/>
      <c r="X139" s="3"/>
      <c r="Y139" s="8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8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ht="24" customHeight="1" x14ac:dyDescent="0.5">
      <c r="A140" s="3"/>
      <c r="B140" s="3"/>
      <c r="C140" s="3"/>
      <c r="D140" s="3"/>
      <c r="E140" s="3"/>
      <c r="F140" s="3"/>
      <c r="G140" s="83"/>
      <c r="H140" s="3"/>
      <c r="I140" s="3"/>
      <c r="J140" s="3"/>
      <c r="K140" s="83"/>
      <c r="L140" s="3"/>
      <c r="M140" s="3"/>
      <c r="N140" s="3"/>
      <c r="O140" s="3"/>
      <c r="P140" s="3"/>
      <c r="Q140" s="3"/>
      <c r="R140" s="83"/>
      <c r="S140" s="3"/>
      <c r="T140" s="3"/>
      <c r="U140" s="3"/>
      <c r="V140" s="83"/>
      <c r="W140" s="3"/>
      <c r="X140" s="3"/>
      <c r="Y140" s="8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8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ht="24" customHeight="1" x14ac:dyDescent="0.5">
      <c r="A141" s="3"/>
      <c r="B141" s="3"/>
      <c r="C141" s="3"/>
      <c r="D141" s="3"/>
      <c r="E141" s="3"/>
      <c r="F141" s="3"/>
      <c r="G141" s="83"/>
      <c r="H141" s="3"/>
      <c r="I141" s="3"/>
      <c r="J141" s="3"/>
      <c r="K141" s="83"/>
      <c r="L141" s="3"/>
      <c r="M141" s="3"/>
      <c r="N141" s="3"/>
      <c r="O141" s="3"/>
      <c r="P141" s="3"/>
      <c r="Q141" s="3"/>
      <c r="R141" s="83"/>
      <c r="S141" s="3"/>
      <c r="T141" s="3"/>
      <c r="U141" s="3"/>
      <c r="V141" s="83"/>
      <c r="W141" s="3"/>
      <c r="X141" s="3"/>
      <c r="Y141" s="8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8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ht="24" customHeight="1" x14ac:dyDescent="0.5">
      <c r="A142" s="3"/>
      <c r="B142" s="3"/>
      <c r="C142" s="3"/>
      <c r="D142" s="3"/>
      <c r="E142" s="3"/>
      <c r="F142" s="3"/>
      <c r="G142" s="83"/>
      <c r="H142" s="3"/>
      <c r="I142" s="3"/>
      <c r="J142" s="3"/>
      <c r="K142" s="83"/>
      <c r="L142" s="3"/>
      <c r="M142" s="3"/>
      <c r="N142" s="3"/>
      <c r="O142" s="3"/>
      <c r="P142" s="3"/>
      <c r="Q142" s="3"/>
      <c r="R142" s="83"/>
      <c r="S142" s="3"/>
      <c r="T142" s="3"/>
      <c r="U142" s="3"/>
      <c r="V142" s="83"/>
      <c r="W142" s="3"/>
      <c r="X142" s="3"/>
      <c r="Y142" s="8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8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ht="24" customHeight="1" x14ac:dyDescent="0.5">
      <c r="A143" s="3"/>
      <c r="B143" s="3"/>
      <c r="C143" s="3"/>
      <c r="D143" s="3"/>
      <c r="E143" s="3"/>
      <c r="F143" s="3"/>
      <c r="G143" s="83"/>
      <c r="H143" s="3"/>
      <c r="I143" s="3"/>
      <c r="J143" s="3"/>
      <c r="K143" s="83"/>
      <c r="L143" s="3"/>
      <c r="M143" s="3"/>
      <c r="N143" s="3"/>
      <c r="O143" s="3"/>
      <c r="P143" s="3"/>
      <c r="Q143" s="3"/>
      <c r="R143" s="83"/>
      <c r="S143" s="3"/>
      <c r="T143" s="3"/>
      <c r="U143" s="3"/>
      <c r="V143" s="83"/>
      <c r="W143" s="3"/>
      <c r="X143" s="3"/>
      <c r="Y143" s="8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8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ht="24" customHeight="1" x14ac:dyDescent="0.5">
      <c r="A144" s="3"/>
      <c r="B144" s="3"/>
      <c r="C144" s="3"/>
      <c r="D144" s="3"/>
      <c r="E144" s="3"/>
      <c r="F144" s="3"/>
      <c r="G144" s="83"/>
      <c r="H144" s="3"/>
      <c r="I144" s="3"/>
      <c r="J144" s="3"/>
      <c r="K144" s="83"/>
      <c r="L144" s="3"/>
      <c r="M144" s="3"/>
      <c r="N144" s="3"/>
      <c r="O144" s="3"/>
      <c r="P144" s="3"/>
      <c r="Q144" s="3"/>
      <c r="R144" s="83"/>
      <c r="S144" s="3"/>
      <c r="T144" s="3"/>
      <c r="U144" s="3"/>
      <c r="V144" s="83"/>
      <c r="W144" s="3"/>
      <c r="X144" s="3"/>
      <c r="Y144" s="8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8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ht="24" customHeight="1" x14ac:dyDescent="0.5">
      <c r="A145" s="3"/>
      <c r="B145" s="3"/>
      <c r="C145" s="3"/>
      <c r="D145" s="3"/>
      <c r="E145" s="3"/>
      <c r="F145" s="3"/>
      <c r="G145" s="83"/>
      <c r="H145" s="3"/>
      <c r="I145" s="3"/>
      <c r="J145" s="3"/>
      <c r="K145" s="83"/>
      <c r="L145" s="3"/>
      <c r="M145" s="3"/>
      <c r="N145" s="3"/>
      <c r="O145" s="3"/>
      <c r="P145" s="3"/>
      <c r="Q145" s="3"/>
      <c r="R145" s="83"/>
      <c r="S145" s="3"/>
      <c r="T145" s="3"/>
      <c r="U145" s="3"/>
      <c r="V145" s="83"/>
      <c r="W145" s="3"/>
      <c r="X145" s="3"/>
      <c r="Y145" s="8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8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ht="24" customHeight="1" x14ac:dyDescent="0.5">
      <c r="A146" s="3"/>
      <c r="B146" s="3"/>
      <c r="C146" s="3"/>
      <c r="D146" s="3"/>
      <c r="E146" s="3"/>
      <c r="F146" s="3"/>
      <c r="G146" s="83"/>
      <c r="H146" s="3"/>
      <c r="I146" s="3"/>
      <c r="J146" s="3"/>
      <c r="K146" s="83"/>
      <c r="L146" s="3"/>
      <c r="M146" s="3"/>
      <c r="N146" s="3"/>
      <c r="O146" s="3"/>
      <c r="P146" s="3"/>
      <c r="Q146" s="3"/>
      <c r="R146" s="83"/>
      <c r="S146" s="3"/>
      <c r="T146" s="3"/>
      <c r="U146" s="3"/>
      <c r="V146" s="83"/>
      <c r="W146" s="3"/>
      <c r="X146" s="3"/>
      <c r="Y146" s="8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8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ht="24" customHeight="1" x14ac:dyDescent="0.5">
      <c r="A147" s="3"/>
      <c r="B147" s="3"/>
      <c r="C147" s="3"/>
      <c r="D147" s="3"/>
      <c r="E147" s="3"/>
      <c r="F147" s="3"/>
      <c r="G147" s="83"/>
      <c r="H147" s="3"/>
      <c r="I147" s="3"/>
      <c r="J147" s="3"/>
      <c r="K147" s="83"/>
      <c r="L147" s="3"/>
      <c r="M147" s="3"/>
      <c r="N147" s="3"/>
      <c r="O147" s="3"/>
      <c r="P147" s="3"/>
      <c r="Q147" s="3"/>
      <c r="R147" s="83"/>
      <c r="S147" s="3"/>
      <c r="T147" s="3"/>
      <c r="U147" s="3"/>
      <c r="V147" s="83"/>
      <c r="W147" s="3"/>
      <c r="X147" s="3"/>
      <c r="Y147" s="8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8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ht="24" customHeight="1" x14ac:dyDescent="0.5">
      <c r="A148" s="3"/>
      <c r="B148" s="3"/>
      <c r="C148" s="3"/>
      <c r="D148" s="3"/>
      <c r="E148" s="3"/>
      <c r="F148" s="3"/>
      <c r="G148" s="83"/>
      <c r="H148" s="3"/>
      <c r="I148" s="3"/>
      <c r="J148" s="3"/>
      <c r="K148" s="83"/>
      <c r="L148" s="3"/>
      <c r="M148" s="3"/>
      <c r="N148" s="3"/>
      <c r="O148" s="3"/>
      <c r="P148" s="3"/>
      <c r="Q148" s="3"/>
      <c r="R148" s="83"/>
      <c r="S148" s="3"/>
      <c r="T148" s="3"/>
      <c r="U148" s="3"/>
      <c r="V148" s="83"/>
      <c r="W148" s="3"/>
      <c r="X148" s="3"/>
      <c r="Y148" s="8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8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ht="24" customHeight="1" x14ac:dyDescent="0.5">
      <c r="A149" s="3"/>
      <c r="B149" s="3"/>
      <c r="C149" s="3"/>
      <c r="D149" s="3"/>
      <c r="E149" s="3"/>
      <c r="F149" s="3"/>
      <c r="G149" s="83"/>
      <c r="H149" s="3"/>
      <c r="I149" s="3"/>
      <c r="J149" s="3"/>
      <c r="K149" s="83"/>
      <c r="L149" s="3"/>
      <c r="M149" s="3"/>
      <c r="N149" s="3"/>
      <c r="O149" s="3"/>
      <c r="P149" s="3"/>
      <c r="Q149" s="3"/>
      <c r="R149" s="83"/>
      <c r="S149" s="3"/>
      <c r="T149" s="3"/>
      <c r="U149" s="3"/>
      <c r="V149" s="83"/>
      <c r="W149" s="3"/>
      <c r="X149" s="3"/>
      <c r="Y149" s="8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8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ht="24" customHeight="1" x14ac:dyDescent="0.5">
      <c r="A150" s="3"/>
      <c r="B150" s="3"/>
      <c r="C150" s="3"/>
      <c r="D150" s="3"/>
      <c r="E150" s="3"/>
      <c r="F150" s="3"/>
      <c r="G150" s="83"/>
      <c r="H150" s="3"/>
      <c r="I150" s="3"/>
      <c r="J150" s="3"/>
      <c r="K150" s="83"/>
      <c r="L150" s="3"/>
      <c r="M150" s="3"/>
      <c r="N150" s="3"/>
      <c r="O150" s="3"/>
      <c r="P150" s="3"/>
      <c r="Q150" s="3"/>
      <c r="R150" s="83"/>
      <c r="S150" s="3"/>
      <c r="T150" s="3"/>
      <c r="U150" s="3"/>
      <c r="V150" s="83"/>
      <c r="W150" s="3"/>
      <c r="X150" s="3"/>
      <c r="Y150" s="8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8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ht="24" customHeight="1" x14ac:dyDescent="0.5">
      <c r="A151" s="3"/>
      <c r="B151" s="3"/>
      <c r="C151" s="3"/>
      <c r="D151" s="3"/>
      <c r="E151" s="3"/>
      <c r="F151" s="3"/>
      <c r="G151" s="83"/>
      <c r="H151" s="3"/>
      <c r="I151" s="3"/>
      <c r="J151" s="3"/>
      <c r="K151" s="83"/>
      <c r="L151" s="3"/>
      <c r="M151" s="3"/>
      <c r="N151" s="3"/>
      <c r="O151" s="3"/>
      <c r="P151" s="3"/>
      <c r="Q151" s="3"/>
      <c r="R151" s="83"/>
      <c r="S151" s="3"/>
      <c r="T151" s="3"/>
      <c r="U151" s="3"/>
      <c r="V151" s="83"/>
      <c r="W151" s="3"/>
      <c r="X151" s="3"/>
      <c r="Y151" s="8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8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ht="24" customHeight="1" x14ac:dyDescent="0.5">
      <c r="A152" s="3"/>
      <c r="B152" s="3"/>
      <c r="C152" s="3"/>
      <c r="D152" s="3"/>
      <c r="E152" s="3"/>
      <c r="F152" s="3"/>
      <c r="G152" s="83"/>
      <c r="H152" s="3"/>
      <c r="I152" s="3"/>
      <c r="J152" s="3"/>
      <c r="K152" s="83"/>
      <c r="L152" s="3"/>
      <c r="M152" s="3"/>
      <c r="N152" s="3"/>
      <c r="O152" s="3"/>
      <c r="P152" s="3"/>
      <c r="Q152" s="3"/>
      <c r="R152" s="83"/>
      <c r="S152" s="3"/>
      <c r="T152" s="3"/>
      <c r="U152" s="3"/>
      <c r="V152" s="83"/>
      <c r="W152" s="3"/>
      <c r="X152" s="3"/>
      <c r="Y152" s="8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8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1:47" ht="24" customHeight="1" x14ac:dyDescent="0.5">
      <c r="A153" s="3"/>
      <c r="B153" s="3"/>
      <c r="C153" s="3"/>
      <c r="D153" s="3"/>
      <c r="E153" s="3"/>
      <c r="F153" s="3"/>
      <c r="G153" s="83"/>
      <c r="H153" s="3"/>
      <c r="I153" s="3"/>
      <c r="J153" s="3"/>
      <c r="K153" s="83"/>
      <c r="L153" s="3"/>
      <c r="M153" s="3"/>
      <c r="N153" s="3"/>
      <c r="O153" s="3"/>
      <c r="P153" s="3"/>
      <c r="Q153" s="3"/>
      <c r="R153" s="83"/>
      <c r="S153" s="3"/>
      <c r="T153" s="3"/>
      <c r="U153" s="3"/>
      <c r="V153" s="83"/>
      <c r="W153" s="3"/>
      <c r="X153" s="3"/>
      <c r="Y153" s="8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8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1:47" ht="24" customHeight="1" x14ac:dyDescent="0.5">
      <c r="A154" s="3"/>
      <c r="B154" s="3"/>
      <c r="C154" s="3"/>
      <c r="D154" s="3"/>
      <c r="E154" s="3"/>
      <c r="F154" s="3"/>
      <c r="G154" s="83"/>
      <c r="H154" s="3"/>
      <c r="I154" s="3"/>
      <c r="J154" s="3"/>
      <c r="K154" s="83"/>
      <c r="L154" s="3"/>
      <c r="M154" s="3"/>
      <c r="N154" s="3"/>
      <c r="O154" s="3"/>
      <c r="P154" s="3"/>
      <c r="Q154" s="3"/>
      <c r="R154" s="83"/>
      <c r="S154" s="3"/>
      <c r="T154" s="3"/>
      <c r="U154" s="3"/>
      <c r="V154" s="83"/>
      <c r="W154" s="3"/>
      <c r="X154" s="3"/>
      <c r="Y154" s="8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8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1:47" ht="24" customHeight="1" x14ac:dyDescent="0.5">
      <c r="A155" s="3"/>
      <c r="B155" s="3"/>
      <c r="C155" s="3"/>
      <c r="D155" s="3"/>
      <c r="E155" s="3"/>
      <c r="F155" s="3"/>
      <c r="G155" s="83"/>
      <c r="H155" s="3"/>
      <c r="I155" s="3"/>
      <c r="J155" s="3"/>
      <c r="K155" s="83"/>
      <c r="L155" s="3"/>
      <c r="M155" s="3"/>
      <c r="N155" s="3"/>
      <c r="O155" s="3"/>
      <c r="P155" s="3"/>
      <c r="Q155" s="3"/>
      <c r="R155" s="83"/>
      <c r="S155" s="3"/>
      <c r="T155" s="3"/>
      <c r="U155" s="3"/>
      <c r="V155" s="83"/>
      <c r="W155" s="3"/>
      <c r="X155" s="3"/>
      <c r="Y155" s="8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8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1:47" ht="24" customHeight="1" x14ac:dyDescent="0.5">
      <c r="A156" s="3"/>
      <c r="B156" s="3"/>
      <c r="C156" s="3"/>
      <c r="D156" s="3"/>
      <c r="E156" s="3"/>
      <c r="F156" s="3"/>
      <c r="G156" s="83"/>
      <c r="H156" s="3"/>
      <c r="I156" s="3"/>
      <c r="J156" s="3"/>
      <c r="K156" s="83"/>
      <c r="L156" s="3"/>
      <c r="M156" s="3"/>
      <c r="N156" s="3"/>
      <c r="O156" s="3"/>
      <c r="P156" s="3"/>
      <c r="Q156" s="3"/>
      <c r="R156" s="83"/>
      <c r="S156" s="3"/>
      <c r="T156" s="3"/>
      <c r="U156" s="3"/>
      <c r="V156" s="83"/>
      <c r="W156" s="3"/>
      <c r="X156" s="3"/>
      <c r="Y156" s="8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8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1:47" ht="24" customHeight="1" x14ac:dyDescent="0.5">
      <c r="A157" s="3"/>
      <c r="B157" s="3"/>
      <c r="C157" s="3"/>
      <c r="D157" s="3"/>
      <c r="E157" s="3"/>
      <c r="F157" s="3"/>
      <c r="G157" s="83"/>
      <c r="H157" s="3"/>
      <c r="I157" s="3"/>
      <c r="J157" s="3"/>
      <c r="K157" s="83"/>
      <c r="L157" s="3"/>
      <c r="M157" s="3"/>
      <c r="N157" s="3"/>
      <c r="O157" s="3"/>
      <c r="P157" s="3"/>
      <c r="Q157" s="3"/>
      <c r="R157" s="83"/>
      <c r="S157" s="3"/>
      <c r="T157" s="3"/>
      <c r="U157" s="3"/>
      <c r="V157" s="83"/>
      <c r="W157" s="3"/>
      <c r="X157" s="3"/>
      <c r="Y157" s="8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8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1:47" ht="24" customHeight="1" x14ac:dyDescent="0.5">
      <c r="A158" s="3"/>
      <c r="B158" s="3"/>
      <c r="C158" s="3"/>
      <c r="D158" s="3"/>
      <c r="E158" s="3"/>
      <c r="F158" s="3"/>
      <c r="G158" s="83"/>
      <c r="H158" s="3"/>
      <c r="I158" s="3"/>
      <c r="J158" s="3"/>
      <c r="K158" s="83"/>
      <c r="L158" s="3"/>
      <c r="M158" s="3"/>
      <c r="N158" s="3"/>
      <c r="O158" s="3"/>
      <c r="P158" s="3"/>
      <c r="Q158" s="3"/>
      <c r="R158" s="83"/>
      <c r="S158" s="3"/>
      <c r="T158" s="3"/>
      <c r="U158" s="3"/>
      <c r="V158" s="83"/>
      <c r="W158" s="3"/>
      <c r="X158" s="3"/>
      <c r="Y158" s="8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8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1:47" ht="24" customHeight="1" x14ac:dyDescent="0.5">
      <c r="A159" s="3"/>
      <c r="B159" s="3"/>
      <c r="C159" s="3"/>
      <c r="D159" s="3"/>
      <c r="E159" s="3"/>
      <c r="F159" s="3"/>
      <c r="G159" s="83"/>
      <c r="H159" s="3"/>
      <c r="I159" s="3"/>
      <c r="J159" s="3"/>
      <c r="K159" s="83"/>
      <c r="L159" s="3"/>
      <c r="M159" s="3"/>
      <c r="N159" s="3"/>
      <c r="O159" s="3"/>
      <c r="P159" s="3"/>
      <c r="Q159" s="3"/>
      <c r="R159" s="83"/>
      <c r="S159" s="3"/>
      <c r="T159" s="3"/>
      <c r="U159" s="3"/>
      <c r="V159" s="83"/>
      <c r="W159" s="3"/>
      <c r="X159" s="3"/>
      <c r="Y159" s="8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8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1:47" ht="24" customHeight="1" x14ac:dyDescent="0.5">
      <c r="A160" s="3"/>
      <c r="B160" s="3"/>
      <c r="C160" s="3"/>
      <c r="D160" s="3"/>
      <c r="E160" s="3"/>
      <c r="F160" s="3"/>
      <c r="G160" s="83"/>
      <c r="H160" s="3"/>
      <c r="I160" s="3"/>
      <c r="J160" s="3"/>
      <c r="K160" s="83"/>
      <c r="L160" s="3"/>
      <c r="M160" s="3"/>
      <c r="N160" s="3"/>
      <c r="O160" s="3"/>
      <c r="P160" s="3"/>
      <c r="Q160" s="3"/>
      <c r="R160" s="83"/>
      <c r="S160" s="3"/>
      <c r="T160" s="3"/>
      <c r="U160" s="3"/>
      <c r="V160" s="83"/>
      <c r="W160" s="3"/>
      <c r="X160" s="3"/>
      <c r="Y160" s="8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8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1:47" ht="24" customHeight="1" x14ac:dyDescent="0.5">
      <c r="A161" s="3"/>
      <c r="B161" s="3"/>
      <c r="C161" s="3"/>
      <c r="D161" s="3"/>
      <c r="E161" s="3"/>
      <c r="F161" s="3"/>
      <c r="G161" s="83"/>
      <c r="H161" s="3"/>
      <c r="I161" s="3"/>
      <c r="J161" s="3"/>
      <c r="K161" s="83"/>
      <c r="L161" s="3"/>
      <c r="M161" s="3"/>
      <c r="N161" s="3"/>
      <c r="O161" s="3"/>
      <c r="P161" s="3"/>
      <c r="Q161" s="3"/>
      <c r="R161" s="83"/>
      <c r="S161" s="3"/>
      <c r="T161" s="3"/>
      <c r="U161" s="3"/>
      <c r="V161" s="83"/>
      <c r="W161" s="3"/>
      <c r="X161" s="3"/>
      <c r="Y161" s="8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8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1:47" ht="24" customHeight="1" x14ac:dyDescent="0.5">
      <c r="A162" s="3"/>
      <c r="B162" s="3"/>
      <c r="C162" s="3"/>
      <c r="D162" s="3"/>
      <c r="E162" s="3"/>
      <c r="F162" s="3"/>
      <c r="G162" s="83"/>
      <c r="H162" s="3"/>
      <c r="I162" s="3"/>
      <c r="J162" s="3"/>
      <c r="K162" s="83"/>
      <c r="L162" s="3"/>
      <c r="M162" s="3"/>
      <c r="N162" s="3"/>
      <c r="O162" s="3"/>
      <c r="P162" s="3"/>
      <c r="Q162" s="3"/>
      <c r="R162" s="83"/>
      <c r="S162" s="3"/>
      <c r="T162" s="3"/>
      <c r="U162" s="3"/>
      <c r="V162" s="83"/>
      <c r="W162" s="3"/>
      <c r="X162" s="3"/>
      <c r="Y162" s="8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8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1:47" ht="24" customHeight="1" x14ac:dyDescent="0.5">
      <c r="A163" s="3"/>
      <c r="B163" s="3"/>
      <c r="C163" s="3"/>
      <c r="D163" s="3"/>
      <c r="E163" s="3"/>
      <c r="F163" s="3"/>
      <c r="G163" s="83"/>
      <c r="H163" s="3"/>
      <c r="I163" s="3"/>
      <c r="J163" s="3"/>
      <c r="K163" s="83"/>
      <c r="L163" s="3"/>
      <c r="M163" s="3"/>
      <c r="N163" s="3"/>
      <c r="O163" s="3"/>
      <c r="P163" s="3"/>
      <c r="Q163" s="3"/>
      <c r="R163" s="83"/>
      <c r="S163" s="3"/>
      <c r="T163" s="3"/>
      <c r="U163" s="3"/>
      <c r="V163" s="83"/>
      <c r="W163" s="3"/>
      <c r="X163" s="3"/>
      <c r="Y163" s="8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8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1:47" ht="24" customHeight="1" x14ac:dyDescent="0.5">
      <c r="A164" s="3"/>
      <c r="B164" s="3"/>
      <c r="C164" s="3"/>
      <c r="D164" s="3"/>
      <c r="E164" s="3"/>
      <c r="F164" s="3"/>
      <c r="G164" s="83"/>
      <c r="H164" s="3"/>
      <c r="I164" s="3"/>
      <c r="J164" s="3"/>
      <c r="K164" s="83"/>
      <c r="L164" s="3"/>
      <c r="M164" s="3"/>
      <c r="N164" s="3"/>
      <c r="O164" s="3"/>
      <c r="P164" s="3"/>
      <c r="Q164" s="3"/>
      <c r="R164" s="83"/>
      <c r="S164" s="3"/>
      <c r="T164" s="3"/>
      <c r="U164" s="3"/>
      <c r="V164" s="83"/>
      <c r="W164" s="3"/>
      <c r="X164" s="3"/>
      <c r="Y164" s="8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8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1:47" ht="24" customHeight="1" x14ac:dyDescent="0.5">
      <c r="A165" s="3"/>
      <c r="B165" s="3"/>
      <c r="C165" s="3"/>
      <c r="D165" s="3"/>
      <c r="E165" s="3"/>
      <c r="F165" s="3"/>
      <c r="G165" s="83"/>
      <c r="H165" s="3"/>
      <c r="I165" s="3"/>
      <c r="J165" s="3"/>
      <c r="K165" s="83"/>
      <c r="L165" s="3"/>
      <c r="M165" s="3"/>
      <c r="N165" s="3"/>
      <c r="O165" s="3"/>
      <c r="P165" s="3"/>
      <c r="Q165" s="3"/>
      <c r="R165" s="83"/>
      <c r="S165" s="3"/>
      <c r="T165" s="3"/>
      <c r="U165" s="3"/>
      <c r="V165" s="83"/>
      <c r="W165" s="3"/>
      <c r="X165" s="3"/>
      <c r="Y165" s="8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8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47" ht="24" customHeight="1" x14ac:dyDescent="0.5">
      <c r="A166" s="3"/>
      <c r="B166" s="3"/>
      <c r="C166" s="3"/>
      <c r="D166" s="3"/>
      <c r="E166" s="3"/>
      <c r="F166" s="3"/>
      <c r="G166" s="83"/>
      <c r="H166" s="3"/>
      <c r="I166" s="3"/>
      <c r="J166" s="3"/>
      <c r="K166" s="83"/>
      <c r="L166" s="3"/>
      <c r="M166" s="3"/>
      <c r="N166" s="3"/>
      <c r="O166" s="3"/>
      <c r="P166" s="3"/>
      <c r="Q166" s="3"/>
      <c r="R166" s="83"/>
      <c r="S166" s="3"/>
      <c r="T166" s="3"/>
      <c r="U166" s="3"/>
      <c r="V166" s="83"/>
      <c r="W166" s="3"/>
      <c r="X166" s="3"/>
      <c r="Y166" s="8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8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47" ht="24" customHeight="1" x14ac:dyDescent="0.5">
      <c r="A167" s="3"/>
      <c r="B167" s="3"/>
      <c r="C167" s="3"/>
      <c r="D167" s="3"/>
      <c r="E167" s="3"/>
      <c r="F167" s="3"/>
      <c r="G167" s="83"/>
      <c r="H167" s="3"/>
      <c r="I167" s="3"/>
      <c r="J167" s="3"/>
      <c r="K167" s="83"/>
      <c r="L167" s="3"/>
      <c r="M167" s="3"/>
      <c r="N167" s="3"/>
      <c r="O167" s="3"/>
      <c r="P167" s="3"/>
      <c r="Q167" s="3"/>
      <c r="R167" s="83"/>
      <c r="S167" s="3"/>
      <c r="T167" s="3"/>
      <c r="U167" s="3"/>
      <c r="V167" s="83"/>
      <c r="W167" s="3"/>
      <c r="X167" s="3"/>
      <c r="Y167" s="8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8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47" ht="24" customHeight="1" x14ac:dyDescent="0.5">
      <c r="A168" s="3"/>
      <c r="B168" s="3"/>
      <c r="C168" s="3"/>
      <c r="D168" s="3"/>
      <c r="E168" s="3"/>
      <c r="F168" s="3"/>
      <c r="G168" s="83"/>
      <c r="H168" s="3"/>
      <c r="I168" s="3"/>
      <c r="J168" s="3"/>
      <c r="K168" s="83"/>
      <c r="L168" s="3"/>
      <c r="M168" s="3"/>
      <c r="N168" s="3"/>
      <c r="O168" s="3"/>
      <c r="P168" s="3"/>
      <c r="Q168" s="3"/>
      <c r="R168" s="83"/>
      <c r="S168" s="3"/>
      <c r="T168" s="3"/>
      <c r="U168" s="3"/>
      <c r="V168" s="83"/>
      <c r="W168" s="3"/>
      <c r="X168" s="3"/>
      <c r="Y168" s="8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8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47" ht="24" customHeight="1" x14ac:dyDescent="0.5">
      <c r="A169" s="3"/>
      <c r="B169" s="3"/>
      <c r="C169" s="3"/>
      <c r="D169" s="3"/>
      <c r="E169" s="3"/>
      <c r="F169" s="3"/>
      <c r="G169" s="83"/>
      <c r="H169" s="3"/>
      <c r="I169" s="3"/>
      <c r="J169" s="3"/>
      <c r="K169" s="83"/>
      <c r="L169" s="3"/>
      <c r="M169" s="3"/>
      <c r="N169" s="3"/>
      <c r="O169" s="3"/>
      <c r="P169" s="3"/>
      <c r="Q169" s="3"/>
      <c r="R169" s="83"/>
      <c r="S169" s="3"/>
      <c r="T169" s="3"/>
      <c r="U169" s="3"/>
      <c r="V169" s="83"/>
      <c r="W169" s="3"/>
      <c r="X169" s="3"/>
      <c r="Y169" s="8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8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47" ht="24" customHeight="1" x14ac:dyDescent="0.5">
      <c r="A170" s="3"/>
      <c r="B170" s="3"/>
      <c r="C170" s="3"/>
      <c r="D170" s="3"/>
      <c r="E170" s="3"/>
      <c r="F170" s="3"/>
      <c r="G170" s="83"/>
      <c r="H170" s="3"/>
      <c r="I170" s="3"/>
      <c r="J170" s="3"/>
      <c r="K170" s="83"/>
      <c r="L170" s="3"/>
      <c r="M170" s="3"/>
      <c r="N170" s="3"/>
      <c r="O170" s="3"/>
      <c r="P170" s="3"/>
      <c r="Q170" s="3"/>
      <c r="R170" s="83"/>
      <c r="S170" s="3"/>
      <c r="T170" s="3"/>
      <c r="U170" s="3"/>
      <c r="V170" s="83"/>
      <c r="W170" s="3"/>
      <c r="X170" s="3"/>
      <c r="Y170" s="8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83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1:47" ht="24" customHeight="1" x14ac:dyDescent="0.5">
      <c r="A171" s="3"/>
      <c r="B171" s="3"/>
      <c r="C171" s="3"/>
      <c r="D171" s="3"/>
      <c r="E171" s="3"/>
      <c r="F171" s="3"/>
      <c r="G171" s="83"/>
      <c r="H171" s="3"/>
      <c r="I171" s="3"/>
      <c r="J171" s="3"/>
      <c r="K171" s="83"/>
      <c r="L171" s="3"/>
      <c r="M171" s="3"/>
      <c r="N171" s="3"/>
      <c r="O171" s="3"/>
      <c r="P171" s="3"/>
      <c r="Q171" s="3"/>
      <c r="R171" s="83"/>
      <c r="S171" s="3"/>
      <c r="T171" s="3"/>
      <c r="U171" s="3"/>
      <c r="V171" s="83"/>
      <c r="W171" s="3"/>
      <c r="X171" s="3"/>
      <c r="Y171" s="8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83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1:47" ht="24" customHeight="1" x14ac:dyDescent="0.5">
      <c r="A172" s="3"/>
      <c r="B172" s="3"/>
      <c r="C172" s="3"/>
      <c r="D172" s="3"/>
      <c r="E172" s="3"/>
      <c r="F172" s="3"/>
      <c r="G172" s="83"/>
      <c r="H172" s="3"/>
      <c r="I172" s="3"/>
      <c r="J172" s="3"/>
      <c r="K172" s="83"/>
      <c r="L172" s="3"/>
      <c r="M172" s="3"/>
      <c r="N172" s="3"/>
      <c r="O172" s="3"/>
      <c r="P172" s="3"/>
      <c r="Q172" s="3"/>
      <c r="R172" s="83"/>
      <c r="S172" s="3"/>
      <c r="T172" s="3"/>
      <c r="U172" s="3"/>
      <c r="V172" s="83"/>
      <c r="W172" s="3"/>
      <c r="X172" s="3"/>
      <c r="Y172" s="8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83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1:47" ht="24" customHeight="1" x14ac:dyDescent="0.5">
      <c r="A173" s="3"/>
      <c r="B173" s="3"/>
      <c r="C173" s="3"/>
      <c r="D173" s="3"/>
      <c r="E173" s="3"/>
      <c r="F173" s="3"/>
      <c r="G173" s="83"/>
      <c r="H173" s="3"/>
      <c r="I173" s="3"/>
      <c r="J173" s="3"/>
      <c r="K173" s="83"/>
      <c r="L173" s="3"/>
      <c r="M173" s="3"/>
      <c r="N173" s="3"/>
      <c r="O173" s="3"/>
      <c r="P173" s="3"/>
      <c r="Q173" s="3"/>
      <c r="R173" s="83"/>
      <c r="S173" s="3"/>
      <c r="T173" s="3"/>
      <c r="U173" s="3"/>
      <c r="V173" s="83"/>
      <c r="W173" s="3"/>
      <c r="X173" s="3"/>
      <c r="Y173" s="8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83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1:47" ht="24" customHeight="1" x14ac:dyDescent="0.5">
      <c r="A174" s="3"/>
      <c r="B174" s="3"/>
      <c r="C174" s="3"/>
      <c r="D174" s="3"/>
      <c r="E174" s="3"/>
      <c r="F174" s="3"/>
      <c r="G174" s="83"/>
      <c r="H174" s="3"/>
      <c r="I174" s="3"/>
      <c r="J174" s="3"/>
      <c r="K174" s="83"/>
      <c r="L174" s="3"/>
      <c r="M174" s="3"/>
      <c r="N174" s="3"/>
      <c r="O174" s="3"/>
      <c r="P174" s="3"/>
      <c r="Q174" s="3"/>
      <c r="R174" s="83"/>
      <c r="S174" s="3"/>
      <c r="T174" s="3"/>
      <c r="U174" s="3"/>
      <c r="V174" s="83"/>
      <c r="W174" s="3"/>
      <c r="X174" s="3"/>
      <c r="Y174" s="8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83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1:47" ht="24" customHeight="1" x14ac:dyDescent="0.5">
      <c r="A175" s="3"/>
      <c r="B175" s="3"/>
      <c r="C175" s="3"/>
      <c r="D175" s="3"/>
      <c r="E175" s="3"/>
      <c r="F175" s="3"/>
      <c r="G175" s="83"/>
      <c r="H175" s="3"/>
      <c r="I175" s="3"/>
      <c r="J175" s="3"/>
      <c r="K175" s="83"/>
      <c r="L175" s="3"/>
      <c r="M175" s="3"/>
      <c r="N175" s="3"/>
      <c r="O175" s="3"/>
      <c r="P175" s="3"/>
      <c r="Q175" s="3"/>
      <c r="R175" s="83"/>
      <c r="S175" s="3"/>
      <c r="T175" s="3"/>
      <c r="U175" s="3"/>
      <c r="V175" s="83"/>
      <c r="W175" s="3"/>
      <c r="X175" s="3"/>
      <c r="Y175" s="8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83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1:47" ht="24" customHeight="1" x14ac:dyDescent="0.5">
      <c r="A176" s="3"/>
      <c r="B176" s="3"/>
      <c r="C176" s="3"/>
      <c r="D176" s="3"/>
      <c r="E176" s="3"/>
      <c r="F176" s="3"/>
      <c r="G176" s="83"/>
      <c r="H176" s="3"/>
      <c r="I176" s="3"/>
      <c r="J176" s="3"/>
      <c r="K176" s="83"/>
      <c r="L176" s="3"/>
      <c r="M176" s="3"/>
      <c r="N176" s="3"/>
      <c r="O176" s="3"/>
      <c r="P176" s="3"/>
      <c r="Q176" s="3"/>
      <c r="R176" s="83"/>
      <c r="S176" s="3"/>
      <c r="T176" s="3"/>
      <c r="U176" s="3"/>
      <c r="V176" s="83"/>
      <c r="W176" s="3"/>
      <c r="X176" s="3"/>
      <c r="Y176" s="8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83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1:47" ht="24" customHeight="1" x14ac:dyDescent="0.5">
      <c r="A177" s="3"/>
      <c r="B177" s="3"/>
      <c r="C177" s="3"/>
      <c r="D177" s="3"/>
      <c r="E177" s="3"/>
      <c r="F177" s="3"/>
      <c r="G177" s="83"/>
      <c r="H177" s="3"/>
      <c r="I177" s="3"/>
      <c r="J177" s="3"/>
      <c r="K177" s="83"/>
      <c r="L177" s="3"/>
      <c r="M177" s="3"/>
      <c r="N177" s="3"/>
      <c r="O177" s="3"/>
      <c r="P177" s="3"/>
      <c r="Q177" s="3"/>
      <c r="R177" s="83"/>
      <c r="S177" s="3"/>
      <c r="T177" s="3"/>
      <c r="U177" s="3"/>
      <c r="V177" s="83"/>
      <c r="W177" s="3"/>
      <c r="X177" s="3"/>
      <c r="Y177" s="8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83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1:47" ht="24" customHeight="1" x14ac:dyDescent="0.5">
      <c r="A178" s="3"/>
      <c r="B178" s="3"/>
      <c r="C178" s="3"/>
      <c r="D178" s="3"/>
      <c r="E178" s="3"/>
      <c r="F178" s="3"/>
      <c r="G178" s="83"/>
      <c r="H178" s="3"/>
      <c r="I178" s="3"/>
      <c r="J178" s="3"/>
      <c r="K178" s="83"/>
      <c r="L178" s="3"/>
      <c r="M178" s="3"/>
      <c r="N178" s="3"/>
      <c r="O178" s="3"/>
      <c r="P178" s="3"/>
      <c r="Q178" s="3"/>
      <c r="R178" s="83"/>
      <c r="S178" s="3"/>
      <c r="T178" s="3"/>
      <c r="U178" s="3"/>
      <c r="V178" s="83"/>
      <c r="W178" s="3"/>
      <c r="X178" s="3"/>
      <c r="Y178" s="8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8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1:47" ht="24" customHeight="1" x14ac:dyDescent="0.5">
      <c r="A179" s="3"/>
      <c r="B179" s="3"/>
      <c r="C179" s="3"/>
      <c r="D179" s="3"/>
      <c r="E179" s="3"/>
      <c r="F179" s="3"/>
      <c r="G179" s="83"/>
      <c r="H179" s="3"/>
      <c r="I179" s="3"/>
      <c r="J179" s="3"/>
      <c r="K179" s="83"/>
      <c r="L179" s="3"/>
      <c r="M179" s="3"/>
      <c r="N179" s="3"/>
      <c r="O179" s="3"/>
      <c r="P179" s="3"/>
      <c r="Q179" s="3"/>
      <c r="R179" s="83"/>
      <c r="S179" s="3"/>
      <c r="T179" s="3"/>
      <c r="U179" s="3"/>
      <c r="V179" s="83"/>
      <c r="W179" s="3"/>
      <c r="X179" s="3"/>
      <c r="Y179" s="8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8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1:47" ht="24" customHeight="1" x14ac:dyDescent="0.5">
      <c r="A180" s="3"/>
      <c r="B180" s="3"/>
      <c r="C180" s="3"/>
      <c r="D180" s="3"/>
      <c r="E180" s="3"/>
      <c r="F180" s="3"/>
      <c r="G180" s="83"/>
      <c r="H180" s="3"/>
      <c r="I180" s="3"/>
      <c r="J180" s="3"/>
      <c r="K180" s="83"/>
      <c r="L180" s="3"/>
      <c r="M180" s="3"/>
      <c r="N180" s="3"/>
      <c r="O180" s="3"/>
      <c r="P180" s="3"/>
      <c r="Q180" s="3"/>
      <c r="R180" s="83"/>
      <c r="S180" s="3"/>
      <c r="T180" s="3"/>
      <c r="U180" s="3"/>
      <c r="V180" s="83"/>
      <c r="W180" s="3"/>
      <c r="X180" s="3"/>
      <c r="Y180" s="8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8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1:47" ht="24" customHeight="1" x14ac:dyDescent="0.5">
      <c r="A181" s="3"/>
      <c r="B181" s="3"/>
      <c r="C181" s="3"/>
      <c r="D181" s="3"/>
      <c r="E181" s="3"/>
      <c r="F181" s="3"/>
      <c r="G181" s="83"/>
      <c r="H181" s="3"/>
      <c r="I181" s="3"/>
      <c r="J181" s="3"/>
      <c r="K181" s="83"/>
      <c r="L181" s="3"/>
      <c r="M181" s="3"/>
      <c r="N181" s="3"/>
      <c r="O181" s="3"/>
      <c r="P181" s="3"/>
      <c r="Q181" s="3"/>
      <c r="R181" s="83"/>
      <c r="S181" s="3"/>
      <c r="T181" s="3"/>
      <c r="U181" s="3"/>
      <c r="V181" s="83"/>
      <c r="W181" s="3"/>
      <c r="X181" s="3"/>
      <c r="Y181" s="8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8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1:47" ht="24" customHeight="1" x14ac:dyDescent="0.5">
      <c r="A182" s="3"/>
      <c r="B182" s="3"/>
      <c r="C182" s="3"/>
      <c r="D182" s="3"/>
      <c r="E182" s="3"/>
      <c r="F182" s="3"/>
      <c r="G182" s="83"/>
      <c r="H182" s="3"/>
      <c r="I182" s="3"/>
      <c r="J182" s="3"/>
      <c r="K182" s="83"/>
      <c r="L182" s="3"/>
      <c r="M182" s="3"/>
      <c r="N182" s="3"/>
      <c r="O182" s="3"/>
      <c r="P182" s="3"/>
      <c r="Q182" s="3"/>
      <c r="R182" s="83"/>
      <c r="S182" s="3"/>
      <c r="T182" s="3"/>
      <c r="U182" s="3"/>
      <c r="V182" s="83"/>
      <c r="W182" s="3"/>
      <c r="X182" s="3"/>
      <c r="Y182" s="8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8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1:47" ht="24" customHeight="1" x14ac:dyDescent="0.5">
      <c r="A183" s="3"/>
      <c r="B183" s="3"/>
      <c r="C183" s="3"/>
      <c r="D183" s="3"/>
      <c r="E183" s="3"/>
      <c r="F183" s="3"/>
      <c r="G183" s="83"/>
      <c r="H183" s="3"/>
      <c r="I183" s="3"/>
      <c r="J183" s="3"/>
      <c r="K183" s="83"/>
      <c r="L183" s="3"/>
      <c r="M183" s="3"/>
      <c r="N183" s="3"/>
      <c r="O183" s="3"/>
      <c r="P183" s="3"/>
      <c r="Q183" s="3"/>
      <c r="R183" s="83"/>
      <c r="S183" s="3"/>
      <c r="T183" s="3"/>
      <c r="U183" s="3"/>
      <c r="V183" s="83"/>
      <c r="W183" s="3"/>
      <c r="X183" s="3"/>
      <c r="Y183" s="8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8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1:47" ht="24" customHeight="1" x14ac:dyDescent="0.5">
      <c r="A184" s="3"/>
      <c r="B184" s="3"/>
      <c r="C184" s="3"/>
      <c r="D184" s="3"/>
      <c r="E184" s="3"/>
      <c r="F184" s="3"/>
      <c r="G184" s="83"/>
      <c r="H184" s="3"/>
      <c r="I184" s="3"/>
      <c r="J184" s="3"/>
      <c r="K184" s="83"/>
      <c r="L184" s="3"/>
      <c r="M184" s="3"/>
      <c r="N184" s="3"/>
      <c r="O184" s="3"/>
      <c r="P184" s="3"/>
      <c r="Q184" s="3"/>
      <c r="R184" s="83"/>
      <c r="S184" s="3"/>
      <c r="T184" s="3"/>
      <c r="U184" s="3"/>
      <c r="V184" s="83"/>
      <c r="W184" s="3"/>
      <c r="X184" s="3"/>
      <c r="Y184" s="8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8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1:47" ht="24" customHeight="1" x14ac:dyDescent="0.5">
      <c r="A185" s="3"/>
      <c r="B185" s="3"/>
      <c r="C185" s="3"/>
      <c r="D185" s="3"/>
      <c r="E185" s="3"/>
      <c r="F185" s="3"/>
      <c r="G185" s="83"/>
      <c r="H185" s="3"/>
      <c r="I185" s="3"/>
      <c r="J185" s="3"/>
      <c r="K185" s="83"/>
      <c r="L185" s="3"/>
      <c r="M185" s="3"/>
      <c r="N185" s="3"/>
      <c r="O185" s="3"/>
      <c r="P185" s="3"/>
      <c r="Q185" s="3"/>
      <c r="R185" s="83"/>
      <c r="S185" s="3"/>
      <c r="T185" s="3"/>
      <c r="U185" s="3"/>
      <c r="V185" s="83"/>
      <c r="W185" s="3"/>
      <c r="X185" s="3"/>
      <c r="Y185" s="8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8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1:47" ht="24" customHeight="1" x14ac:dyDescent="0.5">
      <c r="A186" s="3"/>
      <c r="B186" s="3"/>
      <c r="C186" s="3"/>
      <c r="D186" s="3"/>
      <c r="E186" s="3"/>
      <c r="F186" s="3"/>
      <c r="G186" s="83"/>
      <c r="H186" s="3"/>
      <c r="I186" s="3"/>
      <c r="J186" s="3"/>
      <c r="K186" s="83"/>
      <c r="L186" s="3"/>
      <c r="M186" s="3"/>
      <c r="N186" s="3"/>
      <c r="O186" s="3"/>
      <c r="P186" s="3"/>
      <c r="Q186" s="3"/>
      <c r="R186" s="83"/>
      <c r="S186" s="3"/>
      <c r="T186" s="3"/>
      <c r="U186" s="3"/>
      <c r="V186" s="83"/>
      <c r="W186" s="3"/>
      <c r="X186" s="3"/>
      <c r="Y186" s="8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83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1:47" ht="24" customHeight="1" x14ac:dyDescent="0.5">
      <c r="A187" s="3"/>
      <c r="B187" s="3"/>
      <c r="C187" s="3"/>
      <c r="D187" s="3"/>
      <c r="E187" s="3"/>
      <c r="F187" s="3"/>
      <c r="G187" s="83"/>
      <c r="H187" s="3"/>
      <c r="I187" s="3"/>
      <c r="J187" s="3"/>
      <c r="K187" s="83"/>
      <c r="L187" s="3"/>
      <c r="M187" s="3"/>
      <c r="N187" s="3"/>
      <c r="O187" s="3"/>
      <c r="P187" s="3"/>
      <c r="Q187" s="3"/>
      <c r="R187" s="83"/>
      <c r="S187" s="3"/>
      <c r="T187" s="3"/>
      <c r="U187" s="3"/>
      <c r="V187" s="83"/>
      <c r="W187" s="3"/>
      <c r="X187" s="3"/>
      <c r="Y187" s="8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83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1:47" ht="24" customHeight="1" x14ac:dyDescent="0.5">
      <c r="A188" s="3"/>
      <c r="B188" s="3"/>
      <c r="C188" s="3"/>
      <c r="D188" s="3"/>
      <c r="E188" s="3"/>
      <c r="F188" s="3"/>
      <c r="G188" s="83"/>
      <c r="H188" s="3"/>
      <c r="I188" s="3"/>
      <c r="J188" s="3"/>
      <c r="K188" s="83"/>
      <c r="L188" s="3"/>
      <c r="M188" s="3"/>
      <c r="N188" s="3"/>
      <c r="O188" s="3"/>
      <c r="P188" s="3"/>
      <c r="Q188" s="3"/>
      <c r="R188" s="83"/>
      <c r="S188" s="3"/>
      <c r="T188" s="3"/>
      <c r="U188" s="3"/>
      <c r="V188" s="83"/>
      <c r="W188" s="3"/>
      <c r="X188" s="3"/>
      <c r="Y188" s="8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83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1:47" ht="24" customHeight="1" x14ac:dyDescent="0.5">
      <c r="A189" s="3"/>
      <c r="B189" s="3"/>
      <c r="C189" s="3"/>
      <c r="D189" s="3"/>
      <c r="E189" s="3"/>
      <c r="F189" s="3"/>
      <c r="G189" s="83"/>
      <c r="H189" s="3"/>
      <c r="I189" s="3"/>
      <c r="J189" s="3"/>
      <c r="K189" s="83"/>
      <c r="L189" s="3"/>
      <c r="M189" s="3"/>
      <c r="N189" s="3"/>
      <c r="O189" s="3"/>
      <c r="P189" s="3"/>
      <c r="Q189" s="3"/>
      <c r="R189" s="83"/>
      <c r="S189" s="3"/>
      <c r="T189" s="3"/>
      <c r="U189" s="3"/>
      <c r="V189" s="83"/>
      <c r="W189" s="3"/>
      <c r="X189" s="3"/>
      <c r="Y189" s="8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83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1:47" ht="24" customHeight="1" x14ac:dyDescent="0.5">
      <c r="A190" s="3"/>
      <c r="B190" s="3"/>
      <c r="C190" s="3"/>
      <c r="D190" s="3"/>
      <c r="E190" s="3"/>
      <c r="F190" s="3"/>
      <c r="G190" s="83"/>
      <c r="H190" s="3"/>
      <c r="I190" s="3"/>
      <c r="J190" s="3"/>
      <c r="K190" s="83"/>
      <c r="L190" s="3"/>
      <c r="M190" s="3"/>
      <c r="N190" s="3"/>
      <c r="O190" s="3"/>
      <c r="P190" s="3"/>
      <c r="Q190" s="3"/>
      <c r="R190" s="83"/>
      <c r="S190" s="3"/>
      <c r="T190" s="3"/>
      <c r="U190" s="3"/>
      <c r="V190" s="83"/>
      <c r="W190" s="3"/>
      <c r="X190" s="3"/>
      <c r="Y190" s="8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83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47" ht="24" customHeight="1" x14ac:dyDescent="0.5">
      <c r="A191" s="3"/>
      <c r="B191" s="3"/>
      <c r="C191" s="3"/>
      <c r="D191" s="3"/>
      <c r="E191" s="3"/>
      <c r="F191" s="3"/>
      <c r="G191" s="83"/>
      <c r="H191" s="3"/>
      <c r="I191" s="3"/>
      <c r="J191" s="3"/>
      <c r="K191" s="83"/>
      <c r="L191" s="3"/>
      <c r="M191" s="3"/>
      <c r="N191" s="3"/>
      <c r="O191" s="3"/>
      <c r="P191" s="3"/>
      <c r="Q191" s="3"/>
      <c r="R191" s="83"/>
      <c r="S191" s="3"/>
      <c r="T191" s="3"/>
      <c r="U191" s="3"/>
      <c r="V191" s="83"/>
      <c r="W191" s="3"/>
      <c r="X191" s="3"/>
      <c r="Y191" s="8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83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1:47" ht="24" customHeight="1" x14ac:dyDescent="0.5">
      <c r="A192" s="3"/>
      <c r="B192" s="3"/>
      <c r="C192" s="3"/>
      <c r="D192" s="3"/>
      <c r="E192" s="3"/>
      <c r="F192" s="3"/>
      <c r="G192" s="83"/>
      <c r="H192" s="3"/>
      <c r="I192" s="3"/>
      <c r="J192" s="3"/>
      <c r="K192" s="83"/>
      <c r="L192" s="3"/>
      <c r="M192" s="3"/>
      <c r="N192" s="3"/>
      <c r="O192" s="3"/>
      <c r="P192" s="3"/>
      <c r="Q192" s="3"/>
      <c r="R192" s="83"/>
      <c r="S192" s="3"/>
      <c r="T192" s="3"/>
      <c r="U192" s="3"/>
      <c r="V192" s="83"/>
      <c r="W192" s="3"/>
      <c r="X192" s="3"/>
      <c r="Y192" s="8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83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1:47" ht="24" customHeight="1" x14ac:dyDescent="0.5">
      <c r="A193" s="3"/>
      <c r="B193" s="3"/>
      <c r="C193" s="3"/>
      <c r="D193" s="3"/>
      <c r="E193" s="3"/>
      <c r="F193" s="3"/>
      <c r="G193" s="83"/>
      <c r="H193" s="3"/>
      <c r="I193" s="3"/>
      <c r="J193" s="3"/>
      <c r="K193" s="83"/>
      <c r="L193" s="3"/>
      <c r="M193" s="3"/>
      <c r="N193" s="3"/>
      <c r="O193" s="3"/>
      <c r="P193" s="3"/>
      <c r="Q193" s="3"/>
      <c r="R193" s="83"/>
      <c r="S193" s="3"/>
      <c r="T193" s="3"/>
      <c r="U193" s="3"/>
      <c r="V193" s="83"/>
      <c r="W193" s="3"/>
      <c r="X193" s="3"/>
      <c r="Y193" s="8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83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1:47" ht="24" customHeight="1" x14ac:dyDescent="0.5">
      <c r="A194" s="3"/>
      <c r="B194" s="3"/>
      <c r="C194" s="3"/>
      <c r="D194" s="3"/>
      <c r="E194" s="3"/>
      <c r="F194" s="3"/>
      <c r="G194" s="83"/>
      <c r="H194" s="3"/>
      <c r="I194" s="3"/>
      <c r="J194" s="3"/>
      <c r="K194" s="83"/>
      <c r="L194" s="3"/>
      <c r="M194" s="3"/>
      <c r="N194" s="3"/>
      <c r="O194" s="3"/>
      <c r="P194" s="3"/>
      <c r="Q194" s="3"/>
      <c r="R194" s="83"/>
      <c r="S194" s="3"/>
      <c r="T194" s="3"/>
      <c r="U194" s="3"/>
      <c r="V194" s="83"/>
      <c r="W194" s="3"/>
      <c r="X194" s="3"/>
      <c r="Y194" s="8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83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1:47" ht="24" customHeight="1" x14ac:dyDescent="0.5">
      <c r="A195" s="3"/>
      <c r="B195" s="3"/>
      <c r="C195" s="3"/>
      <c r="D195" s="3"/>
      <c r="E195" s="3"/>
      <c r="F195" s="3"/>
      <c r="G195" s="83"/>
      <c r="H195" s="3"/>
      <c r="I195" s="3"/>
      <c r="J195" s="3"/>
      <c r="K195" s="83"/>
      <c r="L195" s="3"/>
      <c r="M195" s="3"/>
      <c r="N195" s="3"/>
      <c r="O195" s="3"/>
      <c r="P195" s="3"/>
      <c r="Q195" s="3"/>
      <c r="R195" s="83"/>
      <c r="S195" s="3"/>
      <c r="T195" s="3"/>
      <c r="U195" s="3"/>
      <c r="V195" s="83"/>
      <c r="W195" s="3"/>
      <c r="X195" s="3"/>
      <c r="Y195" s="8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83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1:47" ht="24" customHeight="1" x14ac:dyDescent="0.5">
      <c r="A196" s="3"/>
      <c r="B196" s="3"/>
      <c r="C196" s="3"/>
      <c r="D196" s="3"/>
      <c r="E196" s="3"/>
      <c r="F196" s="3"/>
      <c r="G196" s="83"/>
      <c r="H196" s="3"/>
      <c r="I196" s="3"/>
      <c r="J196" s="3"/>
      <c r="K196" s="83"/>
      <c r="L196" s="3"/>
      <c r="M196" s="3"/>
      <c r="N196" s="3"/>
      <c r="O196" s="3"/>
      <c r="P196" s="3"/>
      <c r="Q196" s="3"/>
      <c r="R196" s="83"/>
      <c r="S196" s="3"/>
      <c r="T196" s="3"/>
      <c r="U196" s="3"/>
      <c r="V196" s="83"/>
      <c r="W196" s="3"/>
      <c r="X196" s="3"/>
      <c r="Y196" s="8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83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1:47" ht="24" customHeight="1" x14ac:dyDescent="0.5">
      <c r="A197" s="3"/>
      <c r="B197" s="3"/>
      <c r="C197" s="3"/>
      <c r="D197" s="3"/>
      <c r="E197" s="3"/>
      <c r="F197" s="3"/>
      <c r="G197" s="83"/>
      <c r="H197" s="3"/>
      <c r="I197" s="3"/>
      <c r="J197" s="3"/>
      <c r="K197" s="83"/>
      <c r="L197" s="3"/>
      <c r="M197" s="3"/>
      <c r="N197" s="3"/>
      <c r="O197" s="3"/>
      <c r="P197" s="3"/>
      <c r="Q197" s="3"/>
      <c r="R197" s="83"/>
      <c r="S197" s="3"/>
      <c r="T197" s="3"/>
      <c r="U197" s="3"/>
      <c r="V197" s="83"/>
      <c r="W197" s="3"/>
      <c r="X197" s="3"/>
      <c r="Y197" s="8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83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1:47" ht="24" customHeight="1" x14ac:dyDescent="0.5">
      <c r="A198" s="3"/>
      <c r="B198" s="3"/>
      <c r="C198" s="3"/>
      <c r="D198" s="3"/>
      <c r="E198" s="3"/>
      <c r="F198" s="3"/>
      <c r="G198" s="83"/>
      <c r="H198" s="3"/>
      <c r="I198" s="3"/>
      <c r="J198" s="3"/>
      <c r="K198" s="83"/>
      <c r="L198" s="3"/>
      <c r="M198" s="3"/>
      <c r="N198" s="3"/>
      <c r="O198" s="3"/>
      <c r="P198" s="3"/>
      <c r="Q198" s="3"/>
      <c r="R198" s="83"/>
      <c r="S198" s="3"/>
      <c r="T198" s="3"/>
      <c r="U198" s="3"/>
      <c r="V198" s="83"/>
      <c r="W198" s="3"/>
      <c r="X198" s="3"/>
      <c r="Y198" s="8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83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1:47" ht="24" customHeight="1" x14ac:dyDescent="0.5">
      <c r="A199" s="3"/>
      <c r="B199" s="3"/>
      <c r="C199" s="3"/>
      <c r="D199" s="3"/>
      <c r="E199" s="3"/>
      <c r="F199" s="3"/>
      <c r="G199" s="83"/>
      <c r="H199" s="3"/>
      <c r="I199" s="3"/>
      <c r="J199" s="3"/>
      <c r="K199" s="83"/>
      <c r="L199" s="3"/>
      <c r="M199" s="3"/>
      <c r="N199" s="3"/>
      <c r="O199" s="3"/>
      <c r="P199" s="3"/>
      <c r="Q199" s="3"/>
      <c r="R199" s="83"/>
      <c r="S199" s="3"/>
      <c r="T199" s="3"/>
      <c r="U199" s="3"/>
      <c r="V199" s="83"/>
      <c r="W199" s="3"/>
      <c r="X199" s="3"/>
      <c r="Y199" s="8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83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1:47" ht="24" customHeight="1" x14ac:dyDescent="0.5">
      <c r="A200" s="3"/>
      <c r="B200" s="3"/>
      <c r="C200" s="3"/>
      <c r="D200" s="3"/>
      <c r="E200" s="3"/>
      <c r="F200" s="3"/>
      <c r="G200" s="83"/>
      <c r="H200" s="3"/>
      <c r="I200" s="3"/>
      <c r="J200" s="3"/>
      <c r="K200" s="83"/>
      <c r="L200" s="3"/>
      <c r="M200" s="3"/>
      <c r="N200" s="3"/>
      <c r="O200" s="3"/>
      <c r="P200" s="3"/>
      <c r="Q200" s="3"/>
      <c r="R200" s="83"/>
      <c r="S200" s="3"/>
      <c r="T200" s="3"/>
      <c r="U200" s="3"/>
      <c r="V200" s="83"/>
      <c r="W200" s="3"/>
      <c r="X200" s="3"/>
      <c r="Y200" s="8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83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1:47" ht="24" customHeight="1" x14ac:dyDescent="0.5">
      <c r="A201" s="3"/>
      <c r="B201" s="3"/>
      <c r="C201" s="3"/>
      <c r="D201" s="3"/>
      <c r="E201" s="3"/>
      <c r="F201" s="3"/>
      <c r="G201" s="83"/>
      <c r="H201" s="3"/>
      <c r="I201" s="3"/>
      <c r="J201" s="3"/>
      <c r="K201" s="83"/>
      <c r="L201" s="3"/>
      <c r="M201" s="3"/>
      <c r="N201" s="3"/>
      <c r="O201" s="3"/>
      <c r="P201" s="3"/>
      <c r="Q201" s="3"/>
      <c r="R201" s="83"/>
      <c r="S201" s="3"/>
      <c r="T201" s="3"/>
      <c r="U201" s="3"/>
      <c r="V201" s="83"/>
      <c r="W201" s="3"/>
      <c r="X201" s="3"/>
      <c r="Y201" s="8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83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1:47" ht="24" customHeight="1" x14ac:dyDescent="0.5">
      <c r="A202" s="3"/>
      <c r="B202" s="3"/>
      <c r="C202" s="3"/>
      <c r="D202" s="3"/>
      <c r="E202" s="3"/>
      <c r="F202" s="3"/>
      <c r="G202" s="83"/>
      <c r="H202" s="3"/>
      <c r="I202" s="3"/>
      <c r="J202" s="3"/>
      <c r="K202" s="83"/>
      <c r="L202" s="3"/>
      <c r="M202" s="3"/>
      <c r="N202" s="3"/>
      <c r="O202" s="3"/>
      <c r="P202" s="3"/>
      <c r="Q202" s="3"/>
      <c r="R202" s="83"/>
      <c r="S202" s="3"/>
      <c r="T202" s="3"/>
      <c r="U202" s="3"/>
      <c r="V202" s="83"/>
      <c r="W202" s="3"/>
      <c r="X202" s="3"/>
      <c r="Y202" s="8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83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1:47" ht="24" customHeight="1" x14ac:dyDescent="0.5">
      <c r="A203" s="3"/>
      <c r="B203" s="3"/>
      <c r="C203" s="3"/>
      <c r="D203" s="3"/>
      <c r="E203" s="3"/>
      <c r="F203" s="3"/>
      <c r="G203" s="83"/>
      <c r="H203" s="3"/>
      <c r="I203" s="3"/>
      <c r="J203" s="3"/>
      <c r="K203" s="83"/>
      <c r="L203" s="3"/>
      <c r="M203" s="3"/>
      <c r="N203" s="3"/>
      <c r="O203" s="3"/>
      <c r="P203" s="3"/>
      <c r="Q203" s="3"/>
      <c r="R203" s="83"/>
      <c r="S203" s="3"/>
      <c r="T203" s="3"/>
      <c r="U203" s="3"/>
      <c r="V203" s="83"/>
      <c r="W203" s="3"/>
      <c r="X203" s="3"/>
      <c r="Y203" s="8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83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1:47" ht="24" customHeight="1" x14ac:dyDescent="0.5">
      <c r="A204" s="3"/>
      <c r="B204" s="3"/>
      <c r="C204" s="3"/>
      <c r="D204" s="3"/>
      <c r="E204" s="3"/>
      <c r="F204" s="3"/>
      <c r="G204" s="83"/>
      <c r="H204" s="3"/>
      <c r="I204" s="3"/>
      <c r="J204" s="3"/>
      <c r="K204" s="83"/>
      <c r="L204" s="3"/>
      <c r="M204" s="3"/>
      <c r="N204" s="3"/>
      <c r="O204" s="3"/>
      <c r="P204" s="3"/>
      <c r="Q204" s="3"/>
      <c r="R204" s="83"/>
      <c r="S204" s="3"/>
      <c r="T204" s="3"/>
      <c r="U204" s="3"/>
      <c r="V204" s="83"/>
      <c r="W204" s="3"/>
      <c r="X204" s="3"/>
      <c r="Y204" s="8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83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1:47" ht="24" customHeight="1" x14ac:dyDescent="0.5">
      <c r="A205" s="3"/>
      <c r="B205" s="3"/>
      <c r="C205" s="3"/>
      <c r="D205" s="3"/>
      <c r="E205" s="3"/>
      <c r="F205" s="3"/>
      <c r="G205" s="83"/>
      <c r="H205" s="3"/>
      <c r="I205" s="3"/>
      <c r="J205" s="3"/>
      <c r="K205" s="83"/>
      <c r="L205" s="3"/>
      <c r="M205" s="3"/>
      <c r="N205" s="3"/>
      <c r="O205" s="3"/>
      <c r="P205" s="3"/>
      <c r="Q205" s="3"/>
      <c r="R205" s="83"/>
      <c r="S205" s="3"/>
      <c r="T205" s="3"/>
      <c r="U205" s="3"/>
      <c r="V205" s="83"/>
      <c r="W205" s="3"/>
      <c r="X205" s="3"/>
      <c r="Y205" s="8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83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1:47" ht="24" customHeight="1" x14ac:dyDescent="0.5">
      <c r="A206" s="3"/>
      <c r="B206" s="3"/>
      <c r="C206" s="3"/>
      <c r="D206" s="3"/>
      <c r="E206" s="3"/>
      <c r="F206" s="3"/>
      <c r="G206" s="83"/>
      <c r="H206" s="3"/>
      <c r="I206" s="3"/>
      <c r="J206" s="3"/>
      <c r="K206" s="83"/>
      <c r="L206" s="3"/>
      <c r="M206" s="3"/>
      <c r="N206" s="3"/>
      <c r="O206" s="3"/>
      <c r="P206" s="3"/>
      <c r="Q206" s="3"/>
      <c r="R206" s="83"/>
      <c r="S206" s="3"/>
      <c r="T206" s="3"/>
      <c r="U206" s="3"/>
      <c r="V206" s="83"/>
      <c r="W206" s="3"/>
      <c r="X206" s="3"/>
      <c r="Y206" s="8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83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1:47" ht="24" customHeight="1" x14ac:dyDescent="0.5">
      <c r="A207" s="3"/>
      <c r="B207" s="3"/>
      <c r="C207" s="3"/>
      <c r="D207" s="3"/>
      <c r="E207" s="3"/>
      <c r="F207" s="3"/>
      <c r="G207" s="83"/>
      <c r="H207" s="3"/>
      <c r="I207" s="3"/>
      <c r="J207" s="3"/>
      <c r="K207" s="83"/>
      <c r="L207" s="3"/>
      <c r="M207" s="3"/>
      <c r="N207" s="3"/>
      <c r="O207" s="3"/>
      <c r="P207" s="3"/>
      <c r="Q207" s="3"/>
      <c r="R207" s="83"/>
      <c r="S207" s="3"/>
      <c r="T207" s="3"/>
      <c r="U207" s="3"/>
      <c r="V207" s="83"/>
      <c r="W207" s="3"/>
      <c r="X207" s="3"/>
      <c r="Y207" s="8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83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1:47" ht="24" customHeight="1" x14ac:dyDescent="0.5">
      <c r="A208" s="3"/>
      <c r="B208" s="3"/>
      <c r="C208" s="3"/>
      <c r="D208" s="3"/>
      <c r="E208" s="3"/>
      <c r="F208" s="3"/>
      <c r="G208" s="83"/>
      <c r="H208" s="3"/>
      <c r="I208" s="3"/>
      <c r="J208" s="3"/>
      <c r="K208" s="83"/>
      <c r="L208" s="3"/>
      <c r="M208" s="3"/>
      <c r="N208" s="3"/>
      <c r="O208" s="3"/>
      <c r="P208" s="3"/>
      <c r="Q208" s="3"/>
      <c r="R208" s="83"/>
      <c r="S208" s="3"/>
      <c r="T208" s="3"/>
      <c r="U208" s="3"/>
      <c r="V208" s="83"/>
      <c r="W208" s="3"/>
      <c r="X208" s="3"/>
      <c r="Y208" s="8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83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1:47" ht="24" customHeight="1" x14ac:dyDescent="0.5">
      <c r="A209" s="3"/>
      <c r="B209" s="3"/>
      <c r="C209" s="3"/>
      <c r="D209" s="3"/>
      <c r="E209" s="3"/>
      <c r="F209" s="3"/>
      <c r="G209" s="83"/>
      <c r="H209" s="3"/>
      <c r="I209" s="3"/>
      <c r="J209" s="3"/>
      <c r="K209" s="83"/>
      <c r="L209" s="3"/>
      <c r="M209" s="3"/>
      <c r="N209" s="3"/>
      <c r="O209" s="3"/>
      <c r="P209" s="3"/>
      <c r="Q209" s="3"/>
      <c r="R209" s="83"/>
      <c r="S209" s="3"/>
      <c r="T209" s="3"/>
      <c r="U209" s="3"/>
      <c r="V209" s="83"/>
      <c r="W209" s="3"/>
      <c r="X209" s="3"/>
      <c r="Y209" s="8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83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1:47" ht="24" customHeight="1" x14ac:dyDescent="0.5">
      <c r="A210" s="3"/>
      <c r="B210" s="3"/>
      <c r="C210" s="3"/>
      <c r="D210" s="3"/>
      <c r="E210" s="3"/>
      <c r="F210" s="3"/>
      <c r="G210" s="83"/>
      <c r="H210" s="3"/>
      <c r="I210" s="3"/>
      <c r="J210" s="3"/>
      <c r="K210" s="83"/>
      <c r="L210" s="3"/>
      <c r="M210" s="3"/>
      <c r="N210" s="3"/>
      <c r="O210" s="3"/>
      <c r="P210" s="3"/>
      <c r="Q210" s="3"/>
      <c r="R210" s="83"/>
      <c r="S210" s="3"/>
      <c r="T210" s="3"/>
      <c r="U210" s="3"/>
      <c r="V210" s="83"/>
      <c r="W210" s="3"/>
      <c r="X210" s="3"/>
      <c r="Y210" s="8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83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1:47" ht="24" customHeight="1" x14ac:dyDescent="0.5">
      <c r="A211" s="3"/>
      <c r="B211" s="3"/>
      <c r="C211" s="3"/>
      <c r="D211" s="3"/>
      <c r="E211" s="3"/>
      <c r="F211" s="3"/>
      <c r="G211" s="83"/>
      <c r="H211" s="3"/>
      <c r="I211" s="3"/>
      <c r="J211" s="3"/>
      <c r="K211" s="83"/>
      <c r="L211" s="3"/>
      <c r="M211" s="3"/>
      <c r="N211" s="3"/>
      <c r="O211" s="3"/>
      <c r="P211" s="3"/>
      <c r="Q211" s="3"/>
      <c r="R211" s="83"/>
      <c r="S211" s="3"/>
      <c r="T211" s="3"/>
      <c r="U211" s="3"/>
      <c r="V211" s="83"/>
      <c r="W211" s="3"/>
      <c r="X211" s="3"/>
      <c r="Y211" s="8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83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1:47" ht="24" customHeight="1" x14ac:dyDescent="0.5">
      <c r="A212" s="3"/>
      <c r="B212" s="3"/>
      <c r="C212" s="3"/>
      <c r="D212" s="3"/>
      <c r="E212" s="3"/>
      <c r="F212" s="3"/>
      <c r="G212" s="83"/>
      <c r="H212" s="3"/>
      <c r="I212" s="3"/>
      <c r="J212" s="3"/>
      <c r="K212" s="83"/>
      <c r="L212" s="3"/>
      <c r="M212" s="3"/>
      <c r="N212" s="3"/>
      <c r="O212" s="3"/>
      <c r="P212" s="3"/>
      <c r="Q212" s="3"/>
      <c r="R212" s="83"/>
      <c r="S212" s="3"/>
      <c r="T212" s="3"/>
      <c r="U212" s="3"/>
      <c r="V212" s="83"/>
      <c r="W212" s="3"/>
      <c r="X212" s="3"/>
      <c r="Y212" s="8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83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1:47" ht="24" customHeight="1" x14ac:dyDescent="0.5">
      <c r="A213" s="3"/>
      <c r="B213" s="3"/>
      <c r="C213" s="3"/>
      <c r="D213" s="3"/>
      <c r="E213" s="3"/>
      <c r="F213" s="3"/>
      <c r="G213" s="83"/>
      <c r="H213" s="3"/>
      <c r="I213" s="3"/>
      <c r="J213" s="3"/>
      <c r="K213" s="83"/>
      <c r="L213" s="3"/>
      <c r="M213" s="3"/>
      <c r="N213" s="3"/>
      <c r="O213" s="3"/>
      <c r="P213" s="3"/>
      <c r="Q213" s="3"/>
      <c r="R213" s="83"/>
      <c r="S213" s="3"/>
      <c r="T213" s="3"/>
      <c r="U213" s="3"/>
      <c r="V213" s="83"/>
      <c r="W213" s="3"/>
      <c r="X213" s="3"/>
      <c r="Y213" s="8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83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1:47" ht="24" customHeight="1" x14ac:dyDescent="0.5">
      <c r="A214" s="3"/>
      <c r="B214" s="3"/>
      <c r="C214" s="3"/>
      <c r="D214" s="3"/>
      <c r="E214" s="3"/>
      <c r="F214" s="3"/>
      <c r="G214" s="83"/>
      <c r="H214" s="3"/>
      <c r="I214" s="3"/>
      <c r="J214" s="3"/>
      <c r="K214" s="83"/>
      <c r="L214" s="3"/>
      <c r="M214" s="3"/>
      <c r="N214" s="3"/>
      <c r="O214" s="3"/>
      <c r="P214" s="3"/>
      <c r="Q214" s="3"/>
      <c r="R214" s="83"/>
      <c r="S214" s="3"/>
      <c r="T214" s="3"/>
      <c r="U214" s="3"/>
      <c r="V214" s="83"/>
      <c r="W214" s="3"/>
      <c r="X214" s="3"/>
      <c r="Y214" s="8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83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1:47" ht="24" customHeight="1" x14ac:dyDescent="0.5">
      <c r="A215" s="3"/>
      <c r="B215" s="3"/>
      <c r="C215" s="3"/>
      <c r="D215" s="3"/>
      <c r="E215" s="3"/>
      <c r="F215" s="3"/>
      <c r="G215" s="83"/>
      <c r="H215" s="3"/>
      <c r="I215" s="3"/>
      <c r="J215" s="3"/>
      <c r="K215" s="83"/>
      <c r="L215" s="3"/>
      <c r="M215" s="3"/>
      <c r="N215" s="3"/>
      <c r="O215" s="3"/>
      <c r="P215" s="3"/>
      <c r="Q215" s="3"/>
      <c r="R215" s="83"/>
      <c r="S215" s="3"/>
      <c r="T215" s="3"/>
      <c r="U215" s="3"/>
      <c r="V215" s="83"/>
      <c r="W215" s="3"/>
      <c r="X215" s="3"/>
      <c r="Y215" s="8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83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1:47" ht="24" customHeight="1" x14ac:dyDescent="0.5">
      <c r="A216" s="3"/>
      <c r="B216" s="3"/>
      <c r="C216" s="3"/>
      <c r="D216" s="3"/>
      <c r="E216" s="3"/>
      <c r="F216" s="3"/>
      <c r="G216" s="83"/>
      <c r="H216" s="3"/>
      <c r="I216" s="3"/>
      <c r="J216" s="3"/>
      <c r="K216" s="83"/>
      <c r="L216" s="3"/>
      <c r="M216" s="3"/>
      <c r="N216" s="3"/>
      <c r="O216" s="3"/>
      <c r="P216" s="3"/>
      <c r="Q216" s="3"/>
      <c r="R216" s="83"/>
      <c r="S216" s="3"/>
      <c r="T216" s="3"/>
      <c r="U216" s="3"/>
      <c r="V216" s="83"/>
      <c r="W216" s="3"/>
      <c r="X216" s="3"/>
      <c r="Y216" s="8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83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1:47" ht="24" customHeight="1" x14ac:dyDescent="0.5">
      <c r="A217" s="3"/>
      <c r="B217" s="3"/>
      <c r="C217" s="3"/>
      <c r="D217" s="3"/>
      <c r="E217" s="3"/>
      <c r="F217" s="3"/>
      <c r="G217" s="83"/>
      <c r="H217" s="3"/>
      <c r="I217" s="3"/>
      <c r="J217" s="3"/>
      <c r="K217" s="83"/>
      <c r="L217" s="3"/>
      <c r="M217" s="3"/>
      <c r="N217" s="3"/>
      <c r="O217" s="3"/>
      <c r="P217" s="3"/>
      <c r="Q217" s="3"/>
      <c r="R217" s="83"/>
      <c r="S217" s="3"/>
      <c r="T217" s="3"/>
      <c r="U217" s="3"/>
      <c r="V217" s="83"/>
      <c r="W217" s="3"/>
      <c r="X217" s="3"/>
      <c r="Y217" s="8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83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1:47" ht="24" customHeight="1" x14ac:dyDescent="0.5">
      <c r="A218" s="3"/>
      <c r="B218" s="3"/>
      <c r="C218" s="3"/>
      <c r="D218" s="3"/>
      <c r="E218" s="3"/>
      <c r="F218" s="3"/>
      <c r="G218" s="83"/>
      <c r="H218" s="3"/>
      <c r="I218" s="3"/>
      <c r="J218" s="3"/>
      <c r="K218" s="83"/>
      <c r="L218" s="3"/>
      <c r="M218" s="3"/>
      <c r="N218" s="3"/>
      <c r="O218" s="3"/>
      <c r="P218" s="3"/>
      <c r="Q218" s="3"/>
      <c r="R218" s="83"/>
      <c r="S218" s="3"/>
      <c r="T218" s="3"/>
      <c r="U218" s="3"/>
      <c r="V218" s="83"/>
      <c r="W218" s="3"/>
      <c r="X218" s="3"/>
      <c r="Y218" s="8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83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1:47" ht="24" customHeight="1" x14ac:dyDescent="0.5">
      <c r="A219" s="3"/>
      <c r="B219" s="3"/>
      <c r="C219" s="3"/>
      <c r="D219" s="3"/>
      <c r="E219" s="3"/>
      <c r="F219" s="3"/>
      <c r="G219" s="83"/>
      <c r="H219" s="3"/>
      <c r="I219" s="3"/>
      <c r="J219" s="3"/>
      <c r="K219" s="83"/>
      <c r="L219" s="3"/>
      <c r="M219" s="3"/>
      <c r="N219" s="3"/>
      <c r="O219" s="3"/>
      <c r="P219" s="3"/>
      <c r="Q219" s="3"/>
      <c r="R219" s="83"/>
      <c r="S219" s="3"/>
      <c r="T219" s="3"/>
      <c r="U219" s="3"/>
      <c r="V219" s="83"/>
      <c r="W219" s="3"/>
      <c r="X219" s="3"/>
      <c r="Y219" s="8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83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1:47" ht="24" customHeight="1" x14ac:dyDescent="0.5">
      <c r="A220" s="3"/>
      <c r="B220" s="3"/>
      <c r="C220" s="3"/>
      <c r="D220" s="3"/>
      <c r="E220" s="3"/>
      <c r="F220" s="3"/>
      <c r="G220" s="83"/>
      <c r="H220" s="3"/>
      <c r="I220" s="3"/>
      <c r="J220" s="3"/>
      <c r="K220" s="83"/>
      <c r="L220" s="3"/>
      <c r="M220" s="3"/>
      <c r="N220" s="3"/>
      <c r="O220" s="3"/>
      <c r="P220" s="3"/>
      <c r="Q220" s="3"/>
      <c r="R220" s="83"/>
      <c r="S220" s="3"/>
      <c r="T220" s="3"/>
      <c r="U220" s="3"/>
      <c r="V220" s="83"/>
      <c r="W220" s="3"/>
      <c r="X220" s="3"/>
      <c r="Y220" s="8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83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1:47" ht="24" customHeight="1" x14ac:dyDescent="0.5">
      <c r="A221" s="3"/>
      <c r="B221" s="3"/>
      <c r="C221" s="3"/>
      <c r="D221" s="3"/>
      <c r="E221" s="3"/>
      <c r="F221" s="3"/>
      <c r="G221" s="83"/>
      <c r="H221" s="3"/>
      <c r="I221" s="3"/>
      <c r="J221" s="3"/>
      <c r="K221" s="83"/>
      <c r="L221" s="3"/>
      <c r="M221" s="3"/>
      <c r="N221" s="3"/>
      <c r="O221" s="3"/>
      <c r="P221" s="3"/>
      <c r="Q221" s="3"/>
      <c r="R221" s="83"/>
      <c r="S221" s="3"/>
      <c r="T221" s="3"/>
      <c r="U221" s="3"/>
      <c r="V221" s="83"/>
      <c r="W221" s="3"/>
      <c r="X221" s="3"/>
      <c r="Y221" s="8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83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1:47" ht="24" customHeight="1" x14ac:dyDescent="0.5">
      <c r="A222" s="3"/>
      <c r="B222" s="3"/>
      <c r="C222" s="3"/>
      <c r="D222" s="3"/>
      <c r="E222" s="3"/>
      <c r="F222" s="3"/>
      <c r="G222" s="83"/>
      <c r="H222" s="3"/>
      <c r="I222" s="3"/>
      <c r="J222" s="3"/>
      <c r="K222" s="83"/>
      <c r="L222" s="3"/>
      <c r="M222" s="3"/>
      <c r="N222" s="3"/>
      <c r="O222" s="3"/>
      <c r="P222" s="3"/>
      <c r="Q222" s="3"/>
      <c r="R222" s="83"/>
      <c r="S222" s="3"/>
      <c r="T222" s="3"/>
      <c r="U222" s="3"/>
      <c r="V222" s="83"/>
      <c r="W222" s="3"/>
      <c r="X222" s="3"/>
      <c r="Y222" s="8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83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1:47" ht="24" customHeight="1" x14ac:dyDescent="0.5">
      <c r="A223" s="3"/>
      <c r="B223" s="3"/>
      <c r="C223" s="3"/>
      <c r="D223" s="3"/>
      <c r="E223" s="3"/>
      <c r="F223" s="3"/>
      <c r="G223" s="83"/>
      <c r="H223" s="3"/>
      <c r="I223" s="3"/>
      <c r="J223" s="3"/>
      <c r="K223" s="83"/>
      <c r="L223" s="3"/>
      <c r="M223" s="3"/>
      <c r="N223" s="3"/>
      <c r="O223" s="3"/>
      <c r="P223" s="3"/>
      <c r="Q223" s="3"/>
      <c r="R223" s="83"/>
      <c r="S223" s="3"/>
      <c r="T223" s="3"/>
      <c r="U223" s="3"/>
      <c r="V223" s="83"/>
      <c r="W223" s="3"/>
      <c r="X223" s="3"/>
      <c r="Y223" s="8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83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1:47" ht="24" customHeight="1" x14ac:dyDescent="0.5">
      <c r="A224" s="3"/>
      <c r="B224" s="3"/>
      <c r="C224" s="3"/>
      <c r="D224" s="3"/>
      <c r="E224" s="3"/>
      <c r="F224" s="3"/>
      <c r="G224" s="83"/>
      <c r="H224" s="3"/>
      <c r="I224" s="3"/>
      <c r="J224" s="3"/>
      <c r="K224" s="83"/>
      <c r="L224" s="3"/>
      <c r="M224" s="3"/>
      <c r="N224" s="3"/>
      <c r="O224" s="3"/>
      <c r="P224" s="3"/>
      <c r="Q224" s="3"/>
      <c r="R224" s="83"/>
      <c r="S224" s="3"/>
      <c r="T224" s="3"/>
      <c r="U224" s="3"/>
      <c r="V224" s="83"/>
      <c r="W224" s="3"/>
      <c r="X224" s="3"/>
      <c r="Y224" s="8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83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1:47" ht="24" customHeight="1" x14ac:dyDescent="0.5">
      <c r="A225" s="3"/>
      <c r="B225" s="3"/>
      <c r="C225" s="3"/>
      <c r="D225" s="3"/>
      <c r="E225" s="3"/>
      <c r="F225" s="3"/>
      <c r="G225" s="83"/>
      <c r="H225" s="3"/>
      <c r="I225" s="3"/>
      <c r="J225" s="3"/>
      <c r="K225" s="83"/>
      <c r="L225" s="3"/>
      <c r="M225" s="3"/>
      <c r="N225" s="3"/>
      <c r="O225" s="3"/>
      <c r="P225" s="3"/>
      <c r="Q225" s="3"/>
      <c r="R225" s="83"/>
      <c r="S225" s="3"/>
      <c r="T225" s="3"/>
      <c r="U225" s="3"/>
      <c r="V225" s="83"/>
      <c r="W225" s="3"/>
      <c r="X225" s="3"/>
      <c r="Y225" s="8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83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1:47" ht="24" customHeight="1" x14ac:dyDescent="0.5">
      <c r="A226" s="3"/>
      <c r="B226" s="3"/>
      <c r="C226" s="3"/>
      <c r="D226" s="3"/>
      <c r="E226" s="3"/>
      <c r="F226" s="3"/>
      <c r="G226" s="83"/>
      <c r="H226" s="3"/>
      <c r="I226" s="3"/>
      <c r="J226" s="3"/>
      <c r="K226" s="83"/>
      <c r="L226" s="3"/>
      <c r="M226" s="3"/>
      <c r="N226" s="3"/>
      <c r="O226" s="3"/>
      <c r="P226" s="3"/>
      <c r="Q226" s="3"/>
      <c r="R226" s="83"/>
      <c r="S226" s="3"/>
      <c r="T226" s="3"/>
      <c r="U226" s="3"/>
      <c r="V226" s="83"/>
      <c r="W226" s="3"/>
      <c r="X226" s="3"/>
      <c r="Y226" s="8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83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1:47" ht="24" customHeight="1" x14ac:dyDescent="0.5">
      <c r="A227" s="3"/>
      <c r="B227" s="3"/>
      <c r="C227" s="3"/>
      <c r="D227" s="3"/>
      <c r="E227" s="3"/>
      <c r="F227" s="3"/>
      <c r="G227" s="83"/>
      <c r="H227" s="3"/>
      <c r="I227" s="3"/>
      <c r="J227" s="3"/>
      <c r="K227" s="83"/>
      <c r="L227" s="3"/>
      <c r="M227" s="3"/>
      <c r="N227" s="3"/>
      <c r="O227" s="3"/>
      <c r="P227" s="3"/>
      <c r="Q227" s="3"/>
      <c r="R227" s="83"/>
      <c r="S227" s="3"/>
      <c r="T227" s="3"/>
      <c r="U227" s="3"/>
      <c r="V227" s="83"/>
      <c r="W227" s="3"/>
      <c r="X227" s="3"/>
      <c r="Y227" s="8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83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1:47" ht="24" customHeight="1" x14ac:dyDescent="0.5">
      <c r="A228" s="3"/>
      <c r="B228" s="3"/>
      <c r="C228" s="3"/>
      <c r="D228" s="3"/>
      <c r="E228" s="3"/>
      <c r="F228" s="3"/>
      <c r="G228" s="83"/>
      <c r="H228" s="3"/>
      <c r="I228" s="3"/>
      <c r="J228" s="3"/>
      <c r="K228" s="83"/>
      <c r="L228" s="3"/>
      <c r="M228" s="3"/>
      <c r="N228" s="3"/>
      <c r="O228" s="3"/>
      <c r="P228" s="3"/>
      <c r="Q228" s="3"/>
      <c r="R228" s="83"/>
      <c r="S228" s="3"/>
      <c r="T228" s="3"/>
      <c r="U228" s="3"/>
      <c r="V228" s="83"/>
      <c r="W228" s="3"/>
      <c r="X228" s="3"/>
      <c r="Y228" s="8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83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1:47" ht="24" customHeight="1" x14ac:dyDescent="0.5">
      <c r="A229" s="3"/>
      <c r="B229" s="3"/>
      <c r="C229" s="3"/>
      <c r="D229" s="3"/>
      <c r="E229" s="3"/>
      <c r="F229" s="3"/>
      <c r="G229" s="83"/>
      <c r="H229" s="3"/>
      <c r="I229" s="3"/>
      <c r="J229" s="3"/>
      <c r="K229" s="83"/>
      <c r="L229" s="3"/>
      <c r="M229" s="3"/>
      <c r="N229" s="3"/>
      <c r="O229" s="3"/>
      <c r="P229" s="3"/>
      <c r="Q229" s="3"/>
      <c r="R229" s="83"/>
      <c r="S229" s="3"/>
      <c r="T229" s="3"/>
      <c r="U229" s="3"/>
      <c r="V229" s="83"/>
      <c r="W229" s="3"/>
      <c r="X229" s="3"/>
      <c r="Y229" s="8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83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1:47" ht="24" customHeight="1" x14ac:dyDescent="0.5">
      <c r="A230" s="3"/>
      <c r="B230" s="3"/>
      <c r="C230" s="3"/>
      <c r="D230" s="3"/>
      <c r="E230" s="3"/>
      <c r="F230" s="3"/>
      <c r="G230" s="83"/>
      <c r="H230" s="3"/>
      <c r="I230" s="3"/>
      <c r="J230" s="3"/>
      <c r="K230" s="83"/>
      <c r="L230" s="3"/>
      <c r="M230" s="3"/>
      <c r="N230" s="3"/>
      <c r="O230" s="3"/>
      <c r="P230" s="3"/>
      <c r="Q230" s="3"/>
      <c r="R230" s="83"/>
      <c r="S230" s="3"/>
      <c r="T230" s="3"/>
      <c r="U230" s="3"/>
      <c r="V230" s="83"/>
      <c r="W230" s="3"/>
      <c r="X230" s="3"/>
      <c r="Y230" s="8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83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1:47" ht="24" customHeight="1" x14ac:dyDescent="0.5">
      <c r="A231" s="3"/>
      <c r="B231" s="3"/>
      <c r="C231" s="3"/>
      <c r="D231" s="3"/>
      <c r="E231" s="3"/>
      <c r="F231" s="3"/>
      <c r="G231" s="83"/>
      <c r="H231" s="3"/>
      <c r="I231" s="3"/>
      <c r="J231" s="3"/>
      <c r="K231" s="83"/>
      <c r="L231" s="3"/>
      <c r="M231" s="3"/>
      <c r="N231" s="3"/>
      <c r="O231" s="3"/>
      <c r="P231" s="3"/>
      <c r="Q231" s="3"/>
      <c r="R231" s="83"/>
      <c r="S231" s="3"/>
      <c r="T231" s="3"/>
      <c r="U231" s="3"/>
      <c r="V231" s="83"/>
      <c r="W231" s="3"/>
      <c r="X231" s="3"/>
      <c r="Y231" s="8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83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1:47" ht="24" customHeight="1" x14ac:dyDescent="0.5">
      <c r="A232" s="3"/>
      <c r="B232" s="3"/>
      <c r="C232" s="3"/>
      <c r="D232" s="3"/>
      <c r="E232" s="3"/>
      <c r="F232" s="3"/>
      <c r="G232" s="83"/>
      <c r="H232" s="3"/>
      <c r="I232" s="3"/>
      <c r="J232" s="3"/>
      <c r="K232" s="83"/>
      <c r="L232" s="3"/>
      <c r="M232" s="3"/>
      <c r="N232" s="3"/>
      <c r="O232" s="3"/>
      <c r="P232" s="3"/>
      <c r="Q232" s="3"/>
      <c r="R232" s="83"/>
      <c r="S232" s="3"/>
      <c r="T232" s="3"/>
      <c r="U232" s="3"/>
      <c r="V232" s="83"/>
      <c r="W232" s="3"/>
      <c r="X232" s="3"/>
      <c r="Y232" s="8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83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1:47" ht="24" customHeight="1" x14ac:dyDescent="0.5">
      <c r="A233" s="3"/>
      <c r="B233" s="3"/>
      <c r="C233" s="3"/>
      <c r="D233" s="3"/>
      <c r="E233" s="3"/>
      <c r="F233" s="3"/>
      <c r="G233" s="83"/>
      <c r="H233" s="3"/>
      <c r="I233" s="3"/>
      <c r="J233" s="3"/>
      <c r="K233" s="83"/>
      <c r="L233" s="3"/>
      <c r="M233" s="3"/>
      <c r="N233" s="3"/>
      <c r="O233" s="3"/>
      <c r="P233" s="3"/>
      <c r="Q233" s="3"/>
      <c r="R233" s="83"/>
      <c r="S233" s="3"/>
      <c r="T233" s="3"/>
      <c r="U233" s="3"/>
      <c r="V233" s="83"/>
      <c r="W233" s="3"/>
      <c r="X233" s="3"/>
      <c r="Y233" s="8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83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1:47" ht="24" customHeight="1" x14ac:dyDescent="0.5">
      <c r="A234" s="3"/>
      <c r="B234" s="3"/>
      <c r="C234" s="3"/>
      <c r="D234" s="3"/>
      <c r="E234" s="3"/>
      <c r="F234" s="3"/>
      <c r="G234" s="83"/>
      <c r="H234" s="3"/>
      <c r="I234" s="3"/>
      <c r="J234" s="3"/>
      <c r="K234" s="83"/>
      <c r="L234" s="3"/>
      <c r="M234" s="3"/>
      <c r="N234" s="3"/>
      <c r="O234" s="3"/>
      <c r="P234" s="3"/>
      <c r="Q234" s="3"/>
      <c r="R234" s="83"/>
      <c r="S234" s="3"/>
      <c r="T234" s="3"/>
      <c r="U234" s="3"/>
      <c r="V234" s="83"/>
      <c r="W234" s="3"/>
      <c r="X234" s="3"/>
      <c r="Y234" s="8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83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1:47" ht="24" customHeight="1" x14ac:dyDescent="0.5">
      <c r="A235" s="3"/>
      <c r="B235" s="3"/>
      <c r="C235" s="3"/>
      <c r="D235" s="3"/>
      <c r="E235" s="3"/>
      <c r="F235" s="3"/>
      <c r="G235" s="83"/>
      <c r="H235" s="3"/>
      <c r="I235" s="3"/>
      <c r="J235" s="3"/>
      <c r="K235" s="83"/>
      <c r="L235" s="3"/>
      <c r="M235" s="3"/>
      <c r="N235" s="3"/>
      <c r="O235" s="3"/>
      <c r="P235" s="3"/>
      <c r="Q235" s="3"/>
      <c r="R235" s="83"/>
      <c r="S235" s="3"/>
      <c r="T235" s="3"/>
      <c r="U235" s="3"/>
      <c r="V235" s="83"/>
      <c r="W235" s="3"/>
      <c r="X235" s="3"/>
      <c r="Y235" s="8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83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1:47" ht="24" customHeight="1" x14ac:dyDescent="0.5">
      <c r="A236" s="3"/>
      <c r="B236" s="3"/>
      <c r="C236" s="3"/>
      <c r="D236" s="3"/>
      <c r="E236" s="3"/>
      <c r="F236" s="3"/>
      <c r="G236" s="83"/>
      <c r="H236" s="3"/>
      <c r="I236" s="3"/>
      <c r="J236" s="3"/>
      <c r="K236" s="83"/>
      <c r="L236" s="3"/>
      <c r="M236" s="3"/>
      <c r="N236" s="3"/>
      <c r="O236" s="3"/>
      <c r="P236" s="3"/>
      <c r="Q236" s="3"/>
      <c r="R236" s="83"/>
      <c r="S236" s="3"/>
      <c r="T236" s="3"/>
      <c r="U236" s="3"/>
      <c r="V236" s="83"/>
      <c r="W236" s="3"/>
      <c r="X236" s="3"/>
      <c r="Y236" s="8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83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1:47" ht="24" customHeight="1" x14ac:dyDescent="0.5">
      <c r="A237" s="3"/>
      <c r="B237" s="3"/>
      <c r="C237" s="3"/>
      <c r="D237" s="3"/>
      <c r="E237" s="3"/>
      <c r="F237" s="3"/>
      <c r="G237" s="83"/>
      <c r="H237" s="3"/>
      <c r="I237" s="3"/>
      <c r="J237" s="3"/>
      <c r="K237" s="83"/>
      <c r="L237" s="3"/>
      <c r="M237" s="3"/>
      <c r="N237" s="3"/>
      <c r="O237" s="3"/>
      <c r="P237" s="3"/>
      <c r="Q237" s="3"/>
      <c r="R237" s="83"/>
      <c r="S237" s="3"/>
      <c r="T237" s="3"/>
      <c r="U237" s="3"/>
      <c r="V237" s="83"/>
      <c r="W237" s="3"/>
      <c r="X237" s="3"/>
      <c r="Y237" s="8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83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1:47" ht="24" customHeight="1" x14ac:dyDescent="0.5">
      <c r="A238" s="3"/>
      <c r="B238" s="3"/>
      <c r="C238" s="3"/>
      <c r="D238" s="3"/>
      <c r="E238" s="3"/>
      <c r="F238" s="3"/>
      <c r="G238" s="83"/>
      <c r="H238" s="3"/>
      <c r="I238" s="3"/>
      <c r="J238" s="3"/>
      <c r="K238" s="83"/>
      <c r="L238" s="3"/>
      <c r="M238" s="3"/>
      <c r="N238" s="3"/>
      <c r="O238" s="3"/>
      <c r="P238" s="3"/>
      <c r="Q238" s="3"/>
      <c r="R238" s="83"/>
      <c r="S238" s="3"/>
      <c r="T238" s="3"/>
      <c r="U238" s="3"/>
      <c r="V238" s="83"/>
      <c r="W238" s="3"/>
      <c r="X238" s="3"/>
      <c r="Y238" s="8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83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1:47" ht="24" customHeight="1" x14ac:dyDescent="0.5">
      <c r="A239" s="3"/>
      <c r="B239" s="3"/>
      <c r="C239" s="3"/>
      <c r="D239" s="3"/>
      <c r="E239" s="3"/>
      <c r="F239" s="3"/>
      <c r="G239" s="83"/>
      <c r="H239" s="3"/>
      <c r="I239" s="3"/>
      <c r="J239" s="3"/>
      <c r="K239" s="83"/>
      <c r="L239" s="3"/>
      <c r="M239" s="3"/>
      <c r="N239" s="3"/>
      <c r="O239" s="3"/>
      <c r="P239" s="3"/>
      <c r="Q239" s="3"/>
      <c r="R239" s="83"/>
      <c r="S239" s="3"/>
      <c r="T239" s="3"/>
      <c r="U239" s="3"/>
      <c r="V239" s="83"/>
      <c r="W239" s="3"/>
      <c r="X239" s="3"/>
      <c r="Y239" s="8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83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1:47" ht="24" customHeight="1" x14ac:dyDescent="0.5">
      <c r="A240" s="3"/>
      <c r="B240" s="3"/>
      <c r="C240" s="3"/>
      <c r="D240" s="3"/>
      <c r="E240" s="3"/>
      <c r="F240" s="3"/>
      <c r="G240" s="83"/>
      <c r="H240" s="3"/>
      <c r="I240" s="3"/>
      <c r="J240" s="3"/>
      <c r="K240" s="83"/>
      <c r="L240" s="3"/>
      <c r="M240" s="3"/>
      <c r="N240" s="3"/>
      <c r="O240" s="3"/>
      <c r="P240" s="3"/>
      <c r="Q240" s="3"/>
      <c r="R240" s="83"/>
      <c r="S240" s="3"/>
      <c r="T240" s="3"/>
      <c r="U240" s="3"/>
      <c r="V240" s="83"/>
      <c r="W240" s="3"/>
      <c r="X240" s="3"/>
      <c r="Y240" s="8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83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1:47" ht="24" customHeight="1" x14ac:dyDescent="0.5">
      <c r="A241" s="3"/>
      <c r="B241" s="3"/>
      <c r="C241" s="3"/>
      <c r="D241" s="3"/>
      <c r="E241" s="3"/>
      <c r="F241" s="3"/>
      <c r="G241" s="83"/>
      <c r="H241" s="3"/>
      <c r="I241" s="3"/>
      <c r="J241" s="3"/>
      <c r="K241" s="83"/>
      <c r="L241" s="3"/>
      <c r="M241" s="3"/>
      <c r="N241" s="3"/>
      <c r="O241" s="3"/>
      <c r="P241" s="3"/>
      <c r="Q241" s="3"/>
      <c r="R241" s="83"/>
      <c r="S241" s="3"/>
      <c r="T241" s="3"/>
      <c r="U241" s="3"/>
      <c r="V241" s="83"/>
      <c r="W241" s="3"/>
      <c r="X241" s="3"/>
      <c r="Y241" s="8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83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1:47" ht="24" customHeight="1" x14ac:dyDescent="0.5">
      <c r="A242" s="3"/>
      <c r="B242" s="3"/>
      <c r="C242" s="3"/>
      <c r="D242" s="3"/>
      <c r="E242" s="3"/>
      <c r="F242" s="3"/>
      <c r="G242" s="83"/>
      <c r="H242" s="3"/>
      <c r="I242" s="3"/>
      <c r="J242" s="3"/>
      <c r="K242" s="83"/>
      <c r="L242" s="3"/>
      <c r="M242" s="3"/>
      <c r="N242" s="3"/>
      <c r="O242" s="3"/>
      <c r="P242" s="3"/>
      <c r="Q242" s="3"/>
      <c r="R242" s="83"/>
      <c r="S242" s="3"/>
      <c r="T242" s="3"/>
      <c r="U242" s="3"/>
      <c r="V242" s="83"/>
      <c r="W242" s="3"/>
      <c r="X242" s="3"/>
      <c r="Y242" s="8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8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1:47" ht="24" customHeight="1" x14ac:dyDescent="0.5">
      <c r="A243" s="3"/>
      <c r="B243" s="3"/>
      <c r="C243" s="3"/>
      <c r="D243" s="3"/>
      <c r="E243" s="3"/>
      <c r="F243" s="3"/>
      <c r="G243" s="83"/>
      <c r="H243" s="3"/>
      <c r="I243" s="3"/>
      <c r="J243" s="3"/>
      <c r="K243" s="83"/>
      <c r="L243" s="3"/>
      <c r="M243" s="3"/>
      <c r="N243" s="3"/>
      <c r="O243" s="3"/>
      <c r="P243" s="3"/>
      <c r="Q243" s="3"/>
      <c r="R243" s="83"/>
      <c r="S243" s="3"/>
      <c r="T243" s="3"/>
      <c r="U243" s="3"/>
      <c r="V243" s="83"/>
      <c r="W243" s="3"/>
      <c r="X243" s="3"/>
      <c r="Y243" s="8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83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1:47" ht="24" customHeight="1" x14ac:dyDescent="0.5">
      <c r="A244" s="3"/>
      <c r="B244" s="3"/>
      <c r="C244" s="3"/>
      <c r="D244" s="3"/>
      <c r="E244" s="3"/>
      <c r="F244" s="3"/>
      <c r="G244" s="83"/>
      <c r="H244" s="3"/>
      <c r="I244" s="3"/>
      <c r="J244" s="3"/>
      <c r="K244" s="83"/>
      <c r="L244" s="3"/>
      <c r="M244" s="3"/>
      <c r="N244" s="3"/>
      <c r="O244" s="3"/>
      <c r="P244" s="3"/>
      <c r="Q244" s="3"/>
      <c r="R244" s="83"/>
      <c r="S244" s="3"/>
      <c r="T244" s="3"/>
      <c r="U244" s="3"/>
      <c r="V244" s="83"/>
      <c r="W244" s="3"/>
      <c r="X244" s="3"/>
      <c r="Y244" s="8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83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1:47" ht="24" customHeight="1" x14ac:dyDescent="0.5">
      <c r="A245" s="3"/>
      <c r="B245" s="3"/>
      <c r="C245" s="3"/>
      <c r="D245" s="3"/>
      <c r="E245" s="3"/>
      <c r="F245" s="3"/>
      <c r="G245" s="83"/>
      <c r="H245" s="3"/>
      <c r="I245" s="3"/>
      <c r="J245" s="3"/>
      <c r="K245" s="83"/>
      <c r="L245" s="3"/>
      <c r="M245" s="3"/>
      <c r="N245" s="3"/>
      <c r="O245" s="3"/>
      <c r="P245" s="3"/>
      <c r="Q245" s="3"/>
      <c r="R245" s="83"/>
      <c r="S245" s="3"/>
      <c r="T245" s="3"/>
      <c r="U245" s="3"/>
      <c r="V245" s="83"/>
      <c r="W245" s="3"/>
      <c r="X245" s="3"/>
      <c r="Y245" s="8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83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1:47" ht="24" customHeight="1" x14ac:dyDescent="0.5">
      <c r="A246" s="3"/>
      <c r="B246" s="3"/>
      <c r="C246" s="3"/>
      <c r="D246" s="3"/>
      <c r="E246" s="3"/>
      <c r="F246" s="3"/>
      <c r="G246" s="83"/>
      <c r="H246" s="3"/>
      <c r="I246" s="3"/>
      <c r="J246" s="3"/>
      <c r="K246" s="83"/>
      <c r="L246" s="3"/>
      <c r="M246" s="3"/>
      <c r="N246" s="3"/>
      <c r="O246" s="3"/>
      <c r="P246" s="3"/>
      <c r="Q246" s="3"/>
      <c r="R246" s="83"/>
      <c r="S246" s="3"/>
      <c r="T246" s="3"/>
      <c r="U246" s="3"/>
      <c r="V246" s="83"/>
      <c r="W246" s="3"/>
      <c r="X246" s="3"/>
      <c r="Y246" s="8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83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1:47" ht="24" customHeight="1" x14ac:dyDescent="0.5">
      <c r="A247" s="3"/>
      <c r="B247" s="3"/>
      <c r="C247" s="3"/>
      <c r="D247" s="3"/>
      <c r="E247" s="3"/>
      <c r="F247" s="3"/>
      <c r="G247" s="83"/>
      <c r="H247" s="3"/>
      <c r="I247" s="3"/>
      <c r="J247" s="3"/>
      <c r="K247" s="83"/>
      <c r="L247" s="3"/>
      <c r="M247" s="3"/>
      <c r="N247" s="3"/>
      <c r="O247" s="3"/>
      <c r="P247" s="3"/>
      <c r="Q247" s="3"/>
      <c r="R247" s="83"/>
      <c r="S247" s="3"/>
      <c r="T247" s="3"/>
      <c r="U247" s="3"/>
      <c r="V247" s="83"/>
      <c r="W247" s="3"/>
      <c r="X247" s="3"/>
      <c r="Y247" s="8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83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1:47" ht="24" customHeight="1" x14ac:dyDescent="0.5">
      <c r="A248" s="3"/>
      <c r="B248" s="3"/>
      <c r="C248" s="3"/>
      <c r="D248" s="3"/>
      <c r="E248" s="3"/>
      <c r="F248" s="3"/>
      <c r="G248" s="83"/>
      <c r="H248" s="3"/>
      <c r="I248" s="3"/>
      <c r="J248" s="3"/>
      <c r="K248" s="83"/>
      <c r="L248" s="3"/>
      <c r="M248" s="3"/>
      <c r="N248" s="3"/>
      <c r="O248" s="3"/>
      <c r="P248" s="3"/>
      <c r="Q248" s="3"/>
      <c r="R248" s="83"/>
      <c r="S248" s="3"/>
      <c r="T248" s="3"/>
      <c r="U248" s="3"/>
      <c r="V248" s="83"/>
      <c r="W248" s="3"/>
      <c r="X248" s="3"/>
      <c r="Y248" s="8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83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1:47" ht="24" customHeight="1" x14ac:dyDescent="0.5">
      <c r="A249" s="3"/>
      <c r="B249" s="3"/>
      <c r="C249" s="3"/>
      <c r="D249" s="3"/>
      <c r="E249" s="3"/>
      <c r="F249" s="3"/>
      <c r="G249" s="83"/>
      <c r="H249" s="3"/>
      <c r="I249" s="3"/>
      <c r="J249" s="3"/>
      <c r="K249" s="83"/>
      <c r="L249" s="3"/>
      <c r="M249" s="3"/>
      <c r="N249" s="3"/>
      <c r="O249" s="3"/>
      <c r="P249" s="3"/>
      <c r="Q249" s="3"/>
      <c r="R249" s="83"/>
      <c r="S249" s="3"/>
      <c r="T249" s="3"/>
      <c r="U249" s="3"/>
      <c r="V249" s="83"/>
      <c r="W249" s="3"/>
      <c r="X249" s="3"/>
      <c r="Y249" s="8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83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1:47" ht="24" customHeight="1" x14ac:dyDescent="0.5">
      <c r="A250" s="3"/>
      <c r="B250" s="3"/>
      <c r="C250" s="3"/>
      <c r="D250" s="3"/>
      <c r="E250" s="3"/>
      <c r="F250" s="3"/>
      <c r="G250" s="83"/>
      <c r="H250" s="3"/>
      <c r="I250" s="3"/>
      <c r="J250" s="3"/>
      <c r="K250" s="83"/>
      <c r="L250" s="3"/>
      <c r="M250" s="3"/>
      <c r="N250" s="3"/>
      <c r="O250" s="3"/>
      <c r="P250" s="3"/>
      <c r="Q250" s="3"/>
      <c r="R250" s="83"/>
      <c r="S250" s="3"/>
      <c r="T250" s="3"/>
      <c r="U250" s="3"/>
      <c r="V250" s="83"/>
      <c r="W250" s="3"/>
      <c r="X250" s="3"/>
      <c r="Y250" s="8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83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1:47" ht="24" customHeight="1" x14ac:dyDescent="0.5">
      <c r="A251" s="3"/>
      <c r="B251" s="3"/>
      <c r="C251" s="3"/>
      <c r="D251" s="3"/>
      <c r="E251" s="3"/>
      <c r="F251" s="3"/>
      <c r="G251" s="83"/>
      <c r="H251" s="3"/>
      <c r="I251" s="3"/>
      <c r="J251" s="3"/>
      <c r="K251" s="83"/>
      <c r="L251" s="3"/>
      <c r="M251" s="3"/>
      <c r="N251" s="3"/>
      <c r="O251" s="3"/>
      <c r="P251" s="3"/>
      <c r="Q251" s="3"/>
      <c r="R251" s="83"/>
      <c r="S251" s="3"/>
      <c r="T251" s="3"/>
      <c r="U251" s="3"/>
      <c r="V251" s="83"/>
      <c r="W251" s="3"/>
      <c r="X251" s="3"/>
      <c r="Y251" s="8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83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1:47" ht="24" customHeight="1" x14ac:dyDescent="0.5">
      <c r="A252" s="3"/>
      <c r="B252" s="3"/>
      <c r="C252" s="3"/>
      <c r="D252" s="3"/>
      <c r="E252" s="3"/>
      <c r="F252" s="3"/>
      <c r="G252" s="83"/>
      <c r="H252" s="3"/>
      <c r="I252" s="3"/>
      <c r="J252" s="3"/>
      <c r="K252" s="83"/>
      <c r="L252" s="3"/>
      <c r="M252" s="3"/>
      <c r="N252" s="3"/>
      <c r="O252" s="3"/>
      <c r="P252" s="3"/>
      <c r="Q252" s="3"/>
      <c r="R252" s="83"/>
      <c r="S252" s="3"/>
      <c r="T252" s="3"/>
      <c r="U252" s="3"/>
      <c r="V252" s="83"/>
      <c r="W252" s="3"/>
      <c r="X252" s="3"/>
      <c r="Y252" s="8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83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1:47" ht="24" customHeight="1" x14ac:dyDescent="0.5">
      <c r="A253" s="3"/>
      <c r="B253" s="3"/>
      <c r="C253" s="3"/>
      <c r="D253" s="3"/>
      <c r="E253" s="3"/>
      <c r="F253" s="3"/>
      <c r="G253" s="83"/>
      <c r="H253" s="3"/>
      <c r="I253" s="3"/>
      <c r="J253" s="3"/>
      <c r="K253" s="83"/>
      <c r="L253" s="3"/>
      <c r="M253" s="3"/>
      <c r="N253" s="3"/>
      <c r="O253" s="3"/>
      <c r="P253" s="3"/>
      <c r="Q253" s="3"/>
      <c r="R253" s="83"/>
      <c r="S253" s="3"/>
      <c r="T253" s="3"/>
      <c r="U253" s="3"/>
      <c r="V253" s="83"/>
      <c r="W253" s="3"/>
      <c r="X253" s="3"/>
      <c r="Y253" s="8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83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1:47" ht="24" customHeight="1" x14ac:dyDescent="0.5">
      <c r="A254" s="3"/>
      <c r="B254" s="3"/>
      <c r="C254" s="3"/>
      <c r="D254" s="3"/>
      <c r="E254" s="3"/>
      <c r="F254" s="3"/>
      <c r="G254" s="83"/>
      <c r="H254" s="3"/>
      <c r="I254" s="3"/>
      <c r="J254" s="3"/>
      <c r="K254" s="83"/>
      <c r="L254" s="3"/>
      <c r="M254" s="3"/>
      <c r="N254" s="3"/>
      <c r="O254" s="3"/>
      <c r="P254" s="3"/>
      <c r="Q254" s="3"/>
      <c r="R254" s="83"/>
      <c r="S254" s="3"/>
      <c r="T254" s="3"/>
      <c r="U254" s="3"/>
      <c r="V254" s="83"/>
      <c r="W254" s="3"/>
      <c r="X254" s="3"/>
      <c r="Y254" s="8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83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1:47" ht="24" customHeight="1" x14ac:dyDescent="0.5">
      <c r="A255" s="3"/>
      <c r="B255" s="3"/>
      <c r="C255" s="3"/>
      <c r="D255" s="3"/>
      <c r="E255" s="3"/>
      <c r="F255" s="3"/>
      <c r="G255" s="83"/>
      <c r="H255" s="3"/>
      <c r="I255" s="3"/>
      <c r="J255" s="3"/>
      <c r="K255" s="83"/>
      <c r="L255" s="3"/>
      <c r="M255" s="3"/>
      <c r="N255" s="3"/>
      <c r="O255" s="3"/>
      <c r="P255" s="3"/>
      <c r="Q255" s="3"/>
      <c r="R255" s="83"/>
      <c r="S255" s="3"/>
      <c r="T255" s="3"/>
      <c r="U255" s="3"/>
      <c r="V255" s="83"/>
      <c r="W255" s="3"/>
      <c r="X255" s="3"/>
      <c r="Y255" s="8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83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1:47" ht="24" customHeight="1" x14ac:dyDescent="0.5">
      <c r="A256" s="3"/>
      <c r="B256" s="3"/>
      <c r="C256" s="3"/>
      <c r="D256" s="3"/>
      <c r="E256" s="3"/>
      <c r="F256" s="3"/>
      <c r="G256" s="83"/>
      <c r="H256" s="3"/>
      <c r="I256" s="3"/>
      <c r="J256" s="3"/>
      <c r="K256" s="83"/>
      <c r="L256" s="3"/>
      <c r="M256" s="3"/>
      <c r="N256" s="3"/>
      <c r="O256" s="3"/>
      <c r="P256" s="3"/>
      <c r="Q256" s="3"/>
      <c r="R256" s="83"/>
      <c r="S256" s="3"/>
      <c r="T256" s="3"/>
      <c r="U256" s="3"/>
      <c r="V256" s="83"/>
      <c r="W256" s="3"/>
      <c r="X256" s="3"/>
      <c r="Y256" s="8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83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1:47" ht="24" customHeight="1" x14ac:dyDescent="0.5">
      <c r="A257" s="3"/>
      <c r="B257" s="3"/>
      <c r="C257" s="3"/>
      <c r="D257" s="3"/>
      <c r="E257" s="3"/>
      <c r="F257" s="3"/>
      <c r="G257" s="83"/>
      <c r="H257" s="3"/>
      <c r="I257" s="3"/>
      <c r="J257" s="3"/>
      <c r="K257" s="83"/>
      <c r="L257" s="3"/>
      <c r="M257" s="3"/>
      <c r="N257" s="3"/>
      <c r="O257" s="3"/>
      <c r="P257" s="3"/>
      <c r="Q257" s="3"/>
      <c r="R257" s="83"/>
      <c r="S257" s="3"/>
      <c r="T257" s="3"/>
      <c r="U257" s="3"/>
      <c r="V257" s="83"/>
      <c r="W257" s="3"/>
      <c r="X257" s="3"/>
      <c r="Y257" s="8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83"/>
      <c r="AM257" s="3"/>
      <c r="AN257" s="3"/>
      <c r="AO257" s="3"/>
      <c r="AP257" s="3"/>
      <c r="AQ257" s="3"/>
      <c r="AR257" s="3"/>
      <c r="AS257" s="3"/>
      <c r="AT257" s="3"/>
      <c r="AU257" s="3"/>
    </row>
    <row r="258" spans="1:47" ht="24" customHeight="1" x14ac:dyDescent="0.5">
      <c r="A258" s="3"/>
      <c r="B258" s="3"/>
      <c r="C258" s="3"/>
      <c r="D258" s="3"/>
      <c r="E258" s="3"/>
      <c r="F258" s="3"/>
      <c r="G258" s="83"/>
      <c r="H258" s="3"/>
      <c r="I258" s="3"/>
      <c r="J258" s="3"/>
      <c r="K258" s="83"/>
      <c r="L258" s="3"/>
      <c r="M258" s="3"/>
      <c r="N258" s="3"/>
      <c r="O258" s="3"/>
      <c r="P258" s="3"/>
      <c r="Q258" s="3"/>
      <c r="R258" s="83"/>
      <c r="S258" s="3"/>
      <c r="T258" s="3"/>
      <c r="U258" s="3"/>
      <c r="V258" s="83"/>
      <c r="W258" s="3"/>
      <c r="X258" s="3"/>
      <c r="Y258" s="8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83"/>
      <c r="AM258" s="3"/>
      <c r="AN258" s="3"/>
      <c r="AO258" s="3"/>
      <c r="AP258" s="3"/>
      <c r="AQ258" s="3"/>
      <c r="AR258" s="3"/>
      <c r="AS258" s="3"/>
      <c r="AT258" s="3"/>
      <c r="AU258" s="3"/>
    </row>
    <row r="259" spans="1:47" ht="24" customHeight="1" x14ac:dyDescent="0.5">
      <c r="A259" s="3"/>
      <c r="B259" s="3"/>
      <c r="C259" s="3"/>
      <c r="D259" s="3"/>
      <c r="E259" s="3"/>
      <c r="F259" s="3"/>
      <c r="G259" s="83"/>
      <c r="H259" s="3"/>
      <c r="I259" s="3"/>
      <c r="J259" s="3"/>
      <c r="K259" s="83"/>
      <c r="L259" s="3"/>
      <c r="M259" s="3"/>
      <c r="N259" s="3"/>
      <c r="O259" s="3"/>
      <c r="P259" s="3"/>
      <c r="Q259" s="3"/>
      <c r="R259" s="83"/>
      <c r="S259" s="3"/>
      <c r="T259" s="3"/>
      <c r="U259" s="3"/>
      <c r="V259" s="83"/>
      <c r="W259" s="3"/>
      <c r="X259" s="3"/>
      <c r="Y259" s="8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83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1:47" ht="24" customHeight="1" x14ac:dyDescent="0.5">
      <c r="A260" s="3"/>
      <c r="B260" s="3"/>
      <c r="C260" s="3"/>
      <c r="D260" s="3"/>
      <c r="E260" s="3"/>
      <c r="F260" s="3"/>
      <c r="G260" s="83"/>
      <c r="H260" s="3"/>
      <c r="I260" s="3"/>
      <c r="J260" s="3"/>
      <c r="K260" s="83"/>
      <c r="L260" s="3"/>
      <c r="M260" s="3"/>
      <c r="N260" s="3"/>
      <c r="O260" s="3"/>
      <c r="P260" s="3"/>
      <c r="Q260" s="3"/>
      <c r="R260" s="83"/>
      <c r="S260" s="3"/>
      <c r="T260" s="3"/>
      <c r="U260" s="3"/>
      <c r="V260" s="83"/>
      <c r="W260" s="3"/>
      <c r="X260" s="3"/>
      <c r="Y260" s="8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83"/>
      <c r="AM260" s="3"/>
      <c r="AN260" s="3"/>
      <c r="AO260" s="3"/>
      <c r="AP260" s="3"/>
      <c r="AQ260" s="3"/>
      <c r="AR260" s="3"/>
      <c r="AS260" s="3"/>
      <c r="AT260" s="3"/>
      <c r="AU260" s="3"/>
    </row>
    <row r="261" spans="1:47" ht="24" customHeight="1" x14ac:dyDescent="0.5">
      <c r="A261" s="3"/>
      <c r="B261" s="3"/>
      <c r="C261" s="3"/>
      <c r="D261" s="3"/>
      <c r="E261" s="3"/>
      <c r="F261" s="3"/>
      <c r="G261" s="83"/>
      <c r="H261" s="3"/>
      <c r="I261" s="3"/>
      <c r="J261" s="3"/>
      <c r="K261" s="83"/>
      <c r="L261" s="3"/>
      <c r="M261" s="3"/>
      <c r="N261" s="3"/>
      <c r="O261" s="3"/>
      <c r="P261" s="3"/>
      <c r="Q261" s="3"/>
      <c r="R261" s="83"/>
      <c r="S261" s="3"/>
      <c r="T261" s="3"/>
      <c r="U261" s="3"/>
      <c r="V261" s="83"/>
      <c r="W261" s="3"/>
      <c r="X261" s="3"/>
      <c r="Y261" s="8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83"/>
      <c r="AM261" s="3"/>
      <c r="AN261" s="3"/>
      <c r="AO261" s="3"/>
      <c r="AP261" s="3"/>
      <c r="AQ261" s="3"/>
      <c r="AR261" s="3"/>
      <c r="AS261" s="3"/>
      <c r="AT261" s="3"/>
      <c r="AU261" s="3"/>
    </row>
    <row r="262" spans="1:47" ht="24" customHeight="1" x14ac:dyDescent="0.5">
      <c r="A262" s="3"/>
      <c r="B262" s="3"/>
      <c r="C262" s="3"/>
      <c r="D262" s="3"/>
      <c r="E262" s="3"/>
      <c r="F262" s="3"/>
      <c r="G262" s="83"/>
      <c r="H262" s="3"/>
      <c r="I262" s="3"/>
      <c r="J262" s="3"/>
      <c r="K262" s="83"/>
      <c r="L262" s="3"/>
      <c r="M262" s="3"/>
      <c r="N262" s="3"/>
      <c r="O262" s="3"/>
      <c r="P262" s="3"/>
      <c r="Q262" s="3"/>
      <c r="R262" s="83"/>
      <c r="S262" s="3"/>
      <c r="T262" s="3"/>
      <c r="U262" s="3"/>
      <c r="V262" s="83"/>
      <c r="W262" s="3"/>
      <c r="X262" s="3"/>
      <c r="Y262" s="8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83"/>
      <c r="AM262" s="3"/>
      <c r="AN262" s="3"/>
      <c r="AO262" s="3"/>
      <c r="AP262" s="3"/>
      <c r="AQ262" s="3"/>
      <c r="AR262" s="3"/>
      <c r="AS262" s="3"/>
      <c r="AT262" s="3"/>
      <c r="AU262" s="3"/>
    </row>
    <row r="263" spans="1:47" ht="24" customHeight="1" x14ac:dyDescent="0.5">
      <c r="A263" s="3"/>
      <c r="B263" s="3"/>
      <c r="C263" s="3"/>
      <c r="D263" s="3"/>
      <c r="E263" s="3"/>
      <c r="F263" s="3"/>
      <c r="G263" s="83"/>
      <c r="H263" s="3"/>
      <c r="I263" s="3"/>
      <c r="J263" s="3"/>
      <c r="K263" s="83"/>
      <c r="L263" s="3"/>
      <c r="M263" s="3"/>
      <c r="N263" s="3"/>
      <c r="O263" s="3"/>
      <c r="P263" s="3"/>
      <c r="Q263" s="3"/>
      <c r="R263" s="83"/>
      <c r="S263" s="3"/>
      <c r="T263" s="3"/>
      <c r="U263" s="3"/>
      <c r="V263" s="83"/>
      <c r="W263" s="3"/>
      <c r="X263" s="3"/>
      <c r="Y263" s="8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83"/>
      <c r="AM263" s="3"/>
      <c r="AN263" s="3"/>
      <c r="AO263" s="3"/>
      <c r="AP263" s="3"/>
      <c r="AQ263" s="3"/>
      <c r="AR263" s="3"/>
      <c r="AS263" s="3"/>
      <c r="AT263" s="3"/>
      <c r="AU263" s="3"/>
    </row>
    <row r="264" spans="1:47" ht="24" customHeight="1" x14ac:dyDescent="0.5">
      <c r="A264" s="3"/>
      <c r="B264" s="3"/>
      <c r="C264" s="3"/>
      <c r="D264" s="3"/>
      <c r="E264" s="3"/>
      <c r="F264" s="3"/>
      <c r="G264" s="83"/>
      <c r="H264" s="3"/>
      <c r="I264" s="3"/>
      <c r="J264" s="3"/>
      <c r="K264" s="83"/>
      <c r="L264" s="3"/>
      <c r="M264" s="3"/>
      <c r="N264" s="3"/>
      <c r="O264" s="3"/>
      <c r="P264" s="3"/>
      <c r="Q264" s="3"/>
      <c r="R264" s="83"/>
      <c r="S264" s="3"/>
      <c r="T264" s="3"/>
      <c r="U264" s="3"/>
      <c r="V264" s="83"/>
      <c r="W264" s="3"/>
      <c r="X264" s="3"/>
      <c r="Y264" s="8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83"/>
      <c r="AM264" s="3"/>
      <c r="AN264" s="3"/>
      <c r="AO264" s="3"/>
      <c r="AP264" s="3"/>
      <c r="AQ264" s="3"/>
      <c r="AR264" s="3"/>
      <c r="AS264" s="3"/>
      <c r="AT264" s="3"/>
      <c r="AU264" s="3"/>
    </row>
    <row r="265" spans="1:47" ht="24" customHeight="1" x14ac:dyDescent="0.5">
      <c r="A265" s="3"/>
      <c r="B265" s="3"/>
      <c r="C265" s="3"/>
      <c r="D265" s="3"/>
      <c r="E265" s="3"/>
      <c r="F265" s="3"/>
      <c r="G265" s="83"/>
      <c r="H265" s="3"/>
      <c r="I265" s="3"/>
      <c r="J265" s="3"/>
      <c r="K265" s="83"/>
      <c r="L265" s="3"/>
      <c r="M265" s="3"/>
      <c r="N265" s="3"/>
      <c r="O265" s="3"/>
      <c r="P265" s="3"/>
      <c r="Q265" s="3"/>
      <c r="R265" s="83"/>
      <c r="S265" s="3"/>
      <c r="T265" s="3"/>
      <c r="U265" s="3"/>
      <c r="V265" s="83"/>
      <c r="W265" s="3"/>
      <c r="X265" s="3"/>
      <c r="Y265" s="8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83"/>
      <c r="AM265" s="3"/>
      <c r="AN265" s="3"/>
      <c r="AO265" s="3"/>
      <c r="AP265" s="3"/>
      <c r="AQ265" s="3"/>
      <c r="AR265" s="3"/>
      <c r="AS265" s="3"/>
      <c r="AT265" s="3"/>
      <c r="AU265" s="3"/>
    </row>
    <row r="266" spans="1:47" ht="24" customHeight="1" x14ac:dyDescent="0.5">
      <c r="A266" s="3"/>
      <c r="B266" s="3"/>
      <c r="C266" s="3"/>
      <c r="D266" s="3"/>
      <c r="E266" s="3"/>
      <c r="F266" s="3"/>
      <c r="G266" s="83"/>
      <c r="H266" s="3"/>
      <c r="I266" s="3"/>
      <c r="J266" s="3"/>
      <c r="K266" s="83"/>
      <c r="L266" s="3"/>
      <c r="M266" s="3"/>
      <c r="N266" s="3"/>
      <c r="O266" s="3"/>
      <c r="P266" s="3"/>
      <c r="Q266" s="3"/>
      <c r="R266" s="83"/>
      <c r="S266" s="3"/>
      <c r="T266" s="3"/>
      <c r="U266" s="3"/>
      <c r="V266" s="83"/>
      <c r="W266" s="3"/>
      <c r="X266" s="3"/>
      <c r="Y266" s="8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83"/>
      <c r="AM266" s="3"/>
      <c r="AN266" s="3"/>
      <c r="AO266" s="3"/>
      <c r="AP266" s="3"/>
      <c r="AQ266" s="3"/>
      <c r="AR266" s="3"/>
      <c r="AS266" s="3"/>
      <c r="AT266" s="3"/>
      <c r="AU266" s="3"/>
    </row>
    <row r="267" spans="1:47" ht="24" customHeight="1" x14ac:dyDescent="0.5">
      <c r="A267" s="3"/>
      <c r="B267" s="3"/>
      <c r="C267" s="3"/>
      <c r="D267" s="3"/>
      <c r="E267" s="3"/>
      <c r="F267" s="3"/>
      <c r="G267" s="83"/>
      <c r="H267" s="3"/>
      <c r="I267" s="3"/>
      <c r="J267" s="3"/>
      <c r="K267" s="83"/>
      <c r="L267" s="3"/>
      <c r="M267" s="3"/>
      <c r="N267" s="3"/>
      <c r="O267" s="3"/>
      <c r="P267" s="3"/>
      <c r="Q267" s="3"/>
      <c r="R267" s="83"/>
      <c r="S267" s="3"/>
      <c r="T267" s="3"/>
      <c r="U267" s="3"/>
      <c r="V267" s="83"/>
      <c r="W267" s="3"/>
      <c r="X267" s="3"/>
      <c r="Y267" s="8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83"/>
      <c r="AM267" s="3"/>
      <c r="AN267" s="3"/>
      <c r="AO267" s="3"/>
      <c r="AP267" s="3"/>
      <c r="AQ267" s="3"/>
      <c r="AR267" s="3"/>
      <c r="AS267" s="3"/>
      <c r="AT267" s="3"/>
      <c r="AU267" s="3"/>
    </row>
    <row r="268" spans="1:47" ht="24" customHeight="1" x14ac:dyDescent="0.5">
      <c r="A268" s="3"/>
      <c r="B268" s="3"/>
      <c r="C268" s="3"/>
      <c r="D268" s="3"/>
      <c r="E268" s="3"/>
      <c r="F268" s="3"/>
      <c r="G268" s="83"/>
      <c r="H268" s="3"/>
      <c r="I268" s="3"/>
      <c r="J268" s="3"/>
      <c r="K268" s="83"/>
      <c r="L268" s="3"/>
      <c r="M268" s="3"/>
      <c r="N268" s="3"/>
      <c r="O268" s="3"/>
      <c r="P268" s="3"/>
      <c r="Q268" s="3"/>
      <c r="R268" s="83"/>
      <c r="S268" s="3"/>
      <c r="T268" s="3"/>
      <c r="U268" s="3"/>
      <c r="V268" s="83"/>
      <c r="W268" s="3"/>
      <c r="X268" s="3"/>
      <c r="Y268" s="8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83"/>
      <c r="AM268" s="3"/>
      <c r="AN268" s="3"/>
      <c r="AO268" s="3"/>
      <c r="AP268" s="3"/>
      <c r="AQ268" s="3"/>
      <c r="AR268" s="3"/>
      <c r="AS268" s="3"/>
      <c r="AT268" s="3"/>
      <c r="AU268" s="3"/>
    </row>
    <row r="269" spans="1:47" ht="24" customHeight="1" x14ac:dyDescent="0.5">
      <c r="A269" s="3"/>
      <c r="B269" s="3"/>
      <c r="C269" s="3"/>
      <c r="D269" s="3"/>
      <c r="E269" s="3"/>
      <c r="F269" s="3"/>
      <c r="G269" s="83"/>
      <c r="H269" s="3"/>
      <c r="I269" s="3"/>
      <c r="J269" s="3"/>
      <c r="K269" s="83"/>
      <c r="L269" s="3"/>
      <c r="M269" s="3"/>
      <c r="N269" s="3"/>
      <c r="O269" s="3"/>
      <c r="P269" s="3"/>
      <c r="Q269" s="3"/>
      <c r="R269" s="83"/>
      <c r="S269" s="3"/>
      <c r="T269" s="3"/>
      <c r="U269" s="3"/>
      <c r="V269" s="83"/>
      <c r="W269" s="3"/>
      <c r="X269" s="3"/>
      <c r="Y269" s="8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83"/>
      <c r="AM269" s="3"/>
      <c r="AN269" s="3"/>
      <c r="AO269" s="3"/>
      <c r="AP269" s="3"/>
      <c r="AQ269" s="3"/>
      <c r="AR269" s="3"/>
      <c r="AS269" s="3"/>
      <c r="AT269" s="3"/>
      <c r="AU269" s="3"/>
    </row>
    <row r="270" spans="1:47" ht="24" customHeight="1" x14ac:dyDescent="0.5">
      <c r="A270" s="3"/>
      <c r="B270" s="3"/>
      <c r="C270" s="3"/>
      <c r="D270" s="3"/>
      <c r="E270" s="3"/>
      <c r="F270" s="3"/>
      <c r="G270" s="83"/>
      <c r="H270" s="3"/>
      <c r="I270" s="3"/>
      <c r="J270" s="3"/>
      <c r="K270" s="83"/>
      <c r="L270" s="3"/>
      <c r="M270" s="3"/>
      <c r="N270" s="3"/>
      <c r="O270" s="3"/>
      <c r="P270" s="3"/>
      <c r="Q270" s="3"/>
      <c r="R270" s="83"/>
      <c r="S270" s="3"/>
      <c r="T270" s="3"/>
      <c r="U270" s="3"/>
      <c r="V270" s="83"/>
      <c r="W270" s="3"/>
      <c r="X270" s="3"/>
      <c r="Y270" s="8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83"/>
      <c r="AM270" s="3"/>
      <c r="AN270" s="3"/>
      <c r="AO270" s="3"/>
      <c r="AP270" s="3"/>
      <c r="AQ270" s="3"/>
      <c r="AR270" s="3"/>
      <c r="AS270" s="3"/>
      <c r="AT270" s="3"/>
      <c r="AU270" s="3"/>
    </row>
    <row r="271" spans="1:47" ht="24" customHeight="1" x14ac:dyDescent="0.5">
      <c r="A271" s="3"/>
      <c r="B271" s="3"/>
      <c r="C271" s="3"/>
      <c r="D271" s="3"/>
      <c r="E271" s="3"/>
      <c r="F271" s="3"/>
      <c r="G271" s="83"/>
      <c r="H271" s="3"/>
      <c r="I271" s="3"/>
      <c r="J271" s="3"/>
      <c r="K271" s="83"/>
      <c r="L271" s="3"/>
      <c r="M271" s="3"/>
      <c r="N271" s="3"/>
      <c r="O271" s="3"/>
      <c r="P271" s="3"/>
      <c r="Q271" s="3"/>
      <c r="R271" s="83"/>
      <c r="S271" s="3"/>
      <c r="T271" s="3"/>
      <c r="U271" s="3"/>
      <c r="V271" s="83"/>
      <c r="W271" s="3"/>
      <c r="X271" s="3"/>
      <c r="Y271" s="8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83"/>
      <c r="AM271" s="3"/>
      <c r="AN271" s="3"/>
      <c r="AO271" s="3"/>
      <c r="AP271" s="3"/>
      <c r="AQ271" s="3"/>
      <c r="AR271" s="3"/>
      <c r="AS271" s="3"/>
      <c r="AT271" s="3"/>
      <c r="AU271" s="3"/>
    </row>
    <row r="272" spans="1:47" ht="24" customHeight="1" x14ac:dyDescent="0.5">
      <c r="A272" s="3"/>
      <c r="B272" s="3"/>
      <c r="C272" s="3"/>
      <c r="D272" s="3"/>
      <c r="E272" s="3"/>
      <c r="F272" s="3"/>
      <c r="G272" s="83"/>
      <c r="H272" s="3"/>
      <c r="I272" s="3"/>
      <c r="J272" s="3"/>
      <c r="K272" s="83"/>
      <c r="L272" s="3"/>
      <c r="M272" s="3"/>
      <c r="N272" s="3"/>
      <c r="O272" s="3"/>
      <c r="P272" s="3"/>
      <c r="Q272" s="3"/>
      <c r="R272" s="83"/>
      <c r="S272" s="3"/>
      <c r="T272" s="3"/>
      <c r="U272" s="3"/>
      <c r="V272" s="83"/>
      <c r="W272" s="3"/>
      <c r="X272" s="3"/>
      <c r="Y272" s="8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83"/>
      <c r="AM272" s="3"/>
      <c r="AN272" s="3"/>
      <c r="AO272" s="3"/>
      <c r="AP272" s="3"/>
      <c r="AQ272" s="3"/>
      <c r="AR272" s="3"/>
      <c r="AS272" s="3"/>
      <c r="AT272" s="3"/>
      <c r="AU272" s="3"/>
    </row>
    <row r="273" spans="1:47" ht="24" customHeight="1" x14ac:dyDescent="0.5">
      <c r="A273" s="3"/>
      <c r="B273" s="3"/>
      <c r="C273" s="3"/>
      <c r="D273" s="3"/>
      <c r="E273" s="3"/>
      <c r="F273" s="3"/>
      <c r="G273" s="83"/>
      <c r="H273" s="3"/>
      <c r="I273" s="3"/>
      <c r="J273" s="3"/>
      <c r="K273" s="83"/>
      <c r="L273" s="3"/>
      <c r="M273" s="3"/>
      <c r="N273" s="3"/>
      <c r="O273" s="3"/>
      <c r="P273" s="3"/>
      <c r="Q273" s="3"/>
      <c r="R273" s="83"/>
      <c r="S273" s="3"/>
      <c r="T273" s="3"/>
      <c r="U273" s="3"/>
      <c r="V273" s="83"/>
      <c r="W273" s="3"/>
      <c r="X273" s="3"/>
      <c r="Y273" s="8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83"/>
      <c r="AM273" s="3"/>
      <c r="AN273" s="3"/>
      <c r="AO273" s="3"/>
      <c r="AP273" s="3"/>
      <c r="AQ273" s="3"/>
      <c r="AR273" s="3"/>
      <c r="AS273" s="3"/>
      <c r="AT273" s="3"/>
      <c r="AU273" s="3"/>
    </row>
    <row r="274" spans="1:47" ht="24" customHeight="1" x14ac:dyDescent="0.5">
      <c r="A274" s="3"/>
      <c r="B274" s="3"/>
      <c r="C274" s="3"/>
      <c r="D274" s="3"/>
      <c r="E274" s="3"/>
      <c r="F274" s="3"/>
      <c r="G274" s="83"/>
      <c r="H274" s="3"/>
      <c r="I274" s="3"/>
      <c r="J274" s="3"/>
      <c r="K274" s="83"/>
      <c r="L274" s="3"/>
      <c r="M274" s="3"/>
      <c r="N274" s="3"/>
      <c r="O274" s="3"/>
      <c r="P274" s="3"/>
      <c r="Q274" s="3"/>
      <c r="R274" s="83"/>
      <c r="S274" s="3"/>
      <c r="T274" s="3"/>
      <c r="U274" s="3"/>
      <c r="V274" s="83"/>
      <c r="W274" s="3"/>
      <c r="X274" s="3"/>
      <c r="Y274" s="8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83"/>
      <c r="AM274" s="3"/>
      <c r="AN274" s="3"/>
      <c r="AO274" s="3"/>
      <c r="AP274" s="3"/>
      <c r="AQ274" s="3"/>
      <c r="AR274" s="3"/>
      <c r="AS274" s="3"/>
      <c r="AT274" s="3"/>
      <c r="AU274" s="3"/>
    </row>
    <row r="275" spans="1:47" ht="24" customHeight="1" x14ac:dyDescent="0.5">
      <c r="A275" s="3"/>
      <c r="B275" s="3"/>
      <c r="C275" s="3"/>
      <c r="D275" s="3"/>
      <c r="E275" s="3"/>
      <c r="F275" s="3"/>
      <c r="G275" s="83"/>
      <c r="H275" s="3"/>
      <c r="I275" s="3"/>
      <c r="J275" s="3"/>
      <c r="K275" s="83"/>
      <c r="L275" s="3"/>
      <c r="M275" s="3"/>
      <c r="N275" s="3"/>
      <c r="O275" s="3"/>
      <c r="P275" s="3"/>
      <c r="Q275" s="3"/>
      <c r="R275" s="83"/>
      <c r="S275" s="3"/>
      <c r="T275" s="3"/>
      <c r="U275" s="3"/>
      <c r="V275" s="83"/>
      <c r="W275" s="3"/>
      <c r="X275" s="3"/>
      <c r="Y275" s="8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83"/>
      <c r="AM275" s="3"/>
      <c r="AN275" s="3"/>
      <c r="AO275" s="3"/>
      <c r="AP275" s="3"/>
      <c r="AQ275" s="3"/>
      <c r="AR275" s="3"/>
      <c r="AS275" s="3"/>
      <c r="AT275" s="3"/>
      <c r="AU275" s="3"/>
    </row>
    <row r="276" spans="1:47" ht="24" customHeight="1" x14ac:dyDescent="0.5">
      <c r="A276" s="3"/>
      <c r="B276" s="3"/>
      <c r="C276" s="3"/>
      <c r="D276" s="3"/>
      <c r="E276" s="3"/>
      <c r="F276" s="3"/>
      <c r="G276" s="83"/>
      <c r="H276" s="3"/>
      <c r="I276" s="3"/>
      <c r="J276" s="3"/>
      <c r="K276" s="83"/>
      <c r="L276" s="3"/>
      <c r="M276" s="3"/>
      <c r="N276" s="3"/>
      <c r="O276" s="3"/>
      <c r="P276" s="3"/>
      <c r="Q276" s="3"/>
      <c r="R276" s="83"/>
      <c r="S276" s="3"/>
      <c r="T276" s="3"/>
      <c r="U276" s="3"/>
      <c r="V276" s="83"/>
      <c r="W276" s="3"/>
      <c r="X276" s="3"/>
      <c r="Y276" s="8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83"/>
      <c r="AM276" s="3"/>
      <c r="AN276" s="3"/>
      <c r="AO276" s="3"/>
      <c r="AP276" s="3"/>
      <c r="AQ276" s="3"/>
      <c r="AR276" s="3"/>
      <c r="AS276" s="3"/>
      <c r="AT276" s="3"/>
      <c r="AU276" s="3"/>
    </row>
    <row r="277" spans="1:47" ht="24" customHeight="1" x14ac:dyDescent="0.5">
      <c r="A277" s="3"/>
      <c r="B277" s="3"/>
      <c r="C277" s="3"/>
      <c r="D277" s="3"/>
      <c r="E277" s="3"/>
      <c r="F277" s="3"/>
      <c r="G277" s="83"/>
      <c r="H277" s="3"/>
      <c r="I277" s="3"/>
      <c r="J277" s="3"/>
      <c r="K277" s="83"/>
      <c r="L277" s="3"/>
      <c r="M277" s="3"/>
      <c r="N277" s="3"/>
      <c r="O277" s="3"/>
      <c r="P277" s="3"/>
      <c r="Q277" s="3"/>
      <c r="R277" s="83"/>
      <c r="S277" s="3"/>
      <c r="T277" s="3"/>
      <c r="U277" s="3"/>
      <c r="V277" s="83"/>
      <c r="W277" s="3"/>
      <c r="X277" s="3"/>
      <c r="Y277" s="8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83"/>
      <c r="AM277" s="3"/>
      <c r="AN277" s="3"/>
      <c r="AO277" s="3"/>
      <c r="AP277" s="3"/>
      <c r="AQ277" s="3"/>
      <c r="AR277" s="3"/>
      <c r="AS277" s="3"/>
      <c r="AT277" s="3"/>
      <c r="AU277" s="3"/>
    </row>
    <row r="278" spans="1:47" ht="24" customHeight="1" x14ac:dyDescent="0.5">
      <c r="A278" s="3"/>
      <c r="B278" s="3"/>
      <c r="C278" s="3"/>
      <c r="D278" s="3"/>
      <c r="E278" s="3"/>
      <c r="F278" s="3"/>
      <c r="G278" s="83"/>
      <c r="H278" s="3"/>
      <c r="I278" s="3"/>
      <c r="J278" s="3"/>
      <c r="K278" s="83"/>
      <c r="L278" s="3"/>
      <c r="M278" s="3"/>
      <c r="N278" s="3"/>
      <c r="O278" s="3"/>
      <c r="P278" s="3"/>
      <c r="Q278" s="3"/>
      <c r="R278" s="83"/>
      <c r="S278" s="3"/>
      <c r="T278" s="3"/>
      <c r="U278" s="3"/>
      <c r="V278" s="83"/>
      <c r="W278" s="3"/>
      <c r="X278" s="3"/>
      <c r="Y278" s="8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83"/>
      <c r="AM278" s="3"/>
      <c r="AN278" s="3"/>
      <c r="AO278" s="3"/>
      <c r="AP278" s="3"/>
      <c r="AQ278" s="3"/>
      <c r="AR278" s="3"/>
      <c r="AS278" s="3"/>
      <c r="AT278" s="3"/>
      <c r="AU278" s="3"/>
    </row>
    <row r="279" spans="1:47" ht="24" customHeight="1" x14ac:dyDescent="0.5">
      <c r="A279" s="3"/>
      <c r="B279" s="3"/>
      <c r="C279" s="3"/>
      <c r="D279" s="3"/>
      <c r="E279" s="3"/>
      <c r="F279" s="3"/>
      <c r="G279" s="83"/>
      <c r="H279" s="3"/>
      <c r="I279" s="3"/>
      <c r="J279" s="3"/>
      <c r="K279" s="83"/>
      <c r="L279" s="3"/>
      <c r="M279" s="3"/>
      <c r="N279" s="3"/>
      <c r="O279" s="3"/>
      <c r="P279" s="3"/>
      <c r="Q279" s="3"/>
      <c r="R279" s="83"/>
      <c r="S279" s="3"/>
      <c r="T279" s="3"/>
      <c r="U279" s="3"/>
      <c r="V279" s="83"/>
      <c r="W279" s="3"/>
      <c r="X279" s="3"/>
      <c r="Y279" s="8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83"/>
      <c r="AM279" s="3"/>
      <c r="AN279" s="3"/>
      <c r="AO279" s="3"/>
      <c r="AP279" s="3"/>
      <c r="AQ279" s="3"/>
      <c r="AR279" s="3"/>
      <c r="AS279" s="3"/>
      <c r="AT279" s="3"/>
      <c r="AU279" s="3"/>
    </row>
    <row r="280" spans="1:47" ht="24" customHeight="1" x14ac:dyDescent="0.5">
      <c r="A280" s="3"/>
      <c r="B280" s="3"/>
      <c r="C280" s="3"/>
      <c r="D280" s="3"/>
      <c r="E280" s="3"/>
      <c r="F280" s="3"/>
      <c r="G280" s="83"/>
      <c r="H280" s="3"/>
      <c r="I280" s="3"/>
      <c r="J280" s="3"/>
      <c r="K280" s="83"/>
      <c r="L280" s="3"/>
      <c r="M280" s="3"/>
      <c r="N280" s="3"/>
      <c r="O280" s="3"/>
      <c r="P280" s="3"/>
      <c r="Q280" s="3"/>
      <c r="R280" s="83"/>
      <c r="S280" s="3"/>
      <c r="T280" s="3"/>
      <c r="U280" s="3"/>
      <c r="V280" s="83"/>
      <c r="W280" s="3"/>
      <c r="X280" s="3"/>
      <c r="Y280" s="8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83"/>
      <c r="AM280" s="3"/>
      <c r="AN280" s="3"/>
      <c r="AO280" s="3"/>
      <c r="AP280" s="3"/>
      <c r="AQ280" s="3"/>
      <c r="AR280" s="3"/>
      <c r="AS280" s="3"/>
      <c r="AT280" s="3"/>
      <c r="AU280" s="3"/>
    </row>
    <row r="281" spans="1:47" ht="24" customHeight="1" x14ac:dyDescent="0.5">
      <c r="A281" s="3"/>
      <c r="B281" s="3"/>
      <c r="C281" s="3"/>
      <c r="D281" s="3"/>
      <c r="E281" s="3"/>
      <c r="F281" s="3"/>
      <c r="G281" s="83"/>
      <c r="H281" s="3"/>
      <c r="I281" s="3"/>
      <c r="J281" s="3"/>
      <c r="K281" s="83"/>
      <c r="L281" s="3"/>
      <c r="M281" s="3"/>
      <c r="N281" s="3"/>
      <c r="O281" s="3"/>
      <c r="P281" s="3"/>
      <c r="Q281" s="3"/>
      <c r="R281" s="83"/>
      <c r="S281" s="3"/>
      <c r="T281" s="3"/>
      <c r="U281" s="3"/>
      <c r="V281" s="83"/>
      <c r="W281" s="3"/>
      <c r="X281" s="3"/>
      <c r="Y281" s="8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83"/>
      <c r="AM281" s="3"/>
      <c r="AN281" s="3"/>
      <c r="AO281" s="3"/>
      <c r="AP281" s="3"/>
      <c r="AQ281" s="3"/>
      <c r="AR281" s="3"/>
      <c r="AS281" s="3"/>
      <c r="AT281" s="3"/>
      <c r="AU281" s="3"/>
    </row>
    <row r="282" spans="1:47" ht="24" customHeight="1" x14ac:dyDescent="0.5">
      <c r="A282" s="3"/>
      <c r="B282" s="3"/>
      <c r="C282" s="3"/>
      <c r="D282" s="3"/>
      <c r="E282" s="3"/>
      <c r="F282" s="3"/>
      <c r="G282" s="83"/>
      <c r="H282" s="3"/>
      <c r="I282" s="3"/>
      <c r="J282" s="3"/>
      <c r="K282" s="83"/>
      <c r="L282" s="3"/>
      <c r="M282" s="3"/>
      <c r="N282" s="3"/>
      <c r="O282" s="3"/>
      <c r="P282" s="3"/>
      <c r="Q282" s="3"/>
      <c r="R282" s="83"/>
      <c r="S282" s="3"/>
      <c r="T282" s="3"/>
      <c r="U282" s="3"/>
      <c r="V282" s="83"/>
      <c r="W282" s="3"/>
      <c r="X282" s="3"/>
      <c r="Y282" s="8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83"/>
      <c r="AM282" s="3"/>
      <c r="AN282" s="3"/>
      <c r="AO282" s="3"/>
      <c r="AP282" s="3"/>
      <c r="AQ282" s="3"/>
      <c r="AR282" s="3"/>
      <c r="AS282" s="3"/>
      <c r="AT282" s="3"/>
      <c r="AU282" s="3"/>
    </row>
    <row r="283" spans="1:47" ht="24" customHeight="1" x14ac:dyDescent="0.5">
      <c r="A283" s="3"/>
      <c r="B283" s="3"/>
      <c r="C283" s="3"/>
      <c r="D283" s="3"/>
      <c r="E283" s="3"/>
      <c r="F283" s="3"/>
      <c r="G283" s="83"/>
      <c r="H283" s="3"/>
      <c r="I283" s="3"/>
      <c r="J283" s="3"/>
      <c r="K283" s="83"/>
      <c r="L283" s="3"/>
      <c r="M283" s="3"/>
      <c r="N283" s="3"/>
      <c r="O283" s="3"/>
      <c r="P283" s="3"/>
      <c r="Q283" s="3"/>
      <c r="R283" s="83"/>
      <c r="S283" s="3"/>
      <c r="T283" s="3"/>
      <c r="U283" s="3"/>
      <c r="V283" s="83"/>
      <c r="W283" s="3"/>
      <c r="X283" s="3"/>
      <c r="Y283" s="8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83"/>
      <c r="AM283" s="3"/>
      <c r="AN283" s="3"/>
      <c r="AO283" s="3"/>
      <c r="AP283" s="3"/>
      <c r="AQ283" s="3"/>
      <c r="AR283" s="3"/>
      <c r="AS283" s="3"/>
      <c r="AT283" s="3"/>
      <c r="AU283" s="3"/>
    </row>
    <row r="284" spans="1:47" ht="24" customHeight="1" x14ac:dyDescent="0.5">
      <c r="A284" s="3"/>
      <c r="B284" s="3"/>
      <c r="C284" s="3"/>
      <c r="D284" s="3"/>
      <c r="E284" s="3"/>
      <c r="F284" s="3"/>
      <c r="G284" s="83"/>
      <c r="H284" s="3"/>
      <c r="I284" s="3"/>
      <c r="J284" s="3"/>
      <c r="K284" s="83"/>
      <c r="L284" s="3"/>
      <c r="M284" s="3"/>
      <c r="N284" s="3"/>
      <c r="O284" s="3"/>
      <c r="P284" s="3"/>
      <c r="Q284" s="3"/>
      <c r="R284" s="83"/>
      <c r="S284" s="3"/>
      <c r="T284" s="3"/>
      <c r="U284" s="3"/>
      <c r="V284" s="83"/>
      <c r="W284" s="3"/>
      <c r="X284" s="3"/>
      <c r="Y284" s="8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83"/>
      <c r="AM284" s="3"/>
      <c r="AN284" s="3"/>
      <c r="AO284" s="3"/>
      <c r="AP284" s="3"/>
      <c r="AQ284" s="3"/>
      <c r="AR284" s="3"/>
      <c r="AS284" s="3"/>
      <c r="AT284" s="3"/>
      <c r="AU284" s="3"/>
    </row>
    <row r="285" spans="1:47" ht="24" customHeight="1" x14ac:dyDescent="0.5">
      <c r="A285" s="3"/>
      <c r="B285" s="3"/>
      <c r="C285" s="3"/>
      <c r="D285" s="3"/>
      <c r="E285" s="3"/>
      <c r="F285" s="3"/>
      <c r="G285" s="83"/>
      <c r="H285" s="3"/>
      <c r="I285" s="3"/>
      <c r="J285" s="3"/>
      <c r="K285" s="83"/>
      <c r="L285" s="3"/>
      <c r="M285" s="3"/>
      <c r="N285" s="3"/>
      <c r="O285" s="3"/>
      <c r="P285" s="3"/>
      <c r="Q285" s="3"/>
      <c r="R285" s="83"/>
      <c r="S285" s="3"/>
      <c r="T285" s="3"/>
      <c r="U285" s="3"/>
      <c r="V285" s="83"/>
      <c r="W285" s="3"/>
      <c r="X285" s="3"/>
      <c r="Y285" s="8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83"/>
      <c r="AM285" s="3"/>
      <c r="AN285" s="3"/>
      <c r="AO285" s="3"/>
      <c r="AP285" s="3"/>
      <c r="AQ285" s="3"/>
      <c r="AR285" s="3"/>
      <c r="AS285" s="3"/>
      <c r="AT285" s="3"/>
      <c r="AU285" s="3"/>
    </row>
    <row r="286" spans="1:47" ht="24" customHeight="1" x14ac:dyDescent="0.5">
      <c r="A286" s="3"/>
      <c r="B286" s="3"/>
      <c r="C286" s="3"/>
      <c r="D286" s="3"/>
      <c r="E286" s="3"/>
      <c r="F286" s="3"/>
      <c r="G286" s="83"/>
      <c r="H286" s="3"/>
      <c r="I286" s="3"/>
      <c r="J286" s="3"/>
      <c r="K286" s="83"/>
      <c r="L286" s="3"/>
      <c r="M286" s="3"/>
      <c r="N286" s="3"/>
      <c r="O286" s="3"/>
      <c r="P286" s="3"/>
      <c r="Q286" s="3"/>
      <c r="R286" s="83"/>
      <c r="S286" s="3"/>
      <c r="T286" s="3"/>
      <c r="U286" s="3"/>
      <c r="V286" s="83"/>
      <c r="W286" s="3"/>
      <c r="X286" s="3"/>
      <c r="Y286" s="8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83"/>
      <c r="AM286" s="3"/>
      <c r="AN286" s="3"/>
      <c r="AO286" s="3"/>
      <c r="AP286" s="3"/>
      <c r="AQ286" s="3"/>
      <c r="AR286" s="3"/>
      <c r="AS286" s="3"/>
      <c r="AT286" s="3"/>
      <c r="AU286" s="3"/>
    </row>
    <row r="287" spans="1:47" ht="24" customHeight="1" x14ac:dyDescent="0.5">
      <c r="A287" s="3"/>
      <c r="B287" s="3"/>
      <c r="C287" s="3"/>
      <c r="D287" s="3"/>
      <c r="E287" s="3"/>
      <c r="F287" s="3"/>
      <c r="G287" s="83"/>
      <c r="H287" s="3"/>
      <c r="I287" s="3"/>
      <c r="J287" s="3"/>
      <c r="K287" s="83"/>
      <c r="L287" s="3"/>
      <c r="M287" s="3"/>
      <c r="N287" s="3"/>
      <c r="O287" s="3"/>
      <c r="P287" s="3"/>
      <c r="Q287" s="3"/>
      <c r="R287" s="83"/>
      <c r="S287" s="3"/>
      <c r="T287" s="3"/>
      <c r="U287" s="3"/>
      <c r="V287" s="83"/>
      <c r="W287" s="3"/>
      <c r="X287" s="3"/>
      <c r="Y287" s="8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83"/>
      <c r="AM287" s="3"/>
      <c r="AN287" s="3"/>
      <c r="AO287" s="3"/>
      <c r="AP287" s="3"/>
      <c r="AQ287" s="3"/>
      <c r="AR287" s="3"/>
      <c r="AS287" s="3"/>
      <c r="AT287" s="3"/>
      <c r="AU287" s="3"/>
    </row>
    <row r="288" spans="1:47" ht="24" customHeight="1" x14ac:dyDescent="0.5">
      <c r="A288" s="3"/>
      <c r="B288" s="3"/>
      <c r="C288" s="3"/>
      <c r="D288" s="3"/>
      <c r="E288" s="3"/>
      <c r="F288" s="3"/>
      <c r="G288" s="83"/>
      <c r="H288" s="3"/>
      <c r="I288" s="3"/>
      <c r="J288" s="3"/>
      <c r="K288" s="83"/>
      <c r="L288" s="3"/>
      <c r="M288" s="3"/>
      <c r="N288" s="3"/>
      <c r="O288" s="3"/>
      <c r="P288" s="3"/>
      <c r="Q288" s="3"/>
      <c r="R288" s="83"/>
      <c r="S288" s="3"/>
      <c r="T288" s="3"/>
      <c r="U288" s="3"/>
      <c r="V288" s="83"/>
      <c r="W288" s="3"/>
      <c r="X288" s="3"/>
      <c r="Y288" s="8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83"/>
      <c r="AM288" s="3"/>
      <c r="AN288" s="3"/>
      <c r="AO288" s="3"/>
      <c r="AP288" s="3"/>
      <c r="AQ288" s="3"/>
      <c r="AR288" s="3"/>
      <c r="AS288" s="3"/>
      <c r="AT288" s="3"/>
      <c r="AU288" s="3"/>
    </row>
    <row r="289" spans="1:47" ht="24" customHeight="1" x14ac:dyDescent="0.5">
      <c r="A289" s="3"/>
      <c r="B289" s="3"/>
      <c r="C289" s="3"/>
      <c r="D289" s="3"/>
      <c r="E289" s="3"/>
      <c r="F289" s="3"/>
      <c r="G289" s="83"/>
      <c r="H289" s="3"/>
      <c r="I289" s="3"/>
      <c r="J289" s="3"/>
      <c r="K289" s="83"/>
      <c r="L289" s="3"/>
      <c r="M289" s="3"/>
      <c r="N289" s="3"/>
      <c r="O289" s="3"/>
      <c r="P289" s="3"/>
      <c r="Q289" s="3"/>
      <c r="R289" s="83"/>
      <c r="S289" s="3"/>
      <c r="T289" s="3"/>
      <c r="U289" s="3"/>
      <c r="V289" s="83"/>
      <c r="W289" s="3"/>
      <c r="X289" s="3"/>
      <c r="Y289" s="8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83"/>
      <c r="AM289" s="3"/>
      <c r="AN289" s="3"/>
      <c r="AO289" s="3"/>
      <c r="AP289" s="3"/>
      <c r="AQ289" s="3"/>
      <c r="AR289" s="3"/>
      <c r="AS289" s="3"/>
      <c r="AT289" s="3"/>
      <c r="AU289" s="3"/>
    </row>
    <row r="290" spans="1:47" ht="24" customHeight="1" x14ac:dyDescent="0.5">
      <c r="A290" s="3"/>
      <c r="B290" s="3"/>
      <c r="C290" s="3"/>
      <c r="D290" s="3"/>
      <c r="E290" s="3"/>
      <c r="F290" s="3"/>
      <c r="G290" s="83"/>
      <c r="H290" s="3"/>
      <c r="I290" s="3"/>
      <c r="J290" s="3"/>
      <c r="K290" s="83"/>
      <c r="L290" s="3"/>
      <c r="M290" s="3"/>
      <c r="N290" s="3"/>
      <c r="O290" s="3"/>
      <c r="P290" s="3"/>
      <c r="Q290" s="3"/>
      <c r="R290" s="83"/>
      <c r="S290" s="3"/>
      <c r="T290" s="3"/>
      <c r="U290" s="3"/>
      <c r="V290" s="83"/>
      <c r="W290" s="3"/>
      <c r="X290" s="3"/>
      <c r="Y290" s="8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83"/>
      <c r="AM290" s="3"/>
      <c r="AN290" s="3"/>
      <c r="AO290" s="3"/>
      <c r="AP290" s="3"/>
      <c r="AQ290" s="3"/>
      <c r="AR290" s="3"/>
      <c r="AS290" s="3"/>
      <c r="AT290" s="3"/>
      <c r="AU290" s="3"/>
    </row>
    <row r="291" spans="1:47" ht="24" customHeight="1" x14ac:dyDescent="0.5">
      <c r="A291" s="3"/>
      <c r="B291" s="3"/>
      <c r="C291" s="3"/>
      <c r="D291" s="3"/>
      <c r="E291" s="3"/>
      <c r="F291" s="3"/>
      <c r="G291" s="83"/>
      <c r="H291" s="3"/>
      <c r="I291" s="3"/>
      <c r="J291" s="3"/>
      <c r="K291" s="83"/>
      <c r="L291" s="3"/>
      <c r="M291" s="3"/>
      <c r="N291" s="3"/>
      <c r="O291" s="3"/>
      <c r="P291" s="3"/>
      <c r="Q291" s="3"/>
      <c r="R291" s="83"/>
      <c r="S291" s="3"/>
      <c r="T291" s="3"/>
      <c r="U291" s="3"/>
      <c r="V291" s="83"/>
      <c r="W291" s="3"/>
      <c r="X291" s="3"/>
      <c r="Y291" s="8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83"/>
      <c r="AM291" s="3"/>
      <c r="AN291" s="3"/>
      <c r="AO291" s="3"/>
      <c r="AP291" s="3"/>
      <c r="AQ291" s="3"/>
      <c r="AR291" s="3"/>
      <c r="AS291" s="3"/>
      <c r="AT291" s="3"/>
      <c r="AU291" s="3"/>
    </row>
    <row r="292" spans="1:47" ht="24" customHeight="1" x14ac:dyDescent="0.5">
      <c r="A292" s="3"/>
      <c r="B292" s="3"/>
      <c r="C292" s="3"/>
      <c r="D292" s="3"/>
      <c r="E292" s="3"/>
      <c r="F292" s="3"/>
      <c r="G292" s="83"/>
      <c r="H292" s="3"/>
      <c r="I292" s="3"/>
      <c r="J292" s="3"/>
      <c r="K292" s="83"/>
      <c r="L292" s="3"/>
      <c r="M292" s="3"/>
      <c r="N292" s="3"/>
      <c r="O292" s="3"/>
      <c r="P292" s="3"/>
      <c r="Q292" s="3"/>
      <c r="R292" s="83"/>
      <c r="S292" s="3"/>
      <c r="T292" s="3"/>
      <c r="U292" s="3"/>
      <c r="V292" s="83"/>
      <c r="W292" s="3"/>
      <c r="X292" s="3"/>
      <c r="Y292" s="8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83"/>
      <c r="AM292" s="3"/>
      <c r="AN292" s="3"/>
      <c r="AO292" s="3"/>
      <c r="AP292" s="3"/>
      <c r="AQ292" s="3"/>
      <c r="AR292" s="3"/>
      <c r="AS292" s="3"/>
      <c r="AT292" s="3"/>
      <c r="AU292" s="3"/>
    </row>
    <row r="293" spans="1:47" ht="24" customHeight="1" x14ac:dyDescent="0.5">
      <c r="A293" s="3"/>
      <c r="B293" s="3"/>
      <c r="C293" s="3"/>
      <c r="D293" s="3"/>
      <c r="E293" s="3"/>
      <c r="F293" s="3"/>
      <c r="G293" s="83"/>
      <c r="H293" s="3"/>
      <c r="I293" s="3"/>
      <c r="J293" s="3"/>
      <c r="K293" s="83"/>
      <c r="L293" s="3"/>
      <c r="M293" s="3"/>
      <c r="N293" s="3"/>
      <c r="O293" s="3"/>
      <c r="P293" s="3"/>
      <c r="Q293" s="3"/>
      <c r="R293" s="83"/>
      <c r="S293" s="3"/>
      <c r="T293" s="3"/>
      <c r="U293" s="3"/>
      <c r="V293" s="83"/>
      <c r="W293" s="3"/>
      <c r="X293" s="3"/>
      <c r="Y293" s="8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83"/>
      <c r="AM293" s="3"/>
      <c r="AN293" s="3"/>
      <c r="AO293" s="3"/>
      <c r="AP293" s="3"/>
      <c r="AQ293" s="3"/>
      <c r="AR293" s="3"/>
      <c r="AS293" s="3"/>
      <c r="AT293" s="3"/>
      <c r="AU293" s="3"/>
    </row>
    <row r="294" spans="1:47" ht="24" customHeight="1" x14ac:dyDescent="0.5">
      <c r="A294" s="3"/>
      <c r="B294" s="3"/>
      <c r="C294" s="3"/>
      <c r="D294" s="3"/>
      <c r="E294" s="3"/>
      <c r="F294" s="3"/>
      <c r="G294" s="83"/>
      <c r="H294" s="3"/>
      <c r="I294" s="3"/>
      <c r="J294" s="3"/>
      <c r="K294" s="83"/>
      <c r="L294" s="3"/>
      <c r="M294" s="3"/>
      <c r="N294" s="3"/>
      <c r="O294" s="3"/>
      <c r="P294" s="3"/>
      <c r="Q294" s="3"/>
      <c r="R294" s="83"/>
      <c r="S294" s="3"/>
      <c r="T294" s="3"/>
      <c r="U294" s="3"/>
      <c r="V294" s="83"/>
      <c r="W294" s="3"/>
      <c r="X294" s="3"/>
      <c r="Y294" s="8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83"/>
      <c r="AM294" s="3"/>
      <c r="AN294" s="3"/>
      <c r="AO294" s="3"/>
      <c r="AP294" s="3"/>
      <c r="AQ294" s="3"/>
      <c r="AR294" s="3"/>
      <c r="AS294" s="3"/>
      <c r="AT294" s="3"/>
      <c r="AU294" s="3"/>
    </row>
    <row r="295" spans="1:47" ht="24" customHeight="1" x14ac:dyDescent="0.5">
      <c r="A295" s="3"/>
      <c r="B295" s="3"/>
      <c r="C295" s="3"/>
      <c r="D295" s="3"/>
      <c r="E295" s="3"/>
      <c r="F295" s="3"/>
      <c r="G295" s="83"/>
      <c r="H295" s="3"/>
      <c r="I295" s="3"/>
      <c r="J295" s="3"/>
      <c r="K295" s="83"/>
      <c r="L295" s="3"/>
      <c r="M295" s="3"/>
      <c r="N295" s="3"/>
      <c r="O295" s="3"/>
      <c r="P295" s="3"/>
      <c r="Q295" s="3"/>
      <c r="R295" s="83"/>
      <c r="S295" s="3"/>
      <c r="T295" s="3"/>
      <c r="U295" s="3"/>
      <c r="V295" s="83"/>
      <c r="W295" s="3"/>
      <c r="X295" s="3"/>
      <c r="Y295" s="8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83"/>
      <c r="AM295" s="3"/>
      <c r="AN295" s="3"/>
      <c r="AO295" s="3"/>
      <c r="AP295" s="3"/>
      <c r="AQ295" s="3"/>
      <c r="AR295" s="3"/>
      <c r="AS295" s="3"/>
      <c r="AT295" s="3"/>
      <c r="AU295" s="3"/>
    </row>
    <row r="296" spans="1:47" ht="24" customHeight="1" x14ac:dyDescent="0.5">
      <c r="A296" s="3"/>
      <c r="B296" s="3"/>
      <c r="C296" s="3"/>
      <c r="D296" s="3"/>
      <c r="E296" s="3"/>
      <c r="F296" s="3"/>
      <c r="G296" s="83"/>
      <c r="H296" s="3"/>
      <c r="I296" s="3"/>
      <c r="J296" s="3"/>
      <c r="K296" s="83"/>
      <c r="L296" s="3"/>
      <c r="M296" s="3"/>
      <c r="N296" s="3"/>
      <c r="O296" s="3"/>
      <c r="P296" s="3"/>
      <c r="Q296" s="3"/>
      <c r="R296" s="83"/>
      <c r="S296" s="3"/>
      <c r="T296" s="3"/>
      <c r="U296" s="3"/>
      <c r="V296" s="83"/>
      <c r="W296" s="3"/>
      <c r="X296" s="3"/>
      <c r="Y296" s="8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83"/>
      <c r="AM296" s="3"/>
      <c r="AN296" s="3"/>
      <c r="AO296" s="3"/>
      <c r="AP296" s="3"/>
      <c r="AQ296" s="3"/>
      <c r="AR296" s="3"/>
      <c r="AS296" s="3"/>
      <c r="AT296" s="3"/>
      <c r="AU296" s="3"/>
    </row>
    <row r="297" spans="1:47" ht="24" customHeight="1" x14ac:dyDescent="0.5">
      <c r="A297" s="3"/>
      <c r="B297" s="3"/>
      <c r="C297" s="3"/>
      <c r="D297" s="3"/>
      <c r="E297" s="3"/>
      <c r="F297" s="3"/>
      <c r="G297" s="83"/>
      <c r="H297" s="3"/>
      <c r="I297" s="3"/>
      <c r="J297" s="3"/>
      <c r="K297" s="83"/>
      <c r="L297" s="3"/>
      <c r="M297" s="3"/>
      <c r="N297" s="3"/>
      <c r="O297" s="3"/>
      <c r="P297" s="3"/>
      <c r="Q297" s="3"/>
      <c r="R297" s="83"/>
      <c r="S297" s="3"/>
      <c r="T297" s="3"/>
      <c r="U297" s="3"/>
      <c r="V297" s="83"/>
      <c r="W297" s="3"/>
      <c r="X297" s="3"/>
      <c r="Y297" s="8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83"/>
      <c r="AM297" s="3"/>
      <c r="AN297" s="3"/>
      <c r="AO297" s="3"/>
      <c r="AP297" s="3"/>
      <c r="AQ297" s="3"/>
      <c r="AR297" s="3"/>
      <c r="AS297" s="3"/>
      <c r="AT297" s="3"/>
      <c r="AU297" s="3"/>
    </row>
    <row r="298" spans="1:47" ht="24" customHeight="1" x14ac:dyDescent="0.5">
      <c r="A298" s="3"/>
      <c r="B298" s="3"/>
      <c r="C298" s="3"/>
      <c r="D298" s="3"/>
      <c r="E298" s="3"/>
      <c r="F298" s="3"/>
      <c r="G298" s="83"/>
      <c r="H298" s="3"/>
      <c r="I298" s="3"/>
      <c r="J298" s="3"/>
      <c r="K298" s="83"/>
      <c r="L298" s="3"/>
      <c r="M298" s="3"/>
      <c r="N298" s="3"/>
      <c r="O298" s="3"/>
      <c r="P298" s="3"/>
      <c r="Q298" s="3"/>
      <c r="R298" s="83"/>
      <c r="S298" s="3"/>
      <c r="T298" s="3"/>
      <c r="U298" s="3"/>
      <c r="V298" s="83"/>
      <c r="W298" s="3"/>
      <c r="X298" s="3"/>
      <c r="Y298" s="8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83"/>
      <c r="AM298" s="3"/>
      <c r="AN298" s="3"/>
      <c r="AO298" s="3"/>
      <c r="AP298" s="3"/>
      <c r="AQ298" s="3"/>
      <c r="AR298" s="3"/>
      <c r="AS298" s="3"/>
      <c r="AT298" s="3"/>
      <c r="AU298" s="3"/>
    </row>
    <row r="299" spans="1:47" ht="24" customHeight="1" x14ac:dyDescent="0.5">
      <c r="A299" s="3"/>
      <c r="B299" s="3"/>
      <c r="C299" s="3"/>
      <c r="D299" s="3"/>
      <c r="E299" s="3"/>
      <c r="F299" s="3"/>
      <c r="G299" s="83"/>
      <c r="H299" s="3"/>
      <c r="I299" s="3"/>
      <c r="J299" s="3"/>
      <c r="K299" s="83"/>
      <c r="L299" s="3"/>
      <c r="M299" s="3"/>
      <c r="N299" s="3"/>
      <c r="O299" s="3"/>
      <c r="P299" s="3"/>
      <c r="Q299" s="3"/>
      <c r="R299" s="83"/>
      <c r="S299" s="3"/>
      <c r="T299" s="3"/>
      <c r="U299" s="3"/>
      <c r="V299" s="83"/>
      <c r="W299" s="3"/>
      <c r="X299" s="3"/>
      <c r="Y299" s="8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83"/>
      <c r="AM299" s="3"/>
      <c r="AN299" s="3"/>
      <c r="AO299" s="3"/>
      <c r="AP299" s="3"/>
      <c r="AQ299" s="3"/>
      <c r="AR299" s="3"/>
      <c r="AS299" s="3"/>
      <c r="AT299" s="3"/>
      <c r="AU299" s="3"/>
    </row>
    <row r="300" spans="1:47" ht="24" customHeight="1" x14ac:dyDescent="0.5">
      <c r="A300" s="3"/>
      <c r="B300" s="3"/>
      <c r="C300" s="3"/>
      <c r="D300" s="3"/>
      <c r="E300" s="3"/>
      <c r="F300" s="3"/>
      <c r="G300" s="83"/>
      <c r="H300" s="3"/>
      <c r="I300" s="3"/>
      <c r="J300" s="3"/>
      <c r="K300" s="83"/>
      <c r="L300" s="3"/>
      <c r="M300" s="3"/>
      <c r="N300" s="3"/>
      <c r="O300" s="3"/>
      <c r="P300" s="3"/>
      <c r="Q300" s="3"/>
      <c r="R300" s="83"/>
      <c r="S300" s="3"/>
      <c r="T300" s="3"/>
      <c r="U300" s="3"/>
      <c r="V300" s="83"/>
      <c r="W300" s="3"/>
      <c r="X300" s="3"/>
      <c r="Y300" s="8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83"/>
      <c r="AM300" s="3"/>
      <c r="AN300" s="3"/>
      <c r="AO300" s="3"/>
      <c r="AP300" s="3"/>
      <c r="AQ300" s="3"/>
      <c r="AR300" s="3"/>
      <c r="AS300" s="3"/>
      <c r="AT300" s="3"/>
      <c r="AU300" s="3"/>
    </row>
    <row r="301" spans="1:47" ht="24" customHeight="1" x14ac:dyDescent="0.5">
      <c r="A301" s="3"/>
      <c r="B301" s="3"/>
      <c r="C301" s="3"/>
      <c r="D301" s="3"/>
      <c r="E301" s="3"/>
      <c r="F301" s="3"/>
      <c r="G301" s="83"/>
      <c r="H301" s="3"/>
      <c r="I301" s="3"/>
      <c r="J301" s="3"/>
      <c r="K301" s="83"/>
      <c r="L301" s="3"/>
      <c r="M301" s="3"/>
      <c r="N301" s="3"/>
      <c r="O301" s="3"/>
      <c r="P301" s="3"/>
      <c r="Q301" s="3"/>
      <c r="R301" s="83"/>
      <c r="S301" s="3"/>
      <c r="T301" s="3"/>
      <c r="U301" s="3"/>
      <c r="V301" s="83"/>
      <c r="W301" s="3"/>
      <c r="X301" s="3"/>
      <c r="Y301" s="8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83"/>
      <c r="AM301" s="3"/>
      <c r="AN301" s="3"/>
      <c r="AO301" s="3"/>
      <c r="AP301" s="3"/>
      <c r="AQ301" s="3"/>
      <c r="AR301" s="3"/>
      <c r="AS301" s="3"/>
      <c r="AT301" s="3"/>
      <c r="AU301" s="3"/>
    </row>
    <row r="302" spans="1:47" ht="24" customHeight="1" x14ac:dyDescent="0.5">
      <c r="A302" s="3"/>
      <c r="B302" s="3"/>
      <c r="C302" s="3"/>
      <c r="D302" s="3"/>
      <c r="E302" s="3"/>
      <c r="F302" s="3"/>
      <c r="G302" s="83"/>
      <c r="H302" s="3"/>
      <c r="I302" s="3"/>
      <c r="J302" s="3"/>
      <c r="K302" s="83"/>
      <c r="L302" s="3"/>
      <c r="M302" s="3"/>
      <c r="N302" s="3"/>
      <c r="O302" s="3"/>
      <c r="P302" s="3"/>
      <c r="Q302" s="3"/>
      <c r="R302" s="83"/>
      <c r="S302" s="3"/>
      <c r="T302" s="3"/>
      <c r="U302" s="3"/>
      <c r="V302" s="83"/>
      <c r="W302" s="3"/>
      <c r="X302" s="3"/>
      <c r="Y302" s="8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83"/>
      <c r="AM302" s="3"/>
      <c r="AN302" s="3"/>
      <c r="AO302" s="3"/>
      <c r="AP302" s="3"/>
      <c r="AQ302" s="3"/>
      <c r="AR302" s="3"/>
      <c r="AS302" s="3"/>
      <c r="AT302" s="3"/>
      <c r="AU302" s="3"/>
    </row>
    <row r="303" spans="1:47" ht="24" customHeight="1" x14ac:dyDescent="0.5">
      <c r="A303" s="3"/>
      <c r="B303" s="3"/>
      <c r="C303" s="3"/>
      <c r="D303" s="3"/>
      <c r="E303" s="3"/>
      <c r="F303" s="3"/>
      <c r="G303" s="83"/>
      <c r="H303" s="3"/>
      <c r="I303" s="3"/>
      <c r="J303" s="3"/>
      <c r="K303" s="83"/>
      <c r="L303" s="3"/>
      <c r="M303" s="3"/>
      <c r="N303" s="3"/>
      <c r="O303" s="3"/>
      <c r="P303" s="3"/>
      <c r="Q303" s="3"/>
      <c r="R303" s="83"/>
      <c r="S303" s="3"/>
      <c r="T303" s="3"/>
      <c r="U303" s="3"/>
      <c r="V303" s="83"/>
      <c r="W303" s="3"/>
      <c r="X303" s="3"/>
      <c r="Y303" s="8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83"/>
      <c r="AM303" s="3"/>
      <c r="AN303" s="3"/>
      <c r="AO303" s="3"/>
      <c r="AP303" s="3"/>
      <c r="AQ303" s="3"/>
      <c r="AR303" s="3"/>
      <c r="AS303" s="3"/>
      <c r="AT303" s="3"/>
      <c r="AU303" s="3"/>
    </row>
    <row r="304" spans="1:47" ht="24" customHeight="1" x14ac:dyDescent="0.5">
      <c r="A304" s="3"/>
      <c r="B304" s="3"/>
      <c r="C304" s="3"/>
      <c r="D304" s="3"/>
      <c r="E304" s="3"/>
      <c r="F304" s="3"/>
      <c r="G304" s="83"/>
      <c r="H304" s="3"/>
      <c r="I304" s="3"/>
      <c r="J304" s="3"/>
      <c r="K304" s="83"/>
      <c r="L304" s="3"/>
      <c r="M304" s="3"/>
      <c r="N304" s="3"/>
      <c r="O304" s="3"/>
      <c r="P304" s="3"/>
      <c r="Q304" s="3"/>
      <c r="R304" s="83"/>
      <c r="S304" s="3"/>
      <c r="T304" s="3"/>
      <c r="U304" s="3"/>
      <c r="V304" s="83"/>
      <c r="W304" s="3"/>
      <c r="X304" s="3"/>
      <c r="Y304" s="8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83"/>
      <c r="AM304" s="3"/>
      <c r="AN304" s="3"/>
      <c r="AO304" s="3"/>
      <c r="AP304" s="3"/>
      <c r="AQ304" s="3"/>
      <c r="AR304" s="3"/>
      <c r="AS304" s="3"/>
      <c r="AT304" s="3"/>
      <c r="AU304" s="3"/>
    </row>
    <row r="305" spans="1:47" ht="24" customHeight="1" x14ac:dyDescent="0.5">
      <c r="A305" s="3"/>
      <c r="B305" s="3"/>
      <c r="C305" s="3"/>
      <c r="D305" s="3"/>
      <c r="E305" s="3"/>
      <c r="F305" s="3"/>
      <c r="G305" s="83"/>
      <c r="H305" s="3"/>
      <c r="I305" s="3"/>
      <c r="J305" s="3"/>
      <c r="K305" s="83"/>
      <c r="L305" s="3"/>
      <c r="M305" s="3"/>
      <c r="N305" s="3"/>
      <c r="O305" s="3"/>
      <c r="P305" s="3"/>
      <c r="Q305" s="3"/>
      <c r="R305" s="83"/>
      <c r="S305" s="3"/>
      <c r="T305" s="3"/>
      <c r="U305" s="3"/>
      <c r="V305" s="83"/>
      <c r="W305" s="3"/>
      <c r="X305" s="3"/>
      <c r="Y305" s="8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83"/>
      <c r="AM305" s="3"/>
      <c r="AN305" s="3"/>
      <c r="AO305" s="3"/>
      <c r="AP305" s="3"/>
      <c r="AQ305" s="3"/>
      <c r="AR305" s="3"/>
      <c r="AS305" s="3"/>
      <c r="AT305" s="3"/>
      <c r="AU305" s="3"/>
    </row>
    <row r="306" spans="1:47" ht="24" customHeight="1" x14ac:dyDescent="0.5">
      <c r="A306" s="3"/>
      <c r="B306" s="3"/>
      <c r="C306" s="3"/>
      <c r="D306" s="3"/>
      <c r="E306" s="3"/>
      <c r="F306" s="3"/>
      <c r="G306" s="83"/>
      <c r="H306" s="3"/>
      <c r="I306" s="3"/>
      <c r="J306" s="3"/>
      <c r="K306" s="83"/>
      <c r="L306" s="3"/>
      <c r="M306" s="3"/>
      <c r="N306" s="3"/>
      <c r="O306" s="3"/>
      <c r="P306" s="3"/>
      <c r="Q306" s="3"/>
      <c r="R306" s="83"/>
      <c r="S306" s="3"/>
      <c r="T306" s="3"/>
      <c r="U306" s="3"/>
      <c r="V306" s="83"/>
      <c r="W306" s="3"/>
      <c r="X306" s="3"/>
      <c r="Y306" s="8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83"/>
      <c r="AM306" s="3"/>
      <c r="AN306" s="3"/>
      <c r="AO306" s="3"/>
      <c r="AP306" s="3"/>
      <c r="AQ306" s="3"/>
      <c r="AR306" s="3"/>
      <c r="AS306" s="3"/>
      <c r="AT306" s="3"/>
      <c r="AU306" s="3"/>
    </row>
    <row r="307" spans="1:47" ht="24" customHeight="1" x14ac:dyDescent="0.5">
      <c r="A307" s="3"/>
      <c r="B307" s="3"/>
      <c r="C307" s="3"/>
      <c r="D307" s="3"/>
      <c r="E307" s="3"/>
      <c r="F307" s="3"/>
      <c r="G307" s="83"/>
      <c r="H307" s="3"/>
      <c r="I307" s="3"/>
      <c r="J307" s="3"/>
      <c r="K307" s="83"/>
      <c r="L307" s="3"/>
      <c r="M307" s="3"/>
      <c r="N307" s="3"/>
      <c r="O307" s="3"/>
      <c r="P307" s="3"/>
      <c r="Q307" s="3"/>
      <c r="R307" s="83"/>
      <c r="S307" s="3"/>
      <c r="T307" s="3"/>
      <c r="U307" s="3"/>
      <c r="V307" s="83"/>
      <c r="W307" s="3"/>
      <c r="X307" s="3"/>
      <c r="Y307" s="8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83"/>
      <c r="AM307" s="3"/>
      <c r="AN307" s="3"/>
      <c r="AO307" s="3"/>
      <c r="AP307" s="3"/>
      <c r="AQ307" s="3"/>
      <c r="AR307" s="3"/>
      <c r="AS307" s="3"/>
      <c r="AT307" s="3"/>
      <c r="AU307" s="3"/>
    </row>
    <row r="308" spans="1:47" ht="24" customHeight="1" x14ac:dyDescent="0.5">
      <c r="A308" s="3"/>
      <c r="B308" s="3"/>
      <c r="C308" s="3"/>
      <c r="D308" s="3"/>
      <c r="E308" s="3"/>
      <c r="F308" s="3"/>
      <c r="G308" s="83"/>
      <c r="H308" s="3"/>
      <c r="I308" s="3"/>
      <c r="J308" s="3"/>
      <c r="K308" s="83"/>
      <c r="L308" s="3"/>
      <c r="M308" s="3"/>
      <c r="N308" s="3"/>
      <c r="O308" s="3"/>
      <c r="P308" s="3"/>
      <c r="Q308" s="3"/>
      <c r="R308" s="83"/>
      <c r="S308" s="3"/>
      <c r="T308" s="3"/>
      <c r="U308" s="3"/>
      <c r="V308" s="83"/>
      <c r="W308" s="3"/>
      <c r="X308" s="3"/>
      <c r="Y308" s="8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83"/>
      <c r="AM308" s="3"/>
      <c r="AN308" s="3"/>
      <c r="AO308" s="3"/>
      <c r="AP308" s="3"/>
      <c r="AQ308" s="3"/>
      <c r="AR308" s="3"/>
      <c r="AS308" s="3"/>
      <c r="AT308" s="3"/>
      <c r="AU308" s="3"/>
    </row>
    <row r="309" spans="1:47" ht="24" customHeight="1" x14ac:dyDescent="0.5">
      <c r="A309" s="3"/>
      <c r="B309" s="3"/>
      <c r="C309" s="3"/>
      <c r="D309" s="3"/>
      <c r="E309" s="3"/>
      <c r="F309" s="3"/>
      <c r="G309" s="83"/>
      <c r="H309" s="3"/>
      <c r="I309" s="3"/>
      <c r="J309" s="3"/>
      <c r="K309" s="83"/>
      <c r="L309" s="3"/>
      <c r="M309" s="3"/>
      <c r="N309" s="3"/>
      <c r="O309" s="3"/>
      <c r="P309" s="3"/>
      <c r="Q309" s="3"/>
      <c r="R309" s="83"/>
      <c r="S309" s="3"/>
      <c r="T309" s="3"/>
      <c r="U309" s="3"/>
      <c r="V309" s="83"/>
      <c r="W309" s="3"/>
      <c r="X309" s="3"/>
      <c r="Y309" s="8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83"/>
      <c r="AM309" s="3"/>
      <c r="AN309" s="3"/>
      <c r="AO309" s="3"/>
      <c r="AP309" s="3"/>
      <c r="AQ309" s="3"/>
      <c r="AR309" s="3"/>
      <c r="AS309" s="3"/>
      <c r="AT309" s="3"/>
      <c r="AU309" s="3"/>
    </row>
    <row r="310" spans="1:47" ht="24" customHeight="1" x14ac:dyDescent="0.5">
      <c r="A310" s="3"/>
      <c r="B310" s="3"/>
      <c r="C310" s="3"/>
      <c r="D310" s="3"/>
      <c r="E310" s="3"/>
      <c r="F310" s="3"/>
      <c r="G310" s="83"/>
      <c r="H310" s="3"/>
      <c r="I310" s="3"/>
      <c r="J310" s="3"/>
      <c r="K310" s="83"/>
      <c r="L310" s="3"/>
      <c r="M310" s="3"/>
      <c r="N310" s="3"/>
      <c r="O310" s="3"/>
      <c r="P310" s="3"/>
      <c r="Q310" s="3"/>
      <c r="R310" s="83"/>
      <c r="S310" s="3"/>
      <c r="T310" s="3"/>
      <c r="U310" s="3"/>
      <c r="V310" s="83"/>
      <c r="W310" s="3"/>
      <c r="X310" s="3"/>
      <c r="Y310" s="8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83"/>
      <c r="AM310" s="3"/>
      <c r="AN310" s="3"/>
      <c r="AO310" s="3"/>
      <c r="AP310" s="3"/>
      <c r="AQ310" s="3"/>
      <c r="AR310" s="3"/>
      <c r="AS310" s="3"/>
      <c r="AT310" s="3"/>
      <c r="AU310" s="3"/>
    </row>
    <row r="311" spans="1:47" ht="24" customHeight="1" x14ac:dyDescent="0.5">
      <c r="A311" s="3"/>
      <c r="B311" s="3"/>
      <c r="C311" s="3"/>
      <c r="D311" s="3"/>
      <c r="E311" s="3"/>
      <c r="F311" s="3"/>
      <c r="G311" s="83"/>
      <c r="H311" s="3"/>
      <c r="I311" s="3"/>
      <c r="J311" s="3"/>
      <c r="K311" s="83"/>
      <c r="L311" s="3"/>
      <c r="M311" s="3"/>
      <c r="N311" s="3"/>
      <c r="O311" s="3"/>
      <c r="P311" s="3"/>
      <c r="Q311" s="3"/>
      <c r="R311" s="83"/>
      <c r="S311" s="3"/>
      <c r="T311" s="3"/>
      <c r="U311" s="3"/>
      <c r="V311" s="83"/>
      <c r="W311" s="3"/>
      <c r="X311" s="3"/>
      <c r="Y311" s="8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83"/>
      <c r="AM311" s="3"/>
      <c r="AN311" s="3"/>
      <c r="AO311" s="3"/>
      <c r="AP311" s="3"/>
      <c r="AQ311" s="3"/>
      <c r="AR311" s="3"/>
      <c r="AS311" s="3"/>
      <c r="AT311" s="3"/>
      <c r="AU311" s="3"/>
    </row>
    <row r="312" spans="1:47" ht="24" customHeight="1" x14ac:dyDescent="0.5">
      <c r="A312" s="3"/>
      <c r="B312" s="3"/>
      <c r="C312" s="3"/>
      <c r="D312" s="3"/>
      <c r="E312" s="3"/>
      <c r="F312" s="3"/>
      <c r="G312" s="83"/>
      <c r="H312" s="3"/>
      <c r="I312" s="3"/>
      <c r="J312" s="3"/>
      <c r="K312" s="83"/>
      <c r="L312" s="3"/>
      <c r="M312" s="3"/>
      <c r="N312" s="3"/>
      <c r="O312" s="3"/>
      <c r="P312" s="3"/>
      <c r="Q312" s="3"/>
      <c r="R312" s="83"/>
      <c r="S312" s="3"/>
      <c r="T312" s="3"/>
      <c r="U312" s="3"/>
      <c r="V312" s="83"/>
      <c r="W312" s="3"/>
      <c r="X312" s="3"/>
      <c r="Y312" s="8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83"/>
      <c r="AM312" s="3"/>
      <c r="AN312" s="3"/>
      <c r="AO312" s="3"/>
      <c r="AP312" s="3"/>
      <c r="AQ312" s="3"/>
      <c r="AR312" s="3"/>
      <c r="AS312" s="3"/>
      <c r="AT312" s="3"/>
      <c r="AU312" s="3"/>
    </row>
    <row r="313" spans="1:47" ht="24" customHeight="1" x14ac:dyDescent="0.5">
      <c r="A313" s="3"/>
      <c r="B313" s="3"/>
      <c r="C313" s="3"/>
      <c r="D313" s="3"/>
      <c r="E313" s="3"/>
      <c r="F313" s="3"/>
      <c r="G313" s="83"/>
      <c r="H313" s="3"/>
      <c r="I313" s="3"/>
      <c r="J313" s="3"/>
      <c r="K313" s="83"/>
      <c r="L313" s="3"/>
      <c r="M313" s="3"/>
      <c r="N313" s="3"/>
      <c r="O313" s="3"/>
      <c r="P313" s="3"/>
      <c r="Q313" s="3"/>
      <c r="R313" s="83"/>
      <c r="S313" s="3"/>
      <c r="T313" s="3"/>
      <c r="U313" s="3"/>
      <c r="V313" s="83"/>
      <c r="W313" s="3"/>
      <c r="X313" s="3"/>
      <c r="Y313" s="8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83"/>
      <c r="AM313" s="3"/>
      <c r="AN313" s="3"/>
      <c r="AO313" s="3"/>
      <c r="AP313" s="3"/>
      <c r="AQ313" s="3"/>
      <c r="AR313" s="3"/>
      <c r="AS313" s="3"/>
      <c r="AT313" s="3"/>
      <c r="AU313" s="3"/>
    </row>
    <row r="314" spans="1:47" ht="24" customHeight="1" x14ac:dyDescent="0.5">
      <c r="A314" s="3"/>
      <c r="B314" s="3"/>
      <c r="C314" s="3"/>
      <c r="D314" s="3"/>
      <c r="E314" s="3"/>
      <c r="F314" s="3"/>
      <c r="G314" s="83"/>
      <c r="H314" s="3"/>
      <c r="I314" s="3"/>
      <c r="J314" s="3"/>
      <c r="K314" s="83"/>
      <c r="L314" s="3"/>
      <c r="M314" s="3"/>
      <c r="N314" s="3"/>
      <c r="O314" s="3"/>
      <c r="P314" s="3"/>
      <c r="Q314" s="3"/>
      <c r="R314" s="83"/>
      <c r="S314" s="3"/>
      <c r="T314" s="3"/>
      <c r="U314" s="3"/>
      <c r="V314" s="83"/>
      <c r="W314" s="3"/>
      <c r="X314" s="3"/>
      <c r="Y314" s="8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83"/>
      <c r="AM314" s="3"/>
      <c r="AN314" s="3"/>
      <c r="AO314" s="3"/>
      <c r="AP314" s="3"/>
      <c r="AQ314" s="3"/>
      <c r="AR314" s="3"/>
      <c r="AS314" s="3"/>
      <c r="AT314" s="3"/>
      <c r="AU314" s="3"/>
    </row>
    <row r="315" spans="1:47" ht="24" customHeight="1" x14ac:dyDescent="0.5">
      <c r="A315" s="81"/>
      <c r="B315" s="81"/>
      <c r="C315" s="81"/>
      <c r="D315" s="81"/>
      <c r="E315" s="81"/>
      <c r="F315" s="81"/>
      <c r="G315" s="105"/>
      <c r="H315" s="81"/>
      <c r="I315" s="81"/>
      <c r="J315" s="81"/>
      <c r="K315" s="105"/>
      <c r="L315" s="81"/>
      <c r="M315" s="81"/>
      <c r="N315" s="81"/>
      <c r="O315" s="81"/>
      <c r="P315" s="81"/>
      <c r="Q315" s="81"/>
      <c r="R315" s="105"/>
      <c r="S315" s="81"/>
      <c r="T315" s="81"/>
      <c r="U315" s="81"/>
      <c r="V315" s="105"/>
      <c r="W315" s="81"/>
      <c r="X315" s="81"/>
      <c r="Y315" s="105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105"/>
      <c r="AM315" s="81"/>
      <c r="AN315" s="81"/>
      <c r="AO315" s="81"/>
      <c r="AP315" s="81"/>
      <c r="AQ315" s="81"/>
      <c r="AR315" s="81"/>
      <c r="AS315" s="81"/>
      <c r="AT315" s="81"/>
      <c r="AU315" s="81"/>
    </row>
    <row r="316" spans="1:47" ht="24" customHeight="1" x14ac:dyDescent="0.5">
      <c r="A316" s="81"/>
      <c r="B316" s="81"/>
      <c r="C316" s="81"/>
      <c r="D316" s="81"/>
      <c r="E316" s="81"/>
      <c r="F316" s="81"/>
      <c r="G316" s="105"/>
      <c r="H316" s="81"/>
      <c r="I316" s="81"/>
      <c r="J316" s="81"/>
      <c r="K316" s="105"/>
      <c r="L316" s="81"/>
      <c r="M316" s="81"/>
      <c r="N316" s="81"/>
      <c r="O316" s="81"/>
      <c r="P316" s="81"/>
      <c r="Q316" s="81"/>
      <c r="R316" s="105"/>
      <c r="S316" s="81"/>
      <c r="T316" s="81"/>
      <c r="U316" s="81"/>
      <c r="V316" s="105"/>
      <c r="W316" s="81"/>
      <c r="X316" s="81"/>
      <c r="Y316" s="105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105"/>
      <c r="AM316" s="81"/>
      <c r="AN316" s="81"/>
      <c r="AO316" s="81"/>
      <c r="AP316" s="81"/>
      <c r="AQ316" s="81"/>
      <c r="AR316" s="81"/>
      <c r="AS316" s="81"/>
      <c r="AT316" s="81"/>
      <c r="AU316" s="81"/>
    </row>
    <row r="317" spans="1:47" ht="24" customHeight="1" x14ac:dyDescent="0.5">
      <c r="A317" s="81"/>
      <c r="B317" s="81"/>
      <c r="C317" s="81"/>
      <c r="D317" s="81"/>
      <c r="E317" s="81"/>
      <c r="F317" s="81"/>
      <c r="G317" s="105"/>
      <c r="H317" s="81"/>
      <c r="I317" s="81"/>
      <c r="J317" s="81"/>
      <c r="K317" s="105"/>
      <c r="L317" s="81"/>
      <c r="M317" s="81"/>
      <c r="N317" s="81"/>
      <c r="O317" s="81"/>
      <c r="P317" s="81"/>
      <c r="Q317" s="81"/>
      <c r="R317" s="105"/>
      <c r="S317" s="81"/>
      <c r="T317" s="81"/>
      <c r="U317" s="81"/>
      <c r="V317" s="105"/>
      <c r="W317" s="81"/>
      <c r="X317" s="81"/>
      <c r="Y317" s="105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105"/>
      <c r="AM317" s="81"/>
      <c r="AN317" s="81"/>
      <c r="AO317" s="81"/>
      <c r="AP317" s="81"/>
      <c r="AQ317" s="81"/>
      <c r="AR317" s="81"/>
      <c r="AS317" s="81"/>
      <c r="AT317" s="81"/>
      <c r="AU317" s="81"/>
    </row>
    <row r="318" spans="1:47" ht="24" customHeight="1" x14ac:dyDescent="0.5">
      <c r="A318" s="81"/>
      <c r="B318" s="81"/>
      <c r="C318" s="81"/>
      <c r="D318" s="81"/>
      <c r="E318" s="81"/>
      <c r="F318" s="81"/>
      <c r="G318" s="105"/>
      <c r="H318" s="81"/>
      <c r="I318" s="81"/>
      <c r="J318" s="81"/>
      <c r="K318" s="105"/>
      <c r="L318" s="81"/>
      <c r="M318" s="81"/>
      <c r="N318" s="81"/>
      <c r="O318" s="81"/>
      <c r="P318" s="81"/>
      <c r="Q318" s="81"/>
      <c r="R318" s="105"/>
      <c r="S318" s="81"/>
      <c r="T318" s="81"/>
      <c r="U318" s="81"/>
      <c r="V318" s="105"/>
      <c r="W318" s="81"/>
      <c r="X318" s="81"/>
      <c r="Y318" s="105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105"/>
      <c r="AM318" s="81"/>
      <c r="AN318" s="81"/>
      <c r="AO318" s="81"/>
      <c r="AP318" s="81"/>
      <c r="AQ318" s="81"/>
      <c r="AR318" s="81"/>
      <c r="AS318" s="81"/>
      <c r="AT318" s="81"/>
      <c r="AU318" s="81"/>
    </row>
    <row r="319" spans="1:47" ht="24" customHeight="1" x14ac:dyDescent="0.5">
      <c r="A319" s="81"/>
      <c r="B319" s="81"/>
      <c r="C319" s="81"/>
      <c r="D319" s="81"/>
      <c r="E319" s="81"/>
      <c r="F319" s="81"/>
      <c r="G319" s="105"/>
      <c r="H319" s="81"/>
      <c r="I319" s="81"/>
      <c r="J319" s="81"/>
      <c r="K319" s="105"/>
      <c r="L319" s="81"/>
      <c r="M319" s="81"/>
      <c r="N319" s="81"/>
      <c r="O319" s="81"/>
      <c r="P319" s="81"/>
      <c r="Q319" s="81"/>
      <c r="R319" s="105"/>
      <c r="S319" s="81"/>
      <c r="T319" s="81"/>
      <c r="U319" s="81"/>
      <c r="V319" s="105"/>
      <c r="W319" s="81"/>
      <c r="X319" s="81"/>
      <c r="Y319" s="105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105"/>
      <c r="AM319" s="81"/>
      <c r="AN319" s="81"/>
      <c r="AO319" s="81"/>
      <c r="AP319" s="81"/>
      <c r="AQ319" s="81"/>
      <c r="AR319" s="81"/>
      <c r="AS319" s="81"/>
      <c r="AT319" s="81"/>
      <c r="AU319" s="81"/>
    </row>
    <row r="320" spans="1:47" ht="24" customHeight="1" x14ac:dyDescent="0.5">
      <c r="A320" s="81"/>
      <c r="B320" s="81"/>
      <c r="C320" s="81"/>
      <c r="D320" s="81"/>
      <c r="E320" s="81"/>
      <c r="F320" s="81"/>
      <c r="G320" s="105"/>
      <c r="H320" s="81"/>
      <c r="I320" s="81"/>
      <c r="J320" s="81"/>
      <c r="K320" s="105"/>
      <c r="L320" s="81"/>
      <c r="M320" s="81"/>
      <c r="N320" s="81"/>
      <c r="O320" s="81"/>
      <c r="P320" s="81"/>
      <c r="Q320" s="81"/>
      <c r="R320" s="105"/>
      <c r="S320" s="81"/>
      <c r="T320" s="81"/>
      <c r="U320" s="81"/>
      <c r="V320" s="105"/>
      <c r="W320" s="81"/>
      <c r="X320" s="81"/>
      <c r="Y320" s="105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105"/>
      <c r="AM320" s="81"/>
      <c r="AN320" s="81"/>
      <c r="AO320" s="81"/>
      <c r="AP320" s="81"/>
      <c r="AQ320" s="81"/>
      <c r="AR320" s="81"/>
      <c r="AS320" s="81"/>
      <c r="AT320" s="81"/>
      <c r="AU320" s="81"/>
    </row>
    <row r="321" spans="1:47" ht="24" customHeight="1" x14ac:dyDescent="0.5">
      <c r="A321" s="81"/>
      <c r="B321" s="81"/>
      <c r="C321" s="81"/>
      <c r="D321" s="81"/>
      <c r="E321" s="81"/>
      <c r="F321" s="81"/>
      <c r="G321" s="105"/>
      <c r="H321" s="81"/>
      <c r="I321" s="81"/>
      <c r="J321" s="81"/>
      <c r="K321" s="105"/>
      <c r="L321" s="81"/>
      <c r="M321" s="81"/>
      <c r="N321" s="81"/>
      <c r="O321" s="81"/>
      <c r="P321" s="81"/>
      <c r="Q321" s="81"/>
      <c r="R321" s="105"/>
      <c r="S321" s="81"/>
      <c r="T321" s="81"/>
      <c r="U321" s="81"/>
      <c r="V321" s="105"/>
      <c r="W321" s="81"/>
      <c r="X321" s="81"/>
      <c r="Y321" s="105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105"/>
      <c r="AM321" s="81"/>
      <c r="AN321" s="81"/>
      <c r="AO321" s="81"/>
      <c r="AP321" s="81"/>
      <c r="AQ321" s="81"/>
      <c r="AR321" s="81"/>
      <c r="AS321" s="81"/>
      <c r="AT321" s="81"/>
      <c r="AU321" s="81"/>
    </row>
    <row r="322" spans="1:47" ht="24" customHeight="1" x14ac:dyDescent="0.5">
      <c r="A322" s="81"/>
      <c r="B322" s="81"/>
      <c r="C322" s="81"/>
      <c r="D322" s="81"/>
      <c r="E322" s="81"/>
      <c r="F322" s="81"/>
      <c r="G322" s="105"/>
      <c r="H322" s="81"/>
      <c r="I322" s="81"/>
      <c r="J322" s="81"/>
      <c r="K322" s="105"/>
      <c r="L322" s="81"/>
      <c r="M322" s="81"/>
      <c r="N322" s="81"/>
      <c r="O322" s="81"/>
      <c r="P322" s="81"/>
      <c r="Q322" s="81"/>
      <c r="R322" s="105"/>
      <c r="S322" s="81"/>
      <c r="T322" s="81"/>
      <c r="U322" s="81"/>
      <c r="V322" s="105"/>
      <c r="W322" s="81"/>
      <c r="X322" s="81"/>
      <c r="Y322" s="105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105"/>
      <c r="AM322" s="81"/>
      <c r="AN322" s="81"/>
      <c r="AO322" s="81"/>
      <c r="AP322" s="81"/>
      <c r="AQ322" s="81"/>
      <c r="AR322" s="81"/>
      <c r="AS322" s="81"/>
      <c r="AT322" s="81"/>
      <c r="AU322" s="81"/>
    </row>
    <row r="323" spans="1:47" ht="24" customHeight="1" x14ac:dyDescent="0.5">
      <c r="A323" s="81"/>
      <c r="B323" s="81"/>
      <c r="C323" s="81"/>
      <c r="D323" s="81"/>
      <c r="E323" s="81"/>
      <c r="F323" s="81"/>
      <c r="G323" s="105"/>
      <c r="H323" s="81"/>
      <c r="I323" s="81"/>
      <c r="J323" s="81"/>
      <c r="K323" s="105"/>
      <c r="L323" s="81"/>
      <c r="M323" s="81"/>
      <c r="N323" s="81"/>
      <c r="O323" s="81"/>
      <c r="P323" s="81"/>
      <c r="Q323" s="81"/>
      <c r="R323" s="105"/>
      <c r="S323" s="81"/>
      <c r="T323" s="81"/>
      <c r="U323" s="81"/>
      <c r="V323" s="105"/>
      <c r="W323" s="81"/>
      <c r="X323" s="81"/>
      <c r="Y323" s="105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105"/>
      <c r="AM323" s="81"/>
      <c r="AN323" s="81"/>
      <c r="AO323" s="81"/>
      <c r="AP323" s="81"/>
      <c r="AQ323" s="81"/>
      <c r="AR323" s="81"/>
      <c r="AS323" s="81"/>
      <c r="AT323" s="81"/>
      <c r="AU323" s="81"/>
    </row>
    <row r="324" spans="1:47" ht="24" customHeight="1" x14ac:dyDescent="0.5">
      <c r="A324" s="81"/>
      <c r="B324" s="81"/>
      <c r="C324" s="81"/>
      <c r="D324" s="81"/>
      <c r="E324" s="81"/>
      <c r="F324" s="81"/>
      <c r="G324" s="105"/>
      <c r="H324" s="81"/>
      <c r="I324" s="81"/>
      <c r="J324" s="81"/>
      <c r="K324" s="105"/>
      <c r="L324" s="81"/>
      <c r="M324" s="81"/>
      <c r="N324" s="81"/>
      <c r="O324" s="81"/>
      <c r="P324" s="81"/>
      <c r="Q324" s="81"/>
      <c r="R324" s="105"/>
      <c r="S324" s="81"/>
      <c r="T324" s="81"/>
      <c r="U324" s="81"/>
      <c r="V324" s="105"/>
      <c r="W324" s="81"/>
      <c r="X324" s="81"/>
      <c r="Y324" s="105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105"/>
      <c r="AM324" s="81"/>
      <c r="AN324" s="81"/>
      <c r="AO324" s="81"/>
      <c r="AP324" s="81"/>
      <c r="AQ324" s="81"/>
      <c r="AR324" s="81"/>
      <c r="AS324" s="81"/>
      <c r="AT324" s="81"/>
      <c r="AU324" s="81"/>
    </row>
    <row r="325" spans="1:47" ht="24" customHeight="1" x14ac:dyDescent="0.5">
      <c r="A325" s="81"/>
      <c r="B325" s="81"/>
      <c r="C325" s="81"/>
      <c r="D325" s="81"/>
      <c r="E325" s="81"/>
      <c r="F325" s="81"/>
      <c r="G325" s="105"/>
      <c r="H325" s="81"/>
      <c r="I325" s="81"/>
      <c r="J325" s="81"/>
      <c r="K325" s="105"/>
      <c r="L325" s="81"/>
      <c r="M325" s="81"/>
      <c r="N325" s="81"/>
      <c r="O325" s="81"/>
      <c r="P325" s="81"/>
      <c r="Q325" s="81"/>
      <c r="R325" s="105"/>
      <c r="S325" s="81"/>
      <c r="T325" s="81"/>
      <c r="U325" s="81"/>
      <c r="V325" s="105"/>
      <c r="W325" s="81"/>
      <c r="X325" s="81"/>
      <c r="Y325" s="105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105"/>
      <c r="AM325" s="81"/>
      <c r="AN325" s="81"/>
      <c r="AO325" s="81"/>
      <c r="AP325" s="81"/>
      <c r="AQ325" s="81"/>
      <c r="AR325" s="81"/>
      <c r="AS325" s="81"/>
      <c r="AT325" s="81"/>
      <c r="AU325" s="81"/>
    </row>
    <row r="326" spans="1:47" ht="24" customHeight="1" x14ac:dyDescent="0.5">
      <c r="A326" s="81"/>
      <c r="B326" s="81"/>
      <c r="C326" s="81"/>
      <c r="D326" s="81"/>
      <c r="E326" s="81"/>
      <c r="F326" s="81"/>
      <c r="G326" s="105"/>
      <c r="H326" s="81"/>
      <c r="I326" s="81"/>
      <c r="J326" s="81"/>
      <c r="K326" s="105"/>
      <c r="L326" s="81"/>
      <c r="M326" s="81"/>
      <c r="N326" s="81"/>
      <c r="O326" s="81"/>
      <c r="P326" s="81"/>
      <c r="Q326" s="81"/>
      <c r="R326" s="105"/>
      <c r="S326" s="81"/>
      <c r="T326" s="81"/>
      <c r="U326" s="81"/>
      <c r="V326" s="105"/>
      <c r="W326" s="81"/>
      <c r="X326" s="81"/>
      <c r="Y326" s="105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105"/>
      <c r="AM326" s="81"/>
      <c r="AN326" s="81"/>
      <c r="AO326" s="81"/>
      <c r="AP326" s="81"/>
      <c r="AQ326" s="81"/>
      <c r="AR326" s="81"/>
      <c r="AS326" s="81"/>
      <c r="AT326" s="81"/>
      <c r="AU326" s="81"/>
    </row>
    <row r="327" spans="1:47" ht="24" customHeight="1" x14ac:dyDescent="0.5">
      <c r="A327" s="81"/>
      <c r="B327" s="81"/>
      <c r="C327" s="81"/>
      <c r="D327" s="81"/>
      <c r="E327" s="81"/>
      <c r="F327" s="81"/>
      <c r="G327" s="105"/>
      <c r="H327" s="81"/>
      <c r="I327" s="81"/>
      <c r="J327" s="81"/>
      <c r="K327" s="105"/>
      <c r="L327" s="81"/>
      <c r="M327" s="81"/>
      <c r="N327" s="81"/>
      <c r="O327" s="81"/>
      <c r="P327" s="81"/>
      <c r="Q327" s="81"/>
      <c r="R327" s="105"/>
      <c r="S327" s="81"/>
      <c r="T327" s="81"/>
      <c r="U327" s="81"/>
      <c r="V327" s="105"/>
      <c r="W327" s="81"/>
      <c r="X327" s="81"/>
      <c r="Y327" s="105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105"/>
      <c r="AM327" s="81"/>
      <c r="AN327" s="81"/>
      <c r="AO327" s="81"/>
      <c r="AP327" s="81"/>
      <c r="AQ327" s="81"/>
      <c r="AR327" s="81"/>
      <c r="AS327" s="81"/>
      <c r="AT327" s="81"/>
      <c r="AU327" s="81"/>
    </row>
    <row r="328" spans="1:47" ht="24" customHeight="1" x14ac:dyDescent="0.5">
      <c r="A328" s="81"/>
      <c r="B328" s="81"/>
      <c r="C328" s="81"/>
      <c r="D328" s="81"/>
      <c r="E328" s="81"/>
      <c r="F328" s="81"/>
      <c r="G328" s="105"/>
      <c r="H328" s="81"/>
      <c r="I328" s="81"/>
      <c r="J328" s="81"/>
      <c r="K328" s="105"/>
      <c r="L328" s="81"/>
      <c r="M328" s="81"/>
      <c r="N328" s="81"/>
      <c r="O328" s="81"/>
      <c r="P328" s="81"/>
      <c r="Q328" s="81"/>
      <c r="R328" s="105"/>
      <c r="S328" s="81"/>
      <c r="T328" s="81"/>
      <c r="U328" s="81"/>
      <c r="V328" s="105"/>
      <c r="W328" s="81"/>
      <c r="X328" s="81"/>
      <c r="Y328" s="105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105"/>
      <c r="AM328" s="81"/>
      <c r="AN328" s="81"/>
      <c r="AO328" s="81"/>
      <c r="AP328" s="81"/>
      <c r="AQ328" s="81"/>
      <c r="AR328" s="81"/>
      <c r="AS328" s="81"/>
      <c r="AT328" s="81"/>
      <c r="AU328" s="81"/>
    </row>
    <row r="329" spans="1:47" ht="24" customHeight="1" x14ac:dyDescent="0.5">
      <c r="A329" s="81"/>
      <c r="B329" s="81"/>
      <c r="C329" s="81"/>
      <c r="D329" s="81"/>
      <c r="E329" s="81"/>
      <c r="F329" s="81"/>
      <c r="G329" s="105"/>
      <c r="H329" s="81"/>
      <c r="I329" s="81"/>
      <c r="J329" s="81"/>
      <c r="K329" s="105"/>
      <c r="L329" s="81"/>
      <c r="M329" s="81"/>
      <c r="N329" s="81"/>
      <c r="O329" s="81"/>
      <c r="P329" s="81"/>
      <c r="Q329" s="81"/>
      <c r="R329" s="105"/>
      <c r="S329" s="81"/>
      <c r="T329" s="81"/>
      <c r="U329" s="81"/>
      <c r="V329" s="105"/>
      <c r="W329" s="81"/>
      <c r="X329" s="81"/>
      <c r="Y329" s="105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105"/>
      <c r="AM329" s="81"/>
      <c r="AN329" s="81"/>
      <c r="AO329" s="81"/>
      <c r="AP329" s="81"/>
      <c r="AQ329" s="81"/>
      <c r="AR329" s="81"/>
      <c r="AS329" s="81"/>
      <c r="AT329" s="81"/>
      <c r="AU329" s="81"/>
    </row>
    <row r="330" spans="1:47" ht="24" customHeight="1" x14ac:dyDescent="0.5">
      <c r="A330" s="81"/>
      <c r="B330" s="81"/>
      <c r="C330" s="81"/>
      <c r="D330" s="81"/>
      <c r="E330" s="81"/>
      <c r="F330" s="81"/>
      <c r="G330" s="105"/>
      <c r="H330" s="81"/>
      <c r="I330" s="81"/>
      <c r="J330" s="81"/>
      <c r="K330" s="105"/>
      <c r="L330" s="81"/>
      <c r="M330" s="81"/>
      <c r="N330" s="81"/>
      <c r="O330" s="81"/>
      <c r="P330" s="81"/>
      <c r="Q330" s="81"/>
      <c r="R330" s="105"/>
      <c r="S330" s="81"/>
      <c r="T330" s="81"/>
      <c r="U330" s="81"/>
      <c r="V330" s="105"/>
      <c r="W330" s="81"/>
      <c r="X330" s="81"/>
      <c r="Y330" s="105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105"/>
      <c r="AM330" s="81"/>
      <c r="AN330" s="81"/>
      <c r="AO330" s="81"/>
      <c r="AP330" s="81"/>
      <c r="AQ330" s="81"/>
      <c r="AR330" s="81"/>
      <c r="AS330" s="81"/>
      <c r="AT330" s="81"/>
      <c r="AU330" s="81"/>
    </row>
    <row r="331" spans="1:47" ht="24" customHeight="1" x14ac:dyDescent="0.5">
      <c r="A331" s="81"/>
      <c r="B331" s="81"/>
      <c r="C331" s="81"/>
      <c r="D331" s="81"/>
      <c r="E331" s="81"/>
      <c r="F331" s="81"/>
      <c r="G331" s="105"/>
      <c r="H331" s="81"/>
      <c r="I331" s="81"/>
      <c r="J331" s="81"/>
      <c r="K331" s="105"/>
      <c r="L331" s="81"/>
      <c r="M331" s="81"/>
      <c r="N331" s="81"/>
      <c r="O331" s="81"/>
      <c r="P331" s="81"/>
      <c r="Q331" s="81"/>
      <c r="R331" s="105"/>
      <c r="S331" s="81"/>
      <c r="T331" s="81"/>
      <c r="U331" s="81"/>
      <c r="V331" s="105"/>
      <c r="W331" s="81"/>
      <c r="X331" s="81"/>
      <c r="Y331" s="105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105"/>
      <c r="AM331" s="81"/>
      <c r="AN331" s="81"/>
      <c r="AO331" s="81"/>
      <c r="AP331" s="81"/>
      <c r="AQ331" s="81"/>
      <c r="AR331" s="81"/>
      <c r="AS331" s="81"/>
      <c r="AT331" s="81"/>
      <c r="AU331" s="81"/>
    </row>
    <row r="332" spans="1:47" ht="24" customHeight="1" x14ac:dyDescent="0.5">
      <c r="A332" s="81"/>
      <c r="B332" s="81"/>
      <c r="C332" s="81"/>
      <c r="D332" s="81"/>
      <c r="E332" s="81"/>
      <c r="F332" s="81"/>
      <c r="G332" s="105"/>
      <c r="H332" s="81"/>
      <c r="I332" s="81"/>
      <c r="J332" s="81"/>
      <c r="K332" s="105"/>
      <c r="L332" s="81"/>
      <c r="M332" s="81"/>
      <c r="N332" s="81"/>
      <c r="O332" s="81"/>
      <c r="P332" s="81"/>
      <c r="Q332" s="81"/>
      <c r="R332" s="105"/>
      <c r="S332" s="81"/>
      <c r="T332" s="81"/>
      <c r="U332" s="81"/>
      <c r="V332" s="105"/>
      <c r="W332" s="81"/>
      <c r="X332" s="81"/>
      <c r="Y332" s="105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105"/>
      <c r="AM332" s="81"/>
      <c r="AN332" s="81"/>
      <c r="AO332" s="81"/>
      <c r="AP332" s="81"/>
      <c r="AQ332" s="81"/>
      <c r="AR332" s="81"/>
      <c r="AS332" s="81"/>
      <c r="AT332" s="81"/>
      <c r="AU332" s="81"/>
    </row>
    <row r="333" spans="1:47" ht="24" customHeight="1" x14ac:dyDescent="0.5">
      <c r="A333" s="81"/>
      <c r="B333" s="81"/>
      <c r="C333" s="81"/>
      <c r="D333" s="81"/>
      <c r="E333" s="81"/>
      <c r="F333" s="81"/>
      <c r="G333" s="105"/>
      <c r="H333" s="81"/>
      <c r="I333" s="81"/>
      <c r="J333" s="81"/>
      <c r="K333" s="105"/>
      <c r="L333" s="81"/>
      <c r="M333" s="81"/>
      <c r="N333" s="81"/>
      <c r="O333" s="81"/>
      <c r="P333" s="81"/>
      <c r="Q333" s="81"/>
      <c r="R333" s="105"/>
      <c r="S333" s="81"/>
      <c r="T333" s="81"/>
      <c r="U333" s="81"/>
      <c r="V333" s="105"/>
      <c r="W333" s="81"/>
      <c r="X333" s="81"/>
      <c r="Y333" s="105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105"/>
      <c r="AM333" s="81"/>
      <c r="AN333" s="81"/>
      <c r="AO333" s="81"/>
      <c r="AP333" s="81"/>
      <c r="AQ333" s="81"/>
      <c r="AR333" s="81"/>
      <c r="AS333" s="81"/>
      <c r="AT333" s="81"/>
      <c r="AU333" s="81"/>
    </row>
    <row r="334" spans="1:47" ht="24" customHeight="1" x14ac:dyDescent="0.5">
      <c r="A334" s="81"/>
      <c r="B334" s="81"/>
      <c r="C334" s="81"/>
      <c r="D334" s="81"/>
      <c r="E334" s="81"/>
      <c r="F334" s="81"/>
      <c r="G334" s="105"/>
      <c r="H334" s="81"/>
      <c r="I334" s="81"/>
      <c r="J334" s="81"/>
      <c r="K334" s="105"/>
      <c r="L334" s="81"/>
      <c r="M334" s="81"/>
      <c r="N334" s="81"/>
      <c r="O334" s="81"/>
      <c r="P334" s="81"/>
      <c r="Q334" s="81"/>
      <c r="R334" s="105"/>
      <c r="S334" s="81"/>
      <c r="T334" s="81"/>
      <c r="U334" s="81"/>
      <c r="V334" s="105"/>
      <c r="W334" s="81"/>
      <c r="X334" s="81"/>
      <c r="Y334" s="105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105"/>
      <c r="AM334" s="81"/>
      <c r="AN334" s="81"/>
      <c r="AO334" s="81"/>
      <c r="AP334" s="81"/>
      <c r="AQ334" s="81"/>
      <c r="AR334" s="81"/>
      <c r="AS334" s="81"/>
      <c r="AT334" s="81"/>
      <c r="AU334" s="81"/>
    </row>
    <row r="335" spans="1:47" ht="24" customHeight="1" x14ac:dyDescent="0.5">
      <c r="A335" s="81"/>
      <c r="B335" s="81"/>
      <c r="C335" s="81"/>
      <c r="D335" s="81"/>
      <c r="E335" s="81"/>
      <c r="F335" s="81"/>
      <c r="G335" s="105"/>
      <c r="H335" s="81"/>
      <c r="I335" s="81"/>
      <c r="J335" s="81"/>
      <c r="K335" s="105"/>
      <c r="L335" s="81"/>
      <c r="M335" s="81"/>
      <c r="N335" s="81"/>
      <c r="O335" s="81"/>
      <c r="P335" s="81"/>
      <c r="Q335" s="81"/>
      <c r="R335" s="105"/>
      <c r="S335" s="81"/>
      <c r="T335" s="81"/>
      <c r="U335" s="81"/>
      <c r="V335" s="105"/>
      <c r="W335" s="81"/>
      <c r="X335" s="81"/>
      <c r="Y335" s="105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105"/>
      <c r="AM335" s="81"/>
      <c r="AN335" s="81"/>
      <c r="AO335" s="81"/>
      <c r="AP335" s="81"/>
      <c r="AQ335" s="81"/>
      <c r="AR335" s="81"/>
      <c r="AS335" s="81"/>
      <c r="AT335" s="81"/>
      <c r="AU335" s="81"/>
    </row>
    <row r="336" spans="1:47" ht="24" customHeight="1" x14ac:dyDescent="0.5">
      <c r="A336" s="81"/>
      <c r="B336" s="81"/>
      <c r="C336" s="81"/>
      <c r="D336" s="81"/>
      <c r="E336" s="81"/>
      <c r="F336" s="81"/>
      <c r="G336" s="105"/>
      <c r="H336" s="81"/>
      <c r="I336" s="81"/>
      <c r="J336" s="81"/>
      <c r="K336" s="105"/>
      <c r="L336" s="81"/>
      <c r="M336" s="81"/>
      <c r="N336" s="81"/>
      <c r="O336" s="81"/>
      <c r="P336" s="81"/>
      <c r="Q336" s="81"/>
      <c r="R336" s="105"/>
      <c r="S336" s="81"/>
      <c r="T336" s="81"/>
      <c r="U336" s="81"/>
      <c r="V336" s="105"/>
      <c r="W336" s="81"/>
      <c r="X336" s="81"/>
      <c r="Y336" s="105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105"/>
      <c r="AM336" s="81"/>
      <c r="AN336" s="81"/>
      <c r="AO336" s="81"/>
      <c r="AP336" s="81"/>
      <c r="AQ336" s="81"/>
      <c r="AR336" s="81"/>
      <c r="AS336" s="81"/>
      <c r="AT336" s="81"/>
      <c r="AU336" s="81"/>
    </row>
    <row r="337" spans="1:47" ht="24" customHeight="1" x14ac:dyDescent="0.5">
      <c r="A337" s="81"/>
      <c r="B337" s="81"/>
      <c r="C337" s="81"/>
      <c r="D337" s="81"/>
      <c r="E337" s="81"/>
      <c r="F337" s="81"/>
      <c r="G337" s="105"/>
      <c r="H337" s="81"/>
      <c r="I337" s="81"/>
      <c r="J337" s="81"/>
      <c r="K337" s="105"/>
      <c r="L337" s="81"/>
      <c r="M337" s="81"/>
      <c r="N337" s="81"/>
      <c r="O337" s="81"/>
      <c r="P337" s="81"/>
      <c r="Q337" s="81"/>
      <c r="R337" s="105"/>
      <c r="S337" s="81"/>
      <c r="T337" s="81"/>
      <c r="U337" s="81"/>
      <c r="V337" s="105"/>
      <c r="W337" s="81"/>
      <c r="X337" s="81"/>
      <c r="Y337" s="105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105"/>
      <c r="AM337" s="81"/>
      <c r="AN337" s="81"/>
      <c r="AO337" s="81"/>
      <c r="AP337" s="81"/>
      <c r="AQ337" s="81"/>
      <c r="AR337" s="81"/>
      <c r="AS337" s="81"/>
      <c r="AT337" s="81"/>
      <c r="AU337" s="81"/>
    </row>
    <row r="338" spans="1:47" ht="24" customHeight="1" x14ac:dyDescent="0.5">
      <c r="A338" s="81"/>
      <c r="B338" s="81"/>
      <c r="C338" s="81"/>
      <c r="D338" s="81"/>
      <c r="E338" s="81"/>
      <c r="F338" s="81"/>
      <c r="G338" s="105"/>
      <c r="H338" s="81"/>
      <c r="I338" s="81"/>
      <c r="J338" s="81"/>
      <c r="K338" s="105"/>
      <c r="L338" s="81"/>
      <c r="M338" s="81"/>
      <c r="N338" s="81"/>
      <c r="O338" s="81"/>
      <c r="P338" s="81"/>
      <c r="Q338" s="81"/>
      <c r="R338" s="105"/>
      <c r="S338" s="81"/>
      <c r="T338" s="81"/>
      <c r="U338" s="81"/>
      <c r="V338" s="105"/>
      <c r="W338" s="81"/>
      <c r="X338" s="81"/>
      <c r="Y338" s="105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105"/>
      <c r="AM338" s="81"/>
      <c r="AN338" s="81"/>
      <c r="AO338" s="81"/>
      <c r="AP338" s="81"/>
      <c r="AQ338" s="81"/>
      <c r="AR338" s="81"/>
      <c r="AS338" s="81"/>
      <c r="AT338" s="81"/>
      <c r="AU338" s="81"/>
    </row>
    <row r="339" spans="1:47" ht="24" customHeight="1" x14ac:dyDescent="0.5">
      <c r="A339" s="81"/>
      <c r="B339" s="81"/>
      <c r="C339" s="81"/>
      <c r="D339" s="81"/>
      <c r="E339" s="81"/>
      <c r="F339" s="81"/>
      <c r="G339" s="105"/>
      <c r="H339" s="81"/>
      <c r="I339" s="81"/>
      <c r="J339" s="81"/>
      <c r="K339" s="105"/>
      <c r="L339" s="81"/>
      <c r="M339" s="81"/>
      <c r="N339" s="81"/>
      <c r="O339" s="81"/>
      <c r="P339" s="81"/>
      <c r="Q339" s="81"/>
      <c r="R339" s="105"/>
      <c r="S339" s="81"/>
      <c r="T339" s="81"/>
      <c r="U339" s="81"/>
      <c r="V339" s="105"/>
      <c r="W339" s="81"/>
      <c r="X339" s="81"/>
      <c r="Y339" s="105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105"/>
      <c r="AM339" s="81"/>
      <c r="AN339" s="81"/>
      <c r="AO339" s="81"/>
      <c r="AP339" s="81"/>
      <c r="AQ339" s="81"/>
      <c r="AR339" s="81"/>
      <c r="AS339" s="81"/>
      <c r="AT339" s="81"/>
      <c r="AU339" s="81"/>
    </row>
    <row r="340" spans="1:47" ht="24" customHeight="1" x14ac:dyDescent="0.5">
      <c r="A340" s="81"/>
      <c r="B340" s="81"/>
      <c r="C340" s="81"/>
      <c r="D340" s="81"/>
      <c r="E340" s="81"/>
      <c r="F340" s="81"/>
      <c r="G340" s="105"/>
      <c r="H340" s="81"/>
      <c r="I340" s="81"/>
      <c r="J340" s="81"/>
      <c r="K340" s="105"/>
      <c r="L340" s="81"/>
      <c r="M340" s="81"/>
      <c r="N340" s="81"/>
      <c r="O340" s="81"/>
      <c r="P340" s="81"/>
      <c r="Q340" s="81"/>
      <c r="R340" s="105"/>
      <c r="S340" s="81"/>
      <c r="T340" s="81"/>
      <c r="U340" s="81"/>
      <c r="V340" s="105"/>
      <c r="W340" s="81"/>
      <c r="X340" s="81"/>
      <c r="Y340" s="105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105"/>
      <c r="AM340" s="81"/>
      <c r="AN340" s="81"/>
      <c r="AO340" s="81"/>
      <c r="AP340" s="81"/>
      <c r="AQ340" s="81"/>
      <c r="AR340" s="81"/>
      <c r="AS340" s="81"/>
      <c r="AT340" s="81"/>
      <c r="AU340" s="81"/>
    </row>
    <row r="341" spans="1:47" ht="24" customHeight="1" x14ac:dyDescent="0.5">
      <c r="A341" s="81"/>
      <c r="B341" s="81"/>
      <c r="C341" s="81"/>
      <c r="D341" s="81"/>
      <c r="E341" s="81"/>
      <c r="F341" s="81"/>
      <c r="G341" s="105"/>
      <c r="H341" s="81"/>
      <c r="I341" s="81"/>
      <c r="J341" s="81"/>
      <c r="K341" s="105"/>
      <c r="L341" s="81"/>
      <c r="M341" s="81"/>
      <c r="N341" s="81"/>
      <c r="O341" s="81"/>
      <c r="P341" s="81"/>
      <c r="Q341" s="81"/>
      <c r="R341" s="105"/>
      <c r="S341" s="81"/>
      <c r="T341" s="81"/>
      <c r="U341" s="81"/>
      <c r="V341" s="105"/>
      <c r="W341" s="81"/>
      <c r="X341" s="81"/>
      <c r="Y341" s="105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105"/>
      <c r="AM341" s="81"/>
      <c r="AN341" s="81"/>
      <c r="AO341" s="81"/>
      <c r="AP341" s="81"/>
      <c r="AQ341" s="81"/>
      <c r="AR341" s="81"/>
      <c r="AS341" s="81"/>
      <c r="AT341" s="81"/>
      <c r="AU341" s="81"/>
    </row>
    <row r="342" spans="1:47" ht="24" customHeight="1" x14ac:dyDescent="0.5">
      <c r="A342" s="81"/>
      <c r="B342" s="81"/>
      <c r="C342" s="81"/>
      <c r="D342" s="81"/>
      <c r="E342" s="81"/>
      <c r="F342" s="81"/>
      <c r="G342" s="105"/>
      <c r="H342" s="81"/>
      <c r="I342" s="81"/>
      <c r="J342" s="81"/>
      <c r="K342" s="105"/>
      <c r="L342" s="81"/>
      <c r="M342" s="81"/>
      <c r="N342" s="81"/>
      <c r="O342" s="81"/>
      <c r="P342" s="81"/>
      <c r="Q342" s="81"/>
      <c r="R342" s="105"/>
      <c r="S342" s="81"/>
      <c r="T342" s="81"/>
      <c r="U342" s="81"/>
      <c r="V342" s="105"/>
      <c r="W342" s="81"/>
      <c r="X342" s="81"/>
      <c r="Y342" s="105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105"/>
      <c r="AM342" s="81"/>
      <c r="AN342" s="81"/>
      <c r="AO342" s="81"/>
      <c r="AP342" s="81"/>
      <c r="AQ342" s="81"/>
      <c r="AR342" s="81"/>
      <c r="AS342" s="81"/>
      <c r="AT342" s="81"/>
      <c r="AU342" s="81"/>
    </row>
    <row r="343" spans="1:47" ht="24" customHeight="1" x14ac:dyDescent="0.5">
      <c r="A343" s="81"/>
      <c r="B343" s="81"/>
      <c r="C343" s="81"/>
      <c r="D343" s="81"/>
      <c r="E343" s="81"/>
      <c r="F343" s="81"/>
      <c r="G343" s="105"/>
      <c r="H343" s="81"/>
      <c r="I343" s="81"/>
      <c r="J343" s="81"/>
      <c r="K343" s="105"/>
      <c r="L343" s="81"/>
      <c r="M343" s="81"/>
      <c r="N343" s="81"/>
      <c r="O343" s="81"/>
      <c r="P343" s="81"/>
      <c r="Q343" s="81"/>
      <c r="R343" s="105"/>
      <c r="S343" s="81"/>
      <c r="T343" s="81"/>
      <c r="U343" s="81"/>
      <c r="V343" s="105"/>
      <c r="W343" s="81"/>
      <c r="X343" s="81"/>
      <c r="Y343" s="105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105"/>
      <c r="AM343" s="81"/>
      <c r="AN343" s="81"/>
      <c r="AO343" s="81"/>
      <c r="AP343" s="81"/>
      <c r="AQ343" s="81"/>
      <c r="AR343" s="81"/>
      <c r="AS343" s="81"/>
      <c r="AT343" s="81"/>
      <c r="AU343" s="81"/>
    </row>
    <row r="344" spans="1:47" ht="24" customHeight="1" x14ac:dyDescent="0.5">
      <c r="A344" s="81"/>
      <c r="B344" s="81"/>
      <c r="C344" s="81"/>
      <c r="D344" s="81"/>
      <c r="E344" s="81"/>
      <c r="F344" s="81"/>
      <c r="G344" s="105"/>
      <c r="H344" s="81"/>
      <c r="I344" s="81"/>
      <c r="J344" s="81"/>
      <c r="K344" s="105"/>
      <c r="L344" s="81"/>
      <c r="M344" s="81"/>
      <c r="N344" s="81"/>
      <c r="O344" s="81"/>
      <c r="P344" s="81"/>
      <c r="Q344" s="81"/>
      <c r="R344" s="105"/>
      <c r="S344" s="81"/>
      <c r="T344" s="81"/>
      <c r="U344" s="81"/>
      <c r="V344" s="105"/>
      <c r="W344" s="81"/>
      <c r="X344" s="81"/>
      <c r="Y344" s="105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105"/>
      <c r="AM344" s="81"/>
      <c r="AN344" s="81"/>
      <c r="AO344" s="81"/>
      <c r="AP344" s="81"/>
      <c r="AQ344" s="81"/>
      <c r="AR344" s="81"/>
      <c r="AS344" s="81"/>
      <c r="AT344" s="81"/>
      <c r="AU344" s="81"/>
    </row>
    <row r="345" spans="1:47" ht="24" customHeight="1" x14ac:dyDescent="0.5">
      <c r="A345" s="81"/>
      <c r="B345" s="81"/>
      <c r="C345" s="81"/>
      <c r="D345" s="81"/>
      <c r="E345" s="81"/>
      <c r="F345" s="81"/>
      <c r="G345" s="105"/>
      <c r="H345" s="81"/>
      <c r="I345" s="81"/>
      <c r="J345" s="81"/>
      <c r="K345" s="105"/>
      <c r="L345" s="81"/>
      <c r="M345" s="81"/>
      <c r="N345" s="81"/>
      <c r="O345" s="81"/>
      <c r="P345" s="81"/>
      <c r="Q345" s="81"/>
      <c r="R345" s="105"/>
      <c r="S345" s="81"/>
      <c r="T345" s="81"/>
      <c r="U345" s="81"/>
      <c r="V345" s="105"/>
      <c r="W345" s="81"/>
      <c r="X345" s="81"/>
      <c r="Y345" s="105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105"/>
      <c r="AM345" s="81"/>
      <c r="AN345" s="81"/>
      <c r="AO345" s="81"/>
      <c r="AP345" s="81"/>
      <c r="AQ345" s="81"/>
      <c r="AR345" s="81"/>
      <c r="AS345" s="81"/>
      <c r="AT345" s="81"/>
      <c r="AU345" s="81"/>
    </row>
    <row r="346" spans="1:47" ht="24" customHeight="1" x14ac:dyDescent="0.5">
      <c r="A346" s="81"/>
      <c r="B346" s="81"/>
      <c r="C346" s="81"/>
      <c r="D346" s="81"/>
      <c r="E346" s="81"/>
      <c r="F346" s="81"/>
      <c r="G346" s="105"/>
      <c r="H346" s="81"/>
      <c r="I346" s="81"/>
      <c r="J346" s="81"/>
      <c r="K346" s="105"/>
      <c r="L346" s="81"/>
      <c r="M346" s="81"/>
      <c r="N346" s="81"/>
      <c r="O346" s="81"/>
      <c r="P346" s="81"/>
      <c r="Q346" s="81"/>
      <c r="R346" s="105"/>
      <c r="S346" s="81"/>
      <c r="T346" s="81"/>
      <c r="U346" s="81"/>
      <c r="V346" s="105"/>
      <c r="W346" s="81"/>
      <c r="X346" s="81"/>
      <c r="Y346" s="105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105"/>
      <c r="AM346" s="81"/>
      <c r="AN346" s="81"/>
      <c r="AO346" s="81"/>
      <c r="AP346" s="81"/>
      <c r="AQ346" s="81"/>
      <c r="AR346" s="81"/>
      <c r="AS346" s="81"/>
      <c r="AT346" s="81"/>
      <c r="AU346" s="81"/>
    </row>
    <row r="347" spans="1:47" ht="24" customHeight="1" x14ac:dyDescent="0.5">
      <c r="A347" s="81"/>
      <c r="B347" s="81"/>
      <c r="C347" s="81"/>
      <c r="D347" s="81"/>
      <c r="E347" s="81"/>
      <c r="F347" s="81"/>
      <c r="G347" s="105"/>
      <c r="H347" s="81"/>
      <c r="I347" s="81"/>
      <c r="J347" s="81"/>
      <c r="K347" s="105"/>
      <c r="L347" s="81"/>
      <c r="M347" s="81"/>
      <c r="N347" s="81"/>
      <c r="O347" s="81"/>
      <c r="P347" s="81"/>
      <c r="Q347" s="81"/>
      <c r="R347" s="105"/>
      <c r="S347" s="81"/>
      <c r="T347" s="81"/>
      <c r="U347" s="81"/>
      <c r="V347" s="105"/>
      <c r="W347" s="81"/>
      <c r="X347" s="81"/>
      <c r="Y347" s="105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105"/>
      <c r="AM347" s="81"/>
      <c r="AN347" s="81"/>
      <c r="AO347" s="81"/>
      <c r="AP347" s="81"/>
      <c r="AQ347" s="81"/>
      <c r="AR347" s="81"/>
      <c r="AS347" s="81"/>
      <c r="AT347" s="81"/>
      <c r="AU347" s="81"/>
    </row>
    <row r="348" spans="1:47" ht="24" customHeight="1" x14ac:dyDescent="0.5">
      <c r="A348" s="81"/>
      <c r="B348" s="81"/>
      <c r="C348" s="81"/>
      <c r="D348" s="81"/>
      <c r="E348" s="81"/>
      <c r="F348" s="81"/>
      <c r="G348" s="105"/>
      <c r="H348" s="81"/>
      <c r="I348" s="81"/>
      <c r="J348" s="81"/>
      <c r="K348" s="105"/>
      <c r="L348" s="81"/>
      <c r="M348" s="81"/>
      <c r="N348" s="81"/>
      <c r="O348" s="81"/>
      <c r="P348" s="81"/>
      <c r="Q348" s="81"/>
      <c r="R348" s="105"/>
      <c r="S348" s="81"/>
      <c r="T348" s="81"/>
      <c r="U348" s="81"/>
      <c r="V348" s="105"/>
      <c r="W348" s="81"/>
      <c r="X348" s="81"/>
      <c r="Y348" s="105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105"/>
      <c r="AM348" s="81"/>
      <c r="AN348" s="81"/>
      <c r="AO348" s="81"/>
      <c r="AP348" s="81"/>
      <c r="AQ348" s="81"/>
      <c r="AR348" s="81"/>
      <c r="AS348" s="81"/>
      <c r="AT348" s="81"/>
      <c r="AU348" s="81"/>
    </row>
    <row r="349" spans="1:47" ht="24" customHeight="1" x14ac:dyDescent="0.5">
      <c r="A349" s="81"/>
      <c r="B349" s="81"/>
      <c r="C349" s="81"/>
      <c r="D349" s="81"/>
      <c r="E349" s="81"/>
      <c r="F349" s="81"/>
      <c r="G349" s="105"/>
      <c r="H349" s="81"/>
      <c r="I349" s="81"/>
      <c r="J349" s="81"/>
      <c r="K349" s="105"/>
      <c r="L349" s="81"/>
      <c r="M349" s="81"/>
      <c r="N349" s="81"/>
      <c r="O349" s="81"/>
      <c r="P349" s="81"/>
      <c r="Q349" s="81"/>
      <c r="R349" s="105"/>
      <c r="S349" s="81"/>
      <c r="T349" s="81"/>
      <c r="U349" s="81"/>
      <c r="V349" s="105"/>
      <c r="W349" s="81"/>
      <c r="X349" s="81"/>
      <c r="Y349" s="105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105"/>
      <c r="AM349" s="81"/>
      <c r="AN349" s="81"/>
      <c r="AO349" s="81"/>
      <c r="AP349" s="81"/>
      <c r="AQ349" s="81"/>
      <c r="AR349" s="81"/>
      <c r="AS349" s="81"/>
      <c r="AT349" s="81"/>
      <c r="AU349" s="81"/>
    </row>
    <row r="350" spans="1:47" ht="24" customHeight="1" x14ac:dyDescent="0.5">
      <c r="A350" s="81"/>
      <c r="B350" s="81"/>
      <c r="C350" s="81"/>
      <c r="D350" s="81"/>
      <c r="E350" s="81"/>
      <c r="F350" s="81"/>
      <c r="G350" s="105"/>
      <c r="H350" s="81"/>
      <c r="I350" s="81"/>
      <c r="J350" s="81"/>
      <c r="K350" s="105"/>
      <c r="L350" s="81"/>
      <c r="M350" s="81"/>
      <c r="N350" s="81"/>
      <c r="O350" s="81"/>
      <c r="P350" s="81"/>
      <c r="Q350" s="81"/>
      <c r="R350" s="105"/>
      <c r="S350" s="81"/>
      <c r="T350" s="81"/>
      <c r="U350" s="81"/>
      <c r="V350" s="105"/>
      <c r="W350" s="81"/>
      <c r="X350" s="81"/>
      <c r="Y350" s="105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105"/>
      <c r="AM350" s="81"/>
      <c r="AN350" s="81"/>
      <c r="AO350" s="81"/>
      <c r="AP350" s="81"/>
      <c r="AQ350" s="81"/>
      <c r="AR350" s="81"/>
      <c r="AS350" s="81"/>
      <c r="AT350" s="81"/>
      <c r="AU350" s="81"/>
    </row>
    <row r="351" spans="1:47" ht="24" customHeight="1" x14ac:dyDescent="0.5">
      <c r="A351" s="81"/>
      <c r="B351" s="81"/>
      <c r="C351" s="81"/>
      <c r="D351" s="81"/>
      <c r="E351" s="81"/>
      <c r="F351" s="81"/>
      <c r="G351" s="105"/>
      <c r="H351" s="81"/>
      <c r="I351" s="81"/>
      <c r="J351" s="81"/>
      <c r="K351" s="105"/>
      <c r="L351" s="81"/>
      <c r="M351" s="81"/>
      <c r="N351" s="81"/>
      <c r="O351" s="81"/>
      <c r="P351" s="81"/>
      <c r="Q351" s="81"/>
      <c r="R351" s="105"/>
      <c r="S351" s="81"/>
      <c r="T351" s="81"/>
      <c r="U351" s="81"/>
      <c r="V351" s="105"/>
      <c r="W351" s="81"/>
      <c r="X351" s="81"/>
      <c r="Y351" s="105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105"/>
      <c r="AM351" s="81"/>
      <c r="AN351" s="81"/>
      <c r="AO351" s="81"/>
      <c r="AP351" s="81"/>
      <c r="AQ351" s="81"/>
      <c r="AR351" s="81"/>
      <c r="AS351" s="81"/>
      <c r="AT351" s="81"/>
      <c r="AU351" s="81"/>
    </row>
    <row r="352" spans="1:47" ht="24" customHeight="1" x14ac:dyDescent="0.5">
      <c r="A352" s="81"/>
      <c r="B352" s="81"/>
      <c r="C352" s="81"/>
      <c r="D352" s="81"/>
      <c r="E352" s="81"/>
      <c r="F352" s="81"/>
      <c r="G352" s="105"/>
      <c r="H352" s="81"/>
      <c r="I352" s="81"/>
      <c r="J352" s="81"/>
      <c r="K352" s="105"/>
      <c r="L352" s="81"/>
      <c r="M352" s="81"/>
      <c r="N352" s="81"/>
      <c r="O352" s="81"/>
      <c r="P352" s="81"/>
      <c r="Q352" s="81"/>
      <c r="R352" s="105"/>
      <c r="S352" s="81"/>
      <c r="T352" s="81"/>
      <c r="U352" s="81"/>
      <c r="V352" s="105"/>
      <c r="W352" s="81"/>
      <c r="X352" s="81"/>
      <c r="Y352" s="105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105"/>
      <c r="AM352" s="81"/>
      <c r="AN352" s="81"/>
      <c r="AO352" s="81"/>
      <c r="AP352" s="81"/>
      <c r="AQ352" s="81"/>
      <c r="AR352" s="81"/>
      <c r="AS352" s="81"/>
      <c r="AT352" s="81"/>
      <c r="AU352" s="81"/>
    </row>
    <row r="353" spans="1:47" ht="24" customHeight="1" x14ac:dyDescent="0.5">
      <c r="A353" s="81"/>
      <c r="B353" s="81"/>
      <c r="C353" s="81"/>
      <c r="D353" s="81"/>
      <c r="E353" s="81"/>
      <c r="F353" s="81"/>
      <c r="G353" s="105"/>
      <c r="H353" s="81"/>
      <c r="I353" s="81"/>
      <c r="J353" s="81"/>
      <c r="K353" s="105"/>
      <c r="L353" s="81"/>
      <c r="M353" s="81"/>
      <c r="N353" s="81"/>
      <c r="O353" s="81"/>
      <c r="P353" s="81"/>
      <c r="Q353" s="81"/>
      <c r="R353" s="105"/>
      <c r="S353" s="81"/>
      <c r="T353" s="81"/>
      <c r="U353" s="81"/>
      <c r="V353" s="105"/>
      <c r="W353" s="81"/>
      <c r="X353" s="81"/>
      <c r="Y353" s="105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105"/>
      <c r="AM353" s="81"/>
      <c r="AN353" s="81"/>
      <c r="AO353" s="81"/>
      <c r="AP353" s="81"/>
      <c r="AQ353" s="81"/>
      <c r="AR353" s="81"/>
      <c r="AS353" s="81"/>
      <c r="AT353" s="81"/>
      <c r="AU353" s="81"/>
    </row>
    <row r="354" spans="1:47" ht="24" customHeight="1" x14ac:dyDescent="0.5">
      <c r="A354" s="81"/>
      <c r="B354" s="81"/>
      <c r="C354" s="81"/>
      <c r="D354" s="81"/>
      <c r="E354" s="81"/>
      <c r="F354" s="81"/>
      <c r="G354" s="105"/>
      <c r="H354" s="81"/>
      <c r="I354" s="81"/>
      <c r="J354" s="81"/>
      <c r="K354" s="105"/>
      <c r="L354" s="81"/>
      <c r="M354" s="81"/>
      <c r="N354" s="81"/>
      <c r="O354" s="81"/>
      <c r="P354" s="81"/>
      <c r="Q354" s="81"/>
      <c r="R354" s="105"/>
      <c r="S354" s="81"/>
      <c r="T354" s="81"/>
      <c r="U354" s="81"/>
      <c r="V354" s="105"/>
      <c r="W354" s="81"/>
      <c r="X354" s="81"/>
      <c r="Y354" s="105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105"/>
      <c r="AM354" s="81"/>
      <c r="AN354" s="81"/>
      <c r="AO354" s="81"/>
      <c r="AP354" s="81"/>
      <c r="AQ354" s="81"/>
      <c r="AR354" s="81"/>
      <c r="AS354" s="81"/>
      <c r="AT354" s="81"/>
      <c r="AU354" s="81"/>
    </row>
    <row r="355" spans="1:47" ht="24" customHeight="1" x14ac:dyDescent="0.5">
      <c r="A355" s="81"/>
      <c r="B355" s="81"/>
      <c r="C355" s="81"/>
      <c r="D355" s="81"/>
      <c r="E355" s="81"/>
      <c r="F355" s="81"/>
      <c r="G355" s="105"/>
      <c r="H355" s="81"/>
      <c r="I355" s="81"/>
      <c r="J355" s="81"/>
      <c r="K355" s="105"/>
      <c r="L355" s="81"/>
      <c r="M355" s="81"/>
      <c r="N355" s="81"/>
      <c r="O355" s="81"/>
      <c r="P355" s="81"/>
      <c r="Q355" s="81"/>
      <c r="R355" s="105"/>
      <c r="S355" s="81"/>
      <c r="T355" s="81"/>
      <c r="U355" s="81"/>
      <c r="V355" s="105"/>
      <c r="W355" s="81"/>
      <c r="X355" s="81"/>
      <c r="Y355" s="105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105"/>
      <c r="AM355" s="81"/>
      <c r="AN355" s="81"/>
      <c r="AO355" s="81"/>
      <c r="AP355" s="81"/>
      <c r="AQ355" s="81"/>
      <c r="AR355" s="81"/>
      <c r="AS355" s="81"/>
      <c r="AT355" s="81"/>
      <c r="AU355" s="81"/>
    </row>
    <row r="356" spans="1:47" ht="24" customHeight="1" x14ac:dyDescent="0.5">
      <c r="A356" s="81"/>
      <c r="B356" s="81"/>
      <c r="C356" s="81"/>
      <c r="D356" s="81"/>
      <c r="E356" s="81"/>
      <c r="F356" s="81"/>
      <c r="G356" s="105"/>
      <c r="H356" s="81"/>
      <c r="I356" s="81"/>
      <c r="J356" s="81"/>
      <c r="K356" s="105"/>
      <c r="L356" s="81"/>
      <c r="M356" s="81"/>
      <c r="N356" s="81"/>
      <c r="O356" s="81"/>
      <c r="P356" s="81"/>
      <c r="Q356" s="81"/>
      <c r="R356" s="105"/>
      <c r="S356" s="81"/>
      <c r="T356" s="81"/>
      <c r="U356" s="81"/>
      <c r="V356" s="105"/>
      <c r="W356" s="81"/>
      <c r="X356" s="81"/>
      <c r="Y356" s="105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105"/>
      <c r="AM356" s="81"/>
      <c r="AN356" s="81"/>
      <c r="AO356" s="81"/>
      <c r="AP356" s="81"/>
      <c r="AQ356" s="81"/>
      <c r="AR356" s="81"/>
      <c r="AS356" s="81"/>
      <c r="AT356" s="81"/>
      <c r="AU356" s="81"/>
    </row>
    <row r="357" spans="1:47" ht="24" customHeight="1" x14ac:dyDescent="0.5">
      <c r="A357" s="81"/>
      <c r="B357" s="81"/>
      <c r="C357" s="81"/>
      <c r="D357" s="81"/>
      <c r="E357" s="81"/>
      <c r="F357" s="81"/>
      <c r="G357" s="105"/>
      <c r="H357" s="81"/>
      <c r="I357" s="81"/>
      <c r="J357" s="81"/>
      <c r="K357" s="105"/>
      <c r="L357" s="81"/>
      <c r="M357" s="81"/>
      <c r="N357" s="81"/>
      <c r="O357" s="81"/>
      <c r="P357" s="81"/>
      <c r="Q357" s="81"/>
      <c r="R357" s="105"/>
      <c r="S357" s="81"/>
      <c r="T357" s="81"/>
      <c r="U357" s="81"/>
      <c r="V357" s="105"/>
      <c r="W357" s="81"/>
      <c r="X357" s="81"/>
      <c r="Y357" s="105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105"/>
      <c r="AM357" s="81"/>
      <c r="AN357" s="81"/>
      <c r="AO357" s="81"/>
      <c r="AP357" s="81"/>
      <c r="AQ357" s="81"/>
      <c r="AR357" s="81"/>
      <c r="AS357" s="81"/>
      <c r="AT357" s="81"/>
      <c r="AU357" s="81"/>
    </row>
    <row r="358" spans="1:47" ht="24" customHeight="1" x14ac:dyDescent="0.5">
      <c r="A358" s="81"/>
      <c r="B358" s="81"/>
      <c r="C358" s="81"/>
      <c r="D358" s="81"/>
      <c r="E358" s="81"/>
      <c r="F358" s="81"/>
      <c r="G358" s="105"/>
      <c r="H358" s="81"/>
      <c r="I358" s="81"/>
      <c r="J358" s="81"/>
      <c r="K358" s="105"/>
      <c r="L358" s="81"/>
      <c r="M358" s="81"/>
      <c r="N358" s="81"/>
      <c r="O358" s="81"/>
      <c r="P358" s="81"/>
      <c r="Q358" s="81"/>
      <c r="R358" s="105"/>
      <c r="S358" s="81"/>
      <c r="T358" s="81"/>
      <c r="U358" s="81"/>
      <c r="V358" s="105"/>
      <c r="W358" s="81"/>
      <c r="X358" s="81"/>
      <c r="Y358" s="105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105"/>
      <c r="AM358" s="81"/>
      <c r="AN358" s="81"/>
      <c r="AO358" s="81"/>
      <c r="AP358" s="81"/>
      <c r="AQ358" s="81"/>
      <c r="AR358" s="81"/>
      <c r="AS358" s="81"/>
      <c r="AT358" s="81"/>
      <c r="AU358" s="81"/>
    </row>
    <row r="359" spans="1:47" ht="24" customHeight="1" x14ac:dyDescent="0.5">
      <c r="A359" s="81"/>
      <c r="B359" s="81"/>
      <c r="C359" s="81"/>
      <c r="D359" s="81"/>
      <c r="E359" s="81"/>
      <c r="F359" s="81"/>
      <c r="G359" s="105"/>
      <c r="H359" s="81"/>
      <c r="I359" s="81"/>
      <c r="J359" s="81"/>
      <c r="K359" s="105"/>
      <c r="L359" s="81"/>
      <c r="M359" s="81"/>
      <c r="N359" s="81"/>
      <c r="O359" s="81"/>
      <c r="P359" s="81"/>
      <c r="Q359" s="81"/>
      <c r="R359" s="105"/>
      <c r="S359" s="81"/>
      <c r="T359" s="81"/>
      <c r="U359" s="81"/>
      <c r="V359" s="105"/>
      <c r="W359" s="81"/>
      <c r="X359" s="81"/>
      <c r="Y359" s="105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105"/>
      <c r="AM359" s="81"/>
      <c r="AN359" s="81"/>
      <c r="AO359" s="81"/>
      <c r="AP359" s="81"/>
      <c r="AQ359" s="81"/>
      <c r="AR359" s="81"/>
      <c r="AS359" s="81"/>
      <c r="AT359" s="81"/>
      <c r="AU359" s="81"/>
    </row>
    <row r="360" spans="1:47" ht="24" customHeight="1" x14ac:dyDescent="0.5">
      <c r="A360" s="81"/>
      <c r="B360" s="81"/>
      <c r="C360" s="81"/>
      <c r="D360" s="81"/>
      <c r="E360" s="81"/>
      <c r="F360" s="81"/>
      <c r="G360" s="105"/>
      <c r="H360" s="81"/>
      <c r="I360" s="81"/>
      <c r="J360" s="81"/>
      <c r="K360" s="105"/>
      <c r="L360" s="81"/>
      <c r="M360" s="81"/>
      <c r="N360" s="81"/>
      <c r="O360" s="81"/>
      <c r="P360" s="81"/>
      <c r="Q360" s="81"/>
      <c r="R360" s="105"/>
      <c r="S360" s="81"/>
      <c r="T360" s="81"/>
      <c r="U360" s="81"/>
      <c r="V360" s="105"/>
      <c r="W360" s="81"/>
      <c r="X360" s="81"/>
      <c r="Y360" s="105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105"/>
      <c r="AM360" s="81"/>
      <c r="AN360" s="81"/>
      <c r="AO360" s="81"/>
      <c r="AP360" s="81"/>
      <c r="AQ360" s="81"/>
      <c r="AR360" s="81"/>
      <c r="AS360" s="81"/>
      <c r="AT360" s="81"/>
      <c r="AU360" s="81"/>
    </row>
    <row r="361" spans="1:47" ht="24" customHeight="1" x14ac:dyDescent="0.5">
      <c r="A361" s="81"/>
      <c r="B361" s="81"/>
      <c r="C361" s="81"/>
      <c r="D361" s="81"/>
      <c r="E361" s="81"/>
      <c r="F361" s="81"/>
      <c r="G361" s="105"/>
      <c r="H361" s="81"/>
      <c r="I361" s="81"/>
      <c r="J361" s="81"/>
      <c r="K361" s="105"/>
      <c r="L361" s="81"/>
      <c r="M361" s="81"/>
      <c r="N361" s="81"/>
      <c r="O361" s="81"/>
      <c r="P361" s="81"/>
      <c r="Q361" s="81"/>
      <c r="R361" s="105"/>
      <c r="S361" s="81"/>
      <c r="T361" s="81"/>
      <c r="U361" s="81"/>
      <c r="V361" s="105"/>
      <c r="W361" s="81"/>
      <c r="X361" s="81"/>
      <c r="Y361" s="105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105"/>
      <c r="AM361" s="81"/>
      <c r="AN361" s="81"/>
      <c r="AO361" s="81"/>
      <c r="AP361" s="81"/>
      <c r="AQ361" s="81"/>
      <c r="AR361" s="81"/>
      <c r="AS361" s="81"/>
      <c r="AT361" s="81"/>
      <c r="AU361" s="81"/>
    </row>
    <row r="362" spans="1:47" ht="24" customHeight="1" x14ac:dyDescent="0.5">
      <c r="A362" s="81"/>
      <c r="B362" s="81"/>
      <c r="C362" s="81"/>
      <c r="D362" s="81"/>
      <c r="E362" s="81"/>
      <c r="F362" s="81"/>
      <c r="G362" s="105"/>
      <c r="H362" s="81"/>
      <c r="I362" s="81"/>
      <c r="J362" s="81"/>
      <c r="K362" s="105"/>
      <c r="L362" s="81"/>
      <c r="M362" s="81"/>
      <c r="N362" s="81"/>
      <c r="O362" s="81"/>
      <c r="P362" s="81"/>
      <c r="Q362" s="81"/>
      <c r="R362" s="105"/>
      <c r="S362" s="81"/>
      <c r="T362" s="81"/>
      <c r="U362" s="81"/>
      <c r="V362" s="105"/>
      <c r="W362" s="81"/>
      <c r="X362" s="81"/>
      <c r="Y362" s="105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105"/>
      <c r="AM362" s="81"/>
      <c r="AN362" s="81"/>
      <c r="AO362" s="81"/>
      <c r="AP362" s="81"/>
      <c r="AQ362" s="81"/>
      <c r="AR362" s="81"/>
      <c r="AS362" s="81"/>
      <c r="AT362" s="81"/>
      <c r="AU362" s="81"/>
    </row>
    <row r="363" spans="1:47" ht="24" customHeight="1" x14ac:dyDescent="0.5">
      <c r="A363" s="81"/>
      <c r="B363" s="81"/>
      <c r="C363" s="81"/>
      <c r="D363" s="81"/>
      <c r="E363" s="81"/>
      <c r="F363" s="81"/>
      <c r="G363" s="105"/>
      <c r="H363" s="81"/>
      <c r="I363" s="81"/>
      <c r="J363" s="81"/>
      <c r="K363" s="105"/>
      <c r="L363" s="81"/>
      <c r="M363" s="81"/>
      <c r="N363" s="81"/>
      <c r="O363" s="81"/>
      <c r="P363" s="81"/>
      <c r="Q363" s="81"/>
      <c r="R363" s="105"/>
      <c r="S363" s="81"/>
      <c r="T363" s="81"/>
      <c r="U363" s="81"/>
      <c r="V363" s="105"/>
      <c r="W363" s="81"/>
      <c r="X363" s="81"/>
      <c r="Y363" s="105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105"/>
      <c r="AM363" s="81"/>
      <c r="AN363" s="81"/>
      <c r="AO363" s="81"/>
      <c r="AP363" s="81"/>
      <c r="AQ363" s="81"/>
      <c r="AR363" s="81"/>
      <c r="AS363" s="81"/>
      <c r="AT363" s="81"/>
      <c r="AU363" s="81"/>
    </row>
    <row r="364" spans="1:47" ht="24" customHeight="1" x14ac:dyDescent="0.5">
      <c r="A364" s="81"/>
      <c r="B364" s="81"/>
      <c r="C364" s="81"/>
      <c r="D364" s="81"/>
      <c r="E364" s="81"/>
      <c r="F364" s="81"/>
      <c r="G364" s="105"/>
      <c r="H364" s="81"/>
      <c r="I364" s="81"/>
      <c r="J364" s="81"/>
      <c r="K364" s="105"/>
      <c r="L364" s="81"/>
      <c r="M364" s="81"/>
      <c r="N364" s="81"/>
      <c r="O364" s="81"/>
      <c r="P364" s="81"/>
      <c r="Q364" s="81"/>
      <c r="R364" s="105"/>
      <c r="S364" s="81"/>
      <c r="T364" s="81"/>
      <c r="U364" s="81"/>
      <c r="V364" s="105"/>
      <c r="W364" s="81"/>
      <c r="X364" s="81"/>
      <c r="Y364" s="105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105"/>
      <c r="AM364" s="81"/>
      <c r="AN364" s="81"/>
      <c r="AO364" s="81"/>
      <c r="AP364" s="81"/>
      <c r="AQ364" s="81"/>
      <c r="AR364" s="81"/>
      <c r="AS364" s="81"/>
      <c r="AT364" s="81"/>
      <c r="AU364" s="81"/>
    </row>
    <row r="365" spans="1:47" ht="24" customHeight="1" x14ac:dyDescent="0.5">
      <c r="A365" s="81"/>
      <c r="B365" s="81"/>
      <c r="C365" s="81"/>
      <c r="D365" s="81"/>
      <c r="E365" s="81"/>
      <c r="F365" s="81"/>
      <c r="G365" s="105"/>
      <c r="H365" s="81"/>
      <c r="I365" s="81"/>
      <c r="J365" s="81"/>
      <c r="K365" s="105"/>
      <c r="L365" s="81"/>
      <c r="M365" s="81"/>
      <c r="N365" s="81"/>
      <c r="O365" s="81"/>
      <c r="P365" s="81"/>
      <c r="Q365" s="81"/>
      <c r="R365" s="105"/>
      <c r="S365" s="81"/>
      <c r="T365" s="81"/>
      <c r="U365" s="81"/>
      <c r="V365" s="105"/>
      <c r="W365" s="81"/>
      <c r="X365" s="81"/>
      <c r="Y365" s="105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105"/>
      <c r="AM365" s="81"/>
      <c r="AN365" s="81"/>
      <c r="AO365" s="81"/>
      <c r="AP365" s="81"/>
      <c r="AQ365" s="81"/>
      <c r="AR365" s="81"/>
      <c r="AS365" s="81"/>
      <c r="AT365" s="81"/>
      <c r="AU365" s="81"/>
    </row>
    <row r="366" spans="1:47" ht="24" customHeight="1" x14ac:dyDescent="0.5">
      <c r="A366" s="81"/>
      <c r="B366" s="81"/>
      <c r="C366" s="81"/>
      <c r="D366" s="81"/>
      <c r="E366" s="81"/>
      <c r="F366" s="81"/>
      <c r="G366" s="105"/>
      <c r="H366" s="81"/>
      <c r="I366" s="81"/>
      <c r="J366" s="81"/>
      <c r="K366" s="105"/>
      <c r="L366" s="81"/>
      <c r="M366" s="81"/>
      <c r="N366" s="81"/>
      <c r="O366" s="81"/>
      <c r="P366" s="81"/>
      <c r="Q366" s="81"/>
      <c r="R366" s="105"/>
      <c r="S366" s="81"/>
      <c r="T366" s="81"/>
      <c r="U366" s="81"/>
      <c r="V366" s="105"/>
      <c r="W366" s="81"/>
      <c r="X366" s="81"/>
      <c r="Y366" s="105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105"/>
      <c r="AM366" s="81"/>
      <c r="AN366" s="81"/>
      <c r="AO366" s="81"/>
      <c r="AP366" s="81"/>
      <c r="AQ366" s="81"/>
      <c r="AR366" s="81"/>
      <c r="AS366" s="81"/>
      <c r="AT366" s="81"/>
      <c r="AU366" s="81"/>
    </row>
    <row r="367" spans="1:47" ht="24" customHeight="1" x14ac:dyDescent="0.5">
      <c r="A367" s="81"/>
      <c r="B367" s="81"/>
      <c r="C367" s="81"/>
      <c r="D367" s="81"/>
      <c r="E367" s="81"/>
      <c r="F367" s="81"/>
      <c r="G367" s="105"/>
      <c r="H367" s="81"/>
      <c r="I367" s="81"/>
      <c r="J367" s="81"/>
      <c r="K367" s="105"/>
      <c r="L367" s="81"/>
      <c r="M367" s="81"/>
      <c r="N367" s="81"/>
      <c r="O367" s="81"/>
      <c r="P367" s="81"/>
      <c r="Q367" s="81"/>
      <c r="R367" s="105"/>
      <c r="S367" s="81"/>
      <c r="T367" s="81"/>
      <c r="U367" s="81"/>
      <c r="V367" s="105"/>
      <c r="W367" s="81"/>
      <c r="X367" s="81"/>
      <c r="Y367" s="105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105"/>
      <c r="AM367" s="81"/>
      <c r="AN367" s="81"/>
      <c r="AO367" s="81"/>
      <c r="AP367" s="81"/>
      <c r="AQ367" s="81"/>
      <c r="AR367" s="81"/>
      <c r="AS367" s="81"/>
      <c r="AT367" s="81"/>
      <c r="AU367" s="81"/>
    </row>
    <row r="368" spans="1:47" ht="24" customHeight="1" x14ac:dyDescent="0.5">
      <c r="A368" s="81"/>
      <c r="B368" s="81"/>
      <c r="C368" s="81"/>
      <c r="D368" s="81"/>
      <c r="E368" s="81"/>
      <c r="F368" s="81"/>
      <c r="G368" s="105"/>
      <c r="H368" s="81"/>
      <c r="I368" s="81"/>
      <c r="J368" s="81"/>
      <c r="K368" s="105"/>
      <c r="L368" s="81"/>
      <c r="M368" s="81"/>
      <c r="N368" s="81"/>
      <c r="O368" s="81"/>
      <c r="P368" s="81"/>
      <c r="Q368" s="81"/>
      <c r="R368" s="105"/>
      <c r="S368" s="81"/>
      <c r="T368" s="81"/>
      <c r="U368" s="81"/>
      <c r="V368" s="105"/>
      <c r="W368" s="81"/>
      <c r="X368" s="81"/>
      <c r="Y368" s="105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105"/>
      <c r="AM368" s="81"/>
      <c r="AN368" s="81"/>
      <c r="AO368" s="81"/>
      <c r="AP368" s="81"/>
      <c r="AQ368" s="81"/>
      <c r="AR368" s="81"/>
      <c r="AS368" s="81"/>
      <c r="AT368" s="81"/>
      <c r="AU368" s="81"/>
    </row>
    <row r="369" spans="1:47" ht="24" customHeight="1" x14ac:dyDescent="0.5">
      <c r="A369" s="81"/>
      <c r="B369" s="81"/>
      <c r="C369" s="81"/>
      <c r="D369" s="81"/>
      <c r="E369" s="81"/>
      <c r="F369" s="81"/>
      <c r="G369" s="105"/>
      <c r="H369" s="81"/>
      <c r="I369" s="81"/>
      <c r="J369" s="81"/>
      <c r="K369" s="105"/>
      <c r="L369" s="81"/>
      <c r="M369" s="81"/>
      <c r="N369" s="81"/>
      <c r="O369" s="81"/>
      <c r="P369" s="81"/>
      <c r="Q369" s="81"/>
      <c r="R369" s="105"/>
      <c r="S369" s="81"/>
      <c r="T369" s="81"/>
      <c r="U369" s="81"/>
      <c r="V369" s="105"/>
      <c r="W369" s="81"/>
      <c r="X369" s="81"/>
      <c r="Y369" s="105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105"/>
      <c r="AM369" s="81"/>
      <c r="AN369" s="81"/>
      <c r="AO369" s="81"/>
      <c r="AP369" s="81"/>
      <c r="AQ369" s="81"/>
      <c r="AR369" s="81"/>
      <c r="AS369" s="81"/>
      <c r="AT369" s="81"/>
      <c r="AU369" s="81"/>
    </row>
    <row r="370" spans="1:47" ht="24" customHeight="1" x14ac:dyDescent="0.5">
      <c r="A370" s="81"/>
      <c r="B370" s="81"/>
      <c r="C370" s="81"/>
      <c r="D370" s="81"/>
      <c r="E370" s="81"/>
      <c r="F370" s="81"/>
      <c r="G370" s="105"/>
      <c r="H370" s="81"/>
      <c r="I370" s="81"/>
      <c r="J370" s="81"/>
      <c r="K370" s="105"/>
      <c r="L370" s="81"/>
      <c r="M370" s="81"/>
      <c r="N370" s="81"/>
      <c r="O370" s="81"/>
      <c r="P370" s="81"/>
      <c r="Q370" s="81"/>
      <c r="R370" s="105"/>
      <c r="S370" s="81"/>
      <c r="T370" s="81"/>
      <c r="U370" s="81"/>
      <c r="V370" s="105"/>
      <c r="W370" s="81"/>
      <c r="X370" s="81"/>
      <c r="Y370" s="105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105"/>
      <c r="AM370" s="81"/>
      <c r="AN370" s="81"/>
      <c r="AO370" s="81"/>
      <c r="AP370" s="81"/>
      <c r="AQ370" s="81"/>
      <c r="AR370" s="81"/>
      <c r="AS370" s="81"/>
      <c r="AT370" s="81"/>
      <c r="AU370" s="81"/>
    </row>
    <row r="371" spans="1:47" ht="24" customHeight="1" x14ac:dyDescent="0.5">
      <c r="A371" s="81"/>
      <c r="B371" s="81"/>
      <c r="C371" s="81"/>
      <c r="D371" s="81"/>
      <c r="E371" s="81"/>
      <c r="F371" s="81"/>
      <c r="G371" s="105"/>
      <c r="H371" s="81"/>
      <c r="I371" s="81"/>
      <c r="J371" s="81"/>
      <c r="K371" s="105"/>
      <c r="L371" s="81"/>
      <c r="M371" s="81"/>
      <c r="N371" s="81"/>
      <c r="O371" s="81"/>
      <c r="P371" s="81"/>
      <c r="Q371" s="81"/>
      <c r="R371" s="105"/>
      <c r="S371" s="81"/>
      <c r="T371" s="81"/>
      <c r="U371" s="81"/>
      <c r="V371" s="105"/>
      <c r="W371" s="81"/>
      <c r="X371" s="81"/>
      <c r="Y371" s="105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105"/>
      <c r="AM371" s="81"/>
      <c r="AN371" s="81"/>
      <c r="AO371" s="81"/>
      <c r="AP371" s="81"/>
      <c r="AQ371" s="81"/>
      <c r="AR371" s="81"/>
      <c r="AS371" s="81"/>
      <c r="AT371" s="81"/>
      <c r="AU371" s="81"/>
    </row>
    <row r="372" spans="1:47" ht="24" customHeight="1" x14ac:dyDescent="0.5">
      <c r="A372" s="81"/>
      <c r="B372" s="81"/>
      <c r="C372" s="81"/>
      <c r="D372" s="81"/>
      <c r="E372" s="81"/>
      <c r="F372" s="81"/>
      <c r="G372" s="105"/>
      <c r="H372" s="81"/>
      <c r="I372" s="81"/>
      <c r="J372" s="81"/>
      <c r="K372" s="105"/>
      <c r="L372" s="81"/>
      <c r="M372" s="81"/>
      <c r="N372" s="81"/>
      <c r="O372" s="81"/>
      <c r="P372" s="81"/>
      <c r="Q372" s="81"/>
      <c r="R372" s="105"/>
      <c r="S372" s="81"/>
      <c r="T372" s="81"/>
      <c r="U372" s="81"/>
      <c r="V372" s="105"/>
      <c r="W372" s="81"/>
      <c r="X372" s="81"/>
      <c r="Y372" s="105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105"/>
      <c r="AM372" s="81"/>
      <c r="AN372" s="81"/>
      <c r="AO372" s="81"/>
      <c r="AP372" s="81"/>
      <c r="AQ372" s="81"/>
      <c r="AR372" s="81"/>
      <c r="AS372" s="81"/>
      <c r="AT372" s="81"/>
      <c r="AU372" s="81"/>
    </row>
    <row r="373" spans="1:47" ht="24" customHeight="1" x14ac:dyDescent="0.5">
      <c r="A373" s="81"/>
      <c r="B373" s="81"/>
      <c r="C373" s="81"/>
      <c r="D373" s="81"/>
      <c r="E373" s="81"/>
      <c r="F373" s="81"/>
      <c r="G373" s="105"/>
      <c r="H373" s="81"/>
      <c r="I373" s="81"/>
      <c r="J373" s="81"/>
      <c r="K373" s="105"/>
      <c r="L373" s="81"/>
      <c r="M373" s="81"/>
      <c r="N373" s="81"/>
      <c r="O373" s="81"/>
      <c r="P373" s="81"/>
      <c r="Q373" s="81"/>
      <c r="R373" s="105"/>
      <c r="S373" s="81"/>
      <c r="T373" s="81"/>
      <c r="U373" s="81"/>
      <c r="V373" s="105"/>
      <c r="W373" s="81"/>
      <c r="X373" s="81"/>
      <c r="Y373" s="105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105"/>
      <c r="AM373" s="81"/>
      <c r="AN373" s="81"/>
      <c r="AO373" s="81"/>
      <c r="AP373" s="81"/>
      <c r="AQ373" s="81"/>
      <c r="AR373" s="81"/>
      <c r="AS373" s="81"/>
      <c r="AT373" s="81"/>
      <c r="AU373" s="81"/>
    </row>
    <row r="374" spans="1:47" ht="24" customHeight="1" x14ac:dyDescent="0.5">
      <c r="A374" s="81"/>
      <c r="B374" s="81"/>
      <c r="C374" s="81"/>
      <c r="D374" s="81"/>
      <c r="E374" s="81"/>
      <c r="F374" s="81"/>
      <c r="G374" s="105"/>
      <c r="H374" s="81"/>
      <c r="I374" s="81"/>
      <c r="J374" s="81"/>
      <c r="K374" s="105"/>
      <c r="L374" s="81"/>
      <c r="M374" s="81"/>
      <c r="N374" s="81"/>
      <c r="O374" s="81"/>
      <c r="P374" s="81"/>
      <c r="Q374" s="81"/>
      <c r="R374" s="105"/>
      <c r="S374" s="81"/>
      <c r="T374" s="81"/>
      <c r="U374" s="81"/>
      <c r="V374" s="105"/>
      <c r="W374" s="81"/>
      <c r="X374" s="81"/>
      <c r="Y374" s="105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105"/>
      <c r="AM374" s="81"/>
      <c r="AN374" s="81"/>
      <c r="AO374" s="81"/>
      <c r="AP374" s="81"/>
      <c r="AQ374" s="81"/>
      <c r="AR374" s="81"/>
      <c r="AS374" s="81"/>
      <c r="AT374" s="81"/>
      <c r="AU374" s="81"/>
    </row>
    <row r="375" spans="1:47" ht="24" customHeight="1" x14ac:dyDescent="0.5">
      <c r="A375" s="81"/>
      <c r="B375" s="81"/>
      <c r="C375" s="81"/>
      <c r="D375" s="81"/>
      <c r="E375" s="81"/>
      <c r="F375" s="81"/>
      <c r="G375" s="105"/>
      <c r="H375" s="81"/>
      <c r="I375" s="81"/>
      <c r="J375" s="81"/>
      <c r="K375" s="105"/>
      <c r="L375" s="81"/>
      <c r="M375" s="81"/>
      <c r="N375" s="81"/>
      <c r="O375" s="81"/>
      <c r="P375" s="81"/>
      <c r="Q375" s="81"/>
      <c r="R375" s="105"/>
      <c r="S375" s="81"/>
      <c r="T375" s="81"/>
      <c r="U375" s="81"/>
      <c r="V375" s="105"/>
      <c r="W375" s="81"/>
      <c r="X375" s="81"/>
      <c r="Y375" s="105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105"/>
      <c r="AM375" s="81"/>
      <c r="AN375" s="81"/>
      <c r="AO375" s="81"/>
      <c r="AP375" s="81"/>
      <c r="AQ375" s="81"/>
      <c r="AR375" s="81"/>
      <c r="AS375" s="81"/>
      <c r="AT375" s="81"/>
      <c r="AU375" s="81"/>
    </row>
    <row r="376" spans="1:47" ht="24" customHeight="1" x14ac:dyDescent="0.5">
      <c r="A376" s="81"/>
      <c r="B376" s="81"/>
      <c r="C376" s="81"/>
      <c r="D376" s="81"/>
      <c r="E376" s="81"/>
      <c r="F376" s="81"/>
      <c r="G376" s="105"/>
      <c r="H376" s="81"/>
      <c r="I376" s="81"/>
      <c r="J376" s="81"/>
      <c r="K376" s="105"/>
      <c r="L376" s="81"/>
      <c r="M376" s="81"/>
      <c r="N376" s="81"/>
      <c r="O376" s="81"/>
      <c r="P376" s="81"/>
      <c r="Q376" s="81"/>
      <c r="R376" s="105"/>
      <c r="S376" s="81"/>
      <c r="T376" s="81"/>
      <c r="U376" s="81"/>
      <c r="V376" s="105"/>
      <c r="W376" s="81"/>
      <c r="X376" s="81"/>
      <c r="Y376" s="105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105"/>
      <c r="AM376" s="81"/>
      <c r="AN376" s="81"/>
      <c r="AO376" s="81"/>
      <c r="AP376" s="81"/>
      <c r="AQ376" s="81"/>
      <c r="AR376" s="81"/>
      <c r="AS376" s="81"/>
      <c r="AT376" s="81"/>
      <c r="AU376" s="81"/>
    </row>
    <row r="377" spans="1:47" ht="24" customHeight="1" x14ac:dyDescent="0.5">
      <c r="A377" s="81"/>
      <c r="B377" s="81"/>
      <c r="C377" s="81"/>
      <c r="D377" s="81"/>
      <c r="E377" s="81"/>
      <c r="F377" s="81"/>
      <c r="G377" s="105"/>
      <c r="H377" s="81"/>
      <c r="I377" s="81"/>
      <c r="J377" s="81"/>
      <c r="K377" s="105"/>
      <c r="L377" s="81"/>
      <c r="M377" s="81"/>
      <c r="N377" s="81"/>
      <c r="O377" s="81"/>
      <c r="P377" s="81"/>
      <c r="Q377" s="81"/>
      <c r="R377" s="105"/>
      <c r="S377" s="81"/>
      <c r="T377" s="81"/>
      <c r="U377" s="81"/>
      <c r="V377" s="105"/>
      <c r="W377" s="81"/>
      <c r="X377" s="81"/>
      <c r="Y377" s="105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105"/>
      <c r="AM377" s="81"/>
      <c r="AN377" s="81"/>
      <c r="AO377" s="81"/>
      <c r="AP377" s="81"/>
      <c r="AQ377" s="81"/>
      <c r="AR377" s="81"/>
      <c r="AS377" s="81"/>
      <c r="AT377" s="81"/>
      <c r="AU377" s="81"/>
    </row>
    <row r="378" spans="1:47" ht="24" customHeight="1" x14ac:dyDescent="0.5">
      <c r="A378" s="81"/>
      <c r="B378" s="81"/>
      <c r="C378" s="81"/>
      <c r="D378" s="81"/>
      <c r="E378" s="81"/>
      <c r="F378" s="81"/>
      <c r="G378" s="105"/>
      <c r="H378" s="81"/>
      <c r="I378" s="81"/>
      <c r="J378" s="81"/>
      <c r="K378" s="105"/>
      <c r="L378" s="81"/>
      <c r="M378" s="81"/>
      <c r="N378" s="81"/>
      <c r="O378" s="81"/>
      <c r="P378" s="81"/>
      <c r="Q378" s="81"/>
      <c r="R378" s="105"/>
      <c r="S378" s="81"/>
      <c r="T378" s="81"/>
      <c r="U378" s="81"/>
      <c r="V378" s="105"/>
      <c r="W378" s="81"/>
      <c r="X378" s="81"/>
      <c r="Y378" s="105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105"/>
      <c r="AM378" s="81"/>
      <c r="AN378" s="81"/>
      <c r="AO378" s="81"/>
      <c r="AP378" s="81"/>
      <c r="AQ378" s="81"/>
      <c r="AR378" s="81"/>
      <c r="AS378" s="81"/>
      <c r="AT378" s="81"/>
      <c r="AU378" s="81"/>
    </row>
    <row r="379" spans="1:47" ht="24" customHeight="1" x14ac:dyDescent="0.5">
      <c r="A379" s="81"/>
      <c r="B379" s="81"/>
      <c r="C379" s="81"/>
      <c r="D379" s="81"/>
      <c r="E379" s="81"/>
      <c r="F379" s="81"/>
      <c r="G379" s="105"/>
      <c r="H379" s="81"/>
      <c r="I379" s="81"/>
      <c r="J379" s="81"/>
      <c r="K379" s="105"/>
      <c r="L379" s="81"/>
      <c r="M379" s="81"/>
      <c r="N379" s="81"/>
      <c r="O379" s="81"/>
      <c r="P379" s="81"/>
      <c r="Q379" s="81"/>
      <c r="R379" s="105"/>
      <c r="S379" s="81"/>
      <c r="T379" s="81"/>
      <c r="U379" s="81"/>
      <c r="V379" s="105"/>
      <c r="W379" s="81"/>
      <c r="X379" s="81"/>
      <c r="Y379" s="105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105"/>
      <c r="AM379" s="81"/>
      <c r="AN379" s="81"/>
      <c r="AO379" s="81"/>
      <c r="AP379" s="81"/>
      <c r="AQ379" s="81"/>
      <c r="AR379" s="81"/>
      <c r="AS379" s="81"/>
      <c r="AT379" s="81"/>
      <c r="AU379" s="81"/>
    </row>
    <row r="380" spans="1:47" ht="24" customHeight="1" x14ac:dyDescent="0.5">
      <c r="A380" s="81"/>
      <c r="B380" s="81"/>
      <c r="C380" s="81"/>
      <c r="D380" s="81"/>
      <c r="E380" s="81"/>
      <c r="F380" s="81"/>
      <c r="G380" s="105"/>
      <c r="H380" s="81"/>
      <c r="I380" s="81"/>
      <c r="J380" s="81"/>
      <c r="K380" s="105"/>
      <c r="L380" s="81"/>
      <c r="M380" s="81"/>
      <c r="N380" s="81"/>
      <c r="O380" s="81"/>
      <c r="P380" s="81"/>
      <c r="Q380" s="81"/>
      <c r="R380" s="105"/>
      <c r="S380" s="81"/>
      <c r="T380" s="81"/>
      <c r="U380" s="81"/>
      <c r="V380" s="105"/>
      <c r="W380" s="81"/>
      <c r="X380" s="81"/>
      <c r="Y380" s="105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105"/>
      <c r="AM380" s="81"/>
      <c r="AN380" s="81"/>
      <c r="AO380" s="81"/>
      <c r="AP380" s="81"/>
      <c r="AQ380" s="81"/>
      <c r="AR380" s="81"/>
      <c r="AS380" s="81"/>
      <c r="AT380" s="81"/>
      <c r="AU380" s="81"/>
    </row>
    <row r="381" spans="1:47" ht="24" customHeight="1" x14ac:dyDescent="0.5">
      <c r="A381" s="81"/>
      <c r="B381" s="81"/>
      <c r="C381" s="81"/>
      <c r="D381" s="81"/>
      <c r="E381" s="81"/>
      <c r="F381" s="81"/>
      <c r="G381" s="105"/>
      <c r="H381" s="81"/>
      <c r="I381" s="81"/>
      <c r="J381" s="81"/>
      <c r="K381" s="105"/>
      <c r="L381" s="81"/>
      <c r="M381" s="81"/>
      <c r="N381" s="81"/>
      <c r="O381" s="81"/>
      <c r="P381" s="81"/>
      <c r="Q381" s="81"/>
      <c r="R381" s="105"/>
      <c r="S381" s="81"/>
      <c r="T381" s="81"/>
      <c r="U381" s="81"/>
      <c r="V381" s="105"/>
      <c r="W381" s="81"/>
      <c r="X381" s="81"/>
      <c r="Y381" s="105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105"/>
      <c r="AM381" s="81"/>
      <c r="AN381" s="81"/>
      <c r="AO381" s="81"/>
      <c r="AP381" s="81"/>
      <c r="AQ381" s="81"/>
      <c r="AR381" s="81"/>
      <c r="AS381" s="81"/>
      <c r="AT381" s="81"/>
      <c r="AU381" s="81"/>
    </row>
    <row r="382" spans="1:47" ht="24" customHeight="1" x14ac:dyDescent="0.5">
      <c r="A382" s="81"/>
      <c r="B382" s="81"/>
      <c r="C382" s="81"/>
      <c r="D382" s="81"/>
      <c r="E382" s="81"/>
      <c r="F382" s="81"/>
      <c r="G382" s="105"/>
      <c r="H382" s="81"/>
      <c r="I382" s="81"/>
      <c r="J382" s="81"/>
      <c r="K382" s="105"/>
      <c r="L382" s="81"/>
      <c r="M382" s="81"/>
      <c r="N382" s="81"/>
      <c r="O382" s="81"/>
      <c r="P382" s="81"/>
      <c r="Q382" s="81"/>
      <c r="R382" s="105"/>
      <c r="S382" s="81"/>
      <c r="T382" s="81"/>
      <c r="U382" s="81"/>
      <c r="V382" s="105"/>
      <c r="W382" s="81"/>
      <c r="X382" s="81"/>
      <c r="Y382" s="105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105"/>
      <c r="AM382" s="81"/>
      <c r="AN382" s="81"/>
      <c r="AO382" s="81"/>
      <c r="AP382" s="81"/>
      <c r="AQ382" s="81"/>
      <c r="AR382" s="81"/>
      <c r="AS382" s="81"/>
      <c r="AT382" s="81"/>
      <c r="AU382" s="81"/>
    </row>
    <row r="383" spans="1:47" ht="24" customHeight="1" x14ac:dyDescent="0.5">
      <c r="A383" s="81"/>
      <c r="B383" s="81"/>
      <c r="C383" s="81"/>
      <c r="D383" s="81"/>
      <c r="E383" s="81"/>
      <c r="F383" s="81"/>
      <c r="G383" s="105"/>
      <c r="H383" s="81"/>
      <c r="I383" s="81"/>
      <c r="J383" s="81"/>
      <c r="K383" s="105"/>
      <c r="L383" s="81"/>
      <c r="M383" s="81"/>
      <c r="N383" s="81"/>
      <c r="O383" s="81"/>
      <c r="P383" s="81"/>
      <c r="Q383" s="81"/>
      <c r="R383" s="105"/>
      <c r="S383" s="81"/>
      <c r="T383" s="81"/>
      <c r="U383" s="81"/>
      <c r="V383" s="105"/>
      <c r="W383" s="81"/>
      <c r="X383" s="81"/>
      <c r="Y383" s="105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105"/>
      <c r="AM383" s="81"/>
      <c r="AN383" s="81"/>
      <c r="AO383" s="81"/>
      <c r="AP383" s="81"/>
      <c r="AQ383" s="81"/>
      <c r="AR383" s="81"/>
      <c r="AS383" s="81"/>
      <c r="AT383" s="81"/>
      <c r="AU383" s="81"/>
    </row>
    <row r="384" spans="1:47" ht="24" customHeight="1" x14ac:dyDescent="0.5">
      <c r="A384" s="81"/>
      <c r="B384" s="81"/>
      <c r="C384" s="81"/>
      <c r="D384" s="81"/>
      <c r="E384" s="81"/>
      <c r="F384" s="81"/>
      <c r="G384" s="105"/>
      <c r="H384" s="81"/>
      <c r="I384" s="81"/>
      <c r="J384" s="81"/>
      <c r="K384" s="105"/>
      <c r="L384" s="81"/>
      <c r="M384" s="81"/>
      <c r="N384" s="81"/>
      <c r="O384" s="81"/>
      <c r="P384" s="81"/>
      <c r="Q384" s="81"/>
      <c r="R384" s="105"/>
      <c r="S384" s="81"/>
      <c r="T384" s="81"/>
      <c r="U384" s="81"/>
      <c r="V384" s="105"/>
      <c r="W384" s="81"/>
      <c r="X384" s="81"/>
      <c r="Y384" s="105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105"/>
      <c r="AM384" s="81"/>
      <c r="AN384" s="81"/>
      <c r="AO384" s="81"/>
      <c r="AP384" s="81"/>
      <c r="AQ384" s="81"/>
      <c r="AR384" s="81"/>
      <c r="AS384" s="81"/>
      <c r="AT384" s="81"/>
      <c r="AU384" s="81"/>
    </row>
    <row r="385" spans="1:47" ht="24" customHeight="1" x14ac:dyDescent="0.5">
      <c r="A385" s="81"/>
      <c r="B385" s="81"/>
      <c r="C385" s="81"/>
      <c r="D385" s="81"/>
      <c r="E385" s="81"/>
      <c r="F385" s="81"/>
      <c r="G385" s="105"/>
      <c r="H385" s="81"/>
      <c r="I385" s="81"/>
      <c r="J385" s="81"/>
      <c r="K385" s="105"/>
      <c r="L385" s="81"/>
      <c r="M385" s="81"/>
      <c r="N385" s="81"/>
      <c r="O385" s="81"/>
      <c r="P385" s="81"/>
      <c r="Q385" s="81"/>
      <c r="R385" s="105"/>
      <c r="S385" s="81"/>
      <c r="T385" s="81"/>
      <c r="U385" s="81"/>
      <c r="V385" s="105"/>
      <c r="W385" s="81"/>
      <c r="X385" s="81"/>
      <c r="Y385" s="105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105"/>
      <c r="AM385" s="81"/>
      <c r="AN385" s="81"/>
      <c r="AO385" s="81"/>
      <c r="AP385" s="81"/>
      <c r="AQ385" s="81"/>
      <c r="AR385" s="81"/>
      <c r="AS385" s="81"/>
      <c r="AT385" s="81"/>
      <c r="AU385" s="81"/>
    </row>
    <row r="386" spans="1:47" ht="24" customHeight="1" x14ac:dyDescent="0.5">
      <c r="A386" s="81"/>
      <c r="B386" s="81"/>
      <c r="C386" s="81"/>
      <c r="D386" s="81"/>
      <c r="E386" s="81"/>
      <c r="F386" s="81"/>
      <c r="G386" s="105"/>
      <c r="H386" s="81"/>
      <c r="I386" s="81"/>
      <c r="J386" s="81"/>
      <c r="K386" s="105"/>
      <c r="L386" s="81"/>
      <c r="M386" s="81"/>
      <c r="N386" s="81"/>
      <c r="O386" s="81"/>
      <c r="P386" s="81"/>
      <c r="Q386" s="81"/>
      <c r="R386" s="105"/>
      <c r="S386" s="81"/>
      <c r="T386" s="81"/>
      <c r="U386" s="81"/>
      <c r="V386" s="105"/>
      <c r="W386" s="81"/>
      <c r="X386" s="81"/>
      <c r="Y386" s="105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105"/>
      <c r="AM386" s="81"/>
      <c r="AN386" s="81"/>
      <c r="AO386" s="81"/>
      <c r="AP386" s="81"/>
      <c r="AQ386" s="81"/>
      <c r="AR386" s="81"/>
      <c r="AS386" s="81"/>
      <c r="AT386" s="81"/>
      <c r="AU386" s="81"/>
    </row>
    <row r="387" spans="1:47" ht="24" customHeight="1" x14ac:dyDescent="0.5">
      <c r="A387" s="81"/>
      <c r="B387" s="81"/>
      <c r="C387" s="81"/>
      <c r="D387" s="81"/>
      <c r="E387" s="81"/>
      <c r="F387" s="81"/>
      <c r="G387" s="105"/>
      <c r="H387" s="81"/>
      <c r="I387" s="81"/>
      <c r="J387" s="81"/>
      <c r="K387" s="105"/>
      <c r="L387" s="81"/>
      <c r="M387" s="81"/>
      <c r="N387" s="81"/>
      <c r="O387" s="81"/>
      <c r="P387" s="81"/>
      <c r="Q387" s="81"/>
      <c r="R387" s="105"/>
      <c r="S387" s="81"/>
      <c r="T387" s="81"/>
      <c r="U387" s="81"/>
      <c r="V387" s="105"/>
      <c r="W387" s="81"/>
      <c r="X387" s="81"/>
      <c r="Y387" s="105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105"/>
      <c r="AM387" s="81"/>
      <c r="AN387" s="81"/>
      <c r="AO387" s="81"/>
      <c r="AP387" s="81"/>
      <c r="AQ387" s="81"/>
      <c r="AR387" s="81"/>
      <c r="AS387" s="81"/>
      <c r="AT387" s="81"/>
      <c r="AU387" s="81"/>
    </row>
    <row r="388" spans="1:47" ht="24" customHeight="1" x14ac:dyDescent="0.5">
      <c r="A388" s="81"/>
      <c r="B388" s="81"/>
      <c r="C388" s="81"/>
      <c r="D388" s="81"/>
      <c r="E388" s="81"/>
      <c r="F388" s="81"/>
      <c r="G388" s="105"/>
      <c r="H388" s="81"/>
      <c r="I388" s="81"/>
      <c r="J388" s="81"/>
      <c r="K388" s="105"/>
      <c r="L388" s="81"/>
      <c r="M388" s="81"/>
      <c r="N388" s="81"/>
      <c r="O388" s="81"/>
      <c r="P388" s="81"/>
      <c r="Q388" s="81"/>
      <c r="R388" s="105"/>
      <c r="S388" s="81"/>
      <c r="T388" s="81"/>
      <c r="U388" s="81"/>
      <c r="V388" s="105"/>
      <c r="W388" s="81"/>
      <c r="X388" s="81"/>
      <c r="Y388" s="105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105"/>
      <c r="AM388" s="81"/>
      <c r="AN388" s="81"/>
      <c r="AO388" s="81"/>
      <c r="AP388" s="81"/>
      <c r="AQ388" s="81"/>
      <c r="AR388" s="81"/>
      <c r="AS388" s="81"/>
      <c r="AT388" s="81"/>
      <c r="AU388" s="81"/>
    </row>
    <row r="389" spans="1:47" ht="24" customHeight="1" x14ac:dyDescent="0.5">
      <c r="A389" s="81"/>
      <c r="B389" s="81"/>
      <c r="C389" s="81"/>
      <c r="D389" s="81"/>
      <c r="E389" s="81"/>
      <c r="F389" s="81"/>
      <c r="G389" s="105"/>
      <c r="H389" s="81"/>
      <c r="I389" s="81"/>
      <c r="J389" s="81"/>
      <c r="K389" s="105"/>
      <c r="L389" s="81"/>
      <c r="M389" s="81"/>
      <c r="N389" s="81"/>
      <c r="O389" s="81"/>
      <c r="P389" s="81"/>
      <c r="Q389" s="81"/>
      <c r="R389" s="105"/>
      <c r="S389" s="81"/>
      <c r="T389" s="81"/>
      <c r="U389" s="81"/>
      <c r="V389" s="105"/>
      <c r="W389" s="81"/>
      <c r="X389" s="81"/>
      <c r="Y389" s="105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105"/>
      <c r="AM389" s="81"/>
      <c r="AN389" s="81"/>
      <c r="AO389" s="81"/>
      <c r="AP389" s="81"/>
      <c r="AQ389" s="81"/>
      <c r="AR389" s="81"/>
      <c r="AS389" s="81"/>
      <c r="AT389" s="81"/>
      <c r="AU389" s="81"/>
    </row>
    <row r="390" spans="1:47" ht="24" customHeight="1" x14ac:dyDescent="0.5">
      <c r="A390" s="81"/>
      <c r="B390" s="81"/>
      <c r="C390" s="81"/>
      <c r="D390" s="81"/>
      <c r="E390" s="81"/>
      <c r="F390" s="81"/>
      <c r="G390" s="105"/>
      <c r="H390" s="81"/>
      <c r="I390" s="81"/>
      <c r="J390" s="81"/>
      <c r="K390" s="105"/>
      <c r="L390" s="81"/>
      <c r="M390" s="81"/>
      <c r="N390" s="81"/>
      <c r="O390" s="81"/>
      <c r="P390" s="81"/>
      <c r="Q390" s="81"/>
      <c r="R390" s="105"/>
      <c r="S390" s="81"/>
      <c r="T390" s="81"/>
      <c r="U390" s="81"/>
      <c r="V390" s="105"/>
      <c r="W390" s="81"/>
      <c r="X390" s="81"/>
      <c r="Y390" s="105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105"/>
      <c r="AM390" s="81"/>
      <c r="AN390" s="81"/>
      <c r="AO390" s="81"/>
      <c r="AP390" s="81"/>
      <c r="AQ390" s="81"/>
      <c r="AR390" s="81"/>
      <c r="AS390" s="81"/>
      <c r="AT390" s="81"/>
      <c r="AU390" s="81"/>
    </row>
    <row r="391" spans="1:47" ht="24" customHeight="1" x14ac:dyDescent="0.5">
      <c r="A391" s="81"/>
      <c r="B391" s="81"/>
      <c r="C391" s="81"/>
      <c r="D391" s="81"/>
      <c r="E391" s="81"/>
      <c r="F391" s="81"/>
      <c r="G391" s="105"/>
      <c r="H391" s="81"/>
      <c r="I391" s="81"/>
      <c r="J391" s="81"/>
      <c r="K391" s="105"/>
      <c r="L391" s="81"/>
      <c r="M391" s="81"/>
      <c r="N391" s="81"/>
      <c r="O391" s="81"/>
      <c r="P391" s="81"/>
      <c r="Q391" s="81"/>
      <c r="R391" s="105"/>
      <c r="S391" s="81"/>
      <c r="T391" s="81"/>
      <c r="U391" s="81"/>
      <c r="V391" s="105"/>
      <c r="W391" s="81"/>
      <c r="X391" s="81"/>
      <c r="Y391" s="105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105"/>
      <c r="AM391" s="81"/>
      <c r="AN391" s="81"/>
      <c r="AO391" s="81"/>
      <c r="AP391" s="81"/>
      <c r="AQ391" s="81"/>
      <c r="AR391" s="81"/>
      <c r="AS391" s="81"/>
      <c r="AT391" s="81"/>
      <c r="AU391" s="81"/>
    </row>
    <row r="392" spans="1:47" ht="24" customHeight="1" x14ac:dyDescent="0.5">
      <c r="A392" s="81"/>
      <c r="B392" s="81"/>
      <c r="C392" s="81"/>
      <c r="D392" s="81"/>
      <c r="E392" s="81"/>
      <c r="F392" s="81"/>
      <c r="G392" s="105"/>
      <c r="H392" s="81"/>
      <c r="I392" s="81"/>
      <c r="J392" s="81"/>
      <c r="K392" s="105"/>
      <c r="L392" s="81"/>
      <c r="M392" s="81"/>
      <c r="N392" s="81"/>
      <c r="O392" s="81"/>
      <c r="P392" s="81"/>
      <c r="Q392" s="81"/>
      <c r="R392" s="105"/>
      <c r="S392" s="81"/>
      <c r="T392" s="81"/>
      <c r="U392" s="81"/>
      <c r="V392" s="105"/>
      <c r="W392" s="81"/>
      <c r="X392" s="81"/>
      <c r="Y392" s="105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105"/>
      <c r="AM392" s="81"/>
      <c r="AN392" s="81"/>
      <c r="AO392" s="81"/>
      <c r="AP392" s="81"/>
      <c r="AQ392" s="81"/>
      <c r="AR392" s="81"/>
      <c r="AS392" s="81"/>
      <c r="AT392" s="81"/>
      <c r="AU392" s="81"/>
    </row>
    <row r="393" spans="1:47" ht="24" customHeight="1" x14ac:dyDescent="0.5">
      <c r="A393" s="81"/>
      <c r="B393" s="81"/>
      <c r="C393" s="81"/>
      <c r="D393" s="81"/>
      <c r="E393" s="81"/>
      <c r="F393" s="81"/>
      <c r="G393" s="105"/>
      <c r="H393" s="81"/>
      <c r="I393" s="81"/>
      <c r="J393" s="81"/>
      <c r="K393" s="105"/>
      <c r="L393" s="81"/>
      <c r="M393" s="81"/>
      <c r="N393" s="81"/>
      <c r="O393" s="81"/>
      <c r="P393" s="81"/>
      <c r="Q393" s="81"/>
      <c r="R393" s="105"/>
      <c r="S393" s="81"/>
      <c r="T393" s="81"/>
      <c r="U393" s="81"/>
      <c r="V393" s="105"/>
      <c r="W393" s="81"/>
      <c r="X393" s="81"/>
      <c r="Y393" s="105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105"/>
      <c r="AM393" s="81"/>
      <c r="AN393" s="81"/>
      <c r="AO393" s="81"/>
      <c r="AP393" s="81"/>
      <c r="AQ393" s="81"/>
      <c r="AR393" s="81"/>
      <c r="AS393" s="81"/>
      <c r="AT393" s="81"/>
      <c r="AU393" s="81"/>
    </row>
    <row r="394" spans="1:47" ht="24" customHeight="1" x14ac:dyDescent="0.5">
      <c r="A394" s="81"/>
      <c r="B394" s="81"/>
      <c r="C394" s="81"/>
      <c r="D394" s="81"/>
      <c r="E394" s="81"/>
      <c r="F394" s="81"/>
      <c r="G394" s="105"/>
      <c r="H394" s="81"/>
      <c r="I394" s="81"/>
      <c r="J394" s="81"/>
      <c r="K394" s="105"/>
      <c r="L394" s="81"/>
      <c r="M394" s="81"/>
      <c r="N394" s="81"/>
      <c r="O394" s="81"/>
      <c r="P394" s="81"/>
      <c r="Q394" s="81"/>
      <c r="R394" s="105"/>
      <c r="S394" s="81"/>
      <c r="T394" s="81"/>
      <c r="U394" s="81"/>
      <c r="V394" s="105"/>
      <c r="W394" s="81"/>
      <c r="X394" s="81"/>
      <c r="Y394" s="105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105"/>
      <c r="AM394" s="81"/>
      <c r="AN394" s="81"/>
      <c r="AO394" s="81"/>
      <c r="AP394" s="81"/>
      <c r="AQ394" s="81"/>
      <c r="AR394" s="81"/>
      <c r="AS394" s="81"/>
      <c r="AT394" s="81"/>
      <c r="AU394" s="81"/>
    </row>
    <row r="395" spans="1:47" ht="24" customHeight="1" x14ac:dyDescent="0.5">
      <c r="A395" s="81"/>
      <c r="B395" s="81"/>
      <c r="C395" s="81"/>
      <c r="D395" s="81"/>
      <c r="E395" s="81"/>
      <c r="F395" s="81"/>
      <c r="G395" s="105"/>
      <c r="H395" s="81"/>
      <c r="I395" s="81"/>
      <c r="J395" s="81"/>
      <c r="K395" s="105"/>
      <c r="L395" s="81"/>
      <c r="M395" s="81"/>
      <c r="N395" s="81"/>
      <c r="O395" s="81"/>
      <c r="P395" s="81"/>
      <c r="Q395" s="81"/>
      <c r="R395" s="105"/>
      <c r="S395" s="81"/>
      <c r="T395" s="81"/>
      <c r="U395" s="81"/>
      <c r="V395" s="105"/>
      <c r="W395" s="81"/>
      <c r="X395" s="81"/>
      <c r="Y395" s="105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105"/>
      <c r="AM395" s="81"/>
      <c r="AN395" s="81"/>
      <c r="AO395" s="81"/>
      <c r="AP395" s="81"/>
      <c r="AQ395" s="81"/>
      <c r="AR395" s="81"/>
      <c r="AS395" s="81"/>
      <c r="AT395" s="81"/>
      <c r="AU395" s="81"/>
    </row>
    <row r="396" spans="1:47" ht="24" customHeight="1" x14ac:dyDescent="0.5">
      <c r="A396" s="81"/>
      <c r="B396" s="81"/>
      <c r="C396" s="81"/>
      <c r="D396" s="81"/>
      <c r="E396" s="81"/>
      <c r="F396" s="81"/>
      <c r="G396" s="105"/>
      <c r="H396" s="81"/>
      <c r="I396" s="81"/>
      <c r="J396" s="81"/>
      <c r="K396" s="105"/>
      <c r="L396" s="81"/>
      <c r="M396" s="81"/>
      <c r="N396" s="81"/>
      <c r="O396" s="81"/>
      <c r="P396" s="81"/>
      <c r="Q396" s="81"/>
      <c r="R396" s="105"/>
      <c r="S396" s="81"/>
      <c r="T396" s="81"/>
      <c r="U396" s="81"/>
      <c r="V396" s="105"/>
      <c r="W396" s="81"/>
      <c r="X396" s="81"/>
      <c r="Y396" s="105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105"/>
      <c r="AM396" s="81"/>
      <c r="AN396" s="81"/>
      <c r="AO396" s="81"/>
      <c r="AP396" s="81"/>
      <c r="AQ396" s="81"/>
      <c r="AR396" s="81"/>
      <c r="AS396" s="81"/>
      <c r="AT396" s="81"/>
      <c r="AU396" s="81"/>
    </row>
    <row r="397" spans="1:47" ht="24" customHeight="1" x14ac:dyDescent="0.5">
      <c r="A397" s="81"/>
      <c r="B397" s="81"/>
      <c r="C397" s="81"/>
      <c r="D397" s="81"/>
      <c r="E397" s="81"/>
      <c r="F397" s="81"/>
      <c r="G397" s="105"/>
      <c r="H397" s="81"/>
      <c r="I397" s="81"/>
      <c r="J397" s="81"/>
      <c r="K397" s="105"/>
      <c r="L397" s="81"/>
      <c r="M397" s="81"/>
      <c r="N397" s="81"/>
      <c r="O397" s="81"/>
      <c r="P397" s="81"/>
      <c r="Q397" s="81"/>
      <c r="R397" s="105"/>
      <c r="S397" s="81"/>
      <c r="T397" s="81"/>
      <c r="U397" s="81"/>
      <c r="V397" s="105"/>
      <c r="W397" s="81"/>
      <c r="X397" s="81"/>
      <c r="Y397" s="105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105"/>
      <c r="AM397" s="81"/>
      <c r="AN397" s="81"/>
      <c r="AO397" s="81"/>
      <c r="AP397" s="81"/>
      <c r="AQ397" s="81"/>
      <c r="AR397" s="81"/>
      <c r="AS397" s="81"/>
      <c r="AT397" s="81"/>
      <c r="AU397" s="81"/>
    </row>
    <row r="398" spans="1:47" ht="24" customHeight="1" x14ac:dyDescent="0.5">
      <c r="A398" s="81"/>
      <c r="B398" s="81"/>
      <c r="C398" s="81"/>
      <c r="D398" s="81"/>
      <c r="E398" s="81"/>
      <c r="F398" s="81"/>
      <c r="G398" s="105"/>
      <c r="H398" s="81"/>
      <c r="I398" s="81"/>
      <c r="J398" s="81"/>
      <c r="K398" s="105"/>
      <c r="L398" s="81"/>
      <c r="M398" s="81"/>
      <c r="N398" s="81"/>
      <c r="O398" s="81"/>
      <c r="P398" s="81"/>
      <c r="Q398" s="81"/>
      <c r="R398" s="105"/>
      <c r="S398" s="81"/>
      <c r="T398" s="81"/>
      <c r="U398" s="81"/>
      <c r="V398" s="105"/>
      <c r="W398" s="81"/>
      <c r="X398" s="81"/>
      <c r="Y398" s="105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105"/>
      <c r="AM398" s="81"/>
      <c r="AN398" s="81"/>
      <c r="AO398" s="81"/>
      <c r="AP398" s="81"/>
      <c r="AQ398" s="81"/>
      <c r="AR398" s="81"/>
      <c r="AS398" s="81"/>
      <c r="AT398" s="81"/>
      <c r="AU398" s="81"/>
    </row>
    <row r="399" spans="1:47" ht="24" customHeight="1" x14ac:dyDescent="0.5">
      <c r="A399" s="81"/>
      <c r="B399" s="81"/>
      <c r="C399" s="81"/>
      <c r="D399" s="81"/>
      <c r="E399" s="81"/>
      <c r="F399" s="81"/>
      <c r="G399" s="105"/>
      <c r="H399" s="81"/>
      <c r="I399" s="81"/>
      <c r="J399" s="81"/>
      <c r="K399" s="105"/>
      <c r="L399" s="81"/>
      <c r="M399" s="81"/>
      <c r="N399" s="81"/>
      <c r="O399" s="81"/>
      <c r="P399" s="81"/>
      <c r="Q399" s="81"/>
      <c r="R399" s="105"/>
      <c r="S399" s="81"/>
      <c r="T399" s="81"/>
      <c r="U399" s="81"/>
      <c r="V399" s="105"/>
      <c r="W399" s="81"/>
      <c r="X399" s="81"/>
      <c r="Y399" s="105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105"/>
      <c r="AM399" s="81"/>
      <c r="AN399" s="81"/>
      <c r="AO399" s="81"/>
      <c r="AP399" s="81"/>
      <c r="AQ399" s="81"/>
      <c r="AR399" s="81"/>
      <c r="AS399" s="81"/>
      <c r="AT399" s="81"/>
      <c r="AU399" s="81"/>
    </row>
    <row r="400" spans="1:47" ht="24" customHeight="1" x14ac:dyDescent="0.5">
      <c r="A400" s="81"/>
      <c r="B400" s="81"/>
      <c r="C400" s="81"/>
      <c r="D400" s="81"/>
      <c r="E400" s="81"/>
      <c r="F400" s="81"/>
      <c r="G400" s="105"/>
      <c r="H400" s="81"/>
      <c r="I400" s="81"/>
      <c r="J400" s="81"/>
      <c r="K400" s="105"/>
      <c r="L400" s="81"/>
      <c r="M400" s="81"/>
      <c r="N400" s="81"/>
      <c r="O400" s="81"/>
      <c r="P400" s="81"/>
      <c r="Q400" s="81"/>
      <c r="R400" s="105"/>
      <c r="S400" s="81"/>
      <c r="T400" s="81"/>
      <c r="U400" s="81"/>
      <c r="V400" s="105"/>
      <c r="W400" s="81"/>
      <c r="X400" s="81"/>
      <c r="Y400" s="105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105"/>
      <c r="AM400" s="81"/>
      <c r="AN400" s="81"/>
      <c r="AO400" s="81"/>
      <c r="AP400" s="81"/>
      <c r="AQ400" s="81"/>
      <c r="AR400" s="81"/>
      <c r="AS400" s="81"/>
      <c r="AT400" s="81"/>
      <c r="AU400" s="81"/>
    </row>
    <row r="401" spans="1:47" ht="24" customHeight="1" x14ac:dyDescent="0.5">
      <c r="A401" s="81"/>
      <c r="B401" s="81"/>
      <c r="C401" s="81"/>
      <c r="D401" s="81"/>
      <c r="E401" s="81"/>
      <c r="F401" s="81"/>
      <c r="G401" s="105"/>
      <c r="H401" s="81"/>
      <c r="I401" s="81"/>
      <c r="J401" s="81"/>
      <c r="K401" s="105"/>
      <c r="L401" s="81"/>
      <c r="M401" s="81"/>
      <c r="N401" s="81"/>
      <c r="O401" s="81"/>
      <c r="P401" s="81"/>
      <c r="Q401" s="81"/>
      <c r="R401" s="105"/>
      <c r="S401" s="81"/>
      <c r="T401" s="81"/>
      <c r="U401" s="81"/>
      <c r="V401" s="105"/>
      <c r="W401" s="81"/>
      <c r="X401" s="81"/>
      <c r="Y401" s="105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105"/>
      <c r="AM401" s="81"/>
      <c r="AN401" s="81"/>
      <c r="AO401" s="81"/>
      <c r="AP401" s="81"/>
      <c r="AQ401" s="81"/>
      <c r="AR401" s="81"/>
      <c r="AS401" s="81"/>
      <c r="AT401" s="81"/>
      <c r="AU401" s="81"/>
    </row>
    <row r="402" spans="1:47" ht="24" customHeight="1" x14ac:dyDescent="0.5">
      <c r="A402" s="81"/>
      <c r="B402" s="81"/>
      <c r="C402" s="81"/>
      <c r="D402" s="81"/>
      <c r="E402" s="81"/>
      <c r="F402" s="81"/>
      <c r="G402" s="105"/>
      <c r="H402" s="81"/>
      <c r="I402" s="81"/>
      <c r="J402" s="81"/>
      <c r="K402" s="105"/>
      <c r="L402" s="81"/>
      <c r="M402" s="81"/>
      <c r="N402" s="81"/>
      <c r="O402" s="81"/>
      <c r="P402" s="81"/>
      <c r="Q402" s="81"/>
      <c r="R402" s="105"/>
      <c r="S402" s="81"/>
      <c r="T402" s="81"/>
      <c r="U402" s="81"/>
      <c r="V402" s="105"/>
      <c r="W402" s="81"/>
      <c r="X402" s="81"/>
      <c r="Y402" s="105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105"/>
      <c r="AM402" s="81"/>
      <c r="AN402" s="81"/>
      <c r="AO402" s="81"/>
      <c r="AP402" s="81"/>
      <c r="AQ402" s="81"/>
      <c r="AR402" s="81"/>
      <c r="AS402" s="81"/>
      <c r="AT402" s="81"/>
      <c r="AU402" s="81"/>
    </row>
    <row r="403" spans="1:47" ht="24" customHeight="1" x14ac:dyDescent="0.5">
      <c r="A403" s="81"/>
      <c r="B403" s="81"/>
      <c r="C403" s="81"/>
      <c r="D403" s="81"/>
      <c r="E403" s="81"/>
      <c r="F403" s="81"/>
      <c r="G403" s="105"/>
      <c r="H403" s="81"/>
      <c r="I403" s="81"/>
      <c r="J403" s="81"/>
      <c r="K403" s="105"/>
      <c r="L403" s="81"/>
      <c r="M403" s="81"/>
      <c r="N403" s="81"/>
      <c r="O403" s="81"/>
      <c r="P403" s="81"/>
      <c r="Q403" s="81"/>
      <c r="R403" s="105"/>
      <c r="S403" s="81"/>
      <c r="T403" s="81"/>
      <c r="U403" s="81"/>
      <c r="V403" s="105"/>
      <c r="W403" s="81"/>
      <c r="X403" s="81"/>
      <c r="Y403" s="105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105"/>
      <c r="AM403" s="81"/>
      <c r="AN403" s="81"/>
      <c r="AO403" s="81"/>
      <c r="AP403" s="81"/>
      <c r="AQ403" s="81"/>
      <c r="AR403" s="81"/>
      <c r="AS403" s="81"/>
      <c r="AT403" s="81"/>
      <c r="AU403" s="81"/>
    </row>
    <row r="404" spans="1:47" ht="24" customHeight="1" x14ac:dyDescent="0.5">
      <c r="A404" s="81"/>
      <c r="B404" s="81"/>
      <c r="C404" s="81"/>
      <c r="D404" s="81"/>
      <c r="E404" s="81"/>
      <c r="F404" s="81"/>
      <c r="G404" s="105"/>
      <c r="H404" s="81"/>
      <c r="I404" s="81"/>
      <c r="J404" s="81"/>
      <c r="K404" s="105"/>
      <c r="L404" s="81"/>
      <c r="M404" s="81"/>
      <c r="N404" s="81"/>
      <c r="O404" s="81"/>
      <c r="P404" s="81"/>
      <c r="Q404" s="81"/>
      <c r="R404" s="105"/>
      <c r="S404" s="81"/>
      <c r="T404" s="81"/>
      <c r="U404" s="81"/>
      <c r="V404" s="105"/>
      <c r="W404" s="81"/>
      <c r="X404" s="81"/>
      <c r="Y404" s="105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105"/>
      <c r="AM404" s="81"/>
      <c r="AN404" s="81"/>
      <c r="AO404" s="81"/>
      <c r="AP404" s="81"/>
      <c r="AQ404" s="81"/>
      <c r="AR404" s="81"/>
      <c r="AS404" s="81"/>
      <c r="AT404" s="81"/>
      <c r="AU404" s="81"/>
    </row>
    <row r="405" spans="1:47" ht="24" customHeight="1" x14ac:dyDescent="0.5">
      <c r="A405" s="81"/>
      <c r="B405" s="81"/>
      <c r="C405" s="81"/>
      <c r="D405" s="81"/>
      <c r="E405" s="81"/>
      <c r="F405" s="81"/>
      <c r="G405" s="105"/>
      <c r="H405" s="81"/>
      <c r="I405" s="81"/>
      <c r="J405" s="81"/>
      <c r="K405" s="105"/>
      <c r="L405" s="81"/>
      <c r="M405" s="81"/>
      <c r="N405" s="81"/>
      <c r="O405" s="81"/>
      <c r="P405" s="81"/>
      <c r="Q405" s="81"/>
      <c r="R405" s="105"/>
      <c r="S405" s="81"/>
      <c r="T405" s="81"/>
      <c r="U405" s="81"/>
      <c r="V405" s="105"/>
      <c r="W405" s="81"/>
      <c r="X405" s="81"/>
      <c r="Y405" s="105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105"/>
      <c r="AM405" s="81"/>
      <c r="AN405" s="81"/>
      <c r="AO405" s="81"/>
      <c r="AP405" s="81"/>
      <c r="AQ405" s="81"/>
      <c r="AR405" s="81"/>
      <c r="AS405" s="81"/>
      <c r="AT405" s="81"/>
      <c r="AU405" s="81"/>
    </row>
    <row r="406" spans="1:47" ht="24" customHeight="1" x14ac:dyDescent="0.5">
      <c r="A406" s="81"/>
      <c r="B406" s="81"/>
      <c r="C406" s="81"/>
      <c r="D406" s="81"/>
      <c r="E406" s="81"/>
      <c r="F406" s="81"/>
      <c r="G406" s="105"/>
      <c r="H406" s="81"/>
      <c r="I406" s="81"/>
      <c r="J406" s="81"/>
      <c r="K406" s="105"/>
      <c r="L406" s="81"/>
      <c r="M406" s="81"/>
      <c r="N406" s="81"/>
      <c r="O406" s="81"/>
      <c r="P406" s="81"/>
      <c r="Q406" s="81"/>
      <c r="R406" s="105"/>
      <c r="S406" s="81"/>
      <c r="T406" s="81"/>
      <c r="U406" s="81"/>
      <c r="V406" s="105"/>
      <c r="W406" s="81"/>
      <c r="X406" s="81"/>
      <c r="Y406" s="105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105"/>
      <c r="AM406" s="81"/>
      <c r="AN406" s="81"/>
      <c r="AO406" s="81"/>
      <c r="AP406" s="81"/>
      <c r="AQ406" s="81"/>
      <c r="AR406" s="81"/>
      <c r="AS406" s="81"/>
      <c r="AT406" s="81"/>
      <c r="AU406" s="81"/>
    </row>
    <row r="407" spans="1:47" ht="24" customHeight="1" x14ac:dyDescent="0.5">
      <c r="A407" s="81"/>
      <c r="B407" s="81"/>
      <c r="C407" s="81"/>
      <c r="D407" s="81"/>
      <c r="E407" s="81"/>
      <c r="F407" s="81"/>
      <c r="G407" s="105"/>
      <c r="H407" s="81"/>
      <c r="I407" s="81"/>
      <c r="J407" s="81"/>
      <c r="K407" s="105"/>
      <c r="L407" s="81"/>
      <c r="M407" s="81"/>
      <c r="N407" s="81"/>
      <c r="O407" s="81"/>
      <c r="P407" s="81"/>
      <c r="Q407" s="81"/>
      <c r="R407" s="105"/>
      <c r="S407" s="81"/>
      <c r="T407" s="81"/>
      <c r="U407" s="81"/>
      <c r="V407" s="105"/>
      <c r="W407" s="81"/>
      <c r="X407" s="81"/>
      <c r="Y407" s="105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105"/>
      <c r="AM407" s="81"/>
      <c r="AN407" s="81"/>
      <c r="AO407" s="81"/>
      <c r="AP407" s="81"/>
      <c r="AQ407" s="81"/>
      <c r="AR407" s="81"/>
      <c r="AS407" s="81"/>
      <c r="AT407" s="81"/>
      <c r="AU407" s="81"/>
    </row>
    <row r="408" spans="1:47" ht="24" customHeight="1" x14ac:dyDescent="0.5">
      <c r="A408" s="81"/>
      <c r="B408" s="81"/>
      <c r="C408" s="81"/>
      <c r="D408" s="81"/>
      <c r="E408" s="81"/>
      <c r="F408" s="81"/>
      <c r="G408" s="105"/>
      <c r="H408" s="81"/>
      <c r="I408" s="81"/>
      <c r="J408" s="81"/>
      <c r="K408" s="105"/>
      <c r="L408" s="81"/>
      <c r="M408" s="81"/>
      <c r="N408" s="81"/>
      <c r="O408" s="81"/>
      <c r="P408" s="81"/>
      <c r="Q408" s="81"/>
      <c r="R408" s="105"/>
      <c r="S408" s="81"/>
      <c r="T408" s="81"/>
      <c r="U408" s="81"/>
      <c r="V408" s="105"/>
      <c r="W408" s="81"/>
      <c r="X408" s="81"/>
      <c r="Y408" s="105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105"/>
      <c r="AM408" s="81"/>
      <c r="AN408" s="81"/>
      <c r="AO408" s="81"/>
      <c r="AP408" s="81"/>
      <c r="AQ408" s="81"/>
      <c r="AR408" s="81"/>
      <c r="AS408" s="81"/>
      <c r="AT408" s="81"/>
      <c r="AU408" s="81"/>
    </row>
    <row r="409" spans="1:47" ht="24" customHeight="1" x14ac:dyDescent="0.5">
      <c r="A409" s="81"/>
      <c r="B409" s="81"/>
      <c r="C409" s="81"/>
      <c r="D409" s="81"/>
      <c r="E409" s="81"/>
      <c r="F409" s="81"/>
      <c r="G409" s="105"/>
      <c r="H409" s="81"/>
      <c r="I409" s="81"/>
      <c r="J409" s="81"/>
      <c r="K409" s="105"/>
      <c r="L409" s="81"/>
      <c r="M409" s="81"/>
      <c r="N409" s="81"/>
      <c r="O409" s="81"/>
      <c r="P409" s="81"/>
      <c r="Q409" s="81"/>
      <c r="R409" s="105"/>
      <c r="S409" s="81"/>
      <c r="T409" s="81"/>
      <c r="U409" s="81"/>
      <c r="V409" s="105"/>
      <c r="W409" s="81"/>
      <c r="X409" s="81"/>
      <c r="Y409" s="105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105"/>
      <c r="AM409" s="81"/>
      <c r="AN409" s="81"/>
      <c r="AO409" s="81"/>
      <c r="AP409" s="81"/>
      <c r="AQ409" s="81"/>
      <c r="AR409" s="81"/>
      <c r="AS409" s="81"/>
      <c r="AT409" s="81"/>
      <c r="AU409" s="81"/>
    </row>
    <row r="410" spans="1:47" ht="24" customHeight="1" x14ac:dyDescent="0.5">
      <c r="A410" s="81"/>
      <c r="B410" s="81"/>
      <c r="C410" s="81"/>
      <c r="D410" s="81"/>
      <c r="E410" s="81"/>
      <c r="F410" s="81"/>
      <c r="G410" s="105"/>
      <c r="H410" s="81"/>
      <c r="I410" s="81"/>
      <c r="J410" s="81"/>
      <c r="K410" s="105"/>
      <c r="L410" s="81"/>
      <c r="M410" s="81"/>
      <c r="N410" s="81"/>
      <c r="O410" s="81"/>
      <c r="P410" s="81"/>
      <c r="Q410" s="81"/>
      <c r="R410" s="105"/>
      <c r="S410" s="81"/>
      <c r="T410" s="81"/>
      <c r="U410" s="81"/>
      <c r="V410" s="105"/>
      <c r="W410" s="81"/>
      <c r="X410" s="81"/>
      <c r="Y410" s="105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105"/>
      <c r="AM410" s="81"/>
      <c r="AN410" s="81"/>
      <c r="AO410" s="81"/>
      <c r="AP410" s="81"/>
      <c r="AQ410" s="81"/>
      <c r="AR410" s="81"/>
      <c r="AS410" s="81"/>
      <c r="AT410" s="81"/>
      <c r="AU410" s="81"/>
    </row>
    <row r="411" spans="1:47" ht="24" customHeight="1" x14ac:dyDescent="0.5">
      <c r="A411" s="81"/>
      <c r="B411" s="81"/>
      <c r="C411" s="81"/>
      <c r="D411" s="81"/>
      <c r="E411" s="81"/>
      <c r="F411" s="81"/>
      <c r="G411" s="105"/>
      <c r="H411" s="81"/>
      <c r="I411" s="81"/>
      <c r="J411" s="81"/>
      <c r="K411" s="105"/>
      <c r="L411" s="81"/>
      <c r="M411" s="81"/>
      <c r="N411" s="81"/>
      <c r="O411" s="81"/>
      <c r="P411" s="81"/>
      <c r="Q411" s="81"/>
      <c r="R411" s="105"/>
      <c r="S411" s="81"/>
      <c r="T411" s="81"/>
      <c r="U411" s="81"/>
      <c r="V411" s="105"/>
      <c r="W411" s="81"/>
      <c r="X411" s="81"/>
      <c r="Y411" s="105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105"/>
      <c r="AM411" s="81"/>
      <c r="AN411" s="81"/>
      <c r="AO411" s="81"/>
      <c r="AP411" s="81"/>
      <c r="AQ411" s="81"/>
      <c r="AR411" s="81"/>
      <c r="AS411" s="81"/>
      <c r="AT411" s="81"/>
      <c r="AU411" s="81"/>
    </row>
    <row r="412" spans="1:47" ht="24" customHeight="1" x14ac:dyDescent="0.5">
      <c r="A412" s="81"/>
      <c r="B412" s="81"/>
      <c r="C412" s="81"/>
      <c r="D412" s="81"/>
      <c r="E412" s="81"/>
      <c r="F412" s="81"/>
      <c r="G412" s="105"/>
      <c r="H412" s="81"/>
      <c r="I412" s="81"/>
      <c r="J412" s="81"/>
      <c r="K412" s="105"/>
      <c r="L412" s="81"/>
      <c r="M412" s="81"/>
      <c r="N412" s="81"/>
      <c r="O412" s="81"/>
      <c r="P412" s="81"/>
      <c r="Q412" s="81"/>
      <c r="R412" s="105"/>
      <c r="S412" s="81"/>
      <c r="T412" s="81"/>
      <c r="U412" s="81"/>
      <c r="V412" s="105"/>
      <c r="W412" s="81"/>
      <c r="X412" s="81"/>
      <c r="Y412" s="105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105"/>
      <c r="AM412" s="81"/>
      <c r="AN412" s="81"/>
      <c r="AO412" s="81"/>
      <c r="AP412" s="81"/>
      <c r="AQ412" s="81"/>
      <c r="AR412" s="81"/>
      <c r="AS412" s="81"/>
      <c r="AT412" s="81"/>
      <c r="AU412" s="81"/>
    </row>
    <row r="413" spans="1:47" ht="24" customHeight="1" x14ac:dyDescent="0.5">
      <c r="A413" s="81"/>
      <c r="B413" s="81"/>
      <c r="C413" s="81"/>
      <c r="D413" s="81"/>
      <c r="E413" s="81"/>
      <c r="F413" s="81"/>
      <c r="G413" s="105"/>
      <c r="H413" s="81"/>
      <c r="I413" s="81"/>
      <c r="J413" s="81"/>
      <c r="K413" s="105"/>
      <c r="L413" s="81"/>
      <c r="M413" s="81"/>
      <c r="N413" s="81"/>
      <c r="O413" s="81"/>
      <c r="P413" s="81"/>
      <c r="Q413" s="81"/>
      <c r="R413" s="105"/>
      <c r="S413" s="81"/>
      <c r="T413" s="81"/>
      <c r="U413" s="81"/>
      <c r="V413" s="105"/>
      <c r="W413" s="81"/>
      <c r="X413" s="81"/>
      <c r="Y413" s="105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105"/>
      <c r="AM413" s="81"/>
      <c r="AN413" s="81"/>
      <c r="AO413" s="81"/>
      <c r="AP413" s="81"/>
      <c r="AQ413" s="81"/>
      <c r="AR413" s="81"/>
      <c r="AS413" s="81"/>
      <c r="AT413" s="81"/>
      <c r="AU413" s="81"/>
    </row>
    <row r="414" spans="1:47" ht="24" customHeight="1" x14ac:dyDescent="0.5">
      <c r="A414" s="81"/>
      <c r="B414" s="81"/>
      <c r="C414" s="81"/>
      <c r="D414" s="81"/>
      <c r="E414" s="81"/>
      <c r="F414" s="81"/>
      <c r="G414" s="105"/>
      <c r="H414" s="81"/>
      <c r="I414" s="81"/>
      <c r="J414" s="81"/>
      <c r="K414" s="105"/>
      <c r="L414" s="81"/>
      <c r="M414" s="81"/>
      <c r="N414" s="81"/>
      <c r="O414" s="81"/>
      <c r="P414" s="81"/>
      <c r="Q414" s="81"/>
      <c r="R414" s="105"/>
      <c r="S414" s="81"/>
      <c r="T414" s="81"/>
      <c r="U414" s="81"/>
      <c r="V414" s="105"/>
      <c r="W414" s="81"/>
      <c r="X414" s="81"/>
      <c r="Y414" s="105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105"/>
      <c r="AM414" s="81"/>
      <c r="AN414" s="81"/>
      <c r="AO414" s="81"/>
      <c r="AP414" s="81"/>
      <c r="AQ414" s="81"/>
      <c r="AR414" s="81"/>
      <c r="AS414" s="81"/>
      <c r="AT414" s="81"/>
      <c r="AU414" s="81"/>
    </row>
    <row r="415" spans="1:47" ht="24" customHeight="1" x14ac:dyDescent="0.5">
      <c r="A415" s="81"/>
      <c r="B415" s="81"/>
      <c r="C415" s="81"/>
      <c r="D415" s="81"/>
      <c r="E415" s="81"/>
      <c r="F415" s="81"/>
      <c r="G415" s="105"/>
      <c r="H415" s="81"/>
      <c r="I415" s="81"/>
      <c r="J415" s="81"/>
      <c r="K415" s="105"/>
      <c r="L415" s="81"/>
      <c r="M415" s="81"/>
      <c r="N415" s="81"/>
      <c r="O415" s="81"/>
      <c r="P415" s="81"/>
      <c r="Q415" s="81"/>
      <c r="R415" s="105"/>
      <c r="S415" s="81"/>
      <c r="T415" s="81"/>
      <c r="U415" s="81"/>
      <c r="V415" s="105"/>
      <c r="W415" s="81"/>
      <c r="X415" s="81"/>
      <c r="Y415" s="105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105"/>
      <c r="AM415" s="81"/>
      <c r="AN415" s="81"/>
      <c r="AO415" s="81"/>
      <c r="AP415" s="81"/>
      <c r="AQ415" s="81"/>
      <c r="AR415" s="81"/>
      <c r="AS415" s="81"/>
      <c r="AT415" s="81"/>
      <c r="AU415" s="81"/>
    </row>
    <row r="416" spans="1:47" ht="24" customHeight="1" x14ac:dyDescent="0.5">
      <c r="A416" s="81"/>
      <c r="B416" s="81"/>
      <c r="C416" s="81"/>
      <c r="D416" s="81"/>
      <c r="E416" s="81"/>
      <c r="F416" s="81"/>
      <c r="G416" s="105"/>
      <c r="H416" s="81"/>
      <c r="I416" s="81"/>
      <c r="J416" s="81"/>
      <c r="K416" s="105"/>
      <c r="L416" s="81"/>
      <c r="M416" s="81"/>
      <c r="N416" s="81"/>
      <c r="O416" s="81"/>
      <c r="P416" s="81"/>
      <c r="Q416" s="81"/>
      <c r="R416" s="105"/>
      <c r="S416" s="81"/>
      <c r="T416" s="81"/>
      <c r="U416" s="81"/>
      <c r="V416" s="105"/>
      <c r="W416" s="81"/>
      <c r="X416" s="81"/>
      <c r="Y416" s="105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105"/>
      <c r="AM416" s="81"/>
      <c r="AN416" s="81"/>
      <c r="AO416" s="81"/>
      <c r="AP416" s="81"/>
      <c r="AQ416" s="81"/>
      <c r="AR416" s="81"/>
      <c r="AS416" s="81"/>
      <c r="AT416" s="81"/>
      <c r="AU416" s="81"/>
    </row>
    <row r="417" spans="1:47" ht="24" customHeight="1" x14ac:dyDescent="0.5">
      <c r="A417" s="81"/>
      <c r="B417" s="81"/>
      <c r="C417" s="81"/>
      <c r="D417" s="81"/>
      <c r="E417" s="81"/>
      <c r="F417" s="81"/>
      <c r="G417" s="105"/>
      <c r="H417" s="81"/>
      <c r="I417" s="81"/>
      <c r="J417" s="81"/>
      <c r="K417" s="105"/>
      <c r="L417" s="81"/>
      <c r="M417" s="81"/>
      <c r="N417" s="81"/>
      <c r="O417" s="81"/>
      <c r="P417" s="81"/>
      <c r="Q417" s="81"/>
      <c r="R417" s="105"/>
      <c r="S417" s="81"/>
      <c r="T417" s="81"/>
      <c r="U417" s="81"/>
      <c r="V417" s="105"/>
      <c r="W417" s="81"/>
      <c r="X417" s="81"/>
      <c r="Y417" s="105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105"/>
      <c r="AM417" s="81"/>
      <c r="AN417" s="81"/>
      <c r="AO417" s="81"/>
      <c r="AP417" s="81"/>
      <c r="AQ417" s="81"/>
      <c r="AR417" s="81"/>
      <c r="AS417" s="81"/>
      <c r="AT417" s="81"/>
      <c r="AU417" s="81"/>
    </row>
    <row r="418" spans="1:47" ht="24" customHeight="1" x14ac:dyDescent="0.5">
      <c r="A418" s="81"/>
      <c r="B418" s="81"/>
      <c r="C418" s="81"/>
      <c r="D418" s="81"/>
      <c r="E418" s="81"/>
      <c r="F418" s="81"/>
      <c r="G418" s="105"/>
      <c r="H418" s="81"/>
      <c r="I418" s="81"/>
      <c r="J418" s="81"/>
      <c r="K418" s="105"/>
      <c r="L418" s="81"/>
      <c r="M418" s="81"/>
      <c r="N418" s="81"/>
      <c r="O418" s="81"/>
      <c r="P418" s="81"/>
      <c r="Q418" s="81"/>
      <c r="R418" s="105"/>
      <c r="S418" s="81"/>
      <c r="T418" s="81"/>
      <c r="U418" s="81"/>
      <c r="V418" s="105"/>
      <c r="W418" s="81"/>
      <c r="X418" s="81"/>
      <c r="Y418" s="105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105"/>
      <c r="AM418" s="81"/>
      <c r="AN418" s="81"/>
      <c r="AO418" s="81"/>
      <c r="AP418" s="81"/>
      <c r="AQ418" s="81"/>
      <c r="AR418" s="81"/>
      <c r="AS418" s="81"/>
      <c r="AT418" s="81"/>
      <c r="AU418" s="81"/>
    </row>
    <row r="419" spans="1:47" ht="24" customHeight="1" x14ac:dyDescent="0.5">
      <c r="A419" s="81"/>
      <c r="B419" s="81"/>
      <c r="C419" s="81"/>
      <c r="D419" s="81"/>
      <c r="E419" s="81"/>
      <c r="F419" s="81"/>
      <c r="G419" s="105"/>
      <c r="H419" s="81"/>
      <c r="I419" s="81"/>
      <c r="J419" s="81"/>
      <c r="K419" s="105"/>
      <c r="L419" s="81"/>
      <c r="M419" s="81"/>
      <c r="N419" s="81"/>
      <c r="O419" s="81"/>
      <c r="P419" s="81"/>
      <c r="Q419" s="81"/>
      <c r="R419" s="105"/>
      <c r="S419" s="81"/>
      <c r="T419" s="81"/>
      <c r="U419" s="81"/>
      <c r="V419" s="105"/>
      <c r="W419" s="81"/>
      <c r="X419" s="81"/>
      <c r="Y419" s="105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105"/>
      <c r="AM419" s="81"/>
      <c r="AN419" s="81"/>
      <c r="AO419" s="81"/>
      <c r="AP419" s="81"/>
      <c r="AQ419" s="81"/>
      <c r="AR419" s="81"/>
      <c r="AS419" s="81"/>
      <c r="AT419" s="81"/>
      <c r="AU419" s="81"/>
    </row>
    <row r="420" spans="1:47" ht="24" customHeight="1" x14ac:dyDescent="0.5">
      <c r="A420" s="81"/>
      <c r="B420" s="81"/>
      <c r="C420" s="81"/>
      <c r="D420" s="81"/>
      <c r="E420" s="81"/>
      <c r="F420" s="81"/>
      <c r="G420" s="105"/>
      <c r="H420" s="81"/>
      <c r="I420" s="81"/>
      <c r="J420" s="81"/>
      <c r="K420" s="105"/>
      <c r="L420" s="81"/>
      <c r="M420" s="81"/>
      <c r="N420" s="81"/>
      <c r="O420" s="81"/>
      <c r="P420" s="81"/>
      <c r="Q420" s="81"/>
      <c r="R420" s="105"/>
      <c r="S420" s="81"/>
      <c r="T420" s="81"/>
      <c r="U420" s="81"/>
      <c r="V420" s="105"/>
      <c r="W420" s="81"/>
      <c r="X420" s="81"/>
      <c r="Y420" s="105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105"/>
      <c r="AM420" s="81"/>
      <c r="AN420" s="81"/>
      <c r="AO420" s="81"/>
      <c r="AP420" s="81"/>
      <c r="AQ420" s="81"/>
      <c r="AR420" s="81"/>
      <c r="AS420" s="81"/>
      <c r="AT420" s="81"/>
      <c r="AU420" s="81"/>
    </row>
    <row r="421" spans="1:47" ht="24" customHeight="1" x14ac:dyDescent="0.5">
      <c r="A421" s="81"/>
      <c r="B421" s="81"/>
      <c r="C421" s="81"/>
      <c r="D421" s="81"/>
      <c r="E421" s="81"/>
      <c r="F421" s="81"/>
      <c r="G421" s="105"/>
      <c r="H421" s="81"/>
      <c r="I421" s="81"/>
      <c r="J421" s="81"/>
      <c r="K421" s="105"/>
      <c r="L421" s="81"/>
      <c r="M421" s="81"/>
      <c r="N421" s="81"/>
      <c r="O421" s="81"/>
      <c r="P421" s="81"/>
      <c r="Q421" s="81"/>
      <c r="R421" s="105"/>
      <c r="S421" s="81"/>
      <c r="T421" s="81"/>
      <c r="U421" s="81"/>
      <c r="V421" s="105"/>
      <c r="W421" s="81"/>
      <c r="X421" s="81"/>
      <c r="Y421" s="105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105"/>
      <c r="AM421" s="81"/>
      <c r="AN421" s="81"/>
      <c r="AO421" s="81"/>
      <c r="AP421" s="81"/>
      <c r="AQ421" s="81"/>
      <c r="AR421" s="81"/>
      <c r="AS421" s="81"/>
      <c r="AT421" s="81"/>
      <c r="AU421" s="81"/>
    </row>
    <row r="422" spans="1:47" ht="24" customHeight="1" x14ac:dyDescent="0.5">
      <c r="A422" s="81"/>
      <c r="B422" s="81"/>
      <c r="C422" s="81"/>
      <c r="D422" s="81"/>
      <c r="E422" s="81"/>
      <c r="F422" s="81"/>
      <c r="G422" s="105"/>
      <c r="H422" s="81"/>
      <c r="I422" s="81"/>
      <c r="J422" s="81"/>
      <c r="K422" s="105"/>
      <c r="L422" s="81"/>
      <c r="M422" s="81"/>
      <c r="N422" s="81"/>
      <c r="O422" s="81"/>
      <c r="P422" s="81"/>
      <c r="Q422" s="81"/>
      <c r="R422" s="105"/>
      <c r="S422" s="81"/>
      <c r="T422" s="81"/>
      <c r="U422" s="81"/>
      <c r="V422" s="105"/>
      <c r="W422" s="81"/>
      <c r="X422" s="81"/>
      <c r="Y422" s="105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105"/>
      <c r="AM422" s="81"/>
      <c r="AN422" s="81"/>
      <c r="AO422" s="81"/>
      <c r="AP422" s="81"/>
      <c r="AQ422" s="81"/>
      <c r="AR422" s="81"/>
      <c r="AS422" s="81"/>
      <c r="AT422" s="81"/>
      <c r="AU422" s="81"/>
    </row>
    <row r="423" spans="1:47" ht="24" customHeight="1" x14ac:dyDescent="0.5">
      <c r="A423" s="81"/>
      <c r="B423" s="81"/>
      <c r="C423" s="81"/>
      <c r="D423" s="81"/>
      <c r="E423" s="81"/>
      <c r="F423" s="81"/>
      <c r="G423" s="105"/>
      <c r="H423" s="81"/>
      <c r="I423" s="81"/>
      <c r="J423" s="81"/>
      <c r="K423" s="105"/>
      <c r="L423" s="81"/>
      <c r="M423" s="81"/>
      <c r="N423" s="81"/>
      <c r="O423" s="81"/>
      <c r="P423" s="81"/>
      <c r="Q423" s="81"/>
      <c r="R423" s="105"/>
      <c r="S423" s="81"/>
      <c r="T423" s="81"/>
      <c r="U423" s="81"/>
      <c r="V423" s="105"/>
      <c r="W423" s="81"/>
      <c r="X423" s="81"/>
      <c r="Y423" s="105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105"/>
      <c r="AM423" s="81"/>
      <c r="AN423" s="81"/>
      <c r="AO423" s="81"/>
      <c r="AP423" s="81"/>
      <c r="AQ423" s="81"/>
      <c r="AR423" s="81"/>
      <c r="AS423" s="81"/>
      <c r="AT423" s="81"/>
      <c r="AU423" s="81"/>
    </row>
    <row r="424" spans="1:47" ht="24" customHeight="1" x14ac:dyDescent="0.5">
      <c r="A424" s="81"/>
      <c r="B424" s="81"/>
      <c r="C424" s="81"/>
      <c r="D424" s="81"/>
      <c r="E424" s="81"/>
      <c r="F424" s="81"/>
      <c r="G424" s="105"/>
      <c r="H424" s="81"/>
      <c r="I424" s="81"/>
      <c r="J424" s="81"/>
      <c r="K424" s="105"/>
      <c r="L424" s="81"/>
      <c r="M424" s="81"/>
      <c r="N424" s="81"/>
      <c r="O424" s="81"/>
      <c r="P424" s="81"/>
      <c r="Q424" s="81"/>
      <c r="R424" s="105"/>
      <c r="S424" s="81"/>
      <c r="T424" s="81"/>
      <c r="U424" s="81"/>
      <c r="V424" s="105"/>
      <c r="W424" s="81"/>
      <c r="X424" s="81"/>
      <c r="Y424" s="105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105"/>
      <c r="AM424" s="81"/>
      <c r="AN424" s="81"/>
      <c r="AO424" s="81"/>
      <c r="AP424" s="81"/>
      <c r="AQ424" s="81"/>
      <c r="AR424" s="81"/>
      <c r="AS424" s="81"/>
      <c r="AT424" s="81"/>
      <c r="AU424" s="81"/>
    </row>
    <row r="425" spans="1:47" ht="24" customHeight="1" x14ac:dyDescent="0.5">
      <c r="A425" s="81"/>
      <c r="B425" s="81"/>
      <c r="C425" s="81"/>
      <c r="D425" s="81"/>
      <c r="E425" s="81"/>
      <c r="F425" s="81"/>
      <c r="G425" s="105"/>
      <c r="H425" s="81"/>
      <c r="I425" s="81"/>
      <c r="J425" s="81"/>
      <c r="K425" s="105"/>
      <c r="L425" s="81"/>
      <c r="M425" s="81"/>
      <c r="N425" s="81"/>
      <c r="O425" s="81"/>
      <c r="P425" s="81"/>
      <c r="Q425" s="81"/>
      <c r="R425" s="105"/>
      <c r="S425" s="81"/>
      <c r="T425" s="81"/>
      <c r="U425" s="81"/>
      <c r="V425" s="105"/>
      <c r="W425" s="81"/>
      <c r="X425" s="81"/>
      <c r="Y425" s="105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105"/>
      <c r="AM425" s="81"/>
      <c r="AN425" s="81"/>
      <c r="AO425" s="81"/>
      <c r="AP425" s="81"/>
      <c r="AQ425" s="81"/>
      <c r="AR425" s="81"/>
      <c r="AS425" s="81"/>
      <c r="AT425" s="81"/>
      <c r="AU425" s="81"/>
    </row>
    <row r="426" spans="1:47" ht="24" customHeight="1" x14ac:dyDescent="0.5">
      <c r="A426" s="81"/>
      <c r="B426" s="81"/>
      <c r="C426" s="81"/>
      <c r="D426" s="81"/>
      <c r="E426" s="81"/>
      <c r="F426" s="81"/>
      <c r="G426" s="105"/>
      <c r="H426" s="81"/>
      <c r="I426" s="81"/>
      <c r="J426" s="81"/>
      <c r="K426" s="105"/>
      <c r="L426" s="81"/>
      <c r="M426" s="81"/>
      <c r="N426" s="81"/>
      <c r="O426" s="81"/>
      <c r="P426" s="81"/>
      <c r="Q426" s="81"/>
      <c r="R426" s="105"/>
      <c r="S426" s="81"/>
      <c r="T426" s="81"/>
      <c r="U426" s="81"/>
      <c r="V426" s="105"/>
      <c r="W426" s="81"/>
      <c r="X426" s="81"/>
      <c r="Y426" s="105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105"/>
      <c r="AM426" s="81"/>
      <c r="AN426" s="81"/>
      <c r="AO426" s="81"/>
      <c r="AP426" s="81"/>
      <c r="AQ426" s="81"/>
      <c r="AR426" s="81"/>
      <c r="AS426" s="81"/>
      <c r="AT426" s="81"/>
      <c r="AU426" s="81"/>
    </row>
    <row r="427" spans="1:47" ht="24" customHeight="1" x14ac:dyDescent="0.5">
      <c r="A427" s="81"/>
      <c r="B427" s="81"/>
      <c r="C427" s="81"/>
      <c r="D427" s="81"/>
      <c r="E427" s="81"/>
      <c r="F427" s="81"/>
      <c r="G427" s="105"/>
      <c r="H427" s="81"/>
      <c r="I427" s="81"/>
      <c r="J427" s="81"/>
      <c r="K427" s="105"/>
      <c r="L427" s="81"/>
      <c r="M427" s="81"/>
      <c r="N427" s="81"/>
      <c r="O427" s="81"/>
      <c r="P427" s="81"/>
      <c r="Q427" s="81"/>
      <c r="R427" s="105"/>
      <c r="S427" s="81"/>
      <c r="T427" s="81"/>
      <c r="U427" s="81"/>
      <c r="V427" s="105"/>
      <c r="W427" s="81"/>
      <c r="X427" s="81"/>
      <c r="Y427" s="105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105"/>
      <c r="AM427" s="81"/>
      <c r="AN427" s="81"/>
      <c r="AO427" s="81"/>
      <c r="AP427" s="81"/>
      <c r="AQ427" s="81"/>
      <c r="AR427" s="81"/>
      <c r="AS427" s="81"/>
      <c r="AT427" s="81"/>
      <c r="AU427" s="81"/>
    </row>
    <row r="428" spans="1:47" ht="24" customHeight="1" x14ac:dyDescent="0.5">
      <c r="A428" s="81"/>
      <c r="B428" s="81"/>
      <c r="C428" s="81"/>
      <c r="D428" s="81"/>
      <c r="E428" s="81"/>
      <c r="F428" s="81"/>
      <c r="G428" s="105"/>
      <c r="H428" s="81"/>
      <c r="I428" s="81"/>
      <c r="J428" s="81"/>
      <c r="K428" s="105"/>
      <c r="L428" s="81"/>
      <c r="M428" s="81"/>
      <c r="N428" s="81"/>
      <c r="O428" s="81"/>
      <c r="P428" s="81"/>
      <c r="Q428" s="81"/>
      <c r="R428" s="105"/>
      <c r="S428" s="81"/>
      <c r="T428" s="81"/>
      <c r="U428" s="81"/>
      <c r="V428" s="105"/>
      <c r="W428" s="81"/>
      <c r="X428" s="81"/>
      <c r="Y428" s="105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105"/>
      <c r="AM428" s="81"/>
      <c r="AN428" s="81"/>
      <c r="AO428" s="81"/>
      <c r="AP428" s="81"/>
      <c r="AQ428" s="81"/>
      <c r="AR428" s="81"/>
      <c r="AS428" s="81"/>
      <c r="AT428" s="81"/>
      <c r="AU428" s="81"/>
    </row>
    <row r="429" spans="1:47" ht="24" customHeight="1" x14ac:dyDescent="0.5">
      <c r="A429" s="81"/>
      <c r="B429" s="81"/>
      <c r="C429" s="81"/>
      <c r="D429" s="81"/>
      <c r="E429" s="81"/>
      <c r="F429" s="81"/>
      <c r="G429" s="105"/>
      <c r="H429" s="81"/>
      <c r="I429" s="81"/>
      <c r="J429" s="81"/>
      <c r="K429" s="105"/>
      <c r="L429" s="81"/>
      <c r="M429" s="81"/>
      <c r="N429" s="81"/>
      <c r="O429" s="81"/>
      <c r="P429" s="81"/>
      <c r="Q429" s="81"/>
      <c r="R429" s="105"/>
      <c r="S429" s="81"/>
      <c r="T429" s="81"/>
      <c r="U429" s="81"/>
      <c r="V429" s="105"/>
      <c r="W429" s="81"/>
      <c r="X429" s="81"/>
      <c r="Y429" s="105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105"/>
      <c r="AM429" s="81"/>
      <c r="AN429" s="81"/>
      <c r="AO429" s="81"/>
      <c r="AP429" s="81"/>
      <c r="AQ429" s="81"/>
      <c r="AR429" s="81"/>
      <c r="AS429" s="81"/>
      <c r="AT429" s="81"/>
      <c r="AU429" s="81"/>
    </row>
    <row r="430" spans="1:47" ht="24" customHeight="1" x14ac:dyDescent="0.5">
      <c r="A430" s="81"/>
      <c r="B430" s="81"/>
      <c r="C430" s="81"/>
      <c r="D430" s="81"/>
      <c r="E430" s="81"/>
      <c r="F430" s="81"/>
      <c r="G430" s="105"/>
      <c r="H430" s="81"/>
      <c r="I430" s="81"/>
      <c r="J430" s="81"/>
      <c r="K430" s="105"/>
      <c r="L430" s="81"/>
      <c r="M430" s="81"/>
      <c r="N430" s="81"/>
      <c r="O430" s="81"/>
      <c r="P430" s="81"/>
      <c r="Q430" s="81"/>
      <c r="R430" s="105"/>
      <c r="S430" s="81"/>
      <c r="T430" s="81"/>
      <c r="U430" s="81"/>
      <c r="V430" s="105"/>
      <c r="W430" s="81"/>
      <c r="X430" s="81"/>
      <c r="Y430" s="105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105"/>
      <c r="AM430" s="81"/>
      <c r="AN430" s="81"/>
      <c r="AO430" s="81"/>
      <c r="AP430" s="81"/>
      <c r="AQ430" s="81"/>
      <c r="AR430" s="81"/>
      <c r="AS430" s="81"/>
      <c r="AT430" s="81"/>
      <c r="AU430" s="81"/>
    </row>
    <row r="431" spans="1:47" ht="24" customHeight="1" x14ac:dyDescent="0.5">
      <c r="A431" s="81"/>
      <c r="B431" s="81"/>
      <c r="C431" s="81"/>
      <c r="D431" s="81"/>
      <c r="E431" s="81"/>
      <c r="F431" s="81"/>
      <c r="G431" s="105"/>
      <c r="H431" s="81"/>
      <c r="I431" s="81"/>
      <c r="J431" s="81"/>
      <c r="K431" s="105"/>
      <c r="L431" s="81"/>
      <c r="M431" s="81"/>
      <c r="N431" s="81"/>
      <c r="O431" s="81"/>
      <c r="P431" s="81"/>
      <c r="Q431" s="81"/>
      <c r="R431" s="105"/>
      <c r="S431" s="81"/>
      <c r="T431" s="81"/>
      <c r="U431" s="81"/>
      <c r="V431" s="105"/>
      <c r="W431" s="81"/>
      <c r="X431" s="81"/>
      <c r="Y431" s="105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105"/>
      <c r="AM431" s="81"/>
      <c r="AN431" s="81"/>
      <c r="AO431" s="81"/>
      <c r="AP431" s="81"/>
      <c r="AQ431" s="81"/>
      <c r="AR431" s="81"/>
      <c r="AS431" s="81"/>
      <c r="AT431" s="81"/>
      <c r="AU431" s="81"/>
    </row>
    <row r="432" spans="1:47" ht="24" customHeight="1" x14ac:dyDescent="0.5">
      <c r="A432" s="81"/>
      <c r="B432" s="81"/>
      <c r="C432" s="81"/>
      <c r="D432" s="81"/>
      <c r="E432" s="81"/>
      <c r="F432" s="81"/>
      <c r="G432" s="105"/>
      <c r="H432" s="81"/>
      <c r="I432" s="81"/>
      <c r="J432" s="81"/>
      <c r="K432" s="105"/>
      <c r="L432" s="81"/>
      <c r="M432" s="81"/>
      <c r="N432" s="81"/>
      <c r="O432" s="81"/>
      <c r="P432" s="81"/>
      <c r="Q432" s="81"/>
      <c r="R432" s="105"/>
      <c r="S432" s="81"/>
      <c r="T432" s="81"/>
      <c r="U432" s="81"/>
      <c r="V432" s="105"/>
      <c r="W432" s="81"/>
      <c r="X432" s="81"/>
      <c r="Y432" s="105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105"/>
      <c r="AM432" s="81"/>
      <c r="AN432" s="81"/>
      <c r="AO432" s="81"/>
      <c r="AP432" s="81"/>
      <c r="AQ432" s="81"/>
      <c r="AR432" s="81"/>
      <c r="AS432" s="81"/>
      <c r="AT432" s="81"/>
      <c r="AU432" s="81"/>
    </row>
    <row r="433" spans="1:47" ht="24" customHeight="1" x14ac:dyDescent="0.5">
      <c r="A433" s="81"/>
      <c r="B433" s="81"/>
      <c r="C433" s="81"/>
      <c r="D433" s="81"/>
      <c r="E433" s="81"/>
      <c r="F433" s="81"/>
      <c r="G433" s="105"/>
      <c r="H433" s="81"/>
      <c r="I433" s="81"/>
      <c r="J433" s="81"/>
      <c r="K433" s="105"/>
      <c r="L433" s="81"/>
      <c r="M433" s="81"/>
      <c r="N433" s="81"/>
      <c r="O433" s="81"/>
      <c r="P433" s="81"/>
      <c r="Q433" s="81"/>
      <c r="R433" s="105"/>
      <c r="S433" s="81"/>
      <c r="T433" s="81"/>
      <c r="U433" s="81"/>
      <c r="V433" s="105"/>
      <c r="W433" s="81"/>
      <c r="X433" s="81"/>
      <c r="Y433" s="105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105"/>
      <c r="AM433" s="81"/>
      <c r="AN433" s="81"/>
      <c r="AO433" s="81"/>
      <c r="AP433" s="81"/>
      <c r="AQ433" s="81"/>
      <c r="AR433" s="81"/>
      <c r="AS433" s="81"/>
      <c r="AT433" s="81"/>
      <c r="AU433" s="81"/>
    </row>
    <row r="434" spans="1:47" ht="24" customHeight="1" x14ac:dyDescent="0.5">
      <c r="A434" s="81"/>
      <c r="B434" s="81"/>
      <c r="C434" s="81"/>
      <c r="D434" s="81"/>
      <c r="E434" s="81"/>
      <c r="F434" s="81"/>
      <c r="G434" s="105"/>
      <c r="H434" s="81"/>
      <c r="I434" s="81"/>
      <c r="J434" s="81"/>
      <c r="K434" s="105"/>
      <c r="L434" s="81"/>
      <c r="M434" s="81"/>
      <c r="N434" s="81"/>
      <c r="O434" s="81"/>
      <c r="P434" s="81"/>
      <c r="Q434" s="81"/>
      <c r="R434" s="105"/>
      <c r="S434" s="81"/>
      <c r="T434" s="81"/>
      <c r="U434" s="81"/>
      <c r="V434" s="105"/>
      <c r="W434" s="81"/>
      <c r="X434" s="81"/>
      <c r="Y434" s="105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105"/>
      <c r="AM434" s="81"/>
      <c r="AN434" s="81"/>
      <c r="AO434" s="81"/>
      <c r="AP434" s="81"/>
      <c r="AQ434" s="81"/>
      <c r="AR434" s="81"/>
      <c r="AS434" s="81"/>
      <c r="AT434" s="81"/>
      <c r="AU434" s="81"/>
    </row>
    <row r="435" spans="1:47" ht="24" customHeight="1" x14ac:dyDescent="0.5">
      <c r="A435" s="81"/>
      <c r="B435" s="81"/>
      <c r="C435" s="81"/>
      <c r="D435" s="81"/>
      <c r="E435" s="81"/>
      <c r="F435" s="81"/>
      <c r="G435" s="105"/>
      <c r="H435" s="81"/>
      <c r="I435" s="81"/>
      <c r="J435" s="81"/>
      <c r="K435" s="105"/>
      <c r="L435" s="81"/>
      <c r="M435" s="81"/>
      <c r="N435" s="81"/>
      <c r="O435" s="81"/>
      <c r="P435" s="81"/>
      <c r="Q435" s="81"/>
      <c r="R435" s="105"/>
      <c r="S435" s="81"/>
      <c r="T435" s="81"/>
      <c r="U435" s="81"/>
      <c r="V435" s="105"/>
      <c r="W435" s="81"/>
      <c r="X435" s="81"/>
      <c r="Y435" s="105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105"/>
      <c r="AM435" s="81"/>
      <c r="AN435" s="81"/>
      <c r="AO435" s="81"/>
      <c r="AP435" s="81"/>
      <c r="AQ435" s="81"/>
      <c r="AR435" s="81"/>
      <c r="AS435" s="81"/>
      <c r="AT435" s="81"/>
      <c r="AU435" s="81"/>
    </row>
    <row r="436" spans="1:47" ht="24" customHeight="1" x14ac:dyDescent="0.5">
      <c r="A436" s="81"/>
      <c r="B436" s="81"/>
      <c r="C436" s="81"/>
      <c r="D436" s="81"/>
      <c r="E436" s="81"/>
      <c r="F436" s="81"/>
      <c r="G436" s="105"/>
      <c r="H436" s="81"/>
      <c r="I436" s="81"/>
      <c r="J436" s="81"/>
      <c r="K436" s="105"/>
      <c r="L436" s="81"/>
      <c r="M436" s="81"/>
      <c r="N436" s="81"/>
      <c r="O436" s="81"/>
      <c r="P436" s="81"/>
      <c r="Q436" s="81"/>
      <c r="R436" s="105"/>
      <c r="S436" s="81"/>
      <c r="T436" s="81"/>
      <c r="U436" s="81"/>
      <c r="V436" s="105"/>
      <c r="W436" s="81"/>
      <c r="X436" s="81"/>
      <c r="Y436" s="105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105"/>
      <c r="AM436" s="81"/>
      <c r="AN436" s="81"/>
      <c r="AO436" s="81"/>
      <c r="AP436" s="81"/>
      <c r="AQ436" s="81"/>
      <c r="AR436" s="81"/>
      <c r="AS436" s="81"/>
      <c r="AT436" s="81"/>
      <c r="AU436" s="81"/>
    </row>
    <row r="437" spans="1:47" ht="24" customHeight="1" x14ac:dyDescent="0.5">
      <c r="A437" s="81"/>
      <c r="B437" s="81"/>
      <c r="C437" s="81"/>
      <c r="D437" s="81"/>
      <c r="E437" s="81"/>
      <c r="F437" s="81"/>
      <c r="G437" s="105"/>
      <c r="H437" s="81"/>
      <c r="I437" s="81"/>
      <c r="J437" s="81"/>
      <c r="K437" s="105"/>
      <c r="L437" s="81"/>
      <c r="M437" s="81"/>
      <c r="N437" s="81"/>
      <c r="O437" s="81"/>
      <c r="P437" s="81"/>
      <c r="Q437" s="81"/>
      <c r="R437" s="105"/>
      <c r="S437" s="81"/>
      <c r="T437" s="81"/>
      <c r="U437" s="81"/>
      <c r="V437" s="105"/>
      <c r="W437" s="81"/>
      <c r="X437" s="81"/>
      <c r="Y437" s="105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105"/>
      <c r="AM437" s="81"/>
      <c r="AN437" s="81"/>
      <c r="AO437" s="81"/>
      <c r="AP437" s="81"/>
      <c r="AQ437" s="81"/>
      <c r="AR437" s="81"/>
      <c r="AS437" s="81"/>
      <c r="AT437" s="81"/>
      <c r="AU437" s="81"/>
    </row>
    <row r="438" spans="1:47" ht="24" customHeight="1" x14ac:dyDescent="0.5">
      <c r="A438" s="81"/>
      <c r="B438" s="81"/>
      <c r="C438" s="81"/>
      <c r="D438" s="81"/>
      <c r="E438" s="81"/>
      <c r="F438" s="81"/>
      <c r="G438" s="105"/>
      <c r="H438" s="81"/>
      <c r="I438" s="81"/>
      <c r="J438" s="81"/>
      <c r="K438" s="105"/>
      <c r="L438" s="81"/>
      <c r="M438" s="81"/>
      <c r="N438" s="81"/>
      <c r="O438" s="81"/>
      <c r="P438" s="81"/>
      <c r="Q438" s="81"/>
      <c r="R438" s="105"/>
      <c r="S438" s="81"/>
      <c r="T438" s="81"/>
      <c r="U438" s="81"/>
      <c r="V438" s="105"/>
      <c r="W438" s="81"/>
      <c r="X438" s="81"/>
      <c r="Y438" s="105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105"/>
      <c r="AM438" s="81"/>
      <c r="AN438" s="81"/>
      <c r="AO438" s="81"/>
      <c r="AP438" s="81"/>
      <c r="AQ438" s="81"/>
      <c r="AR438" s="81"/>
      <c r="AS438" s="81"/>
      <c r="AT438" s="81"/>
      <c r="AU438" s="81"/>
    </row>
    <row r="439" spans="1:47" ht="24" customHeight="1" x14ac:dyDescent="0.5">
      <c r="A439" s="81"/>
      <c r="B439" s="81"/>
      <c r="C439" s="81"/>
      <c r="D439" s="81"/>
      <c r="E439" s="81"/>
      <c r="F439" s="81"/>
      <c r="G439" s="105"/>
      <c r="H439" s="81"/>
      <c r="I439" s="81"/>
      <c r="J439" s="81"/>
      <c r="K439" s="105"/>
      <c r="L439" s="81"/>
      <c r="M439" s="81"/>
      <c r="N439" s="81"/>
      <c r="O439" s="81"/>
      <c r="P439" s="81"/>
      <c r="Q439" s="81"/>
      <c r="R439" s="105"/>
      <c r="S439" s="81"/>
      <c r="T439" s="81"/>
      <c r="U439" s="81"/>
      <c r="V439" s="105"/>
      <c r="W439" s="81"/>
      <c r="X439" s="81"/>
      <c r="Y439" s="105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105"/>
      <c r="AM439" s="81"/>
      <c r="AN439" s="81"/>
      <c r="AO439" s="81"/>
      <c r="AP439" s="81"/>
      <c r="AQ439" s="81"/>
      <c r="AR439" s="81"/>
      <c r="AS439" s="81"/>
      <c r="AT439" s="81"/>
      <c r="AU439" s="81"/>
    </row>
    <row r="440" spans="1:47" ht="24" customHeight="1" x14ac:dyDescent="0.5">
      <c r="A440" s="81"/>
      <c r="B440" s="81"/>
      <c r="C440" s="81"/>
      <c r="D440" s="81"/>
      <c r="E440" s="81"/>
      <c r="F440" s="81"/>
      <c r="G440" s="105"/>
      <c r="H440" s="81"/>
      <c r="I440" s="81"/>
      <c r="J440" s="81"/>
      <c r="K440" s="105"/>
      <c r="L440" s="81"/>
      <c r="M440" s="81"/>
      <c r="N440" s="81"/>
      <c r="O440" s="81"/>
      <c r="P440" s="81"/>
      <c r="Q440" s="81"/>
      <c r="R440" s="105"/>
      <c r="S440" s="81"/>
      <c r="T440" s="81"/>
      <c r="U440" s="81"/>
      <c r="V440" s="105"/>
      <c r="W440" s="81"/>
      <c r="X440" s="81"/>
      <c r="Y440" s="105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105"/>
      <c r="AM440" s="81"/>
      <c r="AN440" s="81"/>
      <c r="AO440" s="81"/>
      <c r="AP440" s="81"/>
      <c r="AQ440" s="81"/>
      <c r="AR440" s="81"/>
      <c r="AS440" s="81"/>
      <c r="AT440" s="81"/>
      <c r="AU440" s="81"/>
    </row>
    <row r="441" spans="1:47" ht="24" customHeight="1" x14ac:dyDescent="0.5">
      <c r="A441" s="81"/>
      <c r="B441" s="81"/>
      <c r="C441" s="81"/>
      <c r="D441" s="81"/>
      <c r="E441" s="81"/>
      <c r="F441" s="81"/>
      <c r="G441" s="105"/>
      <c r="H441" s="81"/>
      <c r="I441" s="81"/>
      <c r="J441" s="81"/>
      <c r="K441" s="105"/>
      <c r="L441" s="81"/>
      <c r="M441" s="81"/>
      <c r="N441" s="81"/>
      <c r="O441" s="81"/>
      <c r="P441" s="81"/>
      <c r="Q441" s="81"/>
      <c r="R441" s="105"/>
      <c r="S441" s="81"/>
      <c r="T441" s="81"/>
      <c r="U441" s="81"/>
      <c r="V441" s="105"/>
      <c r="W441" s="81"/>
      <c r="X441" s="81"/>
      <c r="Y441" s="105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105"/>
      <c r="AM441" s="81"/>
      <c r="AN441" s="81"/>
      <c r="AO441" s="81"/>
      <c r="AP441" s="81"/>
      <c r="AQ441" s="81"/>
      <c r="AR441" s="81"/>
      <c r="AS441" s="81"/>
      <c r="AT441" s="81"/>
      <c r="AU441" s="81"/>
    </row>
    <row r="442" spans="1:47" ht="24" customHeight="1" x14ac:dyDescent="0.5">
      <c r="A442" s="81"/>
      <c r="B442" s="81"/>
      <c r="C442" s="81"/>
      <c r="D442" s="81"/>
      <c r="E442" s="81"/>
      <c r="F442" s="81"/>
      <c r="G442" s="105"/>
      <c r="H442" s="81"/>
      <c r="I442" s="81"/>
      <c r="J442" s="81"/>
      <c r="K442" s="105"/>
      <c r="L442" s="81"/>
      <c r="M442" s="81"/>
      <c r="N442" s="81"/>
      <c r="O442" s="81"/>
      <c r="P442" s="81"/>
      <c r="Q442" s="81"/>
      <c r="R442" s="105"/>
      <c r="S442" s="81"/>
      <c r="T442" s="81"/>
      <c r="U442" s="81"/>
      <c r="V442" s="105"/>
      <c r="W442" s="81"/>
      <c r="X442" s="81"/>
      <c r="Y442" s="105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105"/>
      <c r="AM442" s="81"/>
      <c r="AN442" s="81"/>
      <c r="AO442" s="81"/>
      <c r="AP442" s="81"/>
      <c r="AQ442" s="81"/>
      <c r="AR442" s="81"/>
      <c r="AS442" s="81"/>
      <c r="AT442" s="81"/>
      <c r="AU442" s="81"/>
    </row>
    <row r="443" spans="1:47" ht="24" customHeight="1" x14ac:dyDescent="0.5">
      <c r="A443" s="81"/>
      <c r="B443" s="81"/>
      <c r="C443" s="81"/>
      <c r="D443" s="81"/>
      <c r="E443" s="81"/>
      <c r="F443" s="81"/>
      <c r="G443" s="105"/>
      <c r="H443" s="81"/>
      <c r="I443" s="81"/>
      <c r="J443" s="81"/>
      <c r="K443" s="105"/>
      <c r="L443" s="81"/>
      <c r="M443" s="81"/>
      <c r="N443" s="81"/>
      <c r="O443" s="81"/>
      <c r="P443" s="81"/>
      <c r="Q443" s="81"/>
      <c r="R443" s="105"/>
      <c r="S443" s="81"/>
      <c r="T443" s="81"/>
      <c r="U443" s="81"/>
      <c r="V443" s="105"/>
      <c r="W443" s="81"/>
      <c r="X443" s="81"/>
      <c r="Y443" s="105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105"/>
      <c r="AM443" s="81"/>
      <c r="AN443" s="81"/>
      <c r="AO443" s="81"/>
      <c r="AP443" s="81"/>
      <c r="AQ443" s="81"/>
      <c r="AR443" s="81"/>
      <c r="AS443" s="81"/>
      <c r="AT443" s="81"/>
      <c r="AU443" s="81"/>
    </row>
    <row r="444" spans="1:47" ht="24" customHeight="1" x14ac:dyDescent="0.5">
      <c r="A444" s="81"/>
      <c r="B444" s="81"/>
      <c r="C444" s="81"/>
      <c r="D444" s="81"/>
      <c r="E444" s="81"/>
      <c r="F444" s="81"/>
      <c r="G444" s="105"/>
      <c r="H444" s="81"/>
      <c r="I444" s="81"/>
      <c r="J444" s="81"/>
      <c r="K444" s="105"/>
      <c r="L444" s="81"/>
      <c r="M444" s="81"/>
      <c r="N444" s="81"/>
      <c r="O444" s="81"/>
      <c r="P444" s="81"/>
      <c r="Q444" s="81"/>
      <c r="R444" s="105"/>
      <c r="S444" s="81"/>
      <c r="T444" s="81"/>
      <c r="U444" s="81"/>
      <c r="V444" s="105"/>
      <c r="W444" s="81"/>
      <c r="X444" s="81"/>
      <c r="Y444" s="105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105"/>
      <c r="AM444" s="81"/>
      <c r="AN444" s="81"/>
      <c r="AO444" s="81"/>
      <c r="AP444" s="81"/>
      <c r="AQ444" s="81"/>
      <c r="AR444" s="81"/>
      <c r="AS444" s="81"/>
      <c r="AT444" s="81"/>
      <c r="AU444" s="81"/>
    </row>
    <row r="445" spans="1:47" ht="24" customHeight="1" x14ac:dyDescent="0.5">
      <c r="A445" s="81"/>
      <c r="B445" s="81"/>
      <c r="C445" s="81"/>
      <c r="D445" s="81"/>
      <c r="E445" s="81"/>
      <c r="F445" s="81"/>
      <c r="G445" s="105"/>
      <c r="H445" s="81"/>
      <c r="I445" s="81"/>
      <c r="J445" s="81"/>
      <c r="K445" s="105"/>
      <c r="L445" s="81"/>
      <c r="M445" s="81"/>
      <c r="N445" s="81"/>
      <c r="O445" s="81"/>
      <c r="P445" s="81"/>
      <c r="Q445" s="81"/>
      <c r="R445" s="105"/>
      <c r="S445" s="81"/>
      <c r="T445" s="81"/>
      <c r="U445" s="81"/>
      <c r="V445" s="105"/>
      <c r="W445" s="81"/>
      <c r="X445" s="81"/>
      <c r="Y445" s="105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105"/>
      <c r="AM445" s="81"/>
      <c r="AN445" s="81"/>
      <c r="AO445" s="81"/>
      <c r="AP445" s="81"/>
      <c r="AQ445" s="81"/>
      <c r="AR445" s="81"/>
      <c r="AS445" s="81"/>
      <c r="AT445" s="81"/>
      <c r="AU445" s="81"/>
    </row>
    <row r="446" spans="1:47" ht="24" customHeight="1" x14ac:dyDescent="0.5">
      <c r="A446" s="81"/>
      <c r="B446" s="81"/>
      <c r="C446" s="81"/>
      <c r="D446" s="81"/>
      <c r="E446" s="81"/>
      <c r="F446" s="81"/>
      <c r="G446" s="105"/>
      <c r="H446" s="81"/>
      <c r="I446" s="81"/>
      <c r="J446" s="81"/>
      <c r="K446" s="105"/>
      <c r="L446" s="81"/>
      <c r="M446" s="81"/>
      <c r="N446" s="81"/>
      <c r="O446" s="81"/>
      <c r="P446" s="81"/>
      <c r="Q446" s="81"/>
      <c r="R446" s="105"/>
      <c r="S446" s="81"/>
      <c r="T446" s="81"/>
      <c r="U446" s="81"/>
      <c r="V446" s="105"/>
      <c r="W446" s="81"/>
      <c r="X446" s="81"/>
      <c r="Y446" s="105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105"/>
      <c r="AM446" s="81"/>
      <c r="AN446" s="81"/>
      <c r="AO446" s="81"/>
      <c r="AP446" s="81"/>
      <c r="AQ446" s="81"/>
      <c r="AR446" s="81"/>
      <c r="AS446" s="81"/>
      <c r="AT446" s="81"/>
      <c r="AU446" s="81"/>
    </row>
    <row r="447" spans="1:47" ht="24" customHeight="1" x14ac:dyDescent="0.5">
      <c r="A447" s="81"/>
      <c r="B447" s="81"/>
      <c r="C447" s="81"/>
      <c r="D447" s="81"/>
      <c r="E447" s="81"/>
      <c r="F447" s="81"/>
      <c r="G447" s="105"/>
      <c r="H447" s="81"/>
      <c r="I447" s="81"/>
      <c r="J447" s="81"/>
      <c r="K447" s="105"/>
      <c r="L447" s="81"/>
      <c r="M447" s="81"/>
      <c r="N447" s="81"/>
      <c r="O447" s="81"/>
      <c r="P447" s="81"/>
      <c r="Q447" s="81"/>
      <c r="R447" s="105"/>
      <c r="S447" s="81"/>
      <c r="T447" s="81"/>
      <c r="U447" s="81"/>
      <c r="V447" s="105"/>
      <c r="W447" s="81"/>
      <c r="X447" s="81"/>
      <c r="Y447" s="105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105"/>
      <c r="AM447" s="81"/>
      <c r="AN447" s="81"/>
      <c r="AO447" s="81"/>
      <c r="AP447" s="81"/>
      <c r="AQ447" s="81"/>
      <c r="AR447" s="81"/>
      <c r="AS447" s="81"/>
      <c r="AT447" s="81"/>
      <c r="AU447" s="81"/>
    </row>
    <row r="448" spans="1:47" ht="24" customHeight="1" x14ac:dyDescent="0.5">
      <c r="A448" s="81"/>
      <c r="B448" s="81"/>
      <c r="C448" s="81"/>
      <c r="D448" s="81"/>
      <c r="E448" s="81"/>
      <c r="F448" s="81"/>
      <c r="G448" s="105"/>
      <c r="H448" s="81"/>
      <c r="I448" s="81"/>
      <c r="J448" s="81"/>
      <c r="K448" s="105"/>
      <c r="L448" s="81"/>
      <c r="M448" s="81"/>
      <c r="N448" s="81"/>
      <c r="O448" s="81"/>
      <c r="P448" s="81"/>
      <c r="Q448" s="81"/>
      <c r="R448" s="105"/>
      <c r="S448" s="81"/>
      <c r="T448" s="81"/>
      <c r="U448" s="81"/>
      <c r="V448" s="105"/>
      <c r="W448" s="81"/>
      <c r="X448" s="81"/>
      <c r="Y448" s="105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105"/>
      <c r="AM448" s="81"/>
      <c r="AN448" s="81"/>
      <c r="AO448" s="81"/>
      <c r="AP448" s="81"/>
      <c r="AQ448" s="81"/>
      <c r="AR448" s="81"/>
      <c r="AS448" s="81"/>
      <c r="AT448" s="81"/>
      <c r="AU448" s="81"/>
    </row>
    <row r="449" spans="1:47" ht="24" customHeight="1" x14ac:dyDescent="0.5">
      <c r="A449" s="81"/>
      <c r="B449" s="81"/>
      <c r="C449" s="81"/>
      <c r="D449" s="81"/>
      <c r="E449" s="81"/>
      <c r="F449" s="81"/>
      <c r="G449" s="105"/>
      <c r="H449" s="81"/>
      <c r="I449" s="81"/>
      <c r="J449" s="81"/>
      <c r="K449" s="105"/>
      <c r="L449" s="81"/>
      <c r="M449" s="81"/>
      <c r="N449" s="81"/>
      <c r="O449" s="81"/>
      <c r="P449" s="81"/>
      <c r="Q449" s="81"/>
      <c r="R449" s="105"/>
      <c r="S449" s="81"/>
      <c r="T449" s="81"/>
      <c r="U449" s="81"/>
      <c r="V449" s="105"/>
      <c r="W449" s="81"/>
      <c r="X449" s="81"/>
      <c r="Y449" s="105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105"/>
      <c r="AM449" s="81"/>
      <c r="AN449" s="81"/>
      <c r="AO449" s="81"/>
      <c r="AP449" s="81"/>
      <c r="AQ449" s="81"/>
      <c r="AR449" s="81"/>
      <c r="AS449" s="81"/>
      <c r="AT449" s="81"/>
      <c r="AU449" s="81"/>
    </row>
    <row r="450" spans="1:47" ht="24" customHeight="1" x14ac:dyDescent="0.5">
      <c r="A450" s="81"/>
      <c r="B450" s="81"/>
      <c r="C450" s="81"/>
      <c r="D450" s="81"/>
      <c r="E450" s="81"/>
      <c r="F450" s="81"/>
      <c r="G450" s="105"/>
      <c r="H450" s="81"/>
      <c r="I450" s="81"/>
      <c r="J450" s="81"/>
      <c r="K450" s="105"/>
      <c r="L450" s="81"/>
      <c r="M450" s="81"/>
      <c r="N450" s="81"/>
      <c r="O450" s="81"/>
      <c r="P450" s="81"/>
      <c r="Q450" s="81"/>
      <c r="R450" s="105"/>
      <c r="S450" s="81"/>
      <c r="T450" s="81"/>
      <c r="U450" s="81"/>
      <c r="V450" s="105"/>
      <c r="W450" s="81"/>
      <c r="X450" s="81"/>
      <c r="Y450" s="105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105"/>
      <c r="AM450" s="81"/>
      <c r="AN450" s="81"/>
      <c r="AO450" s="81"/>
      <c r="AP450" s="81"/>
      <c r="AQ450" s="81"/>
      <c r="AR450" s="81"/>
      <c r="AS450" s="81"/>
      <c r="AT450" s="81"/>
      <c r="AU450" s="81"/>
    </row>
    <row r="451" spans="1:47" ht="24" customHeight="1" x14ac:dyDescent="0.5">
      <c r="A451" s="81"/>
      <c r="B451" s="81"/>
      <c r="C451" s="81"/>
      <c r="D451" s="81"/>
      <c r="E451" s="81"/>
      <c r="F451" s="81"/>
      <c r="G451" s="105"/>
      <c r="H451" s="81"/>
      <c r="I451" s="81"/>
      <c r="J451" s="81"/>
      <c r="K451" s="105"/>
      <c r="L451" s="81"/>
      <c r="M451" s="81"/>
      <c r="N451" s="81"/>
      <c r="O451" s="81"/>
      <c r="P451" s="81"/>
      <c r="Q451" s="81"/>
      <c r="R451" s="105"/>
      <c r="S451" s="81"/>
      <c r="T451" s="81"/>
      <c r="U451" s="81"/>
      <c r="V451" s="105"/>
      <c r="W451" s="81"/>
      <c r="X451" s="81"/>
      <c r="Y451" s="105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105"/>
      <c r="AM451" s="81"/>
      <c r="AN451" s="81"/>
      <c r="AO451" s="81"/>
      <c r="AP451" s="81"/>
      <c r="AQ451" s="81"/>
      <c r="AR451" s="81"/>
      <c r="AS451" s="81"/>
      <c r="AT451" s="81"/>
      <c r="AU451" s="81"/>
    </row>
    <row r="452" spans="1:47" ht="24" customHeight="1" x14ac:dyDescent="0.5">
      <c r="A452" s="81"/>
      <c r="B452" s="81"/>
      <c r="C452" s="81"/>
      <c r="D452" s="81"/>
      <c r="E452" s="81"/>
      <c r="F452" s="81"/>
      <c r="G452" s="105"/>
      <c r="H452" s="81"/>
      <c r="I452" s="81"/>
      <c r="J452" s="81"/>
      <c r="K452" s="105"/>
      <c r="L452" s="81"/>
      <c r="M452" s="81"/>
      <c r="N452" s="81"/>
      <c r="O452" s="81"/>
      <c r="P452" s="81"/>
      <c r="Q452" s="81"/>
      <c r="R452" s="105"/>
      <c r="S452" s="81"/>
      <c r="T452" s="81"/>
      <c r="U452" s="81"/>
      <c r="V452" s="105"/>
      <c r="W452" s="81"/>
      <c r="X452" s="81"/>
      <c r="Y452" s="105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105"/>
      <c r="AM452" s="81"/>
      <c r="AN452" s="81"/>
      <c r="AO452" s="81"/>
      <c r="AP452" s="81"/>
      <c r="AQ452" s="81"/>
      <c r="AR452" s="81"/>
      <c r="AS452" s="81"/>
      <c r="AT452" s="81"/>
      <c r="AU452" s="81"/>
    </row>
    <row r="453" spans="1:47" ht="24" customHeight="1" x14ac:dyDescent="0.5">
      <c r="A453" s="81"/>
      <c r="B453" s="81"/>
      <c r="C453" s="81"/>
      <c r="D453" s="81"/>
      <c r="E453" s="81"/>
      <c r="F453" s="81"/>
      <c r="G453" s="105"/>
      <c r="H453" s="81"/>
      <c r="I453" s="81"/>
      <c r="J453" s="81"/>
      <c r="K453" s="105"/>
      <c r="L453" s="81"/>
      <c r="M453" s="81"/>
      <c r="N453" s="81"/>
      <c r="O453" s="81"/>
      <c r="P453" s="81"/>
      <c r="Q453" s="81"/>
      <c r="R453" s="105"/>
      <c r="S453" s="81"/>
      <c r="T453" s="81"/>
      <c r="U453" s="81"/>
      <c r="V453" s="105"/>
      <c r="W453" s="81"/>
      <c r="X453" s="81"/>
      <c r="Y453" s="105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105"/>
      <c r="AM453" s="81"/>
      <c r="AN453" s="81"/>
      <c r="AO453" s="81"/>
      <c r="AP453" s="81"/>
      <c r="AQ453" s="81"/>
      <c r="AR453" s="81"/>
      <c r="AS453" s="81"/>
      <c r="AT453" s="81"/>
      <c r="AU453" s="81"/>
    </row>
    <row r="454" spans="1:47" ht="24" customHeight="1" x14ac:dyDescent="0.5">
      <c r="A454" s="81"/>
      <c r="B454" s="81"/>
      <c r="C454" s="81"/>
      <c r="D454" s="81"/>
      <c r="E454" s="81"/>
      <c r="F454" s="81"/>
      <c r="G454" s="105"/>
      <c r="H454" s="81"/>
      <c r="I454" s="81"/>
      <c r="J454" s="81"/>
      <c r="K454" s="105"/>
      <c r="L454" s="81"/>
      <c r="M454" s="81"/>
      <c r="N454" s="81"/>
      <c r="O454" s="81"/>
      <c r="P454" s="81"/>
      <c r="Q454" s="81"/>
      <c r="R454" s="105"/>
      <c r="S454" s="81"/>
      <c r="T454" s="81"/>
      <c r="U454" s="81"/>
      <c r="V454" s="105"/>
      <c r="W454" s="81"/>
      <c r="X454" s="81"/>
      <c r="Y454" s="105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105"/>
      <c r="AM454" s="81"/>
      <c r="AN454" s="81"/>
      <c r="AO454" s="81"/>
      <c r="AP454" s="81"/>
      <c r="AQ454" s="81"/>
      <c r="AR454" s="81"/>
      <c r="AS454" s="81"/>
      <c r="AT454" s="81"/>
      <c r="AU454" s="81"/>
    </row>
    <row r="455" spans="1:47" ht="24" customHeight="1" x14ac:dyDescent="0.5">
      <c r="A455" s="81"/>
      <c r="B455" s="81"/>
      <c r="C455" s="81"/>
      <c r="D455" s="81"/>
      <c r="E455" s="81"/>
      <c r="F455" s="81"/>
      <c r="G455" s="105"/>
      <c r="H455" s="81"/>
      <c r="I455" s="81"/>
      <c r="J455" s="81"/>
      <c r="K455" s="105"/>
      <c r="L455" s="81"/>
      <c r="M455" s="81"/>
      <c r="N455" s="81"/>
      <c r="O455" s="81"/>
      <c r="P455" s="81"/>
      <c r="Q455" s="81"/>
      <c r="R455" s="105"/>
      <c r="S455" s="81"/>
      <c r="T455" s="81"/>
      <c r="U455" s="81"/>
      <c r="V455" s="105"/>
      <c r="W455" s="81"/>
      <c r="X455" s="81"/>
      <c r="Y455" s="105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105"/>
      <c r="AM455" s="81"/>
      <c r="AN455" s="81"/>
      <c r="AO455" s="81"/>
      <c r="AP455" s="81"/>
      <c r="AQ455" s="81"/>
      <c r="AR455" s="81"/>
      <c r="AS455" s="81"/>
      <c r="AT455" s="81"/>
      <c r="AU455" s="81"/>
    </row>
    <row r="456" spans="1:47" ht="24" customHeight="1" x14ac:dyDescent="0.5">
      <c r="A456" s="81"/>
      <c r="B456" s="81"/>
      <c r="C456" s="81"/>
      <c r="D456" s="81"/>
      <c r="E456" s="81"/>
      <c r="F456" s="81"/>
      <c r="G456" s="105"/>
      <c r="H456" s="81"/>
      <c r="I456" s="81"/>
      <c r="J456" s="81"/>
      <c r="K456" s="105"/>
      <c r="L456" s="81"/>
      <c r="M456" s="81"/>
      <c r="N456" s="81"/>
      <c r="O456" s="81"/>
      <c r="P456" s="81"/>
      <c r="Q456" s="81"/>
      <c r="R456" s="105"/>
      <c r="S456" s="81"/>
      <c r="T456" s="81"/>
      <c r="U456" s="81"/>
      <c r="V456" s="105"/>
      <c r="W456" s="81"/>
      <c r="X456" s="81"/>
      <c r="Y456" s="105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105"/>
      <c r="AM456" s="81"/>
      <c r="AN456" s="81"/>
      <c r="AO456" s="81"/>
      <c r="AP456" s="81"/>
      <c r="AQ456" s="81"/>
      <c r="AR456" s="81"/>
      <c r="AS456" s="81"/>
      <c r="AT456" s="81"/>
      <c r="AU456" s="81"/>
    </row>
    <row r="457" spans="1:47" ht="24" customHeight="1" x14ac:dyDescent="0.5">
      <c r="A457" s="81"/>
      <c r="B457" s="81"/>
      <c r="C457" s="81"/>
      <c r="D457" s="81"/>
      <c r="E457" s="81"/>
      <c r="F457" s="81"/>
      <c r="G457" s="105"/>
      <c r="H457" s="81"/>
      <c r="I457" s="81"/>
      <c r="J457" s="81"/>
      <c r="K457" s="105"/>
      <c r="L457" s="81"/>
      <c r="M457" s="81"/>
      <c r="N457" s="81"/>
      <c r="O457" s="81"/>
      <c r="P457" s="81"/>
      <c r="Q457" s="81"/>
      <c r="R457" s="105"/>
      <c r="S457" s="81"/>
      <c r="T457" s="81"/>
      <c r="U457" s="81"/>
      <c r="V457" s="105"/>
      <c r="W457" s="81"/>
      <c r="X457" s="81"/>
      <c r="Y457" s="105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105"/>
      <c r="AM457" s="81"/>
      <c r="AN457" s="81"/>
      <c r="AO457" s="81"/>
      <c r="AP457" s="81"/>
      <c r="AQ457" s="81"/>
      <c r="AR457" s="81"/>
      <c r="AS457" s="81"/>
      <c r="AT457" s="81"/>
      <c r="AU457" s="81"/>
    </row>
    <row r="458" spans="1:47" ht="24" customHeight="1" x14ac:dyDescent="0.5">
      <c r="A458" s="81"/>
      <c r="B458" s="81"/>
      <c r="C458" s="81"/>
      <c r="D458" s="81"/>
      <c r="E458" s="81"/>
      <c r="F458" s="81"/>
      <c r="G458" s="105"/>
      <c r="H458" s="81"/>
      <c r="I458" s="81"/>
      <c r="J458" s="81"/>
      <c r="K458" s="105"/>
      <c r="L458" s="81"/>
      <c r="M458" s="81"/>
      <c r="N458" s="81"/>
      <c r="O458" s="81"/>
      <c r="P458" s="81"/>
      <c r="Q458" s="81"/>
      <c r="R458" s="105"/>
      <c r="S458" s="81"/>
      <c r="T458" s="81"/>
      <c r="U458" s="81"/>
      <c r="V458" s="105"/>
      <c r="W458" s="81"/>
      <c r="X458" s="81"/>
      <c r="Y458" s="105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105"/>
      <c r="AM458" s="81"/>
      <c r="AN458" s="81"/>
      <c r="AO458" s="81"/>
      <c r="AP458" s="81"/>
      <c r="AQ458" s="81"/>
      <c r="AR458" s="81"/>
      <c r="AS458" s="81"/>
      <c r="AT458" s="81"/>
      <c r="AU458" s="81"/>
    </row>
    <row r="459" spans="1:47" ht="24" customHeight="1" x14ac:dyDescent="0.5">
      <c r="A459" s="81"/>
      <c r="B459" s="81"/>
      <c r="C459" s="81"/>
      <c r="D459" s="81"/>
      <c r="E459" s="81"/>
      <c r="F459" s="81"/>
      <c r="G459" s="105"/>
      <c r="H459" s="81"/>
      <c r="I459" s="81"/>
      <c r="J459" s="81"/>
      <c r="K459" s="105"/>
      <c r="L459" s="81"/>
      <c r="M459" s="81"/>
      <c r="N459" s="81"/>
      <c r="O459" s="81"/>
      <c r="P459" s="81"/>
      <c r="Q459" s="81"/>
      <c r="R459" s="105"/>
      <c r="S459" s="81"/>
      <c r="T459" s="81"/>
      <c r="U459" s="81"/>
      <c r="V459" s="105"/>
      <c r="W459" s="81"/>
      <c r="X459" s="81"/>
      <c r="Y459" s="105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105"/>
      <c r="AM459" s="81"/>
      <c r="AN459" s="81"/>
      <c r="AO459" s="81"/>
      <c r="AP459" s="81"/>
      <c r="AQ459" s="81"/>
      <c r="AR459" s="81"/>
      <c r="AS459" s="81"/>
      <c r="AT459" s="81"/>
      <c r="AU459" s="81"/>
    </row>
    <row r="460" spans="1:47" ht="24" customHeight="1" x14ac:dyDescent="0.5">
      <c r="A460" s="81"/>
      <c r="B460" s="81"/>
      <c r="C460" s="81"/>
      <c r="D460" s="81"/>
      <c r="E460" s="81"/>
      <c r="F460" s="81"/>
      <c r="G460" s="105"/>
      <c r="H460" s="81"/>
      <c r="I460" s="81"/>
      <c r="J460" s="81"/>
      <c r="K460" s="105"/>
      <c r="L460" s="81"/>
      <c r="M460" s="81"/>
      <c r="N460" s="81"/>
      <c r="O460" s="81"/>
      <c r="P460" s="81"/>
      <c r="Q460" s="81"/>
      <c r="R460" s="105"/>
      <c r="S460" s="81"/>
      <c r="T460" s="81"/>
      <c r="U460" s="81"/>
      <c r="V460" s="105"/>
      <c r="W460" s="81"/>
      <c r="X460" s="81"/>
      <c r="Y460" s="105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105"/>
      <c r="AM460" s="81"/>
      <c r="AN460" s="81"/>
      <c r="AO460" s="81"/>
      <c r="AP460" s="81"/>
      <c r="AQ460" s="81"/>
      <c r="AR460" s="81"/>
      <c r="AS460" s="81"/>
      <c r="AT460" s="81"/>
      <c r="AU460" s="81"/>
    </row>
    <row r="461" spans="1:47" ht="24" customHeight="1" x14ac:dyDescent="0.5">
      <c r="A461" s="81"/>
      <c r="B461" s="81"/>
      <c r="C461" s="81"/>
      <c r="D461" s="81"/>
      <c r="E461" s="81"/>
      <c r="F461" s="81"/>
      <c r="G461" s="105"/>
      <c r="H461" s="81"/>
      <c r="I461" s="81"/>
      <c r="J461" s="81"/>
      <c r="K461" s="105"/>
      <c r="L461" s="81"/>
      <c r="M461" s="81"/>
      <c r="N461" s="81"/>
      <c r="O461" s="81"/>
      <c r="P461" s="81"/>
      <c r="Q461" s="81"/>
      <c r="R461" s="105"/>
      <c r="S461" s="81"/>
      <c r="T461" s="81"/>
      <c r="U461" s="81"/>
      <c r="V461" s="105"/>
      <c r="W461" s="81"/>
      <c r="X461" s="81"/>
      <c r="Y461" s="105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105"/>
      <c r="AM461" s="81"/>
      <c r="AN461" s="81"/>
      <c r="AO461" s="81"/>
      <c r="AP461" s="81"/>
      <c r="AQ461" s="81"/>
      <c r="AR461" s="81"/>
      <c r="AS461" s="81"/>
      <c r="AT461" s="81"/>
      <c r="AU461" s="81"/>
    </row>
    <row r="462" spans="1:47" ht="24" customHeight="1" x14ac:dyDescent="0.5">
      <c r="A462" s="81"/>
      <c r="B462" s="81"/>
      <c r="C462" s="81"/>
      <c r="D462" s="81"/>
      <c r="E462" s="81"/>
      <c r="F462" s="81"/>
      <c r="G462" s="105"/>
      <c r="H462" s="81"/>
      <c r="I462" s="81"/>
      <c r="J462" s="81"/>
      <c r="K462" s="105"/>
      <c r="L462" s="81"/>
      <c r="M462" s="81"/>
      <c r="N462" s="81"/>
      <c r="O462" s="81"/>
      <c r="P462" s="81"/>
      <c r="Q462" s="81"/>
      <c r="R462" s="105"/>
      <c r="S462" s="81"/>
      <c r="T462" s="81"/>
      <c r="U462" s="81"/>
      <c r="V462" s="105"/>
      <c r="W462" s="81"/>
      <c r="X462" s="81"/>
      <c r="Y462" s="105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105"/>
      <c r="AM462" s="81"/>
      <c r="AN462" s="81"/>
      <c r="AO462" s="81"/>
      <c r="AP462" s="81"/>
      <c r="AQ462" s="81"/>
      <c r="AR462" s="81"/>
      <c r="AS462" s="81"/>
      <c r="AT462" s="81"/>
      <c r="AU462" s="81"/>
    </row>
    <row r="463" spans="1:47" ht="24" customHeight="1" x14ac:dyDescent="0.5">
      <c r="A463" s="81"/>
      <c r="B463" s="81"/>
      <c r="C463" s="81"/>
      <c r="D463" s="81"/>
      <c r="E463" s="81"/>
      <c r="F463" s="81"/>
      <c r="G463" s="105"/>
      <c r="H463" s="81"/>
      <c r="I463" s="81"/>
      <c r="J463" s="81"/>
      <c r="K463" s="105"/>
      <c r="L463" s="81"/>
      <c r="M463" s="81"/>
      <c r="N463" s="81"/>
      <c r="O463" s="81"/>
      <c r="P463" s="81"/>
      <c r="Q463" s="81"/>
      <c r="R463" s="105"/>
      <c r="S463" s="81"/>
      <c r="T463" s="81"/>
      <c r="U463" s="81"/>
      <c r="V463" s="105"/>
      <c r="W463" s="81"/>
      <c r="X463" s="81"/>
      <c r="Y463" s="105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105"/>
      <c r="AM463" s="81"/>
      <c r="AN463" s="81"/>
      <c r="AO463" s="81"/>
      <c r="AP463" s="81"/>
      <c r="AQ463" s="81"/>
      <c r="AR463" s="81"/>
      <c r="AS463" s="81"/>
      <c r="AT463" s="81"/>
      <c r="AU463" s="81"/>
    </row>
    <row r="464" spans="1:47" ht="24" customHeight="1" x14ac:dyDescent="0.5">
      <c r="A464" s="81"/>
      <c r="B464" s="81"/>
      <c r="C464" s="81"/>
      <c r="D464" s="81"/>
      <c r="E464" s="81"/>
      <c r="F464" s="81"/>
      <c r="G464" s="105"/>
      <c r="H464" s="81"/>
      <c r="I464" s="81"/>
      <c r="J464" s="81"/>
      <c r="K464" s="105"/>
      <c r="L464" s="81"/>
      <c r="M464" s="81"/>
      <c r="N464" s="81"/>
      <c r="O464" s="81"/>
      <c r="P464" s="81"/>
      <c r="Q464" s="81"/>
      <c r="R464" s="105"/>
      <c r="S464" s="81"/>
      <c r="T464" s="81"/>
      <c r="U464" s="81"/>
      <c r="V464" s="105"/>
      <c r="W464" s="81"/>
      <c r="X464" s="81"/>
      <c r="Y464" s="105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105"/>
      <c r="AM464" s="81"/>
      <c r="AN464" s="81"/>
      <c r="AO464" s="81"/>
      <c r="AP464" s="81"/>
      <c r="AQ464" s="81"/>
      <c r="AR464" s="81"/>
      <c r="AS464" s="81"/>
      <c r="AT464" s="81"/>
      <c r="AU464" s="81"/>
    </row>
    <row r="465" spans="1:47" ht="24" customHeight="1" x14ac:dyDescent="0.5">
      <c r="A465" s="81"/>
      <c r="B465" s="81"/>
      <c r="C465" s="81"/>
      <c r="D465" s="81"/>
      <c r="E465" s="81"/>
      <c r="F465" s="81"/>
      <c r="G465" s="105"/>
      <c r="H465" s="81"/>
      <c r="I465" s="81"/>
      <c r="J465" s="81"/>
      <c r="K465" s="105"/>
      <c r="L465" s="81"/>
      <c r="M465" s="81"/>
      <c r="N465" s="81"/>
      <c r="O465" s="81"/>
      <c r="P465" s="81"/>
      <c r="Q465" s="81"/>
      <c r="R465" s="105"/>
      <c r="S465" s="81"/>
      <c r="T465" s="81"/>
      <c r="U465" s="81"/>
      <c r="V465" s="105"/>
      <c r="W465" s="81"/>
      <c r="X465" s="81"/>
      <c r="Y465" s="105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105"/>
      <c r="AM465" s="81"/>
      <c r="AN465" s="81"/>
      <c r="AO465" s="81"/>
      <c r="AP465" s="81"/>
      <c r="AQ465" s="81"/>
      <c r="AR465" s="81"/>
      <c r="AS465" s="81"/>
      <c r="AT465" s="81"/>
      <c r="AU465" s="81"/>
    </row>
    <row r="466" spans="1:47" ht="24" customHeight="1" x14ac:dyDescent="0.5">
      <c r="A466" s="81"/>
      <c r="B466" s="81"/>
      <c r="C466" s="81"/>
      <c r="D466" s="81"/>
      <c r="E466" s="81"/>
      <c r="F466" s="81"/>
      <c r="G466" s="105"/>
      <c r="H466" s="81"/>
      <c r="I466" s="81"/>
      <c r="J466" s="81"/>
      <c r="K466" s="105"/>
      <c r="L466" s="81"/>
      <c r="M466" s="81"/>
      <c r="N466" s="81"/>
      <c r="O466" s="81"/>
      <c r="P466" s="81"/>
      <c r="Q466" s="81"/>
      <c r="R466" s="105"/>
      <c r="S466" s="81"/>
      <c r="T466" s="81"/>
      <c r="U466" s="81"/>
      <c r="V466" s="105"/>
      <c r="W466" s="81"/>
      <c r="X466" s="81"/>
      <c r="Y466" s="105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105"/>
      <c r="AM466" s="81"/>
      <c r="AN466" s="81"/>
      <c r="AO466" s="81"/>
      <c r="AP466" s="81"/>
      <c r="AQ466" s="81"/>
      <c r="AR466" s="81"/>
      <c r="AS466" s="81"/>
      <c r="AT466" s="81"/>
      <c r="AU466" s="81"/>
    </row>
    <row r="467" spans="1:47" ht="24" customHeight="1" x14ac:dyDescent="0.5">
      <c r="A467" s="81"/>
      <c r="B467" s="81"/>
      <c r="C467" s="81"/>
      <c r="D467" s="81"/>
      <c r="E467" s="81"/>
      <c r="F467" s="81"/>
      <c r="G467" s="105"/>
      <c r="H467" s="81"/>
      <c r="I467" s="81"/>
      <c r="J467" s="81"/>
      <c r="K467" s="105"/>
      <c r="L467" s="81"/>
      <c r="M467" s="81"/>
      <c r="N467" s="81"/>
      <c r="O467" s="81"/>
      <c r="P467" s="81"/>
      <c r="Q467" s="81"/>
      <c r="R467" s="105"/>
      <c r="S467" s="81"/>
      <c r="T467" s="81"/>
      <c r="U467" s="81"/>
      <c r="V467" s="105"/>
      <c r="W467" s="81"/>
      <c r="X467" s="81"/>
      <c r="Y467" s="105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105"/>
      <c r="AM467" s="81"/>
      <c r="AN467" s="81"/>
      <c r="AO467" s="81"/>
      <c r="AP467" s="81"/>
      <c r="AQ467" s="81"/>
      <c r="AR467" s="81"/>
      <c r="AS467" s="81"/>
      <c r="AT467" s="81"/>
      <c r="AU467" s="81"/>
    </row>
    <row r="468" spans="1:47" ht="24" customHeight="1" x14ac:dyDescent="0.5">
      <c r="A468" s="81"/>
      <c r="B468" s="81"/>
      <c r="C468" s="81"/>
      <c r="D468" s="81"/>
      <c r="E468" s="81"/>
      <c r="F468" s="81"/>
      <c r="G468" s="105"/>
      <c r="H468" s="81"/>
      <c r="I468" s="81"/>
      <c r="J468" s="81"/>
      <c r="K468" s="105"/>
      <c r="L468" s="81"/>
      <c r="M468" s="81"/>
      <c r="N468" s="81"/>
      <c r="O468" s="81"/>
      <c r="P468" s="81"/>
      <c r="Q468" s="81"/>
      <c r="R468" s="105"/>
      <c r="S468" s="81"/>
      <c r="T468" s="81"/>
      <c r="U468" s="81"/>
      <c r="V468" s="105"/>
      <c r="W468" s="81"/>
      <c r="X468" s="81"/>
      <c r="Y468" s="105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105"/>
      <c r="AM468" s="81"/>
      <c r="AN468" s="81"/>
      <c r="AO468" s="81"/>
      <c r="AP468" s="81"/>
      <c r="AQ468" s="81"/>
      <c r="AR468" s="81"/>
      <c r="AS468" s="81"/>
      <c r="AT468" s="81"/>
      <c r="AU468" s="81"/>
    </row>
    <row r="469" spans="1:47" ht="24" customHeight="1" x14ac:dyDescent="0.5">
      <c r="A469" s="81"/>
      <c r="B469" s="81"/>
      <c r="C469" s="81"/>
      <c r="D469" s="81"/>
      <c r="E469" s="81"/>
      <c r="F469" s="81"/>
      <c r="G469" s="105"/>
      <c r="H469" s="81"/>
      <c r="I469" s="81"/>
      <c r="J469" s="81"/>
      <c r="K469" s="105"/>
      <c r="L469" s="81"/>
      <c r="M469" s="81"/>
      <c r="N469" s="81"/>
      <c r="O469" s="81"/>
      <c r="P469" s="81"/>
      <c r="Q469" s="81"/>
      <c r="R469" s="105"/>
      <c r="S469" s="81"/>
      <c r="T469" s="81"/>
      <c r="U469" s="81"/>
      <c r="V469" s="105"/>
      <c r="W469" s="81"/>
      <c r="X469" s="81"/>
      <c r="Y469" s="105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105"/>
      <c r="AM469" s="81"/>
      <c r="AN469" s="81"/>
      <c r="AO469" s="81"/>
      <c r="AP469" s="81"/>
      <c r="AQ469" s="81"/>
      <c r="AR469" s="81"/>
      <c r="AS469" s="81"/>
      <c r="AT469" s="81"/>
      <c r="AU469" s="81"/>
    </row>
    <row r="470" spans="1:47" ht="24" customHeight="1" x14ac:dyDescent="0.5">
      <c r="A470" s="81"/>
      <c r="B470" s="81"/>
      <c r="C470" s="81"/>
      <c r="D470" s="81"/>
      <c r="E470" s="81"/>
      <c r="F470" s="81"/>
      <c r="G470" s="105"/>
      <c r="H470" s="81"/>
      <c r="I470" s="81"/>
      <c r="J470" s="81"/>
      <c r="K470" s="105"/>
      <c r="L470" s="81"/>
      <c r="M470" s="81"/>
      <c r="N470" s="81"/>
      <c r="O470" s="81"/>
      <c r="P470" s="81"/>
      <c r="Q470" s="81"/>
      <c r="R470" s="105"/>
      <c r="S470" s="81"/>
      <c r="T470" s="81"/>
      <c r="U470" s="81"/>
      <c r="V470" s="105"/>
      <c r="W470" s="81"/>
      <c r="X470" s="81"/>
      <c r="Y470" s="105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105"/>
      <c r="AM470" s="81"/>
      <c r="AN470" s="81"/>
      <c r="AO470" s="81"/>
      <c r="AP470" s="81"/>
      <c r="AQ470" s="81"/>
      <c r="AR470" s="81"/>
      <c r="AS470" s="81"/>
      <c r="AT470" s="81"/>
      <c r="AU470" s="81"/>
    </row>
    <row r="471" spans="1:47" ht="24" customHeight="1" x14ac:dyDescent="0.5">
      <c r="A471" s="81"/>
      <c r="B471" s="81"/>
      <c r="C471" s="81"/>
      <c r="D471" s="81"/>
      <c r="E471" s="81"/>
      <c r="F471" s="81"/>
      <c r="G471" s="105"/>
      <c r="H471" s="81"/>
      <c r="I471" s="81"/>
      <c r="J471" s="81"/>
      <c r="K471" s="105"/>
      <c r="L471" s="81"/>
      <c r="M471" s="81"/>
      <c r="N471" s="81"/>
      <c r="O471" s="81"/>
      <c r="P471" s="81"/>
      <c r="Q471" s="81"/>
      <c r="R471" s="105"/>
      <c r="S471" s="81"/>
      <c r="T471" s="81"/>
      <c r="U471" s="81"/>
      <c r="V471" s="105"/>
      <c r="W471" s="81"/>
      <c r="X471" s="81"/>
      <c r="Y471" s="105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105"/>
      <c r="AM471" s="81"/>
      <c r="AN471" s="81"/>
      <c r="AO471" s="81"/>
      <c r="AP471" s="81"/>
      <c r="AQ471" s="81"/>
      <c r="AR471" s="81"/>
      <c r="AS471" s="81"/>
      <c r="AT471" s="81"/>
      <c r="AU471" s="81"/>
    </row>
    <row r="472" spans="1:47" ht="24" customHeight="1" x14ac:dyDescent="0.5">
      <c r="A472" s="81"/>
      <c r="B472" s="81"/>
      <c r="C472" s="81"/>
      <c r="D472" s="81"/>
      <c r="E472" s="81"/>
      <c r="F472" s="81"/>
      <c r="G472" s="105"/>
      <c r="H472" s="81"/>
      <c r="I472" s="81"/>
      <c r="J472" s="81"/>
      <c r="K472" s="105"/>
      <c r="L472" s="81"/>
      <c r="M472" s="81"/>
      <c r="N472" s="81"/>
      <c r="O472" s="81"/>
      <c r="P472" s="81"/>
      <c r="Q472" s="81"/>
      <c r="R472" s="105"/>
      <c r="S472" s="81"/>
      <c r="T472" s="81"/>
      <c r="U472" s="81"/>
      <c r="V472" s="105"/>
      <c r="W472" s="81"/>
      <c r="X472" s="81"/>
      <c r="Y472" s="105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105"/>
      <c r="AM472" s="81"/>
      <c r="AN472" s="81"/>
      <c r="AO472" s="81"/>
      <c r="AP472" s="81"/>
      <c r="AQ472" s="81"/>
      <c r="AR472" s="81"/>
      <c r="AS472" s="81"/>
      <c r="AT472" s="81"/>
      <c r="AU472" s="81"/>
    </row>
    <row r="473" spans="1:47" ht="24" customHeight="1" x14ac:dyDescent="0.5">
      <c r="A473" s="81"/>
      <c r="B473" s="81"/>
      <c r="C473" s="81"/>
      <c r="D473" s="81"/>
      <c r="E473" s="81"/>
      <c r="F473" s="81"/>
      <c r="G473" s="105"/>
      <c r="H473" s="81"/>
      <c r="I473" s="81"/>
      <c r="J473" s="81"/>
      <c r="K473" s="105"/>
      <c r="L473" s="81"/>
      <c r="M473" s="81"/>
      <c r="N473" s="81"/>
      <c r="O473" s="81"/>
      <c r="P473" s="81"/>
      <c r="Q473" s="81"/>
      <c r="R473" s="105"/>
      <c r="S473" s="81"/>
      <c r="T473" s="81"/>
      <c r="U473" s="81"/>
      <c r="V473" s="105"/>
      <c r="W473" s="81"/>
      <c r="X473" s="81"/>
      <c r="Y473" s="105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105"/>
      <c r="AM473" s="81"/>
      <c r="AN473" s="81"/>
      <c r="AO473" s="81"/>
      <c r="AP473" s="81"/>
      <c r="AQ473" s="81"/>
      <c r="AR473" s="81"/>
      <c r="AS473" s="81"/>
      <c r="AT473" s="81"/>
      <c r="AU473" s="81"/>
    </row>
    <row r="474" spans="1:47" ht="24" customHeight="1" x14ac:dyDescent="0.5">
      <c r="A474" s="81"/>
      <c r="B474" s="81"/>
      <c r="C474" s="81"/>
      <c r="D474" s="81"/>
      <c r="E474" s="81"/>
      <c r="F474" s="81"/>
      <c r="G474" s="105"/>
      <c r="H474" s="81"/>
      <c r="I474" s="81"/>
      <c r="J474" s="81"/>
      <c r="K474" s="105"/>
      <c r="L474" s="81"/>
      <c r="M474" s="81"/>
      <c r="N474" s="81"/>
      <c r="O474" s="81"/>
      <c r="P474" s="81"/>
      <c r="Q474" s="81"/>
      <c r="R474" s="105"/>
      <c r="S474" s="81"/>
      <c r="T474" s="81"/>
      <c r="U474" s="81"/>
      <c r="V474" s="105"/>
      <c r="W474" s="81"/>
      <c r="X474" s="81"/>
      <c r="Y474" s="105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105"/>
      <c r="AM474" s="81"/>
      <c r="AN474" s="81"/>
      <c r="AO474" s="81"/>
      <c r="AP474" s="81"/>
      <c r="AQ474" s="81"/>
      <c r="AR474" s="81"/>
      <c r="AS474" s="81"/>
      <c r="AT474" s="81"/>
      <c r="AU474" s="81"/>
    </row>
    <row r="475" spans="1:47" ht="24" customHeight="1" x14ac:dyDescent="0.5">
      <c r="A475" s="81"/>
      <c r="B475" s="81"/>
      <c r="C475" s="81"/>
      <c r="D475" s="81"/>
      <c r="E475" s="81"/>
      <c r="F475" s="81"/>
      <c r="G475" s="105"/>
      <c r="H475" s="81"/>
      <c r="I475" s="81"/>
      <c r="J475" s="81"/>
      <c r="K475" s="105"/>
      <c r="L475" s="81"/>
      <c r="M475" s="81"/>
      <c r="N475" s="81"/>
      <c r="O475" s="81"/>
      <c r="P475" s="81"/>
      <c r="Q475" s="81"/>
      <c r="R475" s="105"/>
      <c r="S475" s="81"/>
      <c r="T475" s="81"/>
      <c r="U475" s="81"/>
      <c r="V475" s="105"/>
      <c r="W475" s="81"/>
      <c r="X475" s="81"/>
      <c r="Y475" s="105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105"/>
      <c r="AM475" s="81"/>
      <c r="AN475" s="81"/>
      <c r="AO475" s="81"/>
      <c r="AP475" s="81"/>
      <c r="AQ475" s="81"/>
      <c r="AR475" s="81"/>
      <c r="AS475" s="81"/>
      <c r="AT475" s="81"/>
      <c r="AU475" s="81"/>
    </row>
    <row r="476" spans="1:47" ht="24" customHeight="1" x14ac:dyDescent="0.5">
      <c r="A476" s="81"/>
      <c r="B476" s="81"/>
      <c r="C476" s="81"/>
      <c r="D476" s="81"/>
      <c r="E476" s="81"/>
      <c r="F476" s="81"/>
      <c r="G476" s="105"/>
      <c r="H476" s="81"/>
      <c r="I476" s="81"/>
      <c r="J476" s="81"/>
      <c r="K476" s="105"/>
      <c r="L476" s="81"/>
      <c r="M476" s="81"/>
      <c r="N476" s="81"/>
      <c r="O476" s="81"/>
      <c r="P476" s="81"/>
      <c r="Q476" s="81"/>
      <c r="R476" s="105"/>
      <c r="S476" s="81"/>
      <c r="T476" s="81"/>
      <c r="U476" s="81"/>
      <c r="V476" s="105"/>
      <c r="W476" s="81"/>
      <c r="X476" s="81"/>
      <c r="Y476" s="105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105"/>
      <c r="AM476" s="81"/>
      <c r="AN476" s="81"/>
      <c r="AO476" s="81"/>
      <c r="AP476" s="81"/>
      <c r="AQ476" s="81"/>
      <c r="AR476" s="81"/>
      <c r="AS476" s="81"/>
      <c r="AT476" s="81"/>
      <c r="AU476" s="81"/>
    </row>
    <row r="477" spans="1:47" ht="24" customHeight="1" x14ac:dyDescent="0.5">
      <c r="A477" s="81"/>
      <c r="B477" s="81"/>
      <c r="C477" s="81"/>
      <c r="D477" s="81"/>
      <c r="E477" s="81"/>
      <c r="F477" s="81"/>
      <c r="G477" s="105"/>
      <c r="H477" s="81"/>
      <c r="I477" s="81"/>
      <c r="J477" s="81"/>
      <c r="K477" s="105"/>
      <c r="L477" s="81"/>
      <c r="M477" s="81"/>
      <c r="N477" s="81"/>
      <c r="O477" s="81"/>
      <c r="P477" s="81"/>
      <c r="Q477" s="81"/>
      <c r="R477" s="105"/>
      <c r="S477" s="81"/>
      <c r="T477" s="81"/>
      <c r="U477" s="81"/>
      <c r="V477" s="105"/>
      <c r="W477" s="81"/>
      <c r="X477" s="81"/>
      <c r="Y477" s="105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105"/>
      <c r="AM477" s="81"/>
      <c r="AN477" s="81"/>
      <c r="AO477" s="81"/>
      <c r="AP477" s="81"/>
      <c r="AQ477" s="81"/>
      <c r="AR477" s="81"/>
      <c r="AS477" s="81"/>
      <c r="AT477" s="81"/>
      <c r="AU477" s="81"/>
    </row>
    <row r="478" spans="1:47" ht="24" customHeight="1" x14ac:dyDescent="0.5">
      <c r="A478" s="81"/>
      <c r="B478" s="81"/>
      <c r="C478" s="81"/>
      <c r="D478" s="81"/>
      <c r="E478" s="81"/>
      <c r="F478" s="81"/>
      <c r="G478" s="105"/>
      <c r="H478" s="81"/>
      <c r="I478" s="81"/>
      <c r="J478" s="81"/>
      <c r="K478" s="105"/>
      <c r="L478" s="81"/>
      <c r="M478" s="81"/>
      <c r="N478" s="81"/>
      <c r="O478" s="81"/>
      <c r="P478" s="81"/>
      <c r="Q478" s="81"/>
      <c r="R478" s="105"/>
      <c r="S478" s="81"/>
      <c r="T478" s="81"/>
      <c r="U478" s="81"/>
      <c r="V478" s="105"/>
      <c r="W478" s="81"/>
      <c r="X478" s="81"/>
      <c r="Y478" s="105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105"/>
      <c r="AM478" s="81"/>
      <c r="AN478" s="81"/>
      <c r="AO478" s="81"/>
      <c r="AP478" s="81"/>
      <c r="AQ478" s="81"/>
      <c r="AR478" s="81"/>
      <c r="AS478" s="81"/>
      <c r="AT478" s="81"/>
      <c r="AU478" s="81"/>
    </row>
    <row r="479" spans="1:47" ht="24" customHeight="1" x14ac:dyDescent="0.5">
      <c r="A479" s="81"/>
      <c r="B479" s="81"/>
      <c r="C479" s="81"/>
      <c r="D479" s="81"/>
      <c r="E479" s="81"/>
      <c r="F479" s="81"/>
      <c r="G479" s="105"/>
      <c r="H479" s="81"/>
      <c r="I479" s="81"/>
      <c r="J479" s="81"/>
      <c r="K479" s="105"/>
      <c r="L479" s="81"/>
      <c r="M479" s="81"/>
      <c r="N479" s="81"/>
      <c r="O479" s="81"/>
      <c r="P479" s="81"/>
      <c r="Q479" s="81"/>
      <c r="R479" s="105"/>
      <c r="S479" s="81"/>
      <c r="T479" s="81"/>
      <c r="U479" s="81"/>
      <c r="V479" s="105"/>
      <c r="W479" s="81"/>
      <c r="X479" s="81"/>
      <c r="Y479" s="105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105"/>
      <c r="AM479" s="81"/>
      <c r="AN479" s="81"/>
      <c r="AO479" s="81"/>
      <c r="AP479" s="81"/>
      <c r="AQ479" s="81"/>
      <c r="AR479" s="81"/>
      <c r="AS479" s="81"/>
      <c r="AT479" s="81"/>
      <c r="AU479" s="81"/>
    </row>
    <row r="480" spans="1:47" ht="24" customHeight="1" x14ac:dyDescent="0.5">
      <c r="A480" s="81"/>
      <c r="B480" s="81"/>
      <c r="C480" s="81"/>
      <c r="D480" s="81"/>
      <c r="E480" s="81"/>
      <c r="F480" s="81"/>
      <c r="G480" s="105"/>
      <c r="H480" s="81"/>
      <c r="I480" s="81"/>
      <c r="J480" s="81"/>
      <c r="K480" s="105"/>
      <c r="L480" s="81"/>
      <c r="M480" s="81"/>
      <c r="N480" s="81"/>
      <c r="O480" s="81"/>
      <c r="P480" s="81"/>
      <c r="Q480" s="81"/>
      <c r="R480" s="105"/>
      <c r="S480" s="81"/>
      <c r="T480" s="81"/>
      <c r="U480" s="81"/>
      <c r="V480" s="105"/>
      <c r="W480" s="81"/>
      <c r="X480" s="81"/>
      <c r="Y480" s="105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105"/>
      <c r="AM480" s="81"/>
      <c r="AN480" s="81"/>
      <c r="AO480" s="81"/>
      <c r="AP480" s="81"/>
      <c r="AQ480" s="81"/>
      <c r="AR480" s="81"/>
      <c r="AS480" s="81"/>
      <c r="AT480" s="81"/>
      <c r="AU480" s="81"/>
    </row>
    <row r="481" spans="1:47" ht="24" customHeight="1" x14ac:dyDescent="0.5">
      <c r="A481" s="81"/>
      <c r="B481" s="81"/>
      <c r="C481" s="81"/>
      <c r="D481" s="81"/>
      <c r="E481" s="81"/>
      <c r="F481" s="81"/>
      <c r="G481" s="105"/>
      <c r="H481" s="81"/>
      <c r="I481" s="81"/>
      <c r="J481" s="81"/>
      <c r="K481" s="105"/>
      <c r="L481" s="81"/>
      <c r="M481" s="81"/>
      <c r="N481" s="81"/>
      <c r="O481" s="81"/>
      <c r="P481" s="81"/>
      <c r="Q481" s="81"/>
      <c r="R481" s="105"/>
      <c r="S481" s="81"/>
      <c r="T481" s="81"/>
      <c r="U481" s="81"/>
      <c r="V481" s="105"/>
      <c r="W481" s="81"/>
      <c r="X481" s="81"/>
      <c r="Y481" s="105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105"/>
      <c r="AM481" s="81"/>
      <c r="AN481" s="81"/>
      <c r="AO481" s="81"/>
      <c r="AP481" s="81"/>
      <c r="AQ481" s="81"/>
      <c r="AR481" s="81"/>
      <c r="AS481" s="81"/>
      <c r="AT481" s="81"/>
      <c r="AU481" s="81"/>
    </row>
    <row r="482" spans="1:47" ht="24" customHeight="1" x14ac:dyDescent="0.5">
      <c r="A482" s="81"/>
      <c r="B482" s="81"/>
      <c r="C482" s="81"/>
      <c r="D482" s="81"/>
      <c r="E482" s="81"/>
      <c r="F482" s="81"/>
      <c r="G482" s="105"/>
      <c r="H482" s="81"/>
      <c r="I482" s="81"/>
      <c r="J482" s="81"/>
      <c r="K482" s="105"/>
      <c r="L482" s="81"/>
      <c r="M482" s="81"/>
      <c r="N482" s="81"/>
      <c r="O482" s="81"/>
      <c r="P482" s="81"/>
      <c r="Q482" s="81"/>
      <c r="R482" s="105"/>
      <c r="S482" s="81"/>
      <c r="T482" s="81"/>
      <c r="U482" s="81"/>
      <c r="V482" s="105"/>
      <c r="W482" s="81"/>
      <c r="X482" s="81"/>
      <c r="Y482" s="105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105"/>
      <c r="AM482" s="81"/>
      <c r="AN482" s="81"/>
      <c r="AO482" s="81"/>
      <c r="AP482" s="81"/>
      <c r="AQ482" s="81"/>
      <c r="AR482" s="81"/>
      <c r="AS482" s="81"/>
      <c r="AT482" s="81"/>
      <c r="AU482" s="81"/>
    </row>
    <row r="483" spans="1:47" ht="24" customHeight="1" x14ac:dyDescent="0.5">
      <c r="A483" s="81"/>
      <c r="B483" s="81"/>
      <c r="C483" s="81"/>
      <c r="D483" s="81"/>
      <c r="E483" s="81"/>
      <c r="F483" s="81"/>
      <c r="G483" s="105"/>
      <c r="H483" s="81"/>
      <c r="I483" s="81"/>
      <c r="J483" s="81"/>
      <c r="K483" s="105"/>
      <c r="L483" s="81"/>
      <c r="M483" s="81"/>
      <c r="N483" s="81"/>
      <c r="O483" s="81"/>
      <c r="P483" s="81"/>
      <c r="Q483" s="81"/>
      <c r="R483" s="105"/>
      <c r="S483" s="81"/>
      <c r="T483" s="81"/>
      <c r="U483" s="81"/>
      <c r="V483" s="105"/>
      <c r="W483" s="81"/>
      <c r="X483" s="81"/>
      <c r="Y483" s="105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105"/>
      <c r="AM483" s="81"/>
      <c r="AN483" s="81"/>
      <c r="AO483" s="81"/>
      <c r="AP483" s="81"/>
      <c r="AQ483" s="81"/>
      <c r="AR483" s="81"/>
      <c r="AS483" s="81"/>
      <c r="AT483" s="81"/>
      <c r="AU483" s="81"/>
    </row>
    <row r="484" spans="1:47" ht="24" customHeight="1" x14ac:dyDescent="0.5">
      <c r="A484" s="81"/>
      <c r="B484" s="81"/>
      <c r="C484" s="81"/>
      <c r="D484" s="81"/>
      <c r="E484" s="81"/>
      <c r="F484" s="81"/>
      <c r="G484" s="105"/>
      <c r="H484" s="81"/>
      <c r="I484" s="81"/>
      <c r="J484" s="81"/>
      <c r="K484" s="105"/>
      <c r="L484" s="81"/>
      <c r="M484" s="81"/>
      <c r="N484" s="81"/>
      <c r="O484" s="81"/>
      <c r="P484" s="81"/>
      <c r="Q484" s="81"/>
      <c r="R484" s="105"/>
      <c r="S484" s="81"/>
      <c r="T484" s="81"/>
      <c r="U484" s="81"/>
      <c r="V484" s="105"/>
      <c r="W484" s="81"/>
      <c r="X484" s="81"/>
      <c r="Y484" s="105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105"/>
      <c r="AM484" s="81"/>
      <c r="AN484" s="81"/>
      <c r="AO484" s="81"/>
      <c r="AP484" s="81"/>
      <c r="AQ484" s="81"/>
      <c r="AR484" s="81"/>
      <c r="AS484" s="81"/>
      <c r="AT484" s="81"/>
      <c r="AU484" s="81"/>
    </row>
    <row r="485" spans="1:47" ht="24" customHeight="1" x14ac:dyDescent="0.5">
      <c r="A485" s="81"/>
      <c r="B485" s="81"/>
      <c r="C485" s="81"/>
      <c r="D485" s="81"/>
      <c r="E485" s="81"/>
      <c r="F485" s="81"/>
      <c r="G485" s="105"/>
      <c r="H485" s="81"/>
      <c r="I485" s="81"/>
      <c r="J485" s="81"/>
      <c r="K485" s="105"/>
      <c r="L485" s="81"/>
      <c r="M485" s="81"/>
      <c r="N485" s="81"/>
      <c r="O485" s="81"/>
      <c r="P485" s="81"/>
      <c r="Q485" s="81"/>
      <c r="R485" s="105"/>
      <c r="S485" s="81"/>
      <c r="T485" s="81"/>
      <c r="U485" s="81"/>
      <c r="V485" s="105"/>
      <c r="W485" s="81"/>
      <c r="X485" s="81"/>
      <c r="Y485" s="105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105"/>
      <c r="AM485" s="81"/>
      <c r="AN485" s="81"/>
      <c r="AO485" s="81"/>
      <c r="AP485" s="81"/>
      <c r="AQ485" s="81"/>
      <c r="AR485" s="81"/>
      <c r="AS485" s="81"/>
      <c r="AT485" s="81"/>
      <c r="AU485" s="81"/>
    </row>
    <row r="486" spans="1:47" ht="24" customHeight="1" x14ac:dyDescent="0.5">
      <c r="A486" s="81"/>
      <c r="B486" s="81"/>
      <c r="C486" s="81"/>
      <c r="D486" s="81"/>
      <c r="E486" s="81"/>
      <c r="F486" s="81"/>
      <c r="G486" s="105"/>
      <c r="H486" s="81"/>
      <c r="I486" s="81"/>
      <c r="J486" s="81"/>
      <c r="K486" s="105"/>
      <c r="L486" s="81"/>
      <c r="M486" s="81"/>
      <c r="N486" s="81"/>
      <c r="O486" s="81"/>
      <c r="P486" s="81"/>
      <c r="Q486" s="81"/>
      <c r="R486" s="105"/>
      <c r="S486" s="81"/>
      <c r="T486" s="81"/>
      <c r="U486" s="81"/>
      <c r="V486" s="105"/>
      <c r="W486" s="81"/>
      <c r="X486" s="81"/>
      <c r="Y486" s="105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105"/>
      <c r="AM486" s="81"/>
      <c r="AN486" s="81"/>
      <c r="AO486" s="81"/>
      <c r="AP486" s="81"/>
      <c r="AQ486" s="81"/>
      <c r="AR486" s="81"/>
      <c r="AS486" s="81"/>
      <c r="AT486" s="81"/>
      <c r="AU486" s="81"/>
    </row>
    <row r="487" spans="1:47" ht="24" customHeight="1" x14ac:dyDescent="0.5">
      <c r="A487" s="81"/>
      <c r="B487" s="81"/>
      <c r="C487" s="81"/>
      <c r="D487" s="81"/>
      <c r="E487" s="81"/>
      <c r="F487" s="81"/>
      <c r="G487" s="105"/>
      <c r="H487" s="81"/>
      <c r="I487" s="81"/>
      <c r="J487" s="81"/>
      <c r="K487" s="105"/>
      <c r="L487" s="81"/>
      <c r="M487" s="81"/>
      <c r="N487" s="81"/>
      <c r="O487" s="81"/>
      <c r="P487" s="81"/>
      <c r="Q487" s="81"/>
      <c r="R487" s="105"/>
      <c r="S487" s="81"/>
      <c r="T487" s="81"/>
      <c r="U487" s="81"/>
      <c r="V487" s="105"/>
      <c r="W487" s="81"/>
      <c r="X487" s="81"/>
      <c r="Y487" s="105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105"/>
      <c r="AM487" s="81"/>
      <c r="AN487" s="81"/>
      <c r="AO487" s="81"/>
      <c r="AP487" s="81"/>
      <c r="AQ487" s="81"/>
      <c r="AR487" s="81"/>
      <c r="AS487" s="81"/>
      <c r="AT487" s="81"/>
      <c r="AU487" s="81"/>
    </row>
    <row r="488" spans="1:47" ht="24" customHeight="1" x14ac:dyDescent="0.5">
      <c r="A488" s="81"/>
      <c r="B488" s="81"/>
      <c r="C488" s="81"/>
      <c r="D488" s="81"/>
      <c r="E488" s="81"/>
      <c r="F488" s="81"/>
      <c r="G488" s="105"/>
      <c r="H488" s="81"/>
      <c r="I488" s="81"/>
      <c r="J488" s="81"/>
      <c r="K488" s="105"/>
      <c r="L488" s="81"/>
      <c r="M488" s="81"/>
      <c r="N488" s="81"/>
      <c r="O488" s="81"/>
      <c r="P488" s="81"/>
      <c r="Q488" s="81"/>
      <c r="R488" s="105"/>
      <c r="S488" s="81"/>
      <c r="T488" s="81"/>
      <c r="U488" s="81"/>
      <c r="V488" s="105"/>
      <c r="W488" s="81"/>
      <c r="X488" s="81"/>
      <c r="Y488" s="105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105"/>
      <c r="AM488" s="81"/>
      <c r="AN488" s="81"/>
      <c r="AO488" s="81"/>
      <c r="AP488" s="81"/>
      <c r="AQ488" s="81"/>
      <c r="AR488" s="81"/>
      <c r="AS488" s="81"/>
      <c r="AT488" s="81"/>
      <c r="AU488" s="81"/>
    </row>
    <row r="489" spans="1:47" ht="24" customHeight="1" x14ac:dyDescent="0.5">
      <c r="A489" s="81"/>
      <c r="B489" s="81"/>
      <c r="C489" s="81"/>
      <c r="D489" s="81"/>
      <c r="E489" s="81"/>
      <c r="F489" s="81"/>
      <c r="G489" s="105"/>
      <c r="H489" s="81"/>
      <c r="I489" s="81"/>
      <c r="J489" s="81"/>
      <c r="K489" s="105"/>
      <c r="L489" s="81"/>
      <c r="M489" s="81"/>
      <c r="N489" s="81"/>
      <c r="O489" s="81"/>
      <c r="P489" s="81"/>
      <c r="Q489" s="81"/>
      <c r="R489" s="105"/>
      <c r="S489" s="81"/>
      <c r="T489" s="81"/>
      <c r="U489" s="81"/>
      <c r="V489" s="105"/>
      <c r="W489" s="81"/>
      <c r="X489" s="81"/>
      <c r="Y489" s="105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105"/>
      <c r="AM489" s="81"/>
      <c r="AN489" s="81"/>
      <c r="AO489" s="81"/>
      <c r="AP489" s="81"/>
      <c r="AQ489" s="81"/>
      <c r="AR489" s="81"/>
      <c r="AS489" s="81"/>
      <c r="AT489" s="81"/>
      <c r="AU489" s="81"/>
    </row>
    <row r="490" spans="1:47" ht="24" customHeight="1" x14ac:dyDescent="0.5">
      <c r="A490" s="81"/>
      <c r="B490" s="81"/>
      <c r="C490" s="81"/>
      <c r="D490" s="81"/>
      <c r="E490" s="81"/>
      <c r="F490" s="81"/>
      <c r="G490" s="105"/>
      <c r="H490" s="81"/>
      <c r="I490" s="81"/>
      <c r="J490" s="81"/>
      <c r="K490" s="105"/>
      <c r="L490" s="81"/>
      <c r="M490" s="81"/>
      <c r="N490" s="81"/>
      <c r="O490" s="81"/>
      <c r="P490" s="81"/>
      <c r="Q490" s="81"/>
      <c r="R490" s="105"/>
      <c r="S490" s="81"/>
      <c r="T490" s="81"/>
      <c r="U490" s="81"/>
      <c r="V490" s="105"/>
      <c r="W490" s="81"/>
      <c r="X490" s="81"/>
      <c r="Y490" s="105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105"/>
      <c r="AM490" s="81"/>
      <c r="AN490" s="81"/>
      <c r="AO490" s="81"/>
      <c r="AP490" s="81"/>
      <c r="AQ490" s="81"/>
      <c r="AR490" s="81"/>
      <c r="AS490" s="81"/>
      <c r="AT490" s="81"/>
      <c r="AU490" s="81"/>
    </row>
    <row r="491" spans="1:47" ht="24" customHeight="1" x14ac:dyDescent="0.5">
      <c r="A491" s="81"/>
      <c r="B491" s="81"/>
      <c r="C491" s="81"/>
      <c r="D491" s="81"/>
      <c r="E491" s="81"/>
      <c r="F491" s="81"/>
      <c r="G491" s="105"/>
      <c r="H491" s="81"/>
      <c r="I491" s="81"/>
      <c r="J491" s="81"/>
      <c r="K491" s="105"/>
      <c r="L491" s="81"/>
      <c r="M491" s="81"/>
      <c r="N491" s="81"/>
      <c r="O491" s="81"/>
      <c r="P491" s="81"/>
      <c r="Q491" s="81"/>
      <c r="R491" s="105"/>
      <c r="S491" s="81"/>
      <c r="T491" s="81"/>
      <c r="U491" s="81"/>
      <c r="V491" s="105"/>
      <c r="W491" s="81"/>
      <c r="X491" s="81"/>
      <c r="Y491" s="105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105"/>
      <c r="AM491" s="81"/>
      <c r="AN491" s="81"/>
      <c r="AO491" s="81"/>
      <c r="AP491" s="81"/>
      <c r="AQ491" s="81"/>
      <c r="AR491" s="81"/>
      <c r="AS491" s="81"/>
      <c r="AT491" s="81"/>
      <c r="AU491" s="81"/>
    </row>
    <row r="492" spans="1:47" ht="24" customHeight="1" x14ac:dyDescent="0.5">
      <c r="A492" s="81"/>
      <c r="B492" s="81"/>
      <c r="C492" s="81"/>
      <c r="D492" s="81"/>
      <c r="E492" s="81"/>
      <c r="F492" s="81"/>
      <c r="G492" s="105"/>
      <c r="H492" s="81"/>
      <c r="I492" s="81"/>
      <c r="J492" s="81"/>
      <c r="K492" s="105"/>
      <c r="L492" s="81"/>
      <c r="M492" s="81"/>
      <c r="N492" s="81"/>
      <c r="O492" s="81"/>
      <c r="P492" s="81"/>
      <c r="Q492" s="81"/>
      <c r="R492" s="105"/>
      <c r="S492" s="81"/>
      <c r="T492" s="81"/>
      <c r="U492" s="81"/>
      <c r="V492" s="105"/>
      <c r="W492" s="81"/>
      <c r="X492" s="81"/>
      <c r="Y492" s="105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105"/>
      <c r="AM492" s="81"/>
      <c r="AN492" s="81"/>
      <c r="AO492" s="81"/>
      <c r="AP492" s="81"/>
      <c r="AQ492" s="81"/>
      <c r="AR492" s="81"/>
      <c r="AS492" s="81"/>
      <c r="AT492" s="81"/>
      <c r="AU492" s="81"/>
    </row>
    <row r="493" spans="1:47" ht="24" customHeight="1" x14ac:dyDescent="0.5">
      <c r="A493" s="81"/>
      <c r="B493" s="81"/>
      <c r="C493" s="81"/>
      <c r="D493" s="81"/>
      <c r="E493" s="81"/>
      <c r="F493" s="81"/>
      <c r="G493" s="105"/>
      <c r="H493" s="81"/>
      <c r="I493" s="81"/>
      <c r="J493" s="81"/>
      <c r="K493" s="105"/>
      <c r="L493" s="81"/>
      <c r="M493" s="81"/>
      <c r="N493" s="81"/>
      <c r="O493" s="81"/>
      <c r="P493" s="81"/>
      <c r="Q493" s="81"/>
      <c r="R493" s="105"/>
      <c r="S493" s="81"/>
      <c r="T493" s="81"/>
      <c r="U493" s="81"/>
      <c r="V493" s="105"/>
      <c r="W493" s="81"/>
      <c r="X493" s="81"/>
      <c r="Y493" s="105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105"/>
      <c r="AM493" s="81"/>
      <c r="AN493" s="81"/>
      <c r="AO493" s="81"/>
      <c r="AP493" s="81"/>
      <c r="AQ493" s="81"/>
      <c r="AR493" s="81"/>
      <c r="AS493" s="81"/>
      <c r="AT493" s="81"/>
      <c r="AU493" s="81"/>
    </row>
    <row r="494" spans="1:47" ht="24" customHeight="1" x14ac:dyDescent="0.5">
      <c r="A494" s="81"/>
      <c r="B494" s="81"/>
      <c r="C494" s="81"/>
      <c r="D494" s="81"/>
      <c r="E494" s="81"/>
      <c r="F494" s="81"/>
      <c r="G494" s="105"/>
      <c r="H494" s="81"/>
      <c r="I494" s="81"/>
      <c r="J494" s="81"/>
      <c r="K494" s="105"/>
      <c r="L494" s="81"/>
      <c r="M494" s="81"/>
      <c r="N494" s="81"/>
      <c r="O494" s="81"/>
      <c r="P494" s="81"/>
      <c r="Q494" s="81"/>
      <c r="R494" s="105"/>
      <c r="S494" s="81"/>
      <c r="T494" s="81"/>
      <c r="U494" s="81"/>
      <c r="V494" s="105"/>
      <c r="W494" s="81"/>
      <c r="X494" s="81"/>
      <c r="Y494" s="105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105"/>
      <c r="AM494" s="81"/>
      <c r="AN494" s="81"/>
      <c r="AO494" s="81"/>
      <c r="AP494" s="81"/>
      <c r="AQ494" s="81"/>
      <c r="AR494" s="81"/>
      <c r="AS494" s="81"/>
      <c r="AT494" s="81"/>
      <c r="AU494" s="81"/>
    </row>
    <row r="495" spans="1:47" ht="24" customHeight="1" x14ac:dyDescent="0.5">
      <c r="A495" s="81"/>
      <c r="B495" s="81"/>
      <c r="C495" s="81"/>
      <c r="D495" s="81"/>
      <c r="E495" s="81"/>
      <c r="F495" s="81"/>
      <c r="G495" s="105"/>
      <c r="H495" s="81"/>
      <c r="I495" s="81"/>
      <c r="J495" s="81"/>
      <c r="K495" s="105"/>
      <c r="L495" s="81"/>
      <c r="M495" s="81"/>
      <c r="N495" s="81"/>
      <c r="O495" s="81"/>
      <c r="P495" s="81"/>
      <c r="Q495" s="81"/>
      <c r="R495" s="105"/>
      <c r="S495" s="81"/>
      <c r="T495" s="81"/>
      <c r="U495" s="81"/>
      <c r="V495" s="105"/>
      <c r="W495" s="81"/>
      <c r="X495" s="81"/>
      <c r="Y495" s="105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105"/>
      <c r="AM495" s="81"/>
      <c r="AN495" s="81"/>
      <c r="AO495" s="81"/>
      <c r="AP495" s="81"/>
      <c r="AQ495" s="81"/>
      <c r="AR495" s="81"/>
      <c r="AS495" s="81"/>
      <c r="AT495" s="81"/>
      <c r="AU495" s="81"/>
    </row>
    <row r="496" spans="1:47" ht="24" customHeight="1" x14ac:dyDescent="0.5">
      <c r="A496" s="81"/>
      <c r="B496" s="81"/>
      <c r="C496" s="81"/>
      <c r="D496" s="81"/>
      <c r="E496" s="81"/>
      <c r="F496" s="81"/>
      <c r="G496" s="105"/>
      <c r="H496" s="81"/>
      <c r="I496" s="81"/>
      <c r="J496" s="81"/>
      <c r="K496" s="105"/>
      <c r="L496" s="81"/>
      <c r="M496" s="81"/>
      <c r="N496" s="81"/>
      <c r="O496" s="81"/>
      <c r="P496" s="81"/>
      <c r="Q496" s="81"/>
      <c r="R496" s="105"/>
      <c r="S496" s="81"/>
      <c r="T496" s="81"/>
      <c r="U496" s="81"/>
      <c r="V496" s="105"/>
      <c r="W496" s="81"/>
      <c r="X496" s="81"/>
      <c r="Y496" s="105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105"/>
      <c r="AM496" s="81"/>
      <c r="AN496" s="81"/>
      <c r="AO496" s="81"/>
      <c r="AP496" s="81"/>
      <c r="AQ496" s="81"/>
      <c r="AR496" s="81"/>
      <c r="AS496" s="81"/>
      <c r="AT496" s="81"/>
      <c r="AU496" s="81"/>
    </row>
    <row r="497" spans="1:47" ht="24" customHeight="1" x14ac:dyDescent="0.5">
      <c r="A497" s="81"/>
      <c r="B497" s="81"/>
      <c r="C497" s="81"/>
      <c r="D497" s="81"/>
      <c r="E497" s="81"/>
      <c r="F497" s="81"/>
      <c r="G497" s="105"/>
      <c r="H497" s="81"/>
      <c r="I497" s="81"/>
      <c r="J497" s="81"/>
      <c r="K497" s="105"/>
      <c r="L497" s="81"/>
      <c r="M497" s="81"/>
      <c r="N497" s="81"/>
      <c r="O497" s="81"/>
      <c r="P497" s="81"/>
      <c r="Q497" s="81"/>
      <c r="R497" s="105"/>
      <c r="S497" s="81"/>
      <c r="T497" s="81"/>
      <c r="U497" s="81"/>
      <c r="V497" s="105"/>
      <c r="W497" s="81"/>
      <c r="X497" s="81"/>
      <c r="Y497" s="105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105"/>
      <c r="AM497" s="81"/>
      <c r="AN497" s="81"/>
      <c r="AO497" s="81"/>
      <c r="AP497" s="81"/>
      <c r="AQ497" s="81"/>
      <c r="AR497" s="81"/>
      <c r="AS497" s="81"/>
      <c r="AT497" s="81"/>
      <c r="AU497" s="81"/>
    </row>
    <row r="498" spans="1:47" ht="24" customHeight="1" x14ac:dyDescent="0.5">
      <c r="A498" s="81"/>
      <c r="B498" s="81"/>
      <c r="C498" s="81"/>
      <c r="D498" s="81"/>
      <c r="E498" s="81"/>
      <c r="F498" s="81"/>
      <c r="G498" s="105"/>
      <c r="H498" s="81"/>
      <c r="I498" s="81"/>
      <c r="J498" s="81"/>
      <c r="K498" s="105"/>
      <c r="L498" s="81"/>
      <c r="M498" s="81"/>
      <c r="N498" s="81"/>
      <c r="O498" s="81"/>
      <c r="P498" s="81"/>
      <c r="Q498" s="81"/>
      <c r="R498" s="105"/>
      <c r="S498" s="81"/>
      <c r="T498" s="81"/>
      <c r="U498" s="81"/>
      <c r="V498" s="105"/>
      <c r="W498" s="81"/>
      <c r="X498" s="81"/>
      <c r="Y498" s="105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105"/>
      <c r="AM498" s="81"/>
      <c r="AN498" s="81"/>
      <c r="AO498" s="81"/>
      <c r="AP498" s="81"/>
      <c r="AQ498" s="81"/>
      <c r="AR498" s="81"/>
      <c r="AS498" s="81"/>
      <c r="AT498" s="81"/>
      <c r="AU498" s="81"/>
    </row>
    <row r="499" spans="1:47" ht="24" customHeight="1" x14ac:dyDescent="0.5">
      <c r="A499" s="81"/>
      <c r="B499" s="81"/>
      <c r="C499" s="81"/>
      <c r="D499" s="81"/>
      <c r="E499" s="81"/>
      <c r="F499" s="81"/>
      <c r="G499" s="105"/>
      <c r="H499" s="81"/>
      <c r="I499" s="81"/>
      <c r="J499" s="81"/>
      <c r="K499" s="105"/>
      <c r="L499" s="81"/>
      <c r="M499" s="81"/>
      <c r="N499" s="81"/>
      <c r="O499" s="81"/>
      <c r="P499" s="81"/>
      <c r="Q499" s="81"/>
      <c r="R499" s="105"/>
      <c r="S499" s="81"/>
      <c r="T499" s="81"/>
      <c r="U499" s="81"/>
      <c r="V499" s="105"/>
      <c r="W499" s="81"/>
      <c r="X499" s="81"/>
      <c r="Y499" s="105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105"/>
      <c r="AM499" s="81"/>
      <c r="AN499" s="81"/>
      <c r="AO499" s="81"/>
      <c r="AP499" s="81"/>
      <c r="AQ499" s="81"/>
      <c r="AR499" s="81"/>
      <c r="AS499" s="81"/>
      <c r="AT499" s="81"/>
      <c r="AU499" s="81"/>
    </row>
    <row r="500" spans="1:47" ht="24" customHeight="1" x14ac:dyDescent="0.5">
      <c r="A500" s="81"/>
      <c r="B500" s="81"/>
      <c r="C500" s="81"/>
      <c r="D500" s="81"/>
      <c r="E500" s="81"/>
      <c r="F500" s="81"/>
      <c r="G500" s="105"/>
      <c r="H500" s="81"/>
      <c r="I500" s="81"/>
      <c r="J500" s="81"/>
      <c r="K500" s="105"/>
      <c r="L500" s="81"/>
      <c r="M500" s="81"/>
      <c r="N500" s="81"/>
      <c r="O500" s="81"/>
      <c r="P500" s="81"/>
      <c r="Q500" s="81"/>
      <c r="R500" s="105"/>
      <c r="S500" s="81"/>
      <c r="T500" s="81"/>
      <c r="U500" s="81"/>
      <c r="V500" s="105"/>
      <c r="W500" s="81"/>
      <c r="X500" s="81"/>
      <c r="Y500" s="105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105"/>
      <c r="AM500" s="81"/>
      <c r="AN500" s="81"/>
      <c r="AO500" s="81"/>
      <c r="AP500" s="81"/>
      <c r="AQ500" s="81"/>
      <c r="AR500" s="81"/>
      <c r="AS500" s="81"/>
      <c r="AT500" s="81"/>
      <c r="AU500" s="81"/>
    </row>
    <row r="501" spans="1:47" ht="24" customHeight="1" x14ac:dyDescent="0.5">
      <c r="A501" s="81"/>
      <c r="B501" s="81"/>
      <c r="C501" s="81"/>
      <c r="D501" s="81"/>
      <c r="E501" s="81"/>
      <c r="F501" s="81"/>
      <c r="G501" s="105"/>
      <c r="H501" s="81"/>
      <c r="I501" s="81"/>
      <c r="J501" s="81"/>
      <c r="K501" s="105"/>
      <c r="L501" s="81"/>
      <c r="M501" s="81"/>
      <c r="N501" s="81"/>
      <c r="O501" s="81"/>
      <c r="P501" s="81"/>
      <c r="Q501" s="81"/>
      <c r="R501" s="105"/>
      <c r="S501" s="81"/>
      <c r="T501" s="81"/>
      <c r="U501" s="81"/>
      <c r="V501" s="105"/>
      <c r="W501" s="81"/>
      <c r="X501" s="81"/>
      <c r="Y501" s="105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105"/>
      <c r="AM501" s="81"/>
      <c r="AN501" s="81"/>
      <c r="AO501" s="81"/>
      <c r="AP501" s="81"/>
      <c r="AQ501" s="81"/>
      <c r="AR501" s="81"/>
      <c r="AS501" s="81"/>
      <c r="AT501" s="81"/>
      <c r="AU501" s="81"/>
    </row>
    <row r="502" spans="1:47" ht="24" customHeight="1" x14ac:dyDescent="0.5">
      <c r="A502" s="81"/>
      <c r="B502" s="81"/>
      <c r="C502" s="81"/>
      <c r="D502" s="81"/>
      <c r="E502" s="81"/>
      <c r="F502" s="81"/>
      <c r="G502" s="105"/>
      <c r="H502" s="81"/>
      <c r="I502" s="81"/>
      <c r="J502" s="81"/>
      <c r="K502" s="105"/>
      <c r="L502" s="81"/>
      <c r="M502" s="81"/>
      <c r="N502" s="81"/>
      <c r="O502" s="81"/>
      <c r="P502" s="81"/>
      <c r="Q502" s="81"/>
      <c r="R502" s="105"/>
      <c r="S502" s="81"/>
      <c r="T502" s="81"/>
      <c r="U502" s="81"/>
      <c r="V502" s="105"/>
      <c r="W502" s="81"/>
      <c r="X502" s="81"/>
      <c r="Y502" s="105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105"/>
      <c r="AM502" s="81"/>
      <c r="AN502" s="81"/>
      <c r="AO502" s="81"/>
      <c r="AP502" s="81"/>
      <c r="AQ502" s="81"/>
      <c r="AR502" s="81"/>
      <c r="AS502" s="81"/>
      <c r="AT502" s="81"/>
      <c r="AU502" s="81"/>
    </row>
    <row r="503" spans="1:47" ht="24" customHeight="1" x14ac:dyDescent="0.5">
      <c r="A503" s="81"/>
      <c r="B503" s="81"/>
      <c r="C503" s="81"/>
      <c r="D503" s="81"/>
      <c r="E503" s="81"/>
      <c r="F503" s="81"/>
      <c r="G503" s="105"/>
      <c r="H503" s="81"/>
      <c r="I503" s="81"/>
      <c r="J503" s="81"/>
      <c r="K503" s="105"/>
      <c r="L503" s="81"/>
      <c r="M503" s="81"/>
      <c r="N503" s="81"/>
      <c r="O503" s="81"/>
      <c r="P503" s="81"/>
      <c r="Q503" s="81"/>
      <c r="R503" s="105"/>
      <c r="S503" s="81"/>
      <c r="T503" s="81"/>
      <c r="U503" s="81"/>
      <c r="V503" s="105"/>
      <c r="W503" s="81"/>
      <c r="X503" s="81"/>
      <c r="Y503" s="105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105"/>
      <c r="AM503" s="81"/>
      <c r="AN503" s="81"/>
      <c r="AO503" s="81"/>
      <c r="AP503" s="81"/>
      <c r="AQ503" s="81"/>
      <c r="AR503" s="81"/>
      <c r="AS503" s="81"/>
      <c r="AT503" s="81"/>
      <c r="AU503" s="81"/>
    </row>
    <row r="504" spans="1:47" ht="24" customHeight="1" x14ac:dyDescent="0.5">
      <c r="A504" s="81"/>
      <c r="B504" s="81"/>
      <c r="C504" s="81"/>
      <c r="D504" s="81"/>
      <c r="E504" s="81"/>
      <c r="F504" s="81"/>
      <c r="G504" s="105"/>
      <c r="H504" s="81"/>
      <c r="I504" s="81"/>
      <c r="J504" s="81"/>
      <c r="K504" s="105"/>
      <c r="L504" s="81"/>
      <c r="M504" s="81"/>
      <c r="N504" s="81"/>
      <c r="O504" s="81"/>
      <c r="P504" s="81"/>
      <c r="Q504" s="81"/>
      <c r="R504" s="105"/>
      <c r="S504" s="81"/>
      <c r="T504" s="81"/>
      <c r="U504" s="81"/>
      <c r="V504" s="105"/>
      <c r="W504" s="81"/>
      <c r="X504" s="81"/>
      <c r="Y504" s="105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105"/>
      <c r="AM504" s="81"/>
      <c r="AN504" s="81"/>
      <c r="AO504" s="81"/>
      <c r="AP504" s="81"/>
      <c r="AQ504" s="81"/>
      <c r="AR504" s="81"/>
      <c r="AS504" s="81"/>
      <c r="AT504" s="81"/>
      <c r="AU504" s="81"/>
    </row>
    <row r="505" spans="1:47" ht="24" customHeight="1" x14ac:dyDescent="0.5">
      <c r="A505" s="81"/>
      <c r="B505" s="81"/>
      <c r="C505" s="81"/>
      <c r="D505" s="81"/>
      <c r="E505" s="81"/>
      <c r="F505" s="81"/>
      <c r="G505" s="105"/>
      <c r="H505" s="81"/>
      <c r="I505" s="81"/>
      <c r="J505" s="81"/>
      <c r="K505" s="105"/>
      <c r="L505" s="81"/>
      <c r="M505" s="81"/>
      <c r="N505" s="81"/>
      <c r="O505" s="81"/>
      <c r="P505" s="81"/>
      <c r="Q505" s="81"/>
      <c r="R505" s="105"/>
      <c r="S505" s="81"/>
      <c r="T505" s="81"/>
      <c r="U505" s="81"/>
      <c r="V505" s="105"/>
      <c r="W505" s="81"/>
      <c r="X505" s="81"/>
      <c r="Y505" s="105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105"/>
      <c r="AM505" s="81"/>
      <c r="AN505" s="81"/>
      <c r="AO505" s="81"/>
      <c r="AP505" s="81"/>
      <c r="AQ505" s="81"/>
      <c r="AR505" s="81"/>
      <c r="AS505" s="81"/>
      <c r="AT505" s="81"/>
      <c r="AU505" s="81"/>
    </row>
    <row r="506" spans="1:47" ht="24" customHeight="1" x14ac:dyDescent="0.5">
      <c r="A506" s="81"/>
      <c r="B506" s="81"/>
      <c r="C506" s="81"/>
      <c r="D506" s="81"/>
      <c r="E506" s="81"/>
      <c r="F506" s="81"/>
      <c r="G506" s="105"/>
      <c r="H506" s="81"/>
      <c r="I506" s="81"/>
      <c r="J506" s="81"/>
      <c r="K506" s="105"/>
      <c r="L506" s="81"/>
      <c r="M506" s="81"/>
      <c r="N506" s="81"/>
      <c r="O506" s="81"/>
      <c r="P506" s="81"/>
      <c r="Q506" s="81"/>
      <c r="R506" s="105"/>
      <c r="S506" s="81"/>
      <c r="T506" s="81"/>
      <c r="U506" s="81"/>
      <c r="V506" s="105"/>
      <c r="W506" s="81"/>
      <c r="X506" s="81"/>
      <c r="Y506" s="105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105"/>
      <c r="AM506" s="81"/>
      <c r="AN506" s="81"/>
      <c r="AO506" s="81"/>
      <c r="AP506" s="81"/>
      <c r="AQ506" s="81"/>
      <c r="AR506" s="81"/>
      <c r="AS506" s="81"/>
      <c r="AT506" s="81"/>
      <c r="AU506" s="81"/>
    </row>
    <row r="507" spans="1:47" ht="24" customHeight="1" x14ac:dyDescent="0.5">
      <c r="A507" s="81"/>
      <c r="B507" s="81"/>
      <c r="C507" s="81"/>
      <c r="D507" s="81"/>
      <c r="E507" s="81"/>
      <c r="F507" s="81"/>
      <c r="G507" s="105"/>
      <c r="H507" s="81"/>
      <c r="I507" s="81"/>
      <c r="J507" s="81"/>
      <c r="K507" s="105"/>
      <c r="L507" s="81"/>
      <c r="M507" s="81"/>
      <c r="N507" s="81"/>
      <c r="O507" s="81"/>
      <c r="P507" s="81"/>
      <c r="Q507" s="81"/>
      <c r="R507" s="105"/>
      <c r="S507" s="81"/>
      <c r="T507" s="81"/>
      <c r="U507" s="81"/>
      <c r="V507" s="105"/>
      <c r="W507" s="81"/>
      <c r="X507" s="81"/>
      <c r="Y507" s="105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105"/>
      <c r="AM507" s="81"/>
      <c r="AN507" s="81"/>
      <c r="AO507" s="81"/>
      <c r="AP507" s="81"/>
      <c r="AQ507" s="81"/>
      <c r="AR507" s="81"/>
      <c r="AS507" s="81"/>
      <c r="AT507" s="81"/>
      <c r="AU507" s="81"/>
    </row>
    <row r="508" spans="1:47" ht="24" customHeight="1" x14ac:dyDescent="0.5">
      <c r="A508" s="81"/>
      <c r="B508" s="81"/>
      <c r="C508" s="81"/>
      <c r="D508" s="81"/>
      <c r="E508" s="81"/>
      <c r="F508" s="81"/>
      <c r="G508" s="105"/>
      <c r="H508" s="81"/>
      <c r="I508" s="81"/>
      <c r="J508" s="81"/>
      <c r="K508" s="105"/>
      <c r="L508" s="81"/>
      <c r="M508" s="81"/>
      <c r="N508" s="81"/>
      <c r="O508" s="81"/>
      <c r="P508" s="81"/>
      <c r="Q508" s="81"/>
      <c r="R508" s="105"/>
      <c r="S508" s="81"/>
      <c r="T508" s="81"/>
      <c r="U508" s="81"/>
      <c r="V508" s="105"/>
      <c r="W508" s="81"/>
      <c r="X508" s="81"/>
      <c r="Y508" s="105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105"/>
      <c r="AM508" s="81"/>
      <c r="AN508" s="81"/>
      <c r="AO508" s="81"/>
      <c r="AP508" s="81"/>
      <c r="AQ508" s="81"/>
      <c r="AR508" s="81"/>
      <c r="AS508" s="81"/>
      <c r="AT508" s="81"/>
      <c r="AU508" s="81"/>
    </row>
    <row r="509" spans="1:47" ht="24" customHeight="1" x14ac:dyDescent="0.5">
      <c r="A509" s="81"/>
      <c r="B509" s="81"/>
      <c r="C509" s="81"/>
      <c r="D509" s="81"/>
      <c r="E509" s="81"/>
      <c r="F509" s="81"/>
      <c r="G509" s="105"/>
      <c r="H509" s="81"/>
      <c r="I509" s="81"/>
      <c r="J509" s="81"/>
      <c r="K509" s="105"/>
      <c r="L509" s="81"/>
      <c r="M509" s="81"/>
      <c r="N509" s="81"/>
      <c r="O509" s="81"/>
      <c r="P509" s="81"/>
      <c r="Q509" s="81"/>
      <c r="R509" s="105"/>
      <c r="S509" s="81"/>
      <c r="T509" s="81"/>
      <c r="U509" s="81"/>
      <c r="V509" s="105"/>
      <c r="W509" s="81"/>
      <c r="X509" s="81"/>
      <c r="Y509" s="105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105"/>
      <c r="AM509" s="81"/>
      <c r="AN509" s="81"/>
      <c r="AO509" s="81"/>
      <c r="AP509" s="81"/>
      <c r="AQ509" s="81"/>
      <c r="AR509" s="81"/>
      <c r="AS509" s="81"/>
      <c r="AT509" s="81"/>
      <c r="AU509" s="81"/>
    </row>
    <row r="510" spans="1:47" ht="24" customHeight="1" x14ac:dyDescent="0.5">
      <c r="A510" s="81"/>
      <c r="B510" s="81"/>
      <c r="C510" s="81"/>
      <c r="D510" s="81"/>
      <c r="E510" s="81"/>
      <c r="F510" s="81"/>
      <c r="G510" s="105"/>
      <c r="H510" s="81"/>
      <c r="I510" s="81"/>
      <c r="J510" s="81"/>
      <c r="K510" s="105"/>
      <c r="L510" s="81"/>
      <c r="M510" s="81"/>
      <c r="N510" s="81"/>
      <c r="O510" s="81"/>
      <c r="P510" s="81"/>
      <c r="Q510" s="81"/>
      <c r="R510" s="105"/>
      <c r="S510" s="81"/>
      <c r="T510" s="81"/>
      <c r="U510" s="81"/>
      <c r="V510" s="105"/>
      <c r="W510" s="81"/>
      <c r="X510" s="81"/>
      <c r="Y510" s="105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105"/>
      <c r="AM510" s="81"/>
      <c r="AN510" s="81"/>
      <c r="AO510" s="81"/>
      <c r="AP510" s="81"/>
      <c r="AQ510" s="81"/>
      <c r="AR510" s="81"/>
      <c r="AS510" s="81"/>
      <c r="AT510" s="81"/>
      <c r="AU510" s="81"/>
    </row>
    <row r="511" spans="1:47" ht="24" customHeight="1" x14ac:dyDescent="0.5">
      <c r="A511" s="81"/>
      <c r="B511" s="81"/>
      <c r="C511" s="81"/>
      <c r="D511" s="81"/>
      <c r="E511" s="81"/>
      <c r="F511" s="81"/>
      <c r="G511" s="105"/>
      <c r="H511" s="81"/>
      <c r="I511" s="81"/>
      <c r="J511" s="81"/>
      <c r="K511" s="105"/>
      <c r="L511" s="81"/>
      <c r="M511" s="81"/>
      <c r="N511" s="81"/>
      <c r="O511" s="81"/>
      <c r="P511" s="81"/>
      <c r="Q511" s="81"/>
      <c r="R511" s="105"/>
      <c r="S511" s="81"/>
      <c r="T511" s="81"/>
      <c r="U511" s="81"/>
      <c r="V511" s="105"/>
      <c r="W511" s="81"/>
      <c r="X511" s="81"/>
      <c r="Y511" s="105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105"/>
      <c r="AM511" s="81"/>
      <c r="AN511" s="81"/>
      <c r="AO511" s="81"/>
      <c r="AP511" s="81"/>
      <c r="AQ511" s="81"/>
      <c r="AR511" s="81"/>
      <c r="AS511" s="81"/>
      <c r="AT511" s="81"/>
      <c r="AU511" s="81"/>
    </row>
    <row r="512" spans="1:47" ht="24" customHeight="1" x14ac:dyDescent="0.5">
      <c r="A512" s="81"/>
      <c r="B512" s="81"/>
      <c r="C512" s="81"/>
      <c r="D512" s="81"/>
      <c r="E512" s="81"/>
      <c r="F512" s="81"/>
      <c r="G512" s="105"/>
      <c r="H512" s="81"/>
      <c r="I512" s="81"/>
      <c r="J512" s="81"/>
      <c r="K512" s="105"/>
      <c r="L512" s="81"/>
      <c r="M512" s="81"/>
      <c r="N512" s="81"/>
      <c r="O512" s="81"/>
      <c r="P512" s="81"/>
      <c r="Q512" s="81"/>
      <c r="R512" s="105"/>
      <c r="S512" s="81"/>
      <c r="T512" s="81"/>
      <c r="U512" s="81"/>
      <c r="V512" s="105"/>
      <c r="W512" s="81"/>
      <c r="X512" s="81"/>
      <c r="Y512" s="105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105"/>
      <c r="AM512" s="81"/>
      <c r="AN512" s="81"/>
      <c r="AO512" s="81"/>
      <c r="AP512" s="81"/>
      <c r="AQ512" s="81"/>
      <c r="AR512" s="81"/>
      <c r="AS512" s="81"/>
      <c r="AT512" s="81"/>
      <c r="AU512" s="81"/>
    </row>
    <row r="513" spans="1:47" ht="24" customHeight="1" x14ac:dyDescent="0.5">
      <c r="A513" s="81"/>
      <c r="B513" s="81"/>
      <c r="C513" s="81"/>
      <c r="D513" s="81"/>
      <c r="E513" s="81"/>
      <c r="F513" s="81"/>
      <c r="G513" s="105"/>
      <c r="H513" s="81"/>
      <c r="I513" s="81"/>
      <c r="J513" s="81"/>
      <c r="K513" s="105"/>
      <c r="L513" s="81"/>
      <c r="M513" s="81"/>
      <c r="N513" s="81"/>
      <c r="O513" s="81"/>
      <c r="P513" s="81"/>
      <c r="Q513" s="81"/>
      <c r="R513" s="105"/>
      <c r="S513" s="81"/>
      <c r="T513" s="81"/>
      <c r="U513" s="81"/>
      <c r="V513" s="105"/>
      <c r="W513" s="81"/>
      <c r="X513" s="81"/>
      <c r="Y513" s="105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105"/>
      <c r="AM513" s="81"/>
      <c r="AN513" s="81"/>
      <c r="AO513" s="81"/>
      <c r="AP513" s="81"/>
      <c r="AQ513" s="81"/>
      <c r="AR513" s="81"/>
      <c r="AS513" s="81"/>
      <c r="AT513" s="81"/>
      <c r="AU513" s="81"/>
    </row>
    <row r="514" spans="1:47" ht="24" customHeight="1" x14ac:dyDescent="0.5">
      <c r="A514" s="81"/>
      <c r="B514" s="81"/>
      <c r="C514" s="81"/>
      <c r="D514" s="81"/>
      <c r="E514" s="81"/>
      <c r="F514" s="81"/>
      <c r="G514" s="105"/>
      <c r="H514" s="81"/>
      <c r="I514" s="81"/>
      <c r="J514" s="81"/>
      <c r="K514" s="105"/>
      <c r="L514" s="81"/>
      <c r="M514" s="81"/>
      <c r="N514" s="81"/>
      <c r="O514" s="81"/>
      <c r="P514" s="81"/>
      <c r="Q514" s="81"/>
      <c r="R514" s="105"/>
      <c r="S514" s="81"/>
      <c r="T514" s="81"/>
      <c r="U514" s="81"/>
      <c r="V514" s="105"/>
      <c r="W514" s="81"/>
      <c r="X514" s="81"/>
      <c r="Y514" s="105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105"/>
      <c r="AM514" s="81"/>
      <c r="AN514" s="81"/>
      <c r="AO514" s="81"/>
      <c r="AP514" s="81"/>
      <c r="AQ514" s="81"/>
      <c r="AR514" s="81"/>
      <c r="AS514" s="81"/>
      <c r="AT514" s="81"/>
      <c r="AU514" s="81"/>
    </row>
    <row r="515" spans="1:47" ht="24" customHeight="1" x14ac:dyDescent="0.5">
      <c r="A515" s="81"/>
      <c r="B515" s="81"/>
      <c r="C515" s="81"/>
      <c r="D515" s="81"/>
      <c r="E515" s="81"/>
      <c r="F515" s="81"/>
      <c r="G515" s="105"/>
      <c r="H515" s="81"/>
      <c r="I515" s="81"/>
      <c r="J515" s="81"/>
      <c r="K515" s="105"/>
      <c r="L515" s="81"/>
      <c r="M515" s="81"/>
      <c r="N515" s="81"/>
      <c r="O515" s="81"/>
      <c r="P515" s="81"/>
      <c r="Q515" s="81"/>
      <c r="R515" s="105"/>
      <c r="S515" s="81"/>
      <c r="T515" s="81"/>
      <c r="U515" s="81"/>
      <c r="V515" s="105"/>
      <c r="W515" s="81"/>
      <c r="X515" s="81"/>
      <c r="Y515" s="105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105"/>
      <c r="AM515" s="81"/>
      <c r="AN515" s="81"/>
      <c r="AO515" s="81"/>
      <c r="AP515" s="81"/>
      <c r="AQ515" s="81"/>
      <c r="AR515" s="81"/>
      <c r="AS515" s="81"/>
      <c r="AT515" s="81"/>
      <c r="AU515" s="81"/>
    </row>
    <row r="516" spans="1:47" ht="24" customHeight="1" x14ac:dyDescent="0.5">
      <c r="A516" s="81"/>
      <c r="B516" s="81"/>
      <c r="C516" s="81"/>
      <c r="D516" s="81"/>
      <c r="E516" s="81"/>
      <c r="F516" s="81"/>
      <c r="G516" s="105"/>
      <c r="H516" s="81"/>
      <c r="I516" s="81"/>
      <c r="J516" s="81"/>
      <c r="K516" s="105"/>
      <c r="L516" s="81"/>
      <c r="M516" s="81"/>
      <c r="N516" s="81"/>
      <c r="O516" s="81"/>
      <c r="P516" s="81"/>
      <c r="Q516" s="81"/>
      <c r="R516" s="105"/>
      <c r="S516" s="81"/>
      <c r="T516" s="81"/>
      <c r="U516" s="81"/>
      <c r="V516" s="105"/>
      <c r="W516" s="81"/>
      <c r="X516" s="81"/>
      <c r="Y516" s="105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105"/>
      <c r="AM516" s="81"/>
      <c r="AN516" s="81"/>
      <c r="AO516" s="81"/>
      <c r="AP516" s="81"/>
      <c r="AQ516" s="81"/>
      <c r="AR516" s="81"/>
      <c r="AS516" s="81"/>
      <c r="AT516" s="81"/>
      <c r="AU516" s="81"/>
    </row>
    <row r="517" spans="1:47" ht="24" customHeight="1" x14ac:dyDescent="0.5">
      <c r="A517" s="81"/>
      <c r="B517" s="81"/>
      <c r="C517" s="81"/>
      <c r="D517" s="81"/>
      <c r="E517" s="81"/>
      <c r="F517" s="81"/>
      <c r="G517" s="105"/>
      <c r="H517" s="81"/>
      <c r="I517" s="81"/>
      <c r="J517" s="81"/>
      <c r="K517" s="105"/>
      <c r="L517" s="81"/>
      <c r="M517" s="81"/>
      <c r="N517" s="81"/>
      <c r="O517" s="81"/>
      <c r="P517" s="81"/>
      <c r="Q517" s="81"/>
      <c r="R517" s="105"/>
      <c r="S517" s="81"/>
      <c r="T517" s="81"/>
      <c r="U517" s="81"/>
      <c r="V517" s="105"/>
      <c r="W517" s="81"/>
      <c r="X517" s="81"/>
      <c r="Y517" s="105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105"/>
      <c r="AM517" s="81"/>
      <c r="AN517" s="81"/>
      <c r="AO517" s="81"/>
      <c r="AP517" s="81"/>
      <c r="AQ517" s="81"/>
      <c r="AR517" s="81"/>
      <c r="AS517" s="81"/>
      <c r="AT517" s="81"/>
      <c r="AU517" s="81"/>
    </row>
    <row r="518" spans="1:47" ht="24" customHeight="1" x14ac:dyDescent="0.5">
      <c r="A518" s="81"/>
      <c r="B518" s="81"/>
      <c r="C518" s="81"/>
      <c r="D518" s="81"/>
      <c r="E518" s="81"/>
      <c r="F518" s="81"/>
      <c r="G518" s="105"/>
      <c r="H518" s="81"/>
      <c r="I518" s="81"/>
      <c r="J518" s="81"/>
      <c r="K518" s="105"/>
      <c r="L518" s="81"/>
      <c r="M518" s="81"/>
      <c r="N518" s="81"/>
      <c r="O518" s="81"/>
      <c r="P518" s="81"/>
      <c r="Q518" s="81"/>
      <c r="R518" s="105"/>
      <c r="S518" s="81"/>
      <c r="T518" s="81"/>
      <c r="U518" s="81"/>
      <c r="V518" s="105"/>
      <c r="W518" s="81"/>
      <c r="X518" s="81"/>
      <c r="Y518" s="105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105"/>
      <c r="AM518" s="81"/>
      <c r="AN518" s="81"/>
      <c r="AO518" s="81"/>
      <c r="AP518" s="81"/>
      <c r="AQ518" s="81"/>
      <c r="AR518" s="81"/>
      <c r="AS518" s="81"/>
      <c r="AT518" s="81"/>
      <c r="AU518" s="81"/>
    </row>
    <row r="519" spans="1:47" ht="24" customHeight="1" x14ac:dyDescent="0.5">
      <c r="A519" s="81"/>
      <c r="B519" s="81"/>
      <c r="C519" s="81"/>
      <c r="D519" s="81"/>
      <c r="E519" s="81"/>
      <c r="F519" s="81"/>
      <c r="G519" s="105"/>
      <c r="H519" s="81"/>
      <c r="I519" s="81"/>
      <c r="J519" s="81"/>
      <c r="K519" s="105"/>
      <c r="L519" s="81"/>
      <c r="M519" s="81"/>
      <c r="N519" s="81"/>
      <c r="O519" s="81"/>
      <c r="P519" s="81"/>
      <c r="Q519" s="81"/>
      <c r="R519" s="105"/>
      <c r="S519" s="81"/>
      <c r="T519" s="81"/>
      <c r="U519" s="81"/>
      <c r="V519" s="105"/>
      <c r="W519" s="81"/>
      <c r="X519" s="81"/>
      <c r="Y519" s="105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105"/>
      <c r="AM519" s="81"/>
      <c r="AN519" s="81"/>
      <c r="AO519" s="81"/>
      <c r="AP519" s="81"/>
      <c r="AQ519" s="81"/>
      <c r="AR519" s="81"/>
      <c r="AS519" s="81"/>
      <c r="AT519" s="81"/>
      <c r="AU519" s="81"/>
    </row>
    <row r="520" spans="1:47" ht="24" customHeight="1" x14ac:dyDescent="0.5">
      <c r="A520" s="81"/>
      <c r="B520" s="81"/>
      <c r="C520" s="81"/>
      <c r="D520" s="81"/>
      <c r="E520" s="81"/>
      <c r="F520" s="81"/>
      <c r="G520" s="105"/>
      <c r="H520" s="81"/>
      <c r="I520" s="81"/>
      <c r="J520" s="81"/>
      <c r="K520" s="105"/>
      <c r="L520" s="81"/>
      <c r="M520" s="81"/>
      <c r="N520" s="81"/>
      <c r="O520" s="81"/>
      <c r="P520" s="81"/>
      <c r="Q520" s="81"/>
      <c r="R520" s="105"/>
      <c r="S520" s="81"/>
      <c r="T520" s="81"/>
      <c r="U520" s="81"/>
      <c r="V520" s="105"/>
      <c r="W520" s="81"/>
      <c r="X520" s="81"/>
      <c r="Y520" s="105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105"/>
      <c r="AM520" s="81"/>
      <c r="AN520" s="81"/>
      <c r="AO520" s="81"/>
      <c r="AP520" s="81"/>
      <c r="AQ520" s="81"/>
      <c r="AR520" s="81"/>
      <c r="AS520" s="81"/>
      <c r="AT520" s="81"/>
      <c r="AU520" s="81"/>
    </row>
    <row r="521" spans="1:47" ht="24" customHeight="1" x14ac:dyDescent="0.5">
      <c r="A521" s="81"/>
      <c r="B521" s="81"/>
      <c r="C521" s="81"/>
      <c r="D521" s="81"/>
      <c r="E521" s="81"/>
      <c r="F521" s="81"/>
      <c r="G521" s="105"/>
      <c r="H521" s="81"/>
      <c r="I521" s="81"/>
      <c r="J521" s="81"/>
      <c r="K521" s="105"/>
      <c r="L521" s="81"/>
      <c r="M521" s="81"/>
      <c r="N521" s="81"/>
      <c r="O521" s="81"/>
      <c r="P521" s="81"/>
      <c r="Q521" s="81"/>
      <c r="R521" s="105"/>
      <c r="S521" s="81"/>
      <c r="T521" s="81"/>
      <c r="U521" s="81"/>
      <c r="V521" s="105"/>
      <c r="W521" s="81"/>
      <c r="X521" s="81"/>
      <c r="Y521" s="105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105"/>
      <c r="AM521" s="81"/>
      <c r="AN521" s="81"/>
      <c r="AO521" s="81"/>
      <c r="AP521" s="81"/>
      <c r="AQ521" s="81"/>
      <c r="AR521" s="81"/>
      <c r="AS521" s="81"/>
      <c r="AT521" s="81"/>
      <c r="AU521" s="81"/>
    </row>
    <row r="522" spans="1:47" ht="24" customHeight="1" x14ac:dyDescent="0.5">
      <c r="A522" s="81"/>
      <c r="B522" s="81"/>
      <c r="C522" s="81"/>
      <c r="D522" s="81"/>
      <c r="E522" s="81"/>
      <c r="F522" s="81"/>
      <c r="G522" s="105"/>
      <c r="H522" s="81"/>
      <c r="I522" s="81"/>
      <c r="J522" s="81"/>
      <c r="K522" s="105"/>
      <c r="L522" s="81"/>
      <c r="M522" s="81"/>
      <c r="N522" s="81"/>
      <c r="O522" s="81"/>
      <c r="P522" s="81"/>
      <c r="Q522" s="81"/>
      <c r="R522" s="105"/>
      <c r="S522" s="81"/>
      <c r="T522" s="81"/>
      <c r="U522" s="81"/>
      <c r="V522" s="105"/>
      <c r="W522" s="81"/>
      <c r="X522" s="81"/>
      <c r="Y522" s="105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105"/>
      <c r="AM522" s="81"/>
      <c r="AN522" s="81"/>
      <c r="AO522" s="81"/>
      <c r="AP522" s="81"/>
      <c r="AQ522" s="81"/>
      <c r="AR522" s="81"/>
      <c r="AS522" s="81"/>
      <c r="AT522" s="81"/>
      <c r="AU522" s="81"/>
    </row>
    <row r="523" spans="1:47" ht="24" customHeight="1" x14ac:dyDescent="0.5">
      <c r="A523" s="81"/>
      <c r="B523" s="81"/>
      <c r="C523" s="81"/>
      <c r="D523" s="81"/>
      <c r="E523" s="81"/>
      <c r="F523" s="81"/>
      <c r="G523" s="105"/>
      <c r="H523" s="81"/>
      <c r="I523" s="81"/>
      <c r="J523" s="81"/>
      <c r="K523" s="105"/>
      <c r="L523" s="81"/>
      <c r="M523" s="81"/>
      <c r="N523" s="81"/>
      <c r="O523" s="81"/>
      <c r="P523" s="81"/>
      <c r="Q523" s="81"/>
      <c r="R523" s="105"/>
      <c r="S523" s="81"/>
      <c r="T523" s="81"/>
      <c r="U523" s="81"/>
      <c r="V523" s="105"/>
      <c r="W523" s="81"/>
      <c r="X523" s="81"/>
      <c r="Y523" s="105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105"/>
      <c r="AM523" s="81"/>
      <c r="AN523" s="81"/>
      <c r="AO523" s="81"/>
      <c r="AP523" s="81"/>
      <c r="AQ523" s="81"/>
      <c r="AR523" s="81"/>
      <c r="AS523" s="81"/>
      <c r="AT523" s="81"/>
      <c r="AU523" s="81"/>
    </row>
    <row r="524" spans="1:47" ht="24" customHeight="1" x14ac:dyDescent="0.5">
      <c r="A524" s="81"/>
      <c r="B524" s="81"/>
      <c r="C524" s="81"/>
      <c r="D524" s="81"/>
      <c r="E524" s="81"/>
      <c r="F524" s="81"/>
      <c r="G524" s="105"/>
      <c r="H524" s="81"/>
      <c r="I524" s="81"/>
      <c r="J524" s="81"/>
      <c r="K524" s="105"/>
      <c r="L524" s="81"/>
      <c r="M524" s="81"/>
      <c r="N524" s="81"/>
      <c r="O524" s="81"/>
      <c r="P524" s="81"/>
      <c r="Q524" s="81"/>
      <c r="R524" s="105"/>
      <c r="S524" s="81"/>
      <c r="T524" s="81"/>
      <c r="U524" s="81"/>
      <c r="V524" s="105"/>
      <c r="W524" s="81"/>
      <c r="X524" s="81"/>
      <c r="Y524" s="105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105"/>
      <c r="AM524" s="81"/>
      <c r="AN524" s="81"/>
      <c r="AO524" s="81"/>
      <c r="AP524" s="81"/>
      <c r="AQ524" s="81"/>
      <c r="AR524" s="81"/>
      <c r="AS524" s="81"/>
      <c r="AT524" s="81"/>
      <c r="AU524" s="81"/>
    </row>
    <row r="525" spans="1:47" ht="24" customHeight="1" x14ac:dyDescent="0.5">
      <c r="A525" s="81"/>
      <c r="B525" s="81"/>
      <c r="C525" s="81"/>
      <c r="D525" s="81"/>
      <c r="E525" s="81"/>
      <c r="F525" s="81"/>
      <c r="G525" s="105"/>
      <c r="H525" s="81"/>
      <c r="I525" s="81"/>
      <c r="J525" s="81"/>
      <c r="K525" s="105"/>
      <c r="L525" s="81"/>
      <c r="M525" s="81"/>
      <c r="N525" s="81"/>
      <c r="O525" s="81"/>
      <c r="P525" s="81"/>
      <c r="Q525" s="81"/>
      <c r="R525" s="105"/>
      <c r="S525" s="81"/>
      <c r="T525" s="81"/>
      <c r="U525" s="81"/>
      <c r="V525" s="105"/>
      <c r="W525" s="81"/>
      <c r="X525" s="81"/>
      <c r="Y525" s="105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105"/>
      <c r="AM525" s="81"/>
      <c r="AN525" s="81"/>
      <c r="AO525" s="81"/>
      <c r="AP525" s="81"/>
      <c r="AQ525" s="81"/>
      <c r="AR525" s="81"/>
      <c r="AS525" s="81"/>
      <c r="AT525" s="81"/>
      <c r="AU525" s="81"/>
    </row>
    <row r="526" spans="1:47" ht="24" customHeight="1" x14ac:dyDescent="0.5">
      <c r="A526" s="81"/>
      <c r="B526" s="81"/>
      <c r="C526" s="81"/>
      <c r="D526" s="81"/>
      <c r="E526" s="81"/>
      <c r="F526" s="81"/>
      <c r="G526" s="105"/>
      <c r="H526" s="81"/>
      <c r="I526" s="81"/>
      <c r="J526" s="81"/>
      <c r="K526" s="105"/>
      <c r="L526" s="81"/>
      <c r="M526" s="81"/>
      <c r="N526" s="81"/>
      <c r="O526" s="81"/>
      <c r="P526" s="81"/>
      <c r="Q526" s="81"/>
      <c r="R526" s="105"/>
      <c r="S526" s="81"/>
      <c r="T526" s="81"/>
      <c r="U526" s="81"/>
      <c r="V526" s="105"/>
      <c r="W526" s="81"/>
      <c r="X526" s="81"/>
      <c r="Y526" s="105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105"/>
      <c r="AM526" s="81"/>
      <c r="AN526" s="81"/>
      <c r="AO526" s="81"/>
      <c r="AP526" s="81"/>
      <c r="AQ526" s="81"/>
      <c r="AR526" s="81"/>
      <c r="AS526" s="81"/>
      <c r="AT526" s="81"/>
      <c r="AU526" s="81"/>
    </row>
    <row r="527" spans="1:47" ht="24" customHeight="1" x14ac:dyDescent="0.5">
      <c r="A527" s="81"/>
      <c r="B527" s="81"/>
      <c r="C527" s="81"/>
      <c r="D527" s="81"/>
      <c r="E527" s="81"/>
      <c r="F527" s="81"/>
      <c r="G527" s="105"/>
      <c r="H527" s="81"/>
      <c r="I527" s="81"/>
      <c r="J527" s="81"/>
      <c r="K527" s="105"/>
      <c r="L527" s="81"/>
      <c r="M527" s="81"/>
      <c r="N527" s="81"/>
      <c r="O527" s="81"/>
      <c r="P527" s="81"/>
      <c r="Q527" s="81"/>
      <c r="R527" s="105"/>
      <c r="S527" s="81"/>
      <c r="T527" s="81"/>
      <c r="U527" s="81"/>
      <c r="V527" s="105"/>
      <c r="W527" s="81"/>
      <c r="X527" s="81"/>
      <c r="Y527" s="105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105"/>
      <c r="AM527" s="81"/>
      <c r="AN527" s="81"/>
      <c r="AO527" s="81"/>
      <c r="AP527" s="81"/>
      <c r="AQ527" s="81"/>
      <c r="AR527" s="81"/>
      <c r="AS527" s="81"/>
      <c r="AT527" s="81"/>
      <c r="AU527" s="81"/>
    </row>
    <row r="528" spans="1:47" ht="24" customHeight="1" x14ac:dyDescent="0.5">
      <c r="A528" s="81"/>
      <c r="B528" s="81"/>
      <c r="C528" s="81"/>
      <c r="D528" s="81"/>
      <c r="E528" s="81"/>
      <c r="F528" s="81"/>
      <c r="G528" s="105"/>
      <c r="H528" s="81"/>
      <c r="I528" s="81"/>
      <c r="J528" s="81"/>
      <c r="K528" s="105"/>
      <c r="L528" s="81"/>
      <c r="M528" s="81"/>
      <c r="N528" s="81"/>
      <c r="O528" s="81"/>
      <c r="P528" s="81"/>
      <c r="Q528" s="81"/>
      <c r="R528" s="105"/>
      <c r="S528" s="81"/>
      <c r="T528" s="81"/>
      <c r="U528" s="81"/>
      <c r="V528" s="105"/>
      <c r="W528" s="81"/>
      <c r="X528" s="81"/>
      <c r="Y528" s="105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105"/>
      <c r="AM528" s="81"/>
      <c r="AN528" s="81"/>
      <c r="AO528" s="81"/>
      <c r="AP528" s="81"/>
      <c r="AQ528" s="81"/>
      <c r="AR528" s="81"/>
      <c r="AS528" s="81"/>
      <c r="AT528" s="81"/>
      <c r="AU528" s="81"/>
    </row>
    <row r="529" spans="1:47" ht="24" customHeight="1" x14ac:dyDescent="0.5">
      <c r="A529" s="81"/>
      <c r="B529" s="81"/>
      <c r="C529" s="81"/>
      <c r="D529" s="81"/>
      <c r="E529" s="81"/>
      <c r="F529" s="81"/>
      <c r="G529" s="105"/>
      <c r="H529" s="81"/>
      <c r="I529" s="81"/>
      <c r="J529" s="81"/>
      <c r="K529" s="105"/>
      <c r="L529" s="81"/>
      <c r="M529" s="81"/>
      <c r="N529" s="81"/>
      <c r="O529" s="81"/>
      <c r="P529" s="81"/>
      <c r="Q529" s="81"/>
      <c r="R529" s="105"/>
      <c r="S529" s="81"/>
      <c r="T529" s="81"/>
      <c r="U529" s="81"/>
      <c r="V529" s="105"/>
      <c r="W529" s="81"/>
      <c r="X529" s="81"/>
      <c r="Y529" s="105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105"/>
      <c r="AM529" s="81"/>
      <c r="AN529" s="81"/>
      <c r="AO529" s="81"/>
      <c r="AP529" s="81"/>
      <c r="AQ529" s="81"/>
      <c r="AR529" s="81"/>
      <c r="AS529" s="81"/>
      <c r="AT529" s="81"/>
      <c r="AU529" s="81"/>
    </row>
    <row r="530" spans="1:47" ht="24" customHeight="1" x14ac:dyDescent="0.5">
      <c r="A530" s="81"/>
      <c r="B530" s="81"/>
      <c r="C530" s="81"/>
      <c r="D530" s="81"/>
      <c r="E530" s="81"/>
      <c r="F530" s="81"/>
      <c r="G530" s="105"/>
      <c r="H530" s="81"/>
      <c r="I530" s="81"/>
      <c r="J530" s="81"/>
      <c r="K530" s="105"/>
      <c r="L530" s="81"/>
      <c r="M530" s="81"/>
      <c r="N530" s="81"/>
      <c r="O530" s="81"/>
      <c r="P530" s="81"/>
      <c r="Q530" s="81"/>
      <c r="R530" s="105"/>
      <c r="S530" s="81"/>
      <c r="T530" s="81"/>
      <c r="U530" s="81"/>
      <c r="V530" s="105"/>
      <c r="W530" s="81"/>
      <c r="X530" s="81"/>
      <c r="Y530" s="105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105"/>
      <c r="AM530" s="81"/>
      <c r="AN530" s="81"/>
      <c r="AO530" s="81"/>
      <c r="AP530" s="81"/>
      <c r="AQ530" s="81"/>
      <c r="AR530" s="81"/>
      <c r="AS530" s="81"/>
      <c r="AT530" s="81"/>
      <c r="AU530" s="81"/>
    </row>
    <row r="531" spans="1:47" ht="24" customHeight="1" x14ac:dyDescent="0.5">
      <c r="A531" s="81"/>
      <c r="B531" s="81"/>
      <c r="C531" s="81"/>
      <c r="D531" s="81"/>
      <c r="E531" s="81"/>
      <c r="F531" s="81"/>
      <c r="G531" s="105"/>
      <c r="H531" s="81"/>
      <c r="I531" s="81"/>
      <c r="J531" s="81"/>
      <c r="K531" s="105"/>
      <c r="L531" s="81"/>
      <c r="M531" s="81"/>
      <c r="N531" s="81"/>
      <c r="O531" s="81"/>
      <c r="P531" s="81"/>
      <c r="Q531" s="81"/>
      <c r="R531" s="105"/>
      <c r="S531" s="81"/>
      <c r="T531" s="81"/>
      <c r="U531" s="81"/>
      <c r="V531" s="105"/>
      <c r="W531" s="81"/>
      <c r="X531" s="81"/>
      <c r="Y531" s="105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105"/>
      <c r="AM531" s="81"/>
      <c r="AN531" s="81"/>
      <c r="AO531" s="81"/>
      <c r="AP531" s="81"/>
      <c r="AQ531" s="81"/>
      <c r="AR531" s="81"/>
      <c r="AS531" s="81"/>
      <c r="AT531" s="81"/>
      <c r="AU531" s="81"/>
    </row>
    <row r="532" spans="1:47" ht="24" customHeight="1" x14ac:dyDescent="0.5">
      <c r="A532" s="81"/>
      <c r="B532" s="81"/>
      <c r="C532" s="81"/>
      <c r="D532" s="81"/>
      <c r="E532" s="81"/>
      <c r="F532" s="81"/>
      <c r="G532" s="105"/>
      <c r="H532" s="81"/>
      <c r="I532" s="81"/>
      <c r="J532" s="81"/>
      <c r="K532" s="105"/>
      <c r="L532" s="81"/>
      <c r="M532" s="81"/>
      <c r="N532" s="81"/>
      <c r="O532" s="81"/>
      <c r="P532" s="81"/>
      <c r="Q532" s="81"/>
      <c r="R532" s="105"/>
      <c r="S532" s="81"/>
      <c r="T532" s="81"/>
      <c r="U532" s="81"/>
      <c r="V532" s="105"/>
      <c r="W532" s="81"/>
      <c r="X532" s="81"/>
      <c r="Y532" s="105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105"/>
      <c r="AM532" s="81"/>
      <c r="AN532" s="81"/>
      <c r="AO532" s="81"/>
      <c r="AP532" s="81"/>
      <c r="AQ532" s="81"/>
      <c r="AR532" s="81"/>
      <c r="AS532" s="81"/>
      <c r="AT532" s="81"/>
      <c r="AU532" s="81"/>
    </row>
    <row r="533" spans="1:47" ht="24" customHeight="1" x14ac:dyDescent="0.5">
      <c r="A533" s="81"/>
      <c r="B533" s="81"/>
      <c r="C533" s="81"/>
      <c r="D533" s="81"/>
      <c r="E533" s="81"/>
      <c r="F533" s="81"/>
      <c r="G533" s="105"/>
      <c r="H533" s="81"/>
      <c r="I533" s="81"/>
      <c r="J533" s="81"/>
      <c r="K533" s="105"/>
      <c r="L533" s="81"/>
      <c r="M533" s="81"/>
      <c r="N533" s="81"/>
      <c r="O533" s="81"/>
      <c r="P533" s="81"/>
      <c r="Q533" s="81"/>
      <c r="R533" s="105"/>
      <c r="S533" s="81"/>
      <c r="T533" s="81"/>
      <c r="U533" s="81"/>
      <c r="V533" s="105"/>
      <c r="W533" s="81"/>
      <c r="X533" s="81"/>
      <c r="Y533" s="105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105"/>
      <c r="AM533" s="81"/>
      <c r="AN533" s="81"/>
      <c r="AO533" s="81"/>
      <c r="AP533" s="81"/>
      <c r="AQ533" s="81"/>
      <c r="AR533" s="81"/>
      <c r="AS533" s="81"/>
      <c r="AT533" s="81"/>
      <c r="AU533" s="81"/>
    </row>
    <row r="534" spans="1:47" ht="24" customHeight="1" x14ac:dyDescent="0.5">
      <c r="A534" s="81"/>
      <c r="B534" s="81"/>
      <c r="C534" s="81"/>
      <c r="D534" s="81"/>
      <c r="E534" s="81"/>
      <c r="F534" s="81"/>
      <c r="G534" s="105"/>
      <c r="H534" s="81"/>
      <c r="I534" s="81"/>
      <c r="J534" s="81"/>
      <c r="K534" s="105"/>
      <c r="L534" s="81"/>
      <c r="M534" s="81"/>
      <c r="N534" s="81"/>
      <c r="O534" s="81"/>
      <c r="P534" s="81"/>
      <c r="Q534" s="81"/>
      <c r="R534" s="105"/>
      <c r="S534" s="81"/>
      <c r="T534" s="81"/>
      <c r="U534" s="81"/>
      <c r="V534" s="105"/>
      <c r="W534" s="81"/>
      <c r="X534" s="81"/>
      <c r="Y534" s="105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105"/>
      <c r="AM534" s="81"/>
      <c r="AN534" s="81"/>
      <c r="AO534" s="81"/>
      <c r="AP534" s="81"/>
      <c r="AQ534" s="81"/>
      <c r="AR534" s="81"/>
      <c r="AS534" s="81"/>
      <c r="AT534" s="81"/>
      <c r="AU534" s="81"/>
    </row>
    <row r="535" spans="1:47" ht="24" customHeight="1" x14ac:dyDescent="0.5">
      <c r="A535" s="81"/>
      <c r="B535" s="81"/>
      <c r="C535" s="81"/>
      <c r="D535" s="81"/>
      <c r="E535" s="81"/>
      <c r="F535" s="81"/>
      <c r="G535" s="105"/>
      <c r="H535" s="81"/>
      <c r="I535" s="81"/>
      <c r="J535" s="81"/>
      <c r="K535" s="105"/>
      <c r="L535" s="81"/>
      <c r="M535" s="81"/>
      <c r="N535" s="81"/>
      <c r="O535" s="81"/>
      <c r="P535" s="81"/>
      <c r="Q535" s="81"/>
      <c r="R535" s="105"/>
      <c r="S535" s="81"/>
      <c r="T535" s="81"/>
      <c r="U535" s="81"/>
      <c r="V535" s="105"/>
      <c r="W535" s="81"/>
      <c r="X535" s="81"/>
      <c r="Y535" s="105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105"/>
      <c r="AM535" s="81"/>
      <c r="AN535" s="81"/>
      <c r="AO535" s="81"/>
      <c r="AP535" s="81"/>
      <c r="AQ535" s="81"/>
      <c r="AR535" s="81"/>
      <c r="AS535" s="81"/>
      <c r="AT535" s="81"/>
      <c r="AU535" s="81"/>
    </row>
    <row r="536" spans="1:47" ht="24" customHeight="1" x14ac:dyDescent="0.5">
      <c r="A536" s="81"/>
      <c r="B536" s="81"/>
      <c r="C536" s="81"/>
      <c r="D536" s="81"/>
      <c r="E536" s="81"/>
      <c r="F536" s="81"/>
      <c r="G536" s="105"/>
      <c r="H536" s="81"/>
      <c r="I536" s="81"/>
      <c r="J536" s="81"/>
      <c r="K536" s="105"/>
      <c r="L536" s="81"/>
      <c r="M536" s="81"/>
      <c r="N536" s="81"/>
      <c r="O536" s="81"/>
      <c r="P536" s="81"/>
      <c r="Q536" s="81"/>
      <c r="R536" s="105"/>
      <c r="S536" s="81"/>
      <c r="T536" s="81"/>
      <c r="U536" s="81"/>
      <c r="V536" s="105"/>
      <c r="W536" s="81"/>
      <c r="X536" s="81"/>
      <c r="Y536" s="105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105"/>
      <c r="AM536" s="81"/>
      <c r="AN536" s="81"/>
      <c r="AO536" s="81"/>
      <c r="AP536" s="81"/>
      <c r="AQ536" s="81"/>
      <c r="AR536" s="81"/>
      <c r="AS536" s="81"/>
      <c r="AT536" s="81"/>
      <c r="AU536" s="81"/>
    </row>
    <row r="537" spans="1:47" ht="24" customHeight="1" x14ac:dyDescent="0.5">
      <c r="A537" s="81"/>
      <c r="B537" s="81"/>
      <c r="C537" s="81"/>
      <c r="D537" s="81"/>
      <c r="E537" s="81"/>
      <c r="F537" s="81"/>
      <c r="G537" s="105"/>
      <c r="H537" s="81"/>
      <c r="I537" s="81"/>
      <c r="J537" s="81"/>
      <c r="K537" s="105"/>
      <c r="L537" s="81"/>
      <c r="M537" s="81"/>
      <c r="N537" s="81"/>
      <c r="O537" s="81"/>
      <c r="P537" s="81"/>
      <c r="Q537" s="81"/>
      <c r="R537" s="105"/>
      <c r="S537" s="81"/>
      <c r="T537" s="81"/>
      <c r="U537" s="81"/>
      <c r="V537" s="105"/>
      <c r="W537" s="81"/>
      <c r="X537" s="81"/>
      <c r="Y537" s="105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105"/>
      <c r="AM537" s="81"/>
      <c r="AN537" s="81"/>
      <c r="AO537" s="81"/>
      <c r="AP537" s="81"/>
      <c r="AQ537" s="81"/>
      <c r="AR537" s="81"/>
      <c r="AS537" s="81"/>
      <c r="AT537" s="81"/>
      <c r="AU537" s="81"/>
    </row>
    <row r="538" spans="1:47" ht="24" customHeight="1" x14ac:dyDescent="0.5">
      <c r="A538" s="81"/>
      <c r="B538" s="81"/>
      <c r="C538" s="81"/>
      <c r="D538" s="81"/>
      <c r="E538" s="81"/>
      <c r="F538" s="81"/>
      <c r="G538" s="105"/>
      <c r="H538" s="81"/>
      <c r="I538" s="81"/>
      <c r="J538" s="81"/>
      <c r="K538" s="105"/>
      <c r="L538" s="81"/>
      <c r="M538" s="81"/>
      <c r="N538" s="81"/>
      <c r="O538" s="81"/>
      <c r="P538" s="81"/>
      <c r="Q538" s="81"/>
      <c r="R538" s="105"/>
      <c r="S538" s="81"/>
      <c r="T538" s="81"/>
      <c r="U538" s="81"/>
      <c r="V538" s="105"/>
      <c r="W538" s="81"/>
      <c r="X538" s="81"/>
      <c r="Y538" s="105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105"/>
      <c r="AM538" s="81"/>
      <c r="AN538" s="81"/>
      <c r="AO538" s="81"/>
      <c r="AP538" s="81"/>
      <c r="AQ538" s="81"/>
      <c r="AR538" s="81"/>
      <c r="AS538" s="81"/>
      <c r="AT538" s="81"/>
      <c r="AU538" s="81"/>
    </row>
    <row r="539" spans="1:47" ht="24" customHeight="1" x14ac:dyDescent="0.5">
      <c r="A539" s="81"/>
      <c r="B539" s="81"/>
      <c r="C539" s="81"/>
      <c r="D539" s="81"/>
      <c r="E539" s="81"/>
      <c r="F539" s="81"/>
      <c r="G539" s="105"/>
      <c r="H539" s="81"/>
      <c r="I539" s="81"/>
      <c r="J539" s="81"/>
      <c r="K539" s="105"/>
      <c r="L539" s="81"/>
      <c r="M539" s="81"/>
      <c r="N539" s="81"/>
      <c r="O539" s="81"/>
      <c r="P539" s="81"/>
      <c r="Q539" s="81"/>
      <c r="R539" s="105"/>
      <c r="S539" s="81"/>
      <c r="T539" s="81"/>
      <c r="U539" s="81"/>
      <c r="V539" s="105"/>
      <c r="W539" s="81"/>
      <c r="X539" s="81"/>
      <c r="Y539" s="105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105"/>
      <c r="AM539" s="81"/>
      <c r="AN539" s="81"/>
      <c r="AO539" s="81"/>
      <c r="AP539" s="81"/>
      <c r="AQ539" s="81"/>
      <c r="AR539" s="81"/>
      <c r="AS539" s="81"/>
      <c r="AT539" s="81"/>
      <c r="AU539" s="81"/>
    </row>
    <row r="540" spans="1:47" ht="24" customHeight="1" x14ac:dyDescent="0.5">
      <c r="A540" s="81"/>
      <c r="B540" s="81"/>
      <c r="C540" s="81"/>
      <c r="D540" s="81"/>
      <c r="E540" s="81"/>
      <c r="F540" s="81"/>
      <c r="G540" s="105"/>
      <c r="H540" s="81"/>
      <c r="I540" s="81"/>
      <c r="J540" s="81"/>
      <c r="K540" s="105"/>
      <c r="L540" s="81"/>
      <c r="M540" s="81"/>
      <c r="N540" s="81"/>
      <c r="O540" s="81"/>
      <c r="P540" s="81"/>
      <c r="Q540" s="81"/>
      <c r="R540" s="105"/>
      <c r="S540" s="81"/>
      <c r="T540" s="81"/>
      <c r="U540" s="81"/>
      <c r="V540" s="105"/>
      <c r="W540" s="81"/>
      <c r="X540" s="81"/>
      <c r="Y540" s="105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105"/>
      <c r="AM540" s="81"/>
      <c r="AN540" s="81"/>
      <c r="AO540" s="81"/>
      <c r="AP540" s="81"/>
      <c r="AQ540" s="81"/>
      <c r="AR540" s="81"/>
      <c r="AS540" s="81"/>
      <c r="AT540" s="81"/>
      <c r="AU540" s="81"/>
    </row>
    <row r="541" spans="1:47" ht="24" customHeight="1" x14ac:dyDescent="0.5">
      <c r="A541" s="81"/>
      <c r="B541" s="81"/>
      <c r="C541" s="81"/>
      <c r="D541" s="81"/>
      <c r="E541" s="81"/>
      <c r="F541" s="81"/>
      <c r="G541" s="105"/>
      <c r="H541" s="81"/>
      <c r="I541" s="81"/>
      <c r="J541" s="81"/>
      <c r="K541" s="105"/>
      <c r="L541" s="81"/>
      <c r="M541" s="81"/>
      <c r="N541" s="81"/>
      <c r="O541" s="81"/>
      <c r="P541" s="81"/>
      <c r="Q541" s="81"/>
      <c r="R541" s="105"/>
      <c r="S541" s="81"/>
      <c r="T541" s="81"/>
      <c r="U541" s="81"/>
      <c r="V541" s="105"/>
      <c r="W541" s="81"/>
      <c r="X541" s="81"/>
      <c r="Y541" s="105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105"/>
      <c r="AM541" s="81"/>
      <c r="AN541" s="81"/>
      <c r="AO541" s="81"/>
      <c r="AP541" s="81"/>
      <c r="AQ541" s="81"/>
      <c r="AR541" s="81"/>
      <c r="AS541" s="81"/>
      <c r="AT541" s="81"/>
      <c r="AU541" s="81"/>
    </row>
    <row r="542" spans="1:47" ht="24" customHeight="1" x14ac:dyDescent="0.5">
      <c r="A542" s="81"/>
      <c r="B542" s="81"/>
      <c r="C542" s="81"/>
      <c r="D542" s="81"/>
      <c r="E542" s="81"/>
      <c r="F542" s="81"/>
      <c r="G542" s="105"/>
      <c r="H542" s="81"/>
      <c r="I542" s="81"/>
      <c r="J542" s="81"/>
      <c r="K542" s="105"/>
      <c r="L542" s="81"/>
      <c r="M542" s="81"/>
      <c r="N542" s="81"/>
      <c r="O542" s="81"/>
      <c r="P542" s="81"/>
      <c r="Q542" s="81"/>
      <c r="R542" s="105"/>
      <c r="S542" s="81"/>
      <c r="T542" s="81"/>
      <c r="U542" s="81"/>
      <c r="V542" s="105"/>
      <c r="W542" s="81"/>
      <c r="X542" s="81"/>
      <c r="Y542" s="105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105"/>
      <c r="AM542" s="81"/>
      <c r="AN542" s="81"/>
      <c r="AO542" s="81"/>
      <c r="AP542" s="81"/>
      <c r="AQ542" s="81"/>
      <c r="AR542" s="81"/>
      <c r="AS542" s="81"/>
      <c r="AT542" s="81"/>
      <c r="AU542" s="81"/>
    </row>
    <row r="543" spans="1:47" ht="24" customHeight="1" x14ac:dyDescent="0.5">
      <c r="A543" s="81"/>
      <c r="B543" s="81"/>
      <c r="C543" s="81"/>
      <c r="D543" s="81"/>
      <c r="E543" s="81"/>
      <c r="F543" s="81"/>
      <c r="G543" s="105"/>
      <c r="H543" s="81"/>
      <c r="I543" s="81"/>
      <c r="J543" s="81"/>
      <c r="K543" s="105"/>
      <c r="L543" s="81"/>
      <c r="M543" s="81"/>
      <c r="N543" s="81"/>
      <c r="O543" s="81"/>
      <c r="P543" s="81"/>
      <c r="Q543" s="81"/>
      <c r="R543" s="105"/>
      <c r="S543" s="81"/>
      <c r="T543" s="81"/>
      <c r="U543" s="81"/>
      <c r="V543" s="105"/>
      <c r="W543" s="81"/>
      <c r="X543" s="81"/>
      <c r="Y543" s="105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105"/>
      <c r="AM543" s="81"/>
      <c r="AN543" s="81"/>
      <c r="AO543" s="81"/>
      <c r="AP543" s="81"/>
      <c r="AQ543" s="81"/>
      <c r="AR543" s="81"/>
      <c r="AS543" s="81"/>
      <c r="AT543" s="81"/>
      <c r="AU543" s="81"/>
    </row>
    <row r="544" spans="1:47" ht="24" customHeight="1" x14ac:dyDescent="0.5">
      <c r="A544" s="81"/>
      <c r="B544" s="81"/>
      <c r="C544" s="81"/>
      <c r="D544" s="81"/>
      <c r="E544" s="81"/>
      <c r="F544" s="81"/>
      <c r="G544" s="105"/>
      <c r="H544" s="81"/>
      <c r="I544" s="81"/>
      <c r="J544" s="81"/>
      <c r="K544" s="105"/>
      <c r="L544" s="81"/>
      <c r="M544" s="81"/>
      <c r="N544" s="81"/>
      <c r="O544" s="81"/>
      <c r="P544" s="81"/>
      <c r="Q544" s="81"/>
      <c r="R544" s="105"/>
      <c r="S544" s="81"/>
      <c r="T544" s="81"/>
      <c r="U544" s="81"/>
      <c r="V544" s="105"/>
      <c r="W544" s="81"/>
      <c r="X544" s="81"/>
      <c r="Y544" s="105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105"/>
      <c r="AM544" s="81"/>
      <c r="AN544" s="81"/>
      <c r="AO544" s="81"/>
      <c r="AP544" s="81"/>
      <c r="AQ544" s="81"/>
      <c r="AR544" s="81"/>
      <c r="AS544" s="81"/>
      <c r="AT544" s="81"/>
      <c r="AU544" s="81"/>
    </row>
    <row r="545" spans="1:47" ht="24" customHeight="1" x14ac:dyDescent="0.5">
      <c r="A545" s="81"/>
      <c r="B545" s="81"/>
      <c r="C545" s="81"/>
      <c r="D545" s="81"/>
      <c r="E545" s="81"/>
      <c r="F545" s="81"/>
      <c r="G545" s="105"/>
      <c r="H545" s="81"/>
      <c r="I545" s="81"/>
      <c r="J545" s="81"/>
      <c r="K545" s="105"/>
      <c r="L545" s="81"/>
      <c r="M545" s="81"/>
      <c r="N545" s="81"/>
      <c r="O545" s="81"/>
      <c r="P545" s="81"/>
      <c r="Q545" s="81"/>
      <c r="R545" s="105"/>
      <c r="S545" s="81"/>
      <c r="T545" s="81"/>
      <c r="U545" s="81"/>
      <c r="V545" s="105"/>
      <c r="W545" s="81"/>
      <c r="X545" s="81"/>
      <c r="Y545" s="105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105"/>
      <c r="AM545" s="81"/>
      <c r="AN545" s="81"/>
      <c r="AO545" s="81"/>
      <c r="AP545" s="81"/>
      <c r="AQ545" s="81"/>
      <c r="AR545" s="81"/>
      <c r="AS545" s="81"/>
      <c r="AT545" s="81"/>
      <c r="AU545" s="81"/>
    </row>
    <row r="546" spans="1:47" ht="24" customHeight="1" x14ac:dyDescent="0.5">
      <c r="A546" s="81"/>
      <c r="B546" s="81"/>
      <c r="C546" s="81"/>
      <c r="D546" s="81"/>
      <c r="E546" s="81"/>
      <c r="F546" s="81"/>
      <c r="G546" s="105"/>
      <c r="H546" s="81"/>
      <c r="I546" s="81"/>
      <c r="J546" s="81"/>
      <c r="K546" s="105"/>
      <c r="L546" s="81"/>
      <c r="M546" s="81"/>
      <c r="N546" s="81"/>
      <c r="O546" s="81"/>
      <c r="P546" s="81"/>
      <c r="Q546" s="81"/>
      <c r="R546" s="105"/>
      <c r="S546" s="81"/>
      <c r="T546" s="81"/>
      <c r="U546" s="81"/>
      <c r="V546" s="105"/>
      <c r="W546" s="81"/>
      <c r="X546" s="81"/>
      <c r="Y546" s="105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105"/>
      <c r="AM546" s="81"/>
      <c r="AN546" s="81"/>
      <c r="AO546" s="81"/>
      <c r="AP546" s="81"/>
      <c r="AQ546" s="81"/>
      <c r="AR546" s="81"/>
      <c r="AS546" s="81"/>
      <c r="AT546" s="81"/>
      <c r="AU546" s="81"/>
    </row>
    <row r="547" spans="1:47" ht="24" customHeight="1" x14ac:dyDescent="0.5">
      <c r="A547" s="81"/>
      <c r="B547" s="81"/>
      <c r="C547" s="81"/>
      <c r="D547" s="81"/>
      <c r="E547" s="81"/>
      <c r="F547" s="81"/>
      <c r="G547" s="105"/>
      <c r="H547" s="81"/>
      <c r="I547" s="81"/>
      <c r="J547" s="81"/>
      <c r="K547" s="105"/>
      <c r="L547" s="81"/>
      <c r="M547" s="81"/>
      <c r="N547" s="81"/>
      <c r="O547" s="81"/>
      <c r="P547" s="81"/>
      <c r="Q547" s="81"/>
      <c r="R547" s="105"/>
      <c r="S547" s="81"/>
      <c r="T547" s="81"/>
      <c r="U547" s="81"/>
      <c r="V547" s="105"/>
      <c r="W547" s="81"/>
      <c r="X547" s="81"/>
      <c r="Y547" s="105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105"/>
      <c r="AM547" s="81"/>
      <c r="AN547" s="81"/>
      <c r="AO547" s="81"/>
      <c r="AP547" s="81"/>
      <c r="AQ547" s="81"/>
      <c r="AR547" s="81"/>
      <c r="AS547" s="81"/>
      <c r="AT547" s="81"/>
      <c r="AU547" s="81"/>
    </row>
    <row r="548" spans="1:47" ht="24" customHeight="1" x14ac:dyDescent="0.5">
      <c r="A548" s="81"/>
      <c r="B548" s="81"/>
      <c r="C548" s="81"/>
      <c r="D548" s="81"/>
      <c r="E548" s="81"/>
      <c r="F548" s="81"/>
      <c r="G548" s="105"/>
      <c r="H548" s="81"/>
      <c r="I548" s="81"/>
      <c r="J548" s="81"/>
      <c r="K548" s="105"/>
      <c r="L548" s="81"/>
      <c r="M548" s="81"/>
      <c r="N548" s="81"/>
      <c r="O548" s="81"/>
      <c r="P548" s="81"/>
      <c r="Q548" s="81"/>
      <c r="R548" s="105"/>
      <c r="S548" s="81"/>
      <c r="T548" s="81"/>
      <c r="U548" s="81"/>
      <c r="V548" s="105"/>
      <c r="W548" s="81"/>
      <c r="X548" s="81"/>
      <c r="Y548" s="105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105"/>
      <c r="AM548" s="81"/>
      <c r="AN548" s="81"/>
      <c r="AO548" s="81"/>
      <c r="AP548" s="81"/>
      <c r="AQ548" s="81"/>
      <c r="AR548" s="81"/>
      <c r="AS548" s="81"/>
      <c r="AT548" s="81"/>
      <c r="AU548" s="81"/>
    </row>
    <row r="549" spans="1:47" ht="24" customHeight="1" x14ac:dyDescent="0.5">
      <c r="A549" s="81"/>
      <c r="B549" s="81"/>
      <c r="C549" s="81"/>
      <c r="D549" s="81"/>
      <c r="E549" s="81"/>
      <c r="F549" s="81"/>
      <c r="G549" s="105"/>
      <c r="H549" s="81"/>
      <c r="I549" s="81"/>
      <c r="J549" s="81"/>
      <c r="K549" s="105"/>
      <c r="L549" s="81"/>
      <c r="M549" s="81"/>
      <c r="N549" s="81"/>
      <c r="O549" s="81"/>
      <c r="P549" s="81"/>
      <c r="Q549" s="81"/>
      <c r="R549" s="105"/>
      <c r="S549" s="81"/>
      <c r="T549" s="81"/>
      <c r="U549" s="81"/>
      <c r="V549" s="105"/>
      <c r="W549" s="81"/>
      <c r="X549" s="81"/>
      <c r="Y549" s="105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105"/>
      <c r="AM549" s="81"/>
      <c r="AN549" s="81"/>
      <c r="AO549" s="81"/>
      <c r="AP549" s="81"/>
      <c r="AQ549" s="81"/>
      <c r="AR549" s="81"/>
      <c r="AS549" s="81"/>
      <c r="AT549" s="81"/>
      <c r="AU549" s="81"/>
    </row>
    <row r="550" spans="1:47" ht="24" customHeight="1" x14ac:dyDescent="0.5">
      <c r="A550" s="81"/>
      <c r="B550" s="81"/>
      <c r="C550" s="81"/>
      <c r="D550" s="81"/>
      <c r="E550" s="81"/>
      <c r="F550" s="81"/>
      <c r="G550" s="105"/>
      <c r="H550" s="81"/>
      <c r="I550" s="81"/>
      <c r="J550" s="81"/>
      <c r="K550" s="105"/>
      <c r="L550" s="81"/>
      <c r="M550" s="81"/>
      <c r="N550" s="81"/>
      <c r="O550" s="81"/>
      <c r="P550" s="81"/>
      <c r="Q550" s="81"/>
      <c r="R550" s="105"/>
      <c r="S550" s="81"/>
      <c r="T550" s="81"/>
      <c r="U550" s="81"/>
      <c r="V550" s="105"/>
      <c r="W550" s="81"/>
      <c r="X550" s="81"/>
      <c r="Y550" s="105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105"/>
      <c r="AM550" s="81"/>
      <c r="AN550" s="81"/>
      <c r="AO550" s="81"/>
      <c r="AP550" s="81"/>
      <c r="AQ550" s="81"/>
      <c r="AR550" s="81"/>
      <c r="AS550" s="81"/>
      <c r="AT550" s="81"/>
      <c r="AU550" s="81"/>
    </row>
    <row r="551" spans="1:47" ht="24" customHeight="1" x14ac:dyDescent="0.5">
      <c r="A551" s="81"/>
      <c r="B551" s="81"/>
      <c r="C551" s="81"/>
      <c r="D551" s="81"/>
      <c r="E551" s="81"/>
      <c r="F551" s="81"/>
      <c r="G551" s="105"/>
      <c r="H551" s="81"/>
      <c r="I551" s="81"/>
      <c r="J551" s="81"/>
      <c r="K551" s="105"/>
      <c r="L551" s="81"/>
      <c r="M551" s="81"/>
      <c r="N551" s="81"/>
      <c r="O551" s="81"/>
      <c r="P551" s="81"/>
      <c r="Q551" s="81"/>
      <c r="R551" s="105"/>
      <c r="S551" s="81"/>
      <c r="T551" s="81"/>
      <c r="U551" s="81"/>
      <c r="V551" s="105"/>
      <c r="W551" s="81"/>
      <c r="X551" s="81"/>
      <c r="Y551" s="105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105"/>
      <c r="AM551" s="81"/>
      <c r="AN551" s="81"/>
      <c r="AO551" s="81"/>
      <c r="AP551" s="81"/>
      <c r="AQ551" s="81"/>
      <c r="AR551" s="81"/>
      <c r="AS551" s="81"/>
      <c r="AT551" s="81"/>
      <c r="AU551" s="81"/>
    </row>
    <row r="552" spans="1:47" ht="24" customHeight="1" x14ac:dyDescent="0.5">
      <c r="A552" s="81"/>
      <c r="B552" s="81"/>
      <c r="C552" s="81"/>
      <c r="D552" s="81"/>
      <c r="E552" s="81"/>
      <c r="F552" s="81"/>
      <c r="G552" s="105"/>
      <c r="H552" s="81"/>
      <c r="I552" s="81"/>
      <c r="J552" s="81"/>
      <c r="K552" s="105"/>
      <c r="L552" s="81"/>
      <c r="M552" s="81"/>
      <c r="N552" s="81"/>
      <c r="O552" s="81"/>
      <c r="P552" s="81"/>
      <c r="Q552" s="81"/>
      <c r="R552" s="105"/>
      <c r="S552" s="81"/>
      <c r="T552" s="81"/>
      <c r="U552" s="81"/>
      <c r="V552" s="105"/>
      <c r="W552" s="81"/>
      <c r="X552" s="81"/>
      <c r="Y552" s="105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105"/>
      <c r="AM552" s="81"/>
      <c r="AN552" s="81"/>
      <c r="AO552" s="81"/>
      <c r="AP552" s="81"/>
      <c r="AQ552" s="81"/>
      <c r="AR552" s="81"/>
      <c r="AS552" s="81"/>
      <c r="AT552" s="81"/>
      <c r="AU552" s="81"/>
    </row>
    <row r="553" spans="1:47" ht="24" customHeight="1" x14ac:dyDescent="0.5">
      <c r="A553" s="81"/>
      <c r="B553" s="81"/>
      <c r="C553" s="81"/>
      <c r="D553" s="81"/>
      <c r="E553" s="81"/>
      <c r="F553" s="81"/>
      <c r="G553" s="105"/>
      <c r="H553" s="81"/>
      <c r="I553" s="81"/>
      <c r="J553" s="81"/>
      <c r="K553" s="105"/>
      <c r="L553" s="81"/>
      <c r="M553" s="81"/>
      <c r="N553" s="81"/>
      <c r="O553" s="81"/>
      <c r="P553" s="81"/>
      <c r="Q553" s="81"/>
      <c r="R553" s="105"/>
      <c r="S553" s="81"/>
      <c r="T553" s="81"/>
      <c r="U553" s="81"/>
      <c r="V553" s="105"/>
      <c r="W553" s="81"/>
      <c r="X553" s="81"/>
      <c r="Y553" s="105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105"/>
      <c r="AM553" s="81"/>
      <c r="AN553" s="81"/>
      <c r="AO553" s="81"/>
      <c r="AP553" s="81"/>
      <c r="AQ553" s="81"/>
      <c r="AR553" s="81"/>
      <c r="AS553" s="81"/>
      <c r="AT553" s="81"/>
      <c r="AU553" s="81"/>
    </row>
    <row r="554" spans="1:47" ht="24" customHeight="1" x14ac:dyDescent="0.5">
      <c r="A554" s="81"/>
      <c r="B554" s="81"/>
      <c r="C554" s="81"/>
      <c r="D554" s="81"/>
      <c r="E554" s="81"/>
      <c r="F554" s="81"/>
      <c r="G554" s="105"/>
      <c r="H554" s="81"/>
      <c r="I554" s="81"/>
      <c r="J554" s="81"/>
      <c r="K554" s="105"/>
      <c r="L554" s="81"/>
      <c r="M554" s="81"/>
      <c r="N554" s="81"/>
      <c r="O554" s="81"/>
      <c r="P554" s="81"/>
      <c r="Q554" s="81"/>
      <c r="R554" s="105"/>
      <c r="S554" s="81"/>
      <c r="T554" s="81"/>
      <c r="U554" s="81"/>
      <c r="V554" s="105"/>
      <c r="W554" s="81"/>
      <c r="X554" s="81"/>
      <c r="Y554" s="105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105"/>
      <c r="AM554" s="81"/>
      <c r="AN554" s="81"/>
      <c r="AO554" s="81"/>
      <c r="AP554" s="81"/>
      <c r="AQ554" s="81"/>
      <c r="AR554" s="81"/>
      <c r="AS554" s="81"/>
      <c r="AT554" s="81"/>
      <c r="AU554" s="81"/>
    </row>
    <row r="555" spans="1:47" ht="24" customHeight="1" x14ac:dyDescent="0.5">
      <c r="A555" s="81"/>
      <c r="B555" s="81"/>
      <c r="C555" s="81"/>
      <c r="D555" s="81"/>
      <c r="E555" s="81"/>
      <c r="F555" s="81"/>
      <c r="G555" s="105"/>
      <c r="H555" s="81"/>
      <c r="I555" s="81"/>
      <c r="J555" s="81"/>
      <c r="K555" s="105"/>
      <c r="L555" s="81"/>
      <c r="M555" s="81"/>
      <c r="N555" s="81"/>
      <c r="O555" s="81"/>
      <c r="P555" s="81"/>
      <c r="Q555" s="81"/>
      <c r="R555" s="105"/>
      <c r="S555" s="81"/>
      <c r="T555" s="81"/>
      <c r="U555" s="81"/>
      <c r="V555" s="105"/>
      <c r="W555" s="81"/>
      <c r="X555" s="81"/>
      <c r="Y555" s="105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105"/>
      <c r="AM555" s="81"/>
      <c r="AN555" s="81"/>
      <c r="AO555" s="81"/>
      <c r="AP555" s="81"/>
      <c r="AQ555" s="81"/>
      <c r="AR555" s="81"/>
      <c r="AS555" s="81"/>
      <c r="AT555" s="81"/>
      <c r="AU555" s="81"/>
    </row>
    <row r="556" spans="1:47" ht="24" customHeight="1" x14ac:dyDescent="0.5">
      <c r="A556" s="81"/>
      <c r="B556" s="81"/>
      <c r="C556" s="81"/>
      <c r="D556" s="81"/>
      <c r="E556" s="81"/>
      <c r="F556" s="81"/>
      <c r="G556" s="105"/>
      <c r="H556" s="81"/>
      <c r="I556" s="81"/>
      <c r="J556" s="81"/>
      <c r="K556" s="105"/>
      <c r="L556" s="81"/>
      <c r="M556" s="81"/>
      <c r="N556" s="81"/>
      <c r="O556" s="81"/>
      <c r="P556" s="81"/>
      <c r="Q556" s="81"/>
      <c r="R556" s="105"/>
      <c r="S556" s="81"/>
      <c r="T556" s="81"/>
      <c r="U556" s="81"/>
      <c r="V556" s="105"/>
      <c r="W556" s="81"/>
      <c r="X556" s="81"/>
      <c r="Y556" s="105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105"/>
      <c r="AM556" s="81"/>
      <c r="AN556" s="81"/>
      <c r="AO556" s="81"/>
      <c r="AP556" s="81"/>
      <c r="AQ556" s="81"/>
      <c r="AR556" s="81"/>
      <c r="AS556" s="81"/>
      <c r="AT556" s="81"/>
      <c r="AU556" s="81"/>
    </row>
    <row r="557" spans="1:47" ht="24" customHeight="1" x14ac:dyDescent="0.5">
      <c r="A557" s="81"/>
      <c r="B557" s="81"/>
      <c r="C557" s="81"/>
      <c r="D557" s="81"/>
      <c r="E557" s="81"/>
      <c r="F557" s="81"/>
      <c r="G557" s="105"/>
      <c r="H557" s="81"/>
      <c r="I557" s="81"/>
      <c r="J557" s="81"/>
      <c r="K557" s="105"/>
      <c r="L557" s="81"/>
      <c r="M557" s="81"/>
      <c r="N557" s="81"/>
      <c r="O557" s="81"/>
      <c r="P557" s="81"/>
      <c r="Q557" s="81"/>
      <c r="R557" s="105"/>
      <c r="S557" s="81"/>
      <c r="T557" s="81"/>
      <c r="U557" s="81"/>
      <c r="V557" s="105"/>
      <c r="W557" s="81"/>
      <c r="X557" s="81"/>
      <c r="Y557" s="105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105"/>
      <c r="AM557" s="81"/>
      <c r="AN557" s="81"/>
      <c r="AO557" s="81"/>
      <c r="AP557" s="81"/>
      <c r="AQ557" s="81"/>
      <c r="AR557" s="81"/>
      <c r="AS557" s="81"/>
      <c r="AT557" s="81"/>
      <c r="AU557" s="81"/>
    </row>
    <row r="558" spans="1:47" ht="24" customHeight="1" x14ac:dyDescent="0.5">
      <c r="A558" s="81"/>
      <c r="B558" s="81"/>
      <c r="C558" s="81"/>
      <c r="D558" s="81"/>
      <c r="E558" s="81"/>
      <c r="F558" s="81"/>
      <c r="G558" s="105"/>
      <c r="H558" s="81"/>
      <c r="I558" s="81"/>
      <c r="J558" s="81"/>
      <c r="K558" s="105"/>
      <c r="L558" s="81"/>
      <c r="M558" s="81"/>
      <c r="N558" s="81"/>
      <c r="O558" s="81"/>
      <c r="P558" s="81"/>
      <c r="Q558" s="81"/>
      <c r="R558" s="105"/>
      <c r="S558" s="81"/>
      <c r="T558" s="81"/>
      <c r="U558" s="81"/>
      <c r="V558" s="105"/>
      <c r="W558" s="81"/>
      <c r="X558" s="81"/>
      <c r="Y558" s="105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105"/>
      <c r="AM558" s="81"/>
      <c r="AN558" s="81"/>
      <c r="AO558" s="81"/>
      <c r="AP558" s="81"/>
      <c r="AQ558" s="81"/>
      <c r="AR558" s="81"/>
      <c r="AS558" s="81"/>
      <c r="AT558" s="81"/>
      <c r="AU558" s="81"/>
    </row>
    <row r="559" spans="1:47" ht="24" customHeight="1" x14ac:dyDescent="0.5">
      <c r="A559" s="81"/>
      <c r="B559" s="81"/>
      <c r="C559" s="81"/>
      <c r="D559" s="81"/>
      <c r="E559" s="81"/>
      <c r="F559" s="81"/>
      <c r="G559" s="105"/>
      <c r="H559" s="81"/>
      <c r="I559" s="81"/>
      <c r="J559" s="81"/>
      <c r="K559" s="105"/>
      <c r="L559" s="81"/>
      <c r="M559" s="81"/>
      <c r="N559" s="81"/>
      <c r="O559" s="81"/>
      <c r="P559" s="81"/>
      <c r="Q559" s="81"/>
      <c r="R559" s="105"/>
      <c r="S559" s="81"/>
      <c r="T559" s="81"/>
      <c r="U559" s="81"/>
      <c r="V559" s="105"/>
      <c r="W559" s="81"/>
      <c r="X559" s="81"/>
      <c r="Y559" s="105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105"/>
      <c r="AM559" s="81"/>
      <c r="AN559" s="81"/>
      <c r="AO559" s="81"/>
      <c r="AP559" s="81"/>
      <c r="AQ559" s="81"/>
      <c r="AR559" s="81"/>
      <c r="AS559" s="81"/>
      <c r="AT559" s="81"/>
      <c r="AU559" s="81"/>
    </row>
    <row r="560" spans="1:47" ht="24" customHeight="1" x14ac:dyDescent="0.5">
      <c r="A560" s="81"/>
      <c r="B560" s="81"/>
      <c r="C560" s="81"/>
      <c r="D560" s="81"/>
      <c r="E560" s="81"/>
      <c r="F560" s="81"/>
      <c r="G560" s="105"/>
      <c r="H560" s="81"/>
      <c r="I560" s="81"/>
      <c r="J560" s="81"/>
      <c r="K560" s="105"/>
      <c r="L560" s="81"/>
      <c r="M560" s="81"/>
      <c r="N560" s="81"/>
      <c r="O560" s="81"/>
      <c r="P560" s="81"/>
      <c r="Q560" s="81"/>
      <c r="R560" s="105"/>
      <c r="S560" s="81"/>
      <c r="T560" s="81"/>
      <c r="U560" s="81"/>
      <c r="V560" s="105"/>
      <c r="W560" s="81"/>
      <c r="X560" s="81"/>
      <c r="Y560" s="105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105"/>
      <c r="AM560" s="81"/>
      <c r="AN560" s="81"/>
      <c r="AO560" s="81"/>
      <c r="AP560" s="81"/>
      <c r="AQ560" s="81"/>
      <c r="AR560" s="81"/>
      <c r="AS560" s="81"/>
      <c r="AT560" s="81"/>
      <c r="AU560" s="81"/>
    </row>
    <row r="561" spans="1:47" ht="24" customHeight="1" x14ac:dyDescent="0.5">
      <c r="A561" s="81"/>
      <c r="B561" s="81"/>
      <c r="C561" s="81"/>
      <c r="D561" s="81"/>
      <c r="E561" s="81"/>
      <c r="F561" s="81"/>
      <c r="G561" s="105"/>
      <c r="H561" s="81"/>
      <c r="I561" s="81"/>
      <c r="J561" s="81"/>
      <c r="K561" s="105"/>
      <c r="L561" s="81"/>
      <c r="M561" s="81"/>
      <c r="N561" s="81"/>
      <c r="O561" s="81"/>
      <c r="P561" s="81"/>
      <c r="Q561" s="81"/>
      <c r="R561" s="105"/>
      <c r="S561" s="81"/>
      <c r="T561" s="81"/>
      <c r="U561" s="81"/>
      <c r="V561" s="105"/>
      <c r="W561" s="81"/>
      <c r="X561" s="81"/>
      <c r="Y561" s="105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105"/>
      <c r="AM561" s="81"/>
      <c r="AN561" s="81"/>
      <c r="AO561" s="81"/>
      <c r="AP561" s="81"/>
      <c r="AQ561" s="81"/>
      <c r="AR561" s="81"/>
      <c r="AS561" s="81"/>
      <c r="AT561" s="81"/>
      <c r="AU561" s="81"/>
    </row>
    <row r="562" spans="1:47" ht="24" customHeight="1" x14ac:dyDescent="0.5">
      <c r="A562" s="81"/>
      <c r="B562" s="81"/>
      <c r="C562" s="81"/>
      <c r="D562" s="81"/>
      <c r="E562" s="81"/>
      <c r="F562" s="81"/>
      <c r="G562" s="105"/>
      <c r="H562" s="81"/>
      <c r="I562" s="81"/>
      <c r="J562" s="81"/>
      <c r="K562" s="105"/>
      <c r="L562" s="81"/>
      <c r="M562" s="81"/>
      <c r="N562" s="81"/>
      <c r="O562" s="81"/>
      <c r="P562" s="81"/>
      <c r="Q562" s="81"/>
      <c r="R562" s="105"/>
      <c r="S562" s="81"/>
      <c r="T562" s="81"/>
      <c r="U562" s="81"/>
      <c r="V562" s="105"/>
      <c r="W562" s="81"/>
      <c r="X562" s="81"/>
      <c r="Y562" s="105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105"/>
      <c r="AM562" s="81"/>
      <c r="AN562" s="81"/>
      <c r="AO562" s="81"/>
      <c r="AP562" s="81"/>
      <c r="AQ562" s="81"/>
      <c r="AR562" s="81"/>
      <c r="AS562" s="81"/>
      <c r="AT562" s="81"/>
      <c r="AU562" s="81"/>
    </row>
    <row r="563" spans="1:47" ht="24" customHeight="1" x14ac:dyDescent="0.5">
      <c r="A563" s="81"/>
      <c r="B563" s="81"/>
      <c r="C563" s="81"/>
      <c r="D563" s="81"/>
      <c r="E563" s="81"/>
      <c r="F563" s="81"/>
      <c r="G563" s="105"/>
      <c r="H563" s="81"/>
      <c r="I563" s="81"/>
      <c r="J563" s="81"/>
      <c r="K563" s="105"/>
      <c r="L563" s="81"/>
      <c r="M563" s="81"/>
      <c r="N563" s="81"/>
      <c r="O563" s="81"/>
      <c r="P563" s="81"/>
      <c r="Q563" s="81"/>
      <c r="R563" s="105"/>
      <c r="S563" s="81"/>
      <c r="T563" s="81"/>
      <c r="U563" s="81"/>
      <c r="V563" s="105"/>
      <c r="W563" s="81"/>
      <c r="X563" s="81"/>
      <c r="Y563" s="105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105"/>
      <c r="AM563" s="81"/>
      <c r="AN563" s="81"/>
      <c r="AO563" s="81"/>
      <c r="AP563" s="81"/>
      <c r="AQ563" s="81"/>
      <c r="AR563" s="81"/>
      <c r="AS563" s="81"/>
      <c r="AT563" s="81"/>
      <c r="AU563" s="81"/>
    </row>
    <row r="564" spans="1:47" ht="24" customHeight="1" x14ac:dyDescent="0.5">
      <c r="A564" s="81"/>
      <c r="B564" s="81"/>
      <c r="C564" s="81"/>
      <c r="D564" s="81"/>
      <c r="E564" s="81"/>
      <c r="F564" s="81"/>
      <c r="G564" s="105"/>
      <c r="H564" s="81"/>
      <c r="I564" s="81"/>
      <c r="J564" s="81"/>
      <c r="K564" s="105"/>
      <c r="L564" s="81"/>
      <c r="M564" s="81"/>
      <c r="N564" s="81"/>
      <c r="O564" s="81"/>
      <c r="P564" s="81"/>
      <c r="Q564" s="81"/>
      <c r="R564" s="105"/>
      <c r="S564" s="81"/>
      <c r="T564" s="81"/>
      <c r="U564" s="81"/>
      <c r="V564" s="105"/>
      <c r="W564" s="81"/>
      <c r="X564" s="81"/>
      <c r="Y564" s="105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105"/>
      <c r="AM564" s="81"/>
      <c r="AN564" s="81"/>
      <c r="AO564" s="81"/>
      <c r="AP564" s="81"/>
      <c r="AQ564" s="81"/>
      <c r="AR564" s="81"/>
      <c r="AS564" s="81"/>
      <c r="AT564" s="81"/>
      <c r="AU564" s="81"/>
    </row>
    <row r="565" spans="1:47" ht="24" customHeight="1" x14ac:dyDescent="0.5">
      <c r="A565" s="81"/>
      <c r="B565" s="81"/>
      <c r="C565" s="81"/>
      <c r="D565" s="81"/>
      <c r="E565" s="81"/>
      <c r="F565" s="81"/>
      <c r="G565" s="105"/>
      <c r="H565" s="81"/>
      <c r="I565" s="81"/>
      <c r="J565" s="81"/>
      <c r="K565" s="105"/>
      <c r="L565" s="81"/>
      <c r="M565" s="81"/>
      <c r="N565" s="81"/>
      <c r="O565" s="81"/>
      <c r="P565" s="81"/>
      <c r="Q565" s="81"/>
      <c r="R565" s="105"/>
      <c r="S565" s="81"/>
      <c r="T565" s="81"/>
      <c r="U565" s="81"/>
      <c r="V565" s="105"/>
      <c r="W565" s="81"/>
      <c r="X565" s="81"/>
      <c r="Y565" s="105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105"/>
      <c r="AM565" s="81"/>
      <c r="AN565" s="81"/>
      <c r="AO565" s="81"/>
      <c r="AP565" s="81"/>
      <c r="AQ565" s="81"/>
      <c r="AR565" s="81"/>
      <c r="AS565" s="81"/>
      <c r="AT565" s="81"/>
      <c r="AU565" s="81"/>
    </row>
    <row r="566" spans="1:47" ht="24" customHeight="1" x14ac:dyDescent="0.5">
      <c r="A566" s="81"/>
      <c r="B566" s="81"/>
      <c r="C566" s="81"/>
      <c r="D566" s="81"/>
      <c r="E566" s="81"/>
      <c r="F566" s="81"/>
      <c r="G566" s="105"/>
      <c r="H566" s="81"/>
      <c r="I566" s="81"/>
      <c r="J566" s="81"/>
      <c r="K566" s="105"/>
      <c r="L566" s="81"/>
      <c r="M566" s="81"/>
      <c r="N566" s="81"/>
      <c r="O566" s="81"/>
      <c r="P566" s="81"/>
      <c r="Q566" s="81"/>
      <c r="R566" s="105"/>
      <c r="S566" s="81"/>
      <c r="T566" s="81"/>
      <c r="U566" s="81"/>
      <c r="V566" s="105"/>
      <c r="W566" s="81"/>
      <c r="X566" s="81"/>
      <c r="Y566" s="105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105"/>
      <c r="AM566" s="81"/>
      <c r="AN566" s="81"/>
      <c r="AO566" s="81"/>
      <c r="AP566" s="81"/>
      <c r="AQ566" s="81"/>
      <c r="AR566" s="81"/>
      <c r="AS566" s="81"/>
      <c r="AT566" s="81"/>
      <c r="AU566" s="81"/>
    </row>
    <row r="567" spans="1:47" ht="24" customHeight="1" x14ac:dyDescent="0.5">
      <c r="A567" s="81"/>
      <c r="B567" s="81"/>
      <c r="C567" s="81"/>
      <c r="D567" s="81"/>
      <c r="E567" s="81"/>
      <c r="F567" s="81"/>
      <c r="G567" s="105"/>
      <c r="H567" s="81"/>
      <c r="I567" s="81"/>
      <c r="J567" s="81"/>
      <c r="K567" s="105"/>
      <c r="L567" s="81"/>
      <c r="M567" s="81"/>
      <c r="N567" s="81"/>
      <c r="O567" s="81"/>
      <c r="P567" s="81"/>
      <c r="Q567" s="81"/>
      <c r="R567" s="105"/>
      <c r="S567" s="81"/>
      <c r="T567" s="81"/>
      <c r="U567" s="81"/>
      <c r="V567" s="105"/>
      <c r="W567" s="81"/>
      <c r="X567" s="81"/>
      <c r="Y567" s="105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105"/>
      <c r="AM567" s="81"/>
      <c r="AN567" s="81"/>
      <c r="AO567" s="81"/>
      <c r="AP567" s="81"/>
      <c r="AQ567" s="81"/>
      <c r="AR567" s="81"/>
      <c r="AS567" s="81"/>
      <c r="AT567" s="81"/>
      <c r="AU567" s="81"/>
    </row>
    <row r="568" spans="1:47" ht="24" customHeight="1" x14ac:dyDescent="0.5">
      <c r="A568" s="81"/>
      <c r="B568" s="81"/>
      <c r="C568" s="81"/>
      <c r="D568" s="81"/>
      <c r="E568" s="81"/>
      <c r="F568" s="81"/>
      <c r="G568" s="105"/>
      <c r="H568" s="81"/>
      <c r="I568" s="81"/>
      <c r="J568" s="81"/>
      <c r="K568" s="105"/>
      <c r="L568" s="81"/>
      <c r="M568" s="81"/>
      <c r="N568" s="81"/>
      <c r="O568" s="81"/>
      <c r="P568" s="81"/>
      <c r="Q568" s="81"/>
      <c r="R568" s="105"/>
      <c r="S568" s="81"/>
      <c r="T568" s="81"/>
      <c r="U568" s="81"/>
      <c r="V568" s="105"/>
      <c r="W568" s="81"/>
      <c r="X568" s="81"/>
      <c r="Y568" s="105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105"/>
      <c r="AM568" s="81"/>
      <c r="AN568" s="81"/>
      <c r="AO568" s="81"/>
      <c r="AP568" s="81"/>
      <c r="AQ568" s="81"/>
      <c r="AR568" s="81"/>
      <c r="AS568" s="81"/>
      <c r="AT568" s="81"/>
      <c r="AU568" s="81"/>
    </row>
    <row r="569" spans="1:47" ht="24" customHeight="1" x14ac:dyDescent="0.5">
      <c r="A569" s="81"/>
      <c r="B569" s="81"/>
      <c r="C569" s="81"/>
      <c r="D569" s="81"/>
      <c r="E569" s="81"/>
      <c r="F569" s="81"/>
      <c r="G569" s="105"/>
      <c r="H569" s="81"/>
      <c r="I569" s="81"/>
      <c r="J569" s="81"/>
      <c r="K569" s="105"/>
      <c r="L569" s="81"/>
      <c r="M569" s="81"/>
      <c r="N569" s="81"/>
      <c r="O569" s="81"/>
      <c r="P569" s="81"/>
      <c r="Q569" s="81"/>
      <c r="R569" s="105"/>
      <c r="S569" s="81"/>
      <c r="T569" s="81"/>
      <c r="U569" s="81"/>
      <c r="V569" s="105"/>
      <c r="W569" s="81"/>
      <c r="X569" s="81"/>
      <c r="Y569" s="105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105"/>
      <c r="AM569" s="81"/>
      <c r="AN569" s="81"/>
      <c r="AO569" s="81"/>
      <c r="AP569" s="81"/>
      <c r="AQ569" s="81"/>
      <c r="AR569" s="81"/>
      <c r="AS569" s="81"/>
      <c r="AT569" s="81"/>
      <c r="AU569" s="81"/>
    </row>
    <row r="570" spans="1:47" ht="24" customHeight="1" x14ac:dyDescent="0.5">
      <c r="A570" s="81"/>
      <c r="B570" s="81"/>
      <c r="C570" s="81"/>
      <c r="D570" s="81"/>
      <c r="E570" s="81"/>
      <c r="F570" s="81"/>
      <c r="G570" s="105"/>
      <c r="H570" s="81"/>
      <c r="I570" s="81"/>
      <c r="J570" s="81"/>
      <c r="K570" s="105"/>
      <c r="L570" s="81"/>
      <c r="M570" s="81"/>
      <c r="N570" s="81"/>
      <c r="O570" s="81"/>
      <c r="P570" s="81"/>
      <c r="Q570" s="81"/>
      <c r="R570" s="105"/>
      <c r="S570" s="81"/>
      <c r="T570" s="81"/>
      <c r="U570" s="81"/>
      <c r="V570" s="105"/>
      <c r="W570" s="81"/>
      <c r="X570" s="81"/>
      <c r="Y570" s="105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105"/>
      <c r="AM570" s="81"/>
      <c r="AN570" s="81"/>
      <c r="AO570" s="81"/>
      <c r="AP570" s="81"/>
      <c r="AQ570" s="81"/>
      <c r="AR570" s="81"/>
      <c r="AS570" s="81"/>
      <c r="AT570" s="81"/>
      <c r="AU570" s="81"/>
    </row>
    <row r="571" spans="1:47" ht="24" customHeight="1" x14ac:dyDescent="0.5">
      <c r="A571" s="81"/>
      <c r="B571" s="81"/>
      <c r="C571" s="81"/>
      <c r="D571" s="81"/>
      <c r="E571" s="81"/>
      <c r="F571" s="81"/>
      <c r="G571" s="105"/>
      <c r="H571" s="81"/>
      <c r="I571" s="81"/>
      <c r="J571" s="81"/>
      <c r="K571" s="105"/>
      <c r="L571" s="81"/>
      <c r="M571" s="81"/>
      <c r="N571" s="81"/>
      <c r="O571" s="81"/>
      <c r="P571" s="81"/>
      <c r="Q571" s="81"/>
      <c r="R571" s="105"/>
      <c r="S571" s="81"/>
      <c r="T571" s="81"/>
      <c r="U571" s="81"/>
      <c r="V571" s="105"/>
      <c r="W571" s="81"/>
      <c r="X571" s="81"/>
      <c r="Y571" s="105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105"/>
      <c r="AM571" s="81"/>
      <c r="AN571" s="81"/>
      <c r="AO571" s="81"/>
      <c r="AP571" s="81"/>
      <c r="AQ571" s="81"/>
      <c r="AR571" s="81"/>
      <c r="AS571" s="81"/>
      <c r="AT571" s="81"/>
      <c r="AU571" s="81"/>
    </row>
    <row r="572" spans="1:47" ht="24" customHeight="1" x14ac:dyDescent="0.5">
      <c r="A572" s="81"/>
      <c r="B572" s="81"/>
      <c r="C572" s="81"/>
      <c r="D572" s="81"/>
      <c r="E572" s="81"/>
      <c r="F572" s="81"/>
      <c r="G572" s="105"/>
      <c r="H572" s="81"/>
      <c r="I572" s="81"/>
      <c r="J572" s="81"/>
      <c r="K572" s="105"/>
      <c r="L572" s="81"/>
      <c r="M572" s="81"/>
      <c r="N572" s="81"/>
      <c r="O572" s="81"/>
      <c r="P572" s="81"/>
      <c r="Q572" s="81"/>
      <c r="R572" s="105"/>
      <c r="S572" s="81"/>
      <c r="T572" s="81"/>
      <c r="U572" s="81"/>
      <c r="V572" s="105"/>
      <c r="W572" s="81"/>
      <c r="X572" s="81"/>
      <c r="Y572" s="105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105"/>
      <c r="AM572" s="81"/>
      <c r="AN572" s="81"/>
      <c r="AO572" s="81"/>
      <c r="AP572" s="81"/>
      <c r="AQ572" s="81"/>
      <c r="AR572" s="81"/>
      <c r="AS572" s="81"/>
      <c r="AT572" s="81"/>
      <c r="AU572" s="81"/>
    </row>
    <row r="573" spans="1:47" ht="24" customHeight="1" x14ac:dyDescent="0.5">
      <c r="A573" s="81"/>
      <c r="B573" s="81"/>
      <c r="C573" s="81"/>
      <c r="D573" s="81"/>
      <c r="E573" s="81"/>
      <c r="F573" s="81"/>
      <c r="G573" s="105"/>
      <c r="H573" s="81"/>
      <c r="I573" s="81"/>
      <c r="J573" s="81"/>
      <c r="K573" s="105"/>
      <c r="L573" s="81"/>
      <c r="M573" s="81"/>
      <c r="N573" s="81"/>
      <c r="O573" s="81"/>
      <c r="P573" s="81"/>
      <c r="Q573" s="81"/>
      <c r="R573" s="105"/>
      <c r="S573" s="81"/>
      <c r="T573" s="81"/>
      <c r="U573" s="81"/>
      <c r="V573" s="105"/>
      <c r="W573" s="81"/>
      <c r="X573" s="81"/>
      <c r="Y573" s="105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105"/>
      <c r="AM573" s="81"/>
      <c r="AN573" s="81"/>
      <c r="AO573" s="81"/>
      <c r="AP573" s="81"/>
      <c r="AQ573" s="81"/>
      <c r="AR573" s="81"/>
      <c r="AS573" s="81"/>
      <c r="AT573" s="81"/>
      <c r="AU573" s="81"/>
    </row>
    <row r="574" spans="1:47" ht="24" customHeight="1" x14ac:dyDescent="0.5">
      <c r="A574" s="81"/>
      <c r="B574" s="81"/>
      <c r="C574" s="81"/>
      <c r="D574" s="81"/>
      <c r="E574" s="81"/>
      <c r="F574" s="81"/>
      <c r="G574" s="105"/>
      <c r="H574" s="81"/>
      <c r="I574" s="81"/>
      <c r="J574" s="81"/>
      <c r="K574" s="105"/>
      <c r="L574" s="81"/>
      <c r="M574" s="81"/>
      <c r="N574" s="81"/>
      <c r="O574" s="81"/>
      <c r="P574" s="81"/>
      <c r="Q574" s="81"/>
      <c r="R574" s="105"/>
      <c r="S574" s="81"/>
      <c r="T574" s="81"/>
      <c r="U574" s="81"/>
      <c r="V574" s="105"/>
      <c r="W574" s="81"/>
      <c r="X574" s="81"/>
      <c r="Y574" s="105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105"/>
      <c r="AM574" s="81"/>
      <c r="AN574" s="81"/>
      <c r="AO574" s="81"/>
      <c r="AP574" s="81"/>
      <c r="AQ574" s="81"/>
      <c r="AR574" s="81"/>
      <c r="AS574" s="81"/>
      <c r="AT574" s="81"/>
      <c r="AU574" s="81"/>
    </row>
    <row r="575" spans="1:47" ht="24" customHeight="1" x14ac:dyDescent="0.5">
      <c r="A575" s="81"/>
      <c r="B575" s="81"/>
      <c r="C575" s="81"/>
      <c r="D575" s="81"/>
      <c r="E575" s="81"/>
      <c r="F575" s="81"/>
      <c r="G575" s="105"/>
      <c r="H575" s="81"/>
      <c r="I575" s="81"/>
      <c r="J575" s="81"/>
      <c r="K575" s="105"/>
      <c r="L575" s="81"/>
      <c r="M575" s="81"/>
      <c r="N575" s="81"/>
      <c r="O575" s="81"/>
      <c r="P575" s="81"/>
      <c r="Q575" s="81"/>
      <c r="R575" s="105"/>
      <c r="S575" s="81"/>
      <c r="T575" s="81"/>
      <c r="U575" s="81"/>
      <c r="V575" s="105"/>
      <c r="W575" s="81"/>
      <c r="X575" s="81"/>
      <c r="Y575" s="105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105"/>
      <c r="AM575" s="81"/>
      <c r="AN575" s="81"/>
      <c r="AO575" s="81"/>
      <c r="AP575" s="81"/>
      <c r="AQ575" s="81"/>
      <c r="AR575" s="81"/>
      <c r="AS575" s="81"/>
      <c r="AT575" s="81"/>
      <c r="AU575" s="81"/>
    </row>
    <row r="576" spans="1:47" ht="24" customHeight="1" x14ac:dyDescent="0.5">
      <c r="A576" s="81"/>
      <c r="B576" s="81"/>
      <c r="C576" s="81"/>
      <c r="D576" s="81"/>
      <c r="E576" s="81"/>
      <c r="F576" s="81"/>
      <c r="G576" s="105"/>
      <c r="H576" s="81"/>
      <c r="I576" s="81"/>
      <c r="J576" s="81"/>
      <c r="K576" s="105"/>
      <c r="L576" s="81"/>
      <c r="M576" s="81"/>
      <c r="N576" s="81"/>
      <c r="O576" s="81"/>
      <c r="P576" s="81"/>
      <c r="Q576" s="81"/>
      <c r="R576" s="105"/>
      <c r="S576" s="81"/>
      <c r="T576" s="81"/>
      <c r="U576" s="81"/>
      <c r="V576" s="105"/>
      <c r="W576" s="81"/>
      <c r="X576" s="81"/>
      <c r="Y576" s="105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105"/>
      <c r="AM576" s="81"/>
      <c r="AN576" s="81"/>
      <c r="AO576" s="81"/>
      <c r="AP576" s="81"/>
      <c r="AQ576" s="81"/>
      <c r="AR576" s="81"/>
      <c r="AS576" s="81"/>
      <c r="AT576" s="81"/>
      <c r="AU576" s="81"/>
    </row>
    <row r="577" spans="1:47" ht="24" customHeight="1" x14ac:dyDescent="0.5">
      <c r="A577" s="81"/>
      <c r="B577" s="81"/>
      <c r="C577" s="81"/>
      <c r="D577" s="81"/>
      <c r="E577" s="81"/>
      <c r="F577" s="81"/>
      <c r="G577" s="105"/>
      <c r="H577" s="81"/>
      <c r="I577" s="81"/>
      <c r="J577" s="81"/>
      <c r="K577" s="105"/>
      <c r="L577" s="81"/>
      <c r="M577" s="81"/>
      <c r="N577" s="81"/>
      <c r="O577" s="81"/>
      <c r="P577" s="81"/>
      <c r="Q577" s="81"/>
      <c r="R577" s="105"/>
      <c r="S577" s="81"/>
      <c r="T577" s="81"/>
      <c r="U577" s="81"/>
      <c r="V577" s="105"/>
      <c r="W577" s="81"/>
      <c r="X577" s="81"/>
      <c r="Y577" s="105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105"/>
      <c r="AM577" s="81"/>
      <c r="AN577" s="81"/>
      <c r="AO577" s="81"/>
      <c r="AP577" s="81"/>
      <c r="AQ577" s="81"/>
      <c r="AR577" s="81"/>
      <c r="AS577" s="81"/>
      <c r="AT577" s="81"/>
      <c r="AU577" s="81"/>
    </row>
    <row r="578" spans="1:47" ht="24" customHeight="1" x14ac:dyDescent="0.5">
      <c r="A578" s="81"/>
      <c r="B578" s="81"/>
      <c r="C578" s="81"/>
      <c r="D578" s="81"/>
      <c r="E578" s="81"/>
      <c r="F578" s="81"/>
      <c r="G578" s="105"/>
      <c r="H578" s="81"/>
      <c r="I578" s="81"/>
      <c r="J578" s="81"/>
      <c r="K578" s="105"/>
      <c r="L578" s="81"/>
      <c r="M578" s="81"/>
      <c r="N578" s="81"/>
      <c r="O578" s="81"/>
      <c r="P578" s="81"/>
      <c r="Q578" s="81"/>
      <c r="R578" s="105"/>
      <c r="S578" s="81"/>
      <c r="T578" s="81"/>
      <c r="U578" s="81"/>
      <c r="V578" s="105"/>
      <c r="W578" s="81"/>
      <c r="X578" s="81"/>
      <c r="Y578" s="105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105"/>
      <c r="AM578" s="81"/>
      <c r="AN578" s="81"/>
      <c r="AO578" s="81"/>
      <c r="AP578" s="81"/>
      <c r="AQ578" s="81"/>
      <c r="AR578" s="81"/>
      <c r="AS578" s="81"/>
      <c r="AT578" s="81"/>
      <c r="AU578" s="81"/>
    </row>
    <row r="579" spans="1:47" ht="24" customHeight="1" x14ac:dyDescent="0.5">
      <c r="A579" s="81"/>
      <c r="B579" s="81"/>
      <c r="C579" s="81"/>
      <c r="D579" s="81"/>
      <c r="E579" s="81"/>
      <c r="F579" s="81"/>
      <c r="G579" s="105"/>
      <c r="H579" s="81"/>
      <c r="I579" s="81"/>
      <c r="J579" s="81"/>
      <c r="K579" s="105"/>
      <c r="L579" s="81"/>
      <c r="M579" s="81"/>
      <c r="N579" s="81"/>
      <c r="O579" s="81"/>
      <c r="P579" s="81"/>
      <c r="Q579" s="81"/>
      <c r="R579" s="105"/>
      <c r="S579" s="81"/>
      <c r="T579" s="81"/>
      <c r="U579" s="81"/>
      <c r="V579" s="105"/>
      <c r="W579" s="81"/>
      <c r="X579" s="81"/>
      <c r="Y579" s="105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105"/>
      <c r="AM579" s="81"/>
      <c r="AN579" s="81"/>
      <c r="AO579" s="81"/>
      <c r="AP579" s="81"/>
      <c r="AQ579" s="81"/>
      <c r="AR579" s="81"/>
      <c r="AS579" s="81"/>
      <c r="AT579" s="81"/>
      <c r="AU579" s="81"/>
    </row>
    <row r="580" spans="1:47" ht="24" customHeight="1" x14ac:dyDescent="0.5">
      <c r="A580" s="81"/>
      <c r="B580" s="81"/>
      <c r="C580" s="81"/>
      <c r="D580" s="81"/>
      <c r="E580" s="81"/>
      <c r="F580" s="81"/>
      <c r="G580" s="105"/>
      <c r="H580" s="81"/>
      <c r="I580" s="81"/>
      <c r="J580" s="81"/>
      <c r="K580" s="105"/>
      <c r="L580" s="81"/>
      <c r="M580" s="81"/>
      <c r="N580" s="81"/>
      <c r="O580" s="81"/>
      <c r="P580" s="81"/>
      <c r="Q580" s="81"/>
      <c r="R580" s="105"/>
      <c r="S580" s="81"/>
      <c r="T580" s="81"/>
      <c r="U580" s="81"/>
      <c r="V580" s="105"/>
      <c r="W580" s="81"/>
      <c r="X580" s="81"/>
      <c r="Y580" s="105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105"/>
      <c r="AM580" s="81"/>
      <c r="AN580" s="81"/>
      <c r="AO580" s="81"/>
      <c r="AP580" s="81"/>
      <c r="AQ580" s="81"/>
      <c r="AR580" s="81"/>
      <c r="AS580" s="81"/>
      <c r="AT580" s="81"/>
      <c r="AU580" s="81"/>
    </row>
    <row r="581" spans="1:47" ht="24" customHeight="1" x14ac:dyDescent="0.5">
      <c r="A581" s="81"/>
      <c r="B581" s="81"/>
      <c r="C581" s="81"/>
      <c r="D581" s="81"/>
      <c r="E581" s="81"/>
      <c r="F581" s="81"/>
      <c r="G581" s="105"/>
      <c r="H581" s="81"/>
      <c r="I581" s="81"/>
      <c r="J581" s="81"/>
      <c r="K581" s="105"/>
      <c r="L581" s="81"/>
      <c r="M581" s="81"/>
      <c r="N581" s="81"/>
      <c r="O581" s="81"/>
      <c r="P581" s="81"/>
      <c r="Q581" s="81"/>
      <c r="R581" s="105"/>
      <c r="S581" s="81"/>
      <c r="T581" s="81"/>
      <c r="U581" s="81"/>
      <c r="V581" s="105"/>
      <c r="W581" s="81"/>
      <c r="X581" s="81"/>
      <c r="Y581" s="105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105"/>
      <c r="AM581" s="81"/>
      <c r="AN581" s="81"/>
      <c r="AO581" s="81"/>
      <c r="AP581" s="81"/>
      <c r="AQ581" s="81"/>
      <c r="AR581" s="81"/>
      <c r="AS581" s="81"/>
      <c r="AT581" s="81"/>
      <c r="AU581" s="81"/>
    </row>
    <row r="582" spans="1:47" ht="24" customHeight="1" x14ac:dyDescent="0.5">
      <c r="A582" s="81"/>
      <c r="B582" s="81"/>
      <c r="C582" s="81"/>
      <c r="D582" s="81"/>
      <c r="E582" s="81"/>
      <c r="F582" s="81"/>
      <c r="G582" s="105"/>
      <c r="H582" s="81"/>
      <c r="I582" s="81"/>
      <c r="J582" s="81"/>
      <c r="K582" s="105"/>
      <c r="L582" s="81"/>
      <c r="M582" s="81"/>
      <c r="N582" s="81"/>
      <c r="O582" s="81"/>
      <c r="P582" s="81"/>
      <c r="Q582" s="81"/>
      <c r="R582" s="105"/>
      <c r="S582" s="81"/>
      <c r="T582" s="81"/>
      <c r="U582" s="81"/>
      <c r="V582" s="105"/>
      <c r="W582" s="81"/>
      <c r="X582" s="81"/>
      <c r="Y582" s="105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105"/>
      <c r="AM582" s="81"/>
      <c r="AN582" s="81"/>
      <c r="AO582" s="81"/>
      <c r="AP582" s="81"/>
      <c r="AQ582" s="81"/>
      <c r="AR582" s="81"/>
      <c r="AS582" s="81"/>
      <c r="AT582" s="81"/>
      <c r="AU582" s="81"/>
    </row>
    <row r="583" spans="1:47" ht="24" customHeight="1" x14ac:dyDescent="0.5">
      <c r="A583" s="81"/>
      <c r="B583" s="81"/>
      <c r="C583" s="81"/>
      <c r="D583" s="81"/>
      <c r="E583" s="81"/>
      <c r="F583" s="81"/>
      <c r="G583" s="105"/>
      <c r="H583" s="81"/>
      <c r="I583" s="81"/>
      <c r="J583" s="81"/>
      <c r="K583" s="105"/>
      <c r="L583" s="81"/>
      <c r="M583" s="81"/>
      <c r="N583" s="81"/>
      <c r="O583" s="81"/>
      <c r="P583" s="81"/>
      <c r="Q583" s="81"/>
      <c r="R583" s="105"/>
      <c r="S583" s="81"/>
      <c r="T583" s="81"/>
      <c r="U583" s="81"/>
      <c r="V583" s="105"/>
      <c r="W583" s="81"/>
      <c r="X583" s="81"/>
      <c r="Y583" s="105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105"/>
      <c r="AM583" s="81"/>
      <c r="AN583" s="81"/>
      <c r="AO583" s="81"/>
      <c r="AP583" s="81"/>
      <c r="AQ583" s="81"/>
      <c r="AR583" s="81"/>
      <c r="AS583" s="81"/>
      <c r="AT583" s="81"/>
      <c r="AU583" s="81"/>
    </row>
    <row r="584" spans="1:47" ht="24" customHeight="1" x14ac:dyDescent="0.5">
      <c r="A584" s="81"/>
      <c r="B584" s="81"/>
      <c r="C584" s="81"/>
      <c r="D584" s="81"/>
      <c r="E584" s="81"/>
      <c r="F584" s="81"/>
      <c r="G584" s="105"/>
      <c r="H584" s="81"/>
      <c r="I584" s="81"/>
      <c r="J584" s="81"/>
      <c r="K584" s="105"/>
      <c r="L584" s="81"/>
      <c r="M584" s="81"/>
      <c r="N584" s="81"/>
      <c r="O584" s="81"/>
      <c r="P584" s="81"/>
      <c r="Q584" s="81"/>
      <c r="R584" s="105"/>
      <c r="S584" s="81"/>
      <c r="T584" s="81"/>
      <c r="U584" s="81"/>
      <c r="V584" s="105"/>
      <c r="W584" s="81"/>
      <c r="X584" s="81"/>
      <c r="Y584" s="105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105"/>
      <c r="AM584" s="81"/>
      <c r="AN584" s="81"/>
      <c r="AO584" s="81"/>
      <c r="AP584" s="81"/>
      <c r="AQ584" s="81"/>
      <c r="AR584" s="81"/>
      <c r="AS584" s="81"/>
      <c r="AT584" s="81"/>
      <c r="AU584" s="81"/>
    </row>
    <row r="585" spans="1:47" ht="24" customHeight="1" x14ac:dyDescent="0.5">
      <c r="A585" s="81"/>
      <c r="B585" s="81"/>
      <c r="C585" s="81"/>
      <c r="D585" s="81"/>
      <c r="E585" s="81"/>
      <c r="F585" s="81"/>
      <c r="G585" s="105"/>
      <c r="H585" s="81"/>
      <c r="I585" s="81"/>
      <c r="J585" s="81"/>
      <c r="K585" s="105"/>
      <c r="L585" s="81"/>
      <c r="M585" s="81"/>
      <c r="N585" s="81"/>
      <c r="O585" s="81"/>
      <c r="P585" s="81"/>
      <c r="Q585" s="81"/>
      <c r="R585" s="105"/>
      <c r="S585" s="81"/>
      <c r="T585" s="81"/>
      <c r="U585" s="81"/>
      <c r="V585" s="105"/>
      <c r="W585" s="81"/>
      <c r="X585" s="81"/>
      <c r="Y585" s="105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105"/>
      <c r="AM585" s="81"/>
      <c r="AN585" s="81"/>
      <c r="AO585" s="81"/>
      <c r="AP585" s="81"/>
      <c r="AQ585" s="81"/>
      <c r="AR585" s="81"/>
      <c r="AS585" s="81"/>
      <c r="AT585" s="81"/>
      <c r="AU585" s="81"/>
    </row>
    <row r="586" spans="1:47" ht="24" customHeight="1" x14ac:dyDescent="0.5">
      <c r="A586" s="81"/>
      <c r="B586" s="81"/>
      <c r="C586" s="81"/>
      <c r="D586" s="81"/>
      <c r="E586" s="81"/>
      <c r="F586" s="81"/>
      <c r="G586" s="105"/>
      <c r="H586" s="81"/>
      <c r="I586" s="81"/>
      <c r="J586" s="81"/>
      <c r="K586" s="105"/>
      <c r="L586" s="81"/>
      <c r="M586" s="81"/>
      <c r="N586" s="81"/>
      <c r="O586" s="81"/>
      <c r="P586" s="81"/>
      <c r="Q586" s="81"/>
      <c r="R586" s="105"/>
      <c r="S586" s="81"/>
      <c r="T586" s="81"/>
      <c r="U586" s="81"/>
      <c r="V586" s="105"/>
      <c r="W586" s="81"/>
      <c r="X586" s="81"/>
      <c r="Y586" s="105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105"/>
      <c r="AM586" s="81"/>
      <c r="AN586" s="81"/>
      <c r="AO586" s="81"/>
      <c r="AP586" s="81"/>
      <c r="AQ586" s="81"/>
      <c r="AR586" s="81"/>
      <c r="AS586" s="81"/>
      <c r="AT586" s="81"/>
      <c r="AU586" s="81"/>
    </row>
    <row r="587" spans="1:47" ht="24" customHeight="1" x14ac:dyDescent="0.5">
      <c r="A587" s="81"/>
      <c r="B587" s="81"/>
      <c r="C587" s="81"/>
      <c r="D587" s="81"/>
      <c r="E587" s="81"/>
      <c r="F587" s="81"/>
      <c r="G587" s="105"/>
      <c r="H587" s="81"/>
      <c r="I587" s="81"/>
      <c r="J587" s="81"/>
      <c r="K587" s="105"/>
      <c r="L587" s="81"/>
      <c r="M587" s="81"/>
      <c r="N587" s="81"/>
      <c r="O587" s="81"/>
      <c r="P587" s="81"/>
      <c r="Q587" s="81"/>
      <c r="R587" s="105"/>
      <c r="S587" s="81"/>
      <c r="T587" s="81"/>
      <c r="U587" s="81"/>
      <c r="V587" s="105"/>
      <c r="W587" s="81"/>
      <c r="X587" s="81"/>
      <c r="Y587" s="105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105"/>
      <c r="AM587" s="81"/>
      <c r="AN587" s="81"/>
      <c r="AO587" s="81"/>
      <c r="AP587" s="81"/>
      <c r="AQ587" s="81"/>
      <c r="AR587" s="81"/>
      <c r="AS587" s="81"/>
      <c r="AT587" s="81"/>
      <c r="AU587" s="81"/>
    </row>
    <row r="588" spans="1:47" ht="24" customHeight="1" x14ac:dyDescent="0.5">
      <c r="A588" s="81"/>
      <c r="B588" s="81"/>
      <c r="C588" s="81"/>
      <c r="D588" s="81"/>
      <c r="E588" s="81"/>
      <c r="F588" s="81"/>
      <c r="G588" s="105"/>
      <c r="H588" s="81"/>
      <c r="I588" s="81"/>
      <c r="J588" s="81"/>
      <c r="K588" s="105"/>
      <c r="L588" s="81"/>
      <c r="M588" s="81"/>
      <c r="N588" s="81"/>
      <c r="O588" s="81"/>
      <c r="P588" s="81"/>
      <c r="Q588" s="81"/>
      <c r="R588" s="105"/>
      <c r="S588" s="81"/>
      <c r="T588" s="81"/>
      <c r="U588" s="81"/>
      <c r="V588" s="105"/>
      <c r="W588" s="81"/>
      <c r="X588" s="81"/>
      <c r="Y588" s="105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105"/>
      <c r="AM588" s="81"/>
      <c r="AN588" s="81"/>
      <c r="AO588" s="81"/>
      <c r="AP588" s="81"/>
      <c r="AQ588" s="81"/>
      <c r="AR588" s="81"/>
      <c r="AS588" s="81"/>
      <c r="AT588" s="81"/>
      <c r="AU588" s="81"/>
    </row>
    <row r="589" spans="1:47" ht="24" customHeight="1" x14ac:dyDescent="0.5">
      <c r="A589" s="81"/>
      <c r="B589" s="81"/>
      <c r="C589" s="81"/>
      <c r="D589" s="81"/>
      <c r="E589" s="81"/>
      <c r="F589" s="81"/>
      <c r="G589" s="105"/>
      <c r="H589" s="81"/>
      <c r="I589" s="81"/>
      <c r="J589" s="81"/>
      <c r="K589" s="105"/>
      <c r="L589" s="81"/>
      <c r="M589" s="81"/>
      <c r="N589" s="81"/>
      <c r="O589" s="81"/>
      <c r="P589" s="81"/>
      <c r="Q589" s="81"/>
      <c r="R589" s="105"/>
      <c r="S589" s="81"/>
      <c r="T589" s="81"/>
      <c r="U589" s="81"/>
      <c r="V589" s="105"/>
      <c r="W589" s="81"/>
      <c r="X589" s="81"/>
      <c r="Y589" s="105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105"/>
      <c r="AM589" s="81"/>
      <c r="AN589" s="81"/>
      <c r="AO589" s="81"/>
      <c r="AP589" s="81"/>
      <c r="AQ589" s="81"/>
      <c r="AR589" s="81"/>
      <c r="AS589" s="81"/>
      <c r="AT589" s="81"/>
      <c r="AU589" s="81"/>
    </row>
    <row r="590" spans="1:47" ht="24" customHeight="1" x14ac:dyDescent="0.5">
      <c r="A590" s="81"/>
      <c r="B590" s="81"/>
      <c r="C590" s="81"/>
      <c r="D590" s="81"/>
      <c r="E590" s="81"/>
      <c r="F590" s="81"/>
      <c r="G590" s="105"/>
      <c r="H590" s="81"/>
      <c r="I590" s="81"/>
      <c r="J590" s="81"/>
      <c r="K590" s="105"/>
      <c r="L590" s="81"/>
      <c r="M590" s="81"/>
      <c r="N590" s="81"/>
      <c r="O590" s="81"/>
      <c r="P590" s="81"/>
      <c r="Q590" s="81"/>
      <c r="R590" s="105"/>
      <c r="S590" s="81"/>
      <c r="T590" s="81"/>
      <c r="U590" s="81"/>
      <c r="V590" s="105"/>
      <c r="W590" s="81"/>
      <c r="X590" s="81"/>
      <c r="Y590" s="105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105"/>
      <c r="AM590" s="81"/>
      <c r="AN590" s="81"/>
      <c r="AO590" s="81"/>
      <c r="AP590" s="81"/>
      <c r="AQ590" s="81"/>
      <c r="AR590" s="81"/>
      <c r="AS590" s="81"/>
      <c r="AT590" s="81"/>
      <c r="AU590" s="81"/>
    </row>
    <row r="591" spans="1:47" ht="24" customHeight="1" x14ac:dyDescent="0.5">
      <c r="A591" s="81"/>
      <c r="B591" s="81"/>
      <c r="C591" s="81"/>
      <c r="D591" s="81"/>
      <c r="E591" s="81"/>
      <c r="F591" s="81"/>
      <c r="G591" s="105"/>
      <c r="H591" s="81"/>
      <c r="I591" s="81"/>
      <c r="J591" s="81"/>
      <c r="K591" s="105"/>
      <c r="L591" s="81"/>
      <c r="M591" s="81"/>
      <c r="N591" s="81"/>
      <c r="O591" s="81"/>
      <c r="P591" s="81"/>
      <c r="Q591" s="81"/>
      <c r="R591" s="105"/>
      <c r="S591" s="81"/>
      <c r="T591" s="81"/>
      <c r="U591" s="81"/>
      <c r="V591" s="105"/>
      <c r="W591" s="81"/>
      <c r="X591" s="81"/>
      <c r="Y591" s="105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105"/>
      <c r="AM591" s="81"/>
      <c r="AN591" s="81"/>
      <c r="AO591" s="81"/>
      <c r="AP591" s="81"/>
      <c r="AQ591" s="81"/>
      <c r="AR591" s="81"/>
      <c r="AS591" s="81"/>
      <c r="AT591" s="81"/>
      <c r="AU591" s="81"/>
    </row>
    <row r="592" spans="1:47" ht="24" customHeight="1" x14ac:dyDescent="0.5">
      <c r="A592" s="81"/>
      <c r="B592" s="81"/>
      <c r="C592" s="81"/>
      <c r="D592" s="81"/>
      <c r="E592" s="81"/>
      <c r="F592" s="81"/>
      <c r="G592" s="105"/>
      <c r="H592" s="81"/>
      <c r="I592" s="81"/>
      <c r="J592" s="81"/>
      <c r="K592" s="105"/>
      <c r="L592" s="81"/>
      <c r="M592" s="81"/>
      <c r="N592" s="81"/>
      <c r="O592" s="81"/>
      <c r="P592" s="81"/>
      <c r="Q592" s="81"/>
      <c r="R592" s="105"/>
      <c r="S592" s="81"/>
      <c r="T592" s="81"/>
      <c r="U592" s="81"/>
      <c r="V592" s="105"/>
      <c r="W592" s="81"/>
      <c r="X592" s="81"/>
      <c r="Y592" s="105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105"/>
      <c r="AM592" s="81"/>
      <c r="AN592" s="81"/>
      <c r="AO592" s="81"/>
      <c r="AP592" s="81"/>
      <c r="AQ592" s="81"/>
      <c r="AR592" s="81"/>
      <c r="AS592" s="81"/>
      <c r="AT592" s="81"/>
      <c r="AU592" s="81"/>
    </row>
    <row r="593" spans="1:47" ht="24" customHeight="1" x14ac:dyDescent="0.5">
      <c r="A593" s="81"/>
      <c r="B593" s="81"/>
      <c r="C593" s="81"/>
      <c r="D593" s="81"/>
      <c r="E593" s="81"/>
      <c r="F593" s="81"/>
      <c r="G593" s="105"/>
      <c r="H593" s="81"/>
      <c r="I593" s="81"/>
      <c r="J593" s="81"/>
      <c r="K593" s="105"/>
      <c r="L593" s="81"/>
      <c r="M593" s="81"/>
      <c r="N593" s="81"/>
      <c r="O593" s="81"/>
      <c r="P593" s="81"/>
      <c r="Q593" s="81"/>
      <c r="R593" s="105"/>
      <c r="S593" s="81"/>
      <c r="T593" s="81"/>
      <c r="U593" s="81"/>
      <c r="V593" s="105"/>
      <c r="W593" s="81"/>
      <c r="X593" s="81"/>
      <c r="Y593" s="105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105"/>
      <c r="AM593" s="81"/>
      <c r="AN593" s="81"/>
      <c r="AO593" s="81"/>
      <c r="AP593" s="81"/>
      <c r="AQ593" s="81"/>
      <c r="AR593" s="81"/>
      <c r="AS593" s="81"/>
      <c r="AT593" s="81"/>
      <c r="AU593" s="81"/>
    </row>
    <row r="594" spans="1:47" ht="24" customHeight="1" x14ac:dyDescent="0.5">
      <c r="A594" s="81"/>
      <c r="B594" s="81"/>
      <c r="C594" s="81"/>
      <c r="D594" s="81"/>
      <c r="E594" s="81"/>
      <c r="F594" s="81"/>
      <c r="G594" s="105"/>
      <c r="H594" s="81"/>
      <c r="I594" s="81"/>
      <c r="J594" s="81"/>
      <c r="K594" s="105"/>
      <c r="L594" s="81"/>
      <c r="M594" s="81"/>
      <c r="N594" s="81"/>
      <c r="O594" s="81"/>
      <c r="P594" s="81"/>
      <c r="Q594" s="81"/>
      <c r="R594" s="105"/>
      <c r="S594" s="81"/>
      <c r="T594" s="81"/>
      <c r="U594" s="81"/>
      <c r="V594" s="105"/>
      <c r="W594" s="81"/>
      <c r="X594" s="81"/>
      <c r="Y594" s="105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105"/>
      <c r="AM594" s="81"/>
      <c r="AN594" s="81"/>
      <c r="AO594" s="81"/>
      <c r="AP594" s="81"/>
      <c r="AQ594" s="81"/>
      <c r="AR594" s="81"/>
      <c r="AS594" s="81"/>
      <c r="AT594" s="81"/>
      <c r="AU594" s="81"/>
    </row>
    <row r="595" spans="1:47" ht="24" customHeight="1" x14ac:dyDescent="0.5">
      <c r="A595" s="81"/>
      <c r="B595" s="81"/>
      <c r="C595" s="81"/>
      <c r="D595" s="81"/>
      <c r="E595" s="81"/>
      <c r="F595" s="81"/>
      <c r="G595" s="105"/>
      <c r="H595" s="81"/>
      <c r="I595" s="81"/>
      <c r="J595" s="81"/>
      <c r="K595" s="105"/>
      <c r="L595" s="81"/>
      <c r="M595" s="81"/>
      <c r="N595" s="81"/>
      <c r="O595" s="81"/>
      <c r="P595" s="81"/>
      <c r="Q595" s="81"/>
      <c r="R595" s="105"/>
      <c r="S595" s="81"/>
      <c r="T595" s="81"/>
      <c r="U595" s="81"/>
      <c r="V595" s="105"/>
      <c r="W595" s="81"/>
      <c r="X595" s="81"/>
      <c r="Y595" s="105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105"/>
      <c r="AM595" s="81"/>
      <c r="AN595" s="81"/>
      <c r="AO595" s="81"/>
      <c r="AP595" s="81"/>
      <c r="AQ595" s="81"/>
      <c r="AR595" s="81"/>
      <c r="AS595" s="81"/>
      <c r="AT595" s="81"/>
      <c r="AU595" s="81"/>
    </row>
    <row r="596" spans="1:47" ht="24" customHeight="1" x14ac:dyDescent="0.5">
      <c r="A596" s="81"/>
      <c r="B596" s="81"/>
      <c r="C596" s="81"/>
      <c r="D596" s="81"/>
      <c r="E596" s="81"/>
      <c r="F596" s="81"/>
      <c r="G596" s="105"/>
      <c r="H596" s="81"/>
      <c r="I596" s="81"/>
      <c r="J596" s="81"/>
      <c r="K596" s="105"/>
      <c r="L596" s="81"/>
      <c r="M596" s="81"/>
      <c r="N596" s="81"/>
      <c r="O596" s="81"/>
      <c r="P596" s="81"/>
      <c r="Q596" s="81"/>
      <c r="R596" s="105"/>
      <c r="S596" s="81"/>
      <c r="T596" s="81"/>
      <c r="U596" s="81"/>
      <c r="V596" s="105"/>
      <c r="W596" s="81"/>
      <c r="X596" s="81"/>
      <c r="Y596" s="105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105"/>
      <c r="AM596" s="81"/>
      <c r="AN596" s="81"/>
      <c r="AO596" s="81"/>
      <c r="AP596" s="81"/>
      <c r="AQ596" s="81"/>
      <c r="AR596" s="81"/>
      <c r="AS596" s="81"/>
      <c r="AT596" s="81"/>
      <c r="AU596" s="81"/>
    </row>
    <row r="597" spans="1:47" ht="24" customHeight="1" x14ac:dyDescent="0.5">
      <c r="A597" s="81"/>
      <c r="B597" s="81"/>
      <c r="C597" s="81"/>
      <c r="D597" s="81"/>
      <c r="E597" s="81"/>
      <c r="F597" s="81"/>
      <c r="G597" s="105"/>
      <c r="H597" s="81"/>
      <c r="I597" s="81"/>
      <c r="J597" s="81"/>
      <c r="K597" s="105"/>
      <c r="L597" s="81"/>
      <c r="M597" s="81"/>
      <c r="N597" s="81"/>
      <c r="O597" s="81"/>
      <c r="P597" s="81"/>
      <c r="Q597" s="81"/>
      <c r="R597" s="105"/>
      <c r="S597" s="81"/>
      <c r="T597" s="81"/>
      <c r="U597" s="81"/>
      <c r="V597" s="105"/>
      <c r="W597" s="81"/>
      <c r="X597" s="81"/>
      <c r="Y597" s="105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105"/>
      <c r="AM597" s="81"/>
      <c r="AN597" s="81"/>
      <c r="AO597" s="81"/>
      <c r="AP597" s="81"/>
      <c r="AQ597" s="81"/>
      <c r="AR597" s="81"/>
      <c r="AS597" s="81"/>
      <c r="AT597" s="81"/>
      <c r="AU597" s="81"/>
    </row>
    <row r="598" spans="1:47" ht="24" customHeight="1" x14ac:dyDescent="0.5">
      <c r="A598" s="81"/>
      <c r="B598" s="81"/>
      <c r="C598" s="81"/>
      <c r="D598" s="81"/>
      <c r="E598" s="81"/>
      <c r="F598" s="81"/>
      <c r="G598" s="105"/>
      <c r="H598" s="81"/>
      <c r="I598" s="81"/>
      <c r="J598" s="81"/>
      <c r="K598" s="105"/>
      <c r="L598" s="81"/>
      <c r="M598" s="81"/>
      <c r="N598" s="81"/>
      <c r="O598" s="81"/>
      <c r="P598" s="81"/>
      <c r="Q598" s="81"/>
      <c r="R598" s="105"/>
      <c r="S598" s="81"/>
      <c r="T598" s="81"/>
      <c r="U598" s="81"/>
      <c r="V598" s="105"/>
      <c r="W598" s="81"/>
      <c r="X598" s="81"/>
      <c r="Y598" s="105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105"/>
      <c r="AM598" s="81"/>
      <c r="AN598" s="81"/>
      <c r="AO598" s="81"/>
      <c r="AP598" s="81"/>
      <c r="AQ598" s="81"/>
      <c r="AR598" s="81"/>
      <c r="AS598" s="81"/>
      <c r="AT598" s="81"/>
      <c r="AU598" s="81"/>
    </row>
    <row r="599" spans="1:47" ht="24" customHeight="1" x14ac:dyDescent="0.5">
      <c r="A599" s="81"/>
      <c r="B599" s="81"/>
      <c r="C599" s="81"/>
      <c r="D599" s="81"/>
      <c r="E599" s="81"/>
      <c r="F599" s="81"/>
      <c r="G599" s="105"/>
      <c r="H599" s="81"/>
      <c r="I599" s="81"/>
      <c r="J599" s="81"/>
      <c r="K599" s="105"/>
      <c r="L599" s="81"/>
      <c r="M599" s="81"/>
      <c r="N599" s="81"/>
      <c r="O599" s="81"/>
      <c r="P599" s="81"/>
      <c r="Q599" s="81"/>
      <c r="R599" s="105"/>
      <c r="S599" s="81"/>
      <c r="T599" s="81"/>
      <c r="U599" s="81"/>
      <c r="V599" s="105"/>
      <c r="W599" s="81"/>
      <c r="X599" s="81"/>
      <c r="Y599" s="105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105"/>
      <c r="AM599" s="81"/>
      <c r="AN599" s="81"/>
      <c r="AO599" s="81"/>
      <c r="AP599" s="81"/>
      <c r="AQ599" s="81"/>
      <c r="AR599" s="81"/>
      <c r="AS599" s="81"/>
      <c r="AT599" s="81"/>
      <c r="AU599" s="81"/>
    </row>
    <row r="600" spans="1:47" ht="24" customHeight="1" x14ac:dyDescent="0.5">
      <c r="A600" s="81"/>
      <c r="B600" s="81"/>
      <c r="C600" s="81"/>
      <c r="D600" s="81"/>
      <c r="E600" s="81"/>
      <c r="F600" s="81"/>
      <c r="G600" s="105"/>
      <c r="H600" s="81"/>
      <c r="I600" s="81"/>
      <c r="J600" s="81"/>
      <c r="K600" s="105"/>
      <c r="L600" s="81"/>
      <c r="M600" s="81"/>
      <c r="N600" s="81"/>
      <c r="O600" s="81"/>
      <c r="P600" s="81"/>
      <c r="Q600" s="81"/>
      <c r="R600" s="105"/>
      <c r="S600" s="81"/>
      <c r="T600" s="81"/>
      <c r="U600" s="81"/>
      <c r="V600" s="105"/>
      <c r="W600" s="81"/>
      <c r="X600" s="81"/>
      <c r="Y600" s="105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105"/>
      <c r="AM600" s="81"/>
      <c r="AN600" s="81"/>
      <c r="AO600" s="81"/>
      <c r="AP600" s="81"/>
      <c r="AQ600" s="81"/>
      <c r="AR600" s="81"/>
      <c r="AS600" s="81"/>
      <c r="AT600" s="81"/>
      <c r="AU600" s="81"/>
    </row>
    <row r="601" spans="1:47" ht="24" customHeight="1" x14ac:dyDescent="0.5">
      <c r="A601" s="81"/>
      <c r="B601" s="81"/>
      <c r="C601" s="81"/>
      <c r="D601" s="81"/>
      <c r="E601" s="81"/>
      <c r="F601" s="81"/>
      <c r="G601" s="105"/>
      <c r="H601" s="81"/>
      <c r="I601" s="81"/>
      <c r="J601" s="81"/>
      <c r="K601" s="105"/>
      <c r="L601" s="81"/>
      <c r="M601" s="81"/>
      <c r="N601" s="81"/>
      <c r="O601" s="81"/>
      <c r="P601" s="81"/>
      <c r="Q601" s="81"/>
      <c r="R601" s="105"/>
      <c r="S601" s="81"/>
      <c r="T601" s="81"/>
      <c r="U601" s="81"/>
      <c r="V601" s="105"/>
      <c r="W601" s="81"/>
      <c r="X601" s="81"/>
      <c r="Y601" s="105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105"/>
      <c r="AM601" s="81"/>
      <c r="AN601" s="81"/>
      <c r="AO601" s="81"/>
      <c r="AP601" s="81"/>
      <c r="AQ601" s="81"/>
      <c r="AR601" s="81"/>
      <c r="AS601" s="81"/>
      <c r="AT601" s="81"/>
      <c r="AU601" s="81"/>
    </row>
    <row r="602" spans="1:47" ht="24" customHeight="1" x14ac:dyDescent="0.5">
      <c r="A602" s="81"/>
      <c r="B602" s="81"/>
      <c r="C602" s="81"/>
      <c r="D602" s="81"/>
      <c r="E602" s="81"/>
      <c r="F602" s="81"/>
      <c r="G602" s="105"/>
      <c r="H602" s="81"/>
      <c r="I602" s="81"/>
      <c r="J602" s="81"/>
      <c r="K602" s="105"/>
      <c r="L602" s="81"/>
      <c r="M602" s="81"/>
      <c r="N602" s="81"/>
      <c r="O602" s="81"/>
      <c r="P602" s="81"/>
      <c r="Q602" s="81"/>
      <c r="R602" s="105"/>
      <c r="S602" s="81"/>
      <c r="T602" s="81"/>
      <c r="U602" s="81"/>
      <c r="V602" s="105"/>
      <c r="W602" s="81"/>
      <c r="X602" s="81"/>
      <c r="Y602" s="105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105"/>
      <c r="AM602" s="81"/>
      <c r="AN602" s="81"/>
      <c r="AO602" s="81"/>
      <c r="AP602" s="81"/>
      <c r="AQ602" s="81"/>
      <c r="AR602" s="81"/>
      <c r="AS602" s="81"/>
      <c r="AT602" s="81"/>
      <c r="AU602" s="81"/>
    </row>
    <row r="603" spans="1:47" ht="24" customHeight="1" x14ac:dyDescent="0.5">
      <c r="A603" s="81"/>
      <c r="B603" s="81"/>
      <c r="C603" s="81"/>
      <c r="D603" s="81"/>
      <c r="E603" s="81"/>
      <c r="F603" s="81"/>
      <c r="G603" s="105"/>
      <c r="H603" s="81"/>
      <c r="I603" s="81"/>
      <c r="J603" s="81"/>
      <c r="K603" s="105"/>
      <c r="L603" s="81"/>
      <c r="M603" s="81"/>
      <c r="N603" s="81"/>
      <c r="O603" s="81"/>
      <c r="P603" s="81"/>
      <c r="Q603" s="81"/>
      <c r="R603" s="105"/>
      <c r="S603" s="81"/>
      <c r="T603" s="81"/>
      <c r="U603" s="81"/>
      <c r="V603" s="105"/>
      <c r="W603" s="81"/>
      <c r="X603" s="81"/>
      <c r="Y603" s="105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105"/>
      <c r="AM603" s="81"/>
      <c r="AN603" s="81"/>
      <c r="AO603" s="81"/>
      <c r="AP603" s="81"/>
      <c r="AQ603" s="81"/>
      <c r="AR603" s="81"/>
      <c r="AS603" s="81"/>
      <c r="AT603" s="81"/>
      <c r="AU603" s="81"/>
    </row>
    <row r="604" spans="1:47" ht="24" customHeight="1" x14ac:dyDescent="0.5">
      <c r="A604" s="81"/>
      <c r="B604" s="81"/>
      <c r="C604" s="81"/>
      <c r="D604" s="81"/>
      <c r="E604" s="81"/>
      <c r="F604" s="81"/>
      <c r="G604" s="105"/>
      <c r="H604" s="81"/>
      <c r="I604" s="81"/>
      <c r="J604" s="81"/>
      <c r="K604" s="105"/>
      <c r="L604" s="81"/>
      <c r="M604" s="81"/>
      <c r="N604" s="81"/>
      <c r="O604" s="81"/>
      <c r="P604" s="81"/>
      <c r="Q604" s="81"/>
      <c r="R604" s="105"/>
      <c r="S604" s="81"/>
      <c r="T604" s="81"/>
      <c r="U604" s="81"/>
      <c r="V604" s="105"/>
      <c r="W604" s="81"/>
      <c r="X604" s="81"/>
      <c r="Y604" s="105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105"/>
      <c r="AM604" s="81"/>
      <c r="AN604" s="81"/>
      <c r="AO604" s="81"/>
      <c r="AP604" s="81"/>
      <c r="AQ604" s="81"/>
      <c r="AR604" s="81"/>
      <c r="AS604" s="81"/>
      <c r="AT604" s="81"/>
      <c r="AU604" s="81"/>
    </row>
    <row r="605" spans="1:47" ht="24" customHeight="1" x14ac:dyDescent="0.5">
      <c r="A605" s="81"/>
      <c r="B605" s="81"/>
      <c r="C605" s="81"/>
      <c r="D605" s="81"/>
      <c r="E605" s="81"/>
      <c r="F605" s="81"/>
      <c r="G605" s="105"/>
      <c r="H605" s="81"/>
      <c r="I605" s="81"/>
      <c r="J605" s="81"/>
      <c r="K605" s="105"/>
      <c r="L605" s="81"/>
      <c r="M605" s="81"/>
      <c r="N605" s="81"/>
      <c r="O605" s="81"/>
      <c r="P605" s="81"/>
      <c r="Q605" s="81"/>
      <c r="R605" s="105"/>
      <c r="S605" s="81"/>
      <c r="T605" s="81"/>
      <c r="U605" s="81"/>
      <c r="V605" s="105"/>
      <c r="W605" s="81"/>
      <c r="X605" s="81"/>
      <c r="Y605" s="105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105"/>
      <c r="AM605" s="81"/>
      <c r="AN605" s="81"/>
      <c r="AO605" s="81"/>
      <c r="AP605" s="81"/>
      <c r="AQ605" s="81"/>
      <c r="AR605" s="81"/>
      <c r="AS605" s="81"/>
      <c r="AT605" s="81"/>
      <c r="AU605" s="81"/>
    </row>
    <row r="606" spans="1:47" ht="24" customHeight="1" x14ac:dyDescent="0.5">
      <c r="A606" s="81"/>
      <c r="B606" s="81"/>
      <c r="C606" s="81"/>
      <c r="D606" s="81"/>
      <c r="E606" s="81"/>
      <c r="F606" s="81"/>
      <c r="G606" s="105"/>
      <c r="H606" s="81"/>
      <c r="I606" s="81"/>
      <c r="J606" s="81"/>
      <c r="K606" s="105"/>
      <c r="L606" s="81"/>
      <c r="M606" s="81"/>
      <c r="N606" s="81"/>
      <c r="O606" s="81"/>
      <c r="P606" s="81"/>
      <c r="Q606" s="81"/>
      <c r="R606" s="105"/>
      <c r="S606" s="81"/>
      <c r="T606" s="81"/>
      <c r="U606" s="81"/>
      <c r="V606" s="105"/>
      <c r="W606" s="81"/>
      <c r="X606" s="81"/>
      <c r="Y606" s="105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105"/>
      <c r="AM606" s="81"/>
      <c r="AN606" s="81"/>
      <c r="AO606" s="81"/>
      <c r="AP606" s="81"/>
      <c r="AQ606" s="81"/>
      <c r="AR606" s="81"/>
      <c r="AS606" s="81"/>
      <c r="AT606" s="81"/>
      <c r="AU606" s="81"/>
    </row>
    <row r="607" spans="1:47" ht="24" customHeight="1" x14ac:dyDescent="0.5">
      <c r="A607" s="81"/>
      <c r="B607" s="81"/>
      <c r="C607" s="81"/>
      <c r="D607" s="81"/>
      <c r="E607" s="81"/>
      <c r="F607" s="81"/>
      <c r="G607" s="105"/>
      <c r="H607" s="81"/>
      <c r="I607" s="81"/>
      <c r="J607" s="81"/>
      <c r="K607" s="105"/>
      <c r="L607" s="81"/>
      <c r="M607" s="81"/>
      <c r="N607" s="81"/>
      <c r="O607" s="81"/>
      <c r="P607" s="81"/>
      <c r="Q607" s="81"/>
      <c r="R607" s="105"/>
      <c r="S607" s="81"/>
      <c r="T607" s="81"/>
      <c r="U607" s="81"/>
      <c r="V607" s="105"/>
      <c r="W607" s="81"/>
      <c r="X607" s="81"/>
      <c r="Y607" s="105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105"/>
      <c r="AM607" s="81"/>
      <c r="AN607" s="81"/>
      <c r="AO607" s="81"/>
      <c r="AP607" s="81"/>
      <c r="AQ607" s="81"/>
      <c r="AR607" s="81"/>
      <c r="AS607" s="81"/>
      <c r="AT607" s="81"/>
      <c r="AU607" s="81"/>
    </row>
    <row r="608" spans="1:47" ht="24" customHeight="1" x14ac:dyDescent="0.5">
      <c r="A608" s="81"/>
      <c r="B608" s="81"/>
      <c r="C608" s="81"/>
      <c r="D608" s="81"/>
      <c r="E608" s="81"/>
      <c r="F608" s="81"/>
      <c r="G608" s="105"/>
      <c r="H608" s="81"/>
      <c r="I608" s="81"/>
      <c r="J608" s="81"/>
      <c r="K608" s="105"/>
      <c r="L608" s="81"/>
      <c r="M608" s="81"/>
      <c r="N608" s="81"/>
      <c r="O608" s="81"/>
      <c r="P608" s="81"/>
      <c r="Q608" s="81"/>
      <c r="R608" s="105"/>
      <c r="S608" s="81"/>
      <c r="T608" s="81"/>
      <c r="U608" s="81"/>
      <c r="V608" s="105"/>
      <c r="W608" s="81"/>
      <c r="X608" s="81"/>
      <c r="Y608" s="105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105"/>
      <c r="AM608" s="81"/>
      <c r="AN608" s="81"/>
      <c r="AO608" s="81"/>
      <c r="AP608" s="81"/>
      <c r="AQ608" s="81"/>
      <c r="AR608" s="81"/>
      <c r="AS608" s="81"/>
      <c r="AT608" s="81"/>
      <c r="AU608" s="81"/>
    </row>
    <row r="609" spans="1:47" ht="24" customHeight="1" x14ac:dyDescent="0.5">
      <c r="A609" s="81"/>
      <c r="B609" s="81"/>
      <c r="C609" s="81"/>
      <c r="D609" s="81"/>
      <c r="E609" s="81"/>
      <c r="F609" s="81"/>
      <c r="G609" s="105"/>
      <c r="H609" s="81"/>
      <c r="I609" s="81"/>
      <c r="J609" s="81"/>
      <c r="K609" s="105"/>
      <c r="L609" s="81"/>
      <c r="M609" s="81"/>
      <c r="N609" s="81"/>
      <c r="O609" s="81"/>
      <c r="P609" s="81"/>
      <c r="Q609" s="81"/>
      <c r="R609" s="105"/>
      <c r="S609" s="81"/>
      <c r="T609" s="81"/>
      <c r="U609" s="81"/>
      <c r="V609" s="105"/>
      <c r="W609" s="81"/>
      <c r="X609" s="81"/>
      <c r="Y609" s="105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105"/>
      <c r="AM609" s="81"/>
      <c r="AN609" s="81"/>
      <c r="AO609" s="81"/>
      <c r="AP609" s="81"/>
      <c r="AQ609" s="81"/>
      <c r="AR609" s="81"/>
      <c r="AS609" s="81"/>
      <c r="AT609" s="81"/>
      <c r="AU609" s="81"/>
    </row>
    <row r="610" spans="1:47" ht="24" customHeight="1" x14ac:dyDescent="0.5">
      <c r="A610" s="81"/>
      <c r="B610" s="81"/>
      <c r="C610" s="81"/>
      <c r="D610" s="81"/>
      <c r="E610" s="81"/>
      <c r="F610" s="81"/>
      <c r="G610" s="105"/>
      <c r="H610" s="81"/>
      <c r="I610" s="81"/>
      <c r="J610" s="81"/>
      <c r="K610" s="105"/>
      <c r="L610" s="81"/>
      <c r="M610" s="81"/>
      <c r="N610" s="81"/>
      <c r="O610" s="81"/>
      <c r="P610" s="81"/>
      <c r="Q610" s="81"/>
      <c r="R610" s="105"/>
      <c r="S610" s="81"/>
      <c r="T610" s="81"/>
      <c r="U610" s="81"/>
      <c r="V610" s="105"/>
      <c r="W610" s="81"/>
      <c r="X610" s="81"/>
      <c r="Y610" s="105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105"/>
      <c r="AM610" s="81"/>
      <c r="AN610" s="81"/>
      <c r="AO610" s="81"/>
      <c r="AP610" s="81"/>
      <c r="AQ610" s="81"/>
      <c r="AR610" s="81"/>
      <c r="AS610" s="81"/>
      <c r="AT610" s="81"/>
      <c r="AU610" s="81"/>
    </row>
    <row r="611" spans="1:47" ht="24" customHeight="1" x14ac:dyDescent="0.5">
      <c r="A611" s="81"/>
      <c r="B611" s="81"/>
      <c r="C611" s="81"/>
      <c r="D611" s="81"/>
      <c r="E611" s="81"/>
      <c r="F611" s="81"/>
      <c r="G611" s="105"/>
      <c r="H611" s="81"/>
      <c r="I611" s="81"/>
      <c r="J611" s="81"/>
      <c r="K611" s="105"/>
      <c r="L611" s="81"/>
      <c r="M611" s="81"/>
      <c r="N611" s="81"/>
      <c r="O611" s="81"/>
      <c r="P611" s="81"/>
      <c r="Q611" s="81"/>
      <c r="R611" s="105"/>
      <c r="S611" s="81"/>
      <c r="T611" s="81"/>
      <c r="U611" s="81"/>
      <c r="V611" s="105"/>
      <c r="W611" s="81"/>
      <c r="X611" s="81"/>
      <c r="Y611" s="105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105"/>
      <c r="AM611" s="81"/>
      <c r="AN611" s="81"/>
      <c r="AO611" s="81"/>
      <c r="AP611" s="81"/>
      <c r="AQ611" s="81"/>
      <c r="AR611" s="81"/>
      <c r="AS611" s="81"/>
      <c r="AT611" s="81"/>
      <c r="AU611" s="81"/>
    </row>
    <row r="612" spans="1:47" ht="24" customHeight="1" x14ac:dyDescent="0.5">
      <c r="A612" s="81"/>
      <c r="B612" s="81"/>
      <c r="C612" s="81"/>
      <c r="D612" s="81"/>
      <c r="E612" s="81"/>
      <c r="F612" s="81"/>
      <c r="G612" s="105"/>
      <c r="H612" s="81"/>
      <c r="I612" s="81"/>
      <c r="J612" s="81"/>
      <c r="K612" s="105"/>
      <c r="L612" s="81"/>
      <c r="M612" s="81"/>
      <c r="N612" s="81"/>
      <c r="O612" s="81"/>
      <c r="P612" s="81"/>
      <c r="Q612" s="81"/>
      <c r="R612" s="105"/>
      <c r="S612" s="81"/>
      <c r="T612" s="81"/>
      <c r="U612" s="81"/>
      <c r="V612" s="105"/>
      <c r="W612" s="81"/>
      <c r="X612" s="81"/>
      <c r="Y612" s="105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105"/>
      <c r="AM612" s="81"/>
      <c r="AN612" s="81"/>
      <c r="AO612" s="81"/>
      <c r="AP612" s="81"/>
      <c r="AQ612" s="81"/>
      <c r="AR612" s="81"/>
      <c r="AS612" s="81"/>
      <c r="AT612" s="81"/>
      <c r="AU612" s="81"/>
    </row>
    <row r="613" spans="1:47" ht="24" customHeight="1" x14ac:dyDescent="0.5">
      <c r="A613" s="81"/>
      <c r="B613" s="81"/>
      <c r="C613" s="81"/>
      <c r="D613" s="81"/>
      <c r="E613" s="81"/>
      <c r="F613" s="81"/>
      <c r="G613" s="105"/>
      <c r="H613" s="81"/>
      <c r="I613" s="81"/>
      <c r="J613" s="81"/>
      <c r="K613" s="105"/>
      <c r="L613" s="81"/>
      <c r="M613" s="81"/>
      <c r="N613" s="81"/>
      <c r="O613" s="81"/>
      <c r="P613" s="81"/>
      <c r="Q613" s="81"/>
      <c r="R613" s="105"/>
      <c r="S613" s="81"/>
      <c r="T613" s="81"/>
      <c r="U613" s="81"/>
      <c r="V613" s="105"/>
      <c r="W613" s="81"/>
      <c r="X613" s="81"/>
      <c r="Y613" s="105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105"/>
      <c r="AM613" s="81"/>
      <c r="AN613" s="81"/>
      <c r="AO613" s="81"/>
      <c r="AP613" s="81"/>
      <c r="AQ613" s="81"/>
      <c r="AR613" s="81"/>
      <c r="AS613" s="81"/>
      <c r="AT613" s="81"/>
      <c r="AU613" s="81"/>
    </row>
    <row r="614" spans="1:47" ht="24" customHeight="1" x14ac:dyDescent="0.5">
      <c r="A614" s="81"/>
      <c r="B614" s="81"/>
      <c r="C614" s="81"/>
      <c r="D614" s="81"/>
      <c r="E614" s="81"/>
      <c r="F614" s="81"/>
      <c r="G614" s="105"/>
      <c r="H614" s="81"/>
      <c r="I614" s="81"/>
      <c r="J614" s="81"/>
      <c r="K614" s="105"/>
      <c r="L614" s="81"/>
      <c r="M614" s="81"/>
      <c r="N614" s="81"/>
      <c r="O614" s="81"/>
      <c r="P614" s="81"/>
      <c r="Q614" s="81"/>
      <c r="R614" s="105"/>
      <c r="S614" s="81"/>
      <c r="T614" s="81"/>
      <c r="U614" s="81"/>
      <c r="V614" s="105"/>
      <c r="W614" s="81"/>
      <c r="X614" s="81"/>
      <c r="Y614" s="105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105"/>
      <c r="AM614" s="81"/>
      <c r="AN614" s="81"/>
      <c r="AO614" s="81"/>
      <c r="AP614" s="81"/>
      <c r="AQ614" s="81"/>
      <c r="AR614" s="81"/>
      <c r="AS614" s="81"/>
      <c r="AT614" s="81"/>
      <c r="AU614" s="81"/>
    </row>
    <row r="615" spans="1:47" ht="24" customHeight="1" x14ac:dyDescent="0.5">
      <c r="A615" s="81"/>
      <c r="B615" s="81"/>
      <c r="C615" s="81"/>
      <c r="D615" s="81"/>
      <c r="E615" s="81"/>
      <c r="F615" s="81"/>
      <c r="G615" s="105"/>
      <c r="H615" s="81"/>
      <c r="I615" s="81"/>
      <c r="J615" s="81"/>
      <c r="K615" s="105"/>
      <c r="L615" s="81"/>
      <c r="M615" s="81"/>
      <c r="N615" s="81"/>
      <c r="O615" s="81"/>
      <c r="P615" s="81"/>
      <c r="Q615" s="81"/>
      <c r="R615" s="105"/>
      <c r="S615" s="81"/>
      <c r="T615" s="81"/>
      <c r="U615" s="81"/>
      <c r="V615" s="105"/>
      <c r="W615" s="81"/>
      <c r="X615" s="81"/>
      <c r="Y615" s="105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105"/>
      <c r="AM615" s="81"/>
      <c r="AN615" s="81"/>
      <c r="AO615" s="81"/>
      <c r="AP615" s="81"/>
      <c r="AQ615" s="81"/>
      <c r="AR615" s="81"/>
      <c r="AS615" s="81"/>
      <c r="AT615" s="81"/>
      <c r="AU615" s="81"/>
    </row>
    <row r="616" spans="1:47" ht="24" customHeight="1" x14ac:dyDescent="0.5">
      <c r="A616" s="81"/>
      <c r="B616" s="81"/>
      <c r="C616" s="81"/>
      <c r="D616" s="81"/>
      <c r="E616" s="81"/>
      <c r="F616" s="81"/>
      <c r="G616" s="105"/>
      <c r="H616" s="81"/>
      <c r="I616" s="81"/>
      <c r="J616" s="81"/>
      <c r="K616" s="105"/>
      <c r="L616" s="81"/>
      <c r="M616" s="81"/>
      <c r="N616" s="81"/>
      <c r="O616" s="81"/>
      <c r="P616" s="81"/>
      <c r="Q616" s="81"/>
      <c r="R616" s="105"/>
      <c r="S616" s="81"/>
      <c r="T616" s="81"/>
      <c r="U616" s="81"/>
      <c r="V616" s="105"/>
      <c r="W616" s="81"/>
      <c r="X616" s="81"/>
      <c r="Y616" s="105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105"/>
      <c r="AM616" s="81"/>
      <c r="AN616" s="81"/>
      <c r="AO616" s="81"/>
      <c r="AP616" s="81"/>
      <c r="AQ616" s="81"/>
      <c r="AR616" s="81"/>
      <c r="AS616" s="81"/>
      <c r="AT616" s="81"/>
      <c r="AU616" s="81"/>
    </row>
    <row r="617" spans="1:47" ht="24" customHeight="1" x14ac:dyDescent="0.5">
      <c r="A617" s="81"/>
      <c r="B617" s="81"/>
      <c r="C617" s="81"/>
      <c r="D617" s="81"/>
      <c r="E617" s="81"/>
      <c r="F617" s="81"/>
      <c r="G617" s="105"/>
      <c r="H617" s="81"/>
      <c r="I617" s="81"/>
      <c r="J617" s="81"/>
      <c r="K617" s="105"/>
      <c r="L617" s="81"/>
      <c r="M617" s="81"/>
      <c r="N617" s="81"/>
      <c r="O617" s="81"/>
      <c r="P617" s="81"/>
      <c r="Q617" s="81"/>
      <c r="R617" s="105"/>
      <c r="S617" s="81"/>
      <c r="T617" s="81"/>
      <c r="U617" s="81"/>
      <c r="V617" s="105"/>
      <c r="W617" s="81"/>
      <c r="X617" s="81"/>
      <c r="Y617" s="105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105"/>
      <c r="AM617" s="81"/>
      <c r="AN617" s="81"/>
      <c r="AO617" s="81"/>
      <c r="AP617" s="81"/>
      <c r="AQ617" s="81"/>
      <c r="AR617" s="81"/>
      <c r="AS617" s="81"/>
      <c r="AT617" s="81"/>
      <c r="AU617" s="81"/>
    </row>
    <row r="618" spans="1:47" ht="24" customHeight="1" x14ac:dyDescent="0.5">
      <c r="A618" s="81"/>
      <c r="B618" s="81"/>
      <c r="C618" s="81"/>
      <c r="D618" s="81"/>
      <c r="E618" s="81"/>
      <c r="F618" s="81"/>
      <c r="G618" s="105"/>
      <c r="H618" s="81"/>
      <c r="I618" s="81"/>
      <c r="J618" s="81"/>
      <c r="K618" s="105"/>
      <c r="L618" s="81"/>
      <c r="M618" s="81"/>
      <c r="N618" s="81"/>
      <c r="O618" s="81"/>
      <c r="P618" s="81"/>
      <c r="Q618" s="81"/>
      <c r="R618" s="105"/>
      <c r="S618" s="81"/>
      <c r="T618" s="81"/>
      <c r="U618" s="81"/>
      <c r="V618" s="105"/>
      <c r="W618" s="81"/>
      <c r="X618" s="81"/>
      <c r="Y618" s="105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105"/>
      <c r="AM618" s="81"/>
      <c r="AN618" s="81"/>
      <c r="AO618" s="81"/>
      <c r="AP618" s="81"/>
      <c r="AQ618" s="81"/>
      <c r="AR618" s="81"/>
      <c r="AS618" s="81"/>
      <c r="AT618" s="81"/>
      <c r="AU618" s="81"/>
    </row>
    <row r="619" spans="1:47" ht="24" customHeight="1" x14ac:dyDescent="0.5">
      <c r="A619" s="81"/>
      <c r="B619" s="81"/>
      <c r="C619" s="81"/>
      <c r="D619" s="81"/>
      <c r="E619" s="81"/>
      <c r="F619" s="81"/>
      <c r="G619" s="105"/>
      <c r="H619" s="81"/>
      <c r="I619" s="81"/>
      <c r="J619" s="81"/>
      <c r="K619" s="105"/>
      <c r="L619" s="81"/>
      <c r="M619" s="81"/>
      <c r="N619" s="81"/>
      <c r="O619" s="81"/>
      <c r="P619" s="81"/>
      <c r="Q619" s="81"/>
      <c r="R619" s="105"/>
      <c r="S619" s="81"/>
      <c r="T619" s="81"/>
      <c r="U619" s="81"/>
      <c r="V619" s="105"/>
      <c r="W619" s="81"/>
      <c r="X619" s="81"/>
      <c r="Y619" s="105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105"/>
      <c r="AM619" s="81"/>
      <c r="AN619" s="81"/>
      <c r="AO619" s="81"/>
      <c r="AP619" s="81"/>
      <c r="AQ619" s="81"/>
      <c r="AR619" s="81"/>
      <c r="AS619" s="81"/>
      <c r="AT619" s="81"/>
      <c r="AU619" s="81"/>
    </row>
    <row r="620" spans="1:47" ht="24" customHeight="1" x14ac:dyDescent="0.5">
      <c r="A620" s="81"/>
      <c r="B620" s="81"/>
      <c r="C620" s="81"/>
      <c r="D620" s="81"/>
      <c r="E620" s="81"/>
      <c r="F620" s="81"/>
      <c r="G620" s="105"/>
      <c r="H620" s="81"/>
      <c r="I620" s="81"/>
      <c r="J620" s="81"/>
      <c r="K620" s="105"/>
      <c r="L620" s="81"/>
      <c r="M620" s="81"/>
      <c r="N620" s="81"/>
      <c r="O620" s="81"/>
      <c r="P620" s="81"/>
      <c r="Q620" s="81"/>
      <c r="R620" s="105"/>
      <c r="S620" s="81"/>
      <c r="T620" s="81"/>
      <c r="U620" s="81"/>
      <c r="V620" s="105"/>
      <c r="W620" s="81"/>
      <c r="X620" s="81"/>
      <c r="Y620" s="105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105"/>
      <c r="AM620" s="81"/>
      <c r="AN620" s="81"/>
      <c r="AO620" s="81"/>
      <c r="AP620" s="81"/>
      <c r="AQ620" s="81"/>
      <c r="AR620" s="81"/>
      <c r="AS620" s="81"/>
      <c r="AT620" s="81"/>
      <c r="AU620" s="81"/>
    </row>
    <row r="621" spans="1:47" ht="24" customHeight="1" x14ac:dyDescent="0.5">
      <c r="A621" s="81"/>
      <c r="B621" s="81"/>
      <c r="C621" s="81"/>
      <c r="D621" s="81"/>
      <c r="E621" s="81"/>
      <c r="F621" s="81"/>
      <c r="G621" s="105"/>
      <c r="H621" s="81"/>
      <c r="I621" s="81"/>
      <c r="J621" s="81"/>
      <c r="K621" s="105"/>
      <c r="L621" s="81"/>
      <c r="M621" s="81"/>
      <c r="N621" s="81"/>
      <c r="O621" s="81"/>
      <c r="P621" s="81"/>
      <c r="Q621" s="81"/>
      <c r="R621" s="105"/>
      <c r="S621" s="81"/>
      <c r="T621" s="81"/>
      <c r="U621" s="81"/>
      <c r="V621" s="105"/>
      <c r="W621" s="81"/>
      <c r="X621" s="81"/>
      <c r="Y621" s="105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105"/>
      <c r="AM621" s="81"/>
      <c r="AN621" s="81"/>
      <c r="AO621" s="81"/>
      <c r="AP621" s="81"/>
      <c r="AQ621" s="81"/>
      <c r="AR621" s="81"/>
      <c r="AS621" s="81"/>
      <c r="AT621" s="81"/>
      <c r="AU621" s="81"/>
    </row>
    <row r="622" spans="1:47" ht="24" customHeight="1" x14ac:dyDescent="0.5">
      <c r="A622" s="81"/>
      <c r="B622" s="81"/>
      <c r="C622" s="81"/>
      <c r="D622" s="81"/>
      <c r="E622" s="81"/>
      <c r="F622" s="81"/>
      <c r="G622" s="105"/>
      <c r="H622" s="81"/>
      <c r="I622" s="81"/>
      <c r="J622" s="81"/>
      <c r="K622" s="105"/>
      <c r="L622" s="81"/>
      <c r="M622" s="81"/>
      <c r="N622" s="81"/>
      <c r="O622" s="81"/>
      <c r="P622" s="81"/>
      <c r="Q622" s="81"/>
      <c r="R622" s="105"/>
      <c r="S622" s="81"/>
      <c r="T622" s="81"/>
      <c r="U622" s="81"/>
      <c r="V622" s="105"/>
      <c r="W622" s="81"/>
      <c r="X622" s="81"/>
      <c r="Y622" s="105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105"/>
      <c r="AM622" s="81"/>
      <c r="AN622" s="81"/>
      <c r="AO622" s="81"/>
      <c r="AP622" s="81"/>
      <c r="AQ622" s="81"/>
      <c r="AR622" s="81"/>
      <c r="AS622" s="81"/>
      <c r="AT622" s="81"/>
      <c r="AU622" s="81"/>
    </row>
    <row r="623" spans="1:47" ht="24" customHeight="1" x14ac:dyDescent="0.5">
      <c r="A623" s="81"/>
      <c r="B623" s="81"/>
      <c r="C623" s="81"/>
      <c r="D623" s="81"/>
      <c r="E623" s="81"/>
      <c r="F623" s="81"/>
      <c r="G623" s="105"/>
      <c r="H623" s="81"/>
      <c r="I623" s="81"/>
      <c r="J623" s="81"/>
      <c r="K623" s="105"/>
      <c r="L623" s="81"/>
      <c r="M623" s="81"/>
      <c r="N623" s="81"/>
      <c r="O623" s="81"/>
      <c r="P623" s="81"/>
      <c r="Q623" s="81"/>
      <c r="R623" s="105"/>
      <c r="S623" s="81"/>
      <c r="T623" s="81"/>
      <c r="U623" s="81"/>
      <c r="V623" s="105"/>
      <c r="W623" s="81"/>
      <c r="X623" s="81"/>
      <c r="Y623" s="105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105"/>
      <c r="AM623" s="81"/>
      <c r="AN623" s="81"/>
      <c r="AO623" s="81"/>
      <c r="AP623" s="81"/>
      <c r="AQ623" s="81"/>
      <c r="AR623" s="81"/>
      <c r="AS623" s="81"/>
      <c r="AT623" s="81"/>
      <c r="AU623" s="81"/>
    </row>
    <row r="624" spans="1:47" ht="24" customHeight="1" x14ac:dyDescent="0.5">
      <c r="A624" s="81"/>
      <c r="B624" s="81"/>
      <c r="C624" s="81"/>
      <c r="D624" s="81"/>
      <c r="E624" s="81"/>
      <c r="F624" s="81"/>
      <c r="G624" s="105"/>
      <c r="H624" s="81"/>
      <c r="I624" s="81"/>
      <c r="J624" s="81"/>
      <c r="K624" s="105"/>
      <c r="L624" s="81"/>
      <c r="M624" s="81"/>
      <c r="N624" s="81"/>
      <c r="O624" s="81"/>
      <c r="P624" s="81"/>
      <c r="Q624" s="81"/>
      <c r="R624" s="105"/>
      <c r="S624" s="81"/>
      <c r="T624" s="81"/>
      <c r="U624" s="81"/>
      <c r="V624" s="105"/>
      <c r="W624" s="81"/>
      <c r="X624" s="81"/>
      <c r="Y624" s="105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105"/>
      <c r="AM624" s="81"/>
      <c r="AN624" s="81"/>
      <c r="AO624" s="81"/>
      <c r="AP624" s="81"/>
      <c r="AQ624" s="81"/>
      <c r="AR624" s="81"/>
      <c r="AS624" s="81"/>
      <c r="AT624" s="81"/>
      <c r="AU624" s="81"/>
    </row>
    <row r="625" spans="1:47" ht="24" customHeight="1" x14ac:dyDescent="0.5">
      <c r="A625" s="81"/>
      <c r="B625" s="81"/>
      <c r="C625" s="81"/>
      <c r="D625" s="81"/>
      <c r="E625" s="81"/>
      <c r="F625" s="81"/>
      <c r="G625" s="105"/>
      <c r="H625" s="81"/>
      <c r="I625" s="81"/>
      <c r="J625" s="81"/>
      <c r="K625" s="105"/>
      <c r="L625" s="81"/>
      <c r="M625" s="81"/>
      <c r="N625" s="81"/>
      <c r="O625" s="81"/>
      <c r="P625" s="81"/>
      <c r="Q625" s="81"/>
      <c r="R625" s="105"/>
      <c r="S625" s="81"/>
      <c r="T625" s="81"/>
      <c r="U625" s="81"/>
      <c r="V625" s="105"/>
      <c r="W625" s="81"/>
      <c r="X625" s="81"/>
      <c r="Y625" s="105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105"/>
      <c r="AM625" s="81"/>
      <c r="AN625" s="81"/>
      <c r="AO625" s="81"/>
      <c r="AP625" s="81"/>
      <c r="AQ625" s="81"/>
      <c r="AR625" s="81"/>
      <c r="AS625" s="81"/>
      <c r="AT625" s="81"/>
      <c r="AU625" s="81"/>
    </row>
    <row r="626" spans="1:47" ht="24" customHeight="1" x14ac:dyDescent="0.5">
      <c r="A626" s="81"/>
      <c r="B626" s="81"/>
      <c r="C626" s="81"/>
      <c r="D626" s="81"/>
      <c r="E626" s="81"/>
      <c r="F626" s="81"/>
      <c r="G626" s="105"/>
      <c r="H626" s="81"/>
      <c r="I626" s="81"/>
      <c r="J626" s="81"/>
      <c r="K626" s="105"/>
      <c r="L626" s="81"/>
      <c r="M626" s="81"/>
      <c r="N626" s="81"/>
      <c r="O626" s="81"/>
      <c r="P626" s="81"/>
      <c r="Q626" s="81"/>
      <c r="R626" s="105"/>
      <c r="S626" s="81"/>
      <c r="T626" s="81"/>
      <c r="U626" s="81"/>
      <c r="V626" s="105"/>
      <c r="W626" s="81"/>
      <c r="X626" s="81"/>
      <c r="Y626" s="105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105"/>
      <c r="AM626" s="81"/>
      <c r="AN626" s="81"/>
      <c r="AO626" s="81"/>
      <c r="AP626" s="81"/>
      <c r="AQ626" s="81"/>
      <c r="AR626" s="81"/>
      <c r="AS626" s="81"/>
      <c r="AT626" s="81"/>
      <c r="AU626" s="81"/>
    </row>
    <row r="627" spans="1:47" ht="24" customHeight="1" x14ac:dyDescent="0.5">
      <c r="A627" s="81"/>
      <c r="B627" s="81"/>
      <c r="C627" s="81"/>
      <c r="D627" s="81"/>
      <c r="E627" s="81"/>
      <c r="F627" s="81"/>
      <c r="G627" s="105"/>
      <c r="H627" s="81"/>
      <c r="I627" s="81"/>
      <c r="J627" s="81"/>
      <c r="K627" s="105"/>
      <c r="L627" s="81"/>
      <c r="M627" s="81"/>
      <c r="N627" s="81"/>
      <c r="O627" s="81"/>
      <c r="P627" s="81"/>
      <c r="Q627" s="81"/>
      <c r="R627" s="105"/>
      <c r="S627" s="81"/>
      <c r="T627" s="81"/>
      <c r="U627" s="81"/>
      <c r="V627" s="105"/>
      <c r="W627" s="81"/>
      <c r="X627" s="81"/>
      <c r="Y627" s="105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105"/>
      <c r="AM627" s="81"/>
      <c r="AN627" s="81"/>
      <c r="AO627" s="81"/>
      <c r="AP627" s="81"/>
      <c r="AQ627" s="81"/>
      <c r="AR627" s="81"/>
      <c r="AS627" s="81"/>
      <c r="AT627" s="81"/>
      <c r="AU627" s="81"/>
    </row>
    <row r="628" spans="1:47" ht="24" customHeight="1" x14ac:dyDescent="0.5">
      <c r="A628" s="81"/>
      <c r="B628" s="81"/>
      <c r="C628" s="81"/>
      <c r="D628" s="81"/>
      <c r="E628" s="81"/>
      <c r="F628" s="81"/>
      <c r="G628" s="105"/>
      <c r="H628" s="81"/>
      <c r="I628" s="81"/>
      <c r="J628" s="81"/>
      <c r="K628" s="105"/>
      <c r="L628" s="81"/>
      <c r="M628" s="81"/>
      <c r="N628" s="81"/>
      <c r="O628" s="81"/>
      <c r="P628" s="81"/>
      <c r="Q628" s="81"/>
      <c r="R628" s="105"/>
      <c r="S628" s="81"/>
      <c r="T628" s="81"/>
      <c r="U628" s="81"/>
      <c r="V628" s="105"/>
      <c r="W628" s="81"/>
      <c r="X628" s="81"/>
      <c r="Y628" s="105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105"/>
      <c r="AM628" s="81"/>
      <c r="AN628" s="81"/>
      <c r="AO628" s="81"/>
      <c r="AP628" s="81"/>
      <c r="AQ628" s="81"/>
      <c r="AR628" s="81"/>
      <c r="AS628" s="81"/>
      <c r="AT628" s="81"/>
      <c r="AU628" s="81"/>
    </row>
    <row r="629" spans="1:47" ht="24" customHeight="1" x14ac:dyDescent="0.5">
      <c r="A629" s="81"/>
      <c r="B629" s="81"/>
      <c r="C629" s="81"/>
      <c r="D629" s="81"/>
      <c r="E629" s="81"/>
      <c r="F629" s="81"/>
      <c r="G629" s="105"/>
      <c r="H629" s="81"/>
      <c r="I629" s="81"/>
      <c r="J629" s="81"/>
      <c r="K629" s="105"/>
      <c r="L629" s="81"/>
      <c r="M629" s="81"/>
      <c r="N629" s="81"/>
      <c r="O629" s="81"/>
      <c r="P629" s="81"/>
      <c r="Q629" s="81"/>
      <c r="R629" s="105"/>
      <c r="S629" s="81"/>
      <c r="T629" s="81"/>
      <c r="U629" s="81"/>
      <c r="V629" s="105"/>
      <c r="W629" s="81"/>
      <c r="X629" s="81"/>
      <c r="Y629" s="105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105"/>
      <c r="AM629" s="81"/>
      <c r="AN629" s="81"/>
      <c r="AO629" s="81"/>
      <c r="AP629" s="81"/>
      <c r="AQ629" s="81"/>
      <c r="AR629" s="81"/>
      <c r="AS629" s="81"/>
      <c r="AT629" s="81"/>
      <c r="AU629" s="81"/>
    </row>
    <row r="630" spans="1:47" ht="24" customHeight="1" x14ac:dyDescent="0.5">
      <c r="A630" s="81"/>
      <c r="B630" s="81"/>
      <c r="C630" s="81"/>
      <c r="D630" s="81"/>
      <c r="E630" s="81"/>
      <c r="F630" s="81"/>
      <c r="G630" s="105"/>
      <c r="H630" s="81"/>
      <c r="I630" s="81"/>
      <c r="J630" s="81"/>
      <c r="K630" s="105"/>
      <c r="L630" s="81"/>
      <c r="M630" s="81"/>
      <c r="N630" s="81"/>
      <c r="O630" s="81"/>
      <c r="P630" s="81"/>
      <c r="Q630" s="81"/>
      <c r="R630" s="105"/>
      <c r="S630" s="81"/>
      <c r="T630" s="81"/>
      <c r="U630" s="81"/>
      <c r="V630" s="105"/>
      <c r="W630" s="81"/>
      <c r="X630" s="81"/>
      <c r="Y630" s="105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105"/>
      <c r="AM630" s="81"/>
      <c r="AN630" s="81"/>
      <c r="AO630" s="81"/>
      <c r="AP630" s="81"/>
      <c r="AQ630" s="81"/>
      <c r="AR630" s="81"/>
      <c r="AS630" s="81"/>
      <c r="AT630" s="81"/>
      <c r="AU630" s="81"/>
    </row>
    <row r="631" spans="1:47" ht="24" customHeight="1" x14ac:dyDescent="0.5">
      <c r="A631" s="81"/>
      <c r="B631" s="81"/>
      <c r="C631" s="81"/>
      <c r="D631" s="81"/>
      <c r="E631" s="81"/>
      <c r="F631" s="81"/>
      <c r="G631" s="105"/>
      <c r="H631" s="81"/>
      <c r="I631" s="81"/>
      <c r="J631" s="81"/>
      <c r="K631" s="105"/>
      <c r="L631" s="81"/>
      <c r="M631" s="81"/>
      <c r="N631" s="81"/>
      <c r="O631" s="81"/>
      <c r="P631" s="81"/>
      <c r="Q631" s="81"/>
      <c r="R631" s="105"/>
      <c r="S631" s="81"/>
      <c r="T631" s="81"/>
      <c r="U631" s="81"/>
      <c r="V631" s="105"/>
      <c r="W631" s="81"/>
      <c r="X631" s="81"/>
      <c r="Y631" s="105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105"/>
      <c r="AM631" s="81"/>
      <c r="AN631" s="81"/>
      <c r="AO631" s="81"/>
      <c r="AP631" s="81"/>
      <c r="AQ631" s="81"/>
      <c r="AR631" s="81"/>
      <c r="AS631" s="81"/>
      <c r="AT631" s="81"/>
      <c r="AU631" s="81"/>
    </row>
    <row r="632" spans="1:47" ht="24" customHeight="1" x14ac:dyDescent="0.5">
      <c r="A632" s="81"/>
      <c r="B632" s="81"/>
      <c r="C632" s="81"/>
      <c r="D632" s="81"/>
      <c r="E632" s="81"/>
      <c r="F632" s="81"/>
      <c r="G632" s="105"/>
      <c r="H632" s="81"/>
      <c r="I632" s="81"/>
      <c r="J632" s="81"/>
      <c r="K632" s="105"/>
      <c r="L632" s="81"/>
      <c r="M632" s="81"/>
      <c r="N632" s="81"/>
      <c r="O632" s="81"/>
      <c r="P632" s="81"/>
      <c r="Q632" s="81"/>
      <c r="R632" s="105"/>
      <c r="S632" s="81"/>
      <c r="T632" s="81"/>
      <c r="U632" s="81"/>
      <c r="V632" s="105"/>
      <c r="W632" s="81"/>
      <c r="X632" s="81"/>
      <c r="Y632" s="105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105"/>
      <c r="AM632" s="81"/>
      <c r="AN632" s="81"/>
      <c r="AO632" s="81"/>
      <c r="AP632" s="81"/>
      <c r="AQ632" s="81"/>
      <c r="AR632" s="81"/>
      <c r="AS632" s="81"/>
      <c r="AT632" s="81"/>
      <c r="AU632" s="81"/>
    </row>
    <row r="633" spans="1:47" ht="24" customHeight="1" x14ac:dyDescent="0.5">
      <c r="A633" s="81"/>
      <c r="B633" s="81"/>
      <c r="C633" s="81"/>
      <c r="D633" s="81"/>
      <c r="E633" s="81"/>
      <c r="F633" s="81"/>
      <c r="G633" s="105"/>
      <c r="H633" s="81"/>
      <c r="I633" s="81"/>
      <c r="J633" s="81"/>
      <c r="K633" s="105"/>
      <c r="L633" s="81"/>
      <c r="M633" s="81"/>
      <c r="N633" s="81"/>
      <c r="O633" s="81"/>
      <c r="P633" s="81"/>
      <c r="Q633" s="81"/>
      <c r="R633" s="105"/>
      <c r="S633" s="81"/>
      <c r="T633" s="81"/>
      <c r="U633" s="81"/>
      <c r="V633" s="105"/>
      <c r="W633" s="81"/>
      <c r="X633" s="81"/>
      <c r="Y633" s="105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105"/>
      <c r="AM633" s="81"/>
      <c r="AN633" s="81"/>
      <c r="AO633" s="81"/>
      <c r="AP633" s="81"/>
      <c r="AQ633" s="81"/>
      <c r="AR633" s="81"/>
      <c r="AS633" s="81"/>
      <c r="AT633" s="81"/>
      <c r="AU633" s="81"/>
    </row>
    <row r="634" spans="1:47" ht="24" customHeight="1" x14ac:dyDescent="0.5">
      <c r="A634" s="81"/>
      <c r="B634" s="81"/>
      <c r="C634" s="81"/>
      <c r="D634" s="81"/>
      <c r="E634" s="81"/>
      <c r="F634" s="81"/>
      <c r="G634" s="105"/>
      <c r="H634" s="81"/>
      <c r="I634" s="81"/>
      <c r="J634" s="81"/>
      <c r="K634" s="105"/>
      <c r="L634" s="81"/>
      <c r="M634" s="81"/>
      <c r="N634" s="81"/>
      <c r="O634" s="81"/>
      <c r="P634" s="81"/>
      <c r="Q634" s="81"/>
      <c r="R634" s="105"/>
      <c r="S634" s="81"/>
      <c r="T634" s="81"/>
      <c r="U634" s="81"/>
      <c r="V634" s="105"/>
      <c r="W634" s="81"/>
      <c r="X634" s="81"/>
      <c r="Y634" s="105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105"/>
      <c r="AM634" s="81"/>
      <c r="AN634" s="81"/>
      <c r="AO634" s="81"/>
      <c r="AP634" s="81"/>
      <c r="AQ634" s="81"/>
      <c r="AR634" s="81"/>
      <c r="AS634" s="81"/>
      <c r="AT634" s="81"/>
      <c r="AU634" s="81"/>
    </row>
    <row r="635" spans="1:47" ht="24" customHeight="1" x14ac:dyDescent="0.5">
      <c r="A635" s="81"/>
      <c r="B635" s="81"/>
      <c r="C635" s="81"/>
      <c r="D635" s="81"/>
      <c r="E635" s="81"/>
      <c r="F635" s="81"/>
      <c r="G635" s="105"/>
      <c r="H635" s="81"/>
      <c r="I635" s="81"/>
      <c r="J635" s="81"/>
      <c r="K635" s="105"/>
      <c r="L635" s="81"/>
      <c r="M635" s="81"/>
      <c r="N635" s="81"/>
      <c r="O635" s="81"/>
      <c r="P635" s="81"/>
      <c r="Q635" s="81"/>
      <c r="R635" s="105"/>
      <c r="S635" s="81"/>
      <c r="T635" s="81"/>
      <c r="U635" s="81"/>
      <c r="V635" s="105"/>
      <c r="W635" s="81"/>
      <c r="X635" s="81"/>
      <c r="Y635" s="105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105"/>
      <c r="AM635" s="81"/>
      <c r="AN635" s="81"/>
      <c r="AO635" s="81"/>
      <c r="AP635" s="81"/>
      <c r="AQ635" s="81"/>
      <c r="AR635" s="81"/>
      <c r="AS635" s="81"/>
      <c r="AT635" s="81"/>
      <c r="AU635" s="81"/>
    </row>
    <row r="636" spans="1:47" ht="24" customHeight="1" x14ac:dyDescent="0.5">
      <c r="A636" s="81"/>
      <c r="B636" s="81"/>
      <c r="C636" s="81"/>
      <c r="D636" s="81"/>
      <c r="E636" s="81"/>
      <c r="F636" s="81"/>
      <c r="G636" s="105"/>
      <c r="H636" s="81"/>
      <c r="I636" s="81"/>
      <c r="J636" s="81"/>
      <c r="K636" s="105"/>
      <c r="L636" s="81"/>
      <c r="M636" s="81"/>
      <c r="N636" s="81"/>
      <c r="O636" s="81"/>
      <c r="P636" s="81"/>
      <c r="Q636" s="81"/>
      <c r="R636" s="105"/>
      <c r="S636" s="81"/>
      <c r="T636" s="81"/>
      <c r="U636" s="81"/>
      <c r="V636" s="105"/>
      <c r="W636" s="81"/>
      <c r="X636" s="81"/>
      <c r="Y636" s="105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105"/>
      <c r="AM636" s="81"/>
      <c r="AN636" s="81"/>
      <c r="AO636" s="81"/>
      <c r="AP636" s="81"/>
      <c r="AQ636" s="81"/>
      <c r="AR636" s="81"/>
      <c r="AS636" s="81"/>
      <c r="AT636" s="81"/>
      <c r="AU636" s="81"/>
    </row>
    <row r="637" spans="1:47" ht="24" customHeight="1" x14ac:dyDescent="0.5">
      <c r="A637" s="81"/>
      <c r="B637" s="81"/>
      <c r="C637" s="81"/>
      <c r="D637" s="81"/>
      <c r="E637" s="81"/>
      <c r="F637" s="81"/>
      <c r="G637" s="105"/>
      <c r="H637" s="81"/>
      <c r="I637" s="81"/>
      <c r="J637" s="81"/>
      <c r="K637" s="105"/>
      <c r="L637" s="81"/>
      <c r="M637" s="81"/>
      <c r="N637" s="81"/>
      <c r="O637" s="81"/>
      <c r="P637" s="81"/>
      <c r="Q637" s="81"/>
      <c r="R637" s="105"/>
      <c r="S637" s="81"/>
      <c r="T637" s="81"/>
      <c r="U637" s="81"/>
      <c r="V637" s="105"/>
      <c r="W637" s="81"/>
      <c r="X637" s="81"/>
      <c r="Y637" s="105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105"/>
      <c r="AM637" s="81"/>
      <c r="AN637" s="81"/>
      <c r="AO637" s="81"/>
      <c r="AP637" s="81"/>
      <c r="AQ637" s="81"/>
      <c r="AR637" s="81"/>
      <c r="AS637" s="81"/>
      <c r="AT637" s="81"/>
      <c r="AU637" s="81"/>
    </row>
    <row r="638" spans="1:47" ht="24" customHeight="1" x14ac:dyDescent="0.5">
      <c r="A638" s="81"/>
      <c r="B638" s="81"/>
      <c r="C638" s="81"/>
      <c r="D638" s="81"/>
      <c r="E638" s="81"/>
      <c r="F638" s="81"/>
      <c r="G638" s="105"/>
      <c r="H638" s="81"/>
      <c r="I638" s="81"/>
      <c r="J638" s="81"/>
      <c r="K638" s="105"/>
      <c r="L638" s="81"/>
      <c r="M638" s="81"/>
      <c r="N638" s="81"/>
      <c r="O638" s="81"/>
      <c r="P638" s="81"/>
      <c r="Q638" s="81"/>
      <c r="R638" s="105"/>
      <c r="S638" s="81"/>
      <c r="T638" s="81"/>
      <c r="U638" s="81"/>
      <c r="V638" s="105"/>
      <c r="W638" s="81"/>
      <c r="X638" s="81"/>
      <c r="Y638" s="105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105"/>
      <c r="AM638" s="81"/>
      <c r="AN638" s="81"/>
      <c r="AO638" s="81"/>
      <c r="AP638" s="81"/>
      <c r="AQ638" s="81"/>
      <c r="AR638" s="81"/>
      <c r="AS638" s="81"/>
      <c r="AT638" s="81"/>
      <c r="AU638" s="81"/>
    </row>
    <row r="639" spans="1:47" ht="24" customHeight="1" x14ac:dyDescent="0.5">
      <c r="A639" s="81"/>
      <c r="B639" s="81"/>
      <c r="C639" s="81"/>
      <c r="D639" s="81"/>
      <c r="E639" s="81"/>
      <c r="F639" s="81"/>
      <c r="G639" s="105"/>
      <c r="H639" s="81"/>
      <c r="I639" s="81"/>
      <c r="J639" s="81"/>
      <c r="K639" s="105"/>
      <c r="L639" s="81"/>
      <c r="M639" s="81"/>
      <c r="N639" s="81"/>
      <c r="O639" s="81"/>
      <c r="P639" s="81"/>
      <c r="Q639" s="81"/>
      <c r="R639" s="105"/>
      <c r="S639" s="81"/>
      <c r="T639" s="81"/>
      <c r="U639" s="81"/>
      <c r="V639" s="105"/>
      <c r="W639" s="81"/>
      <c r="X639" s="81"/>
      <c r="Y639" s="105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105"/>
      <c r="AM639" s="81"/>
      <c r="AN639" s="81"/>
      <c r="AO639" s="81"/>
      <c r="AP639" s="81"/>
      <c r="AQ639" s="81"/>
      <c r="AR639" s="81"/>
      <c r="AS639" s="81"/>
      <c r="AT639" s="81"/>
      <c r="AU639" s="81"/>
    </row>
    <row r="640" spans="1:47" ht="24" customHeight="1" x14ac:dyDescent="0.5">
      <c r="A640" s="81"/>
      <c r="B640" s="81"/>
      <c r="C640" s="81"/>
      <c r="D640" s="81"/>
      <c r="E640" s="81"/>
      <c r="F640" s="81"/>
      <c r="G640" s="105"/>
      <c r="H640" s="81"/>
      <c r="I640" s="81"/>
      <c r="J640" s="81"/>
      <c r="K640" s="105"/>
      <c r="L640" s="81"/>
      <c r="M640" s="81"/>
      <c r="N640" s="81"/>
      <c r="O640" s="81"/>
      <c r="P640" s="81"/>
      <c r="Q640" s="81"/>
      <c r="R640" s="105"/>
      <c r="S640" s="81"/>
      <c r="T640" s="81"/>
      <c r="U640" s="81"/>
      <c r="V640" s="105"/>
      <c r="W640" s="81"/>
      <c r="X640" s="81"/>
      <c r="Y640" s="105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105"/>
      <c r="AM640" s="81"/>
      <c r="AN640" s="81"/>
      <c r="AO640" s="81"/>
      <c r="AP640" s="81"/>
      <c r="AQ640" s="81"/>
      <c r="AR640" s="81"/>
      <c r="AS640" s="81"/>
      <c r="AT640" s="81"/>
      <c r="AU640" s="81"/>
    </row>
    <row r="641" spans="1:47" ht="24" customHeight="1" x14ac:dyDescent="0.5">
      <c r="A641" s="81"/>
      <c r="B641" s="81"/>
      <c r="C641" s="81"/>
      <c r="D641" s="81"/>
      <c r="E641" s="81"/>
      <c r="F641" s="81"/>
      <c r="G641" s="105"/>
      <c r="H641" s="81"/>
      <c r="I641" s="81"/>
      <c r="J641" s="81"/>
      <c r="K641" s="105"/>
      <c r="L641" s="81"/>
      <c r="M641" s="81"/>
      <c r="N641" s="81"/>
      <c r="O641" s="81"/>
      <c r="P641" s="81"/>
      <c r="Q641" s="81"/>
      <c r="R641" s="105"/>
      <c r="S641" s="81"/>
      <c r="T641" s="81"/>
      <c r="U641" s="81"/>
      <c r="V641" s="105"/>
      <c r="W641" s="81"/>
      <c r="X641" s="81"/>
      <c r="Y641" s="105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105"/>
      <c r="AM641" s="81"/>
      <c r="AN641" s="81"/>
      <c r="AO641" s="81"/>
      <c r="AP641" s="81"/>
      <c r="AQ641" s="81"/>
      <c r="AR641" s="81"/>
      <c r="AS641" s="81"/>
      <c r="AT641" s="81"/>
      <c r="AU641" s="81"/>
    </row>
    <row r="642" spans="1:47" ht="24" customHeight="1" x14ac:dyDescent="0.5">
      <c r="A642" s="81"/>
      <c r="B642" s="81"/>
      <c r="C642" s="81"/>
      <c r="D642" s="81"/>
      <c r="E642" s="81"/>
      <c r="F642" s="81"/>
      <c r="G642" s="105"/>
      <c r="H642" s="81"/>
      <c r="I642" s="81"/>
      <c r="J642" s="81"/>
      <c r="K642" s="105"/>
      <c r="L642" s="81"/>
      <c r="M642" s="81"/>
      <c r="N642" s="81"/>
      <c r="O642" s="81"/>
      <c r="P642" s="81"/>
      <c r="Q642" s="81"/>
      <c r="R642" s="105"/>
      <c r="S642" s="81"/>
      <c r="T642" s="81"/>
      <c r="U642" s="81"/>
      <c r="V642" s="105"/>
      <c r="W642" s="81"/>
      <c r="X642" s="81"/>
      <c r="Y642" s="105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105"/>
      <c r="AM642" s="81"/>
      <c r="AN642" s="81"/>
      <c r="AO642" s="81"/>
      <c r="AP642" s="81"/>
      <c r="AQ642" s="81"/>
      <c r="AR642" s="81"/>
      <c r="AS642" s="81"/>
      <c r="AT642" s="81"/>
      <c r="AU642" s="81"/>
    </row>
    <row r="643" spans="1:47" ht="24" customHeight="1" x14ac:dyDescent="0.5">
      <c r="A643" s="81"/>
      <c r="B643" s="81"/>
      <c r="C643" s="81"/>
      <c r="D643" s="81"/>
      <c r="E643" s="81"/>
      <c r="F643" s="81"/>
      <c r="G643" s="105"/>
      <c r="H643" s="81"/>
      <c r="I643" s="81"/>
      <c r="J643" s="81"/>
      <c r="K643" s="105"/>
      <c r="L643" s="81"/>
      <c r="M643" s="81"/>
      <c r="N643" s="81"/>
      <c r="O643" s="81"/>
      <c r="P643" s="81"/>
      <c r="Q643" s="81"/>
      <c r="R643" s="105"/>
      <c r="S643" s="81"/>
      <c r="T643" s="81"/>
      <c r="U643" s="81"/>
      <c r="V643" s="105"/>
      <c r="W643" s="81"/>
      <c r="X643" s="81"/>
      <c r="Y643" s="105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105"/>
      <c r="AM643" s="81"/>
      <c r="AN643" s="81"/>
      <c r="AO643" s="81"/>
      <c r="AP643" s="81"/>
      <c r="AQ643" s="81"/>
      <c r="AR643" s="81"/>
      <c r="AS643" s="81"/>
      <c r="AT643" s="81"/>
      <c r="AU643" s="81"/>
    </row>
    <row r="644" spans="1:47" ht="24" customHeight="1" x14ac:dyDescent="0.5">
      <c r="A644" s="81"/>
      <c r="B644" s="81"/>
      <c r="C644" s="81"/>
      <c r="D644" s="81"/>
      <c r="E644" s="81"/>
      <c r="F644" s="81"/>
      <c r="G644" s="105"/>
      <c r="H644" s="81"/>
      <c r="I644" s="81"/>
      <c r="J644" s="81"/>
      <c r="K644" s="105"/>
      <c r="L644" s="81"/>
      <c r="M644" s="81"/>
      <c r="N644" s="81"/>
      <c r="O644" s="81"/>
      <c r="P644" s="81"/>
      <c r="Q644" s="81"/>
      <c r="R644" s="105"/>
      <c r="S644" s="81"/>
      <c r="T644" s="81"/>
      <c r="U644" s="81"/>
      <c r="V644" s="105"/>
      <c r="W644" s="81"/>
      <c r="X644" s="81"/>
      <c r="Y644" s="105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105"/>
      <c r="AM644" s="81"/>
      <c r="AN644" s="81"/>
      <c r="AO644" s="81"/>
      <c r="AP644" s="81"/>
      <c r="AQ644" s="81"/>
      <c r="AR644" s="81"/>
      <c r="AS644" s="81"/>
      <c r="AT644" s="81"/>
      <c r="AU644" s="81"/>
    </row>
    <row r="645" spans="1:47" ht="24" customHeight="1" x14ac:dyDescent="0.5">
      <c r="A645" s="81"/>
      <c r="B645" s="81"/>
      <c r="C645" s="81"/>
      <c r="D645" s="81"/>
      <c r="E645" s="81"/>
      <c r="F645" s="81"/>
      <c r="G645" s="105"/>
      <c r="H645" s="81"/>
      <c r="I645" s="81"/>
      <c r="J645" s="81"/>
      <c r="K645" s="105"/>
      <c r="L645" s="81"/>
      <c r="M645" s="81"/>
      <c r="N645" s="81"/>
      <c r="O645" s="81"/>
      <c r="P645" s="81"/>
      <c r="Q645" s="81"/>
      <c r="R645" s="105"/>
      <c r="S645" s="81"/>
      <c r="T645" s="81"/>
      <c r="U645" s="81"/>
      <c r="V645" s="105"/>
      <c r="W645" s="81"/>
      <c r="X645" s="81"/>
      <c r="Y645" s="105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105"/>
      <c r="AM645" s="81"/>
      <c r="AN645" s="81"/>
      <c r="AO645" s="81"/>
      <c r="AP645" s="81"/>
      <c r="AQ645" s="81"/>
      <c r="AR645" s="81"/>
      <c r="AS645" s="81"/>
      <c r="AT645" s="81"/>
      <c r="AU645" s="81"/>
    </row>
    <row r="646" spans="1:47" ht="24" customHeight="1" x14ac:dyDescent="0.5">
      <c r="A646" s="81"/>
      <c r="B646" s="81"/>
      <c r="C646" s="81"/>
      <c r="D646" s="81"/>
      <c r="E646" s="81"/>
      <c r="F646" s="81"/>
      <c r="G646" s="105"/>
      <c r="H646" s="81"/>
      <c r="I646" s="81"/>
      <c r="J646" s="81"/>
      <c r="K646" s="105"/>
      <c r="L646" s="81"/>
      <c r="M646" s="81"/>
      <c r="N646" s="81"/>
      <c r="O646" s="81"/>
      <c r="P646" s="81"/>
      <c r="Q646" s="81"/>
      <c r="R646" s="105"/>
      <c r="S646" s="81"/>
      <c r="T646" s="81"/>
      <c r="U646" s="81"/>
      <c r="V646" s="105"/>
      <c r="W646" s="81"/>
      <c r="X646" s="81"/>
      <c r="Y646" s="105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105"/>
      <c r="AM646" s="81"/>
      <c r="AN646" s="81"/>
      <c r="AO646" s="81"/>
      <c r="AP646" s="81"/>
      <c r="AQ646" s="81"/>
      <c r="AR646" s="81"/>
      <c r="AS646" s="81"/>
      <c r="AT646" s="81"/>
      <c r="AU646" s="81"/>
    </row>
    <row r="647" spans="1:47" ht="24" customHeight="1" x14ac:dyDescent="0.5">
      <c r="A647" s="81"/>
      <c r="B647" s="81"/>
      <c r="C647" s="81"/>
      <c r="D647" s="81"/>
      <c r="E647" s="81"/>
      <c r="F647" s="81"/>
      <c r="G647" s="105"/>
      <c r="H647" s="81"/>
      <c r="I647" s="81"/>
      <c r="J647" s="81"/>
      <c r="K647" s="105"/>
      <c r="L647" s="81"/>
      <c r="M647" s="81"/>
      <c r="N647" s="81"/>
      <c r="O647" s="81"/>
      <c r="P647" s="81"/>
      <c r="Q647" s="81"/>
      <c r="R647" s="105"/>
      <c r="S647" s="81"/>
      <c r="T647" s="81"/>
      <c r="U647" s="81"/>
      <c r="V647" s="105"/>
      <c r="W647" s="81"/>
      <c r="X647" s="81"/>
      <c r="Y647" s="105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105"/>
      <c r="AM647" s="81"/>
      <c r="AN647" s="81"/>
      <c r="AO647" s="81"/>
      <c r="AP647" s="81"/>
      <c r="AQ647" s="81"/>
      <c r="AR647" s="81"/>
      <c r="AS647" s="81"/>
      <c r="AT647" s="81"/>
      <c r="AU647" s="81"/>
    </row>
    <row r="648" spans="1:47" ht="24" customHeight="1" x14ac:dyDescent="0.5">
      <c r="A648" s="81"/>
      <c r="B648" s="81"/>
      <c r="C648" s="81"/>
      <c r="D648" s="81"/>
      <c r="E648" s="81"/>
      <c r="F648" s="81"/>
      <c r="G648" s="105"/>
      <c r="H648" s="81"/>
      <c r="I648" s="81"/>
      <c r="J648" s="81"/>
      <c r="K648" s="105"/>
      <c r="L648" s="81"/>
      <c r="M648" s="81"/>
      <c r="N648" s="81"/>
      <c r="O648" s="81"/>
      <c r="P648" s="81"/>
      <c r="Q648" s="81"/>
      <c r="R648" s="105"/>
      <c r="S648" s="81"/>
      <c r="T648" s="81"/>
      <c r="U648" s="81"/>
      <c r="V648" s="105"/>
      <c r="W648" s="81"/>
      <c r="X648" s="81"/>
      <c r="Y648" s="105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105"/>
      <c r="AM648" s="81"/>
      <c r="AN648" s="81"/>
      <c r="AO648" s="81"/>
      <c r="AP648" s="81"/>
      <c r="AQ648" s="81"/>
      <c r="AR648" s="81"/>
      <c r="AS648" s="81"/>
      <c r="AT648" s="81"/>
      <c r="AU648" s="81"/>
    </row>
    <row r="649" spans="1:47" ht="24" customHeight="1" x14ac:dyDescent="0.5">
      <c r="A649" s="81"/>
      <c r="B649" s="81"/>
      <c r="C649" s="81"/>
      <c r="D649" s="81"/>
      <c r="E649" s="81"/>
      <c r="F649" s="81"/>
      <c r="G649" s="105"/>
      <c r="H649" s="81"/>
      <c r="I649" s="81"/>
      <c r="J649" s="81"/>
      <c r="K649" s="105"/>
      <c r="L649" s="81"/>
      <c r="M649" s="81"/>
      <c r="N649" s="81"/>
      <c r="O649" s="81"/>
      <c r="P649" s="81"/>
      <c r="Q649" s="81"/>
      <c r="R649" s="105"/>
      <c r="S649" s="81"/>
      <c r="T649" s="81"/>
      <c r="U649" s="81"/>
      <c r="V649" s="105"/>
      <c r="W649" s="81"/>
      <c r="X649" s="81"/>
      <c r="Y649" s="105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105"/>
      <c r="AM649" s="81"/>
      <c r="AN649" s="81"/>
      <c r="AO649" s="81"/>
      <c r="AP649" s="81"/>
      <c r="AQ649" s="81"/>
      <c r="AR649" s="81"/>
      <c r="AS649" s="81"/>
      <c r="AT649" s="81"/>
      <c r="AU649" s="81"/>
    </row>
    <row r="650" spans="1:47" ht="24" customHeight="1" x14ac:dyDescent="0.5">
      <c r="A650" s="81"/>
      <c r="B650" s="81"/>
      <c r="C650" s="81"/>
      <c r="D650" s="81"/>
      <c r="E650" s="81"/>
      <c r="F650" s="81"/>
      <c r="G650" s="105"/>
      <c r="H650" s="81"/>
      <c r="I650" s="81"/>
      <c r="J650" s="81"/>
      <c r="K650" s="105"/>
      <c r="L650" s="81"/>
      <c r="M650" s="81"/>
      <c r="N650" s="81"/>
      <c r="O650" s="81"/>
      <c r="P650" s="81"/>
      <c r="Q650" s="81"/>
      <c r="R650" s="105"/>
      <c r="S650" s="81"/>
      <c r="T650" s="81"/>
      <c r="U650" s="81"/>
      <c r="V650" s="105"/>
      <c r="W650" s="81"/>
      <c r="X650" s="81"/>
      <c r="Y650" s="105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105"/>
      <c r="AM650" s="81"/>
      <c r="AN650" s="81"/>
      <c r="AO650" s="81"/>
      <c r="AP650" s="81"/>
      <c r="AQ650" s="81"/>
      <c r="AR650" s="81"/>
      <c r="AS650" s="81"/>
      <c r="AT650" s="81"/>
      <c r="AU650" s="81"/>
    </row>
    <row r="651" spans="1:47" ht="24" customHeight="1" x14ac:dyDescent="0.5">
      <c r="A651" s="81"/>
      <c r="B651" s="81"/>
      <c r="C651" s="81"/>
      <c r="D651" s="81"/>
      <c r="E651" s="81"/>
      <c r="F651" s="81"/>
      <c r="G651" s="105"/>
      <c r="H651" s="81"/>
      <c r="I651" s="81"/>
      <c r="J651" s="81"/>
      <c r="K651" s="105"/>
      <c r="L651" s="81"/>
      <c r="M651" s="81"/>
      <c r="N651" s="81"/>
      <c r="O651" s="81"/>
      <c r="P651" s="81"/>
      <c r="Q651" s="81"/>
      <c r="R651" s="105"/>
      <c r="S651" s="81"/>
      <c r="T651" s="81"/>
      <c r="U651" s="81"/>
      <c r="V651" s="105"/>
      <c r="W651" s="81"/>
      <c r="X651" s="81"/>
      <c r="Y651" s="105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105"/>
      <c r="AM651" s="81"/>
      <c r="AN651" s="81"/>
      <c r="AO651" s="81"/>
      <c r="AP651" s="81"/>
      <c r="AQ651" s="81"/>
      <c r="AR651" s="81"/>
      <c r="AS651" s="81"/>
      <c r="AT651" s="81"/>
      <c r="AU651" s="81"/>
    </row>
    <row r="652" spans="1:47" ht="24" customHeight="1" x14ac:dyDescent="0.5">
      <c r="A652" s="81"/>
      <c r="B652" s="81"/>
      <c r="C652" s="81"/>
      <c r="D652" s="81"/>
      <c r="E652" s="81"/>
      <c r="F652" s="81"/>
      <c r="G652" s="105"/>
      <c r="H652" s="81"/>
      <c r="I652" s="81"/>
      <c r="J652" s="81"/>
      <c r="K652" s="105"/>
      <c r="L652" s="81"/>
      <c r="M652" s="81"/>
      <c r="N652" s="81"/>
      <c r="O652" s="81"/>
      <c r="P652" s="81"/>
      <c r="Q652" s="81"/>
      <c r="R652" s="105"/>
      <c r="S652" s="81"/>
      <c r="T652" s="81"/>
      <c r="U652" s="81"/>
      <c r="V652" s="105"/>
      <c r="W652" s="81"/>
      <c r="X652" s="81"/>
      <c r="Y652" s="105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105"/>
      <c r="AM652" s="81"/>
      <c r="AN652" s="81"/>
      <c r="AO652" s="81"/>
      <c r="AP652" s="81"/>
      <c r="AQ652" s="81"/>
      <c r="AR652" s="81"/>
      <c r="AS652" s="81"/>
      <c r="AT652" s="81"/>
      <c r="AU652" s="81"/>
    </row>
    <row r="653" spans="1:47" ht="24" customHeight="1" x14ac:dyDescent="0.5">
      <c r="A653" s="81"/>
      <c r="B653" s="81"/>
      <c r="C653" s="81"/>
      <c r="D653" s="81"/>
      <c r="E653" s="81"/>
      <c r="F653" s="81"/>
      <c r="G653" s="105"/>
      <c r="H653" s="81"/>
      <c r="I653" s="81"/>
      <c r="J653" s="81"/>
      <c r="K653" s="105"/>
      <c r="L653" s="81"/>
      <c r="M653" s="81"/>
      <c r="N653" s="81"/>
      <c r="O653" s="81"/>
      <c r="P653" s="81"/>
      <c r="Q653" s="81"/>
      <c r="R653" s="105"/>
      <c r="S653" s="81"/>
      <c r="T653" s="81"/>
      <c r="U653" s="81"/>
      <c r="V653" s="105"/>
      <c r="W653" s="81"/>
      <c r="X653" s="81"/>
      <c r="Y653" s="105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105"/>
      <c r="AM653" s="81"/>
      <c r="AN653" s="81"/>
      <c r="AO653" s="81"/>
      <c r="AP653" s="81"/>
      <c r="AQ653" s="81"/>
      <c r="AR653" s="81"/>
      <c r="AS653" s="81"/>
      <c r="AT653" s="81"/>
      <c r="AU653" s="81"/>
    </row>
    <row r="654" spans="1:47" ht="24" customHeight="1" x14ac:dyDescent="0.5">
      <c r="A654" s="81"/>
      <c r="B654" s="81"/>
      <c r="C654" s="81"/>
      <c r="D654" s="81"/>
      <c r="E654" s="81"/>
      <c r="F654" s="81"/>
      <c r="G654" s="105"/>
      <c r="H654" s="81"/>
      <c r="I654" s="81"/>
      <c r="J654" s="81"/>
      <c r="K654" s="105"/>
      <c r="L654" s="81"/>
      <c r="M654" s="81"/>
      <c r="N654" s="81"/>
      <c r="O654" s="81"/>
      <c r="P654" s="81"/>
      <c r="Q654" s="81"/>
      <c r="R654" s="105"/>
      <c r="S654" s="81"/>
      <c r="T654" s="81"/>
      <c r="U654" s="81"/>
      <c r="V654" s="105"/>
      <c r="W654" s="81"/>
      <c r="X654" s="81"/>
      <c r="Y654" s="105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105"/>
      <c r="AM654" s="81"/>
      <c r="AN654" s="81"/>
      <c r="AO654" s="81"/>
      <c r="AP654" s="81"/>
      <c r="AQ654" s="81"/>
      <c r="AR654" s="81"/>
      <c r="AS654" s="81"/>
      <c r="AT654" s="81"/>
      <c r="AU654" s="81"/>
    </row>
    <row r="655" spans="1:47" ht="24" customHeight="1" x14ac:dyDescent="0.5">
      <c r="A655" s="81"/>
      <c r="B655" s="81"/>
      <c r="C655" s="81"/>
      <c r="D655" s="81"/>
      <c r="E655" s="81"/>
      <c r="F655" s="81"/>
      <c r="G655" s="105"/>
      <c r="H655" s="81"/>
      <c r="I655" s="81"/>
      <c r="J655" s="81"/>
      <c r="K655" s="105"/>
      <c r="L655" s="81"/>
      <c r="M655" s="81"/>
      <c r="N655" s="81"/>
      <c r="O655" s="81"/>
      <c r="P655" s="81"/>
      <c r="Q655" s="81"/>
      <c r="R655" s="105"/>
      <c r="S655" s="81"/>
      <c r="T655" s="81"/>
      <c r="U655" s="81"/>
      <c r="V655" s="105"/>
      <c r="W655" s="81"/>
      <c r="X655" s="81"/>
      <c r="Y655" s="105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105"/>
      <c r="AM655" s="81"/>
      <c r="AN655" s="81"/>
      <c r="AO655" s="81"/>
      <c r="AP655" s="81"/>
      <c r="AQ655" s="81"/>
      <c r="AR655" s="81"/>
      <c r="AS655" s="81"/>
      <c r="AT655" s="81"/>
      <c r="AU655" s="81"/>
    </row>
    <row r="656" spans="1:47" ht="24" customHeight="1" x14ac:dyDescent="0.5">
      <c r="A656" s="81"/>
      <c r="B656" s="81"/>
      <c r="C656" s="81"/>
      <c r="D656" s="81"/>
      <c r="E656" s="81"/>
      <c r="F656" s="81"/>
      <c r="G656" s="105"/>
      <c r="H656" s="81"/>
      <c r="I656" s="81"/>
      <c r="J656" s="81"/>
      <c r="K656" s="105"/>
      <c r="L656" s="81"/>
      <c r="M656" s="81"/>
      <c r="N656" s="81"/>
      <c r="O656" s="81"/>
      <c r="P656" s="81"/>
      <c r="Q656" s="81"/>
      <c r="R656" s="105"/>
      <c r="S656" s="81"/>
      <c r="T656" s="81"/>
      <c r="U656" s="81"/>
      <c r="V656" s="105"/>
      <c r="W656" s="81"/>
      <c r="X656" s="81"/>
      <c r="Y656" s="105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105"/>
      <c r="AM656" s="81"/>
      <c r="AN656" s="81"/>
      <c r="AO656" s="81"/>
      <c r="AP656" s="81"/>
      <c r="AQ656" s="81"/>
      <c r="AR656" s="81"/>
      <c r="AS656" s="81"/>
      <c r="AT656" s="81"/>
      <c r="AU656" s="81"/>
    </row>
    <row r="657" spans="1:47" ht="24" customHeight="1" x14ac:dyDescent="0.5">
      <c r="A657" s="81"/>
      <c r="B657" s="81"/>
      <c r="C657" s="81"/>
      <c r="D657" s="81"/>
      <c r="E657" s="81"/>
      <c r="F657" s="81"/>
      <c r="G657" s="105"/>
      <c r="H657" s="81"/>
      <c r="I657" s="81"/>
      <c r="J657" s="81"/>
      <c r="K657" s="105"/>
      <c r="L657" s="81"/>
      <c r="M657" s="81"/>
      <c r="N657" s="81"/>
      <c r="O657" s="81"/>
      <c r="P657" s="81"/>
      <c r="Q657" s="81"/>
      <c r="R657" s="105"/>
      <c r="S657" s="81"/>
      <c r="T657" s="81"/>
      <c r="U657" s="81"/>
      <c r="V657" s="105"/>
      <c r="W657" s="81"/>
      <c r="X657" s="81"/>
      <c r="Y657" s="105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105"/>
      <c r="AM657" s="81"/>
      <c r="AN657" s="81"/>
      <c r="AO657" s="81"/>
      <c r="AP657" s="81"/>
      <c r="AQ657" s="81"/>
      <c r="AR657" s="81"/>
      <c r="AS657" s="81"/>
      <c r="AT657" s="81"/>
      <c r="AU657" s="81"/>
    </row>
    <row r="658" spans="1:47" ht="24" customHeight="1" x14ac:dyDescent="0.5">
      <c r="A658" s="81"/>
      <c r="B658" s="81"/>
      <c r="C658" s="81"/>
      <c r="D658" s="81"/>
      <c r="E658" s="81"/>
      <c r="F658" s="81"/>
      <c r="G658" s="105"/>
      <c r="H658" s="81"/>
      <c r="I658" s="81"/>
      <c r="J658" s="81"/>
      <c r="K658" s="105"/>
      <c r="L658" s="81"/>
      <c r="M658" s="81"/>
      <c r="N658" s="81"/>
      <c r="O658" s="81"/>
      <c r="P658" s="81"/>
      <c r="Q658" s="81"/>
      <c r="R658" s="105"/>
      <c r="S658" s="81"/>
      <c r="T658" s="81"/>
      <c r="U658" s="81"/>
      <c r="V658" s="105"/>
      <c r="W658" s="81"/>
      <c r="X658" s="81"/>
      <c r="Y658" s="105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105"/>
      <c r="AM658" s="81"/>
      <c r="AN658" s="81"/>
      <c r="AO658" s="81"/>
      <c r="AP658" s="81"/>
      <c r="AQ658" s="81"/>
      <c r="AR658" s="81"/>
      <c r="AS658" s="81"/>
      <c r="AT658" s="81"/>
      <c r="AU658" s="81"/>
    </row>
    <row r="659" spans="1:47" ht="24" customHeight="1" x14ac:dyDescent="0.5">
      <c r="A659" s="81"/>
      <c r="B659" s="81"/>
      <c r="C659" s="81"/>
      <c r="D659" s="81"/>
      <c r="E659" s="81"/>
      <c r="F659" s="81"/>
      <c r="G659" s="105"/>
      <c r="H659" s="81"/>
      <c r="I659" s="81"/>
      <c r="J659" s="81"/>
      <c r="K659" s="105"/>
      <c r="L659" s="81"/>
      <c r="M659" s="81"/>
      <c r="N659" s="81"/>
      <c r="O659" s="81"/>
      <c r="P659" s="81"/>
      <c r="Q659" s="81"/>
      <c r="R659" s="105"/>
      <c r="S659" s="81"/>
      <c r="T659" s="81"/>
      <c r="U659" s="81"/>
      <c r="V659" s="105"/>
      <c r="W659" s="81"/>
      <c r="X659" s="81"/>
      <c r="Y659" s="105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105"/>
      <c r="AM659" s="81"/>
      <c r="AN659" s="81"/>
      <c r="AO659" s="81"/>
      <c r="AP659" s="81"/>
      <c r="AQ659" s="81"/>
      <c r="AR659" s="81"/>
      <c r="AS659" s="81"/>
      <c r="AT659" s="81"/>
      <c r="AU659" s="81"/>
    </row>
    <row r="660" spans="1:47" ht="24" customHeight="1" x14ac:dyDescent="0.5">
      <c r="A660" s="81"/>
      <c r="B660" s="81"/>
      <c r="C660" s="81"/>
      <c r="D660" s="81"/>
      <c r="E660" s="81"/>
      <c r="F660" s="81"/>
      <c r="G660" s="105"/>
      <c r="H660" s="81"/>
      <c r="I660" s="81"/>
      <c r="J660" s="81"/>
      <c r="K660" s="105"/>
      <c r="L660" s="81"/>
      <c r="M660" s="81"/>
      <c r="N660" s="81"/>
      <c r="O660" s="81"/>
      <c r="P660" s="81"/>
      <c r="Q660" s="81"/>
      <c r="R660" s="105"/>
      <c r="S660" s="81"/>
      <c r="T660" s="81"/>
      <c r="U660" s="81"/>
      <c r="V660" s="105"/>
      <c r="W660" s="81"/>
      <c r="X660" s="81"/>
      <c r="Y660" s="105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105"/>
      <c r="AM660" s="81"/>
      <c r="AN660" s="81"/>
      <c r="AO660" s="81"/>
      <c r="AP660" s="81"/>
      <c r="AQ660" s="81"/>
      <c r="AR660" s="81"/>
      <c r="AS660" s="81"/>
      <c r="AT660" s="81"/>
      <c r="AU660" s="81"/>
    </row>
    <row r="661" spans="1:47" ht="24" customHeight="1" x14ac:dyDescent="0.5">
      <c r="A661" s="81"/>
      <c r="B661" s="81"/>
      <c r="C661" s="81"/>
      <c r="D661" s="81"/>
      <c r="E661" s="81"/>
      <c r="F661" s="81"/>
      <c r="G661" s="105"/>
      <c r="H661" s="81"/>
      <c r="I661" s="81"/>
      <c r="J661" s="81"/>
      <c r="K661" s="105"/>
      <c r="L661" s="81"/>
      <c r="M661" s="81"/>
      <c r="N661" s="81"/>
      <c r="O661" s="81"/>
      <c r="P661" s="81"/>
      <c r="Q661" s="81"/>
      <c r="R661" s="105"/>
      <c r="S661" s="81"/>
      <c r="T661" s="81"/>
      <c r="U661" s="81"/>
      <c r="V661" s="105"/>
      <c r="W661" s="81"/>
      <c r="X661" s="81"/>
      <c r="Y661" s="105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105"/>
      <c r="AM661" s="81"/>
      <c r="AN661" s="81"/>
      <c r="AO661" s="81"/>
      <c r="AP661" s="81"/>
      <c r="AQ661" s="81"/>
      <c r="AR661" s="81"/>
      <c r="AS661" s="81"/>
      <c r="AT661" s="81"/>
      <c r="AU661" s="81"/>
    </row>
    <row r="662" spans="1:47" ht="24" customHeight="1" x14ac:dyDescent="0.5">
      <c r="A662" s="81"/>
      <c r="B662" s="81"/>
      <c r="C662" s="81"/>
      <c r="D662" s="81"/>
      <c r="E662" s="81"/>
      <c r="F662" s="81"/>
      <c r="G662" s="105"/>
      <c r="H662" s="81"/>
      <c r="I662" s="81"/>
      <c r="J662" s="81"/>
      <c r="K662" s="105"/>
      <c r="L662" s="81"/>
      <c r="M662" s="81"/>
      <c r="N662" s="81"/>
      <c r="O662" s="81"/>
      <c r="P662" s="81"/>
      <c r="Q662" s="81"/>
      <c r="R662" s="105"/>
      <c r="S662" s="81"/>
      <c r="T662" s="81"/>
      <c r="U662" s="81"/>
      <c r="V662" s="105"/>
      <c r="W662" s="81"/>
      <c r="X662" s="81"/>
      <c r="Y662" s="105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105"/>
      <c r="AM662" s="81"/>
      <c r="AN662" s="81"/>
      <c r="AO662" s="81"/>
      <c r="AP662" s="81"/>
      <c r="AQ662" s="81"/>
      <c r="AR662" s="81"/>
      <c r="AS662" s="81"/>
      <c r="AT662" s="81"/>
      <c r="AU662" s="81"/>
    </row>
    <row r="663" spans="1:47" ht="24" customHeight="1" x14ac:dyDescent="0.5">
      <c r="A663" s="81"/>
      <c r="B663" s="81"/>
      <c r="C663" s="81"/>
      <c r="D663" s="81"/>
      <c r="E663" s="81"/>
      <c r="F663" s="81"/>
      <c r="G663" s="105"/>
      <c r="H663" s="81"/>
      <c r="I663" s="81"/>
      <c r="J663" s="81"/>
      <c r="K663" s="105"/>
      <c r="L663" s="81"/>
      <c r="M663" s="81"/>
      <c r="N663" s="81"/>
      <c r="O663" s="81"/>
      <c r="P663" s="81"/>
      <c r="Q663" s="81"/>
      <c r="R663" s="105"/>
      <c r="S663" s="81"/>
      <c r="T663" s="81"/>
      <c r="U663" s="81"/>
      <c r="V663" s="105"/>
      <c r="W663" s="81"/>
      <c r="X663" s="81"/>
      <c r="Y663" s="105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105"/>
      <c r="AM663" s="81"/>
      <c r="AN663" s="81"/>
      <c r="AO663" s="81"/>
      <c r="AP663" s="81"/>
      <c r="AQ663" s="81"/>
      <c r="AR663" s="81"/>
      <c r="AS663" s="81"/>
      <c r="AT663" s="81"/>
      <c r="AU663" s="81"/>
    </row>
    <row r="664" spans="1:47" ht="24" customHeight="1" x14ac:dyDescent="0.5">
      <c r="A664" s="81"/>
      <c r="B664" s="81"/>
      <c r="C664" s="81"/>
      <c r="D664" s="81"/>
      <c r="E664" s="81"/>
      <c r="F664" s="81"/>
      <c r="G664" s="105"/>
      <c r="H664" s="81"/>
      <c r="I664" s="81"/>
      <c r="J664" s="81"/>
      <c r="K664" s="105"/>
      <c r="L664" s="81"/>
      <c r="M664" s="81"/>
      <c r="N664" s="81"/>
      <c r="O664" s="81"/>
      <c r="P664" s="81"/>
      <c r="Q664" s="81"/>
      <c r="R664" s="105"/>
      <c r="S664" s="81"/>
      <c r="T664" s="81"/>
      <c r="U664" s="81"/>
      <c r="V664" s="105"/>
      <c r="W664" s="81"/>
      <c r="X664" s="81"/>
      <c r="Y664" s="105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105"/>
      <c r="AM664" s="81"/>
      <c r="AN664" s="81"/>
      <c r="AO664" s="81"/>
      <c r="AP664" s="81"/>
      <c r="AQ664" s="81"/>
      <c r="AR664" s="81"/>
      <c r="AS664" s="81"/>
      <c r="AT664" s="81"/>
      <c r="AU664" s="81"/>
    </row>
    <row r="665" spans="1:47" ht="24" customHeight="1" x14ac:dyDescent="0.5">
      <c r="A665" s="81"/>
      <c r="B665" s="81"/>
      <c r="C665" s="81"/>
      <c r="D665" s="81"/>
      <c r="E665" s="81"/>
      <c r="F665" s="81"/>
      <c r="G665" s="105"/>
      <c r="H665" s="81"/>
      <c r="I665" s="81"/>
      <c r="J665" s="81"/>
      <c r="K665" s="105"/>
      <c r="L665" s="81"/>
      <c r="M665" s="81"/>
      <c r="N665" s="81"/>
      <c r="O665" s="81"/>
      <c r="P665" s="81"/>
      <c r="Q665" s="81"/>
      <c r="R665" s="105"/>
      <c r="S665" s="81"/>
      <c r="T665" s="81"/>
      <c r="U665" s="81"/>
      <c r="V665" s="105"/>
      <c r="W665" s="81"/>
      <c r="X665" s="81"/>
      <c r="Y665" s="105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105"/>
      <c r="AM665" s="81"/>
      <c r="AN665" s="81"/>
      <c r="AO665" s="81"/>
      <c r="AP665" s="81"/>
      <c r="AQ665" s="81"/>
      <c r="AR665" s="81"/>
      <c r="AS665" s="81"/>
      <c r="AT665" s="81"/>
      <c r="AU665" s="81"/>
    </row>
    <row r="666" spans="1:47" ht="24" customHeight="1" x14ac:dyDescent="0.5">
      <c r="A666" s="81"/>
      <c r="B666" s="81"/>
      <c r="C666" s="81"/>
      <c r="D666" s="81"/>
      <c r="E666" s="81"/>
      <c r="F666" s="81"/>
      <c r="G666" s="105"/>
      <c r="H666" s="81"/>
      <c r="I666" s="81"/>
      <c r="J666" s="81"/>
      <c r="K666" s="105"/>
      <c r="L666" s="81"/>
      <c r="M666" s="81"/>
      <c r="N666" s="81"/>
      <c r="O666" s="81"/>
      <c r="P666" s="81"/>
      <c r="Q666" s="81"/>
      <c r="R666" s="105"/>
      <c r="S666" s="81"/>
      <c r="T666" s="81"/>
      <c r="U666" s="81"/>
      <c r="V666" s="105"/>
      <c r="W666" s="81"/>
      <c r="X666" s="81"/>
      <c r="Y666" s="105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105"/>
      <c r="AM666" s="81"/>
      <c r="AN666" s="81"/>
      <c r="AO666" s="81"/>
      <c r="AP666" s="81"/>
      <c r="AQ666" s="81"/>
      <c r="AR666" s="81"/>
      <c r="AS666" s="81"/>
      <c r="AT666" s="81"/>
      <c r="AU666" s="81"/>
    </row>
    <row r="667" spans="1:47" ht="24" customHeight="1" x14ac:dyDescent="0.5">
      <c r="A667" s="81"/>
      <c r="B667" s="81"/>
      <c r="C667" s="81"/>
      <c r="D667" s="81"/>
      <c r="E667" s="81"/>
      <c r="F667" s="81"/>
      <c r="G667" s="105"/>
      <c r="H667" s="81"/>
      <c r="I667" s="81"/>
      <c r="J667" s="81"/>
      <c r="K667" s="105"/>
      <c r="L667" s="81"/>
      <c r="M667" s="81"/>
      <c r="N667" s="81"/>
      <c r="O667" s="81"/>
      <c r="P667" s="81"/>
      <c r="Q667" s="81"/>
      <c r="R667" s="105"/>
      <c r="S667" s="81"/>
      <c r="T667" s="81"/>
      <c r="U667" s="81"/>
      <c r="V667" s="105"/>
      <c r="W667" s="81"/>
      <c r="X667" s="81"/>
      <c r="Y667" s="105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105"/>
      <c r="AM667" s="81"/>
      <c r="AN667" s="81"/>
      <c r="AO667" s="81"/>
      <c r="AP667" s="81"/>
      <c r="AQ667" s="81"/>
      <c r="AR667" s="81"/>
      <c r="AS667" s="81"/>
      <c r="AT667" s="81"/>
      <c r="AU667" s="81"/>
    </row>
    <row r="668" spans="1:47" ht="24" customHeight="1" x14ac:dyDescent="0.5">
      <c r="A668" s="81"/>
      <c r="B668" s="81"/>
      <c r="C668" s="81"/>
      <c r="D668" s="81"/>
      <c r="E668" s="81"/>
      <c r="F668" s="81"/>
      <c r="G668" s="105"/>
      <c r="H668" s="81"/>
      <c r="I668" s="81"/>
      <c r="J668" s="81"/>
      <c r="K668" s="105"/>
      <c r="L668" s="81"/>
      <c r="M668" s="81"/>
      <c r="N668" s="81"/>
      <c r="O668" s="81"/>
      <c r="P668" s="81"/>
      <c r="Q668" s="81"/>
      <c r="R668" s="105"/>
      <c r="S668" s="81"/>
      <c r="T668" s="81"/>
      <c r="U668" s="81"/>
      <c r="V668" s="105"/>
      <c r="W668" s="81"/>
      <c r="X668" s="81"/>
      <c r="Y668" s="105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105"/>
      <c r="AM668" s="81"/>
      <c r="AN668" s="81"/>
      <c r="AO668" s="81"/>
      <c r="AP668" s="81"/>
      <c r="AQ668" s="81"/>
      <c r="AR668" s="81"/>
      <c r="AS668" s="81"/>
      <c r="AT668" s="81"/>
      <c r="AU668" s="81"/>
    </row>
    <row r="669" spans="1:47" ht="24" customHeight="1" x14ac:dyDescent="0.5">
      <c r="A669" s="81"/>
      <c r="B669" s="81"/>
      <c r="C669" s="81"/>
      <c r="D669" s="81"/>
      <c r="E669" s="81"/>
      <c r="F669" s="81"/>
      <c r="G669" s="105"/>
      <c r="H669" s="81"/>
      <c r="I669" s="81"/>
      <c r="J669" s="81"/>
      <c r="K669" s="105"/>
      <c r="L669" s="81"/>
      <c r="M669" s="81"/>
      <c r="N669" s="81"/>
      <c r="O669" s="81"/>
      <c r="P669" s="81"/>
      <c r="Q669" s="81"/>
      <c r="R669" s="105"/>
      <c r="S669" s="81"/>
      <c r="T669" s="81"/>
      <c r="U669" s="81"/>
      <c r="V669" s="105"/>
      <c r="W669" s="81"/>
      <c r="X669" s="81"/>
      <c r="Y669" s="105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105"/>
      <c r="AM669" s="81"/>
      <c r="AN669" s="81"/>
      <c r="AO669" s="81"/>
      <c r="AP669" s="81"/>
      <c r="AQ669" s="81"/>
      <c r="AR669" s="81"/>
      <c r="AS669" s="81"/>
      <c r="AT669" s="81"/>
      <c r="AU669" s="81"/>
    </row>
    <row r="670" spans="1:47" ht="24" customHeight="1" x14ac:dyDescent="0.5">
      <c r="A670" s="81"/>
      <c r="B670" s="81"/>
      <c r="C670" s="81"/>
      <c r="D670" s="81"/>
      <c r="E670" s="81"/>
      <c r="F670" s="81"/>
      <c r="G670" s="105"/>
      <c r="H670" s="81"/>
      <c r="I670" s="81"/>
      <c r="J670" s="81"/>
      <c r="K670" s="105"/>
      <c r="L670" s="81"/>
      <c r="M670" s="81"/>
      <c r="N670" s="81"/>
      <c r="O670" s="81"/>
      <c r="P670" s="81"/>
      <c r="Q670" s="81"/>
      <c r="R670" s="105"/>
      <c r="S670" s="81"/>
      <c r="T670" s="81"/>
      <c r="U670" s="81"/>
      <c r="V670" s="105"/>
      <c r="W670" s="81"/>
      <c r="X670" s="81"/>
      <c r="Y670" s="105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105"/>
      <c r="AM670" s="81"/>
      <c r="AN670" s="81"/>
      <c r="AO670" s="81"/>
      <c r="AP670" s="81"/>
      <c r="AQ670" s="81"/>
      <c r="AR670" s="81"/>
      <c r="AS670" s="81"/>
      <c r="AT670" s="81"/>
      <c r="AU670" s="81"/>
    </row>
    <row r="671" spans="1:47" ht="24" customHeight="1" x14ac:dyDescent="0.5">
      <c r="A671" s="81"/>
      <c r="B671" s="81"/>
      <c r="C671" s="81"/>
      <c r="D671" s="81"/>
      <c r="E671" s="81"/>
      <c r="F671" s="81"/>
      <c r="G671" s="105"/>
      <c r="H671" s="81"/>
      <c r="I671" s="81"/>
      <c r="J671" s="81"/>
      <c r="K671" s="105"/>
      <c r="L671" s="81"/>
      <c r="M671" s="81"/>
      <c r="N671" s="81"/>
      <c r="O671" s="81"/>
      <c r="P671" s="81"/>
      <c r="Q671" s="81"/>
      <c r="R671" s="105"/>
      <c r="S671" s="81"/>
      <c r="T671" s="81"/>
      <c r="U671" s="81"/>
      <c r="V671" s="105"/>
      <c r="W671" s="81"/>
      <c r="X671" s="81"/>
      <c r="Y671" s="105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105"/>
      <c r="AM671" s="81"/>
      <c r="AN671" s="81"/>
      <c r="AO671" s="81"/>
      <c r="AP671" s="81"/>
      <c r="AQ671" s="81"/>
      <c r="AR671" s="81"/>
      <c r="AS671" s="81"/>
      <c r="AT671" s="81"/>
      <c r="AU671" s="81"/>
    </row>
    <row r="672" spans="1:47" ht="24" customHeight="1" x14ac:dyDescent="0.5">
      <c r="A672" s="81"/>
      <c r="B672" s="81"/>
      <c r="C672" s="81"/>
      <c r="D672" s="81"/>
      <c r="E672" s="81"/>
      <c r="F672" s="81"/>
      <c r="G672" s="105"/>
      <c r="H672" s="81"/>
      <c r="I672" s="81"/>
      <c r="J672" s="81"/>
      <c r="K672" s="105"/>
      <c r="L672" s="81"/>
      <c r="M672" s="81"/>
      <c r="N672" s="81"/>
      <c r="O672" s="81"/>
      <c r="P672" s="81"/>
      <c r="Q672" s="81"/>
      <c r="R672" s="105"/>
      <c r="S672" s="81"/>
      <c r="T672" s="81"/>
      <c r="U672" s="81"/>
      <c r="V672" s="105"/>
      <c r="W672" s="81"/>
      <c r="X672" s="81"/>
      <c r="Y672" s="105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105"/>
      <c r="AM672" s="81"/>
      <c r="AN672" s="81"/>
      <c r="AO672" s="81"/>
      <c r="AP672" s="81"/>
      <c r="AQ672" s="81"/>
      <c r="AR672" s="81"/>
      <c r="AS672" s="81"/>
      <c r="AT672" s="81"/>
      <c r="AU672" s="81"/>
    </row>
    <row r="673" spans="1:47" ht="24" customHeight="1" x14ac:dyDescent="0.5">
      <c r="A673" s="81"/>
      <c r="B673" s="81"/>
      <c r="C673" s="81"/>
      <c r="D673" s="81"/>
      <c r="E673" s="81"/>
      <c r="F673" s="81"/>
      <c r="G673" s="105"/>
      <c r="H673" s="81"/>
      <c r="I673" s="81"/>
      <c r="J673" s="81"/>
      <c r="K673" s="105"/>
      <c r="L673" s="81"/>
      <c r="M673" s="81"/>
      <c r="N673" s="81"/>
      <c r="O673" s="81"/>
      <c r="P673" s="81"/>
      <c r="Q673" s="81"/>
      <c r="R673" s="105"/>
      <c r="S673" s="81"/>
      <c r="T673" s="81"/>
      <c r="U673" s="81"/>
      <c r="V673" s="105"/>
      <c r="W673" s="81"/>
      <c r="X673" s="81"/>
      <c r="Y673" s="105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105"/>
      <c r="AM673" s="81"/>
      <c r="AN673" s="81"/>
      <c r="AO673" s="81"/>
      <c r="AP673" s="81"/>
      <c r="AQ673" s="81"/>
      <c r="AR673" s="81"/>
      <c r="AS673" s="81"/>
      <c r="AT673" s="81"/>
      <c r="AU673" s="81"/>
    </row>
    <row r="674" spans="1:47" ht="24" customHeight="1" x14ac:dyDescent="0.5">
      <c r="A674" s="81"/>
      <c r="B674" s="81"/>
      <c r="C674" s="81"/>
      <c r="D674" s="81"/>
      <c r="E674" s="81"/>
      <c r="F674" s="81"/>
      <c r="G674" s="105"/>
      <c r="H674" s="81"/>
      <c r="I674" s="81"/>
      <c r="J674" s="81"/>
      <c r="K674" s="105"/>
      <c r="L674" s="81"/>
      <c r="M674" s="81"/>
      <c r="N674" s="81"/>
      <c r="O674" s="81"/>
      <c r="P674" s="81"/>
      <c r="Q674" s="81"/>
      <c r="R674" s="105"/>
      <c r="S674" s="81"/>
      <c r="T674" s="81"/>
      <c r="U674" s="81"/>
      <c r="V674" s="105"/>
      <c r="W674" s="81"/>
      <c r="X674" s="81"/>
      <c r="Y674" s="105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105"/>
      <c r="AM674" s="81"/>
      <c r="AN674" s="81"/>
      <c r="AO674" s="81"/>
      <c r="AP674" s="81"/>
      <c r="AQ674" s="81"/>
      <c r="AR674" s="81"/>
      <c r="AS674" s="81"/>
      <c r="AT674" s="81"/>
      <c r="AU674" s="81"/>
    </row>
    <row r="675" spans="1:47" ht="24" customHeight="1" x14ac:dyDescent="0.5">
      <c r="A675" s="81"/>
      <c r="B675" s="81"/>
      <c r="C675" s="81"/>
      <c r="D675" s="81"/>
      <c r="E675" s="81"/>
      <c r="F675" s="81"/>
      <c r="G675" s="105"/>
      <c r="H675" s="81"/>
      <c r="I675" s="81"/>
      <c r="J675" s="81"/>
      <c r="K675" s="105"/>
      <c r="L675" s="81"/>
      <c r="M675" s="81"/>
      <c r="N675" s="81"/>
      <c r="O675" s="81"/>
      <c r="P675" s="81"/>
      <c r="Q675" s="81"/>
      <c r="R675" s="105"/>
      <c r="S675" s="81"/>
      <c r="T675" s="81"/>
      <c r="U675" s="81"/>
      <c r="V675" s="105"/>
      <c r="W675" s="81"/>
      <c r="X675" s="81"/>
      <c r="Y675" s="105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105"/>
      <c r="AM675" s="81"/>
      <c r="AN675" s="81"/>
      <c r="AO675" s="81"/>
      <c r="AP675" s="81"/>
      <c r="AQ675" s="81"/>
      <c r="AR675" s="81"/>
      <c r="AS675" s="81"/>
      <c r="AT675" s="81"/>
      <c r="AU675" s="81"/>
    </row>
    <row r="676" spans="1:47" ht="24" customHeight="1" x14ac:dyDescent="0.5">
      <c r="A676" s="81"/>
      <c r="B676" s="81"/>
      <c r="C676" s="81"/>
      <c r="D676" s="81"/>
      <c r="E676" s="81"/>
      <c r="F676" s="81"/>
      <c r="G676" s="105"/>
      <c r="H676" s="81"/>
      <c r="I676" s="81"/>
      <c r="J676" s="81"/>
      <c r="K676" s="105"/>
      <c r="L676" s="81"/>
      <c r="M676" s="81"/>
      <c r="N676" s="81"/>
      <c r="O676" s="81"/>
      <c r="P676" s="81"/>
      <c r="Q676" s="81"/>
      <c r="R676" s="105"/>
      <c r="S676" s="81"/>
      <c r="T676" s="81"/>
      <c r="U676" s="81"/>
      <c r="V676" s="105"/>
      <c r="W676" s="81"/>
      <c r="X676" s="81"/>
      <c r="Y676" s="105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105"/>
      <c r="AM676" s="81"/>
      <c r="AN676" s="81"/>
      <c r="AO676" s="81"/>
      <c r="AP676" s="81"/>
      <c r="AQ676" s="81"/>
      <c r="AR676" s="81"/>
      <c r="AS676" s="81"/>
      <c r="AT676" s="81"/>
      <c r="AU676" s="81"/>
    </row>
    <row r="677" spans="1:47" ht="24" customHeight="1" x14ac:dyDescent="0.5">
      <c r="A677" s="81"/>
      <c r="B677" s="81"/>
      <c r="C677" s="81"/>
      <c r="D677" s="81"/>
      <c r="E677" s="81"/>
      <c r="F677" s="81"/>
      <c r="G677" s="105"/>
      <c r="H677" s="81"/>
      <c r="I677" s="81"/>
      <c r="J677" s="81"/>
      <c r="K677" s="105"/>
      <c r="L677" s="81"/>
      <c r="M677" s="81"/>
      <c r="N677" s="81"/>
      <c r="O677" s="81"/>
      <c r="P677" s="81"/>
      <c r="Q677" s="81"/>
      <c r="R677" s="105"/>
      <c r="S677" s="81"/>
      <c r="T677" s="81"/>
      <c r="U677" s="81"/>
      <c r="V677" s="105"/>
      <c r="W677" s="81"/>
      <c r="X677" s="81"/>
      <c r="Y677" s="105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105"/>
      <c r="AM677" s="81"/>
      <c r="AN677" s="81"/>
      <c r="AO677" s="81"/>
      <c r="AP677" s="81"/>
      <c r="AQ677" s="81"/>
      <c r="AR677" s="81"/>
      <c r="AS677" s="81"/>
      <c r="AT677" s="81"/>
      <c r="AU677" s="81"/>
    </row>
    <row r="678" spans="1:47" ht="24" customHeight="1" x14ac:dyDescent="0.5">
      <c r="A678" s="81"/>
      <c r="B678" s="81"/>
      <c r="C678" s="81"/>
      <c r="D678" s="81"/>
      <c r="E678" s="81"/>
      <c r="F678" s="81"/>
      <c r="G678" s="105"/>
      <c r="H678" s="81"/>
      <c r="I678" s="81"/>
      <c r="J678" s="81"/>
      <c r="K678" s="105"/>
      <c r="L678" s="81"/>
      <c r="M678" s="81"/>
      <c r="N678" s="81"/>
      <c r="O678" s="81"/>
      <c r="P678" s="81"/>
      <c r="Q678" s="81"/>
      <c r="R678" s="105"/>
      <c r="S678" s="81"/>
      <c r="T678" s="81"/>
      <c r="U678" s="81"/>
      <c r="V678" s="105"/>
      <c r="W678" s="81"/>
      <c r="X678" s="81"/>
      <c r="Y678" s="105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105"/>
      <c r="AM678" s="81"/>
      <c r="AN678" s="81"/>
      <c r="AO678" s="81"/>
      <c r="AP678" s="81"/>
      <c r="AQ678" s="81"/>
      <c r="AR678" s="81"/>
      <c r="AS678" s="81"/>
      <c r="AT678" s="81"/>
      <c r="AU678" s="81"/>
    </row>
    <row r="679" spans="1:47" ht="24" customHeight="1" x14ac:dyDescent="0.5">
      <c r="A679" s="81"/>
      <c r="B679" s="81"/>
      <c r="C679" s="81"/>
      <c r="D679" s="81"/>
      <c r="E679" s="81"/>
      <c r="F679" s="81"/>
      <c r="G679" s="105"/>
      <c r="H679" s="81"/>
      <c r="I679" s="81"/>
      <c r="J679" s="81"/>
      <c r="K679" s="105"/>
      <c r="L679" s="81"/>
      <c r="M679" s="81"/>
      <c r="N679" s="81"/>
      <c r="O679" s="81"/>
      <c r="P679" s="81"/>
      <c r="Q679" s="81"/>
      <c r="R679" s="105"/>
      <c r="S679" s="81"/>
      <c r="T679" s="81"/>
      <c r="U679" s="81"/>
      <c r="V679" s="105"/>
      <c r="W679" s="81"/>
      <c r="X679" s="81"/>
      <c r="Y679" s="105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105"/>
      <c r="AM679" s="81"/>
      <c r="AN679" s="81"/>
      <c r="AO679" s="81"/>
      <c r="AP679" s="81"/>
      <c r="AQ679" s="81"/>
      <c r="AR679" s="81"/>
      <c r="AS679" s="81"/>
      <c r="AT679" s="81"/>
      <c r="AU679" s="81"/>
    </row>
    <row r="680" spans="1:47" ht="24" customHeight="1" x14ac:dyDescent="0.5">
      <c r="A680" s="81"/>
      <c r="B680" s="81"/>
      <c r="C680" s="81"/>
      <c r="D680" s="81"/>
      <c r="E680" s="81"/>
      <c r="F680" s="81"/>
      <c r="G680" s="105"/>
      <c r="H680" s="81"/>
      <c r="I680" s="81"/>
      <c r="J680" s="81"/>
      <c r="K680" s="105"/>
      <c r="L680" s="81"/>
      <c r="M680" s="81"/>
      <c r="N680" s="81"/>
      <c r="O680" s="81"/>
      <c r="P680" s="81"/>
      <c r="Q680" s="81"/>
      <c r="R680" s="105"/>
      <c r="S680" s="81"/>
      <c r="T680" s="81"/>
      <c r="U680" s="81"/>
      <c r="V680" s="105"/>
      <c r="W680" s="81"/>
      <c r="X680" s="81"/>
      <c r="Y680" s="105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105"/>
      <c r="AM680" s="81"/>
      <c r="AN680" s="81"/>
      <c r="AO680" s="81"/>
      <c r="AP680" s="81"/>
      <c r="AQ680" s="81"/>
      <c r="AR680" s="81"/>
      <c r="AS680" s="81"/>
      <c r="AT680" s="81"/>
      <c r="AU680" s="81"/>
    </row>
    <row r="681" spans="1:47" ht="24" customHeight="1" x14ac:dyDescent="0.5">
      <c r="A681" s="81"/>
      <c r="B681" s="81"/>
      <c r="C681" s="81"/>
      <c r="D681" s="81"/>
      <c r="E681" s="81"/>
      <c r="F681" s="81"/>
      <c r="G681" s="105"/>
      <c r="H681" s="81"/>
      <c r="I681" s="81"/>
      <c r="J681" s="81"/>
      <c r="K681" s="105"/>
      <c r="L681" s="81"/>
      <c r="M681" s="81"/>
      <c r="N681" s="81"/>
      <c r="O681" s="81"/>
      <c r="P681" s="81"/>
      <c r="Q681" s="81"/>
      <c r="R681" s="105"/>
      <c r="S681" s="81"/>
      <c r="T681" s="81"/>
      <c r="U681" s="81"/>
      <c r="V681" s="105"/>
      <c r="W681" s="81"/>
      <c r="X681" s="81"/>
      <c r="Y681" s="105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105"/>
      <c r="AM681" s="81"/>
      <c r="AN681" s="81"/>
      <c r="AO681" s="81"/>
      <c r="AP681" s="81"/>
      <c r="AQ681" s="81"/>
      <c r="AR681" s="81"/>
      <c r="AS681" s="81"/>
      <c r="AT681" s="81"/>
      <c r="AU681" s="81"/>
    </row>
    <row r="682" spans="1:47" ht="24" customHeight="1" x14ac:dyDescent="0.5">
      <c r="A682" s="81"/>
      <c r="B682" s="81"/>
      <c r="C682" s="81"/>
      <c r="D682" s="81"/>
      <c r="E682" s="81"/>
      <c r="F682" s="81"/>
      <c r="G682" s="105"/>
      <c r="H682" s="81"/>
      <c r="I682" s="81"/>
      <c r="J682" s="81"/>
      <c r="K682" s="105"/>
      <c r="L682" s="81"/>
      <c r="M682" s="81"/>
      <c r="N682" s="81"/>
      <c r="O682" s="81"/>
      <c r="P682" s="81"/>
      <c r="Q682" s="81"/>
      <c r="R682" s="105"/>
      <c r="S682" s="81"/>
      <c r="T682" s="81"/>
      <c r="U682" s="81"/>
      <c r="V682" s="105"/>
      <c r="W682" s="81"/>
      <c r="X682" s="81"/>
      <c r="Y682" s="105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105"/>
      <c r="AM682" s="81"/>
      <c r="AN682" s="81"/>
      <c r="AO682" s="81"/>
      <c r="AP682" s="81"/>
      <c r="AQ682" s="81"/>
      <c r="AR682" s="81"/>
      <c r="AS682" s="81"/>
      <c r="AT682" s="81"/>
      <c r="AU682" s="81"/>
    </row>
    <row r="683" spans="1:47" ht="24" customHeight="1" x14ac:dyDescent="0.5">
      <c r="A683" s="81"/>
      <c r="B683" s="81"/>
      <c r="C683" s="81"/>
      <c r="D683" s="81"/>
      <c r="E683" s="81"/>
      <c r="F683" s="81"/>
      <c r="G683" s="105"/>
      <c r="H683" s="81"/>
      <c r="I683" s="81"/>
      <c r="J683" s="81"/>
      <c r="K683" s="105"/>
      <c r="L683" s="81"/>
      <c r="M683" s="81"/>
      <c r="N683" s="81"/>
      <c r="O683" s="81"/>
      <c r="P683" s="81"/>
      <c r="Q683" s="81"/>
      <c r="R683" s="105"/>
      <c r="S683" s="81"/>
      <c r="T683" s="81"/>
      <c r="U683" s="81"/>
      <c r="V683" s="105"/>
      <c r="W683" s="81"/>
      <c r="X683" s="81"/>
      <c r="Y683" s="105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105"/>
      <c r="AM683" s="81"/>
      <c r="AN683" s="81"/>
      <c r="AO683" s="81"/>
      <c r="AP683" s="81"/>
      <c r="AQ683" s="81"/>
      <c r="AR683" s="81"/>
      <c r="AS683" s="81"/>
      <c r="AT683" s="81"/>
      <c r="AU683" s="81"/>
    </row>
    <row r="684" spans="1:47" ht="24" customHeight="1" x14ac:dyDescent="0.5">
      <c r="A684" s="81"/>
      <c r="B684" s="81"/>
      <c r="C684" s="81"/>
      <c r="D684" s="81"/>
      <c r="E684" s="81"/>
      <c r="F684" s="81"/>
      <c r="G684" s="105"/>
      <c r="H684" s="81"/>
      <c r="I684" s="81"/>
      <c r="J684" s="81"/>
      <c r="K684" s="105"/>
      <c r="L684" s="81"/>
      <c r="M684" s="81"/>
      <c r="N684" s="81"/>
      <c r="O684" s="81"/>
      <c r="P684" s="81"/>
      <c r="Q684" s="81"/>
      <c r="R684" s="105"/>
      <c r="S684" s="81"/>
      <c r="T684" s="81"/>
      <c r="U684" s="81"/>
      <c r="V684" s="105"/>
      <c r="W684" s="81"/>
      <c r="X684" s="81"/>
      <c r="Y684" s="105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105"/>
      <c r="AM684" s="81"/>
      <c r="AN684" s="81"/>
      <c r="AO684" s="81"/>
      <c r="AP684" s="81"/>
      <c r="AQ684" s="81"/>
      <c r="AR684" s="81"/>
      <c r="AS684" s="81"/>
      <c r="AT684" s="81"/>
      <c r="AU684" s="81"/>
    </row>
    <row r="685" spans="1:47" ht="24" customHeight="1" x14ac:dyDescent="0.5">
      <c r="A685" s="81"/>
      <c r="B685" s="81"/>
      <c r="C685" s="81"/>
      <c r="D685" s="81"/>
      <c r="E685" s="81"/>
      <c r="F685" s="81"/>
      <c r="G685" s="105"/>
      <c r="H685" s="81"/>
      <c r="I685" s="81"/>
      <c r="J685" s="81"/>
      <c r="K685" s="105"/>
      <c r="L685" s="81"/>
      <c r="M685" s="81"/>
      <c r="N685" s="81"/>
      <c r="O685" s="81"/>
      <c r="P685" s="81"/>
      <c r="Q685" s="81"/>
      <c r="R685" s="105"/>
      <c r="S685" s="81"/>
      <c r="T685" s="81"/>
      <c r="U685" s="81"/>
      <c r="V685" s="105"/>
      <c r="W685" s="81"/>
      <c r="X685" s="81"/>
      <c r="Y685" s="105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105"/>
      <c r="AM685" s="81"/>
      <c r="AN685" s="81"/>
      <c r="AO685" s="81"/>
      <c r="AP685" s="81"/>
      <c r="AQ685" s="81"/>
      <c r="AR685" s="81"/>
      <c r="AS685" s="81"/>
      <c r="AT685" s="81"/>
      <c r="AU685" s="81"/>
    </row>
    <row r="686" spans="1:47" ht="24" customHeight="1" x14ac:dyDescent="0.5">
      <c r="A686" s="81"/>
      <c r="B686" s="81"/>
      <c r="C686" s="81"/>
      <c r="D686" s="81"/>
      <c r="E686" s="81"/>
      <c r="F686" s="81"/>
      <c r="G686" s="105"/>
      <c r="H686" s="81"/>
      <c r="I686" s="81"/>
      <c r="J686" s="81"/>
      <c r="K686" s="105"/>
      <c r="L686" s="81"/>
      <c r="M686" s="81"/>
      <c r="N686" s="81"/>
      <c r="O686" s="81"/>
      <c r="P686" s="81"/>
      <c r="Q686" s="81"/>
      <c r="R686" s="105"/>
      <c r="S686" s="81"/>
      <c r="T686" s="81"/>
      <c r="U686" s="81"/>
      <c r="V686" s="105"/>
      <c r="W686" s="81"/>
      <c r="X686" s="81"/>
      <c r="Y686" s="105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105"/>
      <c r="AM686" s="81"/>
      <c r="AN686" s="81"/>
      <c r="AO686" s="81"/>
      <c r="AP686" s="81"/>
      <c r="AQ686" s="81"/>
      <c r="AR686" s="81"/>
      <c r="AS686" s="81"/>
      <c r="AT686" s="81"/>
      <c r="AU686" s="81"/>
    </row>
    <row r="687" spans="1:47" ht="24" customHeight="1" x14ac:dyDescent="0.5">
      <c r="A687" s="81"/>
      <c r="B687" s="81"/>
      <c r="C687" s="81"/>
      <c r="D687" s="81"/>
      <c r="E687" s="81"/>
      <c r="F687" s="81"/>
      <c r="G687" s="105"/>
      <c r="H687" s="81"/>
      <c r="I687" s="81"/>
      <c r="J687" s="81"/>
      <c r="K687" s="105"/>
      <c r="L687" s="81"/>
      <c r="M687" s="81"/>
      <c r="N687" s="81"/>
      <c r="O687" s="81"/>
      <c r="P687" s="81"/>
      <c r="Q687" s="81"/>
      <c r="R687" s="105"/>
      <c r="S687" s="81"/>
      <c r="T687" s="81"/>
      <c r="U687" s="81"/>
      <c r="V687" s="105"/>
      <c r="W687" s="81"/>
      <c r="X687" s="81"/>
      <c r="Y687" s="105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105"/>
      <c r="AM687" s="81"/>
      <c r="AN687" s="81"/>
      <c r="AO687" s="81"/>
      <c r="AP687" s="81"/>
      <c r="AQ687" s="81"/>
      <c r="AR687" s="81"/>
      <c r="AS687" s="81"/>
      <c r="AT687" s="81"/>
      <c r="AU687" s="81"/>
    </row>
    <row r="688" spans="1:47" ht="24" customHeight="1" x14ac:dyDescent="0.5">
      <c r="A688" s="81"/>
      <c r="B688" s="81"/>
      <c r="C688" s="81"/>
      <c r="D688" s="81"/>
      <c r="E688" s="81"/>
      <c r="F688" s="81"/>
      <c r="G688" s="105"/>
      <c r="H688" s="81"/>
      <c r="I688" s="81"/>
      <c r="J688" s="81"/>
      <c r="K688" s="105"/>
      <c r="L688" s="81"/>
      <c r="M688" s="81"/>
      <c r="N688" s="81"/>
      <c r="O688" s="81"/>
      <c r="P688" s="81"/>
      <c r="Q688" s="81"/>
      <c r="R688" s="105"/>
      <c r="S688" s="81"/>
      <c r="T688" s="81"/>
      <c r="U688" s="81"/>
      <c r="V688" s="105"/>
      <c r="W688" s="81"/>
      <c r="X688" s="81"/>
      <c r="Y688" s="105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105"/>
      <c r="AM688" s="81"/>
      <c r="AN688" s="81"/>
      <c r="AO688" s="81"/>
      <c r="AP688" s="81"/>
      <c r="AQ688" s="81"/>
      <c r="AR688" s="81"/>
      <c r="AS688" s="81"/>
      <c r="AT688" s="81"/>
      <c r="AU688" s="81"/>
    </row>
    <row r="689" spans="1:47" ht="24" customHeight="1" x14ac:dyDescent="0.5">
      <c r="A689" s="81"/>
      <c r="B689" s="81"/>
      <c r="C689" s="81"/>
      <c r="D689" s="81"/>
      <c r="E689" s="81"/>
      <c r="F689" s="81"/>
      <c r="G689" s="105"/>
      <c r="H689" s="81"/>
      <c r="I689" s="81"/>
      <c r="J689" s="81"/>
      <c r="K689" s="105"/>
      <c r="L689" s="81"/>
      <c r="M689" s="81"/>
      <c r="N689" s="81"/>
      <c r="O689" s="81"/>
      <c r="P689" s="81"/>
      <c r="Q689" s="81"/>
      <c r="R689" s="105"/>
      <c r="S689" s="81"/>
      <c r="T689" s="81"/>
      <c r="U689" s="81"/>
      <c r="V689" s="105"/>
      <c r="W689" s="81"/>
      <c r="X689" s="81"/>
      <c r="Y689" s="105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105"/>
      <c r="AM689" s="81"/>
      <c r="AN689" s="81"/>
      <c r="AO689" s="81"/>
      <c r="AP689" s="81"/>
      <c r="AQ689" s="81"/>
      <c r="AR689" s="81"/>
      <c r="AS689" s="81"/>
      <c r="AT689" s="81"/>
      <c r="AU689" s="81"/>
    </row>
    <row r="690" spans="1:47" ht="24" customHeight="1" x14ac:dyDescent="0.5">
      <c r="A690" s="81"/>
      <c r="B690" s="81"/>
      <c r="C690" s="81"/>
      <c r="D690" s="81"/>
      <c r="E690" s="81"/>
      <c r="F690" s="81"/>
      <c r="G690" s="105"/>
      <c r="H690" s="81"/>
      <c r="I690" s="81"/>
      <c r="J690" s="81"/>
      <c r="K690" s="105"/>
      <c r="L690" s="81"/>
      <c r="M690" s="81"/>
      <c r="N690" s="81"/>
      <c r="O690" s="81"/>
      <c r="P690" s="81"/>
      <c r="Q690" s="81"/>
      <c r="R690" s="105"/>
      <c r="S690" s="81"/>
      <c r="T690" s="81"/>
      <c r="U690" s="81"/>
      <c r="V690" s="105"/>
      <c r="W690" s="81"/>
      <c r="X690" s="81"/>
      <c r="Y690" s="105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105"/>
      <c r="AM690" s="81"/>
      <c r="AN690" s="81"/>
      <c r="AO690" s="81"/>
      <c r="AP690" s="81"/>
      <c r="AQ690" s="81"/>
      <c r="AR690" s="81"/>
      <c r="AS690" s="81"/>
      <c r="AT690" s="81"/>
      <c r="AU690" s="81"/>
    </row>
    <row r="691" spans="1:47" ht="24" customHeight="1" x14ac:dyDescent="0.5">
      <c r="A691" s="81"/>
      <c r="B691" s="81"/>
      <c r="C691" s="81"/>
      <c r="D691" s="81"/>
      <c r="E691" s="81"/>
      <c r="F691" s="81"/>
      <c r="G691" s="105"/>
      <c r="H691" s="81"/>
      <c r="I691" s="81"/>
      <c r="J691" s="81"/>
      <c r="K691" s="105"/>
      <c r="L691" s="81"/>
      <c r="M691" s="81"/>
      <c r="N691" s="81"/>
      <c r="O691" s="81"/>
      <c r="P691" s="81"/>
      <c r="Q691" s="81"/>
      <c r="R691" s="105"/>
      <c r="S691" s="81"/>
      <c r="T691" s="81"/>
      <c r="U691" s="81"/>
      <c r="V691" s="105"/>
      <c r="W691" s="81"/>
      <c r="X691" s="81"/>
      <c r="Y691" s="105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105"/>
      <c r="AM691" s="81"/>
      <c r="AN691" s="81"/>
      <c r="AO691" s="81"/>
      <c r="AP691" s="81"/>
      <c r="AQ691" s="81"/>
      <c r="AR691" s="81"/>
      <c r="AS691" s="81"/>
      <c r="AT691" s="81"/>
      <c r="AU691" s="81"/>
    </row>
    <row r="692" spans="1:47" ht="24" customHeight="1" x14ac:dyDescent="0.5">
      <c r="A692" s="81"/>
      <c r="B692" s="81"/>
      <c r="C692" s="81"/>
      <c r="D692" s="81"/>
      <c r="E692" s="81"/>
      <c r="F692" s="81"/>
      <c r="G692" s="105"/>
      <c r="H692" s="81"/>
      <c r="I692" s="81"/>
      <c r="J692" s="81"/>
      <c r="K692" s="105"/>
      <c r="L692" s="81"/>
      <c r="M692" s="81"/>
      <c r="N692" s="81"/>
      <c r="O692" s="81"/>
      <c r="P692" s="81"/>
      <c r="Q692" s="81"/>
      <c r="R692" s="105"/>
      <c r="S692" s="81"/>
      <c r="T692" s="81"/>
      <c r="U692" s="81"/>
      <c r="V692" s="105"/>
      <c r="W692" s="81"/>
      <c r="X692" s="81"/>
      <c r="Y692" s="105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105"/>
      <c r="AM692" s="81"/>
      <c r="AN692" s="81"/>
      <c r="AO692" s="81"/>
      <c r="AP692" s="81"/>
      <c r="AQ692" s="81"/>
      <c r="AR692" s="81"/>
      <c r="AS692" s="81"/>
      <c r="AT692" s="81"/>
      <c r="AU692" s="81"/>
    </row>
    <row r="693" spans="1:47" ht="24" customHeight="1" x14ac:dyDescent="0.5">
      <c r="A693" s="81"/>
      <c r="B693" s="81"/>
      <c r="C693" s="81"/>
      <c r="D693" s="81"/>
      <c r="E693" s="81"/>
      <c r="F693" s="81"/>
      <c r="G693" s="105"/>
      <c r="H693" s="81"/>
      <c r="I693" s="81"/>
      <c r="J693" s="81"/>
      <c r="K693" s="105"/>
      <c r="L693" s="81"/>
      <c r="M693" s="81"/>
      <c r="N693" s="81"/>
      <c r="O693" s="81"/>
      <c r="P693" s="81"/>
      <c r="Q693" s="81"/>
      <c r="R693" s="105"/>
      <c r="S693" s="81"/>
      <c r="T693" s="81"/>
      <c r="U693" s="81"/>
      <c r="V693" s="105"/>
      <c r="W693" s="81"/>
      <c r="X693" s="81"/>
      <c r="Y693" s="105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105"/>
      <c r="AM693" s="81"/>
      <c r="AN693" s="81"/>
      <c r="AO693" s="81"/>
      <c r="AP693" s="81"/>
      <c r="AQ693" s="81"/>
      <c r="AR693" s="81"/>
      <c r="AS693" s="81"/>
      <c r="AT693" s="81"/>
      <c r="AU693" s="81"/>
    </row>
    <row r="694" spans="1:47" ht="24" customHeight="1" x14ac:dyDescent="0.5">
      <c r="A694" s="81"/>
      <c r="B694" s="81"/>
      <c r="C694" s="81"/>
      <c r="D694" s="81"/>
      <c r="E694" s="81"/>
      <c r="F694" s="81"/>
      <c r="G694" s="105"/>
      <c r="H694" s="81"/>
      <c r="I694" s="81"/>
      <c r="J694" s="81"/>
      <c r="K694" s="105"/>
      <c r="L694" s="81"/>
      <c r="M694" s="81"/>
      <c r="N694" s="81"/>
      <c r="O694" s="81"/>
      <c r="P694" s="81"/>
      <c r="Q694" s="81"/>
      <c r="R694" s="105"/>
      <c r="S694" s="81"/>
      <c r="T694" s="81"/>
      <c r="U694" s="81"/>
      <c r="V694" s="105"/>
      <c r="W694" s="81"/>
      <c r="X694" s="81"/>
      <c r="Y694" s="105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105"/>
      <c r="AM694" s="81"/>
      <c r="AN694" s="81"/>
      <c r="AO694" s="81"/>
      <c r="AP694" s="81"/>
      <c r="AQ694" s="81"/>
      <c r="AR694" s="81"/>
      <c r="AS694" s="81"/>
      <c r="AT694" s="81"/>
      <c r="AU694" s="81"/>
    </row>
    <row r="695" spans="1:47" ht="24" customHeight="1" x14ac:dyDescent="0.5">
      <c r="A695" s="81"/>
      <c r="B695" s="81"/>
      <c r="C695" s="81"/>
      <c r="D695" s="81"/>
      <c r="E695" s="81"/>
      <c r="F695" s="81"/>
      <c r="G695" s="105"/>
      <c r="H695" s="81"/>
      <c r="I695" s="81"/>
      <c r="J695" s="81"/>
      <c r="K695" s="105"/>
      <c r="L695" s="81"/>
      <c r="M695" s="81"/>
      <c r="N695" s="81"/>
      <c r="O695" s="81"/>
      <c r="P695" s="81"/>
      <c r="Q695" s="81"/>
      <c r="R695" s="105"/>
      <c r="S695" s="81"/>
      <c r="T695" s="81"/>
      <c r="U695" s="81"/>
      <c r="V695" s="105"/>
      <c r="W695" s="81"/>
      <c r="X695" s="81"/>
      <c r="Y695" s="105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105"/>
      <c r="AM695" s="81"/>
      <c r="AN695" s="81"/>
      <c r="AO695" s="81"/>
      <c r="AP695" s="81"/>
      <c r="AQ695" s="81"/>
      <c r="AR695" s="81"/>
      <c r="AS695" s="81"/>
      <c r="AT695" s="81"/>
      <c r="AU695" s="81"/>
    </row>
    <row r="696" spans="1:47" ht="24" customHeight="1" x14ac:dyDescent="0.5">
      <c r="A696" s="81"/>
      <c r="B696" s="81"/>
      <c r="C696" s="81"/>
      <c r="D696" s="81"/>
      <c r="E696" s="81"/>
      <c r="F696" s="81"/>
      <c r="G696" s="105"/>
      <c r="H696" s="81"/>
      <c r="I696" s="81"/>
      <c r="J696" s="81"/>
      <c r="K696" s="105"/>
      <c r="L696" s="81"/>
      <c r="M696" s="81"/>
      <c r="N696" s="81"/>
      <c r="O696" s="81"/>
      <c r="P696" s="81"/>
      <c r="Q696" s="81"/>
      <c r="R696" s="105"/>
      <c r="S696" s="81"/>
      <c r="T696" s="81"/>
      <c r="U696" s="81"/>
      <c r="V696" s="105"/>
      <c r="W696" s="81"/>
      <c r="X696" s="81"/>
      <c r="Y696" s="105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105"/>
      <c r="AM696" s="81"/>
      <c r="AN696" s="81"/>
      <c r="AO696" s="81"/>
      <c r="AP696" s="81"/>
      <c r="AQ696" s="81"/>
      <c r="AR696" s="81"/>
      <c r="AS696" s="81"/>
      <c r="AT696" s="81"/>
      <c r="AU696" s="81"/>
    </row>
    <row r="697" spans="1:47" ht="24" customHeight="1" x14ac:dyDescent="0.5">
      <c r="A697" s="81"/>
      <c r="B697" s="81"/>
      <c r="C697" s="81"/>
      <c r="D697" s="81"/>
      <c r="E697" s="81"/>
      <c r="F697" s="81"/>
      <c r="G697" s="105"/>
      <c r="H697" s="81"/>
      <c r="I697" s="81"/>
      <c r="J697" s="81"/>
      <c r="K697" s="105"/>
      <c r="L697" s="81"/>
      <c r="M697" s="81"/>
      <c r="N697" s="81"/>
      <c r="O697" s="81"/>
      <c r="P697" s="81"/>
      <c r="Q697" s="81"/>
      <c r="R697" s="105"/>
      <c r="S697" s="81"/>
      <c r="T697" s="81"/>
      <c r="U697" s="81"/>
      <c r="V697" s="105"/>
      <c r="W697" s="81"/>
      <c r="X697" s="81"/>
      <c r="Y697" s="105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105"/>
      <c r="AM697" s="81"/>
      <c r="AN697" s="81"/>
      <c r="AO697" s="81"/>
      <c r="AP697" s="81"/>
      <c r="AQ697" s="81"/>
      <c r="AR697" s="81"/>
      <c r="AS697" s="81"/>
      <c r="AT697" s="81"/>
      <c r="AU697" s="81"/>
    </row>
    <row r="698" spans="1:47" ht="24" customHeight="1" x14ac:dyDescent="0.5">
      <c r="A698" s="81"/>
      <c r="B698" s="81"/>
      <c r="C698" s="81"/>
      <c r="D698" s="81"/>
      <c r="E698" s="81"/>
      <c r="F698" s="81"/>
      <c r="G698" s="105"/>
      <c r="H698" s="81"/>
      <c r="I698" s="81"/>
      <c r="J698" s="81"/>
      <c r="K698" s="105"/>
      <c r="L698" s="81"/>
      <c r="M698" s="81"/>
      <c r="N698" s="81"/>
      <c r="O698" s="81"/>
      <c r="P698" s="81"/>
      <c r="Q698" s="81"/>
      <c r="R698" s="105"/>
      <c r="S698" s="81"/>
      <c r="T698" s="81"/>
      <c r="U698" s="81"/>
      <c r="V698" s="105"/>
      <c r="W698" s="81"/>
      <c r="X698" s="81"/>
      <c r="Y698" s="105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105"/>
      <c r="AM698" s="81"/>
      <c r="AN698" s="81"/>
      <c r="AO698" s="81"/>
      <c r="AP698" s="81"/>
      <c r="AQ698" s="81"/>
      <c r="AR698" s="81"/>
      <c r="AS698" s="81"/>
      <c r="AT698" s="81"/>
      <c r="AU698" s="81"/>
    </row>
    <row r="699" spans="1:47" ht="24" customHeight="1" x14ac:dyDescent="0.5">
      <c r="A699" s="81"/>
      <c r="B699" s="81"/>
      <c r="C699" s="81"/>
      <c r="D699" s="81"/>
      <c r="E699" s="81"/>
      <c r="F699" s="81"/>
      <c r="G699" s="105"/>
      <c r="H699" s="81"/>
      <c r="I699" s="81"/>
      <c r="J699" s="81"/>
      <c r="K699" s="105"/>
      <c r="L699" s="81"/>
      <c r="M699" s="81"/>
      <c r="N699" s="81"/>
      <c r="O699" s="81"/>
      <c r="P699" s="81"/>
      <c r="Q699" s="81"/>
      <c r="R699" s="105"/>
      <c r="S699" s="81"/>
      <c r="T699" s="81"/>
      <c r="U699" s="81"/>
      <c r="V699" s="105"/>
      <c r="W699" s="81"/>
      <c r="X699" s="81"/>
      <c r="Y699" s="105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105"/>
      <c r="AM699" s="81"/>
      <c r="AN699" s="81"/>
      <c r="AO699" s="81"/>
      <c r="AP699" s="81"/>
      <c r="AQ699" s="81"/>
      <c r="AR699" s="81"/>
      <c r="AS699" s="81"/>
      <c r="AT699" s="81"/>
      <c r="AU699" s="81"/>
    </row>
    <row r="700" spans="1:47" ht="24" customHeight="1" x14ac:dyDescent="0.5">
      <c r="A700" s="81"/>
      <c r="B700" s="81"/>
      <c r="C700" s="81"/>
      <c r="D700" s="81"/>
      <c r="E700" s="81"/>
      <c r="F700" s="81"/>
      <c r="G700" s="105"/>
      <c r="H700" s="81"/>
      <c r="I700" s="81"/>
      <c r="J700" s="81"/>
      <c r="K700" s="105"/>
      <c r="L700" s="81"/>
      <c r="M700" s="81"/>
      <c r="N700" s="81"/>
      <c r="O700" s="81"/>
      <c r="P700" s="81"/>
      <c r="Q700" s="81"/>
      <c r="R700" s="105"/>
      <c r="S700" s="81"/>
      <c r="T700" s="81"/>
      <c r="U700" s="81"/>
      <c r="V700" s="105"/>
      <c r="W700" s="81"/>
      <c r="X700" s="81"/>
      <c r="Y700" s="105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105"/>
      <c r="AM700" s="81"/>
      <c r="AN700" s="81"/>
      <c r="AO700" s="81"/>
      <c r="AP700" s="81"/>
      <c r="AQ700" s="81"/>
      <c r="AR700" s="81"/>
      <c r="AS700" s="81"/>
      <c r="AT700" s="81"/>
      <c r="AU700" s="81"/>
    </row>
    <row r="701" spans="1:47" ht="24" customHeight="1" x14ac:dyDescent="0.5">
      <c r="A701" s="81"/>
      <c r="B701" s="81"/>
      <c r="C701" s="81"/>
      <c r="D701" s="81"/>
      <c r="E701" s="81"/>
      <c r="F701" s="81"/>
      <c r="G701" s="105"/>
      <c r="H701" s="81"/>
      <c r="I701" s="81"/>
      <c r="J701" s="81"/>
      <c r="K701" s="105"/>
      <c r="L701" s="81"/>
      <c r="M701" s="81"/>
      <c r="N701" s="81"/>
      <c r="O701" s="81"/>
      <c r="P701" s="81"/>
      <c r="Q701" s="81"/>
      <c r="R701" s="105"/>
      <c r="S701" s="81"/>
      <c r="T701" s="81"/>
      <c r="U701" s="81"/>
      <c r="V701" s="105"/>
      <c r="W701" s="81"/>
      <c r="X701" s="81"/>
      <c r="Y701" s="105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105"/>
      <c r="AM701" s="81"/>
      <c r="AN701" s="81"/>
      <c r="AO701" s="81"/>
      <c r="AP701" s="81"/>
      <c r="AQ701" s="81"/>
      <c r="AR701" s="81"/>
      <c r="AS701" s="81"/>
      <c r="AT701" s="81"/>
      <c r="AU701" s="81"/>
    </row>
    <row r="702" spans="1:47" ht="24" customHeight="1" x14ac:dyDescent="0.5">
      <c r="A702" s="81"/>
      <c r="B702" s="81"/>
      <c r="C702" s="81"/>
      <c r="D702" s="81"/>
      <c r="E702" s="81"/>
      <c r="F702" s="81"/>
      <c r="G702" s="105"/>
      <c r="H702" s="81"/>
      <c r="I702" s="81"/>
      <c r="J702" s="81"/>
      <c r="K702" s="105"/>
      <c r="L702" s="81"/>
      <c r="M702" s="81"/>
      <c r="N702" s="81"/>
      <c r="O702" s="81"/>
      <c r="P702" s="81"/>
      <c r="Q702" s="81"/>
      <c r="R702" s="105"/>
      <c r="S702" s="81"/>
      <c r="T702" s="81"/>
      <c r="U702" s="81"/>
      <c r="V702" s="105"/>
      <c r="W702" s="81"/>
      <c r="X702" s="81"/>
      <c r="Y702" s="105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105"/>
      <c r="AM702" s="81"/>
      <c r="AN702" s="81"/>
      <c r="AO702" s="81"/>
      <c r="AP702" s="81"/>
      <c r="AQ702" s="81"/>
      <c r="AR702" s="81"/>
      <c r="AS702" s="81"/>
      <c r="AT702" s="81"/>
      <c r="AU702" s="81"/>
    </row>
    <row r="703" spans="1:47" ht="24" customHeight="1" x14ac:dyDescent="0.5">
      <c r="A703" s="81"/>
      <c r="B703" s="81"/>
      <c r="C703" s="81"/>
      <c r="D703" s="81"/>
      <c r="E703" s="81"/>
      <c r="F703" s="81"/>
      <c r="G703" s="105"/>
      <c r="H703" s="81"/>
      <c r="I703" s="81"/>
      <c r="J703" s="81"/>
      <c r="K703" s="105"/>
      <c r="L703" s="81"/>
      <c r="M703" s="81"/>
      <c r="N703" s="81"/>
      <c r="O703" s="81"/>
      <c r="P703" s="81"/>
      <c r="Q703" s="81"/>
      <c r="R703" s="105"/>
      <c r="S703" s="81"/>
      <c r="T703" s="81"/>
      <c r="U703" s="81"/>
      <c r="V703" s="105"/>
      <c r="W703" s="81"/>
      <c r="X703" s="81"/>
      <c r="Y703" s="105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105"/>
      <c r="AM703" s="81"/>
      <c r="AN703" s="81"/>
      <c r="AO703" s="81"/>
      <c r="AP703" s="81"/>
      <c r="AQ703" s="81"/>
      <c r="AR703" s="81"/>
      <c r="AS703" s="81"/>
      <c r="AT703" s="81"/>
      <c r="AU703" s="81"/>
    </row>
    <row r="704" spans="1:47" ht="24" customHeight="1" x14ac:dyDescent="0.5">
      <c r="A704" s="81"/>
      <c r="B704" s="81"/>
      <c r="C704" s="81"/>
      <c r="D704" s="81"/>
      <c r="E704" s="81"/>
      <c r="F704" s="81"/>
      <c r="G704" s="105"/>
      <c r="H704" s="81"/>
      <c r="I704" s="81"/>
      <c r="J704" s="81"/>
      <c r="K704" s="105"/>
      <c r="L704" s="81"/>
      <c r="M704" s="81"/>
      <c r="N704" s="81"/>
      <c r="O704" s="81"/>
      <c r="P704" s="81"/>
      <c r="Q704" s="81"/>
      <c r="R704" s="105"/>
      <c r="S704" s="81"/>
      <c r="T704" s="81"/>
      <c r="U704" s="81"/>
      <c r="V704" s="105"/>
      <c r="W704" s="81"/>
      <c r="X704" s="81"/>
      <c r="Y704" s="105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105"/>
      <c r="AM704" s="81"/>
      <c r="AN704" s="81"/>
      <c r="AO704" s="81"/>
      <c r="AP704" s="81"/>
      <c r="AQ704" s="81"/>
      <c r="AR704" s="81"/>
      <c r="AS704" s="81"/>
      <c r="AT704" s="81"/>
      <c r="AU704" s="81"/>
    </row>
    <row r="705" spans="1:47" ht="24" customHeight="1" x14ac:dyDescent="0.5">
      <c r="A705" s="81"/>
      <c r="B705" s="81"/>
      <c r="C705" s="81"/>
      <c r="D705" s="81"/>
      <c r="E705" s="81"/>
      <c r="F705" s="81"/>
      <c r="G705" s="105"/>
      <c r="H705" s="81"/>
      <c r="I705" s="81"/>
      <c r="J705" s="81"/>
      <c r="K705" s="105"/>
      <c r="L705" s="81"/>
      <c r="M705" s="81"/>
      <c r="N705" s="81"/>
      <c r="O705" s="81"/>
      <c r="P705" s="81"/>
      <c r="Q705" s="81"/>
      <c r="R705" s="105"/>
      <c r="S705" s="81"/>
      <c r="T705" s="81"/>
      <c r="U705" s="81"/>
      <c r="V705" s="105"/>
      <c r="W705" s="81"/>
      <c r="X705" s="81"/>
      <c r="Y705" s="105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105"/>
      <c r="AM705" s="81"/>
      <c r="AN705" s="81"/>
      <c r="AO705" s="81"/>
      <c r="AP705" s="81"/>
      <c r="AQ705" s="81"/>
      <c r="AR705" s="81"/>
      <c r="AS705" s="81"/>
      <c r="AT705" s="81"/>
      <c r="AU705" s="81"/>
    </row>
    <row r="706" spans="1:47" ht="24" customHeight="1" x14ac:dyDescent="0.5">
      <c r="A706" s="81"/>
      <c r="B706" s="81"/>
      <c r="C706" s="81"/>
      <c r="D706" s="81"/>
      <c r="E706" s="81"/>
      <c r="F706" s="81"/>
      <c r="G706" s="105"/>
      <c r="H706" s="81"/>
      <c r="I706" s="81"/>
      <c r="J706" s="81"/>
      <c r="K706" s="105"/>
      <c r="L706" s="81"/>
      <c r="M706" s="81"/>
      <c r="N706" s="81"/>
      <c r="O706" s="81"/>
      <c r="P706" s="81"/>
      <c r="Q706" s="81"/>
      <c r="R706" s="105"/>
      <c r="S706" s="81"/>
      <c r="T706" s="81"/>
      <c r="U706" s="81"/>
      <c r="V706" s="105"/>
      <c r="W706" s="81"/>
      <c r="X706" s="81"/>
      <c r="Y706" s="105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105"/>
      <c r="AM706" s="81"/>
      <c r="AN706" s="81"/>
      <c r="AO706" s="81"/>
      <c r="AP706" s="81"/>
      <c r="AQ706" s="81"/>
      <c r="AR706" s="81"/>
      <c r="AS706" s="81"/>
      <c r="AT706" s="81"/>
      <c r="AU706" s="81"/>
    </row>
    <row r="707" spans="1:47" ht="24" customHeight="1" x14ac:dyDescent="0.5">
      <c r="A707" s="81"/>
      <c r="B707" s="81"/>
      <c r="C707" s="81"/>
      <c r="D707" s="81"/>
      <c r="E707" s="81"/>
      <c r="F707" s="81"/>
      <c r="G707" s="105"/>
      <c r="H707" s="81"/>
      <c r="I707" s="81"/>
      <c r="J707" s="81"/>
      <c r="K707" s="105"/>
      <c r="L707" s="81"/>
      <c r="M707" s="81"/>
      <c r="N707" s="81"/>
      <c r="O707" s="81"/>
      <c r="P707" s="81"/>
      <c r="Q707" s="81"/>
      <c r="R707" s="105"/>
      <c r="S707" s="81"/>
      <c r="T707" s="81"/>
      <c r="U707" s="81"/>
      <c r="V707" s="105"/>
      <c r="W707" s="81"/>
      <c r="X707" s="81"/>
      <c r="Y707" s="105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105"/>
      <c r="AM707" s="81"/>
      <c r="AN707" s="81"/>
      <c r="AO707" s="81"/>
      <c r="AP707" s="81"/>
      <c r="AQ707" s="81"/>
      <c r="AR707" s="81"/>
      <c r="AS707" s="81"/>
      <c r="AT707" s="81"/>
      <c r="AU707" s="81"/>
    </row>
    <row r="708" spans="1:47" ht="24" customHeight="1" x14ac:dyDescent="0.5">
      <c r="A708" s="81"/>
      <c r="B708" s="81"/>
      <c r="C708" s="81"/>
      <c r="D708" s="81"/>
      <c r="E708" s="81"/>
      <c r="F708" s="81"/>
      <c r="G708" s="105"/>
      <c r="H708" s="81"/>
      <c r="I708" s="81"/>
      <c r="J708" s="81"/>
      <c r="K708" s="105"/>
      <c r="L708" s="81"/>
      <c r="M708" s="81"/>
      <c r="N708" s="81"/>
      <c r="O708" s="81"/>
      <c r="P708" s="81"/>
      <c r="Q708" s="81"/>
      <c r="R708" s="105"/>
      <c r="S708" s="81"/>
      <c r="T708" s="81"/>
      <c r="U708" s="81"/>
      <c r="V708" s="105"/>
      <c r="W708" s="81"/>
      <c r="X708" s="81"/>
      <c r="Y708" s="105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105"/>
      <c r="AM708" s="81"/>
      <c r="AN708" s="81"/>
      <c r="AO708" s="81"/>
      <c r="AP708" s="81"/>
      <c r="AQ708" s="81"/>
      <c r="AR708" s="81"/>
      <c r="AS708" s="81"/>
      <c r="AT708" s="81"/>
      <c r="AU708" s="81"/>
    </row>
    <row r="709" spans="1:47" ht="24" customHeight="1" x14ac:dyDescent="0.5">
      <c r="A709" s="81"/>
      <c r="B709" s="81"/>
      <c r="C709" s="81"/>
      <c r="D709" s="81"/>
      <c r="E709" s="81"/>
      <c r="F709" s="81"/>
      <c r="G709" s="105"/>
      <c r="H709" s="81"/>
      <c r="I709" s="81"/>
      <c r="J709" s="81"/>
      <c r="K709" s="105"/>
      <c r="L709" s="81"/>
      <c r="M709" s="81"/>
      <c r="N709" s="81"/>
      <c r="O709" s="81"/>
      <c r="P709" s="81"/>
      <c r="Q709" s="81"/>
      <c r="R709" s="105"/>
      <c r="S709" s="81"/>
      <c r="T709" s="81"/>
      <c r="U709" s="81"/>
      <c r="V709" s="105"/>
      <c r="W709" s="81"/>
      <c r="X709" s="81"/>
      <c r="Y709" s="105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105"/>
      <c r="AM709" s="81"/>
      <c r="AN709" s="81"/>
      <c r="AO709" s="81"/>
      <c r="AP709" s="81"/>
      <c r="AQ709" s="81"/>
      <c r="AR709" s="81"/>
      <c r="AS709" s="81"/>
      <c r="AT709" s="81"/>
      <c r="AU709" s="81"/>
    </row>
    <row r="710" spans="1:47" ht="24" customHeight="1" x14ac:dyDescent="0.5">
      <c r="A710" s="81"/>
      <c r="B710" s="81"/>
      <c r="C710" s="81"/>
      <c r="D710" s="81"/>
      <c r="E710" s="81"/>
      <c r="F710" s="81"/>
      <c r="G710" s="105"/>
      <c r="H710" s="81"/>
      <c r="I710" s="81"/>
      <c r="J710" s="81"/>
      <c r="K710" s="105"/>
      <c r="L710" s="81"/>
      <c r="M710" s="81"/>
      <c r="N710" s="81"/>
      <c r="O710" s="81"/>
      <c r="P710" s="81"/>
      <c r="Q710" s="81"/>
      <c r="R710" s="105"/>
      <c r="S710" s="81"/>
      <c r="T710" s="81"/>
      <c r="U710" s="81"/>
      <c r="V710" s="105"/>
      <c r="W710" s="81"/>
      <c r="X710" s="81"/>
      <c r="Y710" s="105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105"/>
      <c r="AM710" s="81"/>
      <c r="AN710" s="81"/>
      <c r="AO710" s="81"/>
      <c r="AP710" s="81"/>
      <c r="AQ710" s="81"/>
      <c r="AR710" s="81"/>
      <c r="AS710" s="81"/>
      <c r="AT710" s="81"/>
      <c r="AU710" s="81"/>
    </row>
    <row r="711" spans="1:47" ht="24" customHeight="1" x14ac:dyDescent="0.5">
      <c r="A711" s="81"/>
      <c r="B711" s="81"/>
      <c r="C711" s="81"/>
      <c r="D711" s="81"/>
      <c r="E711" s="81"/>
      <c r="F711" s="81"/>
      <c r="G711" s="105"/>
      <c r="H711" s="81"/>
      <c r="I711" s="81"/>
      <c r="J711" s="81"/>
      <c r="K711" s="105"/>
      <c r="L711" s="81"/>
      <c r="M711" s="81"/>
      <c r="N711" s="81"/>
      <c r="O711" s="81"/>
      <c r="P711" s="81"/>
      <c r="Q711" s="81"/>
      <c r="R711" s="105"/>
      <c r="S711" s="81"/>
      <c r="T711" s="81"/>
      <c r="U711" s="81"/>
      <c r="V711" s="105"/>
      <c r="W711" s="81"/>
      <c r="X711" s="81"/>
      <c r="Y711" s="105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105"/>
      <c r="AM711" s="81"/>
      <c r="AN711" s="81"/>
      <c r="AO711" s="81"/>
      <c r="AP711" s="81"/>
      <c r="AQ711" s="81"/>
      <c r="AR711" s="81"/>
      <c r="AS711" s="81"/>
      <c r="AT711" s="81"/>
      <c r="AU711" s="81"/>
    </row>
    <row r="712" spans="1:47" ht="24" customHeight="1" x14ac:dyDescent="0.5">
      <c r="A712" s="81"/>
      <c r="B712" s="81"/>
      <c r="C712" s="81"/>
      <c r="D712" s="81"/>
      <c r="E712" s="81"/>
      <c r="F712" s="81"/>
      <c r="G712" s="105"/>
      <c r="H712" s="81"/>
      <c r="I712" s="81"/>
      <c r="J712" s="81"/>
      <c r="K712" s="105"/>
      <c r="L712" s="81"/>
      <c r="M712" s="81"/>
      <c r="N712" s="81"/>
      <c r="O712" s="81"/>
      <c r="P712" s="81"/>
      <c r="Q712" s="81"/>
      <c r="R712" s="105"/>
      <c r="S712" s="81"/>
      <c r="T712" s="81"/>
      <c r="U712" s="81"/>
      <c r="V712" s="105"/>
      <c r="W712" s="81"/>
      <c r="X712" s="81"/>
      <c r="Y712" s="105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105"/>
      <c r="AM712" s="81"/>
      <c r="AN712" s="81"/>
      <c r="AO712" s="81"/>
      <c r="AP712" s="81"/>
      <c r="AQ712" s="81"/>
      <c r="AR712" s="81"/>
      <c r="AS712" s="81"/>
      <c r="AT712" s="81"/>
      <c r="AU712" s="81"/>
    </row>
    <row r="713" spans="1:47" ht="24" customHeight="1" x14ac:dyDescent="0.5">
      <c r="A713" s="81"/>
      <c r="B713" s="81"/>
      <c r="C713" s="81"/>
      <c r="D713" s="81"/>
      <c r="E713" s="81"/>
      <c r="F713" s="81"/>
      <c r="G713" s="105"/>
      <c r="H713" s="81"/>
      <c r="I713" s="81"/>
      <c r="J713" s="81"/>
      <c r="K713" s="105"/>
      <c r="L713" s="81"/>
      <c r="M713" s="81"/>
      <c r="N713" s="81"/>
      <c r="O713" s="81"/>
      <c r="P713" s="81"/>
      <c r="Q713" s="81"/>
      <c r="R713" s="105"/>
      <c r="S713" s="81"/>
      <c r="T713" s="81"/>
      <c r="U713" s="81"/>
      <c r="V713" s="105"/>
      <c r="W713" s="81"/>
      <c r="X713" s="81"/>
      <c r="Y713" s="105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105"/>
      <c r="AM713" s="81"/>
      <c r="AN713" s="81"/>
      <c r="AO713" s="81"/>
      <c r="AP713" s="81"/>
      <c r="AQ713" s="81"/>
      <c r="AR713" s="81"/>
      <c r="AS713" s="81"/>
      <c r="AT713" s="81"/>
      <c r="AU713" s="81"/>
    </row>
    <row r="714" spans="1:47" ht="24" customHeight="1" x14ac:dyDescent="0.5">
      <c r="A714" s="81"/>
      <c r="B714" s="81"/>
      <c r="C714" s="81"/>
      <c r="D714" s="81"/>
      <c r="E714" s="81"/>
      <c r="F714" s="81"/>
      <c r="G714" s="105"/>
      <c r="H714" s="81"/>
      <c r="I714" s="81"/>
      <c r="J714" s="81"/>
      <c r="K714" s="105"/>
      <c r="L714" s="81"/>
      <c r="M714" s="81"/>
      <c r="N714" s="81"/>
      <c r="O714" s="81"/>
      <c r="P714" s="81"/>
      <c r="Q714" s="81"/>
      <c r="R714" s="105"/>
      <c r="S714" s="81"/>
      <c r="T714" s="81"/>
      <c r="U714" s="81"/>
      <c r="V714" s="105"/>
      <c r="W714" s="81"/>
      <c r="X714" s="81"/>
      <c r="Y714" s="105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105"/>
      <c r="AM714" s="81"/>
      <c r="AN714" s="81"/>
      <c r="AO714" s="81"/>
      <c r="AP714" s="81"/>
      <c r="AQ714" s="81"/>
      <c r="AR714" s="81"/>
      <c r="AS714" s="81"/>
      <c r="AT714" s="81"/>
      <c r="AU714" s="81"/>
    </row>
    <row r="715" spans="1:47" ht="24" customHeight="1" x14ac:dyDescent="0.5">
      <c r="A715" s="81"/>
      <c r="B715" s="81"/>
      <c r="C715" s="81"/>
      <c r="D715" s="81"/>
      <c r="E715" s="81"/>
      <c r="F715" s="81"/>
      <c r="G715" s="105"/>
      <c r="H715" s="81"/>
      <c r="I715" s="81"/>
      <c r="J715" s="81"/>
      <c r="K715" s="105"/>
      <c r="L715" s="81"/>
      <c r="M715" s="81"/>
      <c r="N715" s="81"/>
      <c r="O715" s="81"/>
      <c r="P715" s="81"/>
      <c r="Q715" s="81"/>
      <c r="R715" s="105"/>
      <c r="S715" s="81"/>
      <c r="T715" s="81"/>
      <c r="U715" s="81"/>
      <c r="V715" s="105"/>
      <c r="W715" s="81"/>
      <c r="X715" s="81"/>
      <c r="Y715" s="105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105"/>
      <c r="AM715" s="81"/>
      <c r="AN715" s="81"/>
      <c r="AO715" s="81"/>
      <c r="AP715" s="81"/>
      <c r="AQ715" s="81"/>
      <c r="AR715" s="81"/>
      <c r="AS715" s="81"/>
      <c r="AT715" s="81"/>
      <c r="AU715" s="81"/>
    </row>
    <row r="716" spans="1:47" ht="24" customHeight="1" x14ac:dyDescent="0.5">
      <c r="A716" s="81"/>
      <c r="B716" s="81"/>
      <c r="C716" s="81"/>
      <c r="D716" s="81"/>
      <c r="E716" s="81"/>
      <c r="F716" s="81"/>
      <c r="G716" s="105"/>
      <c r="H716" s="81"/>
      <c r="I716" s="81"/>
      <c r="J716" s="81"/>
      <c r="K716" s="105"/>
      <c r="L716" s="81"/>
      <c r="M716" s="81"/>
      <c r="N716" s="81"/>
      <c r="O716" s="81"/>
      <c r="P716" s="81"/>
      <c r="Q716" s="81"/>
      <c r="R716" s="105"/>
      <c r="S716" s="81"/>
      <c r="T716" s="81"/>
      <c r="U716" s="81"/>
      <c r="V716" s="105"/>
      <c r="W716" s="81"/>
      <c r="X716" s="81"/>
      <c r="Y716" s="105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105"/>
      <c r="AM716" s="81"/>
      <c r="AN716" s="81"/>
      <c r="AO716" s="81"/>
      <c r="AP716" s="81"/>
      <c r="AQ716" s="81"/>
      <c r="AR716" s="81"/>
      <c r="AS716" s="81"/>
      <c r="AT716" s="81"/>
      <c r="AU716" s="81"/>
    </row>
    <row r="717" spans="1:47" ht="24" customHeight="1" x14ac:dyDescent="0.5">
      <c r="A717" s="81"/>
      <c r="B717" s="81"/>
      <c r="C717" s="81"/>
      <c r="D717" s="81"/>
      <c r="E717" s="81"/>
      <c r="F717" s="81"/>
      <c r="G717" s="105"/>
      <c r="H717" s="81"/>
      <c r="I717" s="81"/>
      <c r="J717" s="81"/>
      <c r="K717" s="105"/>
      <c r="L717" s="81"/>
      <c r="M717" s="81"/>
      <c r="N717" s="81"/>
      <c r="O717" s="81"/>
      <c r="P717" s="81"/>
      <c r="Q717" s="81"/>
      <c r="R717" s="105"/>
      <c r="S717" s="81"/>
      <c r="T717" s="81"/>
      <c r="U717" s="81"/>
      <c r="V717" s="105"/>
      <c r="W717" s="81"/>
      <c r="X717" s="81"/>
      <c r="Y717" s="105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105"/>
      <c r="AM717" s="81"/>
      <c r="AN717" s="81"/>
      <c r="AO717" s="81"/>
      <c r="AP717" s="81"/>
      <c r="AQ717" s="81"/>
      <c r="AR717" s="81"/>
      <c r="AS717" s="81"/>
      <c r="AT717" s="81"/>
      <c r="AU717" s="81"/>
    </row>
    <row r="718" spans="1:47" ht="24" customHeight="1" x14ac:dyDescent="0.5">
      <c r="A718" s="81"/>
      <c r="B718" s="81"/>
      <c r="C718" s="81"/>
      <c r="D718" s="81"/>
      <c r="E718" s="81"/>
      <c r="F718" s="81"/>
      <c r="G718" s="105"/>
      <c r="H718" s="81"/>
      <c r="I718" s="81"/>
      <c r="J718" s="81"/>
      <c r="K718" s="105"/>
      <c r="L718" s="81"/>
      <c r="M718" s="81"/>
      <c r="N718" s="81"/>
      <c r="O718" s="81"/>
      <c r="P718" s="81"/>
      <c r="Q718" s="81"/>
      <c r="R718" s="105"/>
      <c r="S718" s="81"/>
      <c r="T718" s="81"/>
      <c r="U718" s="81"/>
      <c r="V718" s="105"/>
      <c r="W718" s="81"/>
      <c r="X718" s="81"/>
      <c r="Y718" s="105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105"/>
      <c r="AM718" s="81"/>
      <c r="AN718" s="81"/>
      <c r="AO718" s="81"/>
      <c r="AP718" s="81"/>
      <c r="AQ718" s="81"/>
      <c r="AR718" s="81"/>
      <c r="AS718" s="81"/>
      <c r="AT718" s="81"/>
      <c r="AU718" s="81"/>
    </row>
    <row r="719" spans="1:47" ht="24" customHeight="1" x14ac:dyDescent="0.5">
      <c r="A719" s="81"/>
      <c r="B719" s="81"/>
      <c r="C719" s="81"/>
      <c r="D719" s="81"/>
      <c r="E719" s="81"/>
      <c r="F719" s="81"/>
      <c r="G719" s="105"/>
      <c r="H719" s="81"/>
      <c r="I719" s="81"/>
      <c r="J719" s="81"/>
      <c r="K719" s="105"/>
      <c r="L719" s="81"/>
      <c r="M719" s="81"/>
      <c r="N719" s="81"/>
      <c r="O719" s="81"/>
      <c r="P719" s="81"/>
      <c r="Q719" s="81"/>
      <c r="R719" s="105"/>
      <c r="S719" s="81"/>
      <c r="T719" s="81"/>
      <c r="U719" s="81"/>
      <c r="V719" s="105"/>
      <c r="W719" s="81"/>
      <c r="X719" s="81"/>
      <c r="Y719" s="105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105"/>
      <c r="AM719" s="81"/>
      <c r="AN719" s="81"/>
      <c r="AO719" s="81"/>
      <c r="AP719" s="81"/>
      <c r="AQ719" s="81"/>
      <c r="AR719" s="81"/>
      <c r="AS719" s="81"/>
      <c r="AT719" s="81"/>
      <c r="AU719" s="81"/>
    </row>
    <row r="720" spans="1:47" ht="24" customHeight="1" x14ac:dyDescent="0.5">
      <c r="A720" s="81"/>
      <c r="B720" s="81"/>
      <c r="C720" s="81"/>
      <c r="D720" s="81"/>
      <c r="E720" s="81"/>
      <c r="F720" s="81"/>
      <c r="G720" s="105"/>
      <c r="H720" s="81"/>
      <c r="I720" s="81"/>
      <c r="J720" s="81"/>
      <c r="K720" s="105"/>
      <c r="L720" s="81"/>
      <c r="M720" s="81"/>
      <c r="N720" s="81"/>
      <c r="O720" s="81"/>
      <c r="P720" s="81"/>
      <c r="Q720" s="81"/>
      <c r="R720" s="105"/>
      <c r="S720" s="81"/>
      <c r="T720" s="81"/>
      <c r="U720" s="81"/>
      <c r="V720" s="105"/>
      <c r="W720" s="81"/>
      <c r="X720" s="81"/>
      <c r="Y720" s="105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105"/>
      <c r="AM720" s="81"/>
      <c r="AN720" s="81"/>
      <c r="AO720" s="81"/>
      <c r="AP720" s="81"/>
      <c r="AQ720" s="81"/>
      <c r="AR720" s="81"/>
      <c r="AS720" s="81"/>
      <c r="AT720" s="81"/>
      <c r="AU720" s="81"/>
    </row>
    <row r="721" spans="1:47" ht="24" customHeight="1" x14ac:dyDescent="0.5">
      <c r="A721" s="81"/>
      <c r="B721" s="81"/>
      <c r="C721" s="81"/>
      <c r="D721" s="81"/>
      <c r="E721" s="81"/>
      <c r="F721" s="81"/>
      <c r="G721" s="105"/>
      <c r="H721" s="81"/>
      <c r="I721" s="81"/>
      <c r="J721" s="81"/>
      <c r="K721" s="105"/>
      <c r="L721" s="81"/>
      <c r="M721" s="81"/>
      <c r="N721" s="81"/>
      <c r="O721" s="81"/>
      <c r="P721" s="81"/>
      <c r="Q721" s="81"/>
      <c r="R721" s="105"/>
      <c r="S721" s="81"/>
      <c r="T721" s="81"/>
      <c r="U721" s="81"/>
      <c r="V721" s="105"/>
      <c r="W721" s="81"/>
      <c r="X721" s="81"/>
      <c r="Y721" s="105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105"/>
      <c r="AM721" s="81"/>
      <c r="AN721" s="81"/>
      <c r="AO721" s="81"/>
      <c r="AP721" s="81"/>
      <c r="AQ721" s="81"/>
      <c r="AR721" s="81"/>
      <c r="AS721" s="81"/>
      <c r="AT721" s="81"/>
      <c r="AU721" s="81"/>
    </row>
    <row r="722" spans="1:47" ht="24" customHeight="1" x14ac:dyDescent="0.5">
      <c r="A722" s="81"/>
      <c r="B722" s="81"/>
      <c r="C722" s="81"/>
      <c r="D722" s="81"/>
      <c r="E722" s="81"/>
      <c r="F722" s="81"/>
      <c r="G722" s="105"/>
      <c r="H722" s="81"/>
      <c r="I722" s="81"/>
      <c r="J722" s="81"/>
      <c r="K722" s="105"/>
      <c r="L722" s="81"/>
      <c r="M722" s="81"/>
      <c r="N722" s="81"/>
      <c r="O722" s="81"/>
      <c r="P722" s="81"/>
      <c r="Q722" s="81"/>
      <c r="R722" s="105"/>
      <c r="S722" s="81"/>
      <c r="T722" s="81"/>
      <c r="U722" s="81"/>
      <c r="V722" s="105"/>
      <c r="W722" s="81"/>
      <c r="X722" s="81"/>
      <c r="Y722" s="105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105"/>
      <c r="AM722" s="81"/>
      <c r="AN722" s="81"/>
      <c r="AO722" s="81"/>
      <c r="AP722" s="81"/>
      <c r="AQ722" s="81"/>
      <c r="AR722" s="81"/>
      <c r="AS722" s="81"/>
      <c r="AT722" s="81"/>
      <c r="AU722" s="81"/>
    </row>
    <row r="723" spans="1:47" ht="24" customHeight="1" x14ac:dyDescent="0.5">
      <c r="A723" s="81"/>
      <c r="B723" s="81"/>
      <c r="C723" s="81"/>
      <c r="D723" s="81"/>
      <c r="E723" s="81"/>
      <c r="F723" s="81"/>
      <c r="G723" s="105"/>
      <c r="H723" s="81"/>
      <c r="I723" s="81"/>
      <c r="J723" s="81"/>
      <c r="K723" s="105"/>
      <c r="L723" s="81"/>
      <c r="M723" s="81"/>
      <c r="N723" s="81"/>
      <c r="O723" s="81"/>
      <c r="P723" s="81"/>
      <c r="Q723" s="81"/>
      <c r="R723" s="105"/>
      <c r="S723" s="81"/>
      <c r="T723" s="81"/>
      <c r="U723" s="81"/>
      <c r="V723" s="105"/>
      <c r="W723" s="81"/>
      <c r="X723" s="81"/>
      <c r="Y723" s="105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105"/>
      <c r="AM723" s="81"/>
      <c r="AN723" s="81"/>
      <c r="AO723" s="81"/>
      <c r="AP723" s="81"/>
      <c r="AQ723" s="81"/>
      <c r="AR723" s="81"/>
      <c r="AS723" s="81"/>
      <c r="AT723" s="81"/>
      <c r="AU723" s="81"/>
    </row>
    <row r="724" spans="1:47" ht="24" customHeight="1" x14ac:dyDescent="0.5">
      <c r="A724" s="81"/>
      <c r="B724" s="81"/>
      <c r="C724" s="81"/>
      <c r="D724" s="81"/>
      <c r="E724" s="81"/>
      <c r="F724" s="81"/>
      <c r="G724" s="105"/>
      <c r="H724" s="81"/>
      <c r="I724" s="81"/>
      <c r="J724" s="81"/>
      <c r="K724" s="105"/>
      <c r="L724" s="81"/>
      <c r="M724" s="81"/>
      <c r="N724" s="81"/>
      <c r="O724" s="81"/>
      <c r="P724" s="81"/>
      <c r="Q724" s="81"/>
      <c r="R724" s="105"/>
      <c r="S724" s="81"/>
      <c r="T724" s="81"/>
      <c r="U724" s="81"/>
      <c r="V724" s="105"/>
      <c r="W724" s="81"/>
      <c r="X724" s="81"/>
      <c r="Y724" s="105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105"/>
      <c r="AM724" s="81"/>
      <c r="AN724" s="81"/>
      <c r="AO724" s="81"/>
      <c r="AP724" s="81"/>
      <c r="AQ724" s="81"/>
      <c r="AR724" s="81"/>
      <c r="AS724" s="81"/>
      <c r="AT724" s="81"/>
      <c r="AU724" s="81"/>
    </row>
    <row r="725" spans="1:47" ht="24" customHeight="1" x14ac:dyDescent="0.5">
      <c r="A725" s="81"/>
      <c r="B725" s="81"/>
      <c r="C725" s="81"/>
      <c r="D725" s="81"/>
      <c r="E725" s="81"/>
      <c r="F725" s="81"/>
      <c r="G725" s="105"/>
      <c r="H725" s="81"/>
      <c r="I725" s="81"/>
      <c r="J725" s="81"/>
      <c r="K725" s="105"/>
      <c r="L725" s="81"/>
      <c r="M725" s="81"/>
      <c r="N725" s="81"/>
      <c r="O725" s="81"/>
      <c r="P725" s="81"/>
      <c r="Q725" s="81"/>
      <c r="R725" s="105"/>
      <c r="S725" s="81"/>
      <c r="T725" s="81"/>
      <c r="U725" s="81"/>
      <c r="V725" s="105"/>
      <c r="W725" s="81"/>
      <c r="X725" s="81"/>
      <c r="Y725" s="105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105"/>
      <c r="AM725" s="81"/>
      <c r="AN725" s="81"/>
      <c r="AO725" s="81"/>
      <c r="AP725" s="81"/>
      <c r="AQ725" s="81"/>
      <c r="AR725" s="81"/>
      <c r="AS725" s="81"/>
      <c r="AT725" s="81"/>
      <c r="AU725" s="81"/>
    </row>
    <row r="726" spans="1:47" ht="24" customHeight="1" x14ac:dyDescent="0.5">
      <c r="A726" s="81"/>
      <c r="B726" s="81"/>
      <c r="C726" s="81"/>
      <c r="D726" s="81"/>
      <c r="E726" s="81"/>
      <c r="F726" s="81"/>
      <c r="G726" s="105"/>
      <c r="H726" s="81"/>
      <c r="I726" s="81"/>
      <c r="J726" s="81"/>
      <c r="K726" s="105"/>
      <c r="L726" s="81"/>
      <c r="M726" s="81"/>
      <c r="N726" s="81"/>
      <c r="O726" s="81"/>
      <c r="P726" s="81"/>
      <c r="Q726" s="81"/>
      <c r="R726" s="105"/>
      <c r="S726" s="81"/>
      <c r="T726" s="81"/>
      <c r="U726" s="81"/>
      <c r="V726" s="105"/>
      <c r="W726" s="81"/>
      <c r="X726" s="81"/>
      <c r="Y726" s="105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105"/>
      <c r="AM726" s="81"/>
      <c r="AN726" s="81"/>
      <c r="AO726" s="81"/>
      <c r="AP726" s="81"/>
      <c r="AQ726" s="81"/>
      <c r="AR726" s="81"/>
      <c r="AS726" s="81"/>
      <c r="AT726" s="81"/>
      <c r="AU726" s="81"/>
    </row>
    <row r="727" spans="1:47" ht="24" customHeight="1" x14ac:dyDescent="0.5">
      <c r="A727" s="81"/>
      <c r="B727" s="81"/>
      <c r="C727" s="81"/>
      <c r="D727" s="81"/>
      <c r="E727" s="81"/>
      <c r="F727" s="81"/>
      <c r="G727" s="105"/>
      <c r="H727" s="81"/>
      <c r="I727" s="81"/>
      <c r="J727" s="81"/>
      <c r="K727" s="105"/>
      <c r="L727" s="81"/>
      <c r="M727" s="81"/>
      <c r="N727" s="81"/>
      <c r="O727" s="81"/>
      <c r="P727" s="81"/>
      <c r="Q727" s="81"/>
      <c r="R727" s="105"/>
      <c r="S727" s="81"/>
      <c r="T727" s="81"/>
      <c r="U727" s="81"/>
      <c r="V727" s="105"/>
      <c r="W727" s="81"/>
      <c r="X727" s="81"/>
      <c r="Y727" s="105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105"/>
      <c r="AM727" s="81"/>
      <c r="AN727" s="81"/>
      <c r="AO727" s="81"/>
      <c r="AP727" s="81"/>
      <c r="AQ727" s="81"/>
      <c r="AR727" s="81"/>
      <c r="AS727" s="81"/>
      <c r="AT727" s="81"/>
      <c r="AU727" s="81"/>
    </row>
    <row r="728" spans="1:47" ht="24" customHeight="1" x14ac:dyDescent="0.5">
      <c r="A728" s="81"/>
      <c r="B728" s="81"/>
      <c r="C728" s="81"/>
      <c r="D728" s="81"/>
      <c r="E728" s="81"/>
      <c r="F728" s="81"/>
      <c r="G728" s="105"/>
      <c r="H728" s="81"/>
      <c r="I728" s="81"/>
      <c r="J728" s="81"/>
      <c r="K728" s="105"/>
      <c r="L728" s="81"/>
      <c r="M728" s="81"/>
      <c r="N728" s="81"/>
      <c r="O728" s="81"/>
      <c r="P728" s="81"/>
      <c r="Q728" s="81"/>
      <c r="R728" s="105"/>
      <c r="S728" s="81"/>
      <c r="T728" s="81"/>
      <c r="U728" s="81"/>
      <c r="V728" s="105"/>
      <c r="W728" s="81"/>
      <c r="X728" s="81"/>
      <c r="Y728" s="105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105"/>
      <c r="AM728" s="81"/>
      <c r="AN728" s="81"/>
      <c r="AO728" s="81"/>
      <c r="AP728" s="81"/>
      <c r="AQ728" s="81"/>
      <c r="AR728" s="81"/>
      <c r="AS728" s="81"/>
      <c r="AT728" s="81"/>
      <c r="AU728" s="81"/>
    </row>
    <row r="729" spans="1:47" ht="24" customHeight="1" x14ac:dyDescent="0.5">
      <c r="A729" s="81"/>
      <c r="B729" s="81"/>
      <c r="C729" s="81"/>
      <c r="D729" s="81"/>
      <c r="E729" s="81"/>
      <c r="F729" s="81"/>
      <c r="G729" s="105"/>
      <c r="H729" s="81"/>
      <c r="I729" s="81"/>
      <c r="J729" s="81"/>
      <c r="K729" s="105"/>
      <c r="L729" s="81"/>
      <c r="M729" s="81"/>
      <c r="N729" s="81"/>
      <c r="O729" s="81"/>
      <c r="P729" s="81"/>
      <c r="Q729" s="81"/>
      <c r="R729" s="105"/>
      <c r="S729" s="81"/>
      <c r="T729" s="81"/>
      <c r="U729" s="81"/>
      <c r="V729" s="105"/>
      <c r="W729" s="81"/>
      <c r="X729" s="81"/>
      <c r="Y729" s="105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105"/>
      <c r="AM729" s="81"/>
      <c r="AN729" s="81"/>
      <c r="AO729" s="81"/>
      <c r="AP729" s="81"/>
      <c r="AQ729" s="81"/>
      <c r="AR729" s="81"/>
      <c r="AS729" s="81"/>
      <c r="AT729" s="81"/>
      <c r="AU729" s="81"/>
    </row>
    <row r="730" spans="1:47" ht="24" customHeight="1" x14ac:dyDescent="0.5">
      <c r="A730" s="81"/>
      <c r="B730" s="81"/>
      <c r="C730" s="81"/>
      <c r="D730" s="81"/>
      <c r="E730" s="81"/>
      <c r="F730" s="81"/>
      <c r="G730" s="105"/>
      <c r="H730" s="81"/>
      <c r="I730" s="81"/>
      <c r="J730" s="81"/>
      <c r="K730" s="105"/>
      <c r="L730" s="81"/>
      <c r="M730" s="81"/>
      <c r="N730" s="81"/>
      <c r="O730" s="81"/>
      <c r="P730" s="81"/>
      <c r="Q730" s="81"/>
      <c r="R730" s="105"/>
      <c r="S730" s="81"/>
      <c r="T730" s="81"/>
      <c r="U730" s="81"/>
      <c r="V730" s="105"/>
      <c r="W730" s="81"/>
      <c r="X730" s="81"/>
      <c r="Y730" s="105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105"/>
      <c r="AM730" s="81"/>
      <c r="AN730" s="81"/>
      <c r="AO730" s="81"/>
      <c r="AP730" s="81"/>
      <c r="AQ730" s="81"/>
      <c r="AR730" s="81"/>
      <c r="AS730" s="81"/>
      <c r="AT730" s="81"/>
      <c r="AU730" s="81"/>
    </row>
    <row r="731" spans="1:47" ht="24" customHeight="1" x14ac:dyDescent="0.5">
      <c r="A731" s="81"/>
      <c r="B731" s="81"/>
      <c r="C731" s="81"/>
      <c r="D731" s="81"/>
      <c r="E731" s="81"/>
      <c r="F731" s="81"/>
      <c r="G731" s="105"/>
      <c r="H731" s="81"/>
      <c r="I731" s="81"/>
      <c r="J731" s="81"/>
      <c r="K731" s="105"/>
      <c r="L731" s="81"/>
      <c r="M731" s="81"/>
      <c r="N731" s="81"/>
      <c r="O731" s="81"/>
      <c r="P731" s="81"/>
      <c r="Q731" s="81"/>
      <c r="R731" s="105"/>
      <c r="S731" s="81"/>
      <c r="T731" s="81"/>
      <c r="U731" s="81"/>
      <c r="V731" s="105"/>
      <c r="W731" s="81"/>
      <c r="X731" s="81"/>
      <c r="Y731" s="105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105"/>
      <c r="AM731" s="81"/>
      <c r="AN731" s="81"/>
      <c r="AO731" s="81"/>
      <c r="AP731" s="81"/>
      <c r="AQ731" s="81"/>
      <c r="AR731" s="81"/>
      <c r="AS731" s="81"/>
      <c r="AT731" s="81"/>
      <c r="AU731" s="81"/>
    </row>
    <row r="732" spans="1:47" ht="24" customHeight="1" x14ac:dyDescent="0.5">
      <c r="A732" s="81"/>
      <c r="B732" s="81"/>
      <c r="C732" s="81"/>
      <c r="D732" s="81"/>
      <c r="E732" s="81"/>
      <c r="F732" s="81"/>
      <c r="G732" s="105"/>
      <c r="H732" s="81"/>
      <c r="I732" s="81"/>
      <c r="J732" s="81"/>
      <c r="K732" s="105"/>
      <c r="L732" s="81"/>
      <c r="M732" s="81"/>
      <c r="N732" s="81"/>
      <c r="O732" s="81"/>
      <c r="P732" s="81"/>
      <c r="Q732" s="81"/>
      <c r="R732" s="105"/>
      <c r="S732" s="81"/>
      <c r="T732" s="81"/>
      <c r="U732" s="81"/>
      <c r="V732" s="105"/>
      <c r="W732" s="81"/>
      <c r="X732" s="81"/>
      <c r="Y732" s="105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105"/>
      <c r="AM732" s="81"/>
      <c r="AN732" s="81"/>
      <c r="AO732" s="81"/>
      <c r="AP732" s="81"/>
      <c r="AQ732" s="81"/>
      <c r="AR732" s="81"/>
      <c r="AS732" s="81"/>
      <c r="AT732" s="81"/>
      <c r="AU732" s="81"/>
    </row>
    <row r="733" spans="1:47" ht="24" customHeight="1" x14ac:dyDescent="0.5">
      <c r="A733" s="81"/>
      <c r="B733" s="81"/>
      <c r="C733" s="81"/>
      <c r="D733" s="81"/>
      <c r="E733" s="81"/>
      <c r="F733" s="81"/>
      <c r="G733" s="105"/>
      <c r="H733" s="81"/>
      <c r="I733" s="81"/>
      <c r="J733" s="81"/>
      <c r="K733" s="105"/>
      <c r="L733" s="81"/>
      <c r="M733" s="81"/>
      <c r="N733" s="81"/>
      <c r="O733" s="81"/>
      <c r="P733" s="81"/>
      <c r="Q733" s="81"/>
      <c r="R733" s="105"/>
      <c r="S733" s="81"/>
      <c r="T733" s="81"/>
      <c r="U733" s="81"/>
      <c r="V733" s="105"/>
      <c r="W733" s="81"/>
      <c r="X733" s="81"/>
      <c r="Y733" s="105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105"/>
      <c r="AM733" s="81"/>
      <c r="AN733" s="81"/>
      <c r="AO733" s="81"/>
      <c r="AP733" s="81"/>
      <c r="AQ733" s="81"/>
      <c r="AR733" s="81"/>
      <c r="AS733" s="81"/>
      <c r="AT733" s="81"/>
      <c r="AU733" s="81"/>
    </row>
    <row r="734" spans="1:47" ht="24" customHeight="1" x14ac:dyDescent="0.5">
      <c r="A734" s="81"/>
      <c r="B734" s="81"/>
      <c r="C734" s="81"/>
      <c r="D734" s="81"/>
      <c r="E734" s="81"/>
      <c r="F734" s="81"/>
      <c r="G734" s="105"/>
      <c r="H734" s="81"/>
      <c r="I734" s="81"/>
      <c r="J734" s="81"/>
      <c r="K734" s="105"/>
      <c r="L734" s="81"/>
      <c r="M734" s="81"/>
      <c r="N734" s="81"/>
      <c r="O734" s="81"/>
      <c r="P734" s="81"/>
      <c r="Q734" s="81"/>
      <c r="R734" s="105"/>
      <c r="S734" s="81"/>
      <c r="T734" s="81"/>
      <c r="U734" s="81"/>
      <c r="V734" s="105"/>
      <c r="W734" s="81"/>
      <c r="X734" s="81"/>
      <c r="Y734" s="105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105"/>
      <c r="AM734" s="81"/>
      <c r="AN734" s="81"/>
      <c r="AO734" s="81"/>
      <c r="AP734" s="81"/>
      <c r="AQ734" s="81"/>
      <c r="AR734" s="81"/>
      <c r="AS734" s="81"/>
      <c r="AT734" s="81"/>
      <c r="AU734" s="81"/>
    </row>
    <row r="735" spans="1:47" ht="24" customHeight="1" x14ac:dyDescent="0.5">
      <c r="A735" s="81"/>
      <c r="B735" s="81"/>
      <c r="C735" s="81"/>
      <c r="D735" s="81"/>
      <c r="E735" s="81"/>
      <c r="F735" s="81"/>
      <c r="G735" s="105"/>
      <c r="H735" s="81"/>
      <c r="I735" s="81"/>
      <c r="J735" s="81"/>
      <c r="K735" s="105"/>
      <c r="L735" s="81"/>
      <c r="M735" s="81"/>
      <c r="N735" s="81"/>
      <c r="O735" s="81"/>
      <c r="P735" s="81"/>
      <c r="Q735" s="81"/>
      <c r="R735" s="105"/>
      <c r="S735" s="81"/>
      <c r="T735" s="81"/>
      <c r="U735" s="81"/>
      <c r="V735" s="105"/>
      <c r="W735" s="81"/>
      <c r="X735" s="81"/>
      <c r="Y735" s="105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105"/>
      <c r="AM735" s="81"/>
      <c r="AN735" s="81"/>
      <c r="AO735" s="81"/>
      <c r="AP735" s="81"/>
      <c r="AQ735" s="81"/>
      <c r="AR735" s="81"/>
      <c r="AS735" s="81"/>
      <c r="AT735" s="81"/>
      <c r="AU735" s="81"/>
    </row>
    <row r="736" spans="1:47" ht="24" customHeight="1" x14ac:dyDescent="0.5">
      <c r="A736" s="81"/>
      <c r="B736" s="81"/>
      <c r="C736" s="81"/>
      <c r="D736" s="81"/>
      <c r="E736" s="81"/>
      <c r="F736" s="81"/>
      <c r="G736" s="105"/>
      <c r="H736" s="81"/>
      <c r="I736" s="81"/>
      <c r="J736" s="81"/>
      <c r="K736" s="105"/>
      <c r="L736" s="81"/>
      <c r="M736" s="81"/>
      <c r="N736" s="81"/>
      <c r="O736" s="81"/>
      <c r="P736" s="81"/>
      <c r="Q736" s="81"/>
      <c r="R736" s="105"/>
      <c r="S736" s="81"/>
      <c r="T736" s="81"/>
      <c r="U736" s="81"/>
      <c r="V736" s="105"/>
      <c r="W736" s="81"/>
      <c r="X736" s="81"/>
      <c r="Y736" s="105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105"/>
      <c r="AM736" s="81"/>
      <c r="AN736" s="81"/>
      <c r="AO736" s="81"/>
      <c r="AP736" s="81"/>
      <c r="AQ736" s="81"/>
      <c r="AR736" s="81"/>
      <c r="AS736" s="81"/>
      <c r="AT736" s="81"/>
      <c r="AU736" s="81"/>
    </row>
    <row r="737" spans="1:47" ht="24" customHeight="1" x14ac:dyDescent="0.5">
      <c r="A737" s="81"/>
      <c r="B737" s="81"/>
      <c r="C737" s="81"/>
      <c r="D737" s="81"/>
      <c r="E737" s="81"/>
      <c r="F737" s="81"/>
      <c r="G737" s="105"/>
      <c r="H737" s="81"/>
      <c r="I737" s="81"/>
      <c r="J737" s="81"/>
      <c r="K737" s="105"/>
      <c r="L737" s="81"/>
      <c r="M737" s="81"/>
      <c r="N737" s="81"/>
      <c r="O737" s="81"/>
      <c r="P737" s="81"/>
      <c r="Q737" s="81"/>
      <c r="R737" s="105"/>
      <c r="S737" s="81"/>
      <c r="T737" s="81"/>
      <c r="U737" s="81"/>
      <c r="V737" s="105"/>
      <c r="W737" s="81"/>
      <c r="X737" s="81"/>
      <c r="Y737" s="105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105"/>
      <c r="AM737" s="81"/>
      <c r="AN737" s="81"/>
      <c r="AO737" s="81"/>
      <c r="AP737" s="81"/>
      <c r="AQ737" s="81"/>
      <c r="AR737" s="81"/>
      <c r="AS737" s="81"/>
      <c r="AT737" s="81"/>
      <c r="AU737" s="81"/>
    </row>
    <row r="738" spans="1:47" ht="24" customHeight="1" x14ac:dyDescent="0.5">
      <c r="A738" s="81"/>
      <c r="B738" s="81"/>
      <c r="C738" s="81"/>
      <c r="D738" s="81"/>
      <c r="E738" s="81"/>
      <c r="F738" s="81"/>
      <c r="G738" s="105"/>
      <c r="H738" s="81"/>
      <c r="I738" s="81"/>
      <c r="J738" s="81"/>
      <c r="K738" s="105"/>
      <c r="L738" s="81"/>
      <c r="M738" s="81"/>
      <c r="N738" s="81"/>
      <c r="O738" s="81"/>
      <c r="P738" s="81"/>
      <c r="Q738" s="81"/>
      <c r="R738" s="105"/>
      <c r="S738" s="81"/>
      <c r="T738" s="81"/>
      <c r="U738" s="81"/>
      <c r="V738" s="105"/>
      <c r="W738" s="81"/>
      <c r="X738" s="81"/>
      <c r="Y738" s="105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105"/>
      <c r="AM738" s="81"/>
      <c r="AN738" s="81"/>
      <c r="AO738" s="81"/>
      <c r="AP738" s="81"/>
      <c r="AQ738" s="81"/>
      <c r="AR738" s="81"/>
      <c r="AS738" s="81"/>
      <c r="AT738" s="81"/>
      <c r="AU738" s="81"/>
    </row>
    <row r="739" spans="1:47" ht="24" customHeight="1" x14ac:dyDescent="0.5">
      <c r="A739" s="81"/>
      <c r="B739" s="81"/>
      <c r="C739" s="81"/>
      <c r="D739" s="81"/>
      <c r="E739" s="81"/>
      <c r="F739" s="81"/>
      <c r="G739" s="105"/>
      <c r="H739" s="81"/>
      <c r="I739" s="81"/>
      <c r="J739" s="81"/>
      <c r="K739" s="105"/>
      <c r="L739" s="81"/>
      <c r="M739" s="81"/>
      <c r="N739" s="81"/>
      <c r="O739" s="81"/>
      <c r="P739" s="81"/>
      <c r="Q739" s="81"/>
      <c r="R739" s="105"/>
      <c r="S739" s="81"/>
      <c r="T739" s="81"/>
      <c r="U739" s="81"/>
      <c r="V739" s="105"/>
      <c r="W739" s="81"/>
      <c r="X739" s="81"/>
      <c r="Y739" s="105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105"/>
      <c r="AM739" s="81"/>
      <c r="AN739" s="81"/>
      <c r="AO739" s="81"/>
      <c r="AP739" s="81"/>
      <c r="AQ739" s="81"/>
      <c r="AR739" s="81"/>
      <c r="AS739" s="81"/>
      <c r="AT739" s="81"/>
      <c r="AU739" s="81"/>
    </row>
    <row r="740" spans="1:47" ht="24" customHeight="1" x14ac:dyDescent="0.5">
      <c r="A740" s="81"/>
      <c r="B740" s="81"/>
      <c r="C740" s="81"/>
      <c r="D740" s="81"/>
      <c r="E740" s="81"/>
      <c r="F740" s="81"/>
      <c r="G740" s="105"/>
      <c r="H740" s="81"/>
      <c r="I740" s="81"/>
      <c r="J740" s="81"/>
      <c r="K740" s="105"/>
      <c r="L740" s="81"/>
      <c r="M740" s="81"/>
      <c r="N740" s="81"/>
      <c r="O740" s="81"/>
      <c r="P740" s="81"/>
      <c r="Q740" s="81"/>
      <c r="R740" s="105"/>
      <c r="S740" s="81"/>
      <c r="T740" s="81"/>
      <c r="U740" s="81"/>
      <c r="V740" s="105"/>
      <c r="W740" s="81"/>
      <c r="X740" s="81"/>
      <c r="Y740" s="105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105"/>
      <c r="AM740" s="81"/>
      <c r="AN740" s="81"/>
      <c r="AO740" s="81"/>
      <c r="AP740" s="81"/>
      <c r="AQ740" s="81"/>
      <c r="AR740" s="81"/>
      <c r="AS740" s="81"/>
      <c r="AT740" s="81"/>
      <c r="AU740" s="81"/>
    </row>
    <row r="741" spans="1:47" ht="24" customHeight="1" x14ac:dyDescent="0.5">
      <c r="A741" s="81"/>
      <c r="B741" s="81"/>
      <c r="C741" s="81"/>
      <c r="D741" s="81"/>
      <c r="E741" s="81"/>
      <c r="F741" s="81"/>
      <c r="G741" s="105"/>
      <c r="H741" s="81"/>
      <c r="I741" s="81"/>
      <c r="J741" s="81"/>
      <c r="K741" s="105"/>
      <c r="L741" s="81"/>
      <c r="M741" s="81"/>
      <c r="N741" s="81"/>
      <c r="O741" s="81"/>
      <c r="P741" s="81"/>
      <c r="Q741" s="81"/>
      <c r="R741" s="105"/>
      <c r="S741" s="81"/>
      <c r="T741" s="81"/>
      <c r="U741" s="81"/>
      <c r="V741" s="105"/>
      <c r="W741" s="81"/>
      <c r="X741" s="81"/>
      <c r="Y741" s="105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105"/>
      <c r="AM741" s="81"/>
      <c r="AN741" s="81"/>
      <c r="AO741" s="81"/>
      <c r="AP741" s="81"/>
      <c r="AQ741" s="81"/>
      <c r="AR741" s="81"/>
      <c r="AS741" s="81"/>
      <c r="AT741" s="81"/>
      <c r="AU741" s="81"/>
    </row>
    <row r="742" spans="1:47" ht="24" customHeight="1" x14ac:dyDescent="0.5">
      <c r="A742" s="81"/>
      <c r="B742" s="81"/>
      <c r="C742" s="81"/>
      <c r="D742" s="81"/>
      <c r="E742" s="81"/>
      <c r="F742" s="81"/>
      <c r="G742" s="105"/>
      <c r="H742" s="81"/>
      <c r="I742" s="81"/>
      <c r="J742" s="81"/>
      <c r="K742" s="105"/>
      <c r="L742" s="81"/>
      <c r="M742" s="81"/>
      <c r="N742" s="81"/>
      <c r="O742" s="81"/>
      <c r="P742" s="81"/>
      <c r="Q742" s="81"/>
      <c r="R742" s="105"/>
      <c r="S742" s="81"/>
      <c r="T742" s="81"/>
      <c r="U742" s="81"/>
      <c r="V742" s="105"/>
      <c r="W742" s="81"/>
      <c r="X742" s="81"/>
      <c r="Y742" s="105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105"/>
      <c r="AM742" s="81"/>
      <c r="AN742" s="81"/>
      <c r="AO742" s="81"/>
      <c r="AP742" s="81"/>
      <c r="AQ742" s="81"/>
      <c r="AR742" s="81"/>
      <c r="AS742" s="81"/>
      <c r="AT742" s="81"/>
      <c r="AU742" s="81"/>
    </row>
    <row r="743" spans="1:47" ht="24" customHeight="1" x14ac:dyDescent="0.5">
      <c r="A743" s="81"/>
      <c r="B743" s="81"/>
      <c r="C743" s="81"/>
      <c r="D743" s="81"/>
      <c r="E743" s="81"/>
      <c r="F743" s="81"/>
      <c r="G743" s="105"/>
      <c r="H743" s="81"/>
      <c r="I743" s="81"/>
      <c r="J743" s="81"/>
      <c r="K743" s="105"/>
      <c r="L743" s="81"/>
      <c r="M743" s="81"/>
      <c r="N743" s="81"/>
      <c r="O743" s="81"/>
      <c r="P743" s="81"/>
      <c r="Q743" s="81"/>
      <c r="R743" s="105"/>
      <c r="S743" s="81"/>
      <c r="T743" s="81"/>
      <c r="U743" s="81"/>
      <c r="V743" s="105"/>
      <c r="W743" s="81"/>
      <c r="X743" s="81"/>
      <c r="Y743" s="105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105"/>
      <c r="AM743" s="81"/>
      <c r="AN743" s="81"/>
      <c r="AO743" s="81"/>
      <c r="AP743" s="81"/>
      <c r="AQ743" s="81"/>
      <c r="AR743" s="81"/>
      <c r="AS743" s="81"/>
      <c r="AT743" s="81"/>
      <c r="AU743" s="81"/>
    </row>
    <row r="744" spans="1:47" ht="24" customHeight="1" x14ac:dyDescent="0.5">
      <c r="A744" s="81"/>
      <c r="B744" s="81"/>
      <c r="C744" s="81"/>
      <c r="D744" s="81"/>
      <c r="E744" s="81"/>
      <c r="F744" s="81"/>
      <c r="G744" s="105"/>
      <c r="H744" s="81"/>
      <c r="I744" s="81"/>
      <c r="J744" s="81"/>
      <c r="K744" s="105"/>
      <c r="L744" s="81"/>
      <c r="M744" s="81"/>
      <c r="N744" s="81"/>
      <c r="O744" s="81"/>
      <c r="P744" s="81"/>
      <c r="Q744" s="81"/>
      <c r="R744" s="105"/>
      <c r="S744" s="81"/>
      <c r="T744" s="81"/>
      <c r="U744" s="81"/>
      <c r="V744" s="105"/>
      <c r="W744" s="81"/>
      <c r="X744" s="81"/>
      <c r="Y744" s="105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105"/>
      <c r="AM744" s="81"/>
      <c r="AN744" s="81"/>
      <c r="AO744" s="81"/>
      <c r="AP744" s="81"/>
      <c r="AQ744" s="81"/>
      <c r="AR744" s="81"/>
      <c r="AS744" s="81"/>
      <c r="AT744" s="81"/>
      <c r="AU744" s="81"/>
    </row>
    <row r="745" spans="1:47" ht="24" customHeight="1" x14ac:dyDescent="0.5">
      <c r="A745" s="81"/>
      <c r="B745" s="81"/>
      <c r="C745" s="81"/>
      <c r="D745" s="81"/>
      <c r="E745" s="81"/>
      <c r="F745" s="81"/>
      <c r="G745" s="105"/>
      <c r="H745" s="81"/>
      <c r="I745" s="81"/>
      <c r="J745" s="81"/>
      <c r="K745" s="105"/>
      <c r="L745" s="81"/>
      <c r="M745" s="81"/>
      <c r="N745" s="81"/>
      <c r="O745" s="81"/>
      <c r="P745" s="81"/>
      <c r="Q745" s="81"/>
      <c r="R745" s="105"/>
      <c r="S745" s="81"/>
      <c r="T745" s="81"/>
      <c r="U745" s="81"/>
      <c r="V745" s="105"/>
      <c r="W745" s="81"/>
      <c r="X745" s="81"/>
      <c r="Y745" s="105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105"/>
      <c r="AM745" s="81"/>
      <c r="AN745" s="81"/>
      <c r="AO745" s="81"/>
      <c r="AP745" s="81"/>
      <c r="AQ745" s="81"/>
      <c r="AR745" s="81"/>
      <c r="AS745" s="81"/>
      <c r="AT745" s="81"/>
      <c r="AU745" s="81"/>
    </row>
    <row r="746" spans="1:47" ht="24" customHeight="1" x14ac:dyDescent="0.5">
      <c r="A746" s="81"/>
      <c r="B746" s="81"/>
      <c r="C746" s="81"/>
      <c r="D746" s="81"/>
      <c r="E746" s="81"/>
      <c r="F746" s="81"/>
      <c r="G746" s="105"/>
      <c r="H746" s="81"/>
      <c r="I746" s="81"/>
      <c r="J746" s="81"/>
      <c r="K746" s="105"/>
      <c r="L746" s="81"/>
      <c r="M746" s="81"/>
      <c r="N746" s="81"/>
      <c r="O746" s="81"/>
      <c r="P746" s="81"/>
      <c r="Q746" s="81"/>
      <c r="R746" s="105"/>
      <c r="S746" s="81"/>
      <c r="T746" s="81"/>
      <c r="U746" s="81"/>
      <c r="V746" s="105"/>
      <c r="W746" s="81"/>
      <c r="X746" s="81"/>
      <c r="Y746" s="105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105"/>
      <c r="AM746" s="81"/>
      <c r="AN746" s="81"/>
      <c r="AO746" s="81"/>
      <c r="AP746" s="81"/>
      <c r="AQ746" s="81"/>
      <c r="AR746" s="81"/>
      <c r="AS746" s="81"/>
      <c r="AT746" s="81"/>
      <c r="AU746" s="81"/>
    </row>
    <row r="747" spans="1:47" ht="24" customHeight="1" x14ac:dyDescent="0.5">
      <c r="A747" s="81"/>
      <c r="B747" s="81"/>
      <c r="C747" s="81"/>
      <c r="D747" s="81"/>
      <c r="E747" s="81"/>
      <c r="F747" s="81"/>
      <c r="G747" s="105"/>
      <c r="H747" s="81"/>
      <c r="I747" s="81"/>
      <c r="J747" s="81"/>
      <c r="K747" s="105"/>
      <c r="L747" s="81"/>
      <c r="M747" s="81"/>
      <c r="N747" s="81"/>
      <c r="O747" s="81"/>
      <c r="P747" s="81"/>
      <c r="Q747" s="81"/>
      <c r="R747" s="105"/>
      <c r="S747" s="81"/>
      <c r="T747" s="81"/>
      <c r="U747" s="81"/>
      <c r="V747" s="105"/>
      <c r="W747" s="81"/>
      <c r="X747" s="81"/>
      <c r="Y747" s="105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105"/>
      <c r="AM747" s="81"/>
      <c r="AN747" s="81"/>
      <c r="AO747" s="81"/>
      <c r="AP747" s="81"/>
      <c r="AQ747" s="81"/>
      <c r="AR747" s="81"/>
      <c r="AS747" s="81"/>
      <c r="AT747" s="81"/>
      <c r="AU747" s="81"/>
    </row>
    <row r="748" spans="1:47" ht="24" customHeight="1" x14ac:dyDescent="0.5">
      <c r="A748" s="81"/>
      <c r="B748" s="81"/>
      <c r="C748" s="81"/>
      <c r="D748" s="81"/>
      <c r="E748" s="81"/>
      <c r="F748" s="81"/>
      <c r="G748" s="105"/>
      <c r="H748" s="81"/>
      <c r="I748" s="81"/>
      <c r="J748" s="81"/>
      <c r="K748" s="105"/>
      <c r="L748" s="81"/>
      <c r="M748" s="81"/>
      <c r="N748" s="81"/>
      <c r="O748" s="81"/>
      <c r="P748" s="81"/>
      <c r="Q748" s="81"/>
      <c r="R748" s="105"/>
      <c r="S748" s="81"/>
      <c r="T748" s="81"/>
      <c r="U748" s="81"/>
      <c r="V748" s="105"/>
      <c r="W748" s="81"/>
      <c r="X748" s="81"/>
      <c r="Y748" s="105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105"/>
      <c r="AM748" s="81"/>
      <c r="AN748" s="81"/>
      <c r="AO748" s="81"/>
      <c r="AP748" s="81"/>
      <c r="AQ748" s="81"/>
      <c r="AR748" s="81"/>
      <c r="AS748" s="81"/>
      <c r="AT748" s="81"/>
      <c r="AU748" s="81"/>
    </row>
    <row r="749" spans="1:47" ht="24" customHeight="1" x14ac:dyDescent="0.5">
      <c r="A749" s="81"/>
      <c r="B749" s="81"/>
      <c r="C749" s="81"/>
      <c r="D749" s="81"/>
      <c r="E749" s="81"/>
      <c r="F749" s="81"/>
      <c r="G749" s="105"/>
      <c r="H749" s="81"/>
      <c r="I749" s="81"/>
      <c r="J749" s="81"/>
      <c r="K749" s="105"/>
      <c r="L749" s="81"/>
      <c r="M749" s="81"/>
      <c r="N749" s="81"/>
      <c r="O749" s="81"/>
      <c r="P749" s="81"/>
      <c r="Q749" s="81"/>
      <c r="R749" s="105"/>
      <c r="S749" s="81"/>
      <c r="T749" s="81"/>
      <c r="U749" s="81"/>
      <c r="V749" s="105"/>
      <c r="W749" s="81"/>
      <c r="X749" s="81"/>
      <c r="Y749" s="105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105"/>
      <c r="AM749" s="81"/>
      <c r="AN749" s="81"/>
      <c r="AO749" s="81"/>
      <c r="AP749" s="81"/>
      <c r="AQ749" s="81"/>
      <c r="AR749" s="81"/>
      <c r="AS749" s="81"/>
      <c r="AT749" s="81"/>
      <c r="AU749" s="81"/>
    </row>
    <row r="750" spans="1:47" ht="24" customHeight="1" x14ac:dyDescent="0.5">
      <c r="A750" s="81"/>
      <c r="B750" s="81"/>
      <c r="C750" s="81"/>
      <c r="D750" s="81"/>
      <c r="E750" s="81"/>
      <c r="F750" s="81"/>
      <c r="G750" s="105"/>
      <c r="H750" s="81"/>
      <c r="I750" s="81"/>
      <c r="J750" s="81"/>
      <c r="K750" s="105"/>
      <c r="L750" s="81"/>
      <c r="M750" s="81"/>
      <c r="N750" s="81"/>
      <c r="O750" s="81"/>
      <c r="P750" s="81"/>
      <c r="Q750" s="81"/>
      <c r="R750" s="105"/>
      <c r="S750" s="81"/>
      <c r="T750" s="81"/>
      <c r="U750" s="81"/>
      <c r="V750" s="105"/>
      <c r="W750" s="81"/>
      <c r="X750" s="81"/>
      <c r="Y750" s="105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105"/>
      <c r="AM750" s="81"/>
      <c r="AN750" s="81"/>
      <c r="AO750" s="81"/>
      <c r="AP750" s="81"/>
      <c r="AQ750" s="81"/>
      <c r="AR750" s="81"/>
      <c r="AS750" s="81"/>
      <c r="AT750" s="81"/>
      <c r="AU750" s="81"/>
    </row>
    <row r="751" spans="1:47" ht="24" customHeight="1" x14ac:dyDescent="0.5">
      <c r="A751" s="81"/>
      <c r="B751" s="81"/>
      <c r="C751" s="81"/>
      <c r="D751" s="81"/>
      <c r="E751" s="81"/>
      <c r="F751" s="81"/>
      <c r="G751" s="105"/>
      <c r="H751" s="81"/>
      <c r="I751" s="81"/>
      <c r="J751" s="81"/>
      <c r="K751" s="105"/>
      <c r="L751" s="81"/>
      <c r="M751" s="81"/>
      <c r="N751" s="81"/>
      <c r="O751" s="81"/>
      <c r="P751" s="81"/>
      <c r="Q751" s="81"/>
      <c r="R751" s="105"/>
      <c r="S751" s="81"/>
      <c r="T751" s="81"/>
      <c r="U751" s="81"/>
      <c r="V751" s="105"/>
      <c r="W751" s="81"/>
      <c r="X751" s="81"/>
      <c r="Y751" s="105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105"/>
      <c r="AM751" s="81"/>
      <c r="AN751" s="81"/>
      <c r="AO751" s="81"/>
      <c r="AP751" s="81"/>
      <c r="AQ751" s="81"/>
      <c r="AR751" s="81"/>
      <c r="AS751" s="81"/>
      <c r="AT751" s="81"/>
      <c r="AU751" s="81"/>
    </row>
    <row r="752" spans="1:47" ht="24" customHeight="1" x14ac:dyDescent="0.5">
      <c r="A752" s="81"/>
      <c r="B752" s="81"/>
      <c r="C752" s="81"/>
      <c r="D752" s="81"/>
      <c r="E752" s="81"/>
      <c r="F752" s="81"/>
      <c r="G752" s="105"/>
      <c r="H752" s="81"/>
      <c r="I752" s="81"/>
      <c r="J752" s="81"/>
      <c r="K752" s="105"/>
      <c r="L752" s="81"/>
      <c r="M752" s="81"/>
      <c r="N752" s="81"/>
      <c r="O752" s="81"/>
      <c r="P752" s="81"/>
      <c r="Q752" s="81"/>
      <c r="R752" s="105"/>
      <c r="S752" s="81"/>
      <c r="T752" s="81"/>
      <c r="U752" s="81"/>
      <c r="V752" s="105"/>
      <c r="W752" s="81"/>
      <c r="X752" s="81"/>
      <c r="Y752" s="105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105"/>
      <c r="AM752" s="81"/>
      <c r="AN752" s="81"/>
      <c r="AO752" s="81"/>
      <c r="AP752" s="81"/>
      <c r="AQ752" s="81"/>
      <c r="AR752" s="81"/>
      <c r="AS752" s="81"/>
      <c r="AT752" s="81"/>
      <c r="AU752" s="81"/>
    </row>
    <row r="753" spans="1:47" ht="24" customHeight="1" x14ac:dyDescent="0.5">
      <c r="A753" s="81"/>
      <c r="B753" s="81"/>
      <c r="C753" s="81"/>
      <c r="D753" s="81"/>
      <c r="E753" s="81"/>
      <c r="F753" s="81"/>
      <c r="G753" s="105"/>
      <c r="H753" s="81"/>
      <c r="I753" s="81"/>
      <c r="J753" s="81"/>
      <c r="K753" s="105"/>
      <c r="L753" s="81"/>
      <c r="M753" s="81"/>
      <c r="N753" s="81"/>
      <c r="O753" s="81"/>
      <c r="P753" s="81"/>
      <c r="Q753" s="81"/>
      <c r="R753" s="105"/>
      <c r="S753" s="81"/>
      <c r="T753" s="81"/>
      <c r="U753" s="81"/>
      <c r="V753" s="105"/>
      <c r="W753" s="81"/>
      <c r="X753" s="81"/>
      <c r="Y753" s="105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105"/>
      <c r="AM753" s="81"/>
      <c r="AN753" s="81"/>
      <c r="AO753" s="81"/>
      <c r="AP753" s="81"/>
      <c r="AQ753" s="81"/>
      <c r="AR753" s="81"/>
      <c r="AS753" s="81"/>
      <c r="AT753" s="81"/>
      <c r="AU753" s="81"/>
    </row>
    <row r="754" spans="1:47" ht="24" customHeight="1" x14ac:dyDescent="0.5">
      <c r="A754" s="81"/>
      <c r="B754" s="81"/>
      <c r="C754" s="81"/>
      <c r="D754" s="81"/>
      <c r="E754" s="81"/>
      <c r="F754" s="81"/>
      <c r="G754" s="105"/>
      <c r="H754" s="81"/>
      <c r="I754" s="81"/>
      <c r="J754" s="81"/>
      <c r="K754" s="105"/>
      <c r="L754" s="81"/>
      <c r="M754" s="81"/>
      <c r="N754" s="81"/>
      <c r="O754" s="81"/>
      <c r="P754" s="81"/>
      <c r="Q754" s="81"/>
      <c r="R754" s="105"/>
      <c r="S754" s="81"/>
      <c r="T754" s="81"/>
      <c r="U754" s="81"/>
      <c r="V754" s="105"/>
      <c r="W754" s="81"/>
      <c r="X754" s="81"/>
      <c r="Y754" s="105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105"/>
      <c r="AM754" s="81"/>
      <c r="AN754" s="81"/>
      <c r="AO754" s="81"/>
      <c r="AP754" s="81"/>
      <c r="AQ754" s="81"/>
      <c r="AR754" s="81"/>
      <c r="AS754" s="81"/>
      <c r="AT754" s="81"/>
      <c r="AU754" s="81"/>
    </row>
    <row r="755" spans="1:47" ht="24" customHeight="1" x14ac:dyDescent="0.5">
      <c r="A755" s="81"/>
      <c r="B755" s="81"/>
      <c r="C755" s="81"/>
      <c r="D755" s="81"/>
      <c r="E755" s="81"/>
      <c r="F755" s="81"/>
      <c r="G755" s="105"/>
      <c r="H755" s="81"/>
      <c r="I755" s="81"/>
      <c r="J755" s="81"/>
      <c r="K755" s="105"/>
      <c r="L755" s="81"/>
      <c r="M755" s="81"/>
      <c r="N755" s="81"/>
      <c r="O755" s="81"/>
      <c r="P755" s="81"/>
      <c r="Q755" s="81"/>
      <c r="R755" s="105"/>
      <c r="S755" s="81"/>
      <c r="T755" s="81"/>
      <c r="U755" s="81"/>
      <c r="V755" s="105"/>
      <c r="W755" s="81"/>
      <c r="X755" s="81"/>
      <c r="Y755" s="105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105"/>
      <c r="AM755" s="81"/>
      <c r="AN755" s="81"/>
      <c r="AO755" s="81"/>
      <c r="AP755" s="81"/>
      <c r="AQ755" s="81"/>
      <c r="AR755" s="81"/>
      <c r="AS755" s="81"/>
      <c r="AT755" s="81"/>
      <c r="AU755" s="81"/>
    </row>
    <row r="756" spans="1:47" ht="24" customHeight="1" x14ac:dyDescent="0.5">
      <c r="A756" s="81"/>
      <c r="B756" s="81"/>
      <c r="C756" s="81"/>
      <c r="D756" s="81"/>
      <c r="E756" s="81"/>
      <c r="F756" s="81"/>
      <c r="G756" s="105"/>
      <c r="H756" s="81"/>
      <c r="I756" s="81"/>
      <c r="J756" s="81"/>
      <c r="K756" s="105"/>
      <c r="L756" s="81"/>
      <c r="M756" s="81"/>
      <c r="N756" s="81"/>
      <c r="O756" s="81"/>
      <c r="P756" s="81"/>
      <c r="Q756" s="81"/>
      <c r="R756" s="105"/>
      <c r="S756" s="81"/>
      <c r="T756" s="81"/>
      <c r="U756" s="81"/>
      <c r="V756" s="105"/>
      <c r="W756" s="81"/>
      <c r="X756" s="81"/>
      <c r="Y756" s="105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105"/>
      <c r="AM756" s="81"/>
      <c r="AN756" s="81"/>
      <c r="AO756" s="81"/>
      <c r="AP756" s="81"/>
      <c r="AQ756" s="81"/>
      <c r="AR756" s="81"/>
      <c r="AS756" s="81"/>
      <c r="AT756" s="81"/>
      <c r="AU756" s="81"/>
    </row>
    <row r="757" spans="1:47" ht="24" customHeight="1" x14ac:dyDescent="0.5">
      <c r="A757" s="81"/>
      <c r="B757" s="81"/>
      <c r="C757" s="81"/>
      <c r="D757" s="81"/>
      <c r="E757" s="81"/>
      <c r="F757" s="81"/>
      <c r="G757" s="105"/>
      <c r="H757" s="81"/>
      <c r="I757" s="81"/>
      <c r="J757" s="81"/>
      <c r="K757" s="105"/>
      <c r="L757" s="81"/>
      <c r="M757" s="81"/>
      <c r="N757" s="81"/>
      <c r="O757" s="81"/>
      <c r="P757" s="81"/>
      <c r="Q757" s="81"/>
      <c r="R757" s="105"/>
      <c r="S757" s="81"/>
      <c r="T757" s="81"/>
      <c r="U757" s="81"/>
      <c r="V757" s="105"/>
      <c r="W757" s="81"/>
      <c r="X757" s="81"/>
      <c r="Y757" s="105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105"/>
      <c r="AM757" s="81"/>
      <c r="AN757" s="81"/>
      <c r="AO757" s="81"/>
      <c r="AP757" s="81"/>
      <c r="AQ757" s="81"/>
      <c r="AR757" s="81"/>
      <c r="AS757" s="81"/>
      <c r="AT757" s="81"/>
      <c r="AU757" s="81"/>
    </row>
    <row r="758" spans="1:47" ht="24" customHeight="1" x14ac:dyDescent="0.5">
      <c r="A758" s="81"/>
      <c r="B758" s="81"/>
      <c r="C758" s="81"/>
      <c r="D758" s="81"/>
      <c r="E758" s="81"/>
      <c r="F758" s="81"/>
      <c r="G758" s="105"/>
      <c r="H758" s="81"/>
      <c r="I758" s="81"/>
      <c r="J758" s="81"/>
      <c r="K758" s="105"/>
      <c r="L758" s="81"/>
      <c r="M758" s="81"/>
      <c r="N758" s="81"/>
      <c r="O758" s="81"/>
      <c r="P758" s="81"/>
      <c r="Q758" s="81"/>
      <c r="R758" s="105"/>
      <c r="S758" s="81"/>
      <c r="T758" s="81"/>
      <c r="U758" s="81"/>
      <c r="V758" s="105"/>
      <c r="W758" s="81"/>
      <c r="X758" s="81"/>
      <c r="Y758" s="105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105"/>
      <c r="AM758" s="81"/>
      <c r="AN758" s="81"/>
      <c r="AO758" s="81"/>
      <c r="AP758" s="81"/>
      <c r="AQ758" s="81"/>
      <c r="AR758" s="81"/>
      <c r="AS758" s="81"/>
      <c r="AT758" s="81"/>
      <c r="AU758" s="81"/>
    </row>
    <row r="759" spans="1:47" ht="24" customHeight="1" x14ac:dyDescent="0.5">
      <c r="A759" s="81"/>
      <c r="B759" s="81"/>
      <c r="C759" s="81"/>
      <c r="D759" s="81"/>
      <c r="E759" s="81"/>
      <c r="F759" s="81"/>
      <c r="G759" s="105"/>
      <c r="H759" s="81"/>
      <c r="I759" s="81"/>
      <c r="J759" s="81"/>
      <c r="K759" s="105"/>
      <c r="L759" s="81"/>
      <c r="M759" s="81"/>
      <c r="N759" s="81"/>
      <c r="O759" s="81"/>
      <c r="P759" s="81"/>
      <c r="Q759" s="81"/>
      <c r="R759" s="105"/>
      <c r="S759" s="81"/>
      <c r="T759" s="81"/>
      <c r="U759" s="81"/>
      <c r="V759" s="105"/>
      <c r="W759" s="81"/>
      <c r="X759" s="81"/>
      <c r="Y759" s="105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105"/>
      <c r="AM759" s="81"/>
      <c r="AN759" s="81"/>
      <c r="AO759" s="81"/>
      <c r="AP759" s="81"/>
      <c r="AQ759" s="81"/>
      <c r="AR759" s="81"/>
      <c r="AS759" s="81"/>
      <c r="AT759" s="81"/>
      <c r="AU759" s="81"/>
    </row>
    <row r="760" spans="1:47" ht="24" customHeight="1" x14ac:dyDescent="0.5">
      <c r="A760" s="81"/>
      <c r="B760" s="81"/>
      <c r="C760" s="81"/>
      <c r="D760" s="81"/>
      <c r="E760" s="81"/>
      <c r="F760" s="81"/>
      <c r="G760" s="105"/>
      <c r="H760" s="81"/>
      <c r="I760" s="81"/>
      <c r="J760" s="81"/>
      <c r="K760" s="105"/>
      <c r="L760" s="81"/>
      <c r="M760" s="81"/>
      <c r="N760" s="81"/>
      <c r="O760" s="81"/>
      <c r="P760" s="81"/>
      <c r="Q760" s="81"/>
      <c r="R760" s="105"/>
      <c r="S760" s="81"/>
      <c r="T760" s="81"/>
      <c r="U760" s="81"/>
      <c r="V760" s="105"/>
      <c r="W760" s="81"/>
      <c r="X760" s="81"/>
      <c r="Y760" s="105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105"/>
      <c r="AM760" s="81"/>
      <c r="AN760" s="81"/>
      <c r="AO760" s="81"/>
      <c r="AP760" s="81"/>
      <c r="AQ760" s="81"/>
      <c r="AR760" s="81"/>
      <c r="AS760" s="81"/>
      <c r="AT760" s="81"/>
      <c r="AU760" s="81"/>
    </row>
    <row r="761" spans="1:47" ht="24" customHeight="1" x14ac:dyDescent="0.5">
      <c r="A761" s="81"/>
      <c r="B761" s="81"/>
      <c r="C761" s="81"/>
      <c r="D761" s="81"/>
      <c r="E761" s="81"/>
      <c r="F761" s="81"/>
      <c r="G761" s="105"/>
      <c r="H761" s="81"/>
      <c r="I761" s="81"/>
      <c r="J761" s="81"/>
      <c r="K761" s="105"/>
      <c r="L761" s="81"/>
      <c r="M761" s="81"/>
      <c r="N761" s="81"/>
      <c r="O761" s="81"/>
      <c r="P761" s="81"/>
      <c r="Q761" s="81"/>
      <c r="R761" s="105"/>
      <c r="S761" s="81"/>
      <c r="T761" s="81"/>
      <c r="U761" s="81"/>
      <c r="V761" s="105"/>
      <c r="W761" s="81"/>
      <c r="X761" s="81"/>
      <c r="Y761" s="105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105"/>
      <c r="AM761" s="81"/>
      <c r="AN761" s="81"/>
      <c r="AO761" s="81"/>
      <c r="AP761" s="81"/>
      <c r="AQ761" s="81"/>
      <c r="AR761" s="81"/>
      <c r="AS761" s="81"/>
      <c r="AT761" s="81"/>
      <c r="AU761" s="81"/>
    </row>
    <row r="762" spans="1:47" ht="24" customHeight="1" x14ac:dyDescent="0.5">
      <c r="A762" s="81"/>
      <c r="B762" s="81"/>
      <c r="C762" s="81"/>
      <c r="D762" s="81"/>
      <c r="E762" s="81"/>
      <c r="F762" s="81"/>
      <c r="G762" s="105"/>
      <c r="H762" s="81"/>
      <c r="I762" s="81"/>
      <c r="J762" s="81"/>
      <c r="K762" s="105"/>
      <c r="L762" s="81"/>
      <c r="M762" s="81"/>
      <c r="N762" s="81"/>
      <c r="O762" s="81"/>
      <c r="P762" s="81"/>
      <c r="Q762" s="81"/>
      <c r="R762" s="105"/>
      <c r="S762" s="81"/>
      <c r="T762" s="81"/>
      <c r="U762" s="81"/>
      <c r="V762" s="105"/>
      <c r="W762" s="81"/>
      <c r="X762" s="81"/>
      <c r="Y762" s="105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105"/>
      <c r="AM762" s="81"/>
      <c r="AN762" s="81"/>
      <c r="AO762" s="81"/>
      <c r="AP762" s="81"/>
      <c r="AQ762" s="81"/>
      <c r="AR762" s="81"/>
      <c r="AS762" s="81"/>
      <c r="AT762" s="81"/>
      <c r="AU762" s="81"/>
    </row>
    <row r="763" spans="1:47" ht="24" customHeight="1" x14ac:dyDescent="0.5">
      <c r="A763" s="81"/>
      <c r="B763" s="81"/>
      <c r="C763" s="81"/>
      <c r="D763" s="81"/>
      <c r="E763" s="81"/>
      <c r="F763" s="81"/>
      <c r="G763" s="105"/>
      <c r="H763" s="81"/>
      <c r="I763" s="81"/>
      <c r="J763" s="81"/>
      <c r="K763" s="105"/>
      <c r="L763" s="81"/>
      <c r="M763" s="81"/>
      <c r="N763" s="81"/>
      <c r="O763" s="81"/>
      <c r="P763" s="81"/>
      <c r="Q763" s="81"/>
      <c r="R763" s="105"/>
      <c r="S763" s="81"/>
      <c r="T763" s="81"/>
      <c r="U763" s="81"/>
      <c r="V763" s="105"/>
      <c r="W763" s="81"/>
      <c r="X763" s="81"/>
      <c r="Y763" s="105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105"/>
      <c r="AM763" s="81"/>
      <c r="AN763" s="81"/>
      <c r="AO763" s="81"/>
      <c r="AP763" s="81"/>
      <c r="AQ763" s="81"/>
      <c r="AR763" s="81"/>
      <c r="AS763" s="81"/>
      <c r="AT763" s="81"/>
      <c r="AU763" s="81"/>
    </row>
    <row r="764" spans="1:47" ht="24" customHeight="1" x14ac:dyDescent="0.5">
      <c r="A764" s="81"/>
      <c r="B764" s="81"/>
      <c r="C764" s="81"/>
      <c r="D764" s="81"/>
      <c r="E764" s="81"/>
      <c r="F764" s="81"/>
      <c r="G764" s="105"/>
      <c r="H764" s="81"/>
      <c r="I764" s="81"/>
      <c r="J764" s="81"/>
      <c r="K764" s="105"/>
      <c r="L764" s="81"/>
      <c r="M764" s="81"/>
      <c r="N764" s="81"/>
      <c r="O764" s="81"/>
      <c r="P764" s="81"/>
      <c r="Q764" s="81"/>
      <c r="R764" s="105"/>
      <c r="S764" s="81"/>
      <c r="T764" s="81"/>
      <c r="U764" s="81"/>
      <c r="V764" s="105"/>
      <c r="W764" s="81"/>
      <c r="X764" s="81"/>
      <c r="Y764" s="105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105"/>
      <c r="AM764" s="81"/>
      <c r="AN764" s="81"/>
      <c r="AO764" s="81"/>
      <c r="AP764" s="81"/>
      <c r="AQ764" s="81"/>
      <c r="AR764" s="81"/>
      <c r="AS764" s="81"/>
      <c r="AT764" s="81"/>
      <c r="AU764" s="81"/>
    </row>
    <row r="765" spans="1:47" ht="24" customHeight="1" x14ac:dyDescent="0.5">
      <c r="A765" s="81"/>
      <c r="B765" s="81"/>
      <c r="C765" s="81"/>
      <c r="D765" s="81"/>
      <c r="E765" s="81"/>
      <c r="F765" s="81"/>
      <c r="G765" s="105"/>
      <c r="H765" s="81"/>
      <c r="I765" s="81"/>
      <c r="J765" s="81"/>
      <c r="K765" s="105"/>
      <c r="L765" s="81"/>
      <c r="M765" s="81"/>
      <c r="N765" s="81"/>
      <c r="O765" s="81"/>
      <c r="P765" s="81"/>
      <c r="Q765" s="81"/>
      <c r="R765" s="105"/>
      <c r="S765" s="81"/>
      <c r="T765" s="81"/>
      <c r="U765" s="81"/>
      <c r="V765" s="105"/>
      <c r="W765" s="81"/>
      <c r="X765" s="81"/>
      <c r="Y765" s="105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105"/>
      <c r="AM765" s="81"/>
      <c r="AN765" s="81"/>
      <c r="AO765" s="81"/>
      <c r="AP765" s="81"/>
      <c r="AQ765" s="81"/>
      <c r="AR765" s="81"/>
      <c r="AS765" s="81"/>
      <c r="AT765" s="81"/>
      <c r="AU765" s="81"/>
    </row>
    <row r="766" spans="1:47" ht="24" customHeight="1" x14ac:dyDescent="0.5">
      <c r="A766" s="81"/>
      <c r="B766" s="81"/>
      <c r="C766" s="81"/>
      <c r="D766" s="81"/>
      <c r="E766" s="81"/>
      <c r="F766" s="81"/>
      <c r="G766" s="105"/>
      <c r="H766" s="81"/>
      <c r="I766" s="81"/>
      <c r="J766" s="81"/>
      <c r="K766" s="105"/>
      <c r="L766" s="81"/>
      <c r="M766" s="81"/>
      <c r="N766" s="81"/>
      <c r="O766" s="81"/>
      <c r="P766" s="81"/>
      <c r="Q766" s="81"/>
      <c r="R766" s="105"/>
      <c r="S766" s="81"/>
      <c r="T766" s="81"/>
      <c r="U766" s="81"/>
      <c r="V766" s="105"/>
      <c r="W766" s="81"/>
      <c r="X766" s="81"/>
      <c r="Y766" s="105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105"/>
      <c r="AM766" s="81"/>
      <c r="AN766" s="81"/>
      <c r="AO766" s="81"/>
      <c r="AP766" s="81"/>
      <c r="AQ766" s="81"/>
      <c r="AR766" s="81"/>
      <c r="AS766" s="81"/>
      <c r="AT766" s="81"/>
      <c r="AU766" s="81"/>
    </row>
    <row r="767" spans="1:47" ht="24" customHeight="1" x14ac:dyDescent="0.5">
      <c r="A767" s="81"/>
      <c r="B767" s="81"/>
      <c r="C767" s="81"/>
      <c r="D767" s="81"/>
      <c r="E767" s="81"/>
      <c r="F767" s="81"/>
      <c r="G767" s="105"/>
      <c r="H767" s="81"/>
      <c r="I767" s="81"/>
      <c r="J767" s="81"/>
      <c r="K767" s="105"/>
      <c r="L767" s="81"/>
      <c r="M767" s="81"/>
      <c r="N767" s="81"/>
      <c r="O767" s="81"/>
      <c r="P767" s="81"/>
      <c r="Q767" s="81"/>
      <c r="R767" s="105"/>
      <c r="S767" s="81"/>
      <c r="T767" s="81"/>
      <c r="U767" s="81"/>
      <c r="V767" s="105"/>
      <c r="W767" s="81"/>
      <c r="X767" s="81"/>
      <c r="Y767" s="105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105"/>
      <c r="AM767" s="81"/>
      <c r="AN767" s="81"/>
      <c r="AO767" s="81"/>
      <c r="AP767" s="81"/>
      <c r="AQ767" s="81"/>
      <c r="AR767" s="81"/>
      <c r="AS767" s="81"/>
      <c r="AT767" s="81"/>
      <c r="AU767" s="81"/>
    </row>
    <row r="768" spans="1:47" ht="24" customHeight="1" x14ac:dyDescent="0.5">
      <c r="A768" s="81"/>
      <c r="B768" s="81"/>
      <c r="C768" s="81"/>
      <c r="D768" s="81"/>
      <c r="E768" s="81"/>
      <c r="F768" s="81"/>
      <c r="G768" s="105"/>
      <c r="H768" s="81"/>
      <c r="I768" s="81"/>
      <c r="J768" s="81"/>
      <c r="K768" s="105"/>
      <c r="L768" s="81"/>
      <c r="M768" s="81"/>
      <c r="N768" s="81"/>
      <c r="O768" s="81"/>
      <c r="P768" s="81"/>
      <c r="Q768" s="81"/>
      <c r="R768" s="105"/>
      <c r="S768" s="81"/>
      <c r="T768" s="81"/>
      <c r="U768" s="81"/>
      <c r="V768" s="105"/>
      <c r="W768" s="81"/>
      <c r="X768" s="81"/>
      <c r="Y768" s="105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105"/>
      <c r="AM768" s="81"/>
      <c r="AN768" s="81"/>
      <c r="AO768" s="81"/>
      <c r="AP768" s="81"/>
      <c r="AQ768" s="81"/>
      <c r="AR768" s="81"/>
      <c r="AS768" s="81"/>
      <c r="AT768" s="81"/>
      <c r="AU768" s="81"/>
    </row>
    <row r="769" spans="1:47" ht="24" customHeight="1" x14ac:dyDescent="0.5">
      <c r="A769" s="81"/>
      <c r="B769" s="81"/>
      <c r="C769" s="81"/>
      <c r="D769" s="81"/>
      <c r="E769" s="81"/>
      <c r="F769" s="81"/>
      <c r="G769" s="105"/>
      <c r="H769" s="81"/>
      <c r="I769" s="81"/>
      <c r="J769" s="81"/>
      <c r="K769" s="105"/>
      <c r="L769" s="81"/>
      <c r="M769" s="81"/>
      <c r="N769" s="81"/>
      <c r="O769" s="81"/>
      <c r="P769" s="81"/>
      <c r="Q769" s="81"/>
      <c r="R769" s="105"/>
      <c r="S769" s="81"/>
      <c r="T769" s="81"/>
      <c r="U769" s="81"/>
      <c r="V769" s="105"/>
      <c r="W769" s="81"/>
      <c r="X769" s="81"/>
      <c r="Y769" s="105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105"/>
      <c r="AM769" s="81"/>
      <c r="AN769" s="81"/>
      <c r="AO769" s="81"/>
      <c r="AP769" s="81"/>
      <c r="AQ769" s="81"/>
      <c r="AR769" s="81"/>
      <c r="AS769" s="81"/>
      <c r="AT769" s="81"/>
      <c r="AU769" s="81"/>
    </row>
    <row r="770" spans="1:47" ht="24" customHeight="1" x14ac:dyDescent="0.5">
      <c r="A770" s="81"/>
      <c r="B770" s="81"/>
      <c r="C770" s="81"/>
      <c r="D770" s="81"/>
      <c r="E770" s="81"/>
      <c r="F770" s="81"/>
      <c r="G770" s="105"/>
      <c r="H770" s="81"/>
      <c r="I770" s="81"/>
      <c r="J770" s="81"/>
      <c r="K770" s="105"/>
      <c r="L770" s="81"/>
      <c r="M770" s="81"/>
      <c r="N770" s="81"/>
      <c r="O770" s="81"/>
      <c r="P770" s="81"/>
      <c r="Q770" s="81"/>
      <c r="R770" s="105"/>
      <c r="S770" s="81"/>
      <c r="T770" s="81"/>
      <c r="U770" s="81"/>
      <c r="V770" s="105"/>
      <c r="W770" s="81"/>
      <c r="X770" s="81"/>
      <c r="Y770" s="105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105"/>
      <c r="AM770" s="81"/>
      <c r="AN770" s="81"/>
      <c r="AO770" s="81"/>
      <c r="AP770" s="81"/>
      <c r="AQ770" s="81"/>
      <c r="AR770" s="81"/>
      <c r="AS770" s="81"/>
      <c r="AT770" s="81"/>
      <c r="AU770" s="81"/>
    </row>
    <row r="771" spans="1:47" ht="24" customHeight="1" x14ac:dyDescent="0.5">
      <c r="A771" s="81"/>
      <c r="B771" s="81"/>
      <c r="C771" s="81"/>
      <c r="D771" s="81"/>
      <c r="E771" s="81"/>
      <c r="F771" s="81"/>
      <c r="G771" s="105"/>
      <c r="H771" s="81"/>
      <c r="I771" s="81"/>
      <c r="J771" s="81"/>
      <c r="K771" s="105"/>
      <c r="L771" s="81"/>
      <c r="M771" s="81"/>
      <c r="N771" s="81"/>
      <c r="O771" s="81"/>
      <c r="P771" s="81"/>
      <c r="Q771" s="81"/>
      <c r="R771" s="105"/>
      <c r="S771" s="81"/>
      <c r="T771" s="81"/>
      <c r="U771" s="81"/>
      <c r="V771" s="105"/>
      <c r="W771" s="81"/>
      <c r="X771" s="81"/>
      <c r="Y771" s="105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105"/>
      <c r="AM771" s="81"/>
      <c r="AN771" s="81"/>
      <c r="AO771" s="81"/>
      <c r="AP771" s="81"/>
      <c r="AQ771" s="81"/>
      <c r="AR771" s="81"/>
      <c r="AS771" s="81"/>
      <c r="AT771" s="81"/>
      <c r="AU771" s="81"/>
    </row>
    <row r="772" spans="1:47" ht="24" customHeight="1" x14ac:dyDescent="0.5">
      <c r="A772" s="81"/>
      <c r="B772" s="81"/>
      <c r="C772" s="81"/>
      <c r="D772" s="81"/>
      <c r="E772" s="81"/>
      <c r="F772" s="81"/>
      <c r="G772" s="105"/>
      <c r="H772" s="81"/>
      <c r="I772" s="81"/>
      <c r="J772" s="81"/>
      <c r="K772" s="105"/>
      <c r="L772" s="81"/>
      <c r="M772" s="81"/>
      <c r="N772" s="81"/>
      <c r="O772" s="81"/>
      <c r="P772" s="81"/>
      <c r="Q772" s="81"/>
      <c r="R772" s="105"/>
      <c r="S772" s="81"/>
      <c r="T772" s="81"/>
      <c r="U772" s="81"/>
      <c r="V772" s="105"/>
      <c r="W772" s="81"/>
      <c r="X772" s="81"/>
      <c r="Y772" s="105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105"/>
      <c r="AM772" s="81"/>
      <c r="AN772" s="81"/>
      <c r="AO772" s="81"/>
      <c r="AP772" s="81"/>
      <c r="AQ772" s="81"/>
      <c r="AR772" s="81"/>
      <c r="AS772" s="81"/>
      <c r="AT772" s="81"/>
      <c r="AU772" s="81"/>
    </row>
    <row r="773" spans="1:47" ht="24" customHeight="1" x14ac:dyDescent="0.5">
      <c r="A773" s="81"/>
      <c r="B773" s="81"/>
      <c r="C773" s="81"/>
      <c r="D773" s="81"/>
      <c r="E773" s="81"/>
      <c r="F773" s="81"/>
      <c r="G773" s="105"/>
      <c r="H773" s="81"/>
      <c r="I773" s="81"/>
      <c r="J773" s="81"/>
      <c r="K773" s="105"/>
      <c r="L773" s="81"/>
      <c r="M773" s="81"/>
      <c r="N773" s="81"/>
      <c r="O773" s="81"/>
      <c r="P773" s="81"/>
      <c r="Q773" s="81"/>
      <c r="R773" s="105"/>
      <c r="S773" s="81"/>
      <c r="T773" s="81"/>
      <c r="U773" s="81"/>
      <c r="V773" s="105"/>
      <c r="W773" s="81"/>
      <c r="X773" s="81"/>
      <c r="Y773" s="105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105"/>
      <c r="AM773" s="81"/>
      <c r="AN773" s="81"/>
      <c r="AO773" s="81"/>
      <c r="AP773" s="81"/>
      <c r="AQ773" s="81"/>
      <c r="AR773" s="81"/>
      <c r="AS773" s="81"/>
      <c r="AT773" s="81"/>
      <c r="AU773" s="81"/>
    </row>
    <row r="774" spans="1:47" ht="24" customHeight="1" x14ac:dyDescent="0.5">
      <c r="A774" s="81"/>
      <c r="B774" s="81"/>
      <c r="C774" s="81"/>
      <c r="D774" s="81"/>
      <c r="E774" s="81"/>
      <c r="F774" s="81"/>
      <c r="G774" s="105"/>
      <c r="H774" s="81"/>
      <c r="I774" s="81"/>
      <c r="J774" s="81"/>
      <c r="K774" s="105"/>
      <c r="L774" s="81"/>
      <c r="M774" s="81"/>
      <c r="N774" s="81"/>
      <c r="O774" s="81"/>
      <c r="P774" s="81"/>
      <c r="Q774" s="81"/>
      <c r="R774" s="105"/>
      <c r="S774" s="81"/>
      <c r="T774" s="81"/>
      <c r="U774" s="81"/>
      <c r="V774" s="105"/>
      <c r="W774" s="81"/>
      <c r="X774" s="81"/>
      <c r="Y774" s="105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105"/>
      <c r="AM774" s="81"/>
      <c r="AN774" s="81"/>
      <c r="AO774" s="81"/>
      <c r="AP774" s="81"/>
      <c r="AQ774" s="81"/>
      <c r="AR774" s="81"/>
      <c r="AS774" s="81"/>
      <c r="AT774" s="81"/>
      <c r="AU774" s="81"/>
    </row>
    <row r="775" spans="1:47" ht="24" customHeight="1" x14ac:dyDescent="0.5">
      <c r="A775" s="81"/>
      <c r="B775" s="81"/>
      <c r="C775" s="81"/>
      <c r="D775" s="81"/>
      <c r="E775" s="81"/>
      <c r="F775" s="81"/>
      <c r="G775" s="105"/>
      <c r="H775" s="81"/>
      <c r="I775" s="81"/>
      <c r="J775" s="81"/>
      <c r="K775" s="105"/>
      <c r="L775" s="81"/>
      <c r="M775" s="81"/>
      <c r="N775" s="81"/>
      <c r="O775" s="81"/>
      <c r="P775" s="81"/>
      <c r="Q775" s="81"/>
      <c r="R775" s="105"/>
      <c r="S775" s="81"/>
      <c r="T775" s="81"/>
      <c r="U775" s="81"/>
      <c r="V775" s="105"/>
      <c r="W775" s="81"/>
      <c r="X775" s="81"/>
      <c r="Y775" s="105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105"/>
      <c r="AM775" s="81"/>
      <c r="AN775" s="81"/>
      <c r="AO775" s="81"/>
      <c r="AP775" s="81"/>
      <c r="AQ775" s="81"/>
      <c r="AR775" s="81"/>
      <c r="AS775" s="81"/>
      <c r="AT775" s="81"/>
      <c r="AU775" s="81"/>
    </row>
    <row r="776" spans="1:47" ht="24" customHeight="1" x14ac:dyDescent="0.5">
      <c r="A776" s="81"/>
      <c r="B776" s="81"/>
      <c r="C776" s="81"/>
      <c r="D776" s="81"/>
      <c r="E776" s="81"/>
      <c r="F776" s="81"/>
      <c r="G776" s="105"/>
      <c r="H776" s="81"/>
      <c r="I776" s="81"/>
      <c r="J776" s="81"/>
      <c r="K776" s="105"/>
      <c r="L776" s="81"/>
      <c r="M776" s="81"/>
      <c r="N776" s="81"/>
      <c r="O776" s="81"/>
      <c r="P776" s="81"/>
      <c r="Q776" s="81"/>
      <c r="R776" s="105"/>
      <c r="S776" s="81"/>
      <c r="T776" s="81"/>
      <c r="U776" s="81"/>
      <c r="V776" s="105"/>
      <c r="W776" s="81"/>
      <c r="X776" s="81"/>
      <c r="Y776" s="105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105"/>
      <c r="AM776" s="81"/>
      <c r="AN776" s="81"/>
      <c r="AO776" s="81"/>
      <c r="AP776" s="81"/>
      <c r="AQ776" s="81"/>
      <c r="AR776" s="81"/>
      <c r="AS776" s="81"/>
      <c r="AT776" s="81"/>
      <c r="AU776" s="81"/>
    </row>
    <row r="777" spans="1:47" ht="24" customHeight="1" x14ac:dyDescent="0.5">
      <c r="A777" s="81"/>
      <c r="B777" s="81"/>
      <c r="C777" s="81"/>
      <c r="D777" s="81"/>
      <c r="E777" s="81"/>
      <c r="F777" s="81"/>
      <c r="G777" s="105"/>
      <c r="H777" s="81"/>
      <c r="I777" s="81"/>
      <c r="J777" s="81"/>
      <c r="K777" s="105"/>
      <c r="L777" s="81"/>
      <c r="M777" s="81"/>
      <c r="N777" s="81"/>
      <c r="O777" s="81"/>
      <c r="P777" s="81"/>
      <c r="Q777" s="81"/>
      <c r="R777" s="105"/>
      <c r="S777" s="81"/>
      <c r="T777" s="81"/>
      <c r="U777" s="81"/>
      <c r="V777" s="105"/>
      <c r="W777" s="81"/>
      <c r="X777" s="81"/>
      <c r="Y777" s="105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105"/>
      <c r="AM777" s="81"/>
      <c r="AN777" s="81"/>
      <c r="AO777" s="81"/>
      <c r="AP777" s="81"/>
      <c r="AQ777" s="81"/>
      <c r="AR777" s="81"/>
      <c r="AS777" s="81"/>
      <c r="AT777" s="81"/>
      <c r="AU777" s="81"/>
    </row>
    <row r="778" spans="1:47" ht="24" customHeight="1" x14ac:dyDescent="0.5">
      <c r="A778" s="81"/>
      <c r="B778" s="81"/>
      <c r="C778" s="81"/>
      <c r="D778" s="81"/>
      <c r="E778" s="81"/>
      <c r="F778" s="81"/>
      <c r="G778" s="105"/>
      <c r="H778" s="81"/>
      <c r="I778" s="81"/>
      <c r="J778" s="81"/>
      <c r="K778" s="105"/>
      <c r="L778" s="81"/>
      <c r="M778" s="81"/>
      <c r="N778" s="81"/>
      <c r="O778" s="81"/>
      <c r="P778" s="81"/>
      <c r="Q778" s="81"/>
      <c r="R778" s="105"/>
      <c r="S778" s="81"/>
      <c r="T778" s="81"/>
      <c r="U778" s="81"/>
      <c r="V778" s="105"/>
      <c r="W778" s="81"/>
      <c r="X778" s="81"/>
      <c r="Y778" s="105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105"/>
      <c r="AM778" s="81"/>
      <c r="AN778" s="81"/>
      <c r="AO778" s="81"/>
      <c r="AP778" s="81"/>
      <c r="AQ778" s="81"/>
      <c r="AR778" s="81"/>
      <c r="AS778" s="81"/>
      <c r="AT778" s="81"/>
      <c r="AU778" s="81"/>
    </row>
    <row r="779" spans="1:47" ht="24" customHeight="1" x14ac:dyDescent="0.5">
      <c r="A779" s="81"/>
      <c r="B779" s="81"/>
      <c r="C779" s="81"/>
      <c r="D779" s="81"/>
      <c r="E779" s="81"/>
      <c r="F779" s="81"/>
      <c r="G779" s="105"/>
      <c r="H779" s="81"/>
      <c r="I779" s="81"/>
      <c r="J779" s="81"/>
      <c r="K779" s="105"/>
      <c r="L779" s="81"/>
      <c r="M779" s="81"/>
      <c r="N779" s="81"/>
      <c r="O779" s="81"/>
      <c r="P779" s="81"/>
      <c r="Q779" s="81"/>
      <c r="R779" s="105"/>
      <c r="S779" s="81"/>
      <c r="T779" s="81"/>
      <c r="U779" s="81"/>
      <c r="V779" s="105"/>
      <c r="W779" s="81"/>
      <c r="X779" s="81"/>
      <c r="Y779" s="105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105"/>
      <c r="AM779" s="81"/>
      <c r="AN779" s="81"/>
      <c r="AO779" s="81"/>
      <c r="AP779" s="81"/>
      <c r="AQ779" s="81"/>
      <c r="AR779" s="81"/>
      <c r="AS779" s="81"/>
      <c r="AT779" s="81"/>
      <c r="AU779" s="81"/>
    </row>
    <row r="780" spans="1:47" ht="24" customHeight="1" x14ac:dyDescent="0.5">
      <c r="A780" s="81"/>
      <c r="B780" s="81"/>
      <c r="C780" s="81"/>
      <c r="D780" s="81"/>
      <c r="E780" s="81"/>
      <c r="F780" s="81"/>
      <c r="G780" s="105"/>
      <c r="H780" s="81"/>
      <c r="I780" s="81"/>
      <c r="J780" s="81"/>
      <c r="K780" s="105"/>
      <c r="L780" s="81"/>
      <c r="M780" s="81"/>
      <c r="N780" s="81"/>
      <c r="O780" s="81"/>
      <c r="P780" s="81"/>
      <c r="Q780" s="81"/>
      <c r="R780" s="105"/>
      <c r="S780" s="81"/>
      <c r="T780" s="81"/>
      <c r="U780" s="81"/>
      <c r="V780" s="105"/>
      <c r="W780" s="81"/>
      <c r="X780" s="81"/>
      <c r="Y780" s="105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105"/>
      <c r="AM780" s="81"/>
      <c r="AN780" s="81"/>
      <c r="AO780" s="81"/>
      <c r="AP780" s="81"/>
      <c r="AQ780" s="81"/>
      <c r="AR780" s="81"/>
      <c r="AS780" s="81"/>
      <c r="AT780" s="81"/>
      <c r="AU780" s="81"/>
    </row>
    <row r="781" spans="1:47" ht="24" customHeight="1" x14ac:dyDescent="0.5">
      <c r="A781" s="81"/>
      <c r="B781" s="81"/>
      <c r="C781" s="81"/>
      <c r="D781" s="81"/>
      <c r="E781" s="81"/>
      <c r="F781" s="81"/>
      <c r="G781" s="105"/>
      <c r="H781" s="81"/>
      <c r="I781" s="81"/>
      <c r="J781" s="81"/>
      <c r="K781" s="105"/>
      <c r="L781" s="81"/>
      <c r="M781" s="81"/>
      <c r="N781" s="81"/>
      <c r="O781" s="81"/>
      <c r="P781" s="81"/>
      <c r="Q781" s="81"/>
      <c r="R781" s="105"/>
      <c r="S781" s="81"/>
      <c r="T781" s="81"/>
      <c r="U781" s="81"/>
      <c r="V781" s="105"/>
      <c r="W781" s="81"/>
      <c r="X781" s="81"/>
      <c r="Y781" s="105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105"/>
      <c r="AM781" s="81"/>
      <c r="AN781" s="81"/>
      <c r="AO781" s="81"/>
      <c r="AP781" s="81"/>
      <c r="AQ781" s="81"/>
      <c r="AR781" s="81"/>
      <c r="AS781" s="81"/>
      <c r="AT781" s="81"/>
      <c r="AU781" s="81"/>
    </row>
    <row r="782" spans="1:47" ht="24" customHeight="1" x14ac:dyDescent="0.5">
      <c r="A782" s="81"/>
      <c r="B782" s="81"/>
      <c r="C782" s="81"/>
      <c r="D782" s="81"/>
      <c r="E782" s="81"/>
      <c r="F782" s="81"/>
      <c r="G782" s="105"/>
      <c r="H782" s="81"/>
      <c r="I782" s="81"/>
      <c r="J782" s="81"/>
      <c r="K782" s="105"/>
      <c r="L782" s="81"/>
      <c r="M782" s="81"/>
      <c r="N782" s="81"/>
      <c r="O782" s="81"/>
      <c r="P782" s="81"/>
      <c r="Q782" s="81"/>
      <c r="R782" s="105"/>
      <c r="S782" s="81"/>
      <c r="T782" s="81"/>
      <c r="U782" s="81"/>
      <c r="V782" s="105"/>
      <c r="W782" s="81"/>
      <c r="X782" s="81"/>
      <c r="Y782" s="105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105"/>
      <c r="AM782" s="81"/>
      <c r="AN782" s="81"/>
      <c r="AO782" s="81"/>
      <c r="AP782" s="81"/>
      <c r="AQ782" s="81"/>
      <c r="AR782" s="81"/>
      <c r="AS782" s="81"/>
      <c r="AT782" s="81"/>
      <c r="AU782" s="81"/>
    </row>
    <row r="783" spans="1:47" ht="24" customHeight="1" x14ac:dyDescent="0.5">
      <c r="A783" s="81"/>
      <c r="B783" s="81"/>
      <c r="C783" s="81"/>
      <c r="D783" s="81"/>
      <c r="E783" s="81"/>
      <c r="F783" s="81"/>
      <c r="G783" s="105"/>
      <c r="H783" s="81"/>
      <c r="I783" s="81"/>
      <c r="J783" s="81"/>
      <c r="K783" s="105"/>
      <c r="L783" s="81"/>
      <c r="M783" s="81"/>
      <c r="N783" s="81"/>
      <c r="O783" s="81"/>
      <c r="P783" s="81"/>
      <c r="Q783" s="81"/>
      <c r="R783" s="105"/>
      <c r="S783" s="81"/>
      <c r="T783" s="81"/>
      <c r="U783" s="81"/>
      <c r="V783" s="105"/>
      <c r="W783" s="81"/>
      <c r="X783" s="81"/>
      <c r="Y783" s="105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105"/>
      <c r="AM783" s="81"/>
      <c r="AN783" s="81"/>
      <c r="AO783" s="81"/>
      <c r="AP783" s="81"/>
      <c r="AQ783" s="81"/>
      <c r="AR783" s="81"/>
      <c r="AS783" s="81"/>
      <c r="AT783" s="81"/>
      <c r="AU783" s="81"/>
    </row>
    <row r="784" spans="1:47" ht="24" customHeight="1" x14ac:dyDescent="0.5">
      <c r="A784" s="81"/>
      <c r="B784" s="81"/>
      <c r="C784" s="81"/>
      <c r="D784" s="81"/>
      <c r="E784" s="81"/>
      <c r="F784" s="81"/>
      <c r="G784" s="105"/>
      <c r="H784" s="81"/>
      <c r="I784" s="81"/>
      <c r="J784" s="81"/>
      <c r="K784" s="105"/>
      <c r="L784" s="81"/>
      <c r="M784" s="81"/>
      <c r="N784" s="81"/>
      <c r="O784" s="81"/>
      <c r="P784" s="81"/>
      <c r="Q784" s="81"/>
      <c r="R784" s="105"/>
      <c r="S784" s="81"/>
      <c r="T784" s="81"/>
      <c r="U784" s="81"/>
      <c r="V784" s="105"/>
      <c r="W784" s="81"/>
      <c r="X784" s="81"/>
      <c r="Y784" s="105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105"/>
      <c r="AM784" s="81"/>
      <c r="AN784" s="81"/>
      <c r="AO784" s="81"/>
      <c r="AP784" s="81"/>
      <c r="AQ784" s="81"/>
      <c r="AR784" s="81"/>
      <c r="AS784" s="81"/>
      <c r="AT784" s="81"/>
      <c r="AU784" s="81"/>
    </row>
    <row r="785" spans="1:47" ht="24" customHeight="1" x14ac:dyDescent="0.5">
      <c r="A785" s="81"/>
      <c r="B785" s="81"/>
      <c r="C785" s="81"/>
      <c r="D785" s="81"/>
      <c r="E785" s="81"/>
      <c r="F785" s="81"/>
      <c r="G785" s="105"/>
      <c r="H785" s="81"/>
      <c r="I785" s="81"/>
      <c r="J785" s="81"/>
      <c r="K785" s="105"/>
      <c r="L785" s="81"/>
      <c r="M785" s="81"/>
      <c r="N785" s="81"/>
      <c r="O785" s="81"/>
      <c r="P785" s="81"/>
      <c r="Q785" s="81"/>
      <c r="R785" s="105"/>
      <c r="S785" s="81"/>
      <c r="T785" s="81"/>
      <c r="U785" s="81"/>
      <c r="V785" s="105"/>
      <c r="W785" s="81"/>
      <c r="X785" s="81"/>
      <c r="Y785" s="105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105"/>
      <c r="AM785" s="81"/>
      <c r="AN785" s="81"/>
      <c r="AO785" s="81"/>
      <c r="AP785" s="81"/>
      <c r="AQ785" s="81"/>
      <c r="AR785" s="81"/>
      <c r="AS785" s="81"/>
      <c r="AT785" s="81"/>
      <c r="AU785" s="81"/>
    </row>
    <row r="786" spans="1:47" ht="24" customHeight="1" x14ac:dyDescent="0.5">
      <c r="A786" s="81"/>
      <c r="B786" s="81"/>
      <c r="C786" s="81"/>
      <c r="D786" s="81"/>
      <c r="E786" s="81"/>
      <c r="F786" s="81"/>
      <c r="G786" s="105"/>
      <c r="H786" s="81"/>
      <c r="I786" s="81"/>
      <c r="J786" s="81"/>
      <c r="K786" s="105"/>
      <c r="L786" s="81"/>
      <c r="M786" s="81"/>
      <c r="N786" s="81"/>
      <c r="O786" s="81"/>
      <c r="P786" s="81"/>
      <c r="Q786" s="81"/>
      <c r="R786" s="105"/>
      <c r="S786" s="81"/>
      <c r="T786" s="81"/>
      <c r="U786" s="81"/>
      <c r="V786" s="105"/>
      <c r="W786" s="81"/>
      <c r="X786" s="81"/>
      <c r="Y786" s="105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105"/>
      <c r="AM786" s="81"/>
      <c r="AN786" s="81"/>
      <c r="AO786" s="81"/>
      <c r="AP786" s="81"/>
      <c r="AQ786" s="81"/>
      <c r="AR786" s="81"/>
      <c r="AS786" s="81"/>
      <c r="AT786" s="81"/>
      <c r="AU786" s="81"/>
    </row>
    <row r="787" spans="1:47" ht="24" customHeight="1" x14ac:dyDescent="0.5">
      <c r="A787" s="81"/>
      <c r="B787" s="81"/>
      <c r="C787" s="81"/>
      <c r="D787" s="81"/>
      <c r="E787" s="81"/>
      <c r="F787" s="81"/>
      <c r="G787" s="105"/>
      <c r="H787" s="81"/>
      <c r="I787" s="81"/>
      <c r="J787" s="81"/>
      <c r="K787" s="105"/>
      <c r="L787" s="81"/>
      <c r="M787" s="81"/>
      <c r="N787" s="81"/>
      <c r="O787" s="81"/>
      <c r="P787" s="81"/>
      <c r="Q787" s="81"/>
      <c r="R787" s="105"/>
      <c r="S787" s="81"/>
      <c r="T787" s="81"/>
      <c r="U787" s="81"/>
      <c r="V787" s="105"/>
      <c r="W787" s="81"/>
      <c r="X787" s="81"/>
      <c r="Y787" s="105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105"/>
      <c r="AM787" s="81"/>
      <c r="AN787" s="81"/>
      <c r="AO787" s="81"/>
      <c r="AP787" s="81"/>
      <c r="AQ787" s="81"/>
      <c r="AR787" s="81"/>
      <c r="AS787" s="81"/>
      <c r="AT787" s="81"/>
      <c r="AU787" s="81"/>
    </row>
    <row r="788" spans="1:47" ht="24" customHeight="1" x14ac:dyDescent="0.5">
      <c r="A788" s="81"/>
      <c r="B788" s="81"/>
      <c r="C788" s="81"/>
      <c r="D788" s="81"/>
      <c r="E788" s="81"/>
      <c r="F788" s="81"/>
      <c r="G788" s="105"/>
      <c r="H788" s="81"/>
      <c r="I788" s="81"/>
      <c r="J788" s="81"/>
      <c r="K788" s="105"/>
      <c r="L788" s="81"/>
      <c r="M788" s="81"/>
      <c r="N788" s="81"/>
      <c r="O788" s="81"/>
      <c r="P788" s="81"/>
      <c r="Q788" s="81"/>
      <c r="R788" s="105"/>
      <c r="S788" s="81"/>
      <c r="T788" s="81"/>
      <c r="U788" s="81"/>
      <c r="V788" s="105"/>
      <c r="W788" s="81"/>
      <c r="X788" s="81"/>
      <c r="Y788" s="105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105"/>
      <c r="AM788" s="81"/>
      <c r="AN788" s="81"/>
      <c r="AO788" s="81"/>
      <c r="AP788" s="81"/>
      <c r="AQ788" s="81"/>
      <c r="AR788" s="81"/>
      <c r="AS788" s="81"/>
      <c r="AT788" s="81"/>
      <c r="AU788" s="81"/>
    </row>
    <row r="789" spans="1:47" ht="24" customHeight="1" x14ac:dyDescent="0.5">
      <c r="A789" s="81"/>
      <c r="B789" s="81"/>
      <c r="C789" s="81"/>
      <c r="D789" s="81"/>
      <c r="E789" s="81"/>
      <c r="F789" s="81"/>
      <c r="G789" s="105"/>
      <c r="H789" s="81"/>
      <c r="I789" s="81"/>
      <c r="J789" s="81"/>
      <c r="K789" s="105"/>
      <c r="L789" s="81"/>
      <c r="M789" s="81"/>
      <c r="N789" s="81"/>
      <c r="O789" s="81"/>
      <c r="P789" s="81"/>
      <c r="Q789" s="81"/>
      <c r="R789" s="105"/>
      <c r="S789" s="81"/>
      <c r="T789" s="81"/>
      <c r="U789" s="81"/>
      <c r="V789" s="105"/>
      <c r="W789" s="81"/>
      <c r="X789" s="81"/>
      <c r="Y789" s="105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105"/>
      <c r="AM789" s="81"/>
      <c r="AN789" s="81"/>
      <c r="AO789" s="81"/>
      <c r="AP789" s="81"/>
      <c r="AQ789" s="81"/>
      <c r="AR789" s="81"/>
      <c r="AS789" s="81"/>
      <c r="AT789" s="81"/>
      <c r="AU789" s="81"/>
    </row>
    <row r="790" spans="1:47" ht="24" customHeight="1" x14ac:dyDescent="0.5">
      <c r="A790" s="81"/>
      <c r="B790" s="81"/>
      <c r="C790" s="81"/>
      <c r="D790" s="81"/>
      <c r="E790" s="81"/>
      <c r="F790" s="81"/>
      <c r="G790" s="105"/>
      <c r="H790" s="81"/>
      <c r="I790" s="81"/>
      <c r="J790" s="81"/>
      <c r="K790" s="105"/>
      <c r="L790" s="81"/>
      <c r="M790" s="81"/>
      <c r="N790" s="81"/>
      <c r="O790" s="81"/>
      <c r="P790" s="81"/>
      <c r="Q790" s="81"/>
      <c r="R790" s="105"/>
      <c r="S790" s="81"/>
      <c r="T790" s="81"/>
      <c r="U790" s="81"/>
      <c r="V790" s="105"/>
      <c r="W790" s="81"/>
      <c r="X790" s="81"/>
      <c r="Y790" s="105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105"/>
      <c r="AM790" s="81"/>
      <c r="AN790" s="81"/>
      <c r="AO790" s="81"/>
      <c r="AP790" s="81"/>
      <c r="AQ790" s="81"/>
      <c r="AR790" s="81"/>
      <c r="AS790" s="81"/>
      <c r="AT790" s="81"/>
      <c r="AU790" s="81"/>
    </row>
    <row r="791" spans="1:47" ht="24" customHeight="1" x14ac:dyDescent="0.5">
      <c r="A791" s="81"/>
      <c r="B791" s="81"/>
      <c r="C791" s="81"/>
      <c r="D791" s="81"/>
      <c r="E791" s="81"/>
      <c r="F791" s="81"/>
      <c r="G791" s="105"/>
      <c r="H791" s="81"/>
      <c r="I791" s="81"/>
      <c r="J791" s="81"/>
      <c r="K791" s="105"/>
      <c r="L791" s="81"/>
      <c r="M791" s="81"/>
      <c r="N791" s="81"/>
      <c r="O791" s="81"/>
      <c r="P791" s="81"/>
      <c r="Q791" s="81"/>
      <c r="R791" s="105"/>
      <c r="S791" s="81"/>
      <c r="T791" s="81"/>
      <c r="U791" s="81"/>
      <c r="V791" s="105"/>
      <c r="W791" s="81"/>
      <c r="X791" s="81"/>
      <c r="Y791" s="105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105"/>
      <c r="AM791" s="81"/>
      <c r="AN791" s="81"/>
      <c r="AO791" s="81"/>
      <c r="AP791" s="81"/>
      <c r="AQ791" s="81"/>
      <c r="AR791" s="81"/>
      <c r="AS791" s="81"/>
      <c r="AT791" s="81"/>
      <c r="AU791" s="81"/>
    </row>
    <row r="792" spans="1:47" ht="24" customHeight="1" x14ac:dyDescent="0.5">
      <c r="A792" s="81"/>
      <c r="B792" s="81"/>
      <c r="C792" s="81"/>
      <c r="D792" s="81"/>
      <c r="E792" s="81"/>
      <c r="F792" s="81"/>
      <c r="G792" s="105"/>
      <c r="H792" s="81"/>
      <c r="I792" s="81"/>
      <c r="J792" s="81"/>
      <c r="K792" s="105"/>
      <c r="L792" s="81"/>
      <c r="M792" s="81"/>
      <c r="N792" s="81"/>
      <c r="O792" s="81"/>
      <c r="P792" s="81"/>
      <c r="Q792" s="81"/>
      <c r="R792" s="105"/>
      <c r="S792" s="81"/>
      <c r="T792" s="81"/>
      <c r="U792" s="81"/>
      <c r="V792" s="105"/>
      <c r="W792" s="81"/>
      <c r="X792" s="81"/>
      <c r="Y792" s="105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105"/>
      <c r="AM792" s="81"/>
      <c r="AN792" s="81"/>
      <c r="AO792" s="81"/>
      <c r="AP792" s="81"/>
      <c r="AQ792" s="81"/>
      <c r="AR792" s="81"/>
      <c r="AS792" s="81"/>
      <c r="AT792" s="81"/>
      <c r="AU792" s="81"/>
    </row>
    <row r="793" spans="1:47" ht="24" customHeight="1" x14ac:dyDescent="0.5">
      <c r="A793" s="81"/>
      <c r="B793" s="81"/>
      <c r="C793" s="81"/>
      <c r="D793" s="81"/>
      <c r="E793" s="81"/>
      <c r="F793" s="81"/>
      <c r="G793" s="105"/>
      <c r="H793" s="81"/>
      <c r="I793" s="81"/>
      <c r="J793" s="81"/>
      <c r="K793" s="105"/>
      <c r="L793" s="81"/>
      <c r="M793" s="81"/>
      <c r="N793" s="81"/>
      <c r="O793" s="81"/>
      <c r="P793" s="81"/>
      <c r="Q793" s="81"/>
      <c r="R793" s="105"/>
      <c r="S793" s="81"/>
      <c r="T793" s="81"/>
      <c r="U793" s="81"/>
      <c r="V793" s="105"/>
      <c r="W793" s="81"/>
      <c r="X793" s="81"/>
      <c r="Y793" s="105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105"/>
      <c r="AM793" s="81"/>
      <c r="AN793" s="81"/>
      <c r="AO793" s="81"/>
      <c r="AP793" s="81"/>
      <c r="AQ793" s="81"/>
      <c r="AR793" s="81"/>
      <c r="AS793" s="81"/>
      <c r="AT793" s="81"/>
      <c r="AU793" s="81"/>
    </row>
    <row r="794" spans="1:47" ht="24" customHeight="1" x14ac:dyDescent="0.5">
      <c r="A794" s="81"/>
      <c r="B794" s="81"/>
      <c r="C794" s="81"/>
      <c r="D794" s="81"/>
      <c r="E794" s="81"/>
      <c r="F794" s="81"/>
      <c r="G794" s="105"/>
      <c r="H794" s="81"/>
      <c r="I794" s="81"/>
      <c r="J794" s="81"/>
      <c r="K794" s="105"/>
      <c r="L794" s="81"/>
      <c r="M794" s="81"/>
      <c r="N794" s="81"/>
      <c r="O794" s="81"/>
      <c r="P794" s="81"/>
      <c r="Q794" s="81"/>
      <c r="R794" s="105"/>
      <c r="S794" s="81"/>
      <c r="T794" s="81"/>
      <c r="U794" s="81"/>
      <c r="V794" s="105"/>
      <c r="W794" s="81"/>
      <c r="X794" s="81"/>
      <c r="Y794" s="105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105"/>
      <c r="AM794" s="81"/>
      <c r="AN794" s="81"/>
      <c r="AO794" s="81"/>
      <c r="AP794" s="81"/>
      <c r="AQ794" s="81"/>
      <c r="AR794" s="81"/>
      <c r="AS794" s="81"/>
      <c r="AT794" s="81"/>
      <c r="AU794" s="81"/>
    </row>
    <row r="795" spans="1:47" ht="24" customHeight="1" x14ac:dyDescent="0.5">
      <c r="A795" s="81"/>
      <c r="B795" s="81"/>
      <c r="C795" s="81"/>
      <c r="D795" s="81"/>
      <c r="E795" s="81"/>
      <c r="F795" s="81"/>
      <c r="G795" s="105"/>
      <c r="H795" s="81"/>
      <c r="I795" s="81"/>
      <c r="J795" s="81"/>
      <c r="K795" s="105"/>
      <c r="L795" s="81"/>
      <c r="M795" s="81"/>
      <c r="N795" s="81"/>
      <c r="O795" s="81"/>
      <c r="P795" s="81"/>
      <c r="Q795" s="81"/>
      <c r="R795" s="105"/>
      <c r="S795" s="81"/>
      <c r="T795" s="81"/>
      <c r="U795" s="81"/>
      <c r="V795" s="105"/>
      <c r="W795" s="81"/>
      <c r="X795" s="81"/>
      <c r="Y795" s="105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105"/>
      <c r="AM795" s="81"/>
      <c r="AN795" s="81"/>
      <c r="AO795" s="81"/>
      <c r="AP795" s="81"/>
      <c r="AQ795" s="81"/>
      <c r="AR795" s="81"/>
      <c r="AS795" s="81"/>
      <c r="AT795" s="81"/>
      <c r="AU795" s="81"/>
    </row>
    <row r="796" spans="1:47" ht="24" customHeight="1" x14ac:dyDescent="0.5">
      <c r="A796" s="81"/>
      <c r="B796" s="81"/>
      <c r="C796" s="81"/>
      <c r="D796" s="81"/>
      <c r="E796" s="81"/>
      <c r="F796" s="81"/>
      <c r="G796" s="105"/>
      <c r="H796" s="81"/>
      <c r="I796" s="81"/>
      <c r="J796" s="81"/>
      <c r="K796" s="105"/>
      <c r="L796" s="81"/>
      <c r="M796" s="81"/>
      <c r="N796" s="81"/>
      <c r="O796" s="81"/>
      <c r="P796" s="81"/>
      <c r="Q796" s="81"/>
      <c r="R796" s="105"/>
      <c r="S796" s="81"/>
      <c r="T796" s="81"/>
      <c r="U796" s="81"/>
      <c r="V796" s="105"/>
      <c r="W796" s="81"/>
      <c r="X796" s="81"/>
      <c r="Y796" s="105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105"/>
      <c r="AM796" s="81"/>
      <c r="AN796" s="81"/>
      <c r="AO796" s="81"/>
      <c r="AP796" s="81"/>
      <c r="AQ796" s="81"/>
      <c r="AR796" s="81"/>
      <c r="AS796" s="81"/>
      <c r="AT796" s="81"/>
      <c r="AU796" s="81"/>
    </row>
    <row r="797" spans="1:47" ht="24" customHeight="1" x14ac:dyDescent="0.5">
      <c r="A797" s="81"/>
      <c r="B797" s="81"/>
      <c r="C797" s="81"/>
      <c r="D797" s="81"/>
      <c r="E797" s="81"/>
      <c r="F797" s="81"/>
      <c r="G797" s="105"/>
      <c r="H797" s="81"/>
      <c r="I797" s="81"/>
      <c r="J797" s="81"/>
      <c r="K797" s="105"/>
      <c r="L797" s="81"/>
      <c r="M797" s="81"/>
      <c r="N797" s="81"/>
      <c r="O797" s="81"/>
      <c r="P797" s="81"/>
      <c r="Q797" s="81"/>
      <c r="R797" s="105"/>
      <c r="S797" s="81"/>
      <c r="T797" s="81"/>
      <c r="U797" s="81"/>
      <c r="V797" s="105"/>
      <c r="W797" s="81"/>
      <c r="X797" s="81"/>
      <c r="Y797" s="105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105"/>
      <c r="AM797" s="81"/>
      <c r="AN797" s="81"/>
      <c r="AO797" s="81"/>
      <c r="AP797" s="81"/>
      <c r="AQ797" s="81"/>
      <c r="AR797" s="81"/>
      <c r="AS797" s="81"/>
      <c r="AT797" s="81"/>
      <c r="AU797" s="81"/>
    </row>
    <row r="798" spans="1:47" ht="24" customHeight="1" x14ac:dyDescent="0.5">
      <c r="A798" s="81"/>
      <c r="B798" s="81"/>
      <c r="C798" s="81"/>
      <c r="D798" s="81"/>
      <c r="E798" s="81"/>
      <c r="F798" s="81"/>
      <c r="G798" s="105"/>
      <c r="H798" s="81"/>
      <c r="I798" s="81"/>
      <c r="J798" s="81"/>
      <c r="K798" s="105"/>
      <c r="L798" s="81"/>
      <c r="M798" s="81"/>
      <c r="N798" s="81"/>
      <c r="O798" s="81"/>
      <c r="P798" s="81"/>
      <c r="Q798" s="81"/>
      <c r="R798" s="105"/>
      <c r="S798" s="81"/>
      <c r="T798" s="81"/>
      <c r="U798" s="81"/>
      <c r="V798" s="105"/>
      <c r="W798" s="81"/>
      <c r="X798" s="81"/>
      <c r="Y798" s="105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105"/>
      <c r="AM798" s="81"/>
      <c r="AN798" s="81"/>
      <c r="AO798" s="81"/>
      <c r="AP798" s="81"/>
      <c r="AQ798" s="81"/>
      <c r="AR798" s="81"/>
      <c r="AS798" s="81"/>
      <c r="AT798" s="81"/>
      <c r="AU798" s="81"/>
    </row>
    <row r="799" spans="1:47" ht="24" customHeight="1" x14ac:dyDescent="0.5">
      <c r="A799" s="81"/>
      <c r="B799" s="81"/>
      <c r="C799" s="81"/>
      <c r="D799" s="81"/>
      <c r="E799" s="81"/>
      <c r="F799" s="81"/>
      <c r="G799" s="105"/>
      <c r="H799" s="81"/>
      <c r="I799" s="81"/>
      <c r="J799" s="81"/>
      <c r="K799" s="105"/>
      <c r="L799" s="81"/>
      <c r="M799" s="81"/>
      <c r="N799" s="81"/>
      <c r="O799" s="81"/>
      <c r="P799" s="81"/>
      <c r="Q799" s="81"/>
      <c r="R799" s="105"/>
      <c r="S799" s="81"/>
      <c r="T799" s="81"/>
      <c r="U799" s="81"/>
      <c r="V799" s="105"/>
      <c r="W799" s="81"/>
      <c r="X799" s="81"/>
      <c r="Y799" s="105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105"/>
      <c r="AM799" s="81"/>
      <c r="AN799" s="81"/>
      <c r="AO799" s="81"/>
      <c r="AP799" s="81"/>
      <c r="AQ799" s="81"/>
      <c r="AR799" s="81"/>
      <c r="AS799" s="81"/>
      <c r="AT799" s="81"/>
      <c r="AU799" s="81"/>
    </row>
    <row r="800" spans="1:47" ht="24" customHeight="1" x14ac:dyDescent="0.5">
      <c r="A800" s="81"/>
      <c r="B800" s="81"/>
      <c r="C800" s="81"/>
      <c r="D800" s="81"/>
      <c r="E800" s="81"/>
      <c r="F800" s="81"/>
      <c r="G800" s="105"/>
      <c r="H800" s="81"/>
      <c r="I800" s="81"/>
      <c r="J800" s="81"/>
      <c r="K800" s="105"/>
      <c r="L800" s="81"/>
      <c r="M800" s="81"/>
      <c r="N800" s="81"/>
      <c r="O800" s="81"/>
      <c r="P800" s="81"/>
      <c r="Q800" s="81"/>
      <c r="R800" s="105"/>
      <c r="S800" s="81"/>
      <c r="T800" s="81"/>
      <c r="U800" s="81"/>
      <c r="V800" s="105"/>
      <c r="W800" s="81"/>
      <c r="X800" s="81"/>
      <c r="Y800" s="105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105"/>
      <c r="AM800" s="81"/>
      <c r="AN800" s="81"/>
      <c r="AO800" s="81"/>
      <c r="AP800" s="81"/>
      <c r="AQ800" s="81"/>
      <c r="AR800" s="81"/>
      <c r="AS800" s="81"/>
      <c r="AT800" s="81"/>
      <c r="AU800" s="81"/>
    </row>
    <row r="801" spans="1:47" ht="24" customHeight="1" x14ac:dyDescent="0.5">
      <c r="A801" s="81"/>
      <c r="B801" s="81"/>
      <c r="C801" s="81"/>
      <c r="D801" s="81"/>
      <c r="E801" s="81"/>
      <c r="F801" s="81"/>
      <c r="G801" s="105"/>
      <c r="H801" s="81"/>
      <c r="I801" s="81"/>
      <c r="J801" s="81"/>
      <c r="K801" s="105"/>
      <c r="L801" s="81"/>
      <c r="M801" s="81"/>
      <c r="N801" s="81"/>
      <c r="O801" s="81"/>
      <c r="P801" s="81"/>
      <c r="Q801" s="81"/>
      <c r="R801" s="105"/>
      <c r="S801" s="81"/>
      <c r="T801" s="81"/>
      <c r="U801" s="81"/>
      <c r="V801" s="105"/>
      <c r="W801" s="81"/>
      <c r="X801" s="81"/>
      <c r="Y801" s="105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105"/>
      <c r="AM801" s="81"/>
      <c r="AN801" s="81"/>
      <c r="AO801" s="81"/>
      <c r="AP801" s="81"/>
      <c r="AQ801" s="81"/>
      <c r="AR801" s="81"/>
      <c r="AS801" s="81"/>
      <c r="AT801" s="81"/>
      <c r="AU801" s="81"/>
    </row>
    <row r="802" spans="1:47" ht="24" customHeight="1" x14ac:dyDescent="0.5">
      <c r="A802" s="81"/>
      <c r="B802" s="81"/>
      <c r="C802" s="81"/>
      <c r="D802" s="81"/>
      <c r="E802" s="81"/>
      <c r="F802" s="81"/>
      <c r="G802" s="105"/>
      <c r="H802" s="81"/>
      <c r="I802" s="81"/>
      <c r="J802" s="81"/>
      <c r="K802" s="105"/>
      <c r="L802" s="81"/>
      <c r="M802" s="81"/>
      <c r="N802" s="81"/>
      <c r="O802" s="81"/>
      <c r="P802" s="81"/>
      <c r="Q802" s="81"/>
      <c r="R802" s="105"/>
      <c r="S802" s="81"/>
      <c r="T802" s="81"/>
      <c r="U802" s="81"/>
      <c r="V802" s="105"/>
      <c r="W802" s="81"/>
      <c r="X802" s="81"/>
      <c r="Y802" s="105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105"/>
      <c r="AM802" s="81"/>
      <c r="AN802" s="81"/>
      <c r="AO802" s="81"/>
      <c r="AP802" s="81"/>
      <c r="AQ802" s="81"/>
      <c r="AR802" s="81"/>
      <c r="AS802" s="81"/>
      <c r="AT802" s="81"/>
      <c r="AU802" s="81"/>
    </row>
    <row r="803" spans="1:47" ht="24" customHeight="1" x14ac:dyDescent="0.5">
      <c r="A803" s="81"/>
      <c r="B803" s="81"/>
      <c r="C803" s="81"/>
      <c r="D803" s="81"/>
      <c r="E803" s="81"/>
      <c r="F803" s="81"/>
      <c r="G803" s="105"/>
      <c r="H803" s="81"/>
      <c r="I803" s="81"/>
      <c r="J803" s="81"/>
      <c r="K803" s="105"/>
      <c r="L803" s="81"/>
      <c r="M803" s="81"/>
      <c r="N803" s="81"/>
      <c r="O803" s="81"/>
      <c r="P803" s="81"/>
      <c r="Q803" s="81"/>
      <c r="R803" s="105"/>
      <c r="S803" s="81"/>
      <c r="T803" s="81"/>
      <c r="U803" s="81"/>
      <c r="V803" s="105"/>
      <c r="W803" s="81"/>
      <c r="X803" s="81"/>
      <c r="Y803" s="105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105"/>
      <c r="AM803" s="81"/>
      <c r="AN803" s="81"/>
      <c r="AO803" s="81"/>
      <c r="AP803" s="81"/>
      <c r="AQ803" s="81"/>
      <c r="AR803" s="81"/>
      <c r="AS803" s="81"/>
      <c r="AT803" s="81"/>
      <c r="AU803" s="81"/>
    </row>
    <row r="804" spans="1:47" ht="24" customHeight="1" x14ac:dyDescent="0.5">
      <c r="A804" s="81"/>
      <c r="B804" s="81"/>
      <c r="C804" s="81"/>
      <c r="D804" s="81"/>
      <c r="E804" s="81"/>
      <c r="F804" s="81"/>
      <c r="G804" s="105"/>
      <c r="H804" s="81"/>
      <c r="I804" s="81"/>
      <c r="J804" s="81"/>
      <c r="K804" s="105"/>
      <c r="L804" s="81"/>
      <c r="M804" s="81"/>
      <c r="N804" s="81"/>
      <c r="O804" s="81"/>
      <c r="P804" s="81"/>
      <c r="Q804" s="81"/>
      <c r="R804" s="105"/>
      <c r="S804" s="81"/>
      <c r="T804" s="81"/>
      <c r="U804" s="81"/>
      <c r="V804" s="105"/>
      <c r="W804" s="81"/>
      <c r="X804" s="81"/>
      <c r="Y804" s="105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105"/>
      <c r="AM804" s="81"/>
      <c r="AN804" s="81"/>
      <c r="AO804" s="81"/>
      <c r="AP804" s="81"/>
      <c r="AQ804" s="81"/>
      <c r="AR804" s="81"/>
      <c r="AS804" s="81"/>
      <c r="AT804" s="81"/>
      <c r="AU804" s="81"/>
    </row>
    <row r="805" spans="1:47" ht="24" customHeight="1" x14ac:dyDescent="0.5">
      <c r="A805" s="81"/>
      <c r="B805" s="81"/>
      <c r="C805" s="81"/>
      <c r="D805" s="81"/>
      <c r="E805" s="81"/>
      <c r="F805" s="81"/>
      <c r="G805" s="105"/>
      <c r="H805" s="81"/>
      <c r="I805" s="81"/>
      <c r="J805" s="81"/>
      <c r="K805" s="105"/>
      <c r="L805" s="81"/>
      <c r="M805" s="81"/>
      <c r="N805" s="81"/>
      <c r="O805" s="81"/>
      <c r="P805" s="81"/>
      <c r="Q805" s="81"/>
      <c r="R805" s="105"/>
      <c r="S805" s="81"/>
      <c r="T805" s="81"/>
      <c r="U805" s="81"/>
      <c r="V805" s="105"/>
      <c r="W805" s="81"/>
      <c r="X805" s="81"/>
      <c r="Y805" s="105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105"/>
      <c r="AM805" s="81"/>
      <c r="AN805" s="81"/>
      <c r="AO805" s="81"/>
      <c r="AP805" s="81"/>
      <c r="AQ805" s="81"/>
      <c r="AR805" s="81"/>
      <c r="AS805" s="81"/>
      <c r="AT805" s="81"/>
      <c r="AU805" s="81"/>
    </row>
    <row r="806" spans="1:47" ht="24" customHeight="1" x14ac:dyDescent="0.5">
      <c r="A806" s="81"/>
      <c r="B806" s="81"/>
      <c r="C806" s="81"/>
      <c r="D806" s="81"/>
      <c r="E806" s="81"/>
      <c r="F806" s="81"/>
      <c r="G806" s="105"/>
      <c r="H806" s="81"/>
      <c r="I806" s="81"/>
      <c r="J806" s="81"/>
      <c r="K806" s="105"/>
      <c r="L806" s="81"/>
      <c r="M806" s="81"/>
      <c r="N806" s="81"/>
      <c r="O806" s="81"/>
      <c r="P806" s="81"/>
      <c r="Q806" s="81"/>
      <c r="R806" s="105"/>
      <c r="S806" s="81"/>
      <c r="T806" s="81"/>
      <c r="U806" s="81"/>
      <c r="V806" s="105"/>
      <c r="W806" s="81"/>
      <c r="X806" s="81"/>
      <c r="Y806" s="105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105"/>
      <c r="AM806" s="81"/>
      <c r="AN806" s="81"/>
      <c r="AO806" s="81"/>
      <c r="AP806" s="81"/>
      <c r="AQ806" s="81"/>
      <c r="AR806" s="81"/>
      <c r="AS806" s="81"/>
      <c r="AT806" s="81"/>
      <c r="AU806" s="81"/>
    </row>
    <row r="807" spans="1:47" ht="24" customHeight="1" x14ac:dyDescent="0.5">
      <c r="A807" s="81"/>
      <c r="B807" s="81"/>
      <c r="C807" s="81"/>
      <c r="D807" s="81"/>
      <c r="E807" s="81"/>
      <c r="F807" s="81"/>
      <c r="G807" s="105"/>
      <c r="H807" s="81"/>
      <c r="I807" s="81"/>
      <c r="J807" s="81"/>
      <c r="K807" s="105"/>
      <c r="L807" s="81"/>
      <c r="M807" s="81"/>
      <c r="N807" s="81"/>
      <c r="O807" s="81"/>
      <c r="P807" s="81"/>
      <c r="Q807" s="81"/>
      <c r="R807" s="105"/>
      <c r="S807" s="81"/>
      <c r="T807" s="81"/>
      <c r="U807" s="81"/>
      <c r="V807" s="105"/>
      <c r="W807" s="81"/>
      <c r="X807" s="81"/>
      <c r="Y807" s="105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105"/>
      <c r="AM807" s="81"/>
      <c r="AN807" s="81"/>
      <c r="AO807" s="81"/>
      <c r="AP807" s="81"/>
      <c r="AQ807" s="81"/>
      <c r="AR807" s="81"/>
      <c r="AS807" s="81"/>
      <c r="AT807" s="81"/>
      <c r="AU807" s="81"/>
    </row>
    <row r="808" spans="1:47" ht="24" customHeight="1" x14ac:dyDescent="0.5">
      <c r="A808" s="81"/>
      <c r="B808" s="81"/>
      <c r="C808" s="81"/>
      <c r="D808" s="81"/>
      <c r="E808" s="81"/>
      <c r="F808" s="81"/>
      <c r="G808" s="105"/>
      <c r="H808" s="81"/>
      <c r="I808" s="81"/>
      <c r="J808" s="81"/>
      <c r="K808" s="105"/>
      <c r="L808" s="81"/>
      <c r="M808" s="81"/>
      <c r="N808" s="81"/>
      <c r="O808" s="81"/>
      <c r="P808" s="81"/>
      <c r="Q808" s="81"/>
      <c r="R808" s="105"/>
      <c r="S808" s="81"/>
      <c r="T808" s="81"/>
      <c r="U808" s="81"/>
      <c r="V808" s="105"/>
      <c r="W808" s="81"/>
      <c r="X808" s="81"/>
      <c r="Y808" s="105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105"/>
      <c r="AM808" s="81"/>
      <c r="AN808" s="81"/>
      <c r="AO808" s="81"/>
      <c r="AP808" s="81"/>
      <c r="AQ808" s="81"/>
      <c r="AR808" s="81"/>
      <c r="AS808" s="81"/>
      <c r="AT808" s="81"/>
      <c r="AU808" s="81"/>
    </row>
    <row r="809" spans="1:47" ht="24" customHeight="1" x14ac:dyDescent="0.5">
      <c r="A809" s="81"/>
      <c r="B809" s="81"/>
      <c r="C809" s="81"/>
      <c r="D809" s="81"/>
      <c r="E809" s="81"/>
      <c r="F809" s="81"/>
      <c r="G809" s="105"/>
      <c r="H809" s="81"/>
      <c r="I809" s="81"/>
      <c r="J809" s="81"/>
      <c r="K809" s="105"/>
      <c r="L809" s="81"/>
      <c r="M809" s="81"/>
      <c r="N809" s="81"/>
      <c r="O809" s="81"/>
      <c r="P809" s="81"/>
      <c r="Q809" s="81"/>
      <c r="R809" s="105"/>
      <c r="S809" s="81"/>
      <c r="T809" s="81"/>
      <c r="U809" s="81"/>
      <c r="V809" s="105"/>
      <c r="W809" s="81"/>
      <c r="X809" s="81"/>
      <c r="Y809" s="105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105"/>
      <c r="AM809" s="81"/>
      <c r="AN809" s="81"/>
      <c r="AO809" s="81"/>
      <c r="AP809" s="81"/>
      <c r="AQ809" s="81"/>
      <c r="AR809" s="81"/>
      <c r="AS809" s="81"/>
      <c r="AT809" s="81"/>
      <c r="AU809" s="81"/>
    </row>
    <row r="810" spans="1:47" ht="24" customHeight="1" x14ac:dyDescent="0.5">
      <c r="A810" s="81"/>
      <c r="B810" s="81"/>
      <c r="C810" s="81"/>
      <c r="D810" s="81"/>
      <c r="E810" s="81"/>
      <c r="F810" s="81"/>
      <c r="G810" s="105"/>
      <c r="H810" s="81"/>
      <c r="I810" s="81"/>
      <c r="J810" s="81"/>
      <c r="K810" s="105"/>
      <c r="L810" s="81"/>
      <c r="M810" s="81"/>
      <c r="N810" s="81"/>
      <c r="O810" s="81"/>
      <c r="P810" s="81"/>
      <c r="Q810" s="81"/>
      <c r="R810" s="105"/>
      <c r="S810" s="81"/>
      <c r="T810" s="81"/>
      <c r="U810" s="81"/>
      <c r="V810" s="105"/>
      <c r="W810" s="81"/>
      <c r="X810" s="81"/>
      <c r="Y810" s="105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105"/>
      <c r="AM810" s="81"/>
      <c r="AN810" s="81"/>
      <c r="AO810" s="81"/>
      <c r="AP810" s="81"/>
      <c r="AQ810" s="81"/>
      <c r="AR810" s="81"/>
      <c r="AS810" s="81"/>
      <c r="AT810" s="81"/>
      <c r="AU810" s="81"/>
    </row>
    <row r="811" spans="1:47" ht="24" customHeight="1" x14ac:dyDescent="0.5">
      <c r="A811" s="81"/>
      <c r="B811" s="81"/>
      <c r="C811" s="81"/>
      <c r="D811" s="81"/>
      <c r="E811" s="81"/>
      <c r="F811" s="81"/>
      <c r="G811" s="105"/>
      <c r="H811" s="81"/>
      <c r="I811" s="81"/>
      <c r="J811" s="81"/>
      <c r="K811" s="105"/>
      <c r="L811" s="81"/>
      <c r="M811" s="81"/>
      <c r="N811" s="81"/>
      <c r="O811" s="81"/>
      <c r="P811" s="81"/>
      <c r="Q811" s="81"/>
      <c r="R811" s="105"/>
      <c r="S811" s="81"/>
      <c r="T811" s="81"/>
      <c r="U811" s="81"/>
      <c r="V811" s="105"/>
      <c r="W811" s="81"/>
      <c r="X811" s="81"/>
      <c r="Y811" s="105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105"/>
      <c r="AM811" s="81"/>
      <c r="AN811" s="81"/>
      <c r="AO811" s="81"/>
      <c r="AP811" s="81"/>
      <c r="AQ811" s="81"/>
      <c r="AR811" s="81"/>
      <c r="AS811" s="81"/>
      <c r="AT811" s="81"/>
      <c r="AU811" s="81"/>
    </row>
    <row r="812" spans="1:47" ht="24" customHeight="1" x14ac:dyDescent="0.5">
      <c r="A812" s="81"/>
      <c r="B812" s="81"/>
      <c r="C812" s="81"/>
      <c r="D812" s="81"/>
      <c r="E812" s="81"/>
      <c r="F812" s="81"/>
      <c r="G812" s="105"/>
      <c r="H812" s="81"/>
      <c r="I812" s="81"/>
      <c r="J812" s="81"/>
      <c r="K812" s="105"/>
      <c r="L812" s="81"/>
      <c r="M812" s="81"/>
      <c r="N812" s="81"/>
      <c r="O812" s="81"/>
      <c r="P812" s="81"/>
      <c r="Q812" s="81"/>
      <c r="R812" s="105"/>
      <c r="S812" s="81"/>
      <c r="T812" s="81"/>
      <c r="U812" s="81"/>
      <c r="V812" s="105"/>
      <c r="W812" s="81"/>
      <c r="X812" s="81"/>
      <c r="Y812" s="105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105"/>
      <c r="AM812" s="81"/>
      <c r="AN812" s="81"/>
      <c r="AO812" s="81"/>
      <c r="AP812" s="81"/>
      <c r="AQ812" s="81"/>
      <c r="AR812" s="81"/>
      <c r="AS812" s="81"/>
      <c r="AT812" s="81"/>
      <c r="AU812" s="81"/>
    </row>
    <row r="813" spans="1:47" ht="24" customHeight="1" x14ac:dyDescent="0.5">
      <c r="A813" s="81"/>
      <c r="B813" s="81"/>
      <c r="C813" s="81"/>
      <c r="D813" s="81"/>
      <c r="E813" s="81"/>
      <c r="F813" s="81"/>
      <c r="G813" s="105"/>
      <c r="H813" s="81"/>
      <c r="I813" s="81"/>
      <c r="J813" s="81"/>
      <c r="K813" s="105"/>
      <c r="L813" s="81"/>
      <c r="M813" s="81"/>
      <c r="N813" s="81"/>
      <c r="O813" s="81"/>
      <c r="P813" s="81"/>
      <c r="Q813" s="81"/>
      <c r="R813" s="105"/>
      <c r="S813" s="81"/>
      <c r="T813" s="81"/>
      <c r="U813" s="81"/>
      <c r="V813" s="105"/>
      <c r="W813" s="81"/>
      <c r="X813" s="81"/>
      <c r="Y813" s="105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105"/>
      <c r="AM813" s="81"/>
      <c r="AN813" s="81"/>
      <c r="AO813" s="81"/>
      <c r="AP813" s="81"/>
      <c r="AQ813" s="81"/>
      <c r="AR813" s="81"/>
      <c r="AS813" s="81"/>
      <c r="AT813" s="81"/>
      <c r="AU813" s="81"/>
    </row>
    <row r="814" spans="1:47" ht="24" customHeight="1" x14ac:dyDescent="0.5">
      <c r="A814" s="81"/>
      <c r="B814" s="81"/>
      <c r="C814" s="81"/>
      <c r="D814" s="81"/>
      <c r="E814" s="81"/>
      <c r="F814" s="81"/>
      <c r="G814" s="105"/>
      <c r="H814" s="81"/>
      <c r="I814" s="81"/>
      <c r="J814" s="81"/>
      <c r="K814" s="105"/>
      <c r="L814" s="81"/>
      <c r="M814" s="81"/>
      <c r="N814" s="81"/>
      <c r="O814" s="81"/>
      <c r="P814" s="81"/>
      <c r="Q814" s="81"/>
      <c r="R814" s="105"/>
      <c r="S814" s="81"/>
      <c r="T814" s="81"/>
      <c r="U814" s="81"/>
      <c r="V814" s="105"/>
      <c r="W814" s="81"/>
      <c r="X814" s="81"/>
      <c r="Y814" s="105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105"/>
      <c r="AM814" s="81"/>
      <c r="AN814" s="81"/>
      <c r="AO814" s="81"/>
      <c r="AP814" s="81"/>
      <c r="AQ814" s="81"/>
      <c r="AR814" s="81"/>
      <c r="AS814" s="81"/>
      <c r="AT814" s="81"/>
      <c r="AU814" s="81"/>
    </row>
    <row r="815" spans="1:47" ht="24" customHeight="1" x14ac:dyDescent="0.5">
      <c r="A815" s="81"/>
      <c r="B815" s="81"/>
      <c r="C815" s="81"/>
      <c r="D815" s="81"/>
      <c r="E815" s="81"/>
      <c r="F815" s="81"/>
      <c r="G815" s="105"/>
      <c r="H815" s="81"/>
      <c r="I815" s="81"/>
      <c r="J815" s="81"/>
      <c r="K815" s="105"/>
      <c r="L815" s="81"/>
      <c r="M815" s="81"/>
      <c r="N815" s="81"/>
      <c r="O815" s="81"/>
      <c r="P815" s="81"/>
      <c r="Q815" s="81"/>
      <c r="R815" s="105"/>
      <c r="S815" s="81"/>
      <c r="T815" s="81"/>
      <c r="U815" s="81"/>
      <c r="V815" s="105"/>
      <c r="W815" s="81"/>
      <c r="X815" s="81"/>
      <c r="Y815" s="105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105"/>
      <c r="AM815" s="81"/>
      <c r="AN815" s="81"/>
      <c r="AO815" s="81"/>
      <c r="AP815" s="81"/>
      <c r="AQ815" s="81"/>
      <c r="AR815" s="81"/>
      <c r="AS815" s="81"/>
      <c r="AT815" s="81"/>
      <c r="AU815" s="81"/>
    </row>
    <row r="816" spans="1:47" ht="24" customHeight="1" x14ac:dyDescent="0.5">
      <c r="A816" s="81"/>
      <c r="B816" s="81"/>
      <c r="C816" s="81"/>
      <c r="D816" s="81"/>
      <c r="E816" s="81"/>
      <c r="F816" s="81"/>
      <c r="G816" s="105"/>
      <c r="H816" s="81"/>
      <c r="I816" s="81"/>
      <c r="J816" s="81"/>
      <c r="K816" s="105"/>
      <c r="L816" s="81"/>
      <c r="M816" s="81"/>
      <c r="N816" s="81"/>
      <c r="O816" s="81"/>
      <c r="P816" s="81"/>
      <c r="Q816" s="81"/>
      <c r="R816" s="105"/>
      <c r="S816" s="81"/>
      <c r="T816" s="81"/>
      <c r="U816" s="81"/>
      <c r="V816" s="105"/>
      <c r="W816" s="81"/>
      <c r="X816" s="81"/>
      <c r="Y816" s="105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105"/>
      <c r="AM816" s="81"/>
      <c r="AN816" s="81"/>
      <c r="AO816" s="81"/>
      <c r="AP816" s="81"/>
      <c r="AQ816" s="81"/>
      <c r="AR816" s="81"/>
      <c r="AS816" s="81"/>
      <c r="AT816" s="81"/>
      <c r="AU816" s="81"/>
    </row>
    <row r="817" spans="1:47" ht="24" customHeight="1" x14ac:dyDescent="0.5">
      <c r="A817" s="81"/>
      <c r="B817" s="81"/>
      <c r="C817" s="81"/>
      <c r="D817" s="81"/>
      <c r="E817" s="81"/>
      <c r="F817" s="81"/>
      <c r="G817" s="105"/>
      <c r="H817" s="81"/>
      <c r="I817" s="81"/>
      <c r="J817" s="81"/>
      <c r="K817" s="105"/>
      <c r="L817" s="81"/>
      <c r="M817" s="81"/>
      <c r="N817" s="81"/>
      <c r="O817" s="81"/>
      <c r="P817" s="81"/>
      <c r="Q817" s="81"/>
      <c r="R817" s="105"/>
      <c r="S817" s="81"/>
      <c r="T817" s="81"/>
      <c r="U817" s="81"/>
      <c r="V817" s="105"/>
      <c r="W817" s="81"/>
      <c r="X817" s="81"/>
      <c r="Y817" s="105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105"/>
      <c r="AM817" s="81"/>
      <c r="AN817" s="81"/>
      <c r="AO817" s="81"/>
      <c r="AP817" s="81"/>
      <c r="AQ817" s="81"/>
      <c r="AR817" s="81"/>
      <c r="AS817" s="81"/>
      <c r="AT817" s="81"/>
      <c r="AU817" s="81"/>
    </row>
    <row r="818" spans="1:47" ht="24" customHeight="1" x14ac:dyDescent="0.5">
      <c r="A818" s="81"/>
      <c r="B818" s="81"/>
      <c r="C818" s="81"/>
      <c r="D818" s="81"/>
      <c r="E818" s="81"/>
      <c r="F818" s="81"/>
      <c r="G818" s="105"/>
      <c r="H818" s="81"/>
      <c r="I818" s="81"/>
      <c r="J818" s="81"/>
      <c r="K818" s="105"/>
      <c r="L818" s="81"/>
      <c r="M818" s="81"/>
      <c r="N818" s="81"/>
      <c r="O818" s="81"/>
      <c r="P818" s="81"/>
      <c r="Q818" s="81"/>
      <c r="R818" s="105"/>
      <c r="S818" s="81"/>
      <c r="T818" s="81"/>
      <c r="U818" s="81"/>
      <c r="V818" s="105"/>
      <c r="W818" s="81"/>
      <c r="X818" s="81"/>
      <c r="Y818" s="105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105"/>
      <c r="AM818" s="81"/>
      <c r="AN818" s="81"/>
      <c r="AO818" s="81"/>
      <c r="AP818" s="81"/>
      <c r="AQ818" s="81"/>
      <c r="AR818" s="81"/>
      <c r="AS818" s="81"/>
      <c r="AT818" s="81"/>
      <c r="AU818" s="81"/>
    </row>
    <row r="819" spans="1:47" ht="24" customHeight="1" x14ac:dyDescent="0.5">
      <c r="A819" s="81"/>
      <c r="B819" s="81"/>
      <c r="C819" s="81"/>
      <c r="D819" s="81"/>
      <c r="E819" s="81"/>
      <c r="F819" s="81"/>
      <c r="G819" s="105"/>
      <c r="H819" s="81"/>
      <c r="I819" s="81"/>
      <c r="J819" s="81"/>
      <c r="K819" s="105"/>
      <c r="L819" s="81"/>
      <c r="M819" s="81"/>
      <c r="N819" s="81"/>
      <c r="O819" s="81"/>
      <c r="P819" s="81"/>
      <c r="Q819" s="81"/>
      <c r="R819" s="105"/>
      <c r="S819" s="81"/>
      <c r="T819" s="81"/>
      <c r="U819" s="81"/>
      <c r="V819" s="105"/>
      <c r="W819" s="81"/>
      <c r="X819" s="81"/>
      <c r="Y819" s="105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105"/>
      <c r="AM819" s="81"/>
      <c r="AN819" s="81"/>
      <c r="AO819" s="81"/>
      <c r="AP819" s="81"/>
      <c r="AQ819" s="81"/>
      <c r="AR819" s="81"/>
      <c r="AS819" s="81"/>
      <c r="AT819" s="81"/>
      <c r="AU819" s="81"/>
    </row>
    <row r="820" spans="1:47" ht="24" customHeight="1" x14ac:dyDescent="0.5">
      <c r="A820" s="81"/>
      <c r="B820" s="81"/>
      <c r="C820" s="81"/>
      <c r="D820" s="81"/>
      <c r="E820" s="81"/>
      <c r="F820" s="81"/>
      <c r="G820" s="105"/>
      <c r="H820" s="81"/>
      <c r="I820" s="81"/>
      <c r="J820" s="81"/>
      <c r="K820" s="105"/>
      <c r="L820" s="81"/>
      <c r="M820" s="81"/>
      <c r="N820" s="81"/>
      <c r="O820" s="81"/>
      <c r="P820" s="81"/>
      <c r="Q820" s="81"/>
      <c r="R820" s="105"/>
      <c r="S820" s="81"/>
      <c r="T820" s="81"/>
      <c r="U820" s="81"/>
      <c r="V820" s="105"/>
      <c r="W820" s="81"/>
      <c r="X820" s="81"/>
      <c r="Y820" s="105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105"/>
      <c r="AM820" s="81"/>
      <c r="AN820" s="81"/>
      <c r="AO820" s="81"/>
      <c r="AP820" s="81"/>
      <c r="AQ820" s="81"/>
      <c r="AR820" s="81"/>
      <c r="AS820" s="81"/>
      <c r="AT820" s="81"/>
      <c r="AU820" s="81"/>
    </row>
    <row r="821" spans="1:47" ht="24" customHeight="1" x14ac:dyDescent="0.5">
      <c r="A821" s="81"/>
      <c r="B821" s="81"/>
      <c r="C821" s="81"/>
      <c r="D821" s="81"/>
      <c r="E821" s="81"/>
      <c r="F821" s="81"/>
      <c r="G821" s="105"/>
      <c r="H821" s="81"/>
      <c r="I821" s="81"/>
      <c r="J821" s="81"/>
      <c r="K821" s="105"/>
      <c r="L821" s="81"/>
      <c r="M821" s="81"/>
      <c r="N821" s="81"/>
      <c r="O821" s="81"/>
      <c r="P821" s="81"/>
      <c r="Q821" s="81"/>
      <c r="R821" s="105"/>
      <c r="S821" s="81"/>
      <c r="T821" s="81"/>
      <c r="U821" s="81"/>
      <c r="V821" s="105"/>
      <c r="W821" s="81"/>
      <c r="X821" s="81"/>
      <c r="Y821" s="105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105"/>
      <c r="AM821" s="81"/>
      <c r="AN821" s="81"/>
      <c r="AO821" s="81"/>
      <c r="AP821" s="81"/>
      <c r="AQ821" s="81"/>
      <c r="AR821" s="81"/>
      <c r="AS821" s="81"/>
      <c r="AT821" s="81"/>
      <c r="AU821" s="81"/>
    </row>
    <row r="822" spans="1:47" ht="24" customHeight="1" x14ac:dyDescent="0.5">
      <c r="A822" s="81"/>
      <c r="B822" s="81"/>
      <c r="C822" s="81"/>
      <c r="D822" s="81"/>
      <c r="E822" s="81"/>
      <c r="F822" s="81"/>
      <c r="G822" s="105"/>
      <c r="H822" s="81"/>
      <c r="I822" s="81"/>
      <c r="J822" s="81"/>
      <c r="K822" s="105"/>
      <c r="L822" s="81"/>
      <c r="M822" s="81"/>
      <c r="N822" s="81"/>
      <c r="O822" s="81"/>
      <c r="P822" s="81"/>
      <c r="Q822" s="81"/>
      <c r="R822" s="105"/>
      <c r="S822" s="81"/>
      <c r="T822" s="81"/>
      <c r="U822" s="81"/>
      <c r="V822" s="105"/>
      <c r="W822" s="81"/>
      <c r="X822" s="81"/>
      <c r="Y822" s="105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105"/>
      <c r="AM822" s="81"/>
      <c r="AN822" s="81"/>
      <c r="AO822" s="81"/>
      <c r="AP822" s="81"/>
      <c r="AQ822" s="81"/>
      <c r="AR822" s="81"/>
      <c r="AS822" s="81"/>
      <c r="AT822" s="81"/>
      <c r="AU822" s="81"/>
    </row>
    <row r="823" spans="1:47" ht="24" customHeight="1" x14ac:dyDescent="0.5">
      <c r="A823" s="81"/>
      <c r="B823" s="81"/>
      <c r="C823" s="81"/>
      <c r="D823" s="81"/>
      <c r="E823" s="81"/>
      <c r="F823" s="81"/>
      <c r="G823" s="105"/>
      <c r="H823" s="81"/>
      <c r="I823" s="81"/>
      <c r="J823" s="81"/>
      <c r="K823" s="105"/>
      <c r="L823" s="81"/>
      <c r="M823" s="81"/>
      <c r="N823" s="81"/>
      <c r="O823" s="81"/>
      <c r="P823" s="81"/>
      <c r="Q823" s="81"/>
      <c r="R823" s="105"/>
      <c r="S823" s="81"/>
      <c r="T823" s="81"/>
      <c r="U823" s="81"/>
      <c r="V823" s="105"/>
      <c r="W823" s="81"/>
      <c r="X823" s="81"/>
      <c r="Y823" s="105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105"/>
      <c r="AM823" s="81"/>
      <c r="AN823" s="81"/>
      <c r="AO823" s="81"/>
      <c r="AP823" s="81"/>
      <c r="AQ823" s="81"/>
      <c r="AR823" s="81"/>
      <c r="AS823" s="81"/>
      <c r="AT823" s="81"/>
      <c r="AU823" s="81"/>
    </row>
    <row r="824" spans="1:47" ht="24" customHeight="1" x14ac:dyDescent="0.5">
      <c r="A824" s="81"/>
      <c r="B824" s="81"/>
      <c r="C824" s="81"/>
      <c r="D824" s="81"/>
      <c r="E824" s="81"/>
      <c r="F824" s="81"/>
      <c r="G824" s="105"/>
      <c r="H824" s="81"/>
      <c r="I824" s="81"/>
      <c r="J824" s="81"/>
      <c r="K824" s="105"/>
      <c r="L824" s="81"/>
      <c r="M824" s="81"/>
      <c r="N824" s="81"/>
      <c r="O824" s="81"/>
      <c r="P824" s="81"/>
      <c r="Q824" s="81"/>
      <c r="R824" s="105"/>
      <c r="S824" s="81"/>
      <c r="T824" s="81"/>
      <c r="U824" s="81"/>
      <c r="V824" s="105"/>
      <c r="W824" s="81"/>
      <c r="X824" s="81"/>
      <c r="Y824" s="105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105"/>
      <c r="AM824" s="81"/>
      <c r="AN824" s="81"/>
      <c r="AO824" s="81"/>
      <c r="AP824" s="81"/>
      <c r="AQ824" s="81"/>
      <c r="AR824" s="81"/>
      <c r="AS824" s="81"/>
      <c r="AT824" s="81"/>
      <c r="AU824" s="81"/>
    </row>
    <row r="825" spans="1:47" ht="24" customHeight="1" x14ac:dyDescent="0.5">
      <c r="A825" s="81"/>
      <c r="B825" s="81"/>
      <c r="C825" s="81"/>
      <c r="D825" s="81"/>
      <c r="E825" s="81"/>
      <c r="F825" s="81"/>
      <c r="G825" s="105"/>
      <c r="H825" s="81"/>
      <c r="I825" s="81"/>
      <c r="J825" s="81"/>
      <c r="K825" s="105"/>
      <c r="L825" s="81"/>
      <c r="M825" s="81"/>
      <c r="N825" s="81"/>
      <c r="O825" s="81"/>
      <c r="P825" s="81"/>
      <c r="Q825" s="81"/>
      <c r="R825" s="105"/>
      <c r="S825" s="81"/>
      <c r="T825" s="81"/>
      <c r="U825" s="81"/>
      <c r="V825" s="105"/>
      <c r="W825" s="81"/>
      <c r="X825" s="81"/>
      <c r="Y825" s="105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105"/>
      <c r="AM825" s="81"/>
      <c r="AN825" s="81"/>
      <c r="AO825" s="81"/>
      <c r="AP825" s="81"/>
      <c r="AQ825" s="81"/>
      <c r="AR825" s="81"/>
      <c r="AS825" s="81"/>
      <c r="AT825" s="81"/>
      <c r="AU825" s="81"/>
    </row>
    <row r="826" spans="1:47" ht="24" customHeight="1" x14ac:dyDescent="0.5">
      <c r="A826" s="81"/>
      <c r="B826" s="81"/>
      <c r="C826" s="81"/>
      <c r="D826" s="81"/>
      <c r="E826" s="81"/>
      <c r="F826" s="81"/>
      <c r="G826" s="105"/>
      <c r="H826" s="81"/>
      <c r="I826" s="81"/>
      <c r="J826" s="81"/>
      <c r="K826" s="105"/>
      <c r="L826" s="81"/>
      <c r="M826" s="81"/>
      <c r="N826" s="81"/>
      <c r="O826" s="81"/>
      <c r="P826" s="81"/>
      <c r="Q826" s="81"/>
      <c r="R826" s="105"/>
      <c r="S826" s="81"/>
      <c r="T826" s="81"/>
      <c r="U826" s="81"/>
      <c r="V826" s="105"/>
      <c r="W826" s="81"/>
      <c r="X826" s="81"/>
      <c r="Y826" s="105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105"/>
      <c r="AM826" s="81"/>
      <c r="AN826" s="81"/>
      <c r="AO826" s="81"/>
      <c r="AP826" s="81"/>
      <c r="AQ826" s="81"/>
      <c r="AR826" s="81"/>
      <c r="AS826" s="81"/>
      <c r="AT826" s="81"/>
      <c r="AU826" s="81"/>
    </row>
    <row r="827" spans="1:47" ht="24" customHeight="1" x14ac:dyDescent="0.5">
      <c r="A827" s="81"/>
      <c r="B827" s="81"/>
      <c r="C827" s="81"/>
      <c r="D827" s="81"/>
      <c r="E827" s="81"/>
      <c r="F827" s="81"/>
      <c r="G827" s="105"/>
      <c r="H827" s="81"/>
      <c r="I827" s="81"/>
      <c r="J827" s="81"/>
      <c r="K827" s="105"/>
      <c r="L827" s="81"/>
      <c r="M827" s="81"/>
      <c r="N827" s="81"/>
      <c r="O827" s="81"/>
      <c r="P827" s="81"/>
      <c r="Q827" s="81"/>
      <c r="R827" s="105"/>
      <c r="S827" s="81"/>
      <c r="T827" s="81"/>
      <c r="U827" s="81"/>
      <c r="V827" s="105"/>
      <c r="W827" s="81"/>
      <c r="X827" s="81"/>
      <c r="Y827" s="105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105"/>
      <c r="AM827" s="81"/>
      <c r="AN827" s="81"/>
      <c r="AO827" s="81"/>
      <c r="AP827" s="81"/>
      <c r="AQ827" s="81"/>
      <c r="AR827" s="81"/>
      <c r="AS827" s="81"/>
      <c r="AT827" s="81"/>
      <c r="AU827" s="81"/>
    </row>
    <row r="828" spans="1:47" ht="24" customHeight="1" x14ac:dyDescent="0.5">
      <c r="A828" s="81"/>
      <c r="B828" s="81"/>
      <c r="C828" s="81"/>
      <c r="D828" s="81"/>
      <c r="E828" s="81"/>
      <c r="F828" s="81"/>
      <c r="G828" s="105"/>
      <c r="H828" s="81"/>
      <c r="I828" s="81"/>
      <c r="J828" s="81"/>
      <c r="K828" s="105"/>
      <c r="L828" s="81"/>
      <c r="M828" s="81"/>
      <c r="N828" s="81"/>
      <c r="O828" s="81"/>
      <c r="P828" s="81"/>
      <c r="Q828" s="81"/>
      <c r="R828" s="105"/>
      <c r="S828" s="81"/>
      <c r="T828" s="81"/>
      <c r="U828" s="81"/>
      <c r="V828" s="105"/>
      <c r="W828" s="81"/>
      <c r="X828" s="81"/>
      <c r="Y828" s="105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105"/>
      <c r="AM828" s="81"/>
      <c r="AN828" s="81"/>
      <c r="AO828" s="81"/>
      <c r="AP828" s="81"/>
      <c r="AQ828" s="81"/>
      <c r="AR828" s="81"/>
      <c r="AS828" s="81"/>
      <c r="AT828" s="81"/>
      <c r="AU828" s="81"/>
    </row>
    <row r="829" spans="1:47" ht="24" customHeight="1" x14ac:dyDescent="0.5">
      <c r="A829" s="81"/>
      <c r="B829" s="81"/>
      <c r="C829" s="81"/>
      <c r="D829" s="81"/>
      <c r="E829" s="81"/>
      <c r="F829" s="81"/>
      <c r="G829" s="105"/>
      <c r="H829" s="81"/>
      <c r="I829" s="81"/>
      <c r="J829" s="81"/>
      <c r="K829" s="105"/>
      <c r="L829" s="81"/>
      <c r="M829" s="81"/>
      <c r="N829" s="81"/>
      <c r="O829" s="81"/>
      <c r="P829" s="81"/>
      <c r="Q829" s="81"/>
      <c r="R829" s="105"/>
      <c r="S829" s="81"/>
      <c r="T829" s="81"/>
      <c r="U829" s="81"/>
      <c r="V829" s="105"/>
      <c r="W829" s="81"/>
      <c r="X829" s="81"/>
      <c r="Y829" s="105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105"/>
      <c r="AM829" s="81"/>
      <c r="AN829" s="81"/>
      <c r="AO829" s="81"/>
      <c r="AP829" s="81"/>
      <c r="AQ829" s="81"/>
      <c r="AR829" s="81"/>
      <c r="AS829" s="81"/>
      <c r="AT829" s="81"/>
      <c r="AU829" s="81"/>
    </row>
    <row r="830" spans="1:47" ht="24" customHeight="1" x14ac:dyDescent="0.5">
      <c r="A830" s="81"/>
      <c r="B830" s="81"/>
      <c r="C830" s="81"/>
      <c r="D830" s="81"/>
      <c r="E830" s="81"/>
      <c r="F830" s="81"/>
      <c r="G830" s="105"/>
      <c r="H830" s="81"/>
      <c r="I830" s="81"/>
      <c r="J830" s="81"/>
      <c r="K830" s="105"/>
      <c r="L830" s="81"/>
      <c r="M830" s="81"/>
      <c r="N830" s="81"/>
      <c r="O830" s="81"/>
      <c r="P830" s="81"/>
      <c r="Q830" s="81"/>
      <c r="R830" s="105"/>
      <c r="S830" s="81"/>
      <c r="T830" s="81"/>
      <c r="U830" s="81"/>
      <c r="V830" s="105"/>
      <c r="W830" s="81"/>
      <c r="X830" s="81"/>
      <c r="Y830" s="105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105"/>
      <c r="AM830" s="81"/>
      <c r="AN830" s="81"/>
      <c r="AO830" s="81"/>
      <c r="AP830" s="81"/>
      <c r="AQ830" s="81"/>
      <c r="AR830" s="81"/>
      <c r="AS830" s="81"/>
      <c r="AT830" s="81"/>
      <c r="AU830" s="81"/>
    </row>
    <row r="831" spans="1:47" ht="24" customHeight="1" x14ac:dyDescent="0.5">
      <c r="A831" s="81"/>
      <c r="B831" s="81"/>
      <c r="C831" s="81"/>
      <c r="D831" s="81"/>
      <c r="E831" s="81"/>
      <c r="F831" s="81"/>
      <c r="G831" s="105"/>
      <c r="H831" s="81"/>
      <c r="I831" s="81"/>
      <c r="J831" s="81"/>
      <c r="K831" s="105"/>
      <c r="L831" s="81"/>
      <c r="M831" s="81"/>
      <c r="N831" s="81"/>
      <c r="O831" s="81"/>
      <c r="P831" s="81"/>
      <c r="Q831" s="81"/>
      <c r="R831" s="105"/>
      <c r="S831" s="81"/>
      <c r="T831" s="81"/>
      <c r="U831" s="81"/>
      <c r="V831" s="105"/>
      <c r="W831" s="81"/>
      <c r="X831" s="81"/>
      <c r="Y831" s="105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105"/>
      <c r="AM831" s="81"/>
      <c r="AN831" s="81"/>
      <c r="AO831" s="81"/>
      <c r="AP831" s="81"/>
      <c r="AQ831" s="81"/>
      <c r="AR831" s="81"/>
      <c r="AS831" s="81"/>
      <c r="AT831" s="81"/>
      <c r="AU831" s="81"/>
    </row>
    <row r="832" spans="1:47" ht="24" customHeight="1" x14ac:dyDescent="0.5">
      <c r="A832" s="81"/>
      <c r="B832" s="81"/>
      <c r="C832" s="81"/>
      <c r="D832" s="81"/>
      <c r="E832" s="81"/>
      <c r="F832" s="81"/>
      <c r="G832" s="105"/>
      <c r="H832" s="81"/>
      <c r="I832" s="81"/>
      <c r="J832" s="81"/>
      <c r="K832" s="105"/>
      <c r="L832" s="81"/>
      <c r="M832" s="81"/>
      <c r="N832" s="81"/>
      <c r="O832" s="81"/>
      <c r="P832" s="81"/>
      <c r="Q832" s="81"/>
      <c r="R832" s="105"/>
      <c r="S832" s="81"/>
      <c r="T832" s="81"/>
      <c r="U832" s="81"/>
      <c r="V832" s="105"/>
      <c r="W832" s="81"/>
      <c r="X832" s="81"/>
      <c r="Y832" s="105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105"/>
      <c r="AM832" s="81"/>
      <c r="AN832" s="81"/>
      <c r="AO832" s="81"/>
      <c r="AP832" s="81"/>
      <c r="AQ832" s="81"/>
      <c r="AR832" s="81"/>
      <c r="AS832" s="81"/>
      <c r="AT832" s="81"/>
      <c r="AU832" s="81"/>
    </row>
    <row r="833" spans="1:47" ht="24" customHeight="1" x14ac:dyDescent="0.5">
      <c r="A833" s="81"/>
      <c r="B833" s="81"/>
      <c r="C833" s="81"/>
      <c r="D833" s="81"/>
      <c r="E833" s="81"/>
      <c r="F833" s="81"/>
      <c r="G833" s="105"/>
      <c r="H833" s="81"/>
      <c r="I833" s="81"/>
      <c r="J833" s="81"/>
      <c r="K833" s="105"/>
      <c r="L833" s="81"/>
      <c r="M833" s="81"/>
      <c r="N833" s="81"/>
      <c r="O833" s="81"/>
      <c r="P833" s="81"/>
      <c r="Q833" s="81"/>
      <c r="R833" s="105"/>
      <c r="S833" s="81"/>
      <c r="T833" s="81"/>
      <c r="U833" s="81"/>
      <c r="V833" s="105"/>
      <c r="W833" s="81"/>
      <c r="X833" s="81"/>
      <c r="Y833" s="105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105"/>
      <c r="AM833" s="81"/>
      <c r="AN833" s="81"/>
      <c r="AO833" s="81"/>
      <c r="AP833" s="81"/>
      <c r="AQ833" s="81"/>
      <c r="AR833" s="81"/>
      <c r="AS833" s="81"/>
      <c r="AT833" s="81"/>
      <c r="AU833" s="81"/>
    </row>
    <row r="834" spans="1:47" ht="24" customHeight="1" x14ac:dyDescent="0.5">
      <c r="A834" s="81"/>
      <c r="B834" s="81"/>
      <c r="C834" s="81"/>
      <c r="D834" s="81"/>
      <c r="E834" s="81"/>
      <c r="F834" s="81"/>
      <c r="G834" s="105"/>
      <c r="H834" s="81"/>
      <c r="I834" s="81"/>
      <c r="J834" s="81"/>
      <c r="K834" s="105"/>
      <c r="L834" s="81"/>
      <c r="M834" s="81"/>
      <c r="N834" s="81"/>
      <c r="O834" s="81"/>
      <c r="P834" s="81"/>
      <c r="Q834" s="81"/>
      <c r="R834" s="105"/>
      <c r="S834" s="81"/>
      <c r="T834" s="81"/>
      <c r="U834" s="81"/>
      <c r="V834" s="105"/>
      <c r="W834" s="81"/>
      <c r="X834" s="81"/>
      <c r="Y834" s="105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105"/>
      <c r="AM834" s="81"/>
      <c r="AN834" s="81"/>
      <c r="AO834" s="81"/>
      <c r="AP834" s="81"/>
      <c r="AQ834" s="81"/>
      <c r="AR834" s="81"/>
      <c r="AS834" s="81"/>
      <c r="AT834" s="81"/>
      <c r="AU834" s="81"/>
    </row>
    <row r="835" spans="1:47" ht="24" customHeight="1" x14ac:dyDescent="0.5">
      <c r="A835" s="81"/>
      <c r="B835" s="81"/>
      <c r="C835" s="81"/>
      <c r="D835" s="81"/>
      <c r="E835" s="81"/>
      <c r="F835" s="81"/>
      <c r="G835" s="105"/>
      <c r="H835" s="81"/>
      <c r="I835" s="81"/>
      <c r="J835" s="81"/>
      <c r="K835" s="105"/>
      <c r="L835" s="81"/>
      <c r="M835" s="81"/>
      <c r="N835" s="81"/>
      <c r="O835" s="81"/>
      <c r="P835" s="81"/>
      <c r="Q835" s="81"/>
      <c r="R835" s="105"/>
      <c r="S835" s="81"/>
      <c r="T835" s="81"/>
      <c r="U835" s="81"/>
      <c r="V835" s="105"/>
      <c r="W835" s="81"/>
      <c r="X835" s="81"/>
      <c r="Y835" s="105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105"/>
      <c r="AM835" s="81"/>
      <c r="AN835" s="81"/>
      <c r="AO835" s="81"/>
      <c r="AP835" s="81"/>
      <c r="AQ835" s="81"/>
      <c r="AR835" s="81"/>
      <c r="AS835" s="81"/>
      <c r="AT835" s="81"/>
      <c r="AU835" s="81"/>
    </row>
    <row r="836" spans="1:47" ht="24" customHeight="1" x14ac:dyDescent="0.5">
      <c r="A836" s="81"/>
      <c r="B836" s="81"/>
      <c r="C836" s="81"/>
      <c r="D836" s="81"/>
      <c r="E836" s="81"/>
      <c r="F836" s="81"/>
      <c r="G836" s="105"/>
      <c r="H836" s="81"/>
      <c r="I836" s="81"/>
      <c r="J836" s="81"/>
      <c r="K836" s="105"/>
      <c r="L836" s="81"/>
      <c r="M836" s="81"/>
      <c r="N836" s="81"/>
      <c r="O836" s="81"/>
      <c r="P836" s="81"/>
      <c r="Q836" s="81"/>
      <c r="R836" s="105"/>
      <c r="S836" s="81"/>
      <c r="T836" s="81"/>
      <c r="U836" s="81"/>
      <c r="V836" s="105"/>
      <c r="W836" s="81"/>
      <c r="X836" s="81"/>
      <c r="Y836" s="105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105"/>
      <c r="AM836" s="81"/>
      <c r="AN836" s="81"/>
      <c r="AO836" s="81"/>
      <c r="AP836" s="81"/>
      <c r="AQ836" s="81"/>
      <c r="AR836" s="81"/>
      <c r="AS836" s="81"/>
      <c r="AT836" s="81"/>
      <c r="AU836" s="81"/>
    </row>
    <row r="837" spans="1:47" ht="24" customHeight="1" x14ac:dyDescent="0.5">
      <c r="A837" s="81"/>
      <c r="B837" s="81"/>
      <c r="C837" s="81"/>
      <c r="D837" s="81"/>
      <c r="E837" s="81"/>
      <c r="F837" s="81"/>
      <c r="G837" s="105"/>
      <c r="H837" s="81"/>
      <c r="I837" s="81"/>
      <c r="J837" s="81"/>
      <c r="K837" s="105"/>
      <c r="L837" s="81"/>
      <c r="M837" s="81"/>
      <c r="N837" s="81"/>
      <c r="O837" s="81"/>
      <c r="P837" s="81"/>
      <c r="Q837" s="81"/>
      <c r="R837" s="105"/>
      <c r="S837" s="81"/>
      <c r="T837" s="81"/>
      <c r="U837" s="81"/>
      <c r="V837" s="105"/>
      <c r="W837" s="81"/>
      <c r="X837" s="81"/>
      <c r="Y837" s="105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105"/>
      <c r="AM837" s="81"/>
      <c r="AN837" s="81"/>
      <c r="AO837" s="81"/>
      <c r="AP837" s="81"/>
      <c r="AQ837" s="81"/>
      <c r="AR837" s="81"/>
      <c r="AS837" s="81"/>
      <c r="AT837" s="81"/>
      <c r="AU837" s="81"/>
    </row>
    <row r="838" spans="1:47" ht="24" customHeight="1" x14ac:dyDescent="0.5">
      <c r="A838" s="81"/>
      <c r="B838" s="81"/>
      <c r="C838" s="81"/>
      <c r="D838" s="81"/>
      <c r="E838" s="81"/>
      <c r="F838" s="81"/>
      <c r="G838" s="105"/>
      <c r="H838" s="81"/>
      <c r="I838" s="81"/>
      <c r="J838" s="81"/>
      <c r="K838" s="105"/>
      <c r="L838" s="81"/>
      <c r="M838" s="81"/>
      <c r="N838" s="81"/>
      <c r="O838" s="81"/>
      <c r="P838" s="81"/>
      <c r="Q838" s="81"/>
      <c r="R838" s="105"/>
      <c r="S838" s="81"/>
      <c r="T838" s="81"/>
      <c r="U838" s="81"/>
      <c r="V838" s="105"/>
      <c r="W838" s="81"/>
      <c r="X838" s="81"/>
      <c r="Y838" s="105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105"/>
      <c r="AM838" s="81"/>
      <c r="AN838" s="81"/>
      <c r="AO838" s="81"/>
      <c r="AP838" s="81"/>
      <c r="AQ838" s="81"/>
      <c r="AR838" s="81"/>
      <c r="AS838" s="81"/>
      <c r="AT838" s="81"/>
      <c r="AU838" s="81"/>
    </row>
    <row r="839" spans="1:47" ht="24" customHeight="1" x14ac:dyDescent="0.5">
      <c r="A839" s="81"/>
      <c r="B839" s="81"/>
      <c r="C839" s="81"/>
      <c r="D839" s="81"/>
      <c r="E839" s="81"/>
      <c r="F839" s="81"/>
      <c r="G839" s="105"/>
      <c r="H839" s="81"/>
      <c r="I839" s="81"/>
      <c r="J839" s="81"/>
      <c r="K839" s="105"/>
      <c r="L839" s="81"/>
      <c r="M839" s="81"/>
      <c r="N839" s="81"/>
      <c r="O839" s="81"/>
      <c r="P839" s="81"/>
      <c r="Q839" s="81"/>
      <c r="R839" s="105"/>
      <c r="S839" s="81"/>
      <c r="T839" s="81"/>
      <c r="U839" s="81"/>
      <c r="V839" s="105"/>
      <c r="W839" s="81"/>
      <c r="X839" s="81"/>
      <c r="Y839" s="105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105"/>
      <c r="AM839" s="81"/>
      <c r="AN839" s="81"/>
      <c r="AO839" s="81"/>
      <c r="AP839" s="81"/>
      <c r="AQ839" s="81"/>
      <c r="AR839" s="81"/>
      <c r="AS839" s="81"/>
      <c r="AT839" s="81"/>
      <c r="AU839" s="81"/>
    </row>
    <row r="840" spans="1:47" ht="24" customHeight="1" x14ac:dyDescent="0.5">
      <c r="A840" s="81"/>
      <c r="B840" s="81"/>
      <c r="C840" s="81"/>
      <c r="D840" s="81"/>
      <c r="E840" s="81"/>
      <c r="F840" s="81"/>
      <c r="G840" s="105"/>
      <c r="H840" s="81"/>
      <c r="I840" s="81"/>
      <c r="J840" s="81"/>
      <c r="K840" s="105"/>
      <c r="L840" s="81"/>
      <c r="M840" s="81"/>
      <c r="N840" s="81"/>
      <c r="O840" s="81"/>
      <c r="P840" s="81"/>
      <c r="Q840" s="81"/>
      <c r="R840" s="105"/>
      <c r="S840" s="81"/>
      <c r="T840" s="81"/>
      <c r="U840" s="81"/>
      <c r="V840" s="105"/>
      <c r="W840" s="81"/>
      <c r="X840" s="81"/>
      <c r="Y840" s="105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105"/>
      <c r="AM840" s="81"/>
      <c r="AN840" s="81"/>
      <c r="AO840" s="81"/>
      <c r="AP840" s="81"/>
      <c r="AQ840" s="81"/>
      <c r="AR840" s="81"/>
      <c r="AS840" s="81"/>
      <c r="AT840" s="81"/>
      <c r="AU840" s="81"/>
    </row>
    <row r="841" spans="1:47" ht="24" customHeight="1" x14ac:dyDescent="0.5">
      <c r="A841" s="81"/>
      <c r="B841" s="81"/>
      <c r="C841" s="81"/>
      <c r="D841" s="81"/>
      <c r="E841" s="81"/>
      <c r="F841" s="81"/>
      <c r="G841" s="105"/>
      <c r="H841" s="81"/>
      <c r="I841" s="81"/>
      <c r="J841" s="81"/>
      <c r="K841" s="105"/>
      <c r="L841" s="81"/>
      <c r="M841" s="81"/>
      <c r="N841" s="81"/>
      <c r="O841" s="81"/>
      <c r="P841" s="81"/>
      <c r="Q841" s="81"/>
      <c r="R841" s="105"/>
      <c r="S841" s="81"/>
      <c r="T841" s="81"/>
      <c r="U841" s="81"/>
      <c r="V841" s="105"/>
      <c r="W841" s="81"/>
      <c r="X841" s="81"/>
      <c r="Y841" s="105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105"/>
      <c r="AM841" s="81"/>
      <c r="AN841" s="81"/>
      <c r="AO841" s="81"/>
      <c r="AP841" s="81"/>
      <c r="AQ841" s="81"/>
      <c r="AR841" s="81"/>
      <c r="AS841" s="81"/>
      <c r="AT841" s="81"/>
      <c r="AU841" s="81"/>
    </row>
    <row r="842" spans="1:47" ht="24" customHeight="1" x14ac:dyDescent="0.5">
      <c r="A842" s="81"/>
      <c r="B842" s="81"/>
      <c r="C842" s="81"/>
      <c r="D842" s="81"/>
      <c r="E842" s="81"/>
      <c r="F842" s="81"/>
      <c r="G842" s="105"/>
      <c r="H842" s="81"/>
      <c r="I842" s="81"/>
      <c r="J842" s="81"/>
      <c r="K842" s="105"/>
      <c r="L842" s="81"/>
      <c r="M842" s="81"/>
      <c r="N842" s="81"/>
      <c r="O842" s="81"/>
      <c r="P842" s="81"/>
      <c r="Q842" s="81"/>
      <c r="R842" s="105"/>
      <c r="S842" s="81"/>
      <c r="T842" s="81"/>
      <c r="U842" s="81"/>
      <c r="V842" s="105"/>
      <c r="W842" s="81"/>
      <c r="X842" s="81"/>
      <c r="Y842" s="105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105"/>
      <c r="AM842" s="81"/>
      <c r="AN842" s="81"/>
      <c r="AO842" s="81"/>
      <c r="AP842" s="81"/>
      <c r="AQ842" s="81"/>
      <c r="AR842" s="81"/>
      <c r="AS842" s="81"/>
      <c r="AT842" s="81"/>
      <c r="AU842" s="81"/>
    </row>
    <row r="843" spans="1:47" ht="24" customHeight="1" x14ac:dyDescent="0.5">
      <c r="A843" s="81"/>
      <c r="B843" s="81"/>
      <c r="C843" s="81"/>
      <c r="D843" s="81"/>
      <c r="E843" s="81"/>
      <c r="F843" s="81"/>
      <c r="G843" s="105"/>
      <c r="H843" s="81"/>
      <c r="I843" s="81"/>
      <c r="J843" s="81"/>
      <c r="K843" s="105"/>
      <c r="L843" s="81"/>
      <c r="M843" s="81"/>
      <c r="N843" s="81"/>
      <c r="O843" s="81"/>
      <c r="P843" s="81"/>
      <c r="Q843" s="81"/>
      <c r="R843" s="105"/>
      <c r="S843" s="81"/>
      <c r="T843" s="81"/>
      <c r="U843" s="81"/>
      <c r="V843" s="105"/>
      <c r="W843" s="81"/>
      <c r="X843" s="81"/>
      <c r="Y843" s="105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105"/>
      <c r="AM843" s="81"/>
      <c r="AN843" s="81"/>
      <c r="AO843" s="81"/>
      <c r="AP843" s="81"/>
      <c r="AQ843" s="81"/>
      <c r="AR843" s="81"/>
      <c r="AS843" s="81"/>
      <c r="AT843" s="81"/>
      <c r="AU843" s="81"/>
    </row>
    <row r="844" spans="1:47" ht="24" customHeight="1" x14ac:dyDescent="0.5">
      <c r="A844" s="81"/>
      <c r="B844" s="81"/>
      <c r="C844" s="81"/>
      <c r="D844" s="81"/>
      <c r="E844" s="81"/>
      <c r="F844" s="81"/>
      <c r="G844" s="105"/>
      <c r="H844" s="81"/>
      <c r="I844" s="81"/>
      <c r="J844" s="81"/>
      <c r="K844" s="105"/>
      <c r="L844" s="81"/>
      <c r="M844" s="81"/>
      <c r="N844" s="81"/>
      <c r="O844" s="81"/>
      <c r="P844" s="81"/>
      <c r="Q844" s="81"/>
      <c r="R844" s="105"/>
      <c r="S844" s="81"/>
      <c r="T844" s="81"/>
      <c r="U844" s="81"/>
      <c r="V844" s="105"/>
      <c r="W844" s="81"/>
      <c r="X844" s="81"/>
      <c r="Y844" s="105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105"/>
      <c r="AM844" s="81"/>
      <c r="AN844" s="81"/>
      <c r="AO844" s="81"/>
      <c r="AP844" s="81"/>
      <c r="AQ844" s="81"/>
      <c r="AR844" s="81"/>
      <c r="AS844" s="81"/>
      <c r="AT844" s="81"/>
      <c r="AU844" s="81"/>
    </row>
    <row r="845" spans="1:47" ht="24" customHeight="1" x14ac:dyDescent="0.5">
      <c r="A845" s="81"/>
      <c r="B845" s="81"/>
      <c r="C845" s="81"/>
      <c r="D845" s="81"/>
      <c r="E845" s="81"/>
      <c r="F845" s="81"/>
      <c r="G845" s="105"/>
      <c r="H845" s="81"/>
      <c r="I845" s="81"/>
      <c r="J845" s="81"/>
      <c r="K845" s="105"/>
      <c r="L845" s="81"/>
      <c r="M845" s="81"/>
      <c r="N845" s="81"/>
      <c r="O845" s="81"/>
      <c r="P845" s="81"/>
      <c r="Q845" s="81"/>
      <c r="R845" s="105"/>
      <c r="S845" s="81"/>
      <c r="T845" s="81"/>
      <c r="U845" s="81"/>
      <c r="V845" s="105"/>
      <c r="W845" s="81"/>
      <c r="X845" s="81"/>
      <c r="Y845" s="105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105"/>
      <c r="AM845" s="81"/>
      <c r="AN845" s="81"/>
      <c r="AO845" s="81"/>
      <c r="AP845" s="81"/>
      <c r="AQ845" s="81"/>
      <c r="AR845" s="81"/>
      <c r="AS845" s="81"/>
      <c r="AT845" s="81"/>
      <c r="AU845" s="81"/>
    </row>
    <row r="846" spans="1:47" ht="24" customHeight="1" x14ac:dyDescent="0.5">
      <c r="A846" s="81"/>
      <c r="B846" s="81"/>
      <c r="C846" s="81"/>
      <c r="D846" s="81"/>
      <c r="E846" s="81"/>
      <c r="F846" s="81"/>
      <c r="G846" s="105"/>
      <c r="H846" s="81"/>
      <c r="I846" s="81"/>
      <c r="J846" s="81"/>
      <c r="K846" s="105"/>
      <c r="L846" s="81"/>
      <c r="M846" s="81"/>
      <c r="N846" s="81"/>
      <c r="O846" s="81"/>
      <c r="P846" s="81"/>
      <c r="Q846" s="81"/>
      <c r="R846" s="105"/>
      <c r="S846" s="81"/>
      <c r="T846" s="81"/>
      <c r="U846" s="81"/>
      <c r="V846" s="105"/>
      <c r="W846" s="81"/>
      <c r="X846" s="81"/>
      <c r="Y846" s="105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105"/>
      <c r="AM846" s="81"/>
      <c r="AN846" s="81"/>
      <c r="AO846" s="81"/>
      <c r="AP846" s="81"/>
      <c r="AQ846" s="81"/>
      <c r="AR846" s="81"/>
      <c r="AS846" s="81"/>
      <c r="AT846" s="81"/>
      <c r="AU846" s="81"/>
    </row>
    <row r="847" spans="1:47" ht="24" customHeight="1" x14ac:dyDescent="0.5">
      <c r="A847" s="81"/>
      <c r="B847" s="81"/>
      <c r="C847" s="81"/>
      <c r="D847" s="81"/>
      <c r="E847" s="81"/>
      <c r="F847" s="81"/>
      <c r="G847" s="105"/>
      <c r="H847" s="81"/>
      <c r="I847" s="81"/>
      <c r="J847" s="81"/>
      <c r="K847" s="105"/>
      <c r="L847" s="81"/>
      <c r="M847" s="81"/>
      <c r="N847" s="81"/>
      <c r="O847" s="81"/>
      <c r="P847" s="81"/>
      <c r="Q847" s="81"/>
      <c r="R847" s="105"/>
      <c r="S847" s="81"/>
      <c r="T847" s="81"/>
      <c r="U847" s="81"/>
      <c r="V847" s="105"/>
      <c r="W847" s="81"/>
      <c r="X847" s="81"/>
      <c r="Y847" s="105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105"/>
      <c r="AM847" s="81"/>
      <c r="AN847" s="81"/>
      <c r="AO847" s="81"/>
      <c r="AP847" s="81"/>
      <c r="AQ847" s="81"/>
      <c r="AR847" s="81"/>
      <c r="AS847" s="81"/>
      <c r="AT847" s="81"/>
      <c r="AU847" s="81"/>
    </row>
    <row r="848" spans="1:47" ht="24" customHeight="1" x14ac:dyDescent="0.5">
      <c r="A848" s="81"/>
      <c r="B848" s="81"/>
      <c r="C848" s="81"/>
      <c r="D848" s="81"/>
      <c r="E848" s="81"/>
      <c r="F848" s="81"/>
      <c r="G848" s="105"/>
      <c r="H848" s="81"/>
      <c r="I848" s="81"/>
      <c r="J848" s="81"/>
      <c r="K848" s="105"/>
      <c r="L848" s="81"/>
      <c r="M848" s="81"/>
      <c r="N848" s="81"/>
      <c r="O848" s="81"/>
      <c r="P848" s="81"/>
      <c r="Q848" s="81"/>
      <c r="R848" s="105"/>
      <c r="S848" s="81"/>
      <c r="T848" s="81"/>
      <c r="U848" s="81"/>
      <c r="V848" s="105"/>
      <c r="W848" s="81"/>
      <c r="X848" s="81"/>
      <c r="Y848" s="105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105"/>
      <c r="AM848" s="81"/>
      <c r="AN848" s="81"/>
      <c r="AO848" s="81"/>
      <c r="AP848" s="81"/>
      <c r="AQ848" s="81"/>
      <c r="AR848" s="81"/>
      <c r="AS848" s="81"/>
      <c r="AT848" s="81"/>
      <c r="AU848" s="81"/>
    </row>
    <row r="849" spans="1:47" ht="24" customHeight="1" x14ac:dyDescent="0.5">
      <c r="A849" s="81"/>
      <c r="B849" s="81"/>
      <c r="C849" s="81"/>
      <c r="D849" s="81"/>
      <c r="E849" s="81"/>
      <c r="F849" s="81"/>
      <c r="G849" s="105"/>
      <c r="H849" s="81"/>
      <c r="I849" s="81"/>
      <c r="J849" s="81"/>
      <c r="K849" s="105"/>
      <c r="L849" s="81"/>
      <c r="M849" s="81"/>
      <c r="N849" s="81"/>
      <c r="O849" s="81"/>
      <c r="P849" s="81"/>
      <c r="Q849" s="81"/>
      <c r="R849" s="105"/>
      <c r="S849" s="81"/>
      <c r="T849" s="81"/>
      <c r="U849" s="81"/>
      <c r="V849" s="105"/>
      <c r="W849" s="81"/>
      <c r="X849" s="81"/>
      <c r="Y849" s="105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105"/>
      <c r="AM849" s="81"/>
      <c r="AN849" s="81"/>
      <c r="AO849" s="81"/>
      <c r="AP849" s="81"/>
      <c r="AQ849" s="81"/>
      <c r="AR849" s="81"/>
      <c r="AS849" s="81"/>
      <c r="AT849" s="81"/>
      <c r="AU849" s="81"/>
    </row>
    <row r="850" spans="1:47" ht="24" customHeight="1" x14ac:dyDescent="0.5">
      <c r="A850" s="81"/>
      <c r="B850" s="81"/>
      <c r="C850" s="81"/>
      <c r="D850" s="81"/>
      <c r="E850" s="81"/>
      <c r="F850" s="81"/>
      <c r="G850" s="105"/>
      <c r="H850" s="81"/>
      <c r="I850" s="81"/>
      <c r="J850" s="81"/>
      <c r="K850" s="105"/>
      <c r="L850" s="81"/>
      <c r="M850" s="81"/>
      <c r="N850" s="81"/>
      <c r="O850" s="81"/>
      <c r="P850" s="81"/>
      <c r="Q850" s="81"/>
      <c r="R850" s="105"/>
      <c r="S850" s="81"/>
      <c r="T850" s="81"/>
      <c r="U850" s="81"/>
      <c r="V850" s="105"/>
      <c r="W850" s="81"/>
      <c r="X850" s="81"/>
      <c r="Y850" s="105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105"/>
      <c r="AM850" s="81"/>
      <c r="AN850" s="81"/>
      <c r="AO850" s="81"/>
      <c r="AP850" s="81"/>
      <c r="AQ850" s="81"/>
      <c r="AR850" s="81"/>
      <c r="AS850" s="81"/>
      <c r="AT850" s="81"/>
      <c r="AU850" s="81"/>
    </row>
    <row r="851" spans="1:47" ht="24" customHeight="1" x14ac:dyDescent="0.5">
      <c r="A851" s="81"/>
      <c r="B851" s="81"/>
      <c r="C851" s="81"/>
      <c r="D851" s="81"/>
      <c r="E851" s="81"/>
      <c r="F851" s="81"/>
      <c r="G851" s="105"/>
      <c r="H851" s="81"/>
      <c r="I851" s="81"/>
      <c r="J851" s="81"/>
      <c r="K851" s="105"/>
      <c r="L851" s="81"/>
      <c r="M851" s="81"/>
      <c r="N851" s="81"/>
      <c r="O851" s="81"/>
      <c r="P851" s="81"/>
      <c r="Q851" s="81"/>
      <c r="R851" s="105"/>
      <c r="S851" s="81"/>
      <c r="T851" s="81"/>
      <c r="U851" s="81"/>
      <c r="V851" s="105"/>
      <c r="W851" s="81"/>
      <c r="X851" s="81"/>
      <c r="Y851" s="105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105"/>
      <c r="AM851" s="81"/>
      <c r="AN851" s="81"/>
      <c r="AO851" s="81"/>
      <c r="AP851" s="81"/>
      <c r="AQ851" s="81"/>
      <c r="AR851" s="81"/>
      <c r="AS851" s="81"/>
      <c r="AT851" s="81"/>
      <c r="AU851" s="81"/>
    </row>
    <row r="852" spans="1:47" ht="24" customHeight="1" x14ac:dyDescent="0.5">
      <c r="A852" s="81"/>
      <c r="B852" s="81"/>
      <c r="C852" s="81"/>
      <c r="D852" s="81"/>
      <c r="E852" s="81"/>
      <c r="F852" s="81"/>
      <c r="G852" s="105"/>
      <c r="H852" s="81"/>
      <c r="I852" s="81"/>
      <c r="J852" s="81"/>
      <c r="K852" s="105"/>
      <c r="L852" s="81"/>
      <c r="M852" s="81"/>
      <c r="N852" s="81"/>
      <c r="O852" s="81"/>
      <c r="P852" s="81"/>
      <c r="Q852" s="81"/>
      <c r="R852" s="105"/>
      <c r="S852" s="81"/>
      <c r="T852" s="81"/>
      <c r="U852" s="81"/>
      <c r="V852" s="105"/>
      <c r="W852" s="81"/>
      <c r="X852" s="81"/>
      <c r="Y852" s="105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105"/>
      <c r="AM852" s="81"/>
      <c r="AN852" s="81"/>
      <c r="AO852" s="81"/>
      <c r="AP852" s="81"/>
      <c r="AQ852" s="81"/>
      <c r="AR852" s="81"/>
      <c r="AS852" s="81"/>
      <c r="AT852" s="81"/>
      <c r="AU852" s="81"/>
    </row>
    <row r="853" spans="1:47" ht="24" customHeight="1" x14ac:dyDescent="0.5">
      <c r="A853" s="81"/>
      <c r="B853" s="81"/>
      <c r="C853" s="81"/>
      <c r="D853" s="81"/>
      <c r="E853" s="81"/>
      <c r="F853" s="81"/>
      <c r="G853" s="105"/>
      <c r="H853" s="81"/>
      <c r="I853" s="81"/>
      <c r="J853" s="81"/>
      <c r="K853" s="105"/>
      <c r="L853" s="81"/>
      <c r="M853" s="81"/>
      <c r="N853" s="81"/>
      <c r="O853" s="81"/>
      <c r="P853" s="81"/>
      <c r="Q853" s="81"/>
      <c r="R853" s="105"/>
      <c r="S853" s="81"/>
      <c r="T853" s="81"/>
      <c r="U853" s="81"/>
      <c r="V853" s="105"/>
      <c r="W853" s="81"/>
      <c r="X853" s="81"/>
      <c r="Y853" s="105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105"/>
      <c r="AM853" s="81"/>
      <c r="AN853" s="81"/>
      <c r="AO853" s="81"/>
      <c r="AP853" s="81"/>
      <c r="AQ853" s="81"/>
      <c r="AR853" s="81"/>
      <c r="AS853" s="81"/>
      <c r="AT853" s="81"/>
      <c r="AU853" s="81"/>
    </row>
    <row r="854" spans="1:47" ht="24" customHeight="1" x14ac:dyDescent="0.5">
      <c r="A854" s="81"/>
      <c r="B854" s="81"/>
      <c r="C854" s="81"/>
      <c r="D854" s="81"/>
      <c r="E854" s="81"/>
      <c r="F854" s="81"/>
      <c r="G854" s="105"/>
      <c r="H854" s="81"/>
      <c r="I854" s="81"/>
      <c r="J854" s="81"/>
      <c r="K854" s="105"/>
      <c r="L854" s="81"/>
      <c r="M854" s="81"/>
      <c r="N854" s="81"/>
      <c r="O854" s="81"/>
      <c r="P854" s="81"/>
      <c r="Q854" s="81"/>
      <c r="R854" s="105"/>
      <c r="S854" s="81"/>
      <c r="T854" s="81"/>
      <c r="U854" s="81"/>
      <c r="V854" s="105"/>
      <c r="W854" s="81"/>
      <c r="X854" s="81"/>
      <c r="Y854" s="105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105"/>
      <c r="AM854" s="81"/>
      <c r="AN854" s="81"/>
      <c r="AO854" s="81"/>
      <c r="AP854" s="81"/>
      <c r="AQ854" s="81"/>
      <c r="AR854" s="81"/>
      <c r="AS854" s="81"/>
      <c r="AT854" s="81"/>
      <c r="AU854" s="81"/>
    </row>
    <row r="855" spans="1:47" ht="24" customHeight="1" x14ac:dyDescent="0.5">
      <c r="A855" s="81"/>
      <c r="B855" s="81"/>
      <c r="C855" s="81"/>
      <c r="D855" s="81"/>
      <c r="E855" s="81"/>
      <c r="F855" s="81"/>
      <c r="G855" s="105"/>
      <c r="H855" s="81"/>
      <c r="I855" s="81"/>
      <c r="J855" s="81"/>
      <c r="K855" s="105"/>
      <c r="L855" s="81"/>
      <c r="M855" s="81"/>
      <c r="N855" s="81"/>
      <c r="O855" s="81"/>
      <c r="P855" s="81"/>
      <c r="Q855" s="81"/>
      <c r="R855" s="105"/>
      <c r="S855" s="81"/>
      <c r="T855" s="81"/>
      <c r="U855" s="81"/>
      <c r="V855" s="105"/>
      <c r="W855" s="81"/>
      <c r="X855" s="81"/>
      <c r="Y855" s="105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105"/>
      <c r="AM855" s="81"/>
      <c r="AN855" s="81"/>
      <c r="AO855" s="81"/>
      <c r="AP855" s="81"/>
      <c r="AQ855" s="81"/>
      <c r="AR855" s="81"/>
      <c r="AS855" s="81"/>
      <c r="AT855" s="81"/>
      <c r="AU855" s="81"/>
    </row>
    <row r="856" spans="1:47" ht="24" customHeight="1" x14ac:dyDescent="0.5">
      <c r="A856" s="81"/>
      <c r="B856" s="81"/>
      <c r="C856" s="81"/>
      <c r="D856" s="81"/>
      <c r="E856" s="81"/>
      <c r="F856" s="81"/>
      <c r="G856" s="105"/>
      <c r="H856" s="81"/>
      <c r="I856" s="81"/>
      <c r="J856" s="81"/>
      <c r="K856" s="105"/>
      <c r="L856" s="81"/>
      <c r="M856" s="81"/>
      <c r="N856" s="81"/>
      <c r="O856" s="81"/>
      <c r="P856" s="81"/>
      <c r="Q856" s="81"/>
      <c r="R856" s="105"/>
      <c r="S856" s="81"/>
      <c r="T856" s="81"/>
      <c r="U856" s="81"/>
      <c r="V856" s="105"/>
      <c r="W856" s="81"/>
      <c r="X856" s="81"/>
      <c r="Y856" s="105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105"/>
      <c r="AM856" s="81"/>
      <c r="AN856" s="81"/>
      <c r="AO856" s="81"/>
      <c r="AP856" s="81"/>
      <c r="AQ856" s="81"/>
      <c r="AR856" s="81"/>
      <c r="AS856" s="81"/>
      <c r="AT856" s="81"/>
      <c r="AU856" s="81"/>
    </row>
    <row r="857" spans="1:47" ht="24" customHeight="1" x14ac:dyDescent="0.5">
      <c r="A857" s="81"/>
      <c r="B857" s="81"/>
      <c r="C857" s="81"/>
      <c r="D857" s="81"/>
      <c r="E857" s="81"/>
      <c r="F857" s="81"/>
      <c r="G857" s="105"/>
      <c r="H857" s="81"/>
      <c r="I857" s="81"/>
      <c r="J857" s="81"/>
      <c r="K857" s="105"/>
      <c r="L857" s="81"/>
      <c r="M857" s="81"/>
      <c r="N857" s="81"/>
      <c r="O857" s="81"/>
      <c r="P857" s="81"/>
      <c r="Q857" s="81"/>
      <c r="R857" s="105"/>
      <c r="S857" s="81"/>
      <c r="T857" s="81"/>
      <c r="U857" s="81"/>
      <c r="V857" s="105"/>
      <c r="W857" s="81"/>
      <c r="X857" s="81"/>
      <c r="Y857" s="105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105"/>
      <c r="AM857" s="81"/>
      <c r="AN857" s="81"/>
      <c r="AO857" s="81"/>
      <c r="AP857" s="81"/>
      <c r="AQ857" s="81"/>
      <c r="AR857" s="81"/>
      <c r="AS857" s="81"/>
      <c r="AT857" s="81"/>
      <c r="AU857" s="81"/>
    </row>
    <row r="858" spans="1:47" ht="24" customHeight="1" x14ac:dyDescent="0.5">
      <c r="A858" s="81"/>
      <c r="B858" s="81"/>
      <c r="C858" s="81"/>
      <c r="D858" s="81"/>
      <c r="E858" s="81"/>
      <c r="F858" s="81"/>
      <c r="G858" s="105"/>
      <c r="H858" s="81"/>
      <c r="I858" s="81"/>
      <c r="J858" s="81"/>
      <c r="K858" s="105"/>
      <c r="L858" s="81"/>
      <c r="M858" s="81"/>
      <c r="N858" s="81"/>
      <c r="O858" s="81"/>
      <c r="P858" s="81"/>
      <c r="Q858" s="81"/>
      <c r="R858" s="105"/>
      <c r="S858" s="81"/>
      <c r="T858" s="81"/>
      <c r="U858" s="81"/>
      <c r="V858" s="105"/>
      <c r="W858" s="81"/>
      <c r="X858" s="81"/>
      <c r="Y858" s="105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105"/>
      <c r="AM858" s="81"/>
      <c r="AN858" s="81"/>
      <c r="AO858" s="81"/>
      <c r="AP858" s="81"/>
      <c r="AQ858" s="81"/>
      <c r="AR858" s="81"/>
      <c r="AS858" s="81"/>
      <c r="AT858" s="81"/>
      <c r="AU858" s="81"/>
    </row>
    <row r="859" spans="1:47" ht="24" customHeight="1" x14ac:dyDescent="0.5">
      <c r="A859" s="81"/>
      <c r="B859" s="81"/>
      <c r="C859" s="81"/>
      <c r="D859" s="81"/>
      <c r="E859" s="81"/>
      <c r="F859" s="81"/>
      <c r="G859" s="105"/>
      <c r="H859" s="81"/>
      <c r="I859" s="81"/>
      <c r="J859" s="81"/>
      <c r="K859" s="105"/>
      <c r="L859" s="81"/>
      <c r="M859" s="81"/>
      <c r="N859" s="81"/>
      <c r="O859" s="81"/>
      <c r="P859" s="81"/>
      <c r="Q859" s="81"/>
      <c r="R859" s="105"/>
      <c r="S859" s="81"/>
      <c r="T859" s="81"/>
      <c r="U859" s="81"/>
      <c r="V859" s="105"/>
      <c r="W859" s="81"/>
      <c r="X859" s="81"/>
      <c r="Y859" s="105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105"/>
      <c r="AM859" s="81"/>
      <c r="AN859" s="81"/>
      <c r="AO859" s="81"/>
      <c r="AP859" s="81"/>
      <c r="AQ859" s="81"/>
      <c r="AR859" s="81"/>
      <c r="AS859" s="81"/>
      <c r="AT859" s="81"/>
      <c r="AU859" s="81"/>
    </row>
    <row r="860" spans="1:47" ht="24" customHeight="1" x14ac:dyDescent="0.5">
      <c r="A860" s="81"/>
      <c r="B860" s="81"/>
      <c r="C860" s="81"/>
      <c r="D860" s="81"/>
      <c r="E860" s="81"/>
      <c r="F860" s="81"/>
      <c r="G860" s="105"/>
      <c r="H860" s="81"/>
      <c r="I860" s="81"/>
      <c r="J860" s="81"/>
      <c r="K860" s="105"/>
      <c r="L860" s="81"/>
      <c r="M860" s="81"/>
      <c r="N860" s="81"/>
      <c r="O860" s="81"/>
      <c r="P860" s="81"/>
      <c r="Q860" s="81"/>
      <c r="R860" s="105"/>
      <c r="S860" s="81"/>
      <c r="T860" s="81"/>
      <c r="U860" s="81"/>
      <c r="V860" s="105"/>
      <c r="W860" s="81"/>
      <c r="X860" s="81"/>
      <c r="Y860" s="105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105"/>
      <c r="AM860" s="81"/>
      <c r="AN860" s="81"/>
      <c r="AO860" s="81"/>
      <c r="AP860" s="81"/>
      <c r="AQ860" s="81"/>
      <c r="AR860" s="81"/>
      <c r="AS860" s="81"/>
      <c r="AT860" s="81"/>
      <c r="AU860" s="81"/>
    </row>
    <row r="861" spans="1:47" ht="24" customHeight="1" x14ac:dyDescent="0.5">
      <c r="A861" s="81"/>
      <c r="B861" s="81"/>
      <c r="C861" s="81"/>
      <c r="D861" s="81"/>
      <c r="E861" s="81"/>
      <c r="F861" s="81"/>
      <c r="G861" s="105"/>
      <c r="H861" s="81"/>
      <c r="I861" s="81"/>
      <c r="J861" s="81"/>
      <c r="K861" s="105"/>
      <c r="L861" s="81"/>
      <c r="M861" s="81"/>
      <c r="N861" s="81"/>
      <c r="O861" s="81"/>
      <c r="P861" s="81"/>
      <c r="Q861" s="81"/>
      <c r="R861" s="105"/>
      <c r="S861" s="81"/>
      <c r="T861" s="81"/>
      <c r="U861" s="81"/>
      <c r="V861" s="105"/>
      <c r="W861" s="81"/>
      <c r="X861" s="81"/>
      <c r="Y861" s="105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105"/>
      <c r="AM861" s="81"/>
      <c r="AN861" s="81"/>
      <c r="AO861" s="81"/>
      <c r="AP861" s="81"/>
      <c r="AQ861" s="81"/>
      <c r="AR861" s="81"/>
      <c r="AS861" s="81"/>
      <c r="AT861" s="81"/>
      <c r="AU861" s="81"/>
    </row>
    <row r="862" spans="1:47" ht="24" customHeight="1" x14ac:dyDescent="0.5">
      <c r="A862" s="81"/>
      <c r="B862" s="81"/>
      <c r="C862" s="81"/>
      <c r="D862" s="81"/>
      <c r="E862" s="81"/>
      <c r="F862" s="81"/>
      <c r="G862" s="105"/>
      <c r="H862" s="81"/>
      <c r="I862" s="81"/>
      <c r="J862" s="81"/>
      <c r="K862" s="105"/>
      <c r="L862" s="81"/>
      <c r="M862" s="81"/>
      <c r="N862" s="81"/>
      <c r="O862" s="81"/>
      <c r="P862" s="81"/>
      <c r="Q862" s="81"/>
      <c r="R862" s="105"/>
      <c r="S862" s="81"/>
      <c r="T862" s="81"/>
      <c r="U862" s="81"/>
      <c r="V862" s="105"/>
      <c r="W862" s="81"/>
      <c r="X862" s="81"/>
      <c r="Y862" s="105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105"/>
      <c r="AM862" s="81"/>
      <c r="AN862" s="81"/>
      <c r="AO862" s="81"/>
      <c r="AP862" s="81"/>
      <c r="AQ862" s="81"/>
      <c r="AR862" s="81"/>
      <c r="AS862" s="81"/>
      <c r="AT862" s="81"/>
      <c r="AU862" s="81"/>
    </row>
    <row r="863" spans="1:47" ht="24" customHeight="1" x14ac:dyDescent="0.5">
      <c r="A863" s="81"/>
      <c r="B863" s="81"/>
      <c r="C863" s="81"/>
      <c r="D863" s="81"/>
      <c r="E863" s="81"/>
      <c r="F863" s="81"/>
      <c r="G863" s="105"/>
      <c r="H863" s="81"/>
      <c r="I863" s="81"/>
      <c r="J863" s="81"/>
      <c r="K863" s="105"/>
      <c r="L863" s="81"/>
      <c r="M863" s="81"/>
      <c r="N863" s="81"/>
      <c r="O863" s="81"/>
      <c r="P863" s="81"/>
      <c r="Q863" s="81"/>
      <c r="R863" s="105"/>
      <c r="S863" s="81"/>
      <c r="T863" s="81"/>
      <c r="U863" s="81"/>
      <c r="V863" s="105"/>
      <c r="W863" s="81"/>
      <c r="X863" s="81"/>
      <c r="Y863" s="105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105"/>
      <c r="AM863" s="81"/>
      <c r="AN863" s="81"/>
      <c r="AO863" s="81"/>
      <c r="AP863" s="81"/>
      <c r="AQ863" s="81"/>
      <c r="AR863" s="81"/>
      <c r="AS863" s="81"/>
      <c r="AT863" s="81"/>
      <c r="AU863" s="81"/>
    </row>
    <row r="864" spans="1:47" ht="24" customHeight="1" x14ac:dyDescent="0.5">
      <c r="A864" s="81"/>
      <c r="B864" s="81"/>
      <c r="C864" s="81"/>
      <c r="D864" s="81"/>
      <c r="E864" s="81"/>
      <c r="F864" s="81"/>
      <c r="G864" s="105"/>
      <c r="H864" s="81"/>
      <c r="I864" s="81"/>
      <c r="J864" s="81"/>
      <c r="K864" s="105"/>
      <c r="L864" s="81"/>
      <c r="M864" s="81"/>
      <c r="N864" s="81"/>
      <c r="O864" s="81"/>
      <c r="P864" s="81"/>
      <c r="Q864" s="81"/>
      <c r="R864" s="105"/>
      <c r="S864" s="81"/>
      <c r="T864" s="81"/>
      <c r="U864" s="81"/>
      <c r="V864" s="105"/>
      <c r="W864" s="81"/>
      <c r="X864" s="81"/>
      <c r="Y864" s="105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105"/>
      <c r="AM864" s="81"/>
      <c r="AN864" s="81"/>
      <c r="AO864" s="81"/>
      <c r="AP864" s="81"/>
      <c r="AQ864" s="81"/>
      <c r="AR864" s="81"/>
      <c r="AS864" s="81"/>
      <c r="AT864" s="81"/>
      <c r="AU864" s="81"/>
    </row>
    <row r="865" spans="1:47" ht="24" customHeight="1" x14ac:dyDescent="0.5">
      <c r="A865" s="81"/>
      <c r="B865" s="81"/>
      <c r="C865" s="81"/>
      <c r="D865" s="81"/>
      <c r="E865" s="81"/>
      <c r="F865" s="81"/>
      <c r="G865" s="105"/>
      <c r="H865" s="81"/>
      <c r="I865" s="81"/>
      <c r="J865" s="81"/>
      <c r="K865" s="105"/>
      <c r="L865" s="81"/>
      <c r="M865" s="81"/>
      <c r="N865" s="81"/>
      <c r="O865" s="81"/>
      <c r="P865" s="81"/>
      <c r="Q865" s="81"/>
      <c r="R865" s="105"/>
      <c r="S865" s="81"/>
      <c r="T865" s="81"/>
      <c r="U865" s="81"/>
      <c r="V865" s="105"/>
      <c r="W865" s="81"/>
      <c r="X865" s="81"/>
      <c r="Y865" s="105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105"/>
      <c r="AM865" s="81"/>
      <c r="AN865" s="81"/>
      <c r="AO865" s="81"/>
      <c r="AP865" s="81"/>
      <c r="AQ865" s="81"/>
      <c r="AR865" s="81"/>
      <c r="AS865" s="81"/>
      <c r="AT865" s="81"/>
      <c r="AU865" s="81"/>
    </row>
    <row r="866" spans="1:47" ht="24" customHeight="1" x14ac:dyDescent="0.5">
      <c r="A866" s="81"/>
      <c r="B866" s="81"/>
      <c r="C866" s="81"/>
      <c r="D866" s="81"/>
      <c r="E866" s="81"/>
      <c r="F866" s="81"/>
      <c r="G866" s="105"/>
      <c r="H866" s="81"/>
      <c r="I866" s="81"/>
      <c r="J866" s="81"/>
      <c r="K866" s="105"/>
      <c r="L866" s="81"/>
      <c r="M866" s="81"/>
      <c r="N866" s="81"/>
      <c r="O866" s="81"/>
      <c r="P866" s="81"/>
      <c r="Q866" s="81"/>
      <c r="R866" s="105"/>
      <c r="S866" s="81"/>
      <c r="T866" s="81"/>
      <c r="U866" s="81"/>
      <c r="V866" s="105"/>
      <c r="W866" s="81"/>
      <c r="X866" s="81"/>
      <c r="Y866" s="105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105"/>
      <c r="AM866" s="81"/>
      <c r="AN866" s="81"/>
      <c r="AO866" s="81"/>
      <c r="AP866" s="81"/>
      <c r="AQ866" s="81"/>
      <c r="AR866" s="81"/>
      <c r="AS866" s="81"/>
      <c r="AT866" s="81"/>
      <c r="AU866" s="81"/>
    </row>
    <row r="867" spans="1:47" ht="24" customHeight="1" x14ac:dyDescent="0.5">
      <c r="A867" s="81"/>
      <c r="B867" s="81"/>
      <c r="C867" s="81"/>
      <c r="D867" s="81"/>
      <c r="E867" s="81"/>
      <c r="F867" s="81"/>
      <c r="G867" s="105"/>
      <c r="H867" s="81"/>
      <c r="I867" s="81"/>
      <c r="J867" s="81"/>
      <c r="K867" s="105"/>
      <c r="L867" s="81"/>
      <c r="M867" s="81"/>
      <c r="N867" s="81"/>
      <c r="O867" s="81"/>
      <c r="P867" s="81"/>
      <c r="Q867" s="81"/>
      <c r="R867" s="105"/>
      <c r="S867" s="81"/>
      <c r="T867" s="81"/>
      <c r="U867" s="81"/>
      <c r="V867" s="105"/>
      <c r="W867" s="81"/>
      <c r="X867" s="81"/>
      <c r="Y867" s="105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105"/>
      <c r="AM867" s="81"/>
      <c r="AN867" s="81"/>
      <c r="AO867" s="81"/>
      <c r="AP867" s="81"/>
      <c r="AQ867" s="81"/>
      <c r="AR867" s="81"/>
      <c r="AS867" s="81"/>
      <c r="AT867" s="81"/>
      <c r="AU867" s="81"/>
    </row>
    <row r="868" spans="1:47" ht="24" customHeight="1" x14ac:dyDescent="0.5">
      <c r="A868" s="81"/>
      <c r="B868" s="81"/>
      <c r="C868" s="81"/>
      <c r="D868" s="81"/>
      <c r="E868" s="81"/>
      <c r="F868" s="81"/>
      <c r="G868" s="105"/>
      <c r="H868" s="81"/>
      <c r="I868" s="81"/>
      <c r="J868" s="81"/>
      <c r="K868" s="105"/>
      <c r="L868" s="81"/>
      <c r="M868" s="81"/>
      <c r="N868" s="81"/>
      <c r="O868" s="81"/>
      <c r="P868" s="81"/>
      <c r="Q868" s="81"/>
      <c r="R868" s="105"/>
      <c r="S868" s="81"/>
      <c r="T868" s="81"/>
      <c r="U868" s="81"/>
      <c r="V868" s="105"/>
      <c r="W868" s="81"/>
      <c r="X868" s="81"/>
      <c r="Y868" s="105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105"/>
      <c r="AM868" s="81"/>
      <c r="AN868" s="81"/>
      <c r="AO868" s="81"/>
      <c r="AP868" s="81"/>
      <c r="AQ868" s="81"/>
      <c r="AR868" s="81"/>
      <c r="AS868" s="81"/>
      <c r="AT868" s="81"/>
      <c r="AU868" s="81"/>
    </row>
    <row r="869" spans="1:47" ht="24" customHeight="1" x14ac:dyDescent="0.5">
      <c r="A869" s="81"/>
      <c r="B869" s="81"/>
      <c r="C869" s="81"/>
      <c r="D869" s="81"/>
      <c r="E869" s="81"/>
      <c r="F869" s="81"/>
      <c r="G869" s="105"/>
      <c r="H869" s="81"/>
      <c r="I869" s="81"/>
      <c r="J869" s="81"/>
      <c r="K869" s="105"/>
      <c r="L869" s="81"/>
      <c r="M869" s="81"/>
      <c r="N869" s="81"/>
      <c r="O869" s="81"/>
      <c r="P869" s="81"/>
      <c r="Q869" s="81"/>
      <c r="R869" s="105"/>
      <c r="S869" s="81"/>
      <c r="T869" s="81"/>
      <c r="U869" s="81"/>
      <c r="V869" s="105"/>
      <c r="W869" s="81"/>
      <c r="X869" s="81"/>
      <c r="Y869" s="105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105"/>
      <c r="AM869" s="81"/>
      <c r="AN869" s="81"/>
      <c r="AO869" s="81"/>
      <c r="AP869" s="81"/>
      <c r="AQ869" s="81"/>
      <c r="AR869" s="81"/>
      <c r="AS869" s="81"/>
      <c r="AT869" s="81"/>
      <c r="AU869" s="81"/>
    </row>
    <row r="870" spans="1:47" ht="24" customHeight="1" x14ac:dyDescent="0.5">
      <c r="A870" s="81"/>
      <c r="B870" s="81"/>
      <c r="C870" s="81"/>
      <c r="D870" s="81"/>
      <c r="E870" s="81"/>
      <c r="F870" s="81"/>
      <c r="G870" s="105"/>
      <c r="H870" s="81"/>
      <c r="I870" s="81"/>
      <c r="J870" s="81"/>
      <c r="K870" s="105"/>
      <c r="L870" s="81"/>
      <c r="M870" s="81"/>
      <c r="N870" s="81"/>
      <c r="O870" s="81"/>
      <c r="P870" s="81"/>
      <c r="Q870" s="81"/>
      <c r="R870" s="105"/>
      <c r="S870" s="81"/>
      <c r="T870" s="81"/>
      <c r="U870" s="81"/>
      <c r="V870" s="105"/>
      <c r="W870" s="81"/>
      <c r="X870" s="81"/>
      <c r="Y870" s="105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105"/>
      <c r="AM870" s="81"/>
      <c r="AN870" s="81"/>
      <c r="AO870" s="81"/>
      <c r="AP870" s="81"/>
      <c r="AQ870" s="81"/>
      <c r="AR870" s="81"/>
      <c r="AS870" s="81"/>
      <c r="AT870" s="81"/>
      <c r="AU870" s="81"/>
    </row>
    <row r="871" spans="1:47" ht="24" customHeight="1" x14ac:dyDescent="0.5">
      <c r="A871" s="81"/>
      <c r="B871" s="81"/>
      <c r="C871" s="81"/>
      <c r="D871" s="81"/>
      <c r="E871" s="81"/>
      <c r="F871" s="81"/>
      <c r="G871" s="105"/>
      <c r="H871" s="81"/>
      <c r="I871" s="81"/>
      <c r="J871" s="81"/>
      <c r="K871" s="105"/>
      <c r="L871" s="81"/>
      <c r="M871" s="81"/>
      <c r="N871" s="81"/>
      <c r="O871" s="81"/>
      <c r="P871" s="81"/>
      <c r="Q871" s="81"/>
      <c r="R871" s="105"/>
      <c r="S871" s="81"/>
      <c r="T871" s="81"/>
      <c r="U871" s="81"/>
      <c r="V871" s="105"/>
      <c r="W871" s="81"/>
      <c r="X871" s="81"/>
      <c r="Y871" s="105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105"/>
      <c r="AM871" s="81"/>
      <c r="AN871" s="81"/>
      <c r="AO871" s="81"/>
      <c r="AP871" s="81"/>
      <c r="AQ871" s="81"/>
      <c r="AR871" s="81"/>
      <c r="AS871" s="81"/>
      <c r="AT871" s="81"/>
      <c r="AU871" s="81"/>
    </row>
    <row r="872" spans="1:47" ht="24" customHeight="1" x14ac:dyDescent="0.5">
      <c r="A872" s="81"/>
      <c r="B872" s="81"/>
      <c r="C872" s="81"/>
      <c r="D872" s="81"/>
      <c r="E872" s="81"/>
      <c r="F872" s="81"/>
      <c r="G872" s="105"/>
      <c r="H872" s="81"/>
      <c r="I872" s="81"/>
      <c r="J872" s="81"/>
      <c r="K872" s="105"/>
      <c r="L872" s="81"/>
      <c r="M872" s="81"/>
      <c r="N872" s="81"/>
      <c r="O872" s="81"/>
      <c r="P872" s="81"/>
      <c r="Q872" s="81"/>
      <c r="R872" s="105"/>
      <c r="S872" s="81"/>
      <c r="T872" s="81"/>
      <c r="U872" s="81"/>
      <c r="V872" s="105"/>
      <c r="W872" s="81"/>
      <c r="X872" s="81"/>
      <c r="Y872" s="105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105"/>
      <c r="AM872" s="81"/>
      <c r="AN872" s="81"/>
      <c r="AO872" s="81"/>
      <c r="AP872" s="81"/>
      <c r="AQ872" s="81"/>
      <c r="AR872" s="81"/>
      <c r="AS872" s="81"/>
      <c r="AT872" s="81"/>
      <c r="AU872" s="81"/>
    </row>
    <row r="873" spans="1:47" ht="24" customHeight="1" x14ac:dyDescent="0.5">
      <c r="A873" s="81"/>
      <c r="B873" s="81"/>
      <c r="C873" s="81"/>
      <c r="D873" s="81"/>
      <c r="E873" s="81"/>
      <c r="F873" s="81"/>
      <c r="G873" s="105"/>
      <c r="H873" s="81"/>
      <c r="I873" s="81"/>
      <c r="J873" s="81"/>
      <c r="K873" s="105"/>
      <c r="L873" s="81"/>
      <c r="M873" s="81"/>
      <c r="N873" s="81"/>
      <c r="O873" s="81"/>
      <c r="P873" s="81"/>
      <c r="Q873" s="81"/>
      <c r="R873" s="105"/>
      <c r="S873" s="81"/>
      <c r="T873" s="81"/>
      <c r="U873" s="81"/>
      <c r="V873" s="105"/>
      <c r="W873" s="81"/>
      <c r="X873" s="81"/>
      <c r="Y873" s="105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105"/>
      <c r="AM873" s="81"/>
      <c r="AN873" s="81"/>
      <c r="AO873" s="81"/>
      <c r="AP873" s="81"/>
      <c r="AQ873" s="81"/>
      <c r="AR873" s="81"/>
      <c r="AS873" s="81"/>
      <c r="AT873" s="81"/>
      <c r="AU873" s="81"/>
    </row>
    <row r="874" spans="1:47" ht="24" customHeight="1" x14ac:dyDescent="0.5">
      <c r="A874" s="81"/>
      <c r="B874" s="81"/>
      <c r="C874" s="81"/>
      <c r="D874" s="81"/>
      <c r="E874" s="81"/>
      <c r="F874" s="81"/>
      <c r="G874" s="105"/>
      <c r="H874" s="81"/>
      <c r="I874" s="81"/>
      <c r="J874" s="81"/>
      <c r="K874" s="105"/>
      <c r="L874" s="81"/>
      <c r="M874" s="81"/>
      <c r="N874" s="81"/>
      <c r="O874" s="81"/>
      <c r="P874" s="81"/>
      <c r="Q874" s="81"/>
      <c r="R874" s="105"/>
      <c r="S874" s="81"/>
      <c r="T874" s="81"/>
      <c r="U874" s="81"/>
      <c r="V874" s="105"/>
      <c r="W874" s="81"/>
      <c r="X874" s="81"/>
      <c r="Y874" s="105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105"/>
      <c r="AM874" s="81"/>
      <c r="AN874" s="81"/>
      <c r="AO874" s="81"/>
      <c r="AP874" s="81"/>
      <c r="AQ874" s="81"/>
      <c r="AR874" s="81"/>
      <c r="AS874" s="81"/>
      <c r="AT874" s="81"/>
      <c r="AU874" s="81"/>
    </row>
    <row r="875" spans="1:47" ht="24" customHeight="1" x14ac:dyDescent="0.5">
      <c r="A875" s="81"/>
      <c r="B875" s="81"/>
      <c r="C875" s="81"/>
      <c r="D875" s="81"/>
      <c r="E875" s="81"/>
      <c r="F875" s="81"/>
      <c r="G875" s="105"/>
      <c r="H875" s="81"/>
      <c r="I875" s="81"/>
      <c r="J875" s="81"/>
      <c r="K875" s="105"/>
      <c r="L875" s="81"/>
      <c r="M875" s="81"/>
      <c r="N875" s="81"/>
      <c r="O875" s="81"/>
      <c r="P875" s="81"/>
      <c r="Q875" s="81"/>
      <c r="R875" s="105"/>
      <c r="S875" s="81"/>
      <c r="T875" s="81"/>
      <c r="U875" s="81"/>
      <c r="V875" s="105"/>
      <c r="W875" s="81"/>
      <c r="X875" s="81"/>
      <c r="Y875" s="105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105"/>
      <c r="AM875" s="81"/>
      <c r="AN875" s="81"/>
      <c r="AO875" s="81"/>
      <c r="AP875" s="81"/>
      <c r="AQ875" s="81"/>
      <c r="AR875" s="81"/>
      <c r="AS875" s="81"/>
      <c r="AT875" s="81"/>
      <c r="AU875" s="81"/>
    </row>
    <row r="876" spans="1:47" ht="24" customHeight="1" x14ac:dyDescent="0.5">
      <c r="A876" s="81"/>
      <c r="B876" s="81"/>
      <c r="C876" s="81"/>
      <c r="D876" s="81"/>
      <c r="E876" s="81"/>
      <c r="F876" s="81"/>
      <c r="G876" s="105"/>
      <c r="H876" s="81"/>
      <c r="I876" s="81"/>
      <c r="J876" s="81"/>
      <c r="K876" s="105"/>
      <c r="L876" s="81"/>
      <c r="M876" s="81"/>
      <c r="N876" s="81"/>
      <c r="O876" s="81"/>
      <c r="P876" s="81"/>
      <c r="Q876" s="81"/>
      <c r="R876" s="105"/>
      <c r="S876" s="81"/>
      <c r="T876" s="81"/>
      <c r="U876" s="81"/>
      <c r="V876" s="105"/>
      <c r="W876" s="81"/>
      <c r="X876" s="81"/>
      <c r="Y876" s="105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105"/>
      <c r="AM876" s="81"/>
      <c r="AN876" s="81"/>
      <c r="AO876" s="81"/>
      <c r="AP876" s="81"/>
      <c r="AQ876" s="81"/>
      <c r="AR876" s="81"/>
      <c r="AS876" s="81"/>
      <c r="AT876" s="81"/>
      <c r="AU876" s="81"/>
    </row>
    <row r="877" spans="1:47" ht="24" customHeight="1" x14ac:dyDescent="0.5">
      <c r="A877" s="81"/>
      <c r="B877" s="81"/>
      <c r="C877" s="81"/>
      <c r="D877" s="81"/>
      <c r="E877" s="81"/>
      <c r="F877" s="81"/>
      <c r="G877" s="105"/>
      <c r="H877" s="81"/>
      <c r="I877" s="81"/>
      <c r="J877" s="81"/>
      <c r="K877" s="105"/>
      <c r="L877" s="81"/>
      <c r="M877" s="81"/>
      <c r="N877" s="81"/>
      <c r="O877" s="81"/>
      <c r="P877" s="81"/>
      <c r="Q877" s="81"/>
      <c r="R877" s="105"/>
      <c r="S877" s="81"/>
      <c r="T877" s="81"/>
      <c r="U877" s="81"/>
      <c r="V877" s="105"/>
      <c r="W877" s="81"/>
      <c r="X877" s="81"/>
      <c r="Y877" s="105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105"/>
      <c r="AM877" s="81"/>
      <c r="AN877" s="81"/>
      <c r="AO877" s="81"/>
      <c r="AP877" s="81"/>
      <c r="AQ877" s="81"/>
      <c r="AR877" s="81"/>
      <c r="AS877" s="81"/>
      <c r="AT877" s="81"/>
      <c r="AU877" s="81"/>
    </row>
    <row r="878" spans="1:47" ht="24" customHeight="1" x14ac:dyDescent="0.5">
      <c r="A878" s="81"/>
      <c r="B878" s="81"/>
      <c r="C878" s="81"/>
      <c r="D878" s="81"/>
      <c r="E878" s="81"/>
      <c r="F878" s="81"/>
      <c r="G878" s="105"/>
      <c r="H878" s="81"/>
      <c r="I878" s="81"/>
      <c r="J878" s="81"/>
      <c r="K878" s="105"/>
      <c r="L878" s="81"/>
      <c r="M878" s="81"/>
      <c r="N878" s="81"/>
      <c r="O878" s="81"/>
      <c r="P878" s="81"/>
      <c r="Q878" s="81"/>
      <c r="R878" s="105"/>
      <c r="S878" s="81"/>
      <c r="T878" s="81"/>
      <c r="U878" s="81"/>
      <c r="V878" s="105"/>
      <c r="W878" s="81"/>
      <c r="X878" s="81"/>
      <c r="Y878" s="105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105"/>
      <c r="AM878" s="81"/>
      <c r="AN878" s="81"/>
      <c r="AO878" s="81"/>
      <c r="AP878" s="81"/>
      <c r="AQ878" s="81"/>
      <c r="AR878" s="81"/>
      <c r="AS878" s="81"/>
      <c r="AT878" s="81"/>
      <c r="AU878" s="81"/>
    </row>
    <row r="879" spans="1:47" ht="24" customHeight="1" x14ac:dyDescent="0.5">
      <c r="A879" s="81"/>
      <c r="B879" s="81"/>
      <c r="C879" s="81"/>
      <c r="D879" s="81"/>
      <c r="E879" s="81"/>
      <c r="F879" s="81"/>
      <c r="G879" s="105"/>
      <c r="H879" s="81"/>
      <c r="I879" s="81"/>
      <c r="J879" s="81"/>
      <c r="K879" s="105"/>
      <c r="L879" s="81"/>
      <c r="M879" s="81"/>
      <c r="N879" s="81"/>
      <c r="O879" s="81"/>
      <c r="P879" s="81"/>
      <c r="Q879" s="81"/>
      <c r="R879" s="105"/>
      <c r="S879" s="81"/>
      <c r="T879" s="81"/>
      <c r="U879" s="81"/>
      <c r="V879" s="105"/>
      <c r="W879" s="81"/>
      <c r="X879" s="81"/>
      <c r="Y879" s="105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105"/>
      <c r="AM879" s="81"/>
      <c r="AN879" s="81"/>
      <c r="AO879" s="81"/>
      <c r="AP879" s="81"/>
      <c r="AQ879" s="81"/>
      <c r="AR879" s="81"/>
      <c r="AS879" s="81"/>
      <c r="AT879" s="81"/>
      <c r="AU879" s="81"/>
    </row>
    <row r="880" spans="1:47" ht="24" customHeight="1" x14ac:dyDescent="0.5">
      <c r="A880" s="81"/>
      <c r="B880" s="81"/>
      <c r="C880" s="81"/>
      <c r="D880" s="81"/>
      <c r="E880" s="81"/>
      <c r="F880" s="81"/>
      <c r="G880" s="105"/>
      <c r="H880" s="81"/>
      <c r="I880" s="81"/>
      <c r="J880" s="81"/>
      <c r="K880" s="105"/>
      <c r="L880" s="81"/>
      <c r="M880" s="81"/>
      <c r="N880" s="81"/>
      <c r="O880" s="81"/>
      <c r="P880" s="81"/>
      <c r="Q880" s="81"/>
      <c r="R880" s="105"/>
      <c r="S880" s="81"/>
      <c r="T880" s="81"/>
      <c r="U880" s="81"/>
      <c r="V880" s="105"/>
      <c r="W880" s="81"/>
      <c r="X880" s="81"/>
      <c r="Y880" s="105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105"/>
      <c r="AM880" s="81"/>
      <c r="AN880" s="81"/>
      <c r="AO880" s="81"/>
      <c r="AP880" s="81"/>
      <c r="AQ880" s="81"/>
      <c r="AR880" s="81"/>
      <c r="AS880" s="81"/>
      <c r="AT880" s="81"/>
      <c r="AU880" s="81"/>
    </row>
    <row r="881" spans="1:47" ht="24" customHeight="1" x14ac:dyDescent="0.5">
      <c r="A881" s="81"/>
      <c r="B881" s="81"/>
      <c r="C881" s="81"/>
      <c r="D881" s="81"/>
      <c r="E881" s="81"/>
      <c r="F881" s="81"/>
      <c r="G881" s="105"/>
      <c r="H881" s="81"/>
      <c r="I881" s="81"/>
      <c r="J881" s="81"/>
      <c r="K881" s="105"/>
      <c r="L881" s="81"/>
      <c r="M881" s="81"/>
      <c r="N881" s="81"/>
      <c r="O881" s="81"/>
      <c r="P881" s="81"/>
      <c r="Q881" s="81"/>
      <c r="R881" s="105"/>
      <c r="S881" s="81"/>
      <c r="T881" s="81"/>
      <c r="U881" s="81"/>
      <c r="V881" s="105"/>
      <c r="W881" s="81"/>
      <c r="X881" s="81"/>
      <c r="Y881" s="105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105"/>
      <c r="AM881" s="81"/>
      <c r="AN881" s="81"/>
      <c r="AO881" s="81"/>
      <c r="AP881" s="81"/>
      <c r="AQ881" s="81"/>
      <c r="AR881" s="81"/>
      <c r="AS881" s="81"/>
      <c r="AT881" s="81"/>
      <c r="AU881" s="81"/>
    </row>
    <row r="882" spans="1:47" ht="24" customHeight="1" x14ac:dyDescent="0.5">
      <c r="A882" s="81"/>
      <c r="B882" s="81"/>
      <c r="C882" s="81"/>
      <c r="D882" s="81"/>
      <c r="E882" s="81"/>
      <c r="F882" s="81"/>
      <c r="G882" s="105"/>
      <c r="H882" s="81"/>
      <c r="I882" s="81"/>
      <c r="J882" s="81"/>
      <c r="K882" s="105"/>
      <c r="L882" s="81"/>
      <c r="M882" s="81"/>
      <c r="N882" s="81"/>
      <c r="O882" s="81"/>
      <c r="P882" s="81"/>
      <c r="Q882" s="81"/>
      <c r="R882" s="105"/>
      <c r="S882" s="81"/>
      <c r="T882" s="81"/>
      <c r="U882" s="81"/>
      <c r="V882" s="105"/>
      <c r="W882" s="81"/>
      <c r="X882" s="81"/>
      <c r="Y882" s="105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105"/>
      <c r="AM882" s="81"/>
      <c r="AN882" s="81"/>
      <c r="AO882" s="81"/>
      <c r="AP882" s="81"/>
      <c r="AQ882" s="81"/>
      <c r="AR882" s="81"/>
      <c r="AS882" s="81"/>
      <c r="AT882" s="81"/>
      <c r="AU882" s="81"/>
    </row>
    <row r="883" spans="1:47" ht="24" customHeight="1" x14ac:dyDescent="0.5">
      <c r="A883" s="81"/>
      <c r="B883" s="81"/>
      <c r="C883" s="81"/>
      <c r="D883" s="81"/>
      <c r="E883" s="81"/>
      <c r="F883" s="81"/>
      <c r="G883" s="105"/>
      <c r="H883" s="81"/>
      <c r="I883" s="81"/>
      <c r="J883" s="81"/>
      <c r="K883" s="105"/>
      <c r="L883" s="81"/>
      <c r="M883" s="81"/>
      <c r="N883" s="81"/>
      <c r="O883" s="81"/>
      <c r="P883" s="81"/>
      <c r="Q883" s="81"/>
      <c r="R883" s="105"/>
      <c r="S883" s="81"/>
      <c r="T883" s="81"/>
      <c r="U883" s="81"/>
      <c r="V883" s="105"/>
      <c r="W883" s="81"/>
      <c r="X883" s="81"/>
      <c r="Y883" s="105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105"/>
      <c r="AM883" s="81"/>
      <c r="AN883" s="81"/>
      <c r="AO883" s="81"/>
      <c r="AP883" s="81"/>
      <c r="AQ883" s="81"/>
      <c r="AR883" s="81"/>
      <c r="AS883" s="81"/>
      <c r="AT883" s="81"/>
      <c r="AU883" s="81"/>
    </row>
    <row r="884" spans="1:47" ht="24" customHeight="1" x14ac:dyDescent="0.5">
      <c r="A884" s="81"/>
      <c r="B884" s="81"/>
      <c r="C884" s="81"/>
      <c r="D884" s="81"/>
      <c r="E884" s="81"/>
      <c r="F884" s="81"/>
      <c r="G884" s="105"/>
      <c r="H884" s="81"/>
      <c r="I884" s="81"/>
      <c r="J884" s="81"/>
      <c r="K884" s="105"/>
      <c r="L884" s="81"/>
      <c r="M884" s="81"/>
      <c r="N884" s="81"/>
      <c r="O884" s="81"/>
      <c r="P884" s="81"/>
      <c r="Q884" s="81"/>
      <c r="R884" s="105"/>
      <c r="S884" s="81"/>
      <c r="T884" s="81"/>
      <c r="U884" s="81"/>
      <c r="V884" s="105"/>
      <c r="W884" s="81"/>
      <c r="X884" s="81"/>
      <c r="Y884" s="105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105"/>
      <c r="AM884" s="81"/>
      <c r="AN884" s="81"/>
      <c r="AO884" s="81"/>
      <c r="AP884" s="81"/>
      <c r="AQ884" s="81"/>
      <c r="AR884" s="81"/>
      <c r="AS884" s="81"/>
      <c r="AT884" s="81"/>
      <c r="AU884" s="81"/>
    </row>
    <row r="885" spans="1:47" ht="24" customHeight="1" x14ac:dyDescent="0.5">
      <c r="A885" s="81"/>
      <c r="B885" s="81"/>
      <c r="C885" s="81"/>
      <c r="D885" s="81"/>
      <c r="E885" s="81"/>
      <c r="F885" s="81"/>
      <c r="G885" s="105"/>
      <c r="H885" s="81"/>
      <c r="I885" s="81"/>
      <c r="J885" s="81"/>
      <c r="K885" s="105"/>
      <c r="L885" s="81"/>
      <c r="M885" s="81"/>
      <c r="N885" s="81"/>
      <c r="O885" s="81"/>
      <c r="P885" s="81"/>
      <c r="Q885" s="81"/>
      <c r="R885" s="105"/>
      <c r="S885" s="81"/>
      <c r="T885" s="81"/>
      <c r="U885" s="81"/>
      <c r="V885" s="105"/>
      <c r="W885" s="81"/>
      <c r="X885" s="81"/>
      <c r="Y885" s="105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105"/>
      <c r="AM885" s="81"/>
      <c r="AN885" s="81"/>
      <c r="AO885" s="81"/>
      <c r="AP885" s="81"/>
      <c r="AQ885" s="81"/>
      <c r="AR885" s="81"/>
      <c r="AS885" s="81"/>
      <c r="AT885" s="81"/>
      <c r="AU885" s="81"/>
    </row>
    <row r="886" spans="1:47" ht="24" customHeight="1" x14ac:dyDescent="0.5">
      <c r="A886" s="81"/>
      <c r="B886" s="81"/>
      <c r="C886" s="81"/>
      <c r="D886" s="81"/>
      <c r="E886" s="81"/>
      <c r="F886" s="81"/>
      <c r="G886" s="105"/>
      <c r="H886" s="81"/>
      <c r="I886" s="81"/>
      <c r="J886" s="81"/>
      <c r="K886" s="105"/>
      <c r="L886" s="81"/>
      <c r="M886" s="81"/>
      <c r="N886" s="81"/>
      <c r="O886" s="81"/>
      <c r="P886" s="81"/>
      <c r="Q886" s="81"/>
      <c r="R886" s="105"/>
      <c r="S886" s="81"/>
      <c r="T886" s="81"/>
      <c r="U886" s="81"/>
      <c r="V886" s="105"/>
      <c r="W886" s="81"/>
      <c r="X886" s="81"/>
      <c r="Y886" s="105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105"/>
      <c r="AM886" s="81"/>
      <c r="AN886" s="81"/>
      <c r="AO886" s="81"/>
      <c r="AP886" s="81"/>
      <c r="AQ886" s="81"/>
      <c r="AR886" s="81"/>
      <c r="AS886" s="81"/>
      <c r="AT886" s="81"/>
      <c r="AU886" s="81"/>
    </row>
    <row r="887" spans="1:47" ht="24" customHeight="1" x14ac:dyDescent="0.5">
      <c r="A887" s="81"/>
      <c r="B887" s="81"/>
      <c r="C887" s="81"/>
      <c r="D887" s="81"/>
      <c r="E887" s="81"/>
      <c r="F887" s="81"/>
      <c r="G887" s="105"/>
      <c r="H887" s="81"/>
      <c r="I887" s="81"/>
      <c r="J887" s="81"/>
      <c r="K887" s="105"/>
      <c r="L887" s="81"/>
      <c r="M887" s="81"/>
      <c r="N887" s="81"/>
      <c r="O887" s="81"/>
      <c r="P887" s="81"/>
      <c r="Q887" s="81"/>
      <c r="R887" s="105"/>
      <c r="S887" s="81"/>
      <c r="T887" s="81"/>
      <c r="U887" s="81"/>
      <c r="V887" s="105"/>
      <c r="W887" s="81"/>
      <c r="X887" s="81"/>
      <c r="Y887" s="105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105"/>
      <c r="AM887" s="81"/>
      <c r="AN887" s="81"/>
      <c r="AO887" s="81"/>
      <c r="AP887" s="81"/>
      <c r="AQ887" s="81"/>
      <c r="AR887" s="81"/>
      <c r="AS887" s="81"/>
      <c r="AT887" s="81"/>
      <c r="AU887" s="81"/>
    </row>
    <row r="888" spans="1:47" ht="24" customHeight="1" x14ac:dyDescent="0.5">
      <c r="A888" s="81"/>
      <c r="B888" s="81"/>
      <c r="C888" s="81"/>
      <c r="D888" s="81"/>
      <c r="E888" s="81"/>
      <c r="F888" s="81"/>
      <c r="G888" s="105"/>
      <c r="H888" s="81"/>
      <c r="I888" s="81"/>
      <c r="J888" s="81"/>
      <c r="K888" s="105"/>
      <c r="L888" s="81"/>
      <c r="M888" s="81"/>
      <c r="N888" s="81"/>
      <c r="O888" s="81"/>
      <c r="P888" s="81"/>
      <c r="Q888" s="81"/>
      <c r="R888" s="105"/>
      <c r="S888" s="81"/>
      <c r="T888" s="81"/>
      <c r="U888" s="81"/>
      <c r="V888" s="105"/>
      <c r="W888" s="81"/>
      <c r="X888" s="81"/>
      <c r="Y888" s="105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105"/>
      <c r="AM888" s="81"/>
      <c r="AN888" s="81"/>
      <c r="AO888" s="81"/>
      <c r="AP888" s="81"/>
      <c r="AQ888" s="81"/>
      <c r="AR888" s="81"/>
      <c r="AS888" s="81"/>
      <c r="AT888" s="81"/>
      <c r="AU888" s="81"/>
    </row>
    <row r="889" spans="1:47" ht="24" customHeight="1" x14ac:dyDescent="0.5">
      <c r="A889" s="81"/>
      <c r="B889" s="81"/>
      <c r="C889" s="81"/>
      <c r="D889" s="81"/>
      <c r="E889" s="81"/>
      <c r="F889" s="81"/>
      <c r="G889" s="105"/>
      <c r="H889" s="81"/>
      <c r="I889" s="81"/>
      <c r="J889" s="81"/>
      <c r="K889" s="105"/>
      <c r="L889" s="81"/>
      <c r="M889" s="81"/>
      <c r="N889" s="81"/>
      <c r="O889" s="81"/>
      <c r="P889" s="81"/>
      <c r="Q889" s="81"/>
      <c r="R889" s="105"/>
      <c r="S889" s="81"/>
      <c r="T889" s="81"/>
      <c r="U889" s="81"/>
      <c r="V889" s="105"/>
      <c r="W889" s="81"/>
      <c r="X889" s="81"/>
      <c r="Y889" s="105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105"/>
      <c r="AM889" s="81"/>
      <c r="AN889" s="81"/>
      <c r="AO889" s="81"/>
      <c r="AP889" s="81"/>
      <c r="AQ889" s="81"/>
      <c r="AR889" s="81"/>
      <c r="AS889" s="81"/>
      <c r="AT889" s="81"/>
      <c r="AU889" s="81"/>
    </row>
    <row r="890" spans="1:47" ht="24" customHeight="1" x14ac:dyDescent="0.5">
      <c r="A890" s="81"/>
      <c r="B890" s="81"/>
      <c r="C890" s="81"/>
      <c r="D890" s="81"/>
      <c r="E890" s="81"/>
      <c r="F890" s="81"/>
      <c r="G890" s="105"/>
      <c r="H890" s="81"/>
      <c r="I890" s="81"/>
      <c r="J890" s="81"/>
      <c r="K890" s="105"/>
      <c r="L890" s="81"/>
      <c r="M890" s="81"/>
      <c r="N890" s="81"/>
      <c r="O890" s="81"/>
      <c r="P890" s="81"/>
      <c r="Q890" s="81"/>
      <c r="R890" s="105"/>
      <c r="S890" s="81"/>
      <c r="T890" s="81"/>
      <c r="U890" s="81"/>
      <c r="V890" s="105"/>
      <c r="W890" s="81"/>
      <c r="X890" s="81"/>
      <c r="Y890" s="105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105"/>
      <c r="AM890" s="81"/>
      <c r="AN890" s="81"/>
      <c r="AO890" s="81"/>
      <c r="AP890" s="81"/>
      <c r="AQ890" s="81"/>
      <c r="AR890" s="81"/>
      <c r="AS890" s="81"/>
      <c r="AT890" s="81"/>
      <c r="AU890" s="81"/>
    </row>
    <row r="891" spans="1:47" ht="24" customHeight="1" x14ac:dyDescent="0.5">
      <c r="A891" s="81"/>
      <c r="B891" s="81"/>
      <c r="C891" s="81"/>
      <c r="D891" s="81"/>
      <c r="E891" s="81"/>
      <c r="F891" s="81"/>
      <c r="G891" s="105"/>
      <c r="H891" s="81"/>
      <c r="I891" s="81"/>
      <c r="J891" s="81"/>
      <c r="K891" s="105"/>
      <c r="L891" s="81"/>
      <c r="M891" s="81"/>
      <c r="N891" s="81"/>
      <c r="O891" s="81"/>
      <c r="P891" s="81"/>
      <c r="Q891" s="81"/>
      <c r="R891" s="105"/>
      <c r="S891" s="81"/>
      <c r="T891" s="81"/>
      <c r="U891" s="81"/>
      <c r="V891" s="105"/>
      <c r="W891" s="81"/>
      <c r="X891" s="81"/>
      <c r="Y891" s="105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105"/>
      <c r="AM891" s="81"/>
      <c r="AN891" s="81"/>
      <c r="AO891" s="81"/>
      <c r="AP891" s="81"/>
      <c r="AQ891" s="81"/>
      <c r="AR891" s="81"/>
      <c r="AS891" s="81"/>
      <c r="AT891" s="81"/>
      <c r="AU891" s="81"/>
    </row>
    <row r="892" spans="1:47" ht="24" customHeight="1" x14ac:dyDescent="0.5">
      <c r="A892" s="81"/>
      <c r="B892" s="81"/>
      <c r="C892" s="81"/>
      <c r="D892" s="81"/>
      <c r="E892" s="81"/>
      <c r="F892" s="81"/>
      <c r="G892" s="105"/>
      <c r="H892" s="81"/>
      <c r="I892" s="81"/>
      <c r="J892" s="81"/>
      <c r="K892" s="105"/>
      <c r="L892" s="81"/>
      <c r="M892" s="81"/>
      <c r="N892" s="81"/>
      <c r="O892" s="81"/>
      <c r="P892" s="81"/>
      <c r="Q892" s="81"/>
      <c r="R892" s="105"/>
      <c r="S892" s="81"/>
      <c r="T892" s="81"/>
      <c r="U892" s="81"/>
      <c r="V892" s="105"/>
      <c r="W892" s="81"/>
      <c r="X892" s="81"/>
      <c r="Y892" s="105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105"/>
      <c r="AM892" s="81"/>
      <c r="AN892" s="81"/>
      <c r="AO892" s="81"/>
      <c r="AP892" s="81"/>
      <c r="AQ892" s="81"/>
      <c r="AR892" s="81"/>
      <c r="AS892" s="81"/>
      <c r="AT892" s="81"/>
      <c r="AU892" s="81"/>
    </row>
    <row r="893" spans="1:47" ht="24" customHeight="1" x14ac:dyDescent="0.5">
      <c r="A893" s="81"/>
      <c r="B893" s="81"/>
      <c r="C893" s="81"/>
      <c r="D893" s="81"/>
      <c r="E893" s="81"/>
      <c r="F893" s="81"/>
      <c r="G893" s="105"/>
      <c r="H893" s="81"/>
      <c r="I893" s="81"/>
      <c r="J893" s="81"/>
      <c r="K893" s="105"/>
      <c r="L893" s="81"/>
      <c r="M893" s="81"/>
      <c r="N893" s="81"/>
      <c r="O893" s="81"/>
      <c r="P893" s="81"/>
      <c r="Q893" s="81"/>
      <c r="R893" s="105"/>
      <c r="S893" s="81"/>
      <c r="T893" s="81"/>
      <c r="U893" s="81"/>
      <c r="V893" s="105"/>
      <c r="W893" s="81"/>
      <c r="X893" s="81"/>
      <c r="Y893" s="105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105"/>
      <c r="AM893" s="81"/>
      <c r="AN893" s="81"/>
      <c r="AO893" s="81"/>
      <c r="AP893" s="81"/>
      <c r="AQ893" s="81"/>
      <c r="AR893" s="81"/>
      <c r="AS893" s="81"/>
      <c r="AT893" s="81"/>
      <c r="AU893" s="81"/>
    </row>
    <row r="894" spans="1:47" ht="24" customHeight="1" x14ac:dyDescent="0.5">
      <c r="A894" s="81"/>
      <c r="B894" s="81"/>
      <c r="C894" s="81"/>
      <c r="D894" s="81"/>
      <c r="E894" s="81"/>
      <c r="F894" s="81"/>
      <c r="G894" s="105"/>
      <c r="H894" s="81"/>
      <c r="I894" s="81"/>
      <c r="J894" s="81"/>
      <c r="K894" s="105"/>
      <c r="L894" s="81"/>
      <c r="M894" s="81"/>
      <c r="N894" s="81"/>
      <c r="O894" s="81"/>
      <c r="P894" s="81"/>
      <c r="Q894" s="81"/>
      <c r="R894" s="105"/>
      <c r="S894" s="81"/>
      <c r="T894" s="81"/>
      <c r="U894" s="81"/>
      <c r="V894" s="105"/>
      <c r="W894" s="81"/>
      <c r="X894" s="81"/>
      <c r="Y894" s="105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105"/>
      <c r="AM894" s="81"/>
      <c r="AN894" s="81"/>
      <c r="AO894" s="81"/>
      <c r="AP894" s="81"/>
      <c r="AQ894" s="81"/>
      <c r="AR894" s="81"/>
      <c r="AS894" s="81"/>
      <c r="AT894" s="81"/>
      <c r="AU894" s="81"/>
    </row>
    <row r="895" spans="1:47" ht="24" customHeight="1" x14ac:dyDescent="0.5">
      <c r="A895" s="81"/>
      <c r="B895" s="81"/>
      <c r="C895" s="81"/>
      <c r="D895" s="81"/>
      <c r="E895" s="81"/>
      <c r="F895" s="81"/>
      <c r="G895" s="105"/>
      <c r="H895" s="81"/>
      <c r="I895" s="81"/>
      <c r="J895" s="81"/>
      <c r="K895" s="105"/>
      <c r="L895" s="81"/>
      <c r="M895" s="81"/>
      <c r="N895" s="81"/>
      <c r="O895" s="81"/>
      <c r="P895" s="81"/>
      <c r="Q895" s="81"/>
      <c r="R895" s="105"/>
      <c r="S895" s="81"/>
      <c r="T895" s="81"/>
      <c r="U895" s="81"/>
      <c r="V895" s="105"/>
      <c r="W895" s="81"/>
      <c r="X895" s="81"/>
      <c r="Y895" s="105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105"/>
      <c r="AM895" s="81"/>
      <c r="AN895" s="81"/>
      <c r="AO895" s="81"/>
      <c r="AP895" s="81"/>
      <c r="AQ895" s="81"/>
      <c r="AR895" s="81"/>
      <c r="AS895" s="81"/>
      <c r="AT895" s="81"/>
      <c r="AU895" s="81"/>
    </row>
    <row r="896" spans="1:47" ht="24" customHeight="1" x14ac:dyDescent="0.5">
      <c r="A896" s="81"/>
      <c r="B896" s="81"/>
      <c r="C896" s="81"/>
      <c r="D896" s="81"/>
      <c r="E896" s="81"/>
      <c r="F896" s="81"/>
      <c r="G896" s="105"/>
      <c r="H896" s="81"/>
      <c r="I896" s="81"/>
      <c r="J896" s="81"/>
      <c r="K896" s="105"/>
      <c r="L896" s="81"/>
      <c r="M896" s="81"/>
      <c r="N896" s="81"/>
      <c r="O896" s="81"/>
      <c r="P896" s="81"/>
      <c r="Q896" s="81"/>
      <c r="R896" s="105"/>
      <c r="S896" s="81"/>
      <c r="T896" s="81"/>
      <c r="U896" s="81"/>
      <c r="V896" s="105"/>
      <c r="W896" s="81"/>
      <c r="X896" s="81"/>
      <c r="Y896" s="105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105"/>
      <c r="AM896" s="81"/>
      <c r="AN896" s="81"/>
      <c r="AO896" s="81"/>
      <c r="AP896" s="81"/>
      <c r="AQ896" s="81"/>
      <c r="AR896" s="81"/>
      <c r="AS896" s="81"/>
      <c r="AT896" s="81"/>
      <c r="AU896" s="81"/>
    </row>
    <row r="897" spans="1:47" ht="24" customHeight="1" x14ac:dyDescent="0.5">
      <c r="A897" s="81"/>
      <c r="B897" s="81"/>
      <c r="C897" s="81"/>
      <c r="D897" s="81"/>
      <c r="E897" s="81"/>
      <c r="F897" s="81"/>
      <c r="G897" s="105"/>
      <c r="H897" s="81"/>
      <c r="I897" s="81"/>
      <c r="J897" s="81"/>
      <c r="K897" s="105"/>
      <c r="L897" s="81"/>
      <c r="M897" s="81"/>
      <c r="N897" s="81"/>
      <c r="O897" s="81"/>
      <c r="P897" s="81"/>
      <c r="Q897" s="81"/>
      <c r="R897" s="105"/>
      <c r="S897" s="81"/>
      <c r="T897" s="81"/>
      <c r="U897" s="81"/>
      <c r="V897" s="105"/>
      <c r="W897" s="81"/>
      <c r="X897" s="81"/>
      <c r="Y897" s="105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105"/>
      <c r="AM897" s="81"/>
      <c r="AN897" s="81"/>
      <c r="AO897" s="81"/>
      <c r="AP897" s="81"/>
      <c r="AQ897" s="81"/>
      <c r="AR897" s="81"/>
      <c r="AS897" s="81"/>
      <c r="AT897" s="81"/>
      <c r="AU897" s="81"/>
    </row>
    <row r="898" spans="1:47" ht="24" customHeight="1" x14ac:dyDescent="0.5">
      <c r="A898" s="81"/>
      <c r="B898" s="81"/>
      <c r="C898" s="81"/>
      <c r="D898" s="81"/>
      <c r="E898" s="81"/>
      <c r="F898" s="81"/>
      <c r="G898" s="105"/>
      <c r="H898" s="81"/>
      <c r="I898" s="81"/>
      <c r="J898" s="81"/>
      <c r="K898" s="105"/>
      <c r="L898" s="81"/>
      <c r="M898" s="81"/>
      <c r="N898" s="81"/>
      <c r="O898" s="81"/>
      <c r="P898" s="81"/>
      <c r="Q898" s="81"/>
      <c r="R898" s="105"/>
      <c r="S898" s="81"/>
      <c r="T898" s="81"/>
      <c r="U898" s="81"/>
      <c r="V898" s="105"/>
      <c r="W898" s="81"/>
      <c r="X898" s="81"/>
      <c r="Y898" s="105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105"/>
      <c r="AM898" s="81"/>
      <c r="AN898" s="81"/>
      <c r="AO898" s="81"/>
      <c r="AP898" s="81"/>
      <c r="AQ898" s="81"/>
      <c r="AR898" s="81"/>
      <c r="AS898" s="81"/>
      <c r="AT898" s="81"/>
      <c r="AU898" s="81"/>
    </row>
    <row r="899" spans="1:47" ht="24" customHeight="1" x14ac:dyDescent="0.5">
      <c r="A899" s="81"/>
      <c r="B899" s="81"/>
      <c r="C899" s="81"/>
      <c r="D899" s="81"/>
      <c r="E899" s="81"/>
      <c r="F899" s="81"/>
      <c r="G899" s="105"/>
      <c r="H899" s="81"/>
      <c r="I899" s="81"/>
      <c r="J899" s="81"/>
      <c r="K899" s="105"/>
      <c r="L899" s="81"/>
      <c r="M899" s="81"/>
      <c r="N899" s="81"/>
      <c r="O899" s="81"/>
      <c r="P899" s="81"/>
      <c r="Q899" s="81"/>
      <c r="R899" s="105"/>
      <c r="S899" s="81"/>
      <c r="T899" s="81"/>
      <c r="U899" s="81"/>
      <c r="V899" s="105"/>
      <c r="W899" s="81"/>
      <c r="X899" s="81"/>
      <c r="Y899" s="105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105"/>
      <c r="AM899" s="81"/>
      <c r="AN899" s="81"/>
      <c r="AO899" s="81"/>
      <c r="AP899" s="81"/>
      <c r="AQ899" s="81"/>
      <c r="AR899" s="81"/>
      <c r="AS899" s="81"/>
      <c r="AT899" s="81"/>
      <c r="AU899" s="81"/>
    </row>
    <row r="900" spans="1:47" ht="24" customHeight="1" x14ac:dyDescent="0.5">
      <c r="A900" s="81"/>
      <c r="B900" s="81"/>
      <c r="C900" s="81"/>
      <c r="D900" s="81"/>
      <c r="E900" s="81"/>
      <c r="F900" s="81"/>
      <c r="G900" s="105"/>
      <c r="H900" s="81"/>
      <c r="I900" s="81"/>
      <c r="J900" s="81"/>
      <c r="K900" s="105"/>
      <c r="L900" s="81"/>
      <c r="M900" s="81"/>
      <c r="N900" s="81"/>
      <c r="O900" s="81"/>
      <c r="P900" s="81"/>
      <c r="Q900" s="81"/>
      <c r="R900" s="105"/>
      <c r="S900" s="81"/>
      <c r="T900" s="81"/>
      <c r="U900" s="81"/>
      <c r="V900" s="105"/>
      <c r="W900" s="81"/>
      <c r="X900" s="81"/>
      <c r="Y900" s="105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105"/>
      <c r="AM900" s="81"/>
      <c r="AN900" s="81"/>
      <c r="AO900" s="81"/>
      <c r="AP900" s="81"/>
      <c r="AQ900" s="81"/>
      <c r="AR900" s="81"/>
      <c r="AS900" s="81"/>
      <c r="AT900" s="81"/>
      <c r="AU900" s="81"/>
    </row>
    <row r="901" spans="1:47" ht="24" customHeight="1" x14ac:dyDescent="0.5">
      <c r="A901" s="81"/>
      <c r="B901" s="81"/>
      <c r="C901" s="81"/>
      <c r="D901" s="81"/>
      <c r="E901" s="81"/>
      <c r="F901" s="81"/>
      <c r="G901" s="105"/>
      <c r="H901" s="81"/>
      <c r="I901" s="81"/>
      <c r="J901" s="81"/>
      <c r="K901" s="105"/>
      <c r="L901" s="81"/>
      <c r="M901" s="81"/>
      <c r="N901" s="81"/>
      <c r="O901" s="81"/>
      <c r="P901" s="81"/>
      <c r="Q901" s="81"/>
      <c r="R901" s="105"/>
      <c r="S901" s="81"/>
      <c r="T901" s="81"/>
      <c r="U901" s="81"/>
      <c r="V901" s="105"/>
      <c r="W901" s="81"/>
      <c r="X901" s="81"/>
      <c r="Y901" s="105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105"/>
      <c r="AM901" s="81"/>
      <c r="AN901" s="81"/>
      <c r="AO901" s="81"/>
      <c r="AP901" s="81"/>
      <c r="AQ901" s="81"/>
      <c r="AR901" s="81"/>
      <c r="AS901" s="81"/>
      <c r="AT901" s="81"/>
      <c r="AU901" s="81"/>
    </row>
    <row r="902" spans="1:47" ht="24" customHeight="1" x14ac:dyDescent="0.5">
      <c r="A902" s="81"/>
      <c r="B902" s="81"/>
      <c r="C902" s="81"/>
      <c r="D902" s="81"/>
      <c r="E902" s="81"/>
      <c r="F902" s="81"/>
      <c r="G902" s="105"/>
      <c r="H902" s="81"/>
      <c r="I902" s="81"/>
      <c r="J902" s="81"/>
      <c r="K902" s="105"/>
      <c r="L902" s="81"/>
      <c r="M902" s="81"/>
      <c r="N902" s="81"/>
      <c r="O902" s="81"/>
      <c r="P902" s="81"/>
      <c r="Q902" s="81"/>
      <c r="R902" s="105"/>
      <c r="S902" s="81"/>
      <c r="T902" s="81"/>
      <c r="U902" s="81"/>
      <c r="V902" s="105"/>
      <c r="W902" s="81"/>
      <c r="X902" s="81"/>
      <c r="Y902" s="105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105"/>
      <c r="AM902" s="81"/>
      <c r="AN902" s="81"/>
      <c r="AO902" s="81"/>
      <c r="AP902" s="81"/>
      <c r="AQ902" s="81"/>
      <c r="AR902" s="81"/>
      <c r="AS902" s="81"/>
      <c r="AT902" s="81"/>
      <c r="AU902" s="81"/>
    </row>
    <row r="903" spans="1:47" ht="24" customHeight="1" x14ac:dyDescent="0.5">
      <c r="A903" s="81"/>
      <c r="B903" s="81"/>
      <c r="C903" s="81"/>
      <c r="D903" s="81"/>
      <c r="E903" s="81"/>
      <c r="F903" s="81"/>
      <c r="G903" s="105"/>
      <c r="H903" s="81"/>
      <c r="I903" s="81"/>
      <c r="J903" s="81"/>
      <c r="K903" s="105"/>
      <c r="L903" s="81"/>
      <c r="M903" s="81"/>
      <c r="N903" s="81"/>
      <c r="O903" s="81"/>
      <c r="P903" s="81"/>
      <c r="Q903" s="81"/>
      <c r="R903" s="105"/>
      <c r="S903" s="81"/>
      <c r="T903" s="81"/>
      <c r="U903" s="81"/>
      <c r="V903" s="105"/>
      <c r="W903" s="81"/>
      <c r="X903" s="81"/>
      <c r="Y903" s="105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105"/>
      <c r="AM903" s="81"/>
      <c r="AN903" s="81"/>
      <c r="AO903" s="81"/>
      <c r="AP903" s="81"/>
      <c r="AQ903" s="81"/>
      <c r="AR903" s="81"/>
      <c r="AS903" s="81"/>
      <c r="AT903" s="81"/>
      <c r="AU903" s="81"/>
    </row>
    <row r="904" spans="1:47" ht="24" customHeight="1" x14ac:dyDescent="0.5">
      <c r="A904" s="81"/>
      <c r="B904" s="81"/>
      <c r="C904" s="81"/>
      <c r="D904" s="81"/>
      <c r="E904" s="81"/>
      <c r="F904" s="81"/>
      <c r="G904" s="105"/>
      <c r="H904" s="81"/>
      <c r="I904" s="81"/>
      <c r="J904" s="81"/>
      <c r="K904" s="105"/>
      <c r="L904" s="81"/>
      <c r="M904" s="81"/>
      <c r="N904" s="81"/>
      <c r="O904" s="81"/>
      <c r="P904" s="81"/>
      <c r="Q904" s="81"/>
      <c r="R904" s="105"/>
      <c r="S904" s="81"/>
      <c r="T904" s="81"/>
      <c r="U904" s="81"/>
      <c r="V904" s="105"/>
      <c r="W904" s="81"/>
      <c r="X904" s="81"/>
      <c r="Y904" s="105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105"/>
      <c r="AM904" s="81"/>
      <c r="AN904" s="81"/>
      <c r="AO904" s="81"/>
      <c r="AP904" s="81"/>
      <c r="AQ904" s="81"/>
      <c r="AR904" s="81"/>
      <c r="AS904" s="81"/>
      <c r="AT904" s="81"/>
      <c r="AU904" s="81"/>
    </row>
    <row r="905" spans="1:47" ht="24" customHeight="1" x14ac:dyDescent="0.5">
      <c r="A905" s="81"/>
      <c r="B905" s="81"/>
      <c r="C905" s="81"/>
      <c r="D905" s="81"/>
      <c r="E905" s="81"/>
      <c r="F905" s="81"/>
      <c r="G905" s="105"/>
      <c r="H905" s="81"/>
      <c r="I905" s="81"/>
      <c r="J905" s="81"/>
      <c r="K905" s="105"/>
      <c r="L905" s="81"/>
      <c r="M905" s="81"/>
      <c r="N905" s="81"/>
      <c r="O905" s="81"/>
      <c r="P905" s="81"/>
      <c r="Q905" s="81"/>
      <c r="R905" s="105"/>
      <c r="S905" s="81"/>
      <c r="T905" s="81"/>
      <c r="U905" s="81"/>
      <c r="V905" s="105"/>
      <c r="W905" s="81"/>
      <c r="X905" s="81"/>
      <c r="Y905" s="105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105"/>
      <c r="AM905" s="81"/>
      <c r="AN905" s="81"/>
      <c r="AO905" s="81"/>
      <c r="AP905" s="81"/>
      <c r="AQ905" s="81"/>
      <c r="AR905" s="81"/>
      <c r="AS905" s="81"/>
      <c r="AT905" s="81"/>
      <c r="AU905" s="81"/>
    </row>
    <row r="906" spans="1:47" ht="24" customHeight="1" x14ac:dyDescent="0.5">
      <c r="A906" s="81"/>
      <c r="B906" s="81"/>
      <c r="C906" s="81"/>
      <c r="D906" s="81"/>
      <c r="E906" s="81"/>
      <c r="F906" s="81"/>
      <c r="G906" s="105"/>
      <c r="H906" s="81"/>
      <c r="I906" s="81"/>
      <c r="J906" s="81"/>
      <c r="K906" s="105"/>
      <c r="L906" s="81"/>
      <c r="M906" s="81"/>
      <c r="N906" s="81"/>
      <c r="O906" s="81"/>
      <c r="P906" s="81"/>
      <c r="Q906" s="81"/>
      <c r="R906" s="105"/>
      <c r="S906" s="81"/>
      <c r="T906" s="81"/>
      <c r="U906" s="81"/>
      <c r="V906" s="105"/>
      <c r="W906" s="81"/>
      <c r="X906" s="81"/>
      <c r="Y906" s="105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105"/>
      <c r="AM906" s="81"/>
      <c r="AN906" s="81"/>
      <c r="AO906" s="81"/>
      <c r="AP906" s="81"/>
      <c r="AQ906" s="81"/>
      <c r="AR906" s="81"/>
      <c r="AS906" s="81"/>
      <c r="AT906" s="81"/>
      <c r="AU906" s="81"/>
    </row>
    <row r="907" spans="1:47" ht="24" customHeight="1" x14ac:dyDescent="0.5">
      <c r="A907" s="81"/>
      <c r="B907" s="81"/>
      <c r="C907" s="81"/>
      <c r="D907" s="81"/>
      <c r="E907" s="81"/>
      <c r="F907" s="81"/>
      <c r="G907" s="105"/>
      <c r="H907" s="81"/>
      <c r="I907" s="81"/>
      <c r="J907" s="81"/>
      <c r="K907" s="105"/>
      <c r="L907" s="81"/>
      <c r="M907" s="81"/>
      <c r="N907" s="81"/>
      <c r="O907" s="81"/>
      <c r="P907" s="81"/>
      <c r="Q907" s="81"/>
      <c r="R907" s="105"/>
      <c r="S907" s="81"/>
      <c r="T907" s="81"/>
      <c r="U907" s="81"/>
      <c r="V907" s="105"/>
      <c r="W907" s="81"/>
      <c r="X907" s="81"/>
      <c r="Y907" s="105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105"/>
      <c r="AM907" s="81"/>
      <c r="AN907" s="81"/>
      <c r="AO907" s="81"/>
      <c r="AP907" s="81"/>
      <c r="AQ907" s="81"/>
      <c r="AR907" s="81"/>
      <c r="AS907" s="81"/>
      <c r="AT907" s="81"/>
      <c r="AU907" s="81"/>
    </row>
    <row r="908" spans="1:47" ht="24" customHeight="1" x14ac:dyDescent="0.5">
      <c r="A908" s="81"/>
      <c r="B908" s="81"/>
      <c r="C908" s="81"/>
      <c r="D908" s="81"/>
      <c r="E908" s="81"/>
      <c r="F908" s="81"/>
      <c r="G908" s="105"/>
      <c r="H908" s="81"/>
      <c r="I908" s="81"/>
      <c r="J908" s="81"/>
      <c r="K908" s="105"/>
      <c r="L908" s="81"/>
      <c r="M908" s="81"/>
      <c r="N908" s="81"/>
      <c r="O908" s="81"/>
      <c r="P908" s="81"/>
      <c r="Q908" s="81"/>
      <c r="R908" s="105"/>
      <c r="S908" s="81"/>
      <c r="T908" s="81"/>
      <c r="U908" s="81"/>
      <c r="V908" s="105"/>
      <c r="W908" s="81"/>
      <c r="X908" s="81"/>
      <c r="Y908" s="105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105"/>
      <c r="AM908" s="81"/>
      <c r="AN908" s="81"/>
      <c r="AO908" s="81"/>
      <c r="AP908" s="81"/>
      <c r="AQ908" s="81"/>
      <c r="AR908" s="81"/>
      <c r="AS908" s="81"/>
      <c r="AT908" s="81"/>
      <c r="AU908" s="81"/>
    </row>
    <row r="909" spans="1:47" ht="24" customHeight="1" x14ac:dyDescent="0.5">
      <c r="A909" s="81"/>
      <c r="B909" s="81"/>
      <c r="C909" s="81"/>
      <c r="D909" s="81"/>
      <c r="E909" s="81"/>
      <c r="F909" s="81"/>
      <c r="G909" s="105"/>
      <c r="H909" s="81"/>
      <c r="I909" s="81"/>
      <c r="J909" s="81"/>
      <c r="K909" s="105"/>
      <c r="L909" s="81"/>
      <c r="M909" s="81"/>
      <c r="N909" s="81"/>
      <c r="O909" s="81"/>
      <c r="P909" s="81"/>
      <c r="Q909" s="81"/>
      <c r="R909" s="105"/>
      <c r="S909" s="81"/>
      <c r="T909" s="81"/>
      <c r="U909" s="81"/>
      <c r="V909" s="105"/>
      <c r="W909" s="81"/>
      <c r="X909" s="81"/>
      <c r="Y909" s="105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105"/>
      <c r="AM909" s="81"/>
      <c r="AN909" s="81"/>
      <c r="AO909" s="81"/>
      <c r="AP909" s="81"/>
      <c r="AQ909" s="81"/>
      <c r="AR909" s="81"/>
      <c r="AS909" s="81"/>
      <c r="AT909" s="81"/>
      <c r="AU909" s="81"/>
    </row>
    <row r="910" spans="1:47" ht="24" customHeight="1" x14ac:dyDescent="0.5">
      <c r="A910" s="81"/>
      <c r="B910" s="81"/>
      <c r="C910" s="81"/>
      <c r="D910" s="81"/>
      <c r="E910" s="81"/>
      <c r="F910" s="81"/>
      <c r="G910" s="105"/>
      <c r="H910" s="81"/>
      <c r="I910" s="81"/>
      <c r="J910" s="81"/>
      <c r="K910" s="105"/>
      <c r="L910" s="81"/>
      <c r="M910" s="81"/>
      <c r="N910" s="81"/>
      <c r="O910" s="81"/>
      <c r="P910" s="81"/>
      <c r="Q910" s="81"/>
      <c r="R910" s="105"/>
      <c r="S910" s="81"/>
      <c r="T910" s="81"/>
      <c r="U910" s="81"/>
      <c r="V910" s="105"/>
      <c r="W910" s="81"/>
      <c r="X910" s="81"/>
      <c r="Y910" s="105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105"/>
      <c r="AM910" s="81"/>
      <c r="AN910" s="81"/>
      <c r="AO910" s="81"/>
      <c r="AP910" s="81"/>
      <c r="AQ910" s="81"/>
      <c r="AR910" s="81"/>
      <c r="AS910" s="81"/>
      <c r="AT910" s="81"/>
      <c r="AU910" s="81"/>
    </row>
    <row r="911" spans="1:47" ht="24" customHeight="1" x14ac:dyDescent="0.5">
      <c r="A911" s="81"/>
      <c r="B911" s="81"/>
      <c r="C911" s="81"/>
      <c r="D911" s="81"/>
      <c r="E911" s="81"/>
      <c r="F911" s="81"/>
      <c r="G911" s="105"/>
      <c r="H911" s="81"/>
      <c r="I911" s="81"/>
      <c r="J911" s="81"/>
      <c r="K911" s="105"/>
      <c r="L911" s="81"/>
      <c r="M911" s="81"/>
      <c r="N911" s="81"/>
      <c r="O911" s="81"/>
      <c r="P911" s="81"/>
      <c r="Q911" s="81"/>
      <c r="R911" s="105"/>
      <c r="S911" s="81"/>
      <c r="T911" s="81"/>
      <c r="U911" s="81"/>
      <c r="V911" s="105"/>
      <c r="W911" s="81"/>
      <c r="X911" s="81"/>
      <c r="Y911" s="105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105"/>
      <c r="AM911" s="81"/>
      <c r="AN911" s="81"/>
      <c r="AO911" s="81"/>
      <c r="AP911" s="81"/>
      <c r="AQ911" s="81"/>
      <c r="AR911" s="81"/>
      <c r="AS911" s="81"/>
      <c r="AT911" s="81"/>
      <c r="AU911" s="81"/>
    </row>
    <row r="912" spans="1:47" ht="24" customHeight="1" x14ac:dyDescent="0.5">
      <c r="A912" s="81"/>
      <c r="B912" s="81"/>
      <c r="C912" s="81"/>
      <c r="D912" s="81"/>
      <c r="E912" s="81"/>
      <c r="F912" s="81"/>
      <c r="G912" s="105"/>
      <c r="H912" s="81"/>
      <c r="I912" s="81"/>
      <c r="J912" s="81"/>
      <c r="K912" s="105"/>
      <c r="L912" s="81"/>
      <c r="M912" s="81"/>
      <c r="N912" s="81"/>
      <c r="O912" s="81"/>
      <c r="P912" s="81"/>
      <c r="Q912" s="81"/>
      <c r="R912" s="105"/>
      <c r="S912" s="81"/>
      <c r="T912" s="81"/>
      <c r="U912" s="81"/>
      <c r="V912" s="105"/>
      <c r="W912" s="81"/>
      <c r="X912" s="81"/>
      <c r="Y912" s="105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105"/>
      <c r="AM912" s="81"/>
      <c r="AN912" s="81"/>
      <c r="AO912" s="81"/>
      <c r="AP912" s="81"/>
      <c r="AQ912" s="81"/>
      <c r="AR912" s="81"/>
      <c r="AS912" s="81"/>
      <c r="AT912" s="81"/>
      <c r="AU912" s="81"/>
    </row>
    <row r="913" spans="1:47" ht="24" customHeight="1" x14ac:dyDescent="0.5">
      <c r="A913" s="81"/>
      <c r="B913" s="81"/>
      <c r="C913" s="81"/>
      <c r="D913" s="81"/>
      <c r="E913" s="81"/>
      <c r="F913" s="81"/>
      <c r="G913" s="105"/>
      <c r="H913" s="81"/>
      <c r="I913" s="81"/>
      <c r="J913" s="81"/>
      <c r="K913" s="105"/>
      <c r="L913" s="81"/>
      <c r="M913" s="81"/>
      <c r="N913" s="81"/>
      <c r="O913" s="81"/>
      <c r="P913" s="81"/>
      <c r="Q913" s="81"/>
      <c r="R913" s="105"/>
      <c r="S913" s="81"/>
      <c r="T913" s="81"/>
      <c r="U913" s="81"/>
      <c r="V913" s="105"/>
      <c r="W913" s="81"/>
      <c r="X913" s="81"/>
      <c r="Y913" s="105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105"/>
      <c r="AM913" s="81"/>
      <c r="AN913" s="81"/>
      <c r="AO913" s="81"/>
      <c r="AP913" s="81"/>
      <c r="AQ913" s="81"/>
      <c r="AR913" s="81"/>
      <c r="AS913" s="81"/>
      <c r="AT913" s="81"/>
      <c r="AU913" s="81"/>
    </row>
    <row r="914" spans="1:47" ht="24" customHeight="1" x14ac:dyDescent="0.5">
      <c r="A914" s="81"/>
      <c r="B914" s="81"/>
      <c r="C914" s="81"/>
      <c r="D914" s="81"/>
      <c r="E914" s="81"/>
      <c r="F914" s="81"/>
      <c r="G914" s="105"/>
      <c r="H914" s="81"/>
      <c r="I914" s="81"/>
      <c r="J914" s="81"/>
      <c r="K914" s="105"/>
      <c r="L914" s="81"/>
      <c r="M914" s="81"/>
      <c r="N914" s="81"/>
      <c r="O914" s="81"/>
      <c r="P914" s="81"/>
      <c r="Q914" s="81"/>
      <c r="R914" s="105"/>
      <c r="S914" s="81"/>
      <c r="T914" s="81"/>
      <c r="U914" s="81"/>
      <c r="V914" s="105"/>
      <c r="W914" s="81"/>
      <c r="X914" s="81"/>
      <c r="Y914" s="105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105"/>
      <c r="AM914" s="81"/>
      <c r="AN914" s="81"/>
      <c r="AO914" s="81"/>
      <c r="AP914" s="81"/>
      <c r="AQ914" s="81"/>
      <c r="AR914" s="81"/>
      <c r="AS914" s="81"/>
      <c r="AT914" s="81"/>
      <c r="AU914" s="81"/>
    </row>
    <row r="915" spans="1:47" ht="24" customHeight="1" x14ac:dyDescent="0.5">
      <c r="A915" s="81"/>
      <c r="B915" s="81"/>
      <c r="C915" s="81"/>
      <c r="D915" s="81"/>
      <c r="E915" s="81"/>
      <c r="F915" s="81"/>
      <c r="G915" s="105"/>
      <c r="H915" s="81"/>
      <c r="I915" s="81"/>
      <c r="J915" s="81"/>
      <c r="K915" s="105"/>
      <c r="L915" s="81"/>
      <c r="M915" s="81"/>
      <c r="N915" s="81"/>
      <c r="O915" s="81"/>
      <c r="P915" s="81"/>
      <c r="Q915" s="81"/>
      <c r="R915" s="105"/>
      <c r="S915" s="81"/>
      <c r="T915" s="81"/>
      <c r="U915" s="81"/>
      <c r="V915" s="105"/>
      <c r="W915" s="81"/>
      <c r="X915" s="81"/>
      <c r="Y915" s="105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105"/>
      <c r="AM915" s="81"/>
      <c r="AN915" s="81"/>
      <c r="AO915" s="81"/>
      <c r="AP915" s="81"/>
      <c r="AQ915" s="81"/>
      <c r="AR915" s="81"/>
      <c r="AS915" s="81"/>
      <c r="AT915" s="81"/>
      <c r="AU915" s="81"/>
    </row>
    <row r="916" spans="1:47" ht="24" customHeight="1" x14ac:dyDescent="0.5">
      <c r="A916" s="81"/>
      <c r="B916" s="81"/>
      <c r="C916" s="81"/>
      <c r="D916" s="81"/>
      <c r="E916" s="81"/>
      <c r="F916" s="81"/>
      <c r="G916" s="105"/>
      <c r="H916" s="81"/>
      <c r="I916" s="81"/>
      <c r="J916" s="81"/>
      <c r="K916" s="105"/>
      <c r="L916" s="81"/>
      <c r="M916" s="81"/>
      <c r="N916" s="81"/>
      <c r="O916" s="81"/>
      <c r="P916" s="81"/>
      <c r="Q916" s="81"/>
      <c r="R916" s="105"/>
      <c r="S916" s="81"/>
      <c r="T916" s="81"/>
      <c r="U916" s="81"/>
      <c r="V916" s="105"/>
      <c r="W916" s="81"/>
      <c r="X916" s="81"/>
      <c r="Y916" s="105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105"/>
      <c r="AM916" s="81"/>
      <c r="AN916" s="81"/>
      <c r="AO916" s="81"/>
      <c r="AP916" s="81"/>
      <c r="AQ916" s="81"/>
      <c r="AR916" s="81"/>
      <c r="AS916" s="81"/>
      <c r="AT916" s="81"/>
      <c r="AU916" s="81"/>
    </row>
    <row r="917" spans="1:47" ht="24" customHeight="1" x14ac:dyDescent="0.5">
      <c r="A917" s="81"/>
      <c r="B917" s="81"/>
      <c r="C917" s="81"/>
      <c r="D917" s="81"/>
      <c r="E917" s="81"/>
      <c r="F917" s="81"/>
      <c r="G917" s="105"/>
      <c r="H917" s="81"/>
      <c r="I917" s="81"/>
      <c r="J917" s="81"/>
      <c r="K917" s="105"/>
      <c r="L917" s="81"/>
      <c r="M917" s="81"/>
      <c r="N917" s="81"/>
      <c r="O917" s="81"/>
      <c r="P917" s="81"/>
      <c r="Q917" s="81"/>
      <c r="R917" s="105"/>
      <c r="S917" s="81"/>
      <c r="T917" s="81"/>
      <c r="U917" s="81"/>
      <c r="V917" s="105"/>
      <c r="W917" s="81"/>
      <c r="X917" s="81"/>
      <c r="Y917" s="105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105"/>
      <c r="AM917" s="81"/>
      <c r="AN917" s="81"/>
      <c r="AO917" s="81"/>
      <c r="AP917" s="81"/>
      <c r="AQ917" s="81"/>
      <c r="AR917" s="81"/>
      <c r="AS917" s="81"/>
      <c r="AT917" s="81"/>
      <c r="AU917" s="81"/>
    </row>
    <row r="918" spans="1:47" ht="24" customHeight="1" x14ac:dyDescent="0.5">
      <c r="A918" s="81"/>
      <c r="B918" s="81"/>
      <c r="C918" s="81"/>
      <c r="D918" s="81"/>
      <c r="E918" s="81"/>
      <c r="F918" s="81"/>
      <c r="G918" s="105"/>
      <c r="H918" s="81"/>
      <c r="I918" s="81"/>
      <c r="J918" s="81"/>
      <c r="K918" s="105"/>
      <c r="L918" s="81"/>
      <c r="M918" s="81"/>
      <c r="N918" s="81"/>
      <c r="O918" s="81"/>
      <c r="P918" s="81"/>
      <c r="Q918" s="81"/>
      <c r="R918" s="105"/>
      <c r="S918" s="81"/>
      <c r="T918" s="81"/>
      <c r="U918" s="81"/>
      <c r="V918" s="105"/>
      <c r="W918" s="81"/>
      <c r="X918" s="81"/>
      <c r="Y918" s="105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105"/>
      <c r="AM918" s="81"/>
      <c r="AN918" s="81"/>
      <c r="AO918" s="81"/>
      <c r="AP918" s="81"/>
      <c r="AQ918" s="81"/>
      <c r="AR918" s="81"/>
      <c r="AS918" s="81"/>
      <c r="AT918" s="81"/>
      <c r="AU918" s="81"/>
    </row>
    <row r="919" spans="1:47" ht="24" customHeight="1" x14ac:dyDescent="0.5">
      <c r="A919" s="81"/>
      <c r="B919" s="81"/>
      <c r="C919" s="81"/>
      <c r="D919" s="81"/>
      <c r="E919" s="81"/>
      <c r="F919" s="81"/>
      <c r="G919" s="105"/>
      <c r="H919" s="81"/>
      <c r="I919" s="81"/>
      <c r="J919" s="81"/>
      <c r="K919" s="105"/>
      <c r="L919" s="81"/>
      <c r="M919" s="81"/>
      <c r="N919" s="81"/>
      <c r="O919" s="81"/>
      <c r="P919" s="81"/>
      <c r="Q919" s="81"/>
      <c r="R919" s="105"/>
      <c r="S919" s="81"/>
      <c r="T919" s="81"/>
      <c r="U919" s="81"/>
      <c r="V919" s="105"/>
      <c r="W919" s="81"/>
      <c r="X919" s="81"/>
      <c r="Y919" s="105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105"/>
      <c r="AM919" s="81"/>
      <c r="AN919" s="81"/>
      <c r="AO919" s="81"/>
      <c r="AP919" s="81"/>
      <c r="AQ919" s="81"/>
      <c r="AR919" s="81"/>
      <c r="AS919" s="81"/>
      <c r="AT919" s="81"/>
      <c r="AU919" s="81"/>
    </row>
    <row r="920" spans="1:47" ht="24" customHeight="1" x14ac:dyDescent="0.5">
      <c r="A920" s="81"/>
      <c r="B920" s="81"/>
      <c r="C920" s="81"/>
      <c r="D920" s="81"/>
      <c r="E920" s="81"/>
      <c r="F920" s="81"/>
      <c r="G920" s="105"/>
      <c r="H920" s="81"/>
      <c r="I920" s="81"/>
      <c r="J920" s="81"/>
      <c r="K920" s="105"/>
      <c r="L920" s="81"/>
      <c r="M920" s="81"/>
      <c r="N920" s="81"/>
      <c r="O920" s="81"/>
      <c r="P920" s="81"/>
      <c r="Q920" s="81"/>
      <c r="R920" s="105"/>
      <c r="S920" s="81"/>
      <c r="T920" s="81"/>
      <c r="U920" s="81"/>
      <c r="V920" s="105"/>
      <c r="W920" s="81"/>
      <c r="X920" s="81"/>
      <c r="Y920" s="105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105"/>
      <c r="AM920" s="81"/>
      <c r="AN920" s="81"/>
      <c r="AO920" s="81"/>
      <c r="AP920" s="81"/>
      <c r="AQ920" s="81"/>
      <c r="AR920" s="81"/>
      <c r="AS920" s="81"/>
      <c r="AT920" s="81"/>
      <c r="AU920" s="81"/>
    </row>
    <row r="921" spans="1:47" ht="24" customHeight="1" x14ac:dyDescent="0.5">
      <c r="A921" s="81"/>
      <c r="B921" s="81"/>
      <c r="C921" s="81"/>
      <c r="D921" s="81"/>
      <c r="E921" s="81"/>
      <c r="F921" s="81"/>
      <c r="G921" s="105"/>
      <c r="H921" s="81"/>
      <c r="I921" s="81"/>
      <c r="J921" s="81"/>
      <c r="K921" s="105"/>
      <c r="L921" s="81"/>
      <c r="M921" s="81"/>
      <c r="N921" s="81"/>
      <c r="O921" s="81"/>
      <c r="P921" s="81"/>
      <c r="Q921" s="81"/>
      <c r="R921" s="105"/>
      <c r="S921" s="81"/>
      <c r="T921" s="81"/>
      <c r="U921" s="81"/>
      <c r="V921" s="105"/>
      <c r="W921" s="81"/>
      <c r="X921" s="81"/>
      <c r="Y921" s="105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105"/>
      <c r="AM921" s="81"/>
      <c r="AN921" s="81"/>
      <c r="AO921" s="81"/>
      <c r="AP921" s="81"/>
      <c r="AQ921" s="81"/>
      <c r="AR921" s="81"/>
      <c r="AS921" s="81"/>
      <c r="AT921" s="81"/>
      <c r="AU921" s="81"/>
    </row>
    <row r="922" spans="1:47" ht="24" customHeight="1" x14ac:dyDescent="0.5">
      <c r="A922" s="81"/>
      <c r="B922" s="81"/>
      <c r="C922" s="81"/>
      <c r="D922" s="81"/>
      <c r="E922" s="81"/>
      <c r="F922" s="81"/>
      <c r="G922" s="105"/>
      <c r="H922" s="81"/>
      <c r="I922" s="81"/>
      <c r="J922" s="81"/>
      <c r="K922" s="105"/>
      <c r="L922" s="81"/>
      <c r="M922" s="81"/>
      <c r="N922" s="81"/>
      <c r="O922" s="81"/>
      <c r="P922" s="81"/>
      <c r="Q922" s="81"/>
      <c r="R922" s="105"/>
      <c r="S922" s="81"/>
      <c r="T922" s="81"/>
      <c r="U922" s="81"/>
      <c r="V922" s="105"/>
      <c r="W922" s="81"/>
      <c r="X922" s="81"/>
      <c r="Y922" s="105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105"/>
      <c r="AM922" s="81"/>
      <c r="AN922" s="81"/>
      <c r="AO922" s="81"/>
      <c r="AP922" s="81"/>
      <c r="AQ922" s="81"/>
      <c r="AR922" s="81"/>
      <c r="AS922" s="81"/>
      <c r="AT922" s="81"/>
      <c r="AU922" s="81"/>
    </row>
    <row r="923" spans="1:47" ht="24" customHeight="1" x14ac:dyDescent="0.5">
      <c r="A923" s="81"/>
      <c r="B923" s="81"/>
      <c r="C923" s="81"/>
      <c r="D923" s="81"/>
      <c r="E923" s="81"/>
      <c r="F923" s="81"/>
      <c r="G923" s="105"/>
      <c r="H923" s="81"/>
      <c r="I923" s="81"/>
      <c r="J923" s="81"/>
      <c r="K923" s="105"/>
      <c r="L923" s="81"/>
      <c r="M923" s="81"/>
      <c r="N923" s="81"/>
      <c r="O923" s="81"/>
      <c r="P923" s="81"/>
      <c r="Q923" s="81"/>
      <c r="R923" s="105"/>
      <c r="S923" s="81"/>
      <c r="T923" s="81"/>
      <c r="U923" s="81"/>
      <c r="V923" s="105"/>
      <c r="W923" s="81"/>
      <c r="X923" s="81"/>
      <c r="Y923" s="105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105"/>
      <c r="AM923" s="81"/>
      <c r="AN923" s="81"/>
      <c r="AO923" s="81"/>
      <c r="AP923" s="81"/>
      <c r="AQ923" s="81"/>
      <c r="AR923" s="81"/>
      <c r="AS923" s="81"/>
      <c r="AT923" s="81"/>
      <c r="AU923" s="81"/>
    </row>
    <row r="924" spans="1:47" ht="24" customHeight="1" x14ac:dyDescent="0.5">
      <c r="A924" s="81"/>
      <c r="B924" s="81"/>
      <c r="C924" s="81"/>
      <c r="D924" s="81"/>
      <c r="E924" s="81"/>
      <c r="F924" s="81"/>
      <c r="G924" s="105"/>
      <c r="H924" s="81"/>
      <c r="I924" s="81"/>
      <c r="J924" s="81"/>
      <c r="K924" s="105"/>
      <c r="L924" s="81"/>
      <c r="M924" s="81"/>
      <c r="N924" s="81"/>
      <c r="O924" s="81"/>
      <c r="P924" s="81"/>
      <c r="Q924" s="81"/>
      <c r="R924" s="105"/>
      <c r="S924" s="81"/>
      <c r="T924" s="81"/>
      <c r="U924" s="81"/>
      <c r="V924" s="105"/>
      <c r="W924" s="81"/>
      <c r="X924" s="81"/>
      <c r="Y924" s="105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105"/>
      <c r="AM924" s="81"/>
      <c r="AN924" s="81"/>
      <c r="AO924" s="81"/>
      <c r="AP924" s="81"/>
      <c r="AQ924" s="81"/>
      <c r="AR924" s="81"/>
      <c r="AS924" s="81"/>
      <c r="AT924" s="81"/>
      <c r="AU924" s="81"/>
    </row>
    <row r="925" spans="1:47" ht="24" customHeight="1" x14ac:dyDescent="0.5">
      <c r="A925" s="81"/>
      <c r="B925" s="81"/>
      <c r="C925" s="81"/>
      <c r="D925" s="81"/>
      <c r="E925" s="81"/>
      <c r="F925" s="81"/>
      <c r="G925" s="105"/>
      <c r="H925" s="81"/>
      <c r="I925" s="81"/>
      <c r="J925" s="81"/>
      <c r="K925" s="105"/>
      <c r="L925" s="81"/>
      <c r="M925" s="81"/>
      <c r="N925" s="81"/>
      <c r="O925" s="81"/>
      <c r="P925" s="81"/>
      <c r="Q925" s="81"/>
      <c r="R925" s="105"/>
      <c r="S925" s="81"/>
      <c r="T925" s="81"/>
      <c r="U925" s="81"/>
      <c r="V925" s="105"/>
      <c r="W925" s="81"/>
      <c r="X925" s="81"/>
      <c r="Y925" s="105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105"/>
      <c r="AM925" s="81"/>
      <c r="AN925" s="81"/>
      <c r="AO925" s="81"/>
      <c r="AP925" s="81"/>
      <c r="AQ925" s="81"/>
      <c r="AR925" s="81"/>
      <c r="AS925" s="81"/>
      <c r="AT925" s="81"/>
      <c r="AU925" s="81"/>
    </row>
    <row r="926" spans="1:47" ht="24" customHeight="1" x14ac:dyDescent="0.5">
      <c r="A926" s="81"/>
      <c r="B926" s="81"/>
      <c r="C926" s="81"/>
      <c r="D926" s="81"/>
      <c r="E926" s="81"/>
      <c r="F926" s="81"/>
      <c r="G926" s="105"/>
      <c r="H926" s="81"/>
      <c r="I926" s="81"/>
      <c r="J926" s="81"/>
      <c r="K926" s="105"/>
      <c r="L926" s="81"/>
      <c r="M926" s="81"/>
      <c r="N926" s="81"/>
      <c r="O926" s="81"/>
      <c r="P926" s="81"/>
      <c r="Q926" s="81"/>
      <c r="R926" s="105"/>
      <c r="S926" s="81"/>
      <c r="T926" s="81"/>
      <c r="U926" s="81"/>
      <c r="V926" s="105"/>
      <c r="W926" s="81"/>
      <c r="X926" s="81"/>
      <c r="Y926" s="105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105"/>
      <c r="AM926" s="81"/>
      <c r="AN926" s="81"/>
      <c r="AO926" s="81"/>
      <c r="AP926" s="81"/>
      <c r="AQ926" s="81"/>
      <c r="AR926" s="81"/>
      <c r="AS926" s="81"/>
      <c r="AT926" s="81"/>
      <c r="AU926" s="81"/>
    </row>
    <row r="927" spans="1:47" ht="24" customHeight="1" x14ac:dyDescent="0.5">
      <c r="A927" s="81"/>
      <c r="B927" s="81"/>
      <c r="C927" s="81"/>
      <c r="D927" s="81"/>
      <c r="E927" s="81"/>
      <c r="F927" s="81"/>
      <c r="G927" s="105"/>
      <c r="H927" s="81"/>
      <c r="I927" s="81"/>
      <c r="J927" s="81"/>
      <c r="K927" s="105"/>
      <c r="L927" s="81"/>
      <c r="M927" s="81"/>
      <c r="N927" s="81"/>
      <c r="O927" s="81"/>
      <c r="P927" s="81"/>
      <c r="Q927" s="81"/>
      <c r="R927" s="105"/>
      <c r="S927" s="81"/>
      <c r="T927" s="81"/>
      <c r="U927" s="81"/>
      <c r="V927" s="105"/>
      <c r="W927" s="81"/>
      <c r="X927" s="81"/>
      <c r="Y927" s="105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105"/>
      <c r="AM927" s="81"/>
      <c r="AN927" s="81"/>
      <c r="AO927" s="81"/>
      <c r="AP927" s="81"/>
      <c r="AQ927" s="81"/>
      <c r="AR927" s="81"/>
      <c r="AS927" s="81"/>
      <c r="AT927" s="81"/>
      <c r="AU927" s="81"/>
    </row>
    <row r="928" spans="1:47" ht="24" customHeight="1" x14ac:dyDescent="0.5">
      <c r="A928" s="81"/>
      <c r="B928" s="81"/>
      <c r="C928" s="81"/>
      <c r="D928" s="81"/>
      <c r="E928" s="81"/>
      <c r="F928" s="81"/>
      <c r="G928" s="105"/>
      <c r="H928" s="81"/>
      <c r="I928" s="81"/>
      <c r="J928" s="81"/>
      <c r="K928" s="105"/>
      <c r="L928" s="81"/>
      <c r="M928" s="81"/>
      <c r="N928" s="81"/>
      <c r="O928" s="81"/>
      <c r="P928" s="81"/>
      <c r="Q928" s="81"/>
      <c r="R928" s="105"/>
      <c r="S928" s="81"/>
      <c r="T928" s="81"/>
      <c r="U928" s="81"/>
      <c r="V928" s="105"/>
      <c r="W928" s="81"/>
      <c r="X928" s="81"/>
      <c r="Y928" s="105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105"/>
      <c r="AM928" s="81"/>
      <c r="AN928" s="81"/>
      <c r="AO928" s="81"/>
      <c r="AP928" s="81"/>
      <c r="AQ928" s="81"/>
      <c r="AR928" s="81"/>
      <c r="AS928" s="81"/>
      <c r="AT928" s="81"/>
      <c r="AU928" s="81"/>
    </row>
    <row r="929" spans="1:47" ht="24" customHeight="1" x14ac:dyDescent="0.5">
      <c r="A929" s="81"/>
      <c r="B929" s="81"/>
      <c r="C929" s="81"/>
      <c r="D929" s="81"/>
      <c r="E929" s="81"/>
      <c r="F929" s="81"/>
      <c r="G929" s="105"/>
      <c r="H929" s="81"/>
      <c r="I929" s="81"/>
      <c r="J929" s="81"/>
      <c r="K929" s="105"/>
      <c r="L929" s="81"/>
      <c r="M929" s="81"/>
      <c r="N929" s="81"/>
      <c r="O929" s="81"/>
      <c r="P929" s="81"/>
      <c r="Q929" s="81"/>
      <c r="R929" s="105"/>
      <c r="S929" s="81"/>
      <c r="T929" s="81"/>
      <c r="U929" s="81"/>
      <c r="V929" s="105"/>
      <c r="W929" s="81"/>
      <c r="X929" s="81"/>
      <c r="Y929" s="105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105"/>
      <c r="AM929" s="81"/>
      <c r="AN929" s="81"/>
      <c r="AO929" s="81"/>
      <c r="AP929" s="81"/>
      <c r="AQ929" s="81"/>
      <c r="AR929" s="81"/>
      <c r="AS929" s="81"/>
      <c r="AT929" s="81"/>
      <c r="AU929" s="81"/>
    </row>
    <row r="930" spans="1:47" ht="24" customHeight="1" x14ac:dyDescent="0.5">
      <c r="A930" s="81"/>
      <c r="B930" s="81"/>
      <c r="C930" s="81"/>
      <c r="D930" s="81"/>
      <c r="E930" s="81"/>
      <c r="F930" s="81"/>
      <c r="G930" s="105"/>
      <c r="H930" s="81"/>
      <c r="I930" s="81"/>
      <c r="J930" s="81"/>
      <c r="K930" s="105"/>
      <c r="L930" s="81"/>
      <c r="M930" s="81"/>
      <c r="N930" s="81"/>
      <c r="O930" s="81"/>
      <c r="P930" s="81"/>
      <c r="Q930" s="81"/>
      <c r="R930" s="105"/>
      <c r="S930" s="81"/>
      <c r="T930" s="81"/>
      <c r="U930" s="81"/>
      <c r="V930" s="105"/>
      <c r="W930" s="81"/>
      <c r="X930" s="81"/>
      <c r="Y930" s="105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105"/>
      <c r="AM930" s="81"/>
      <c r="AN930" s="81"/>
      <c r="AO930" s="81"/>
      <c r="AP930" s="81"/>
      <c r="AQ930" s="81"/>
      <c r="AR930" s="81"/>
      <c r="AS930" s="81"/>
      <c r="AT930" s="81"/>
      <c r="AU930" s="81"/>
    </row>
    <row r="931" spans="1:47" ht="24" customHeight="1" x14ac:dyDescent="0.5">
      <c r="A931" s="81"/>
      <c r="B931" s="81"/>
      <c r="C931" s="81"/>
      <c r="D931" s="81"/>
      <c r="E931" s="81"/>
      <c r="F931" s="81"/>
      <c r="G931" s="105"/>
      <c r="H931" s="81"/>
      <c r="I931" s="81"/>
      <c r="J931" s="81"/>
      <c r="K931" s="105"/>
      <c r="L931" s="81"/>
      <c r="M931" s="81"/>
      <c r="N931" s="81"/>
      <c r="O931" s="81"/>
      <c r="P931" s="81"/>
      <c r="Q931" s="81"/>
      <c r="R931" s="105"/>
      <c r="S931" s="81"/>
      <c r="T931" s="81"/>
      <c r="U931" s="81"/>
      <c r="V931" s="105"/>
      <c r="W931" s="81"/>
      <c r="X931" s="81"/>
      <c r="Y931" s="105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105"/>
      <c r="AM931" s="81"/>
      <c r="AN931" s="81"/>
      <c r="AO931" s="81"/>
      <c r="AP931" s="81"/>
      <c r="AQ931" s="81"/>
      <c r="AR931" s="81"/>
      <c r="AS931" s="81"/>
      <c r="AT931" s="81"/>
      <c r="AU931" s="81"/>
    </row>
    <row r="932" spans="1:47" ht="24" customHeight="1" x14ac:dyDescent="0.5">
      <c r="A932" s="81"/>
      <c r="B932" s="81"/>
      <c r="C932" s="81"/>
      <c r="D932" s="81"/>
      <c r="E932" s="81"/>
      <c r="F932" s="81"/>
      <c r="G932" s="105"/>
      <c r="H932" s="81"/>
      <c r="I932" s="81"/>
      <c r="J932" s="81"/>
      <c r="K932" s="105"/>
      <c r="L932" s="81"/>
      <c r="M932" s="81"/>
      <c r="N932" s="81"/>
      <c r="O932" s="81"/>
      <c r="P932" s="81"/>
      <c r="Q932" s="81"/>
      <c r="R932" s="105"/>
      <c r="S932" s="81"/>
      <c r="T932" s="81"/>
      <c r="U932" s="81"/>
      <c r="V932" s="105"/>
      <c r="W932" s="81"/>
      <c r="X932" s="81"/>
      <c r="Y932" s="105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105"/>
      <c r="AM932" s="81"/>
      <c r="AN932" s="81"/>
      <c r="AO932" s="81"/>
      <c r="AP932" s="81"/>
      <c r="AQ932" s="81"/>
      <c r="AR932" s="81"/>
      <c r="AS932" s="81"/>
      <c r="AT932" s="81"/>
      <c r="AU932" s="81"/>
    </row>
    <row r="933" spans="1:47" ht="24" customHeight="1" x14ac:dyDescent="0.5">
      <c r="A933" s="81"/>
      <c r="B933" s="81"/>
      <c r="C933" s="81"/>
      <c r="D933" s="81"/>
      <c r="E933" s="81"/>
      <c r="F933" s="81"/>
      <c r="G933" s="105"/>
      <c r="H933" s="81"/>
      <c r="I933" s="81"/>
      <c r="J933" s="81"/>
      <c r="K933" s="105"/>
      <c r="L933" s="81"/>
      <c r="M933" s="81"/>
      <c r="N933" s="81"/>
      <c r="O933" s="81"/>
      <c r="P933" s="81"/>
      <c r="Q933" s="81"/>
      <c r="R933" s="105"/>
      <c r="S933" s="81"/>
      <c r="T933" s="81"/>
      <c r="U933" s="81"/>
      <c r="V933" s="105"/>
      <c r="W933" s="81"/>
      <c r="X933" s="81"/>
      <c r="Y933" s="105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105"/>
      <c r="AM933" s="81"/>
      <c r="AN933" s="81"/>
      <c r="AO933" s="81"/>
      <c r="AP933" s="81"/>
      <c r="AQ933" s="81"/>
      <c r="AR933" s="81"/>
      <c r="AS933" s="81"/>
      <c r="AT933" s="81"/>
      <c r="AU933" s="81"/>
    </row>
    <row r="934" spans="1:47" ht="24" customHeight="1" x14ac:dyDescent="0.5">
      <c r="A934" s="81"/>
      <c r="B934" s="81"/>
      <c r="C934" s="81"/>
      <c r="D934" s="81"/>
      <c r="E934" s="81"/>
      <c r="F934" s="81"/>
      <c r="G934" s="105"/>
      <c r="H934" s="81"/>
      <c r="I934" s="81"/>
      <c r="J934" s="81"/>
      <c r="K934" s="105"/>
      <c r="L934" s="81"/>
      <c r="M934" s="81"/>
      <c r="N934" s="81"/>
      <c r="O934" s="81"/>
      <c r="P934" s="81"/>
      <c r="Q934" s="81"/>
      <c r="R934" s="105"/>
      <c r="S934" s="81"/>
      <c r="T934" s="81"/>
      <c r="U934" s="81"/>
      <c r="V934" s="105"/>
      <c r="W934" s="81"/>
      <c r="X934" s="81"/>
      <c r="Y934" s="105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105"/>
      <c r="AM934" s="81"/>
      <c r="AN934" s="81"/>
      <c r="AO934" s="81"/>
      <c r="AP934" s="81"/>
      <c r="AQ934" s="81"/>
      <c r="AR934" s="81"/>
      <c r="AS934" s="81"/>
      <c r="AT934" s="81"/>
      <c r="AU934" s="81"/>
    </row>
    <row r="935" spans="1:47" ht="24" customHeight="1" x14ac:dyDescent="0.5">
      <c r="A935" s="81"/>
      <c r="B935" s="81"/>
      <c r="C935" s="81"/>
      <c r="D935" s="81"/>
      <c r="E935" s="81"/>
      <c r="F935" s="81"/>
      <c r="G935" s="105"/>
      <c r="H935" s="81"/>
      <c r="I935" s="81"/>
      <c r="J935" s="81"/>
      <c r="K935" s="105"/>
      <c r="L935" s="81"/>
      <c r="M935" s="81"/>
      <c r="N935" s="81"/>
      <c r="O935" s="81"/>
      <c r="P935" s="81"/>
      <c r="Q935" s="81"/>
      <c r="R935" s="105"/>
      <c r="S935" s="81"/>
      <c r="T935" s="81"/>
      <c r="U935" s="81"/>
      <c r="V935" s="105"/>
      <c r="W935" s="81"/>
      <c r="X935" s="81"/>
      <c r="Y935" s="105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105"/>
      <c r="AM935" s="81"/>
      <c r="AN935" s="81"/>
      <c r="AO935" s="81"/>
      <c r="AP935" s="81"/>
      <c r="AQ935" s="81"/>
      <c r="AR935" s="81"/>
      <c r="AS935" s="81"/>
      <c r="AT935" s="81"/>
      <c r="AU935" s="81"/>
    </row>
    <row r="936" spans="1:47" ht="24" customHeight="1" x14ac:dyDescent="0.5">
      <c r="A936" s="81"/>
      <c r="B936" s="81"/>
      <c r="C936" s="81"/>
      <c r="D936" s="81"/>
      <c r="E936" s="81"/>
      <c r="F936" s="81"/>
      <c r="G936" s="105"/>
      <c r="H936" s="81"/>
      <c r="I936" s="81"/>
      <c r="J936" s="81"/>
      <c r="K936" s="105"/>
      <c r="L936" s="81"/>
      <c r="M936" s="81"/>
      <c r="N936" s="81"/>
      <c r="O936" s="81"/>
      <c r="P936" s="81"/>
      <c r="Q936" s="81"/>
      <c r="R936" s="105"/>
      <c r="S936" s="81"/>
      <c r="T936" s="81"/>
      <c r="U936" s="81"/>
      <c r="V936" s="105"/>
      <c r="W936" s="81"/>
      <c r="X936" s="81"/>
      <c r="Y936" s="105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105"/>
      <c r="AM936" s="81"/>
      <c r="AN936" s="81"/>
      <c r="AO936" s="81"/>
      <c r="AP936" s="81"/>
      <c r="AQ936" s="81"/>
      <c r="AR936" s="81"/>
      <c r="AS936" s="81"/>
      <c r="AT936" s="81"/>
      <c r="AU936" s="81"/>
    </row>
    <row r="937" spans="1:47" ht="24" customHeight="1" x14ac:dyDescent="0.5">
      <c r="A937" s="81"/>
      <c r="B937" s="81"/>
      <c r="C937" s="81"/>
      <c r="D937" s="81"/>
      <c r="E937" s="81"/>
      <c r="F937" s="81"/>
      <c r="G937" s="105"/>
      <c r="H937" s="81"/>
      <c r="I937" s="81"/>
      <c r="J937" s="81"/>
      <c r="K937" s="105"/>
      <c r="L937" s="81"/>
      <c r="M937" s="81"/>
      <c r="N937" s="81"/>
      <c r="O937" s="81"/>
      <c r="P937" s="81"/>
      <c r="Q937" s="81"/>
      <c r="R937" s="105"/>
      <c r="S937" s="81"/>
      <c r="T937" s="81"/>
      <c r="U937" s="81"/>
      <c r="V937" s="105"/>
      <c r="W937" s="81"/>
      <c r="X937" s="81"/>
      <c r="Y937" s="105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105"/>
      <c r="AM937" s="81"/>
      <c r="AN937" s="81"/>
      <c r="AO937" s="81"/>
      <c r="AP937" s="81"/>
      <c r="AQ937" s="81"/>
      <c r="AR937" s="81"/>
      <c r="AS937" s="81"/>
      <c r="AT937" s="81"/>
      <c r="AU937" s="81"/>
    </row>
    <row r="938" spans="1:47" ht="24" customHeight="1" x14ac:dyDescent="0.5">
      <c r="A938" s="81"/>
      <c r="B938" s="81"/>
      <c r="C938" s="81"/>
      <c r="D938" s="81"/>
      <c r="E938" s="81"/>
      <c r="F938" s="81"/>
      <c r="G938" s="105"/>
      <c r="H938" s="81"/>
      <c r="I938" s="81"/>
      <c r="J938" s="81"/>
      <c r="K938" s="105"/>
      <c r="L938" s="81"/>
      <c r="M938" s="81"/>
      <c r="N938" s="81"/>
      <c r="O938" s="81"/>
      <c r="P938" s="81"/>
      <c r="Q938" s="81"/>
      <c r="R938" s="105"/>
      <c r="S938" s="81"/>
      <c r="T938" s="81"/>
      <c r="U938" s="81"/>
      <c r="V938" s="105"/>
      <c r="W938" s="81"/>
      <c r="X938" s="81"/>
      <c r="Y938" s="105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105"/>
      <c r="AM938" s="81"/>
      <c r="AN938" s="81"/>
      <c r="AO938" s="81"/>
      <c r="AP938" s="81"/>
      <c r="AQ938" s="81"/>
      <c r="AR938" s="81"/>
      <c r="AS938" s="81"/>
      <c r="AT938" s="81"/>
      <c r="AU938" s="81"/>
    </row>
    <row r="939" spans="1:47" ht="24" customHeight="1" x14ac:dyDescent="0.5">
      <c r="A939" s="81"/>
      <c r="B939" s="81"/>
      <c r="C939" s="81"/>
      <c r="D939" s="81"/>
      <c r="E939" s="81"/>
      <c r="F939" s="81"/>
      <c r="G939" s="105"/>
      <c r="H939" s="81"/>
      <c r="I939" s="81"/>
      <c r="J939" s="81"/>
      <c r="K939" s="105"/>
      <c r="L939" s="81"/>
      <c r="M939" s="81"/>
      <c r="N939" s="81"/>
      <c r="O939" s="81"/>
      <c r="P939" s="81"/>
      <c r="Q939" s="81"/>
      <c r="R939" s="105"/>
      <c r="S939" s="81"/>
      <c r="T939" s="81"/>
      <c r="U939" s="81"/>
      <c r="V939" s="105"/>
      <c r="W939" s="81"/>
      <c r="X939" s="81"/>
      <c r="Y939" s="105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105"/>
      <c r="AM939" s="81"/>
      <c r="AN939" s="81"/>
      <c r="AO939" s="81"/>
      <c r="AP939" s="81"/>
      <c r="AQ939" s="81"/>
      <c r="AR939" s="81"/>
      <c r="AS939" s="81"/>
      <c r="AT939" s="81"/>
      <c r="AU939" s="81"/>
    </row>
    <row r="940" spans="1:47" ht="24" customHeight="1" x14ac:dyDescent="0.5">
      <c r="A940" s="81"/>
      <c r="B940" s="81"/>
      <c r="C940" s="81"/>
      <c r="D940" s="81"/>
      <c r="E940" s="81"/>
      <c r="F940" s="81"/>
      <c r="G940" s="105"/>
      <c r="H940" s="81"/>
      <c r="I940" s="81"/>
      <c r="J940" s="81"/>
      <c r="K940" s="105"/>
      <c r="L940" s="81"/>
      <c r="M940" s="81"/>
      <c r="N940" s="81"/>
      <c r="O940" s="81"/>
      <c r="P940" s="81"/>
      <c r="Q940" s="81"/>
      <c r="R940" s="105"/>
      <c r="S940" s="81"/>
      <c r="T940" s="81"/>
      <c r="U940" s="81"/>
      <c r="V940" s="105"/>
      <c r="W940" s="81"/>
      <c r="X940" s="81"/>
      <c r="Y940" s="105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105"/>
      <c r="AM940" s="81"/>
      <c r="AN940" s="81"/>
      <c r="AO940" s="81"/>
      <c r="AP940" s="81"/>
      <c r="AQ940" s="81"/>
      <c r="AR940" s="81"/>
      <c r="AS940" s="81"/>
      <c r="AT940" s="81"/>
      <c r="AU940" s="81"/>
    </row>
    <row r="941" spans="1:47" ht="24" customHeight="1" x14ac:dyDescent="0.5">
      <c r="A941" s="81"/>
      <c r="B941" s="81"/>
      <c r="C941" s="81"/>
      <c r="D941" s="81"/>
      <c r="E941" s="81"/>
      <c r="F941" s="81"/>
      <c r="G941" s="105"/>
      <c r="H941" s="81"/>
      <c r="I941" s="81"/>
      <c r="J941" s="81"/>
      <c r="K941" s="105"/>
      <c r="L941" s="81"/>
      <c r="M941" s="81"/>
      <c r="N941" s="81"/>
      <c r="O941" s="81"/>
      <c r="P941" s="81"/>
      <c r="Q941" s="81"/>
      <c r="R941" s="105"/>
      <c r="S941" s="81"/>
      <c r="T941" s="81"/>
      <c r="U941" s="81"/>
      <c r="V941" s="105"/>
      <c r="W941" s="81"/>
      <c r="X941" s="81"/>
      <c r="Y941" s="105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105"/>
      <c r="AM941" s="81"/>
      <c r="AN941" s="81"/>
      <c r="AO941" s="81"/>
      <c r="AP941" s="81"/>
      <c r="AQ941" s="81"/>
      <c r="AR941" s="81"/>
      <c r="AS941" s="81"/>
      <c r="AT941" s="81"/>
      <c r="AU941" s="81"/>
    </row>
    <row r="942" spans="1:47" ht="24" customHeight="1" x14ac:dyDescent="0.5">
      <c r="A942" s="81"/>
      <c r="B942" s="81"/>
      <c r="C942" s="81"/>
      <c r="D942" s="81"/>
      <c r="E942" s="81"/>
      <c r="F942" s="81"/>
      <c r="G942" s="105"/>
      <c r="H942" s="81"/>
      <c r="I942" s="81"/>
      <c r="J942" s="81"/>
      <c r="K942" s="105"/>
      <c r="L942" s="81"/>
      <c r="M942" s="81"/>
      <c r="N942" s="81"/>
      <c r="O942" s="81"/>
      <c r="P942" s="81"/>
      <c r="Q942" s="81"/>
      <c r="R942" s="105"/>
      <c r="S942" s="81"/>
      <c r="T942" s="81"/>
      <c r="U942" s="81"/>
      <c r="V942" s="105"/>
      <c r="W942" s="81"/>
      <c r="X942" s="81"/>
      <c r="Y942" s="105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105"/>
      <c r="AM942" s="81"/>
      <c r="AN942" s="81"/>
      <c r="AO942" s="81"/>
      <c r="AP942" s="81"/>
      <c r="AQ942" s="81"/>
      <c r="AR942" s="81"/>
      <c r="AS942" s="81"/>
      <c r="AT942" s="81"/>
      <c r="AU942" s="81"/>
    </row>
    <row r="943" spans="1:47" ht="24" customHeight="1" x14ac:dyDescent="0.5">
      <c r="A943" s="81"/>
      <c r="B943" s="81"/>
      <c r="C943" s="81"/>
      <c r="D943" s="81"/>
      <c r="E943" s="81"/>
      <c r="F943" s="81"/>
      <c r="G943" s="105"/>
      <c r="H943" s="81"/>
      <c r="I943" s="81"/>
      <c r="J943" s="81"/>
      <c r="K943" s="105"/>
      <c r="L943" s="81"/>
      <c r="M943" s="81"/>
      <c r="N943" s="81"/>
      <c r="O943" s="81"/>
      <c r="P943" s="81"/>
      <c r="Q943" s="81"/>
      <c r="R943" s="105"/>
      <c r="S943" s="81"/>
      <c r="T943" s="81"/>
      <c r="U943" s="81"/>
      <c r="V943" s="105"/>
      <c r="W943" s="81"/>
      <c r="X943" s="81"/>
      <c r="Y943" s="105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105"/>
      <c r="AM943" s="81"/>
      <c r="AN943" s="81"/>
      <c r="AO943" s="81"/>
      <c r="AP943" s="81"/>
      <c r="AQ943" s="81"/>
      <c r="AR943" s="81"/>
      <c r="AS943" s="81"/>
      <c r="AT943" s="81"/>
      <c r="AU943" s="81"/>
    </row>
    <row r="944" spans="1:47" ht="24" customHeight="1" x14ac:dyDescent="0.5">
      <c r="A944" s="81"/>
      <c r="B944" s="81"/>
      <c r="C944" s="81"/>
      <c r="D944" s="81"/>
      <c r="E944" s="81"/>
      <c r="F944" s="81"/>
      <c r="G944" s="105"/>
      <c r="H944" s="81"/>
      <c r="I944" s="81"/>
      <c r="J944" s="81"/>
      <c r="K944" s="105"/>
      <c r="L944" s="81"/>
      <c r="M944" s="81"/>
      <c r="N944" s="81"/>
      <c r="O944" s="81"/>
      <c r="P944" s="81"/>
      <c r="Q944" s="81"/>
      <c r="R944" s="105"/>
      <c r="S944" s="81"/>
      <c r="T944" s="81"/>
      <c r="U944" s="81"/>
      <c r="V944" s="105"/>
      <c r="W944" s="81"/>
      <c r="X944" s="81"/>
      <c r="Y944" s="105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105"/>
      <c r="AM944" s="81"/>
      <c r="AN944" s="81"/>
      <c r="AO944" s="81"/>
      <c r="AP944" s="81"/>
      <c r="AQ944" s="81"/>
      <c r="AR944" s="81"/>
      <c r="AS944" s="81"/>
      <c r="AT944" s="81"/>
      <c r="AU944" s="81"/>
    </row>
    <row r="945" spans="1:47" ht="24" customHeight="1" x14ac:dyDescent="0.5">
      <c r="A945" s="81"/>
      <c r="B945" s="81"/>
      <c r="C945" s="81"/>
      <c r="D945" s="81"/>
      <c r="E945" s="81"/>
      <c r="F945" s="81"/>
      <c r="G945" s="105"/>
      <c r="H945" s="81"/>
      <c r="I945" s="81"/>
      <c r="J945" s="81"/>
      <c r="K945" s="105"/>
      <c r="L945" s="81"/>
      <c r="M945" s="81"/>
      <c r="N945" s="81"/>
      <c r="O945" s="81"/>
      <c r="P945" s="81"/>
      <c r="Q945" s="81"/>
      <c r="R945" s="105"/>
      <c r="S945" s="81"/>
      <c r="T945" s="81"/>
      <c r="U945" s="81"/>
      <c r="V945" s="105"/>
      <c r="W945" s="81"/>
      <c r="X945" s="81"/>
      <c r="Y945" s="105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105"/>
      <c r="AM945" s="81"/>
      <c r="AN945" s="81"/>
      <c r="AO945" s="81"/>
      <c r="AP945" s="81"/>
      <c r="AQ945" s="81"/>
      <c r="AR945" s="81"/>
      <c r="AS945" s="81"/>
      <c r="AT945" s="81"/>
      <c r="AU945" s="81"/>
    </row>
    <row r="946" spans="1:47" ht="24" customHeight="1" x14ac:dyDescent="0.5">
      <c r="A946" s="81"/>
      <c r="B946" s="81"/>
      <c r="C946" s="81"/>
      <c r="D946" s="81"/>
      <c r="E946" s="81"/>
      <c r="F946" s="81"/>
      <c r="G946" s="105"/>
      <c r="H946" s="81"/>
      <c r="I946" s="81"/>
      <c r="J946" s="81"/>
      <c r="K946" s="105"/>
      <c r="L946" s="81"/>
      <c r="M946" s="81"/>
      <c r="N946" s="81"/>
      <c r="O946" s="81"/>
      <c r="P946" s="81"/>
      <c r="Q946" s="81"/>
      <c r="R946" s="105"/>
      <c r="S946" s="81"/>
      <c r="T946" s="81"/>
      <c r="U946" s="81"/>
      <c r="V946" s="105"/>
      <c r="W946" s="81"/>
      <c r="X946" s="81"/>
      <c r="Y946" s="105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105"/>
      <c r="AM946" s="81"/>
      <c r="AN946" s="81"/>
      <c r="AO946" s="81"/>
      <c r="AP946" s="81"/>
      <c r="AQ946" s="81"/>
      <c r="AR946" s="81"/>
      <c r="AS946" s="81"/>
      <c r="AT946" s="81"/>
      <c r="AU946" s="81"/>
    </row>
    <row r="947" spans="1:47" ht="24" customHeight="1" x14ac:dyDescent="0.5">
      <c r="A947" s="81"/>
      <c r="B947" s="81"/>
      <c r="C947" s="81"/>
      <c r="D947" s="81"/>
      <c r="E947" s="81"/>
      <c r="F947" s="81"/>
      <c r="G947" s="105"/>
      <c r="H947" s="81"/>
      <c r="I947" s="81"/>
      <c r="J947" s="81"/>
      <c r="K947" s="105"/>
      <c r="L947" s="81"/>
      <c r="M947" s="81"/>
      <c r="N947" s="81"/>
      <c r="O947" s="81"/>
      <c r="P947" s="81"/>
      <c r="Q947" s="81"/>
      <c r="R947" s="105"/>
      <c r="S947" s="81"/>
      <c r="T947" s="81"/>
      <c r="U947" s="81"/>
      <c r="V947" s="105"/>
      <c r="W947" s="81"/>
      <c r="X947" s="81"/>
      <c r="Y947" s="105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105"/>
      <c r="AM947" s="81"/>
      <c r="AN947" s="81"/>
      <c r="AO947" s="81"/>
      <c r="AP947" s="81"/>
      <c r="AQ947" s="81"/>
      <c r="AR947" s="81"/>
      <c r="AS947" s="81"/>
      <c r="AT947" s="81"/>
      <c r="AU947" s="81"/>
    </row>
    <row r="948" spans="1:47" ht="24" customHeight="1" x14ac:dyDescent="0.5">
      <c r="A948" s="81"/>
      <c r="B948" s="81"/>
      <c r="C948" s="81"/>
      <c r="D948" s="81"/>
      <c r="E948" s="81"/>
      <c r="F948" s="81"/>
      <c r="G948" s="105"/>
      <c r="H948" s="81"/>
      <c r="I948" s="81"/>
      <c r="J948" s="81"/>
      <c r="K948" s="105"/>
      <c r="L948" s="81"/>
      <c r="M948" s="81"/>
      <c r="N948" s="81"/>
      <c r="O948" s="81"/>
      <c r="P948" s="81"/>
      <c r="Q948" s="81"/>
      <c r="R948" s="105"/>
      <c r="S948" s="81"/>
      <c r="T948" s="81"/>
      <c r="U948" s="81"/>
      <c r="V948" s="105"/>
      <c r="W948" s="81"/>
      <c r="X948" s="81"/>
      <c r="Y948" s="105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105"/>
      <c r="AM948" s="81"/>
      <c r="AN948" s="81"/>
      <c r="AO948" s="81"/>
      <c r="AP948" s="81"/>
      <c r="AQ948" s="81"/>
      <c r="AR948" s="81"/>
      <c r="AS948" s="81"/>
      <c r="AT948" s="81"/>
      <c r="AU948" s="81"/>
    </row>
    <row r="949" spans="1:47" ht="24" customHeight="1" x14ac:dyDescent="0.5">
      <c r="A949" s="81"/>
      <c r="B949" s="81"/>
      <c r="C949" s="81"/>
      <c r="D949" s="81"/>
      <c r="E949" s="81"/>
      <c r="F949" s="81"/>
      <c r="G949" s="105"/>
      <c r="H949" s="81"/>
      <c r="I949" s="81"/>
      <c r="J949" s="81"/>
      <c r="K949" s="105"/>
      <c r="L949" s="81"/>
      <c r="M949" s="81"/>
      <c r="N949" s="81"/>
      <c r="O949" s="81"/>
      <c r="P949" s="81"/>
      <c r="Q949" s="81"/>
      <c r="R949" s="105"/>
      <c r="S949" s="81"/>
      <c r="T949" s="81"/>
      <c r="U949" s="81"/>
      <c r="V949" s="105"/>
      <c r="W949" s="81"/>
      <c r="X949" s="81"/>
      <c r="Y949" s="105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105"/>
      <c r="AM949" s="81"/>
      <c r="AN949" s="81"/>
      <c r="AO949" s="81"/>
      <c r="AP949" s="81"/>
      <c r="AQ949" s="81"/>
      <c r="AR949" s="81"/>
      <c r="AS949" s="81"/>
      <c r="AT949" s="81"/>
      <c r="AU949" s="81"/>
    </row>
    <row r="950" spans="1:47" ht="24" customHeight="1" x14ac:dyDescent="0.5">
      <c r="A950" s="81"/>
      <c r="B950" s="81"/>
      <c r="C950" s="81"/>
      <c r="D950" s="81"/>
      <c r="E950" s="81"/>
      <c r="F950" s="81"/>
      <c r="G950" s="105"/>
      <c r="H950" s="81"/>
      <c r="I950" s="81"/>
      <c r="J950" s="81"/>
      <c r="K950" s="105"/>
      <c r="L950" s="81"/>
      <c r="M950" s="81"/>
      <c r="N950" s="81"/>
      <c r="O950" s="81"/>
      <c r="P950" s="81"/>
      <c r="Q950" s="81"/>
      <c r="R950" s="105"/>
      <c r="S950" s="81"/>
      <c r="T950" s="81"/>
      <c r="U950" s="81"/>
      <c r="V950" s="105"/>
      <c r="W950" s="81"/>
      <c r="X950" s="81"/>
      <c r="Y950" s="105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105"/>
      <c r="AM950" s="81"/>
      <c r="AN950" s="81"/>
      <c r="AO950" s="81"/>
      <c r="AP950" s="81"/>
      <c r="AQ950" s="81"/>
      <c r="AR950" s="81"/>
      <c r="AS950" s="81"/>
      <c r="AT950" s="81"/>
      <c r="AU950" s="81"/>
    </row>
    <row r="951" spans="1:47" ht="24" customHeight="1" x14ac:dyDescent="0.5">
      <c r="A951" s="81"/>
      <c r="B951" s="81"/>
      <c r="C951" s="81"/>
      <c r="D951" s="81"/>
      <c r="E951" s="81"/>
      <c r="F951" s="81"/>
      <c r="G951" s="105"/>
      <c r="H951" s="81"/>
      <c r="I951" s="81"/>
      <c r="J951" s="81"/>
      <c r="K951" s="105"/>
      <c r="L951" s="81"/>
      <c r="M951" s="81"/>
      <c r="N951" s="81"/>
      <c r="O951" s="81"/>
      <c r="P951" s="81"/>
      <c r="Q951" s="81"/>
      <c r="R951" s="105"/>
      <c r="S951" s="81"/>
      <c r="T951" s="81"/>
      <c r="U951" s="81"/>
      <c r="V951" s="105"/>
      <c r="W951" s="81"/>
      <c r="X951" s="81"/>
      <c r="Y951" s="105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105"/>
      <c r="AM951" s="81"/>
      <c r="AN951" s="81"/>
      <c r="AO951" s="81"/>
      <c r="AP951" s="81"/>
      <c r="AQ951" s="81"/>
      <c r="AR951" s="81"/>
      <c r="AS951" s="81"/>
      <c r="AT951" s="81"/>
      <c r="AU951" s="81"/>
    </row>
    <row r="952" spans="1:47" ht="24" customHeight="1" x14ac:dyDescent="0.5">
      <c r="A952" s="81"/>
      <c r="B952" s="81"/>
      <c r="C952" s="81"/>
      <c r="D952" s="81"/>
      <c r="E952" s="81"/>
      <c r="F952" s="81"/>
      <c r="G952" s="105"/>
      <c r="H952" s="81"/>
      <c r="I952" s="81"/>
      <c r="J952" s="81"/>
      <c r="K952" s="105"/>
      <c r="L952" s="81"/>
      <c r="M952" s="81"/>
      <c r="N952" s="81"/>
      <c r="O952" s="81"/>
      <c r="P952" s="81"/>
      <c r="Q952" s="81"/>
      <c r="R952" s="105"/>
      <c r="S952" s="81"/>
      <c r="T952" s="81"/>
      <c r="U952" s="81"/>
      <c r="V952" s="105"/>
      <c r="W952" s="81"/>
      <c r="X952" s="81"/>
      <c r="Y952" s="105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105"/>
      <c r="AM952" s="81"/>
      <c r="AN952" s="81"/>
      <c r="AO952" s="81"/>
      <c r="AP952" s="81"/>
      <c r="AQ952" s="81"/>
      <c r="AR952" s="81"/>
      <c r="AS952" s="81"/>
      <c r="AT952" s="81"/>
      <c r="AU952" s="81"/>
    </row>
    <row r="953" spans="1:47" ht="24" customHeight="1" x14ac:dyDescent="0.5">
      <c r="A953" s="81"/>
      <c r="B953" s="81"/>
      <c r="C953" s="81"/>
      <c r="D953" s="81"/>
      <c r="E953" s="81"/>
      <c r="F953" s="81"/>
      <c r="G953" s="105"/>
      <c r="H953" s="81"/>
      <c r="I953" s="81"/>
      <c r="J953" s="81"/>
      <c r="K953" s="105"/>
      <c r="L953" s="81"/>
      <c r="M953" s="81"/>
      <c r="N953" s="81"/>
      <c r="O953" s="81"/>
      <c r="P953" s="81"/>
      <c r="Q953" s="81"/>
      <c r="R953" s="105"/>
      <c r="S953" s="81"/>
      <c r="T953" s="81"/>
      <c r="U953" s="81"/>
      <c r="V953" s="105"/>
      <c r="W953" s="81"/>
      <c r="X953" s="81"/>
      <c r="Y953" s="105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105"/>
      <c r="AM953" s="81"/>
      <c r="AN953" s="81"/>
      <c r="AO953" s="81"/>
      <c r="AP953" s="81"/>
      <c r="AQ953" s="81"/>
      <c r="AR953" s="81"/>
      <c r="AS953" s="81"/>
      <c r="AT953" s="81"/>
      <c r="AU953" s="81"/>
    </row>
    <row r="954" spans="1:47" ht="24" customHeight="1" x14ac:dyDescent="0.5">
      <c r="A954" s="81"/>
      <c r="B954" s="81"/>
      <c r="C954" s="81"/>
      <c r="D954" s="81"/>
      <c r="E954" s="81"/>
      <c r="F954" s="81"/>
      <c r="G954" s="105"/>
      <c r="H954" s="81"/>
      <c r="I954" s="81"/>
      <c r="J954" s="81"/>
      <c r="K954" s="105"/>
      <c r="L954" s="81"/>
      <c r="M954" s="81"/>
      <c r="N954" s="81"/>
      <c r="O954" s="81"/>
      <c r="P954" s="81"/>
      <c r="Q954" s="81"/>
      <c r="R954" s="105"/>
      <c r="S954" s="81"/>
      <c r="T954" s="81"/>
      <c r="U954" s="81"/>
      <c r="V954" s="105"/>
      <c r="W954" s="81"/>
      <c r="X954" s="81"/>
      <c r="Y954" s="105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105"/>
      <c r="AM954" s="81"/>
      <c r="AN954" s="81"/>
      <c r="AO954" s="81"/>
      <c r="AP954" s="81"/>
      <c r="AQ954" s="81"/>
      <c r="AR954" s="81"/>
      <c r="AS954" s="81"/>
      <c r="AT954" s="81"/>
      <c r="AU954" s="81"/>
    </row>
    <row r="955" spans="1:47" ht="24" customHeight="1" x14ac:dyDescent="0.5">
      <c r="A955" s="81"/>
      <c r="B955" s="81"/>
      <c r="C955" s="81"/>
      <c r="D955" s="81"/>
      <c r="E955" s="81"/>
      <c r="F955" s="81"/>
      <c r="G955" s="105"/>
      <c r="H955" s="81"/>
      <c r="I955" s="81"/>
      <c r="J955" s="81"/>
      <c r="K955" s="105"/>
      <c r="L955" s="81"/>
      <c r="M955" s="81"/>
      <c r="N955" s="81"/>
      <c r="O955" s="81"/>
      <c r="P955" s="81"/>
      <c r="Q955" s="81"/>
      <c r="R955" s="105"/>
      <c r="S955" s="81"/>
      <c r="T955" s="81"/>
      <c r="U955" s="81"/>
      <c r="V955" s="105"/>
      <c r="W955" s="81"/>
      <c r="X955" s="81"/>
      <c r="Y955" s="105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105"/>
      <c r="AM955" s="81"/>
      <c r="AN955" s="81"/>
      <c r="AO955" s="81"/>
      <c r="AP955" s="81"/>
      <c r="AQ955" s="81"/>
      <c r="AR955" s="81"/>
      <c r="AS955" s="81"/>
      <c r="AT955" s="81"/>
      <c r="AU955" s="81"/>
    </row>
    <row r="956" spans="1:47" ht="24" customHeight="1" x14ac:dyDescent="0.5">
      <c r="A956" s="81"/>
      <c r="B956" s="81"/>
      <c r="C956" s="81"/>
      <c r="D956" s="81"/>
      <c r="E956" s="81"/>
      <c r="F956" s="81"/>
      <c r="G956" s="105"/>
      <c r="H956" s="81"/>
      <c r="I956" s="81"/>
      <c r="J956" s="81"/>
      <c r="K956" s="105"/>
      <c r="L956" s="81"/>
      <c r="M956" s="81"/>
      <c r="N956" s="81"/>
      <c r="O956" s="81"/>
      <c r="P956" s="81"/>
      <c r="Q956" s="81"/>
      <c r="R956" s="105"/>
      <c r="S956" s="81"/>
      <c r="T956" s="81"/>
      <c r="U956" s="81"/>
      <c r="V956" s="105"/>
      <c r="W956" s="81"/>
      <c r="X956" s="81"/>
      <c r="Y956" s="105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105"/>
      <c r="AM956" s="81"/>
      <c r="AN956" s="81"/>
      <c r="AO956" s="81"/>
      <c r="AP956" s="81"/>
      <c r="AQ956" s="81"/>
      <c r="AR956" s="81"/>
      <c r="AS956" s="81"/>
      <c r="AT956" s="81"/>
      <c r="AU956" s="81"/>
    </row>
    <row r="957" spans="1:47" ht="24" customHeight="1" x14ac:dyDescent="0.5">
      <c r="A957" s="81"/>
      <c r="B957" s="81"/>
      <c r="C957" s="81"/>
      <c r="D957" s="81"/>
      <c r="E957" s="81"/>
      <c r="F957" s="81"/>
      <c r="G957" s="105"/>
      <c r="H957" s="81"/>
      <c r="I957" s="81"/>
      <c r="J957" s="81"/>
      <c r="K957" s="105"/>
      <c r="L957" s="81"/>
      <c r="M957" s="81"/>
      <c r="N957" s="81"/>
      <c r="O957" s="81"/>
      <c r="P957" s="81"/>
      <c r="Q957" s="81"/>
      <c r="R957" s="105"/>
      <c r="S957" s="81"/>
      <c r="T957" s="81"/>
      <c r="U957" s="81"/>
      <c r="V957" s="105"/>
      <c r="W957" s="81"/>
      <c r="X957" s="81"/>
      <c r="Y957" s="105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105"/>
      <c r="AM957" s="81"/>
      <c r="AN957" s="81"/>
      <c r="AO957" s="81"/>
      <c r="AP957" s="81"/>
      <c r="AQ957" s="81"/>
      <c r="AR957" s="81"/>
      <c r="AS957" s="81"/>
      <c r="AT957" s="81"/>
      <c r="AU957" s="81"/>
    </row>
    <row r="958" spans="1:47" ht="24" customHeight="1" x14ac:dyDescent="0.5">
      <c r="A958" s="81"/>
      <c r="B958" s="81"/>
      <c r="C958" s="81"/>
      <c r="D958" s="81"/>
      <c r="E958" s="81"/>
      <c r="F958" s="81"/>
      <c r="G958" s="105"/>
      <c r="H958" s="81"/>
      <c r="I958" s="81"/>
      <c r="J958" s="81"/>
      <c r="K958" s="105"/>
      <c r="L958" s="81"/>
      <c r="M958" s="81"/>
      <c r="N958" s="81"/>
      <c r="O958" s="81"/>
      <c r="P958" s="81"/>
      <c r="Q958" s="81"/>
      <c r="R958" s="105"/>
      <c r="S958" s="81"/>
      <c r="T958" s="81"/>
      <c r="U958" s="81"/>
      <c r="V958" s="105"/>
      <c r="W958" s="81"/>
      <c r="X958" s="81"/>
      <c r="Y958" s="105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105"/>
      <c r="AM958" s="81"/>
      <c r="AN958" s="81"/>
      <c r="AO958" s="81"/>
      <c r="AP958" s="81"/>
      <c r="AQ958" s="81"/>
      <c r="AR958" s="81"/>
      <c r="AS958" s="81"/>
      <c r="AT958" s="81"/>
      <c r="AU958" s="81"/>
    </row>
    <row r="959" spans="1:47" ht="24" customHeight="1" x14ac:dyDescent="0.5">
      <c r="A959" s="81"/>
      <c r="B959" s="81"/>
      <c r="C959" s="81"/>
      <c r="D959" s="81"/>
      <c r="E959" s="81"/>
      <c r="F959" s="81"/>
      <c r="G959" s="105"/>
      <c r="H959" s="81"/>
      <c r="I959" s="81"/>
      <c r="J959" s="81"/>
      <c r="K959" s="105"/>
      <c r="L959" s="81"/>
      <c r="M959" s="81"/>
      <c r="N959" s="81"/>
      <c r="O959" s="81"/>
      <c r="P959" s="81"/>
      <c r="Q959" s="81"/>
      <c r="R959" s="105"/>
      <c r="S959" s="81"/>
      <c r="T959" s="81"/>
      <c r="U959" s="81"/>
      <c r="V959" s="105"/>
      <c r="W959" s="81"/>
      <c r="X959" s="81"/>
      <c r="Y959" s="105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105"/>
      <c r="AM959" s="81"/>
      <c r="AN959" s="81"/>
      <c r="AO959" s="81"/>
      <c r="AP959" s="81"/>
      <c r="AQ959" s="81"/>
      <c r="AR959" s="81"/>
      <c r="AS959" s="81"/>
      <c r="AT959" s="81"/>
      <c r="AU959" s="81"/>
    </row>
    <row r="960" spans="1:47" ht="24" customHeight="1" x14ac:dyDescent="0.5">
      <c r="A960" s="81"/>
      <c r="B960" s="81"/>
      <c r="C960" s="81"/>
      <c r="D960" s="81"/>
      <c r="E960" s="81"/>
      <c r="F960" s="81"/>
      <c r="G960" s="105"/>
      <c r="H960" s="81"/>
      <c r="I960" s="81"/>
      <c r="J960" s="81"/>
      <c r="K960" s="105"/>
      <c r="L960" s="81"/>
      <c r="M960" s="81"/>
      <c r="N960" s="81"/>
      <c r="O960" s="81"/>
      <c r="P960" s="81"/>
      <c r="Q960" s="81"/>
      <c r="R960" s="105"/>
      <c r="S960" s="81"/>
      <c r="T960" s="81"/>
      <c r="U960" s="81"/>
      <c r="V960" s="105"/>
      <c r="W960" s="81"/>
      <c r="X960" s="81"/>
      <c r="Y960" s="105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105"/>
      <c r="AM960" s="81"/>
      <c r="AN960" s="81"/>
      <c r="AO960" s="81"/>
      <c r="AP960" s="81"/>
      <c r="AQ960" s="81"/>
      <c r="AR960" s="81"/>
      <c r="AS960" s="81"/>
      <c r="AT960" s="81"/>
      <c r="AU960" s="81"/>
    </row>
    <row r="961" spans="1:47" ht="24" customHeight="1" x14ac:dyDescent="0.5">
      <c r="A961" s="81"/>
      <c r="B961" s="81"/>
      <c r="C961" s="81"/>
      <c r="D961" s="81"/>
      <c r="E961" s="81"/>
      <c r="F961" s="81"/>
      <c r="G961" s="105"/>
      <c r="H961" s="81"/>
      <c r="I961" s="81"/>
      <c r="J961" s="81"/>
      <c r="K961" s="105"/>
      <c r="L961" s="81"/>
      <c r="M961" s="81"/>
      <c r="N961" s="81"/>
      <c r="O961" s="81"/>
      <c r="P961" s="81"/>
      <c r="Q961" s="81"/>
      <c r="R961" s="105"/>
      <c r="S961" s="81"/>
      <c r="T961" s="81"/>
      <c r="U961" s="81"/>
      <c r="V961" s="105"/>
      <c r="W961" s="81"/>
      <c r="X961" s="81"/>
      <c r="Y961" s="105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105"/>
      <c r="AM961" s="81"/>
      <c r="AN961" s="81"/>
      <c r="AO961" s="81"/>
      <c r="AP961" s="81"/>
      <c r="AQ961" s="81"/>
      <c r="AR961" s="81"/>
      <c r="AS961" s="81"/>
      <c r="AT961" s="81"/>
      <c r="AU961" s="81"/>
    </row>
    <row r="962" spans="1:47" ht="24" customHeight="1" x14ac:dyDescent="0.5">
      <c r="A962" s="81"/>
      <c r="B962" s="81"/>
      <c r="C962" s="81"/>
      <c r="D962" s="81"/>
      <c r="E962" s="81"/>
      <c r="F962" s="81"/>
      <c r="G962" s="105"/>
      <c r="H962" s="81"/>
      <c r="I962" s="81"/>
      <c r="J962" s="81"/>
      <c r="K962" s="105"/>
      <c r="L962" s="81"/>
      <c r="M962" s="81"/>
      <c r="N962" s="81"/>
      <c r="O962" s="81"/>
      <c r="P962" s="81"/>
      <c r="Q962" s="81"/>
      <c r="R962" s="105"/>
      <c r="S962" s="81"/>
      <c r="T962" s="81"/>
      <c r="U962" s="81"/>
      <c r="V962" s="105"/>
      <c r="W962" s="81"/>
      <c r="X962" s="81"/>
      <c r="Y962" s="105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105"/>
      <c r="AM962" s="81"/>
      <c r="AN962" s="81"/>
      <c r="AO962" s="81"/>
      <c r="AP962" s="81"/>
      <c r="AQ962" s="81"/>
      <c r="AR962" s="81"/>
      <c r="AS962" s="81"/>
      <c r="AT962" s="81"/>
      <c r="AU962" s="81"/>
    </row>
    <row r="963" spans="1:47" ht="24" customHeight="1" x14ac:dyDescent="0.5">
      <c r="A963" s="81"/>
      <c r="B963" s="81"/>
      <c r="C963" s="81"/>
      <c r="D963" s="81"/>
      <c r="E963" s="81"/>
      <c r="F963" s="81"/>
      <c r="G963" s="105"/>
      <c r="H963" s="81"/>
      <c r="I963" s="81"/>
      <c r="J963" s="81"/>
      <c r="K963" s="105"/>
      <c r="L963" s="81"/>
      <c r="M963" s="81"/>
      <c r="N963" s="81"/>
      <c r="O963" s="81"/>
      <c r="P963" s="81"/>
      <c r="Q963" s="81"/>
      <c r="R963" s="105"/>
      <c r="S963" s="81"/>
      <c r="T963" s="81"/>
      <c r="U963" s="81"/>
      <c r="V963" s="105"/>
      <c r="W963" s="81"/>
      <c r="X963" s="81"/>
      <c r="Y963" s="105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105"/>
      <c r="AM963" s="81"/>
      <c r="AN963" s="81"/>
      <c r="AO963" s="81"/>
      <c r="AP963" s="81"/>
      <c r="AQ963" s="81"/>
      <c r="AR963" s="81"/>
      <c r="AS963" s="81"/>
      <c r="AT963" s="81"/>
      <c r="AU963" s="81"/>
    </row>
    <row r="964" spans="1:47" ht="24" customHeight="1" x14ac:dyDescent="0.5">
      <c r="A964" s="81"/>
      <c r="B964" s="81"/>
      <c r="C964" s="81"/>
      <c r="D964" s="81"/>
      <c r="E964" s="81"/>
      <c r="F964" s="81"/>
      <c r="G964" s="105"/>
      <c r="H964" s="81"/>
      <c r="I964" s="81"/>
      <c r="J964" s="81"/>
      <c r="K964" s="105"/>
      <c r="L964" s="81"/>
      <c r="M964" s="81"/>
      <c r="N964" s="81"/>
      <c r="O964" s="81"/>
      <c r="P964" s="81"/>
      <c r="Q964" s="81"/>
      <c r="R964" s="105"/>
      <c r="S964" s="81"/>
      <c r="T964" s="81"/>
      <c r="U964" s="81"/>
      <c r="V964" s="105"/>
      <c r="W964" s="81"/>
      <c r="X964" s="81"/>
      <c r="Y964" s="105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105"/>
      <c r="AM964" s="81"/>
      <c r="AN964" s="81"/>
      <c r="AO964" s="81"/>
      <c r="AP964" s="81"/>
      <c r="AQ964" s="81"/>
      <c r="AR964" s="81"/>
      <c r="AS964" s="81"/>
      <c r="AT964" s="81"/>
      <c r="AU964" s="81"/>
    </row>
    <row r="965" spans="1:47" ht="24" customHeight="1" x14ac:dyDescent="0.5">
      <c r="A965" s="81"/>
      <c r="B965" s="81"/>
      <c r="C965" s="81"/>
      <c r="D965" s="81"/>
      <c r="E965" s="81"/>
      <c r="F965" s="81"/>
      <c r="G965" s="105"/>
      <c r="H965" s="81"/>
      <c r="I965" s="81"/>
      <c r="J965" s="81"/>
      <c r="K965" s="105"/>
      <c r="L965" s="81"/>
      <c r="M965" s="81"/>
      <c r="N965" s="81"/>
      <c r="O965" s="81"/>
      <c r="P965" s="81"/>
      <c r="Q965" s="81"/>
      <c r="R965" s="105"/>
      <c r="S965" s="81"/>
      <c r="T965" s="81"/>
      <c r="U965" s="81"/>
      <c r="V965" s="105"/>
      <c r="W965" s="81"/>
      <c r="X965" s="81"/>
      <c r="Y965" s="105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105"/>
      <c r="AM965" s="81"/>
      <c r="AN965" s="81"/>
      <c r="AO965" s="81"/>
      <c r="AP965" s="81"/>
      <c r="AQ965" s="81"/>
      <c r="AR965" s="81"/>
      <c r="AS965" s="81"/>
      <c r="AT965" s="81"/>
      <c r="AU965" s="81"/>
    </row>
    <row r="966" spans="1:47" ht="24" customHeight="1" x14ac:dyDescent="0.5">
      <c r="A966" s="81"/>
      <c r="B966" s="81"/>
      <c r="C966" s="81"/>
      <c r="D966" s="81"/>
      <c r="E966" s="81"/>
      <c r="F966" s="81"/>
      <c r="G966" s="105"/>
      <c r="H966" s="81"/>
      <c r="I966" s="81"/>
      <c r="J966" s="81"/>
      <c r="K966" s="105"/>
      <c r="L966" s="81"/>
      <c r="M966" s="81"/>
      <c r="N966" s="81"/>
      <c r="O966" s="81"/>
      <c r="P966" s="81"/>
      <c r="Q966" s="81"/>
      <c r="R966" s="105"/>
      <c r="S966" s="81"/>
      <c r="T966" s="81"/>
      <c r="U966" s="81"/>
      <c r="V966" s="105"/>
      <c r="W966" s="81"/>
      <c r="X966" s="81"/>
      <c r="Y966" s="105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105"/>
      <c r="AM966" s="81"/>
      <c r="AN966" s="81"/>
      <c r="AO966" s="81"/>
      <c r="AP966" s="81"/>
      <c r="AQ966" s="81"/>
      <c r="AR966" s="81"/>
      <c r="AS966" s="81"/>
      <c r="AT966" s="81"/>
      <c r="AU966" s="81"/>
    </row>
    <row r="967" spans="1:47" ht="24" customHeight="1" x14ac:dyDescent="0.5">
      <c r="A967" s="81"/>
      <c r="B967" s="81"/>
      <c r="C967" s="81"/>
      <c r="D967" s="81"/>
      <c r="E967" s="81"/>
      <c r="F967" s="81"/>
      <c r="G967" s="105"/>
      <c r="H967" s="81"/>
      <c r="I967" s="81"/>
      <c r="J967" s="81"/>
      <c r="K967" s="105"/>
      <c r="L967" s="81"/>
      <c r="M967" s="81"/>
      <c r="N967" s="81"/>
      <c r="O967" s="81"/>
      <c r="P967" s="81"/>
      <c r="Q967" s="81"/>
      <c r="R967" s="105"/>
      <c r="S967" s="81"/>
      <c r="T967" s="81"/>
      <c r="U967" s="81"/>
      <c r="V967" s="105"/>
      <c r="W967" s="81"/>
      <c r="X967" s="81"/>
      <c r="Y967" s="105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105"/>
      <c r="AM967" s="81"/>
      <c r="AN967" s="81"/>
      <c r="AO967" s="81"/>
      <c r="AP967" s="81"/>
      <c r="AQ967" s="81"/>
      <c r="AR967" s="81"/>
      <c r="AS967" s="81"/>
      <c r="AT967" s="81"/>
      <c r="AU967" s="81"/>
    </row>
    <row r="968" spans="1:47" ht="24" customHeight="1" x14ac:dyDescent="0.5">
      <c r="A968" s="81"/>
      <c r="B968" s="81"/>
      <c r="C968" s="81"/>
      <c r="D968" s="81"/>
      <c r="E968" s="81"/>
      <c r="F968" s="81"/>
      <c r="G968" s="105"/>
      <c r="H968" s="81"/>
      <c r="I968" s="81"/>
      <c r="J968" s="81"/>
      <c r="K968" s="105"/>
      <c r="L968" s="81"/>
      <c r="M968" s="81"/>
      <c r="N968" s="81"/>
      <c r="O968" s="81"/>
      <c r="P968" s="81"/>
      <c r="Q968" s="81"/>
      <c r="R968" s="105"/>
      <c r="S968" s="81"/>
      <c r="T968" s="81"/>
      <c r="U968" s="81"/>
      <c r="V968" s="105"/>
      <c r="W968" s="81"/>
      <c r="X968" s="81"/>
      <c r="Y968" s="105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105"/>
      <c r="AM968" s="81"/>
      <c r="AN968" s="81"/>
      <c r="AO968" s="81"/>
      <c r="AP968" s="81"/>
      <c r="AQ968" s="81"/>
      <c r="AR968" s="81"/>
      <c r="AS968" s="81"/>
      <c r="AT968" s="81"/>
      <c r="AU968" s="81"/>
    </row>
    <row r="969" spans="1:47" ht="24" customHeight="1" x14ac:dyDescent="0.5">
      <c r="A969" s="81"/>
      <c r="B969" s="81"/>
      <c r="C969" s="81"/>
      <c r="D969" s="81"/>
      <c r="E969" s="81"/>
      <c r="F969" s="81"/>
      <c r="G969" s="105"/>
      <c r="H969" s="81"/>
      <c r="I969" s="81"/>
      <c r="J969" s="81"/>
      <c r="K969" s="105"/>
      <c r="L969" s="81"/>
      <c r="M969" s="81"/>
      <c r="N969" s="81"/>
      <c r="O969" s="81"/>
      <c r="P969" s="81"/>
      <c r="Q969" s="81"/>
      <c r="R969" s="105"/>
      <c r="S969" s="81"/>
      <c r="T969" s="81"/>
      <c r="U969" s="81"/>
      <c r="V969" s="105"/>
      <c r="W969" s="81"/>
      <c r="X969" s="81"/>
      <c r="Y969" s="105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105"/>
      <c r="AM969" s="81"/>
      <c r="AN969" s="81"/>
      <c r="AO969" s="81"/>
      <c r="AP969" s="81"/>
      <c r="AQ969" s="81"/>
      <c r="AR969" s="81"/>
      <c r="AS969" s="81"/>
      <c r="AT969" s="81"/>
      <c r="AU969" s="81"/>
    </row>
    <row r="970" spans="1:47" ht="24" customHeight="1" x14ac:dyDescent="0.5">
      <c r="A970" s="81"/>
      <c r="B970" s="81"/>
      <c r="C970" s="81"/>
      <c r="D970" s="81"/>
      <c r="E970" s="81"/>
      <c r="F970" s="81"/>
      <c r="G970" s="105"/>
      <c r="H970" s="81"/>
      <c r="I970" s="81"/>
      <c r="J970" s="81"/>
      <c r="K970" s="105"/>
      <c r="L970" s="81"/>
      <c r="M970" s="81"/>
      <c r="N970" s="81"/>
      <c r="O970" s="81"/>
      <c r="P970" s="81"/>
      <c r="Q970" s="81"/>
      <c r="R970" s="105"/>
      <c r="S970" s="81"/>
      <c r="T970" s="81"/>
      <c r="U970" s="81"/>
      <c r="V970" s="105"/>
      <c r="W970" s="81"/>
      <c r="X970" s="81"/>
      <c r="Y970" s="105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105"/>
      <c r="AM970" s="81"/>
      <c r="AN970" s="81"/>
      <c r="AO970" s="81"/>
      <c r="AP970" s="81"/>
      <c r="AQ970" s="81"/>
      <c r="AR970" s="81"/>
      <c r="AS970" s="81"/>
      <c r="AT970" s="81"/>
      <c r="AU970" s="81"/>
    </row>
    <row r="971" spans="1:47" ht="24" customHeight="1" x14ac:dyDescent="0.5">
      <c r="A971" s="81"/>
      <c r="B971" s="81"/>
      <c r="C971" s="81"/>
      <c r="D971" s="81"/>
      <c r="E971" s="81"/>
      <c r="F971" s="81"/>
      <c r="G971" s="105"/>
      <c r="H971" s="81"/>
      <c r="I971" s="81"/>
      <c r="J971" s="81"/>
      <c r="K971" s="105"/>
      <c r="L971" s="81"/>
      <c r="M971" s="81"/>
      <c r="N971" s="81"/>
      <c r="O971" s="81"/>
      <c r="P971" s="81"/>
      <c r="Q971" s="81"/>
      <c r="R971" s="105"/>
      <c r="S971" s="81"/>
      <c r="T971" s="81"/>
      <c r="U971" s="81"/>
      <c r="V971" s="105"/>
      <c r="W971" s="81"/>
      <c r="X971" s="81"/>
      <c r="Y971" s="105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105"/>
      <c r="AM971" s="81"/>
      <c r="AN971" s="81"/>
      <c r="AO971" s="81"/>
      <c r="AP971" s="81"/>
      <c r="AQ971" s="81"/>
      <c r="AR971" s="81"/>
      <c r="AS971" s="81"/>
      <c r="AT971" s="81"/>
      <c r="AU971" s="81"/>
    </row>
    <row r="972" spans="1:47" ht="24" customHeight="1" x14ac:dyDescent="0.5">
      <c r="A972" s="81"/>
      <c r="B972" s="81"/>
      <c r="C972" s="81"/>
      <c r="D972" s="81"/>
      <c r="E972" s="81"/>
      <c r="F972" s="81"/>
      <c r="G972" s="105"/>
      <c r="H972" s="81"/>
      <c r="I972" s="81"/>
      <c r="J972" s="81"/>
      <c r="K972" s="105"/>
      <c r="L972" s="81"/>
      <c r="M972" s="81"/>
      <c r="N972" s="81"/>
      <c r="O972" s="81"/>
      <c r="P972" s="81"/>
      <c r="Q972" s="81"/>
      <c r="R972" s="105"/>
      <c r="S972" s="81"/>
      <c r="T972" s="81"/>
      <c r="U972" s="81"/>
      <c r="V972" s="105"/>
      <c r="W972" s="81"/>
      <c r="X972" s="81"/>
      <c r="Y972" s="105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105"/>
      <c r="AM972" s="81"/>
      <c r="AN972" s="81"/>
      <c r="AO972" s="81"/>
      <c r="AP972" s="81"/>
      <c r="AQ972" s="81"/>
      <c r="AR972" s="81"/>
      <c r="AS972" s="81"/>
      <c r="AT972" s="81"/>
      <c r="AU972" s="81"/>
    </row>
    <row r="973" spans="1:47" ht="24" customHeight="1" x14ac:dyDescent="0.5">
      <c r="A973" s="81"/>
      <c r="B973" s="81"/>
      <c r="C973" s="81"/>
      <c r="D973" s="81"/>
      <c r="E973" s="81"/>
      <c r="F973" s="81"/>
      <c r="G973" s="105"/>
      <c r="H973" s="81"/>
      <c r="I973" s="81"/>
      <c r="J973" s="81"/>
      <c r="K973" s="105"/>
      <c r="L973" s="81"/>
      <c r="M973" s="81"/>
      <c r="N973" s="81"/>
      <c r="O973" s="81"/>
      <c r="P973" s="81"/>
      <c r="Q973" s="81"/>
      <c r="R973" s="105"/>
      <c r="S973" s="81"/>
      <c r="T973" s="81"/>
      <c r="U973" s="81"/>
      <c r="V973" s="105"/>
      <c r="W973" s="81"/>
      <c r="X973" s="81"/>
      <c r="Y973" s="105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105"/>
      <c r="AM973" s="81"/>
      <c r="AN973" s="81"/>
      <c r="AO973" s="81"/>
      <c r="AP973" s="81"/>
      <c r="AQ973" s="81"/>
      <c r="AR973" s="81"/>
      <c r="AS973" s="81"/>
      <c r="AT973" s="81"/>
      <c r="AU973" s="81"/>
    </row>
    <row r="974" spans="1:47" ht="24" customHeight="1" x14ac:dyDescent="0.5">
      <c r="A974" s="81"/>
      <c r="B974" s="81"/>
      <c r="C974" s="81"/>
      <c r="D974" s="81"/>
      <c r="E974" s="81"/>
      <c r="F974" s="81"/>
      <c r="G974" s="105"/>
      <c r="H974" s="81"/>
      <c r="I974" s="81"/>
      <c r="J974" s="81"/>
      <c r="K974" s="105"/>
      <c r="L974" s="81"/>
      <c r="M974" s="81"/>
      <c r="N974" s="81"/>
      <c r="O974" s="81"/>
      <c r="P974" s="81"/>
      <c r="Q974" s="81"/>
      <c r="R974" s="105"/>
      <c r="S974" s="81"/>
      <c r="T974" s="81"/>
      <c r="U974" s="81"/>
      <c r="V974" s="105"/>
      <c r="W974" s="81"/>
      <c r="X974" s="81"/>
      <c r="Y974" s="105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105"/>
      <c r="AM974" s="81"/>
      <c r="AN974" s="81"/>
      <c r="AO974" s="81"/>
      <c r="AP974" s="81"/>
      <c r="AQ974" s="81"/>
      <c r="AR974" s="81"/>
      <c r="AS974" s="81"/>
      <c r="AT974" s="81"/>
      <c r="AU974" s="81"/>
    </row>
    <row r="975" spans="1:47" ht="24" customHeight="1" x14ac:dyDescent="0.5">
      <c r="A975" s="81"/>
      <c r="B975" s="81"/>
      <c r="C975" s="81"/>
      <c r="D975" s="81"/>
      <c r="E975" s="81"/>
      <c r="F975" s="81"/>
      <c r="G975" s="105"/>
      <c r="H975" s="81"/>
      <c r="I975" s="81"/>
      <c r="J975" s="81"/>
      <c r="K975" s="105"/>
      <c r="L975" s="81"/>
      <c r="M975" s="81"/>
      <c r="N975" s="81"/>
      <c r="O975" s="81"/>
      <c r="P975" s="81"/>
      <c r="Q975" s="81"/>
      <c r="R975" s="105"/>
      <c r="S975" s="81"/>
      <c r="T975" s="81"/>
      <c r="U975" s="81"/>
      <c r="V975" s="105"/>
      <c r="W975" s="81"/>
      <c r="X975" s="81"/>
      <c r="Y975" s="105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105"/>
      <c r="AM975" s="81"/>
      <c r="AN975" s="81"/>
      <c r="AO975" s="81"/>
      <c r="AP975" s="81"/>
      <c r="AQ975" s="81"/>
      <c r="AR975" s="81"/>
      <c r="AS975" s="81"/>
      <c r="AT975" s="81"/>
      <c r="AU975" s="81"/>
    </row>
    <row r="976" spans="1:47" ht="24" customHeight="1" x14ac:dyDescent="0.5">
      <c r="A976" s="81"/>
      <c r="B976" s="81"/>
      <c r="C976" s="81"/>
      <c r="D976" s="81"/>
      <c r="E976" s="81"/>
      <c r="F976" s="81"/>
      <c r="G976" s="105"/>
      <c r="H976" s="81"/>
      <c r="I976" s="81"/>
      <c r="J976" s="81"/>
      <c r="K976" s="105"/>
      <c r="L976" s="81"/>
      <c r="M976" s="81"/>
      <c r="N976" s="81"/>
      <c r="O976" s="81"/>
      <c r="P976" s="81"/>
      <c r="Q976" s="81"/>
      <c r="R976" s="105"/>
      <c r="S976" s="81"/>
      <c r="T976" s="81"/>
      <c r="U976" s="81"/>
      <c r="V976" s="105"/>
      <c r="W976" s="81"/>
      <c r="X976" s="81"/>
      <c r="Y976" s="105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105"/>
      <c r="AM976" s="81"/>
      <c r="AN976" s="81"/>
      <c r="AO976" s="81"/>
      <c r="AP976" s="81"/>
      <c r="AQ976" s="81"/>
      <c r="AR976" s="81"/>
      <c r="AS976" s="81"/>
      <c r="AT976" s="81"/>
      <c r="AU976" s="81"/>
    </row>
    <row r="977" spans="1:47" ht="24" customHeight="1" x14ac:dyDescent="0.5">
      <c r="A977" s="81"/>
      <c r="B977" s="81"/>
      <c r="C977" s="81"/>
      <c r="D977" s="81"/>
      <c r="E977" s="81"/>
      <c r="F977" s="81"/>
      <c r="G977" s="105"/>
      <c r="H977" s="81"/>
      <c r="I977" s="81"/>
      <c r="J977" s="81"/>
      <c r="K977" s="105"/>
      <c r="L977" s="81"/>
      <c r="M977" s="81"/>
      <c r="N977" s="81"/>
      <c r="O977" s="81"/>
      <c r="P977" s="81"/>
      <c r="Q977" s="81"/>
      <c r="R977" s="105"/>
      <c r="S977" s="81"/>
      <c r="T977" s="81"/>
      <c r="U977" s="81"/>
      <c r="V977" s="105"/>
      <c r="W977" s="81"/>
      <c r="X977" s="81"/>
      <c r="Y977" s="105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105"/>
      <c r="AM977" s="81"/>
      <c r="AN977" s="81"/>
      <c r="AO977" s="81"/>
      <c r="AP977" s="81"/>
      <c r="AQ977" s="81"/>
      <c r="AR977" s="81"/>
      <c r="AS977" s="81"/>
      <c r="AT977" s="81"/>
      <c r="AU977" s="81"/>
    </row>
    <row r="978" spans="1:47" ht="24" customHeight="1" x14ac:dyDescent="0.5">
      <c r="A978" s="81"/>
      <c r="B978" s="81"/>
      <c r="C978" s="81"/>
      <c r="D978" s="81"/>
      <c r="E978" s="81"/>
      <c r="F978" s="81"/>
      <c r="G978" s="105"/>
      <c r="H978" s="81"/>
      <c r="I978" s="81"/>
      <c r="J978" s="81"/>
      <c r="K978" s="105"/>
      <c r="L978" s="81"/>
      <c r="M978" s="81"/>
      <c r="N978" s="81"/>
      <c r="O978" s="81"/>
      <c r="P978" s="81"/>
      <c r="Q978" s="81"/>
      <c r="R978" s="105"/>
      <c r="S978" s="81"/>
      <c r="T978" s="81"/>
      <c r="U978" s="81"/>
      <c r="V978" s="105"/>
      <c r="W978" s="81"/>
      <c r="X978" s="81"/>
      <c r="Y978" s="105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105"/>
      <c r="AM978" s="81"/>
      <c r="AN978" s="81"/>
      <c r="AO978" s="81"/>
      <c r="AP978" s="81"/>
      <c r="AQ978" s="81"/>
      <c r="AR978" s="81"/>
      <c r="AS978" s="81"/>
      <c r="AT978" s="81"/>
      <c r="AU978" s="81"/>
    </row>
    <row r="979" spans="1:47" ht="24" customHeight="1" x14ac:dyDescent="0.5">
      <c r="A979" s="81"/>
      <c r="B979" s="81"/>
      <c r="C979" s="81"/>
      <c r="D979" s="81"/>
      <c r="E979" s="81"/>
      <c r="F979" s="81"/>
      <c r="G979" s="105"/>
      <c r="H979" s="81"/>
      <c r="I979" s="81"/>
      <c r="J979" s="81"/>
      <c r="K979" s="105"/>
      <c r="L979" s="81"/>
      <c r="M979" s="81"/>
      <c r="N979" s="81"/>
      <c r="O979" s="81"/>
      <c r="P979" s="81"/>
      <c r="Q979" s="81"/>
      <c r="R979" s="105"/>
      <c r="S979" s="81"/>
      <c r="T979" s="81"/>
      <c r="U979" s="81"/>
      <c r="V979" s="105"/>
      <c r="W979" s="81"/>
      <c r="X979" s="81"/>
      <c r="Y979" s="105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105"/>
      <c r="AM979" s="81"/>
      <c r="AN979" s="81"/>
      <c r="AO979" s="81"/>
      <c r="AP979" s="81"/>
      <c r="AQ979" s="81"/>
      <c r="AR979" s="81"/>
      <c r="AS979" s="81"/>
      <c r="AT979" s="81"/>
      <c r="AU979" s="81"/>
    </row>
    <row r="980" spans="1:47" ht="24" customHeight="1" x14ac:dyDescent="0.5">
      <c r="A980" s="81"/>
      <c r="B980" s="81"/>
      <c r="C980" s="81"/>
      <c r="D980" s="81"/>
      <c r="E980" s="81"/>
      <c r="F980" s="81"/>
      <c r="G980" s="105"/>
      <c r="H980" s="81"/>
      <c r="I980" s="81"/>
      <c r="J980" s="81"/>
      <c r="K980" s="105"/>
      <c r="L980" s="81"/>
      <c r="M980" s="81"/>
      <c r="N980" s="81"/>
      <c r="O980" s="81"/>
      <c r="P980" s="81"/>
      <c r="Q980" s="81"/>
      <c r="R980" s="105"/>
      <c r="S980" s="81"/>
      <c r="T980" s="81"/>
      <c r="U980" s="81"/>
      <c r="V980" s="105"/>
      <c r="W980" s="81"/>
      <c r="X980" s="81"/>
      <c r="Y980" s="105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105"/>
      <c r="AM980" s="81"/>
      <c r="AN980" s="81"/>
      <c r="AO980" s="81"/>
      <c r="AP980" s="81"/>
      <c r="AQ980" s="81"/>
      <c r="AR980" s="81"/>
      <c r="AS980" s="81"/>
      <c r="AT980" s="81"/>
      <c r="AU980" s="81"/>
    </row>
    <row r="981" spans="1:47" ht="24" customHeight="1" x14ac:dyDescent="0.5">
      <c r="A981" s="81"/>
      <c r="B981" s="81"/>
      <c r="C981" s="81"/>
      <c r="D981" s="81"/>
      <c r="E981" s="81"/>
      <c r="F981" s="81"/>
      <c r="G981" s="105"/>
      <c r="H981" s="81"/>
      <c r="I981" s="81"/>
      <c r="J981" s="81"/>
      <c r="K981" s="105"/>
      <c r="L981" s="81"/>
      <c r="M981" s="81"/>
      <c r="N981" s="81"/>
      <c r="O981" s="81"/>
      <c r="P981" s="81"/>
      <c r="Q981" s="81"/>
      <c r="R981" s="105"/>
      <c r="S981" s="81"/>
      <c r="T981" s="81"/>
      <c r="U981" s="81"/>
      <c r="V981" s="105"/>
      <c r="W981" s="81"/>
      <c r="X981" s="81"/>
      <c r="Y981" s="105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105"/>
      <c r="AM981" s="81"/>
      <c r="AN981" s="81"/>
      <c r="AO981" s="81"/>
      <c r="AP981" s="81"/>
      <c r="AQ981" s="81"/>
      <c r="AR981" s="81"/>
      <c r="AS981" s="81"/>
      <c r="AT981" s="81"/>
      <c r="AU981" s="81"/>
    </row>
    <row r="982" spans="1:47" ht="24" customHeight="1" x14ac:dyDescent="0.5">
      <c r="A982" s="81"/>
      <c r="B982" s="81"/>
      <c r="C982" s="81"/>
      <c r="D982" s="81"/>
      <c r="E982" s="81"/>
      <c r="F982" s="81"/>
      <c r="G982" s="105"/>
      <c r="H982" s="81"/>
      <c r="I982" s="81"/>
      <c r="J982" s="81"/>
      <c r="K982" s="105"/>
      <c r="L982" s="81"/>
      <c r="M982" s="81"/>
      <c r="N982" s="81"/>
      <c r="O982" s="81"/>
      <c r="P982" s="81"/>
      <c r="Q982" s="81"/>
      <c r="R982" s="105"/>
      <c r="S982" s="81"/>
      <c r="T982" s="81"/>
      <c r="U982" s="81"/>
      <c r="V982" s="105"/>
      <c r="W982" s="81"/>
      <c r="X982" s="81"/>
      <c r="Y982" s="105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105"/>
      <c r="AM982" s="81"/>
      <c r="AN982" s="81"/>
      <c r="AO982" s="81"/>
      <c r="AP982" s="81"/>
      <c r="AQ982" s="81"/>
      <c r="AR982" s="81"/>
      <c r="AS982" s="81"/>
      <c r="AT982" s="81"/>
      <c r="AU982" s="81"/>
    </row>
    <row r="983" spans="1:47" ht="24" customHeight="1" x14ac:dyDescent="0.5">
      <c r="A983" s="81"/>
      <c r="B983" s="81"/>
      <c r="C983" s="81"/>
      <c r="D983" s="81"/>
      <c r="E983" s="81"/>
      <c r="F983" s="81"/>
      <c r="G983" s="105"/>
      <c r="H983" s="81"/>
      <c r="I983" s="81"/>
      <c r="J983" s="81"/>
      <c r="K983" s="105"/>
      <c r="L983" s="81"/>
      <c r="M983" s="81"/>
      <c r="N983" s="81"/>
      <c r="O983" s="81"/>
      <c r="P983" s="81"/>
      <c r="Q983" s="81"/>
      <c r="R983" s="105"/>
      <c r="S983" s="81"/>
      <c r="T983" s="81"/>
      <c r="U983" s="81"/>
      <c r="V983" s="105"/>
      <c r="W983" s="81"/>
      <c r="X983" s="81"/>
      <c r="Y983" s="105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105"/>
      <c r="AM983" s="81"/>
      <c r="AN983" s="81"/>
      <c r="AO983" s="81"/>
      <c r="AP983" s="81"/>
      <c r="AQ983" s="81"/>
      <c r="AR983" s="81"/>
      <c r="AS983" s="81"/>
      <c r="AT983" s="81"/>
      <c r="AU983" s="81"/>
    </row>
    <row r="984" spans="1:47" ht="24" customHeight="1" x14ac:dyDescent="0.5">
      <c r="A984" s="81"/>
      <c r="B984" s="81"/>
      <c r="C984" s="81"/>
      <c r="D984" s="81"/>
      <c r="E984" s="81"/>
      <c r="F984" s="81"/>
      <c r="G984" s="105"/>
      <c r="H984" s="81"/>
      <c r="I984" s="81"/>
      <c r="J984" s="81"/>
      <c r="K984" s="105"/>
      <c r="L984" s="81"/>
      <c r="M984" s="81"/>
      <c r="N984" s="81"/>
      <c r="O984" s="81"/>
      <c r="P984" s="81"/>
      <c r="Q984" s="81"/>
      <c r="R984" s="105"/>
      <c r="S984" s="81"/>
      <c r="T984" s="81"/>
      <c r="U984" s="81"/>
      <c r="V984" s="105"/>
      <c r="W984" s="81"/>
      <c r="X984" s="81"/>
      <c r="Y984" s="105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105"/>
      <c r="AM984" s="81"/>
      <c r="AN984" s="81"/>
      <c r="AO984" s="81"/>
      <c r="AP984" s="81"/>
      <c r="AQ984" s="81"/>
      <c r="AR984" s="81"/>
      <c r="AS984" s="81"/>
      <c r="AT984" s="81"/>
      <c r="AU984" s="81"/>
    </row>
    <row r="985" spans="1:47" ht="24" customHeight="1" x14ac:dyDescent="0.5">
      <c r="A985" s="81"/>
      <c r="B985" s="81"/>
      <c r="C985" s="81"/>
      <c r="D985" s="81"/>
      <c r="E985" s="81"/>
      <c r="F985" s="81"/>
      <c r="G985" s="105"/>
      <c r="H985" s="81"/>
      <c r="I985" s="81"/>
      <c r="J985" s="81"/>
      <c r="K985" s="105"/>
      <c r="L985" s="81"/>
      <c r="M985" s="81"/>
      <c r="N985" s="81"/>
      <c r="O985" s="81"/>
      <c r="P985" s="81"/>
      <c r="Q985" s="81"/>
      <c r="R985" s="105"/>
      <c r="S985" s="81"/>
      <c r="T985" s="81"/>
      <c r="U985" s="81"/>
      <c r="V985" s="105"/>
      <c r="W985" s="81"/>
      <c r="X985" s="81"/>
      <c r="Y985" s="105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105"/>
      <c r="AM985" s="81"/>
      <c r="AN985" s="81"/>
      <c r="AO985" s="81"/>
      <c r="AP985" s="81"/>
      <c r="AQ985" s="81"/>
      <c r="AR985" s="81"/>
      <c r="AS985" s="81"/>
      <c r="AT985" s="81"/>
      <c r="AU985" s="81"/>
    </row>
    <row r="986" spans="1:47" ht="24" customHeight="1" x14ac:dyDescent="0.5">
      <c r="A986" s="81"/>
      <c r="B986" s="81"/>
      <c r="C986" s="81"/>
      <c r="D986" s="81"/>
      <c r="E986" s="81"/>
      <c r="F986" s="81"/>
      <c r="G986" s="105"/>
      <c r="H986" s="81"/>
      <c r="I986" s="81"/>
      <c r="J986" s="81"/>
      <c r="K986" s="105"/>
      <c r="L986" s="81"/>
      <c r="M986" s="81"/>
      <c r="N986" s="81"/>
      <c r="O986" s="81"/>
      <c r="P986" s="81"/>
      <c r="Q986" s="81"/>
      <c r="R986" s="105"/>
      <c r="S986" s="81"/>
      <c r="T986" s="81"/>
      <c r="U986" s="81"/>
      <c r="V986" s="105"/>
      <c r="W986" s="81"/>
      <c r="X986" s="81"/>
      <c r="Y986" s="105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105"/>
      <c r="AM986" s="81"/>
      <c r="AN986" s="81"/>
      <c r="AO986" s="81"/>
      <c r="AP986" s="81"/>
      <c r="AQ986" s="81"/>
      <c r="AR986" s="81"/>
      <c r="AS986" s="81"/>
      <c r="AT986" s="81"/>
      <c r="AU986" s="81"/>
    </row>
    <row r="987" spans="1:47" ht="24" customHeight="1" x14ac:dyDescent="0.5">
      <c r="A987" s="81"/>
      <c r="B987" s="81"/>
      <c r="C987" s="81"/>
      <c r="D987" s="81"/>
      <c r="E987" s="81"/>
      <c r="F987" s="81"/>
      <c r="G987" s="105"/>
      <c r="H987" s="81"/>
      <c r="I987" s="81"/>
      <c r="J987" s="81"/>
      <c r="K987" s="105"/>
      <c r="L987" s="81"/>
      <c r="M987" s="81"/>
      <c r="N987" s="81"/>
      <c r="O987" s="81"/>
      <c r="P987" s="81"/>
      <c r="Q987" s="81"/>
      <c r="R987" s="105"/>
      <c r="S987" s="81"/>
      <c r="T987" s="81"/>
      <c r="U987" s="81"/>
      <c r="V987" s="105"/>
      <c r="W987" s="81"/>
      <c r="X987" s="81"/>
      <c r="Y987" s="105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105"/>
      <c r="AM987" s="81"/>
      <c r="AN987" s="81"/>
      <c r="AO987" s="81"/>
      <c r="AP987" s="81"/>
      <c r="AQ987" s="81"/>
      <c r="AR987" s="81"/>
      <c r="AS987" s="81"/>
      <c r="AT987" s="81"/>
      <c r="AU987" s="81"/>
    </row>
    <row r="988" spans="1:47" ht="24" customHeight="1" x14ac:dyDescent="0.5">
      <c r="A988" s="81"/>
      <c r="B988" s="81"/>
      <c r="C988" s="81"/>
      <c r="D988" s="81"/>
      <c r="E988" s="81"/>
      <c r="F988" s="81"/>
      <c r="G988" s="105"/>
      <c r="H988" s="81"/>
      <c r="I988" s="81"/>
      <c r="J988" s="81"/>
      <c r="K988" s="105"/>
      <c r="L988" s="81"/>
      <c r="M988" s="81"/>
      <c r="N988" s="81"/>
      <c r="O988" s="81"/>
      <c r="P988" s="81"/>
      <c r="Q988" s="81"/>
      <c r="R988" s="105"/>
      <c r="S988" s="81"/>
      <c r="T988" s="81"/>
      <c r="U988" s="81"/>
      <c r="V988" s="105"/>
      <c r="W988" s="81"/>
      <c r="X988" s="81"/>
      <c r="Y988" s="105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105"/>
      <c r="AM988" s="81"/>
      <c r="AN988" s="81"/>
      <c r="AO988" s="81"/>
      <c r="AP988" s="81"/>
      <c r="AQ988" s="81"/>
      <c r="AR988" s="81"/>
      <c r="AS988" s="81"/>
      <c r="AT988" s="81"/>
      <c r="AU988" s="81"/>
    </row>
    <row r="989" spans="1:47" ht="24" customHeight="1" x14ac:dyDescent="0.5">
      <c r="A989" s="81"/>
      <c r="B989" s="81"/>
      <c r="C989" s="81"/>
      <c r="D989" s="81"/>
      <c r="E989" s="81"/>
      <c r="F989" s="81"/>
      <c r="G989" s="105"/>
      <c r="H989" s="81"/>
      <c r="I989" s="81"/>
      <c r="J989" s="81"/>
      <c r="K989" s="105"/>
      <c r="L989" s="81"/>
      <c r="M989" s="81"/>
      <c r="N989" s="81"/>
      <c r="O989" s="81"/>
      <c r="P989" s="81"/>
      <c r="Q989" s="81"/>
      <c r="R989" s="105"/>
      <c r="S989" s="81"/>
      <c r="T989" s="81"/>
      <c r="U989" s="81"/>
      <c r="V989" s="105"/>
      <c r="W989" s="81"/>
      <c r="X989" s="81"/>
      <c r="Y989" s="105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105"/>
      <c r="AM989" s="81"/>
      <c r="AN989" s="81"/>
      <c r="AO989" s="81"/>
      <c r="AP989" s="81"/>
      <c r="AQ989" s="81"/>
      <c r="AR989" s="81"/>
      <c r="AS989" s="81"/>
      <c r="AT989" s="81"/>
      <c r="AU989" s="81"/>
    </row>
    <row r="990" spans="1:47" ht="24" customHeight="1" x14ac:dyDescent="0.5">
      <c r="A990" s="81"/>
      <c r="B990" s="81"/>
      <c r="C990" s="81"/>
      <c r="D990" s="81"/>
      <c r="E990" s="81"/>
      <c r="F990" s="81"/>
      <c r="G990" s="105"/>
      <c r="H990" s="81"/>
      <c r="I990" s="81"/>
      <c r="J990" s="81"/>
      <c r="K990" s="105"/>
      <c r="L990" s="81"/>
      <c r="M990" s="81"/>
      <c r="N990" s="81"/>
      <c r="O990" s="81"/>
      <c r="P990" s="81"/>
      <c r="Q990" s="81"/>
      <c r="R990" s="105"/>
      <c r="S990" s="81"/>
      <c r="T990" s="81"/>
      <c r="U990" s="81"/>
      <c r="V990" s="105"/>
      <c r="W990" s="81"/>
      <c r="X990" s="81"/>
      <c r="Y990" s="105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105"/>
      <c r="AM990" s="81"/>
      <c r="AN990" s="81"/>
      <c r="AO990" s="81"/>
      <c r="AP990" s="81"/>
      <c r="AQ990" s="81"/>
      <c r="AR990" s="81"/>
      <c r="AS990" s="81"/>
      <c r="AT990" s="81"/>
      <c r="AU990" s="81"/>
    </row>
    <row r="991" spans="1:47" ht="24" customHeight="1" x14ac:dyDescent="0.5">
      <c r="A991" s="81"/>
      <c r="B991" s="81"/>
      <c r="C991" s="81"/>
      <c r="D991" s="81"/>
      <c r="E991" s="81"/>
      <c r="F991" s="81"/>
      <c r="G991" s="105"/>
      <c r="H991" s="81"/>
      <c r="I991" s="81"/>
      <c r="J991" s="81"/>
      <c r="K991" s="105"/>
      <c r="L991" s="81"/>
      <c r="M991" s="81"/>
      <c r="N991" s="81"/>
      <c r="O991" s="81"/>
      <c r="P991" s="81"/>
      <c r="Q991" s="81"/>
      <c r="R991" s="105"/>
      <c r="S991" s="81"/>
      <c r="T991" s="81"/>
      <c r="U991" s="81"/>
      <c r="V991" s="105"/>
      <c r="W991" s="81"/>
      <c r="X991" s="81"/>
      <c r="Y991" s="105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105"/>
      <c r="AM991" s="81"/>
      <c r="AN991" s="81"/>
      <c r="AO991" s="81"/>
      <c r="AP991" s="81"/>
      <c r="AQ991" s="81"/>
      <c r="AR991" s="81"/>
      <c r="AS991" s="81"/>
      <c r="AT991" s="81"/>
      <c r="AU991" s="81"/>
    </row>
    <row r="992" spans="1:47" ht="24" customHeight="1" x14ac:dyDescent="0.5">
      <c r="A992" s="81"/>
      <c r="B992" s="81"/>
      <c r="C992" s="81"/>
      <c r="D992" s="81"/>
      <c r="E992" s="81"/>
      <c r="F992" s="81"/>
      <c r="G992" s="105"/>
      <c r="H992" s="81"/>
      <c r="I992" s="81"/>
      <c r="J992" s="81"/>
      <c r="K992" s="105"/>
      <c r="L992" s="81"/>
      <c r="M992" s="81"/>
      <c r="N992" s="81"/>
      <c r="O992" s="81"/>
      <c r="P992" s="81"/>
      <c r="Q992" s="81"/>
      <c r="R992" s="105"/>
      <c r="S992" s="81"/>
      <c r="T992" s="81"/>
      <c r="U992" s="81"/>
      <c r="V992" s="105"/>
      <c r="W992" s="81"/>
      <c r="X992" s="81"/>
      <c r="Y992" s="105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105"/>
      <c r="AM992" s="81"/>
      <c r="AN992" s="81"/>
      <c r="AO992" s="81"/>
      <c r="AP992" s="81"/>
      <c r="AQ992" s="81"/>
      <c r="AR992" s="81"/>
      <c r="AS992" s="81"/>
      <c r="AT992" s="81"/>
      <c r="AU992" s="81"/>
    </row>
    <row r="993" spans="1:47" ht="24" customHeight="1" x14ac:dyDescent="0.5">
      <c r="A993" s="81"/>
      <c r="B993" s="81"/>
      <c r="C993" s="81"/>
      <c r="D993" s="81"/>
      <c r="E993" s="81"/>
      <c r="F993" s="81"/>
      <c r="G993" s="105"/>
      <c r="H993" s="81"/>
      <c r="I993" s="81"/>
      <c r="J993" s="81"/>
      <c r="K993" s="105"/>
      <c r="L993" s="81"/>
      <c r="M993" s="81"/>
      <c r="N993" s="81"/>
      <c r="O993" s="81"/>
      <c r="P993" s="81"/>
      <c r="Q993" s="81"/>
      <c r="R993" s="105"/>
      <c r="S993" s="81"/>
      <c r="T993" s="81"/>
      <c r="U993" s="81"/>
      <c r="V993" s="105"/>
      <c r="W993" s="81"/>
      <c r="X993" s="81"/>
      <c r="Y993" s="105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105"/>
      <c r="AM993" s="81"/>
      <c r="AN993" s="81"/>
      <c r="AO993" s="81"/>
      <c r="AP993" s="81"/>
      <c r="AQ993" s="81"/>
      <c r="AR993" s="81"/>
      <c r="AS993" s="81"/>
      <c r="AT993" s="81"/>
      <c r="AU993" s="81"/>
    </row>
    <row r="994" spans="1:47" ht="24" customHeight="1" x14ac:dyDescent="0.5">
      <c r="A994" s="81"/>
      <c r="B994" s="81"/>
      <c r="C994" s="81"/>
      <c r="D994" s="81"/>
      <c r="E994" s="81"/>
      <c r="F994" s="81"/>
      <c r="G994" s="105"/>
      <c r="H994" s="81"/>
      <c r="I994" s="81"/>
      <c r="J994" s="81"/>
      <c r="K994" s="105"/>
      <c r="L994" s="81"/>
      <c r="M994" s="81"/>
      <c r="N994" s="81"/>
      <c r="O994" s="81"/>
      <c r="P994" s="81"/>
      <c r="Q994" s="81"/>
      <c r="R994" s="105"/>
      <c r="S994" s="81"/>
      <c r="T994" s="81"/>
      <c r="U994" s="81"/>
      <c r="V994" s="105"/>
      <c r="W994" s="81"/>
      <c r="X994" s="81"/>
      <c r="Y994" s="105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105"/>
      <c r="AM994" s="81"/>
      <c r="AN994" s="81"/>
      <c r="AO994" s="81"/>
      <c r="AP994" s="81"/>
      <c r="AQ994" s="81"/>
      <c r="AR994" s="81"/>
      <c r="AS994" s="81"/>
      <c r="AT994" s="81"/>
      <c r="AU994" s="81"/>
    </row>
    <row r="995" spans="1:47" ht="24" customHeight="1" x14ac:dyDescent="0.5">
      <c r="A995" s="81"/>
      <c r="B995" s="81"/>
      <c r="C995" s="81"/>
      <c r="D995" s="81"/>
      <c r="E995" s="81"/>
      <c r="F995" s="81"/>
      <c r="G995" s="105"/>
      <c r="H995" s="81"/>
      <c r="I995" s="81"/>
      <c r="J995" s="81"/>
      <c r="K995" s="105"/>
      <c r="L995" s="81"/>
      <c r="M995" s="81"/>
      <c r="N995" s="81"/>
      <c r="O995" s="81"/>
      <c r="P995" s="81"/>
      <c r="Q995" s="81"/>
      <c r="R995" s="105"/>
      <c r="S995" s="81"/>
      <c r="T995" s="81"/>
      <c r="U995" s="81"/>
      <c r="V995" s="105"/>
      <c r="W995" s="81"/>
      <c r="X995" s="81"/>
      <c r="Y995" s="105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105"/>
      <c r="AM995" s="81"/>
      <c r="AN995" s="81"/>
      <c r="AO995" s="81"/>
      <c r="AP995" s="81"/>
      <c r="AQ995" s="81"/>
      <c r="AR995" s="81"/>
      <c r="AS995" s="81"/>
      <c r="AT995" s="81"/>
      <c r="AU995" s="81"/>
    </row>
    <row r="996" spans="1:47" ht="24" customHeight="1" x14ac:dyDescent="0.5">
      <c r="A996" s="81"/>
      <c r="B996" s="81"/>
      <c r="C996" s="81"/>
      <c r="D996" s="81"/>
      <c r="E996" s="81"/>
      <c r="F996" s="81"/>
      <c r="G996" s="105"/>
      <c r="H996" s="81"/>
      <c r="I996" s="81"/>
      <c r="J996" s="81"/>
      <c r="K996" s="105"/>
      <c r="L996" s="81"/>
      <c r="M996" s="81"/>
      <c r="N996" s="81"/>
      <c r="O996" s="81"/>
      <c r="P996" s="81"/>
      <c r="Q996" s="81"/>
      <c r="R996" s="105"/>
      <c r="S996" s="81"/>
      <c r="T996" s="81"/>
      <c r="U996" s="81"/>
      <c r="V996" s="105"/>
      <c r="W996" s="81"/>
      <c r="X996" s="81"/>
      <c r="Y996" s="105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105"/>
      <c r="AM996" s="81"/>
      <c r="AN996" s="81"/>
      <c r="AO996" s="81"/>
      <c r="AP996" s="81"/>
      <c r="AQ996" s="81"/>
      <c r="AR996" s="81"/>
      <c r="AS996" s="81"/>
      <c r="AT996" s="81"/>
      <c r="AU996" s="81"/>
    </row>
    <row r="997" spans="1:47" ht="24" customHeight="1" x14ac:dyDescent="0.5">
      <c r="A997" s="81"/>
      <c r="B997" s="81"/>
      <c r="C997" s="81"/>
      <c r="D997" s="81"/>
      <c r="E997" s="81"/>
      <c r="F997" s="81"/>
      <c r="G997" s="105"/>
      <c r="H997" s="81"/>
      <c r="I997" s="81"/>
      <c r="J997" s="81"/>
      <c r="K997" s="105"/>
      <c r="L997" s="81"/>
      <c r="M997" s="81"/>
      <c r="N997" s="81"/>
      <c r="O997" s="81"/>
      <c r="P997" s="81"/>
      <c r="Q997" s="81"/>
      <c r="R997" s="105"/>
      <c r="S997" s="81"/>
      <c r="T997" s="81"/>
      <c r="U997" s="81"/>
      <c r="V997" s="105"/>
      <c r="W997" s="81"/>
      <c r="X997" s="81"/>
      <c r="Y997" s="105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105"/>
      <c r="AM997" s="81"/>
      <c r="AN997" s="81"/>
      <c r="AO997" s="81"/>
      <c r="AP997" s="81"/>
      <c r="AQ997" s="81"/>
      <c r="AR997" s="81"/>
      <c r="AS997" s="81"/>
      <c r="AT997" s="81"/>
      <c r="AU997" s="81"/>
    </row>
    <row r="998" spans="1:47" ht="24" customHeight="1" x14ac:dyDescent="0.5">
      <c r="A998" s="81"/>
      <c r="B998" s="81"/>
      <c r="C998" s="81"/>
      <c r="D998" s="81"/>
      <c r="E998" s="81"/>
      <c r="F998" s="81"/>
      <c r="G998" s="105"/>
      <c r="H998" s="81"/>
      <c r="I998" s="81"/>
      <c r="J998" s="81"/>
      <c r="K998" s="105"/>
      <c r="L998" s="81"/>
      <c r="M998" s="81"/>
      <c r="N998" s="81"/>
      <c r="O998" s="81"/>
      <c r="P998" s="81"/>
      <c r="Q998" s="81"/>
      <c r="R998" s="105"/>
      <c r="S998" s="81"/>
      <c r="T998" s="81"/>
      <c r="U998" s="81"/>
      <c r="V998" s="105"/>
      <c r="W998" s="81"/>
      <c r="X998" s="81"/>
      <c r="Y998" s="105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105"/>
      <c r="AM998" s="81"/>
      <c r="AN998" s="81"/>
      <c r="AO998" s="81"/>
      <c r="AP998" s="81"/>
      <c r="AQ998" s="81"/>
      <c r="AR998" s="81"/>
      <c r="AS998" s="81"/>
      <c r="AT998" s="81"/>
      <c r="AU998" s="81"/>
    </row>
    <row r="999" spans="1:47" ht="24" customHeight="1" x14ac:dyDescent="0.5">
      <c r="A999" s="81"/>
      <c r="B999" s="81"/>
      <c r="C999" s="81"/>
      <c r="D999" s="81"/>
      <c r="E999" s="81"/>
      <c r="F999" s="81"/>
      <c r="G999" s="105"/>
      <c r="H999" s="81"/>
      <c r="I999" s="81"/>
      <c r="J999" s="81"/>
      <c r="K999" s="105"/>
      <c r="L999" s="81"/>
      <c r="M999" s="81"/>
      <c r="N999" s="81"/>
      <c r="O999" s="81"/>
      <c r="P999" s="81"/>
      <c r="Q999" s="81"/>
      <c r="R999" s="105"/>
      <c r="S999" s="81"/>
      <c r="T999" s="81"/>
      <c r="U999" s="81"/>
      <c r="V999" s="105"/>
      <c r="W999" s="81"/>
      <c r="X999" s="81"/>
      <c r="Y999" s="105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105"/>
      <c r="AM999" s="81"/>
      <c r="AN999" s="81"/>
      <c r="AO999" s="81"/>
      <c r="AP999" s="81"/>
      <c r="AQ999" s="81"/>
      <c r="AR999" s="81"/>
      <c r="AS999" s="81"/>
      <c r="AT999" s="81"/>
      <c r="AU999" s="81"/>
    </row>
    <row r="1000" spans="1:47" ht="24" customHeight="1" x14ac:dyDescent="0.5">
      <c r="A1000" s="81"/>
      <c r="B1000" s="81"/>
      <c r="C1000" s="81"/>
      <c r="D1000" s="81"/>
      <c r="E1000" s="81"/>
      <c r="F1000" s="81"/>
      <c r="G1000" s="105"/>
      <c r="H1000" s="81"/>
      <c r="I1000" s="81"/>
      <c r="J1000" s="81"/>
      <c r="K1000" s="105"/>
      <c r="L1000" s="81"/>
      <c r="M1000" s="81"/>
      <c r="N1000" s="81"/>
      <c r="O1000" s="81"/>
      <c r="P1000" s="81"/>
      <c r="Q1000" s="81"/>
      <c r="R1000" s="105"/>
      <c r="S1000" s="81"/>
      <c r="T1000" s="81"/>
      <c r="U1000" s="81"/>
      <c r="V1000" s="105"/>
      <c r="W1000" s="81"/>
      <c r="X1000" s="81"/>
      <c r="Y1000" s="105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105"/>
      <c r="AM1000" s="81"/>
      <c r="AN1000" s="81"/>
      <c r="AO1000" s="81"/>
      <c r="AP1000" s="81"/>
      <c r="AQ1000" s="81"/>
      <c r="AR1000" s="81"/>
      <c r="AS1000" s="81"/>
      <c r="AT1000" s="81"/>
      <c r="AU1000" s="81"/>
    </row>
  </sheetData>
  <mergeCells count="53">
    <mergeCell ref="A91:B91"/>
    <mergeCell ref="A106:B106"/>
    <mergeCell ref="A6:B8"/>
    <mergeCell ref="D7:D8"/>
    <mergeCell ref="A9:B9"/>
    <mergeCell ref="A15:B15"/>
    <mergeCell ref="A33:B33"/>
    <mergeCell ref="A54:B54"/>
    <mergeCell ref="A76:B76"/>
    <mergeCell ref="O5:R5"/>
    <mergeCell ref="S5:Y5"/>
    <mergeCell ref="AI5:AR5"/>
    <mergeCell ref="AS5:AU6"/>
    <mergeCell ref="Z6:Z7"/>
    <mergeCell ref="AM6:AR6"/>
    <mergeCell ref="Q7:R7"/>
    <mergeCell ref="U7:V7"/>
    <mergeCell ref="X7:Y7"/>
    <mergeCell ref="AB7:AC7"/>
    <mergeCell ref="AD7:AE7"/>
    <mergeCell ref="AG7:AH7"/>
    <mergeCell ref="AK7:AL7"/>
    <mergeCell ref="AM7:AN7"/>
    <mergeCell ref="AO7:AR7"/>
    <mergeCell ref="AT7:AU7"/>
    <mergeCell ref="W6:Y6"/>
    <mergeCell ref="AI6:AI7"/>
    <mergeCell ref="AJ6:AL6"/>
    <mergeCell ref="Z5:AH5"/>
    <mergeCell ref="AA6:AE6"/>
    <mergeCell ref="AF6:AH6"/>
    <mergeCell ref="O6:O7"/>
    <mergeCell ref="P6:R6"/>
    <mergeCell ref="S6:S7"/>
    <mergeCell ref="T6:V6"/>
    <mergeCell ref="M7:M8"/>
    <mergeCell ref="N7:N8"/>
    <mergeCell ref="C5:G5"/>
    <mergeCell ref="C6:E6"/>
    <mergeCell ref="F6:G6"/>
    <mergeCell ref="H6:H7"/>
    <mergeCell ref="I6:K6"/>
    <mergeCell ref="H5:N5"/>
    <mergeCell ref="F7:G7"/>
    <mergeCell ref="J7:K7"/>
    <mergeCell ref="L6:N6"/>
    <mergeCell ref="A2:B4"/>
    <mergeCell ref="C2:Y2"/>
    <mergeCell ref="Z2:AU2"/>
    <mergeCell ref="C3:Y3"/>
    <mergeCell ref="Z3:AU3"/>
    <mergeCell ref="C4:Y4"/>
    <mergeCell ref="Z4:AU4"/>
  </mergeCells>
  <printOptions horizontalCentered="1"/>
  <pageMargins left="0.20866141699999999" right="0.20866141699999999" top="0.49803149600000002" bottom="0.24803149599999999" header="0" footer="0"/>
  <pageSetup paperSize="9" scale="60" orientation="landscape" r:id="rId1"/>
  <rowBreaks count="4" manualBreakCount="4">
    <brk id="32" man="1"/>
    <brk id="53" man="1"/>
    <brk id="75" man="1"/>
    <brk id="90" max="16383" man="1"/>
  </rowBreaks>
  <colBreaks count="1" manualBreakCount="1">
    <brk id="2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EAADB"/>
  </sheetPr>
  <dimension ref="A1:Z1000"/>
  <sheetViews>
    <sheetView view="pageBreakPreview" zoomScaleNormal="100" zoomScaleSheetLayoutView="100" workbookViewId="0">
      <pane xSplit="2" ySplit="9" topLeftCell="C110" activePane="bottomRight" state="frozen"/>
      <selection activeCell="Z5" sqref="Z5:AB6"/>
      <selection pane="topRight" activeCell="Z5" sqref="Z5:AB6"/>
      <selection pane="bottomLeft" activeCell="Z5" sqref="Z5:AB6"/>
      <selection pane="bottomRight" activeCell="Z5" sqref="Z5:AB6"/>
    </sheetView>
  </sheetViews>
  <sheetFormatPr defaultColWidth="12.625" defaultRowHeight="24" customHeight="1" x14ac:dyDescent="0.5"/>
  <cols>
    <col min="1" max="1" width="4.375" style="6" customWidth="1"/>
    <col min="2" max="2" width="27.75" style="6" customWidth="1"/>
    <col min="3" max="16" width="10.75" style="6" customWidth="1"/>
    <col min="17" max="16384" width="12.625" style="6"/>
  </cols>
  <sheetData>
    <row r="1" spans="1:26" ht="24" customHeight="1" x14ac:dyDescent="0.5">
      <c r="A1" s="2" t="s">
        <v>323</v>
      </c>
      <c r="B1" s="3"/>
      <c r="C1" s="112"/>
      <c r="D1" s="83"/>
      <c r="E1" s="112"/>
      <c r="F1" s="4"/>
      <c r="G1" s="83"/>
      <c r="H1" s="113"/>
      <c r="I1" s="113"/>
      <c r="J1" s="113"/>
      <c r="K1" s="113"/>
      <c r="L1" s="113"/>
      <c r="M1" s="113"/>
      <c r="N1" s="113"/>
      <c r="O1" s="113"/>
      <c r="P1" s="113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ht="24" customHeight="1" x14ac:dyDescent="0.5">
      <c r="A2" s="573" t="s">
        <v>0</v>
      </c>
      <c r="B2" s="627"/>
      <c r="C2" s="642" t="s">
        <v>172</v>
      </c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9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24" customHeight="1" x14ac:dyDescent="0.5">
      <c r="A3" s="628"/>
      <c r="B3" s="629"/>
      <c r="C3" s="671" t="s">
        <v>173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67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24" customHeight="1" x14ac:dyDescent="0.5">
      <c r="A4" s="630"/>
      <c r="B4" s="631"/>
      <c r="C4" s="672" t="s">
        <v>174</v>
      </c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67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24" customHeight="1" x14ac:dyDescent="0.5">
      <c r="A5" s="7"/>
      <c r="B5" s="8"/>
      <c r="C5" s="600" t="s">
        <v>4</v>
      </c>
      <c r="D5" s="581"/>
      <c r="E5" s="581"/>
      <c r="F5" s="581"/>
      <c r="G5" s="567"/>
      <c r="H5" s="673" t="s">
        <v>175</v>
      </c>
      <c r="I5" s="581"/>
      <c r="J5" s="581"/>
      <c r="K5" s="581"/>
      <c r="L5" s="581"/>
      <c r="M5" s="581"/>
      <c r="N5" s="581"/>
      <c r="O5" s="581"/>
      <c r="P5" s="567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24" customHeight="1" x14ac:dyDescent="0.5">
      <c r="A6" s="595" t="s">
        <v>207</v>
      </c>
      <c r="B6" s="596"/>
      <c r="C6" s="601" t="s">
        <v>6</v>
      </c>
      <c r="D6" s="581"/>
      <c r="E6" s="567"/>
      <c r="F6" s="602" t="s">
        <v>7</v>
      </c>
      <c r="G6" s="584"/>
      <c r="H6" s="675" t="s">
        <v>176</v>
      </c>
      <c r="I6" s="581"/>
      <c r="J6" s="567"/>
      <c r="K6" s="674" t="s">
        <v>177</v>
      </c>
      <c r="L6" s="581"/>
      <c r="M6" s="567"/>
      <c r="N6" s="674" t="s">
        <v>308</v>
      </c>
      <c r="O6" s="581"/>
      <c r="P6" s="567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24" customHeight="1" x14ac:dyDescent="0.5">
      <c r="A7" s="595"/>
      <c r="B7" s="596"/>
      <c r="C7" s="9" t="s">
        <v>12</v>
      </c>
      <c r="D7" s="604" t="s">
        <v>13</v>
      </c>
      <c r="E7" s="10" t="s">
        <v>14</v>
      </c>
      <c r="F7" s="606" t="s">
        <v>15</v>
      </c>
      <c r="G7" s="594"/>
      <c r="H7" s="84" t="s">
        <v>16</v>
      </c>
      <c r="I7" s="611" t="s">
        <v>17</v>
      </c>
      <c r="J7" s="567"/>
      <c r="K7" s="84" t="s">
        <v>16</v>
      </c>
      <c r="L7" s="611" t="s">
        <v>17</v>
      </c>
      <c r="M7" s="567"/>
      <c r="N7" s="84" t="s">
        <v>16</v>
      </c>
      <c r="O7" s="611" t="s">
        <v>17</v>
      </c>
      <c r="P7" s="567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ht="24" customHeight="1" x14ac:dyDescent="0.5">
      <c r="A8" s="597"/>
      <c r="B8" s="598"/>
      <c r="C8" s="12"/>
      <c r="D8" s="605"/>
      <c r="E8" s="13"/>
      <c r="F8" s="14" t="s">
        <v>18</v>
      </c>
      <c r="G8" s="15" t="s">
        <v>19</v>
      </c>
      <c r="H8" s="16" t="s">
        <v>22</v>
      </c>
      <c r="I8" s="85" t="s">
        <v>21</v>
      </c>
      <c r="J8" s="85" t="s">
        <v>19</v>
      </c>
      <c r="K8" s="16" t="s">
        <v>22</v>
      </c>
      <c r="L8" s="85" t="s">
        <v>21</v>
      </c>
      <c r="M8" s="85" t="s">
        <v>19</v>
      </c>
      <c r="N8" s="16" t="s">
        <v>22</v>
      </c>
      <c r="O8" s="85" t="s">
        <v>21</v>
      </c>
      <c r="P8" s="85" t="s">
        <v>19</v>
      </c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 ht="24" customHeight="1" x14ac:dyDescent="0.5">
      <c r="A9" s="564" t="s">
        <v>24</v>
      </c>
      <c r="B9" s="565"/>
      <c r="C9" s="114">
        <f t="shared" ref="C9:E9" si="0">C10+C11</f>
        <v>29783800</v>
      </c>
      <c r="D9" s="20">
        <f t="shared" si="0"/>
        <v>11000000</v>
      </c>
      <c r="E9" s="115">
        <f t="shared" si="0"/>
        <v>18783800</v>
      </c>
      <c r="F9" s="22">
        <f ca="1">F10+F11+F14</f>
        <v>1213633</v>
      </c>
      <c r="G9" s="88">
        <f t="shared" ref="G9:G114" ca="1" si="1">IF(C9&gt;0,F9*100/C9,0)</f>
        <v>4.0748091244233446</v>
      </c>
      <c r="H9" s="116">
        <f t="shared" ref="H9:I9" si="2">H10+H11</f>
        <v>1140</v>
      </c>
      <c r="I9" s="25">
        <f t="shared" si="2"/>
        <v>0</v>
      </c>
      <c r="J9" s="89">
        <f t="shared" ref="J9:J114" si="3">IF(H9&gt;0,I9*100/H9,0)</f>
        <v>0</v>
      </c>
      <c r="K9" s="116">
        <f t="shared" ref="K9:L9" si="4">K10+K11</f>
        <v>940</v>
      </c>
      <c r="L9" s="25">
        <f t="shared" ca="1" si="4"/>
        <v>59</v>
      </c>
      <c r="M9" s="89">
        <f t="shared" ref="M9:M114" ca="1" si="5">IF(K9&gt;0,L9*100/K9,0)</f>
        <v>6.2765957446808507</v>
      </c>
      <c r="N9" s="116">
        <f t="shared" ref="N9:O9" si="6">N10+N11</f>
        <v>200</v>
      </c>
      <c r="O9" s="25">
        <f t="shared" si="6"/>
        <v>0</v>
      </c>
      <c r="P9" s="89">
        <f t="shared" ref="P9:P114" si="7">IF(N9&gt;0,O9*100/N9,0)</f>
        <v>0</v>
      </c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24" customHeight="1" x14ac:dyDescent="0.5">
      <c r="A10" s="27" t="s">
        <v>25</v>
      </c>
      <c r="B10" s="28"/>
      <c r="C10" s="117">
        <f t="shared" ref="C10:F10" si="8">+C15+C33+C54+C76</f>
        <v>1348500</v>
      </c>
      <c r="D10" s="29">
        <f t="shared" si="8"/>
        <v>0</v>
      </c>
      <c r="E10" s="117">
        <f t="shared" si="8"/>
        <v>1348500</v>
      </c>
      <c r="F10" s="29">
        <f t="shared" ca="1" si="8"/>
        <v>89116</v>
      </c>
      <c r="G10" s="91">
        <f t="shared" ca="1" si="1"/>
        <v>6.6085279940674821</v>
      </c>
      <c r="H10" s="118">
        <f t="shared" ref="H10:I10" si="9">+H15+H33+H54+H76</f>
        <v>940</v>
      </c>
      <c r="I10" s="29">
        <f t="shared" si="9"/>
        <v>0</v>
      </c>
      <c r="J10" s="91">
        <f t="shared" si="3"/>
        <v>0</v>
      </c>
      <c r="K10" s="118">
        <f t="shared" ref="K10:L10" si="10">+K15+K33+K54+K76</f>
        <v>940</v>
      </c>
      <c r="L10" s="29">
        <f t="shared" ca="1" si="10"/>
        <v>59</v>
      </c>
      <c r="M10" s="91">
        <f t="shared" ca="1" si="5"/>
        <v>6.2765957446808507</v>
      </c>
      <c r="N10" s="118">
        <f t="shared" ref="N10:O10" si="11">+N15+N33+N54+N76</f>
        <v>0</v>
      </c>
      <c r="O10" s="29">
        <f t="shared" si="11"/>
        <v>0</v>
      </c>
      <c r="P10" s="91">
        <f t="shared" si="7"/>
        <v>0</v>
      </c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4" customHeight="1" x14ac:dyDescent="0.5">
      <c r="A11" s="33" t="s">
        <v>26</v>
      </c>
      <c r="B11" s="34"/>
      <c r="C11" s="119">
        <f t="shared" ref="C11:F11" si="12">+C12+C13</f>
        <v>28435300</v>
      </c>
      <c r="D11" s="35">
        <f t="shared" si="12"/>
        <v>11000000</v>
      </c>
      <c r="E11" s="119">
        <f t="shared" si="12"/>
        <v>17435300</v>
      </c>
      <c r="F11" s="35">
        <f t="shared" ca="1" si="12"/>
        <v>1124517</v>
      </c>
      <c r="G11" s="92">
        <f t="shared" ca="1" si="1"/>
        <v>3.9546514367704928</v>
      </c>
      <c r="H11" s="120">
        <f t="shared" ref="H11:I11" si="13">+H12+H13</f>
        <v>200</v>
      </c>
      <c r="I11" s="35">
        <f t="shared" si="13"/>
        <v>0</v>
      </c>
      <c r="J11" s="92">
        <f t="shared" si="3"/>
        <v>0</v>
      </c>
      <c r="K11" s="120">
        <f t="shared" ref="K11:L11" si="14">+K12+K13</f>
        <v>0</v>
      </c>
      <c r="L11" s="35">
        <f t="shared" si="14"/>
        <v>0</v>
      </c>
      <c r="M11" s="92">
        <f t="shared" si="5"/>
        <v>0</v>
      </c>
      <c r="N11" s="120">
        <f t="shared" ref="N11:O11" si="15">+N12+N13</f>
        <v>200</v>
      </c>
      <c r="O11" s="35">
        <f t="shared" si="15"/>
        <v>0</v>
      </c>
      <c r="P11" s="92">
        <f t="shared" si="7"/>
        <v>0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4" customHeight="1" x14ac:dyDescent="0.5">
      <c r="A12" s="33" t="s">
        <v>27</v>
      </c>
      <c r="B12" s="34"/>
      <c r="C12" s="119">
        <f t="shared" ref="C12:F12" si="16">+C91</f>
        <v>17435300</v>
      </c>
      <c r="D12" s="35">
        <f t="shared" si="16"/>
        <v>0</v>
      </c>
      <c r="E12" s="119">
        <f t="shared" si="16"/>
        <v>17435300</v>
      </c>
      <c r="F12" s="35">
        <f t="shared" ca="1" si="16"/>
        <v>1124517</v>
      </c>
      <c r="G12" s="92">
        <f t="shared" ca="1" si="1"/>
        <v>6.4496567308850432</v>
      </c>
      <c r="H12" s="120">
        <f t="shared" ref="H12:I12" si="17">+H91</f>
        <v>200</v>
      </c>
      <c r="I12" s="35">
        <f t="shared" si="17"/>
        <v>0</v>
      </c>
      <c r="J12" s="92">
        <f t="shared" si="3"/>
        <v>0</v>
      </c>
      <c r="K12" s="120">
        <f t="shared" ref="K12:L12" si="18">+K91</f>
        <v>0</v>
      </c>
      <c r="L12" s="35">
        <f t="shared" si="18"/>
        <v>0</v>
      </c>
      <c r="M12" s="92">
        <f t="shared" si="5"/>
        <v>0</v>
      </c>
      <c r="N12" s="120">
        <f t="shared" ref="N12:O12" si="19">+N91</f>
        <v>200</v>
      </c>
      <c r="O12" s="35">
        <f t="shared" si="19"/>
        <v>0</v>
      </c>
      <c r="P12" s="92">
        <f t="shared" si="7"/>
        <v>0</v>
      </c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4" customHeight="1" x14ac:dyDescent="0.5">
      <c r="A13" s="33" t="s">
        <v>28</v>
      </c>
      <c r="B13" s="34"/>
      <c r="C13" s="119">
        <f t="shared" ref="C13:F13" si="20">+C106</f>
        <v>11000000</v>
      </c>
      <c r="D13" s="35">
        <f t="shared" si="20"/>
        <v>11000000</v>
      </c>
      <c r="E13" s="119">
        <f t="shared" si="20"/>
        <v>0</v>
      </c>
      <c r="F13" s="35">
        <f t="shared" si="20"/>
        <v>0</v>
      </c>
      <c r="G13" s="92">
        <f t="shared" si="1"/>
        <v>0</v>
      </c>
      <c r="H13" s="120">
        <f t="shared" ref="H13:I13" si="21">+H106</f>
        <v>0</v>
      </c>
      <c r="I13" s="35">
        <f t="shared" si="21"/>
        <v>0</v>
      </c>
      <c r="J13" s="92">
        <f t="shared" si="3"/>
        <v>0</v>
      </c>
      <c r="K13" s="120">
        <f t="shared" ref="K13:L13" si="22">+K106</f>
        <v>0</v>
      </c>
      <c r="L13" s="35">
        <f t="shared" si="22"/>
        <v>0</v>
      </c>
      <c r="M13" s="92">
        <f t="shared" si="5"/>
        <v>0</v>
      </c>
      <c r="N13" s="120">
        <f t="shared" ref="N13:O13" si="23">+N106</f>
        <v>0</v>
      </c>
      <c r="O13" s="35">
        <f t="shared" si="23"/>
        <v>0</v>
      </c>
      <c r="P13" s="92">
        <f t="shared" si="7"/>
        <v>0</v>
      </c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24" customHeight="1" x14ac:dyDescent="0.5">
      <c r="A14" s="39" t="s">
        <v>29</v>
      </c>
      <c r="B14" s="40"/>
      <c r="C14" s="121">
        <v>0</v>
      </c>
      <c r="D14" s="93">
        <v>0</v>
      </c>
      <c r="E14" s="121">
        <v>0</v>
      </c>
      <c r="F14" s="41">
        <v>0</v>
      </c>
      <c r="G14" s="94">
        <f t="shared" si="1"/>
        <v>0</v>
      </c>
      <c r="H14" s="122">
        <f>+K14+N14</f>
        <v>0</v>
      </c>
      <c r="I14" s="93">
        <v>0</v>
      </c>
      <c r="J14" s="96">
        <f t="shared" si="3"/>
        <v>0</v>
      </c>
      <c r="K14" s="122">
        <v>0</v>
      </c>
      <c r="L14" s="93">
        <v>0</v>
      </c>
      <c r="M14" s="96">
        <f t="shared" si="5"/>
        <v>0</v>
      </c>
      <c r="N14" s="122">
        <v>0</v>
      </c>
      <c r="O14" s="93">
        <v>0</v>
      </c>
      <c r="P14" s="96">
        <f t="shared" si="7"/>
        <v>0</v>
      </c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24" customHeight="1" x14ac:dyDescent="0.5">
      <c r="A15" s="566" t="s">
        <v>30</v>
      </c>
      <c r="B15" s="567"/>
      <c r="C15" s="123">
        <f t="shared" ref="C15:F15" si="24">SUM(C16:C32)</f>
        <v>332510</v>
      </c>
      <c r="D15" s="97">
        <f t="shared" si="24"/>
        <v>0</v>
      </c>
      <c r="E15" s="123">
        <f t="shared" si="24"/>
        <v>332510</v>
      </c>
      <c r="F15" s="43">
        <f t="shared" ca="1" si="24"/>
        <v>53951</v>
      </c>
      <c r="G15" s="97">
        <f t="shared" ca="1" si="1"/>
        <v>16.22537668040059</v>
      </c>
      <c r="H15" s="124">
        <f t="shared" ref="H15:I15" si="25">SUM(H16:H32)</f>
        <v>234</v>
      </c>
      <c r="I15" s="43">
        <f t="shared" si="25"/>
        <v>0</v>
      </c>
      <c r="J15" s="97">
        <f t="shared" si="3"/>
        <v>0</v>
      </c>
      <c r="K15" s="124">
        <f t="shared" ref="K15:L15" si="26">SUM(K16:K32)</f>
        <v>234</v>
      </c>
      <c r="L15" s="43">
        <f t="shared" ca="1" si="26"/>
        <v>43</v>
      </c>
      <c r="M15" s="97">
        <f t="shared" ca="1" si="5"/>
        <v>18.376068376068375</v>
      </c>
      <c r="N15" s="124">
        <f t="shared" ref="N15:O15" si="27">SUM(N16:N32)</f>
        <v>0</v>
      </c>
      <c r="O15" s="43">
        <f t="shared" si="27"/>
        <v>0</v>
      </c>
      <c r="P15" s="97">
        <f t="shared" si="7"/>
        <v>0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4" customHeight="1" x14ac:dyDescent="0.5">
      <c r="A16" s="45">
        <v>1</v>
      </c>
      <c r="B16" s="46" t="s">
        <v>31</v>
      </c>
      <c r="C16" s="125">
        <f t="shared" ref="C16:C32" si="28">+D16+E16</f>
        <v>21125</v>
      </c>
      <c r="D16" s="98">
        <v>0</v>
      </c>
      <c r="E16" s="126">
        <v>21125</v>
      </c>
      <c r="F16" s="48">
        <f ca="1">IFERROR(__xludf.DUMMYFUNCTION("IMPORTRANGE(""https://docs.google.com/spreadsheets/d/11923uPwbBZFjjGgGUA6NLw09EwE0CqkOc4q9oUmW1yo/edit?usp=sharing"",""กำแพงเพชร!M146"")"),0)</f>
        <v>0</v>
      </c>
      <c r="G16" s="98">
        <f t="shared" ca="1" si="1"/>
        <v>0</v>
      </c>
      <c r="H16" s="127">
        <f t="shared" ref="H16:H32" si="29">+K16+N16</f>
        <v>15</v>
      </c>
      <c r="I16" s="48">
        <v>0</v>
      </c>
      <c r="J16" s="98">
        <f t="shared" si="3"/>
        <v>0</v>
      </c>
      <c r="K16" s="128">
        <v>15</v>
      </c>
      <c r="L16" s="48">
        <f ca="1">IFERROR(__xludf.DUMMYFUNCTION("IMPORTRANGE(""https://docs.google.com/spreadsheets/d/11923uPwbBZFjjGgGUA6NLw09EwE0CqkOc4q9oUmW1yo/edit?usp=sharing"",""กำแพงเพชร!J155"")"),0)</f>
        <v>0</v>
      </c>
      <c r="M16" s="98">
        <f t="shared" ca="1" si="5"/>
        <v>0</v>
      </c>
      <c r="N16" s="127">
        <v>0</v>
      </c>
      <c r="O16" s="48">
        <v>0</v>
      </c>
      <c r="P16" s="98">
        <f t="shared" si="7"/>
        <v>0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 x14ac:dyDescent="0.5">
      <c r="A17" s="52">
        <v>2</v>
      </c>
      <c r="B17" s="53" t="s">
        <v>32</v>
      </c>
      <c r="C17" s="129">
        <f t="shared" si="28"/>
        <v>20210</v>
      </c>
      <c r="D17" s="99">
        <v>0</v>
      </c>
      <c r="E17" s="130">
        <v>20210</v>
      </c>
      <c r="F17" s="55">
        <f ca="1">IFERROR(__xludf.DUMMYFUNCTION("IMPORTRANGE(""https://docs.google.com/spreadsheets/d/11923uPwbBZFjjGgGUA6NLw09EwE0CqkOc4q9oUmW1yo/edit?usp=sharing"",""เชียงราย!M146"")"),0)</f>
        <v>0</v>
      </c>
      <c r="G17" s="99">
        <f t="shared" ca="1" si="1"/>
        <v>0</v>
      </c>
      <c r="H17" s="131">
        <f t="shared" si="29"/>
        <v>14</v>
      </c>
      <c r="I17" s="55">
        <v>0</v>
      </c>
      <c r="J17" s="99">
        <f t="shared" si="3"/>
        <v>0</v>
      </c>
      <c r="K17" s="132">
        <v>14</v>
      </c>
      <c r="L17" s="55">
        <f ca="1">IFERROR(__xludf.DUMMYFUNCTION("IMPORTRANGE(""https://docs.google.com/spreadsheets/d/11923uPwbBZFjjGgGUA6NLw09EwE0CqkOc4q9oUmW1yo/edit?usp=sharing"",""เชียงราย!J155"")"),0)</f>
        <v>0</v>
      </c>
      <c r="M17" s="99">
        <f t="shared" ca="1" si="5"/>
        <v>0</v>
      </c>
      <c r="N17" s="131">
        <v>0</v>
      </c>
      <c r="O17" s="55">
        <v>0</v>
      </c>
      <c r="P17" s="99">
        <f t="shared" si="7"/>
        <v>0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 x14ac:dyDescent="0.5">
      <c r="A18" s="52">
        <v>3</v>
      </c>
      <c r="B18" s="53" t="s">
        <v>33</v>
      </c>
      <c r="C18" s="129">
        <f t="shared" si="28"/>
        <v>21125</v>
      </c>
      <c r="D18" s="99">
        <v>0</v>
      </c>
      <c r="E18" s="130">
        <v>21125</v>
      </c>
      <c r="F18" s="55">
        <f ca="1">IFERROR(__xludf.DUMMYFUNCTION("IMPORTRANGE(""https://docs.google.com/spreadsheets/d/11923uPwbBZFjjGgGUA6NLw09EwE0CqkOc4q9oUmW1yo/edit?usp=sharing"",""เชียงใหม่!M146"")"),0)</f>
        <v>0</v>
      </c>
      <c r="G18" s="99">
        <f t="shared" ca="1" si="1"/>
        <v>0</v>
      </c>
      <c r="H18" s="131">
        <f t="shared" si="29"/>
        <v>15</v>
      </c>
      <c r="I18" s="55">
        <v>0</v>
      </c>
      <c r="J18" s="99">
        <f t="shared" si="3"/>
        <v>0</v>
      </c>
      <c r="K18" s="133">
        <v>15</v>
      </c>
      <c r="L18" s="55">
        <f ca="1">IFERROR(__xludf.DUMMYFUNCTION("IMPORTRANGE(""https://docs.google.com/spreadsheets/d/11923uPwbBZFjjGgGUA6NLw09EwE0CqkOc4q9oUmW1yo/edit?usp=sharing"",""เชียงใหม่!J155"")"),0)</f>
        <v>0</v>
      </c>
      <c r="M18" s="99">
        <f t="shared" ca="1" si="5"/>
        <v>0</v>
      </c>
      <c r="N18" s="131">
        <v>0</v>
      </c>
      <c r="O18" s="55">
        <v>0</v>
      </c>
      <c r="P18" s="99">
        <f t="shared" si="7"/>
        <v>0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5">
      <c r="A19" s="52">
        <v>4</v>
      </c>
      <c r="B19" s="53" t="s">
        <v>34</v>
      </c>
      <c r="C19" s="129">
        <f t="shared" si="28"/>
        <v>20210</v>
      </c>
      <c r="D19" s="99">
        <v>0</v>
      </c>
      <c r="E19" s="130">
        <v>20210</v>
      </c>
      <c r="F19" s="55">
        <f ca="1">IFERROR(__xludf.DUMMYFUNCTION("IMPORTRANGE(""https://docs.google.com/spreadsheets/d/11923uPwbBZFjjGgGUA6NLw09EwE0CqkOc4q9oUmW1yo/edit?usp=sharing"",""ตาก!M146"")"),15580)</f>
        <v>15580</v>
      </c>
      <c r="G19" s="99">
        <f t="shared" ca="1" si="1"/>
        <v>77.09054923305294</v>
      </c>
      <c r="H19" s="131">
        <f t="shared" si="29"/>
        <v>14</v>
      </c>
      <c r="I19" s="55">
        <v>0</v>
      </c>
      <c r="J19" s="99">
        <f t="shared" si="3"/>
        <v>0</v>
      </c>
      <c r="K19" s="133">
        <v>14</v>
      </c>
      <c r="L19" s="55">
        <f ca="1">IFERROR(__xludf.DUMMYFUNCTION("IMPORTRANGE(""https://docs.google.com/spreadsheets/d/11923uPwbBZFjjGgGUA6NLw09EwE0CqkOc4q9oUmW1yo/edit?usp=sharing"",""ตาก!J155"")"),0)</f>
        <v>0</v>
      </c>
      <c r="M19" s="99">
        <f t="shared" ca="1" si="5"/>
        <v>0</v>
      </c>
      <c r="N19" s="131">
        <v>0</v>
      </c>
      <c r="O19" s="55">
        <v>0</v>
      </c>
      <c r="P19" s="99">
        <f t="shared" si="7"/>
        <v>0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 x14ac:dyDescent="0.5">
      <c r="A20" s="52">
        <v>5</v>
      </c>
      <c r="B20" s="53" t="s">
        <v>35</v>
      </c>
      <c r="C20" s="129">
        <f t="shared" si="28"/>
        <v>21125</v>
      </c>
      <c r="D20" s="99">
        <v>0</v>
      </c>
      <c r="E20" s="130">
        <v>21125</v>
      </c>
      <c r="F20" s="55">
        <f ca="1">IFERROR(__xludf.DUMMYFUNCTION("IMPORTRANGE(""https://docs.google.com/spreadsheets/d/11923uPwbBZFjjGgGUA6NLw09EwE0CqkOc4q9oUmW1yo/edit?usp=sharing"",""นครสวรรค์!M146"")"),0)</f>
        <v>0</v>
      </c>
      <c r="G20" s="99">
        <f t="shared" ca="1" si="1"/>
        <v>0</v>
      </c>
      <c r="H20" s="131">
        <f t="shared" si="29"/>
        <v>15</v>
      </c>
      <c r="I20" s="55">
        <v>0</v>
      </c>
      <c r="J20" s="99">
        <f t="shared" si="3"/>
        <v>0</v>
      </c>
      <c r="K20" s="133">
        <v>15</v>
      </c>
      <c r="L20" s="55">
        <f ca="1">IFERROR(__xludf.DUMMYFUNCTION("IMPORTRANGE(""https://docs.google.com/spreadsheets/d/11923uPwbBZFjjGgGUA6NLw09EwE0CqkOc4q9oUmW1yo/edit?usp=sharing"",""นครสวรรค์!J155"")"),0)</f>
        <v>0</v>
      </c>
      <c r="M20" s="99">
        <f t="shared" ca="1" si="5"/>
        <v>0</v>
      </c>
      <c r="N20" s="131">
        <v>0</v>
      </c>
      <c r="O20" s="55">
        <v>0</v>
      </c>
      <c r="P20" s="99">
        <f t="shared" si="7"/>
        <v>0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 x14ac:dyDescent="0.5">
      <c r="A21" s="52">
        <v>6</v>
      </c>
      <c r="B21" s="53" t="s">
        <v>36</v>
      </c>
      <c r="C21" s="129">
        <f t="shared" si="28"/>
        <v>21125</v>
      </c>
      <c r="D21" s="99">
        <v>0</v>
      </c>
      <c r="E21" s="130">
        <v>21125</v>
      </c>
      <c r="F21" s="55">
        <f ca="1">IFERROR(__xludf.DUMMYFUNCTION("IMPORTRANGE(""https://docs.google.com/spreadsheets/d/11923uPwbBZFjjGgGUA6NLw09EwE0CqkOc4q9oUmW1yo/edit?usp=sharing"",""น่าน!M146"")"),19076)</f>
        <v>19076</v>
      </c>
      <c r="G21" s="99">
        <f t="shared" ca="1" si="1"/>
        <v>90.300591715976324</v>
      </c>
      <c r="H21" s="131">
        <f t="shared" si="29"/>
        <v>15</v>
      </c>
      <c r="I21" s="55">
        <v>0</v>
      </c>
      <c r="J21" s="99">
        <f t="shared" si="3"/>
        <v>0</v>
      </c>
      <c r="K21" s="133">
        <v>15</v>
      </c>
      <c r="L21" s="55">
        <f ca="1">IFERROR(__xludf.DUMMYFUNCTION("IMPORTRANGE(""https://docs.google.com/spreadsheets/d/11923uPwbBZFjjGgGUA6NLw09EwE0CqkOc4q9oUmW1yo/edit?usp=sharing"",""น่าน!J155"")"),15)</f>
        <v>15</v>
      </c>
      <c r="M21" s="99">
        <f t="shared" ca="1" si="5"/>
        <v>100</v>
      </c>
      <c r="N21" s="131">
        <v>0</v>
      </c>
      <c r="O21" s="55">
        <v>0</v>
      </c>
      <c r="P21" s="99">
        <f t="shared" si="7"/>
        <v>0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 x14ac:dyDescent="0.5">
      <c r="A22" s="52">
        <v>7</v>
      </c>
      <c r="B22" s="53" t="s">
        <v>37</v>
      </c>
      <c r="C22" s="129">
        <f t="shared" si="28"/>
        <v>21125</v>
      </c>
      <c r="D22" s="99">
        <v>0</v>
      </c>
      <c r="E22" s="130">
        <v>21125</v>
      </c>
      <c r="F22" s="55">
        <f ca="1">IFERROR(__xludf.DUMMYFUNCTION("IMPORTRANGE(""https://docs.google.com/spreadsheets/d/11923uPwbBZFjjGgGUA6NLw09EwE0CqkOc4q9oUmW1yo/edit?usp=sharing"",""พะเยา!M146"")"),0)</f>
        <v>0</v>
      </c>
      <c r="G22" s="99">
        <f t="shared" ca="1" si="1"/>
        <v>0</v>
      </c>
      <c r="H22" s="131">
        <f t="shared" si="29"/>
        <v>15</v>
      </c>
      <c r="I22" s="55">
        <v>0</v>
      </c>
      <c r="J22" s="99">
        <f t="shared" si="3"/>
        <v>0</v>
      </c>
      <c r="K22" s="133">
        <v>15</v>
      </c>
      <c r="L22" s="55">
        <f ca="1">IFERROR(__xludf.DUMMYFUNCTION("IMPORTRANGE(""https://docs.google.com/spreadsheets/d/11923uPwbBZFjjGgGUA6NLw09EwE0CqkOc4q9oUmW1yo/edit?usp=sharing"",""พะเยา!J155"")"),0)</f>
        <v>0</v>
      </c>
      <c r="M22" s="99">
        <f t="shared" ca="1" si="5"/>
        <v>0</v>
      </c>
      <c r="N22" s="131">
        <v>0</v>
      </c>
      <c r="O22" s="55">
        <v>0</v>
      </c>
      <c r="P22" s="99">
        <f t="shared" si="7"/>
        <v>0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 x14ac:dyDescent="0.5">
      <c r="A23" s="52">
        <v>8</v>
      </c>
      <c r="B23" s="53" t="s">
        <v>38</v>
      </c>
      <c r="C23" s="129">
        <f t="shared" si="28"/>
        <v>21125</v>
      </c>
      <c r="D23" s="99">
        <v>0</v>
      </c>
      <c r="E23" s="130">
        <v>21125</v>
      </c>
      <c r="F23" s="55">
        <f ca="1">IFERROR(__xludf.DUMMYFUNCTION("IMPORTRANGE(""https://docs.google.com/spreadsheets/d/11923uPwbBZFjjGgGUA6NLw09EwE0CqkOc4q9oUmW1yo/edit?usp=sharing"",""พิจิตร!M146"")"),0)</f>
        <v>0</v>
      </c>
      <c r="G23" s="99">
        <f t="shared" ca="1" si="1"/>
        <v>0</v>
      </c>
      <c r="H23" s="131">
        <f t="shared" si="29"/>
        <v>15</v>
      </c>
      <c r="I23" s="55">
        <v>0</v>
      </c>
      <c r="J23" s="99">
        <f t="shared" si="3"/>
        <v>0</v>
      </c>
      <c r="K23" s="133">
        <v>15</v>
      </c>
      <c r="L23" s="55">
        <f ca="1">IFERROR(__xludf.DUMMYFUNCTION("IMPORTRANGE(""https://docs.google.com/spreadsheets/d/11923uPwbBZFjjGgGUA6NLw09EwE0CqkOc4q9oUmW1yo/edit?usp=sharing"",""พิจิตร!J155"")"),0)</f>
        <v>0</v>
      </c>
      <c r="M23" s="99">
        <f t="shared" ca="1" si="5"/>
        <v>0</v>
      </c>
      <c r="N23" s="131">
        <v>0</v>
      </c>
      <c r="O23" s="55">
        <v>0</v>
      </c>
      <c r="P23" s="99">
        <f t="shared" si="7"/>
        <v>0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 x14ac:dyDescent="0.5">
      <c r="A24" s="52">
        <v>9</v>
      </c>
      <c r="B24" s="53" t="s">
        <v>39</v>
      </c>
      <c r="C24" s="129">
        <f t="shared" si="28"/>
        <v>0</v>
      </c>
      <c r="D24" s="99">
        <v>0</v>
      </c>
      <c r="E24" s="130">
        <v>0</v>
      </c>
      <c r="F24" s="55">
        <f ca="1">IFERROR(__xludf.DUMMYFUNCTION("IMPORTRANGE(""https://docs.google.com/spreadsheets/d/11923uPwbBZFjjGgGUA6NLw09EwE0CqkOc4q9oUmW1yo/edit?usp=sharing"",""พิษณุโลก!M146"")"),0)</f>
        <v>0</v>
      </c>
      <c r="G24" s="99">
        <f t="shared" si="1"/>
        <v>0</v>
      </c>
      <c r="H24" s="131">
        <f t="shared" si="29"/>
        <v>0</v>
      </c>
      <c r="I24" s="55">
        <v>0</v>
      </c>
      <c r="J24" s="99">
        <f t="shared" si="3"/>
        <v>0</v>
      </c>
      <c r="K24" s="131">
        <v>0</v>
      </c>
      <c r="L24" s="55">
        <f ca="1">IFERROR(__xludf.DUMMYFUNCTION("IMPORTRANGE(""https://docs.google.com/spreadsheets/d/11923uPwbBZFjjGgGUA6NLw09EwE0CqkOc4q9oUmW1yo/edit?usp=sharing"",""พิษณุโลก!J155"")"),0)</f>
        <v>0</v>
      </c>
      <c r="M24" s="99">
        <f t="shared" si="5"/>
        <v>0</v>
      </c>
      <c r="N24" s="131">
        <v>0</v>
      </c>
      <c r="O24" s="55">
        <v>0</v>
      </c>
      <c r="P24" s="99">
        <f t="shared" si="7"/>
        <v>0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5">
      <c r="A25" s="52">
        <v>10</v>
      </c>
      <c r="B25" s="53" t="s">
        <v>40</v>
      </c>
      <c r="C25" s="129">
        <f t="shared" si="28"/>
        <v>21125</v>
      </c>
      <c r="D25" s="99">
        <v>0</v>
      </c>
      <c r="E25" s="130">
        <v>21125</v>
      </c>
      <c r="F25" s="55">
        <f ca="1">IFERROR(__xludf.DUMMYFUNCTION("IMPORTRANGE(""https://docs.google.com/spreadsheets/d/11923uPwbBZFjjGgGUA6NLw09EwE0CqkOc4q9oUmW1yo/edit?usp=sharing"",""เพชรบูรณ์!M146"")"),0)</f>
        <v>0</v>
      </c>
      <c r="G25" s="99">
        <f t="shared" ca="1" si="1"/>
        <v>0</v>
      </c>
      <c r="H25" s="131">
        <f t="shared" si="29"/>
        <v>15</v>
      </c>
      <c r="I25" s="55">
        <v>0</v>
      </c>
      <c r="J25" s="99">
        <f t="shared" si="3"/>
        <v>0</v>
      </c>
      <c r="K25" s="133">
        <v>15</v>
      </c>
      <c r="L25" s="55">
        <f ca="1">IFERROR(__xludf.DUMMYFUNCTION("IMPORTRANGE(""https://docs.google.com/spreadsheets/d/11923uPwbBZFjjGgGUA6NLw09EwE0CqkOc4q9oUmW1yo/edit?usp=sharing"",""เพชรบูรณ์!J155"")"),15)</f>
        <v>15</v>
      </c>
      <c r="M25" s="99">
        <f t="shared" ca="1" si="5"/>
        <v>100</v>
      </c>
      <c r="N25" s="131">
        <v>0</v>
      </c>
      <c r="O25" s="55">
        <v>0</v>
      </c>
      <c r="P25" s="99">
        <f t="shared" si="7"/>
        <v>0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 x14ac:dyDescent="0.5">
      <c r="A26" s="52">
        <v>11</v>
      </c>
      <c r="B26" s="53" t="s">
        <v>41</v>
      </c>
      <c r="C26" s="129">
        <f t="shared" si="28"/>
        <v>21125</v>
      </c>
      <c r="D26" s="99">
        <v>0</v>
      </c>
      <c r="E26" s="130">
        <v>21125</v>
      </c>
      <c r="F26" s="55">
        <f ca="1">IFERROR(__xludf.DUMMYFUNCTION("IMPORTRANGE(""https://docs.google.com/spreadsheets/d/11923uPwbBZFjjGgGUA6NLw09EwE0CqkOc4q9oUmW1yo/edit?usp=sharing"",""แพร่!M146"")"),0)</f>
        <v>0</v>
      </c>
      <c r="G26" s="99">
        <f t="shared" ca="1" si="1"/>
        <v>0</v>
      </c>
      <c r="H26" s="131">
        <f t="shared" si="29"/>
        <v>15</v>
      </c>
      <c r="I26" s="55">
        <v>0</v>
      </c>
      <c r="J26" s="99">
        <f t="shared" si="3"/>
        <v>0</v>
      </c>
      <c r="K26" s="133">
        <v>15</v>
      </c>
      <c r="L26" s="55">
        <f ca="1">IFERROR(__xludf.DUMMYFUNCTION("IMPORTRANGE(""https://docs.google.com/spreadsheets/d/11923uPwbBZFjjGgGUA6NLw09EwE0CqkOc4q9oUmW1yo/edit?usp=sharing"",""แพร่!J155"")"),0)</f>
        <v>0</v>
      </c>
      <c r="M26" s="99">
        <f t="shared" ca="1" si="5"/>
        <v>0</v>
      </c>
      <c r="N26" s="131">
        <v>0</v>
      </c>
      <c r="O26" s="55">
        <v>0</v>
      </c>
      <c r="P26" s="99">
        <f t="shared" si="7"/>
        <v>0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 x14ac:dyDescent="0.5">
      <c r="A27" s="52">
        <v>12</v>
      </c>
      <c r="B27" s="53" t="s">
        <v>42</v>
      </c>
      <c r="C27" s="129">
        <f t="shared" si="28"/>
        <v>19295</v>
      </c>
      <c r="D27" s="99">
        <v>0</v>
      </c>
      <c r="E27" s="130">
        <v>19295</v>
      </c>
      <c r="F27" s="55">
        <f ca="1">IFERROR(__xludf.DUMMYFUNCTION("IMPORTRANGE(""https://docs.google.com/spreadsheets/d/11923uPwbBZFjjGgGUA6NLw09EwE0CqkOc4q9oUmW1yo/edit?usp=sharing"",""แม่ฮ่องสอน!M146"")"),19295)</f>
        <v>19295</v>
      </c>
      <c r="G27" s="99">
        <f t="shared" ca="1" si="1"/>
        <v>100</v>
      </c>
      <c r="H27" s="131">
        <f t="shared" si="29"/>
        <v>13</v>
      </c>
      <c r="I27" s="55">
        <v>0</v>
      </c>
      <c r="J27" s="99">
        <f t="shared" si="3"/>
        <v>0</v>
      </c>
      <c r="K27" s="133">
        <v>13</v>
      </c>
      <c r="L27" s="55">
        <f ca="1">IFERROR(__xludf.DUMMYFUNCTION("IMPORTRANGE(""https://docs.google.com/spreadsheets/d/11923uPwbBZFjjGgGUA6NLw09EwE0CqkOc4q9oUmW1yo/edit?usp=sharing"",""แม่ฮ่องสอน!J155"")"),13)</f>
        <v>13</v>
      </c>
      <c r="M27" s="99">
        <f t="shared" ca="1" si="5"/>
        <v>100</v>
      </c>
      <c r="N27" s="131">
        <v>0</v>
      </c>
      <c r="O27" s="55">
        <v>0</v>
      </c>
      <c r="P27" s="99">
        <f t="shared" si="7"/>
        <v>0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 x14ac:dyDescent="0.5">
      <c r="A28" s="52">
        <v>13</v>
      </c>
      <c r="B28" s="53" t="s">
        <v>43</v>
      </c>
      <c r="C28" s="129">
        <f t="shared" si="28"/>
        <v>21125</v>
      </c>
      <c r="D28" s="99">
        <v>0</v>
      </c>
      <c r="E28" s="130">
        <v>21125</v>
      </c>
      <c r="F28" s="55">
        <f ca="1">IFERROR(__xludf.DUMMYFUNCTION("IMPORTRANGE(""https://docs.google.com/spreadsheets/d/11923uPwbBZFjjGgGUA6NLw09EwE0CqkOc4q9oUmW1yo/edit?usp=sharing"",""ลำปาง!M146"")"),0)</f>
        <v>0</v>
      </c>
      <c r="G28" s="99">
        <f t="shared" ca="1" si="1"/>
        <v>0</v>
      </c>
      <c r="H28" s="131">
        <f t="shared" si="29"/>
        <v>15</v>
      </c>
      <c r="I28" s="55">
        <v>0</v>
      </c>
      <c r="J28" s="99">
        <f t="shared" si="3"/>
        <v>0</v>
      </c>
      <c r="K28" s="133">
        <v>15</v>
      </c>
      <c r="L28" s="55">
        <f ca="1">IFERROR(__xludf.DUMMYFUNCTION("IMPORTRANGE(""https://docs.google.com/spreadsheets/d/11923uPwbBZFjjGgGUA6NLw09EwE0CqkOc4q9oUmW1yo/edit?usp=sharing"",""ลำปาง!J155"")"),0)</f>
        <v>0</v>
      </c>
      <c r="M28" s="99">
        <f t="shared" ca="1" si="5"/>
        <v>0</v>
      </c>
      <c r="N28" s="131">
        <v>0</v>
      </c>
      <c r="O28" s="55">
        <v>0</v>
      </c>
      <c r="P28" s="99">
        <f t="shared" si="7"/>
        <v>0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 x14ac:dyDescent="0.5">
      <c r="A29" s="52">
        <v>14</v>
      </c>
      <c r="B29" s="53" t="s">
        <v>44</v>
      </c>
      <c r="C29" s="129">
        <f t="shared" si="28"/>
        <v>21125</v>
      </c>
      <c r="D29" s="99">
        <v>0</v>
      </c>
      <c r="E29" s="130">
        <v>21125</v>
      </c>
      <c r="F29" s="55">
        <f ca="1">IFERROR(__xludf.DUMMYFUNCTION("IMPORTRANGE(""https://docs.google.com/spreadsheets/d/11923uPwbBZFjjGgGUA6NLw09EwE0CqkOc4q9oUmW1yo/edit?usp=sharing"",""ลำพูน!M146"")"),0)</f>
        <v>0</v>
      </c>
      <c r="G29" s="99">
        <f t="shared" ca="1" si="1"/>
        <v>0</v>
      </c>
      <c r="H29" s="131">
        <f t="shared" si="29"/>
        <v>15</v>
      </c>
      <c r="I29" s="55">
        <v>0</v>
      </c>
      <c r="J29" s="99">
        <f t="shared" si="3"/>
        <v>0</v>
      </c>
      <c r="K29" s="133">
        <v>15</v>
      </c>
      <c r="L29" s="55">
        <f ca="1">IFERROR(__xludf.DUMMYFUNCTION("IMPORTRANGE(""https://docs.google.com/spreadsheets/d/11923uPwbBZFjjGgGUA6NLw09EwE0CqkOc4q9oUmW1yo/edit?usp=sharing"",""ลำพูน!J155"")"),0)</f>
        <v>0</v>
      </c>
      <c r="M29" s="99">
        <f t="shared" ca="1" si="5"/>
        <v>0</v>
      </c>
      <c r="N29" s="131">
        <v>0</v>
      </c>
      <c r="O29" s="55">
        <v>0</v>
      </c>
      <c r="P29" s="99">
        <f t="shared" si="7"/>
        <v>0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5">
      <c r="A30" s="52">
        <v>15</v>
      </c>
      <c r="B30" s="53" t="s">
        <v>45</v>
      </c>
      <c r="C30" s="129">
        <f t="shared" si="28"/>
        <v>19295</v>
      </c>
      <c r="D30" s="99">
        <v>0</v>
      </c>
      <c r="E30" s="130">
        <v>19295</v>
      </c>
      <c r="F30" s="55">
        <f ca="1">IFERROR(__xludf.DUMMYFUNCTION("IMPORTRANGE(""https://docs.google.com/spreadsheets/d/11923uPwbBZFjjGgGUA6NLw09EwE0CqkOc4q9oUmW1yo/edit?usp=sharing"",""สุโขทัย!M146"")"),0)</f>
        <v>0</v>
      </c>
      <c r="G30" s="99">
        <f t="shared" ca="1" si="1"/>
        <v>0</v>
      </c>
      <c r="H30" s="131">
        <f t="shared" si="29"/>
        <v>13</v>
      </c>
      <c r="I30" s="55">
        <v>0</v>
      </c>
      <c r="J30" s="99">
        <f t="shared" si="3"/>
        <v>0</v>
      </c>
      <c r="K30" s="133">
        <v>13</v>
      </c>
      <c r="L30" s="55">
        <f ca="1">IFERROR(__xludf.DUMMYFUNCTION("IMPORTRANGE(""https://docs.google.com/spreadsheets/d/11923uPwbBZFjjGgGUA6NLw09EwE0CqkOc4q9oUmW1yo/edit?usp=sharing"",""สุโขทัย!J155"")"),0)</f>
        <v>0</v>
      </c>
      <c r="M30" s="99">
        <f t="shared" ca="1" si="5"/>
        <v>0</v>
      </c>
      <c r="N30" s="131">
        <v>0</v>
      </c>
      <c r="O30" s="55">
        <v>0</v>
      </c>
      <c r="P30" s="99">
        <f t="shared" si="7"/>
        <v>0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 x14ac:dyDescent="0.5">
      <c r="A31" s="52">
        <v>16</v>
      </c>
      <c r="B31" s="53" t="s">
        <v>46</v>
      </c>
      <c r="C31" s="129">
        <f t="shared" si="28"/>
        <v>21125</v>
      </c>
      <c r="D31" s="99">
        <v>0</v>
      </c>
      <c r="E31" s="130">
        <v>21125</v>
      </c>
      <c r="F31" s="55">
        <f ca="1">IFERROR(__xludf.DUMMYFUNCTION("IMPORTRANGE(""https://docs.google.com/spreadsheets/d/11923uPwbBZFjjGgGUA6NLw09EwE0CqkOc4q9oUmW1yo/edit?usp=sharing"",""อุตรดิตถ์!M146"")"),0)</f>
        <v>0</v>
      </c>
      <c r="G31" s="99">
        <f t="shared" ca="1" si="1"/>
        <v>0</v>
      </c>
      <c r="H31" s="131">
        <f t="shared" si="29"/>
        <v>15</v>
      </c>
      <c r="I31" s="55">
        <v>0</v>
      </c>
      <c r="J31" s="99">
        <f t="shared" si="3"/>
        <v>0</v>
      </c>
      <c r="K31" s="133">
        <v>15</v>
      </c>
      <c r="L31" s="55">
        <f ca="1">IFERROR(__xludf.DUMMYFUNCTION("IMPORTRANGE(""https://docs.google.com/spreadsheets/d/11923uPwbBZFjjGgGUA6NLw09EwE0CqkOc4q9oUmW1yo/edit?usp=sharing"",""อุตรดิตถ์!J155"")"),0)</f>
        <v>0</v>
      </c>
      <c r="M31" s="99">
        <f t="shared" ca="1" si="5"/>
        <v>0</v>
      </c>
      <c r="N31" s="131">
        <v>0</v>
      </c>
      <c r="O31" s="55">
        <v>0</v>
      </c>
      <c r="P31" s="99">
        <f t="shared" si="7"/>
        <v>0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5">
      <c r="A32" s="59">
        <v>17</v>
      </c>
      <c r="B32" s="60" t="s">
        <v>47</v>
      </c>
      <c r="C32" s="134">
        <f t="shared" si="28"/>
        <v>21125</v>
      </c>
      <c r="D32" s="100">
        <v>0</v>
      </c>
      <c r="E32" s="135">
        <v>21125</v>
      </c>
      <c r="F32" s="62">
        <f ca="1">IFERROR(__xludf.DUMMYFUNCTION("IMPORTRANGE(""https://docs.google.com/spreadsheets/d/11923uPwbBZFjjGgGUA6NLw09EwE0CqkOc4q9oUmW1yo/edit?usp=sharing"",""อุทัยธานี!M146"")"),0)</f>
        <v>0</v>
      </c>
      <c r="G32" s="100">
        <f t="shared" ca="1" si="1"/>
        <v>0</v>
      </c>
      <c r="H32" s="136">
        <f t="shared" si="29"/>
        <v>15</v>
      </c>
      <c r="I32" s="62">
        <v>0</v>
      </c>
      <c r="J32" s="100">
        <f t="shared" si="3"/>
        <v>0</v>
      </c>
      <c r="K32" s="137">
        <v>15</v>
      </c>
      <c r="L32" s="62">
        <f ca="1">IFERROR(__xludf.DUMMYFUNCTION("IMPORTRANGE(""https://docs.google.com/spreadsheets/d/11923uPwbBZFjjGgGUA6NLw09EwE0CqkOc4q9oUmW1yo/edit?usp=sharing"",""อุทัยธานี!J155"")"),0)</f>
        <v>0</v>
      </c>
      <c r="M32" s="100">
        <f t="shared" ca="1" si="5"/>
        <v>0</v>
      </c>
      <c r="N32" s="136">
        <v>0</v>
      </c>
      <c r="O32" s="62">
        <v>0</v>
      </c>
      <c r="P32" s="100">
        <f t="shared" si="7"/>
        <v>0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 x14ac:dyDescent="0.5">
      <c r="A33" s="568" t="s">
        <v>48</v>
      </c>
      <c r="B33" s="569"/>
      <c r="C33" s="138">
        <f t="shared" ref="C33:F33" si="30">SUM(C34:C53)</f>
        <v>379415</v>
      </c>
      <c r="D33" s="101">
        <f t="shared" si="30"/>
        <v>0</v>
      </c>
      <c r="E33" s="138">
        <f t="shared" si="30"/>
        <v>379415</v>
      </c>
      <c r="F33" s="66">
        <f t="shared" ca="1" si="30"/>
        <v>0</v>
      </c>
      <c r="G33" s="101">
        <f t="shared" ca="1" si="1"/>
        <v>0</v>
      </c>
      <c r="H33" s="139">
        <f t="shared" ref="H33:I33" si="31">SUM(H34:H53)</f>
        <v>261</v>
      </c>
      <c r="I33" s="66">
        <f t="shared" si="31"/>
        <v>0</v>
      </c>
      <c r="J33" s="101">
        <f t="shared" si="3"/>
        <v>0</v>
      </c>
      <c r="K33" s="139">
        <f t="shared" ref="K33:L33" si="32">SUM(K34:K53)</f>
        <v>261</v>
      </c>
      <c r="L33" s="66">
        <f t="shared" ca="1" si="32"/>
        <v>1</v>
      </c>
      <c r="M33" s="101">
        <f t="shared" ca="1" si="5"/>
        <v>0.38314176245210729</v>
      </c>
      <c r="N33" s="139">
        <f t="shared" ref="N33:O33" si="33">SUM(N34:N53)</f>
        <v>0</v>
      </c>
      <c r="O33" s="66">
        <f t="shared" si="33"/>
        <v>0</v>
      </c>
      <c r="P33" s="101">
        <f t="shared" si="7"/>
        <v>0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 x14ac:dyDescent="0.5">
      <c r="A34" s="45">
        <v>1</v>
      </c>
      <c r="B34" s="46" t="s">
        <v>49</v>
      </c>
      <c r="C34" s="125">
        <f t="shared" ref="C34:C53" si="34">+D34+E34</f>
        <v>21125</v>
      </c>
      <c r="D34" s="98">
        <v>0</v>
      </c>
      <c r="E34" s="126">
        <v>21125</v>
      </c>
      <c r="F34" s="48">
        <f ca="1">IFERROR(__xludf.DUMMYFUNCTION("IMPORTRANGE(""https://docs.google.com/spreadsheets/d/1XL5vhW3sbDhbH9Cz0tuDiY8C3ctxq1tqvaCgkFb8cCA/edit?usp=sharing"",""กาฬสินธุ์!M146"")"),0)</f>
        <v>0</v>
      </c>
      <c r="G34" s="98">
        <f t="shared" ca="1" si="1"/>
        <v>0</v>
      </c>
      <c r="H34" s="127">
        <f t="shared" ref="H34:H53" si="35">+K34+N34</f>
        <v>15</v>
      </c>
      <c r="I34" s="48">
        <v>0</v>
      </c>
      <c r="J34" s="98">
        <f t="shared" si="3"/>
        <v>0</v>
      </c>
      <c r="K34" s="140">
        <v>15</v>
      </c>
      <c r="L34" s="48">
        <f ca="1">IFERROR(__xludf.DUMMYFUNCTION("IMPORTRANGE(""https://docs.google.com/spreadsheets/d/1XL5vhW3sbDhbH9Cz0tuDiY8C3ctxq1tqvaCgkFb8cCA/edit?usp=sharing"",""กาฬสินธุ์!J155"")"),0)</f>
        <v>0</v>
      </c>
      <c r="M34" s="98">
        <f t="shared" ca="1" si="5"/>
        <v>0</v>
      </c>
      <c r="N34" s="127">
        <v>0</v>
      </c>
      <c r="O34" s="48">
        <v>0</v>
      </c>
      <c r="P34" s="98">
        <f t="shared" si="7"/>
        <v>0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 x14ac:dyDescent="0.5">
      <c r="A35" s="52">
        <v>2</v>
      </c>
      <c r="B35" s="53" t="s">
        <v>50</v>
      </c>
      <c r="C35" s="129">
        <f t="shared" si="34"/>
        <v>16550</v>
      </c>
      <c r="D35" s="99">
        <v>0</v>
      </c>
      <c r="E35" s="130">
        <v>16550</v>
      </c>
      <c r="F35" s="55">
        <f ca="1">IFERROR(__xludf.DUMMYFUNCTION("IMPORTRANGE(""https://docs.google.com/spreadsheets/d/1XL5vhW3sbDhbH9Cz0tuDiY8C3ctxq1tqvaCgkFb8cCA/edit?usp=sharing"",""ขอนแก่น!M146"")"),0)</f>
        <v>0</v>
      </c>
      <c r="G35" s="99">
        <f t="shared" ca="1" si="1"/>
        <v>0</v>
      </c>
      <c r="H35" s="131">
        <f t="shared" si="35"/>
        <v>10</v>
      </c>
      <c r="I35" s="55">
        <v>0</v>
      </c>
      <c r="J35" s="99">
        <f t="shared" si="3"/>
        <v>0</v>
      </c>
      <c r="K35" s="133">
        <v>10</v>
      </c>
      <c r="L35" s="55">
        <f ca="1">IFERROR(__xludf.DUMMYFUNCTION("IMPORTRANGE(""https://docs.google.com/spreadsheets/d/1XL5vhW3sbDhbH9Cz0tuDiY8C3ctxq1tqvaCgkFb8cCA/edit?usp=sharing"",""ขอนแก่น!J155"")"),0)</f>
        <v>0</v>
      </c>
      <c r="M35" s="99">
        <f t="shared" ca="1" si="5"/>
        <v>0</v>
      </c>
      <c r="N35" s="131">
        <v>0</v>
      </c>
      <c r="O35" s="55">
        <v>0</v>
      </c>
      <c r="P35" s="99">
        <f t="shared" si="7"/>
        <v>0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 x14ac:dyDescent="0.5">
      <c r="A36" s="52">
        <v>3</v>
      </c>
      <c r="B36" s="53" t="s">
        <v>51</v>
      </c>
      <c r="C36" s="129">
        <f t="shared" si="34"/>
        <v>18380</v>
      </c>
      <c r="D36" s="99">
        <v>0</v>
      </c>
      <c r="E36" s="130">
        <v>18380</v>
      </c>
      <c r="F36" s="55">
        <f ca="1">IFERROR(__xludf.DUMMYFUNCTION("IMPORTRANGE(""https://docs.google.com/spreadsheets/d/1XL5vhW3sbDhbH9Cz0tuDiY8C3ctxq1tqvaCgkFb8cCA/edit?usp=sharing"",""ชัยภูมิ!M146"")"),0)</f>
        <v>0</v>
      </c>
      <c r="G36" s="99">
        <f t="shared" ca="1" si="1"/>
        <v>0</v>
      </c>
      <c r="H36" s="131">
        <f t="shared" si="35"/>
        <v>12</v>
      </c>
      <c r="I36" s="55">
        <v>0</v>
      </c>
      <c r="J36" s="99">
        <f t="shared" si="3"/>
        <v>0</v>
      </c>
      <c r="K36" s="133">
        <v>12</v>
      </c>
      <c r="L36" s="55">
        <f ca="1">IFERROR(__xludf.DUMMYFUNCTION("IMPORTRANGE(""https://docs.google.com/spreadsheets/d/1XL5vhW3sbDhbH9Cz0tuDiY8C3ctxq1tqvaCgkFb8cCA/edit?usp=sharing"",""ชัยภูมิ!J155"")"),0)</f>
        <v>0</v>
      </c>
      <c r="M36" s="99">
        <f t="shared" ca="1" si="5"/>
        <v>0</v>
      </c>
      <c r="N36" s="131">
        <v>0</v>
      </c>
      <c r="O36" s="55">
        <v>0</v>
      </c>
      <c r="P36" s="99">
        <f t="shared" si="7"/>
        <v>0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 x14ac:dyDescent="0.5">
      <c r="A37" s="52">
        <v>4</v>
      </c>
      <c r="B37" s="53" t="s">
        <v>52</v>
      </c>
      <c r="C37" s="129">
        <f t="shared" si="34"/>
        <v>0</v>
      </c>
      <c r="D37" s="99">
        <v>0</v>
      </c>
      <c r="E37" s="130">
        <v>0</v>
      </c>
      <c r="F37" s="55">
        <f ca="1">IFERROR(__xludf.DUMMYFUNCTION("IMPORTRANGE(""https://docs.google.com/spreadsheets/d/1XL5vhW3sbDhbH9Cz0tuDiY8C3ctxq1tqvaCgkFb8cCA/edit?usp=sharing"",""นครพนม!M146"")"),0)</f>
        <v>0</v>
      </c>
      <c r="G37" s="99">
        <f t="shared" si="1"/>
        <v>0</v>
      </c>
      <c r="H37" s="131">
        <f t="shared" si="35"/>
        <v>0</v>
      </c>
      <c r="I37" s="55">
        <v>0</v>
      </c>
      <c r="J37" s="99">
        <f t="shared" si="3"/>
        <v>0</v>
      </c>
      <c r="K37" s="131">
        <v>0</v>
      </c>
      <c r="L37" s="55">
        <f ca="1">IFERROR(__xludf.DUMMYFUNCTION("IMPORTRANGE(""https://docs.google.com/spreadsheets/d/1XL5vhW3sbDhbH9Cz0tuDiY8C3ctxq1tqvaCgkFb8cCA/edit?usp=sharing"",""นครพนม!J155"")"),0)</f>
        <v>0</v>
      </c>
      <c r="M37" s="99">
        <f t="shared" si="5"/>
        <v>0</v>
      </c>
      <c r="N37" s="131">
        <v>0</v>
      </c>
      <c r="O37" s="55">
        <v>0</v>
      </c>
      <c r="P37" s="99">
        <f t="shared" si="7"/>
        <v>0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 x14ac:dyDescent="0.5">
      <c r="A38" s="52">
        <v>5</v>
      </c>
      <c r="B38" s="53" t="s">
        <v>53</v>
      </c>
      <c r="C38" s="129">
        <f t="shared" si="34"/>
        <v>21125</v>
      </c>
      <c r="D38" s="99">
        <v>0</v>
      </c>
      <c r="E38" s="130">
        <v>21125</v>
      </c>
      <c r="F38" s="55">
        <f ca="1">IFERROR(__xludf.DUMMYFUNCTION("IMPORTRANGE(""https://docs.google.com/spreadsheets/d/1XL5vhW3sbDhbH9Cz0tuDiY8C3ctxq1tqvaCgkFb8cCA/edit?usp=sharing"",""นครราชสีมา!M146"")"),0)</f>
        <v>0</v>
      </c>
      <c r="G38" s="99">
        <f t="shared" ca="1" si="1"/>
        <v>0</v>
      </c>
      <c r="H38" s="131">
        <f t="shared" si="35"/>
        <v>15</v>
      </c>
      <c r="I38" s="55">
        <v>0</v>
      </c>
      <c r="J38" s="99">
        <f t="shared" si="3"/>
        <v>0</v>
      </c>
      <c r="K38" s="133">
        <v>15</v>
      </c>
      <c r="L38" s="55">
        <f ca="1">IFERROR(__xludf.DUMMYFUNCTION("IMPORTRANGE(""https://docs.google.com/spreadsheets/d/1XL5vhW3sbDhbH9Cz0tuDiY8C3ctxq1tqvaCgkFb8cCA/edit?usp=sharing"",""นครราชสีมา!J155"")"),1)</f>
        <v>1</v>
      </c>
      <c r="M38" s="99">
        <f t="shared" ca="1" si="5"/>
        <v>6.666666666666667</v>
      </c>
      <c r="N38" s="131">
        <v>0</v>
      </c>
      <c r="O38" s="55">
        <v>0</v>
      </c>
      <c r="P38" s="99">
        <f t="shared" si="7"/>
        <v>0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 x14ac:dyDescent="0.5">
      <c r="A39" s="52">
        <v>6</v>
      </c>
      <c r="B39" s="53" t="s">
        <v>54</v>
      </c>
      <c r="C39" s="129">
        <f t="shared" si="34"/>
        <v>20210</v>
      </c>
      <c r="D39" s="99">
        <v>0</v>
      </c>
      <c r="E39" s="130">
        <v>20210</v>
      </c>
      <c r="F39" s="55">
        <f ca="1">IFERROR(__xludf.DUMMYFUNCTION("IMPORTRANGE(""https://docs.google.com/spreadsheets/d/1XL5vhW3sbDhbH9Cz0tuDiY8C3ctxq1tqvaCgkFb8cCA/edit?usp=sharing"",""บึงกาฬ!M146"")"),0)</f>
        <v>0</v>
      </c>
      <c r="G39" s="99">
        <f t="shared" ca="1" si="1"/>
        <v>0</v>
      </c>
      <c r="H39" s="131">
        <f t="shared" si="35"/>
        <v>14</v>
      </c>
      <c r="I39" s="55">
        <v>0</v>
      </c>
      <c r="J39" s="99">
        <f t="shared" si="3"/>
        <v>0</v>
      </c>
      <c r="K39" s="133">
        <v>14</v>
      </c>
      <c r="L39" s="55">
        <f ca="1">IFERROR(__xludf.DUMMYFUNCTION("IMPORTRANGE(""https://docs.google.com/spreadsheets/d/1XL5vhW3sbDhbH9Cz0tuDiY8C3ctxq1tqvaCgkFb8cCA/edit?usp=sharing"",""บึงกาฬ!J155"")"),0)</f>
        <v>0</v>
      </c>
      <c r="M39" s="99">
        <f t="shared" ca="1" si="5"/>
        <v>0</v>
      </c>
      <c r="N39" s="131">
        <v>0</v>
      </c>
      <c r="O39" s="55">
        <v>0</v>
      </c>
      <c r="P39" s="99">
        <f t="shared" si="7"/>
        <v>0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 x14ac:dyDescent="0.5">
      <c r="A40" s="52">
        <v>7</v>
      </c>
      <c r="B40" s="53" t="s">
        <v>55</v>
      </c>
      <c r="C40" s="129">
        <f t="shared" si="34"/>
        <v>21125</v>
      </c>
      <c r="D40" s="99">
        <v>0</v>
      </c>
      <c r="E40" s="130">
        <v>21125</v>
      </c>
      <c r="F40" s="55">
        <f ca="1">IFERROR(__xludf.DUMMYFUNCTION("IMPORTRANGE(""https://docs.google.com/spreadsheets/d/1XL5vhW3sbDhbH9Cz0tuDiY8C3ctxq1tqvaCgkFb8cCA/edit?usp=sharing"",""บุรีรัมย์!M146"")"),0)</f>
        <v>0</v>
      </c>
      <c r="G40" s="99">
        <f t="shared" ca="1" si="1"/>
        <v>0</v>
      </c>
      <c r="H40" s="131">
        <f t="shared" si="35"/>
        <v>15</v>
      </c>
      <c r="I40" s="55">
        <v>0</v>
      </c>
      <c r="J40" s="99">
        <f t="shared" si="3"/>
        <v>0</v>
      </c>
      <c r="K40" s="133">
        <v>15</v>
      </c>
      <c r="L40" s="55">
        <f ca="1">IFERROR(__xludf.DUMMYFUNCTION("IMPORTRANGE(""https://docs.google.com/spreadsheets/d/1XL5vhW3sbDhbH9Cz0tuDiY8C3ctxq1tqvaCgkFb8cCA/edit?usp=sharing"",""บุรีรัมย์!J155"")"),0)</f>
        <v>0</v>
      </c>
      <c r="M40" s="99">
        <f t="shared" ca="1" si="5"/>
        <v>0</v>
      </c>
      <c r="N40" s="131">
        <v>0</v>
      </c>
      <c r="O40" s="55">
        <v>0</v>
      </c>
      <c r="P40" s="99">
        <f t="shared" si="7"/>
        <v>0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 x14ac:dyDescent="0.5">
      <c r="A41" s="52">
        <v>8</v>
      </c>
      <c r="B41" s="53" t="s">
        <v>56</v>
      </c>
      <c r="C41" s="129">
        <f t="shared" si="34"/>
        <v>20210</v>
      </c>
      <c r="D41" s="99">
        <v>0</v>
      </c>
      <c r="E41" s="130">
        <v>20210</v>
      </c>
      <c r="F41" s="55">
        <f ca="1">IFERROR(__xludf.DUMMYFUNCTION("IMPORTRANGE(""https://docs.google.com/spreadsheets/d/1XL5vhW3sbDhbH9Cz0tuDiY8C3ctxq1tqvaCgkFb8cCA/edit?usp=sharing"",""มหาสารคาม!M146"")"),0)</f>
        <v>0</v>
      </c>
      <c r="G41" s="99">
        <f t="shared" ca="1" si="1"/>
        <v>0</v>
      </c>
      <c r="H41" s="131">
        <f t="shared" si="35"/>
        <v>14</v>
      </c>
      <c r="I41" s="55">
        <v>0</v>
      </c>
      <c r="J41" s="99">
        <f t="shared" si="3"/>
        <v>0</v>
      </c>
      <c r="K41" s="133">
        <v>14</v>
      </c>
      <c r="L41" s="55">
        <f ca="1">IFERROR(__xludf.DUMMYFUNCTION("IMPORTRANGE(""https://docs.google.com/spreadsheets/d/1XL5vhW3sbDhbH9Cz0tuDiY8C3ctxq1tqvaCgkFb8cCA/edit?usp=sharing"",""มหาสารคาม!J155"")"),0)</f>
        <v>0</v>
      </c>
      <c r="M41" s="99">
        <f t="shared" ca="1" si="5"/>
        <v>0</v>
      </c>
      <c r="N41" s="131">
        <v>0</v>
      </c>
      <c r="O41" s="55">
        <v>0</v>
      </c>
      <c r="P41" s="99">
        <f t="shared" si="7"/>
        <v>0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 x14ac:dyDescent="0.5">
      <c r="A42" s="52">
        <v>9</v>
      </c>
      <c r="B42" s="53" t="s">
        <v>57</v>
      </c>
      <c r="C42" s="129">
        <f t="shared" si="34"/>
        <v>19295</v>
      </c>
      <c r="D42" s="99">
        <v>0</v>
      </c>
      <c r="E42" s="130">
        <v>19295</v>
      </c>
      <c r="F42" s="55">
        <f ca="1">IFERROR(__xludf.DUMMYFUNCTION("IMPORTRANGE(""https://docs.google.com/spreadsheets/d/1XL5vhW3sbDhbH9Cz0tuDiY8C3ctxq1tqvaCgkFb8cCA/edit?usp=sharing"",""มุกดาหาร!M146"")"),0)</f>
        <v>0</v>
      </c>
      <c r="G42" s="99">
        <f t="shared" ca="1" si="1"/>
        <v>0</v>
      </c>
      <c r="H42" s="131">
        <f t="shared" si="35"/>
        <v>13</v>
      </c>
      <c r="I42" s="55">
        <v>0</v>
      </c>
      <c r="J42" s="99">
        <f t="shared" si="3"/>
        <v>0</v>
      </c>
      <c r="K42" s="133">
        <v>13</v>
      </c>
      <c r="L42" s="55">
        <f ca="1">IFERROR(__xludf.DUMMYFUNCTION("IMPORTRANGE(""https://docs.google.com/spreadsheets/d/1XL5vhW3sbDhbH9Cz0tuDiY8C3ctxq1tqvaCgkFb8cCA/edit?usp=sharing"",""มุกดาหาร!J155"")"),0)</f>
        <v>0</v>
      </c>
      <c r="M42" s="99">
        <f t="shared" ca="1" si="5"/>
        <v>0</v>
      </c>
      <c r="N42" s="131">
        <v>0</v>
      </c>
      <c r="O42" s="55">
        <v>0</v>
      </c>
      <c r="P42" s="99">
        <f t="shared" si="7"/>
        <v>0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 x14ac:dyDescent="0.5">
      <c r="A43" s="52">
        <v>10</v>
      </c>
      <c r="B43" s="53" t="s">
        <v>58</v>
      </c>
      <c r="C43" s="129">
        <f t="shared" si="34"/>
        <v>20210</v>
      </c>
      <c r="D43" s="99">
        <v>0</v>
      </c>
      <c r="E43" s="130">
        <v>20210</v>
      </c>
      <c r="F43" s="55">
        <f ca="1">IFERROR(__xludf.DUMMYFUNCTION("IMPORTRANGE(""https://docs.google.com/spreadsheets/d/1XL5vhW3sbDhbH9Cz0tuDiY8C3ctxq1tqvaCgkFb8cCA/edit?usp=sharing"",""ยโสธร!M146"")"),0)</f>
        <v>0</v>
      </c>
      <c r="G43" s="99">
        <f t="shared" ca="1" si="1"/>
        <v>0</v>
      </c>
      <c r="H43" s="131">
        <f t="shared" si="35"/>
        <v>14</v>
      </c>
      <c r="I43" s="55">
        <v>0</v>
      </c>
      <c r="J43" s="99">
        <f t="shared" si="3"/>
        <v>0</v>
      </c>
      <c r="K43" s="133">
        <v>14</v>
      </c>
      <c r="L43" s="55">
        <f ca="1">IFERROR(__xludf.DUMMYFUNCTION("IMPORTRANGE(""https://docs.google.com/spreadsheets/d/1XL5vhW3sbDhbH9Cz0tuDiY8C3ctxq1tqvaCgkFb8cCA/edit?usp=sharing"",""ยโสธร!J155"")"),0)</f>
        <v>0</v>
      </c>
      <c r="M43" s="99">
        <f t="shared" ca="1" si="5"/>
        <v>0</v>
      </c>
      <c r="N43" s="131">
        <v>0</v>
      </c>
      <c r="O43" s="55">
        <v>0</v>
      </c>
      <c r="P43" s="99">
        <f t="shared" si="7"/>
        <v>0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 x14ac:dyDescent="0.5">
      <c r="A44" s="52">
        <v>11</v>
      </c>
      <c r="B44" s="53" t="s">
        <v>59</v>
      </c>
      <c r="C44" s="129">
        <f t="shared" si="34"/>
        <v>16550</v>
      </c>
      <c r="D44" s="99">
        <v>0</v>
      </c>
      <c r="E44" s="130">
        <v>16550</v>
      </c>
      <c r="F44" s="55">
        <f ca="1">IFERROR(__xludf.DUMMYFUNCTION("IMPORTRANGE(""https://docs.google.com/spreadsheets/d/1XL5vhW3sbDhbH9Cz0tuDiY8C3ctxq1tqvaCgkFb8cCA/edit?usp=sharing"",""ร้อยเอ็ด!M146"")"),0)</f>
        <v>0</v>
      </c>
      <c r="G44" s="99">
        <f t="shared" ca="1" si="1"/>
        <v>0</v>
      </c>
      <c r="H44" s="131">
        <f t="shared" si="35"/>
        <v>10</v>
      </c>
      <c r="I44" s="55">
        <v>0</v>
      </c>
      <c r="J44" s="99">
        <f t="shared" si="3"/>
        <v>0</v>
      </c>
      <c r="K44" s="133">
        <v>10</v>
      </c>
      <c r="L44" s="55">
        <f ca="1">IFERROR(__xludf.DUMMYFUNCTION("IMPORTRANGE(""https://docs.google.com/spreadsheets/d/1XL5vhW3sbDhbH9Cz0tuDiY8C3ctxq1tqvaCgkFb8cCA/edit?usp=sharing"",""ร้อยเอ็ด!J155"")"),0)</f>
        <v>0</v>
      </c>
      <c r="M44" s="99">
        <f t="shared" ca="1" si="5"/>
        <v>0</v>
      </c>
      <c r="N44" s="131">
        <v>0</v>
      </c>
      <c r="O44" s="55">
        <v>0</v>
      </c>
      <c r="P44" s="99">
        <f t="shared" si="7"/>
        <v>0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 x14ac:dyDescent="0.5">
      <c r="A45" s="52">
        <v>12</v>
      </c>
      <c r="B45" s="53" t="s">
        <v>60</v>
      </c>
      <c r="C45" s="129">
        <f t="shared" si="34"/>
        <v>21125</v>
      </c>
      <c r="D45" s="99">
        <v>0</v>
      </c>
      <c r="E45" s="130">
        <v>21125</v>
      </c>
      <c r="F45" s="55">
        <f ca="1">IFERROR(__xludf.DUMMYFUNCTION("IMPORTRANGE(""https://docs.google.com/spreadsheets/d/1XL5vhW3sbDhbH9Cz0tuDiY8C3ctxq1tqvaCgkFb8cCA/edit?usp=sharing"",""เลย!M146"")"),0)</f>
        <v>0</v>
      </c>
      <c r="G45" s="99">
        <f t="shared" ca="1" si="1"/>
        <v>0</v>
      </c>
      <c r="H45" s="131">
        <f t="shared" si="35"/>
        <v>15</v>
      </c>
      <c r="I45" s="55">
        <v>0</v>
      </c>
      <c r="J45" s="99">
        <f t="shared" si="3"/>
        <v>0</v>
      </c>
      <c r="K45" s="133">
        <v>15</v>
      </c>
      <c r="L45" s="55">
        <f ca="1">IFERROR(__xludf.DUMMYFUNCTION("IMPORTRANGE(""https://docs.google.com/spreadsheets/d/1XL5vhW3sbDhbH9Cz0tuDiY8C3ctxq1tqvaCgkFb8cCA/edit?usp=sharing"",""เลย!J155"")"),0)</f>
        <v>0</v>
      </c>
      <c r="M45" s="99">
        <f t="shared" ca="1" si="5"/>
        <v>0</v>
      </c>
      <c r="N45" s="131">
        <v>0</v>
      </c>
      <c r="O45" s="55">
        <v>0</v>
      </c>
      <c r="P45" s="99">
        <f t="shared" si="7"/>
        <v>0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 x14ac:dyDescent="0.5">
      <c r="A46" s="52">
        <v>13</v>
      </c>
      <c r="B46" s="53" t="s">
        <v>61</v>
      </c>
      <c r="C46" s="129">
        <f t="shared" si="34"/>
        <v>21125</v>
      </c>
      <c r="D46" s="99">
        <v>0</v>
      </c>
      <c r="E46" s="130">
        <v>21125</v>
      </c>
      <c r="F46" s="55">
        <f ca="1">IFERROR(__xludf.DUMMYFUNCTION("IMPORTRANGE(""https://docs.google.com/spreadsheets/d/1XL5vhW3sbDhbH9Cz0tuDiY8C3ctxq1tqvaCgkFb8cCA/edit?usp=sharing"",""ศรีสะเกษ!M146"")"),0)</f>
        <v>0</v>
      </c>
      <c r="G46" s="99">
        <f t="shared" ca="1" si="1"/>
        <v>0</v>
      </c>
      <c r="H46" s="131">
        <f t="shared" si="35"/>
        <v>15</v>
      </c>
      <c r="I46" s="55">
        <v>0</v>
      </c>
      <c r="J46" s="99">
        <f t="shared" si="3"/>
        <v>0</v>
      </c>
      <c r="K46" s="133">
        <v>15</v>
      </c>
      <c r="L46" s="55">
        <f ca="1">IFERROR(__xludf.DUMMYFUNCTION("IMPORTRANGE(""https://docs.google.com/spreadsheets/d/1XL5vhW3sbDhbH9Cz0tuDiY8C3ctxq1tqvaCgkFb8cCA/edit?usp=sharing"",""ศรีสะเกษ!J155"")"),0)</f>
        <v>0</v>
      </c>
      <c r="M46" s="99">
        <f t="shared" ca="1" si="5"/>
        <v>0</v>
      </c>
      <c r="N46" s="131">
        <v>0</v>
      </c>
      <c r="O46" s="55">
        <v>0</v>
      </c>
      <c r="P46" s="99">
        <f t="shared" si="7"/>
        <v>0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 x14ac:dyDescent="0.5">
      <c r="A47" s="52">
        <v>14</v>
      </c>
      <c r="B47" s="53" t="s">
        <v>62</v>
      </c>
      <c r="C47" s="129">
        <f t="shared" si="34"/>
        <v>20210</v>
      </c>
      <c r="D47" s="99">
        <v>0</v>
      </c>
      <c r="E47" s="130">
        <v>20210</v>
      </c>
      <c r="F47" s="55">
        <f ca="1">IFERROR(__xludf.DUMMYFUNCTION("IMPORTRANGE(""https://docs.google.com/spreadsheets/d/1XL5vhW3sbDhbH9Cz0tuDiY8C3ctxq1tqvaCgkFb8cCA/edit?usp=sharing"",""สกลนคร!M146"")"),0)</f>
        <v>0</v>
      </c>
      <c r="G47" s="99">
        <f t="shared" ca="1" si="1"/>
        <v>0</v>
      </c>
      <c r="H47" s="131">
        <f t="shared" si="35"/>
        <v>14</v>
      </c>
      <c r="I47" s="55">
        <v>0</v>
      </c>
      <c r="J47" s="99">
        <f t="shared" si="3"/>
        <v>0</v>
      </c>
      <c r="K47" s="133">
        <v>14</v>
      </c>
      <c r="L47" s="55">
        <f ca="1">IFERROR(__xludf.DUMMYFUNCTION("IMPORTRANGE(""https://docs.google.com/spreadsheets/d/1XL5vhW3sbDhbH9Cz0tuDiY8C3ctxq1tqvaCgkFb8cCA/edit?usp=sharing"",""สกลนคร!J155"")"),0)</f>
        <v>0</v>
      </c>
      <c r="M47" s="99">
        <f t="shared" ca="1" si="5"/>
        <v>0</v>
      </c>
      <c r="N47" s="131">
        <v>0</v>
      </c>
      <c r="O47" s="55">
        <v>0</v>
      </c>
      <c r="P47" s="99">
        <f t="shared" si="7"/>
        <v>0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 x14ac:dyDescent="0.5">
      <c r="A48" s="52">
        <v>15</v>
      </c>
      <c r="B48" s="53" t="s">
        <v>63</v>
      </c>
      <c r="C48" s="129">
        <f t="shared" si="34"/>
        <v>20210</v>
      </c>
      <c r="D48" s="99">
        <v>0</v>
      </c>
      <c r="E48" s="130">
        <v>20210</v>
      </c>
      <c r="F48" s="55">
        <f ca="1">IFERROR(__xludf.DUMMYFUNCTION("IMPORTRANGE(""https://docs.google.com/spreadsheets/d/1XL5vhW3sbDhbH9Cz0tuDiY8C3ctxq1tqvaCgkFb8cCA/edit?usp=sharing"",""สุรินทร์!M146"")"),0)</f>
        <v>0</v>
      </c>
      <c r="G48" s="99">
        <f t="shared" ca="1" si="1"/>
        <v>0</v>
      </c>
      <c r="H48" s="131">
        <f t="shared" si="35"/>
        <v>14</v>
      </c>
      <c r="I48" s="55">
        <v>0</v>
      </c>
      <c r="J48" s="99">
        <f t="shared" si="3"/>
        <v>0</v>
      </c>
      <c r="K48" s="133">
        <v>14</v>
      </c>
      <c r="L48" s="55">
        <f ca="1">IFERROR(__xludf.DUMMYFUNCTION("IMPORTRANGE(""https://docs.google.com/spreadsheets/d/1XL5vhW3sbDhbH9Cz0tuDiY8C3ctxq1tqvaCgkFb8cCA/edit?usp=sharing"",""สุรินทร์!J155"")"),0)</f>
        <v>0</v>
      </c>
      <c r="M48" s="99">
        <f t="shared" ca="1" si="5"/>
        <v>0</v>
      </c>
      <c r="N48" s="131">
        <v>0</v>
      </c>
      <c r="O48" s="55">
        <v>0</v>
      </c>
      <c r="P48" s="99">
        <f t="shared" si="7"/>
        <v>0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x14ac:dyDescent="0.5">
      <c r="A49" s="52">
        <v>16</v>
      </c>
      <c r="B49" s="53" t="s">
        <v>64</v>
      </c>
      <c r="C49" s="129">
        <f t="shared" si="34"/>
        <v>21125</v>
      </c>
      <c r="D49" s="99">
        <v>0</v>
      </c>
      <c r="E49" s="130">
        <v>21125</v>
      </c>
      <c r="F49" s="55">
        <f ca="1">IFERROR(__xludf.DUMMYFUNCTION("IMPORTRANGE(""https://docs.google.com/spreadsheets/d/1XL5vhW3sbDhbH9Cz0tuDiY8C3ctxq1tqvaCgkFb8cCA/edit?usp=sharing"",""หนองคาย!M146"")"),0)</f>
        <v>0</v>
      </c>
      <c r="G49" s="99">
        <f t="shared" ca="1" si="1"/>
        <v>0</v>
      </c>
      <c r="H49" s="131">
        <f t="shared" si="35"/>
        <v>15</v>
      </c>
      <c r="I49" s="55">
        <v>0</v>
      </c>
      <c r="J49" s="99">
        <f t="shared" si="3"/>
        <v>0</v>
      </c>
      <c r="K49" s="133">
        <v>15</v>
      </c>
      <c r="L49" s="55">
        <f ca="1">IFERROR(__xludf.DUMMYFUNCTION("IMPORTRANGE(""https://docs.google.com/spreadsheets/d/1XL5vhW3sbDhbH9Cz0tuDiY8C3ctxq1tqvaCgkFb8cCA/edit?usp=sharing"",""หนองคาย!J155"")"),0)</f>
        <v>0</v>
      </c>
      <c r="M49" s="99">
        <f t="shared" ca="1" si="5"/>
        <v>0</v>
      </c>
      <c r="N49" s="131">
        <v>0</v>
      </c>
      <c r="O49" s="55">
        <v>0</v>
      </c>
      <c r="P49" s="99">
        <f t="shared" si="7"/>
        <v>0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 x14ac:dyDescent="0.5">
      <c r="A50" s="52">
        <v>17</v>
      </c>
      <c r="B50" s="53" t="s">
        <v>65</v>
      </c>
      <c r="C50" s="129">
        <f t="shared" si="34"/>
        <v>19295</v>
      </c>
      <c r="D50" s="99">
        <v>0</v>
      </c>
      <c r="E50" s="130">
        <v>19295</v>
      </c>
      <c r="F50" s="55">
        <f ca="1">IFERROR(__xludf.DUMMYFUNCTION("IMPORTRANGE(""https://docs.google.com/spreadsheets/d/1XL5vhW3sbDhbH9Cz0tuDiY8C3ctxq1tqvaCgkFb8cCA/edit?usp=sharing"",""หนองบัวลำภู!M146"")"),0)</f>
        <v>0</v>
      </c>
      <c r="G50" s="99">
        <f t="shared" ca="1" si="1"/>
        <v>0</v>
      </c>
      <c r="H50" s="131">
        <f t="shared" si="35"/>
        <v>13</v>
      </c>
      <c r="I50" s="55">
        <v>0</v>
      </c>
      <c r="J50" s="99">
        <f t="shared" si="3"/>
        <v>0</v>
      </c>
      <c r="K50" s="133">
        <v>13</v>
      </c>
      <c r="L50" s="55">
        <f ca="1">IFERROR(__xludf.DUMMYFUNCTION("IMPORTRANGE(""https://docs.google.com/spreadsheets/d/1XL5vhW3sbDhbH9Cz0tuDiY8C3ctxq1tqvaCgkFb8cCA/edit?usp=sharing"",""หนองบัวลำภู!J155"")"),0)</f>
        <v>0</v>
      </c>
      <c r="M50" s="99">
        <f t="shared" ca="1" si="5"/>
        <v>0</v>
      </c>
      <c r="N50" s="131">
        <v>0</v>
      </c>
      <c r="O50" s="55">
        <v>0</v>
      </c>
      <c r="P50" s="99">
        <f t="shared" si="7"/>
        <v>0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 x14ac:dyDescent="0.5">
      <c r="A51" s="52">
        <v>18</v>
      </c>
      <c r="B51" s="53" t="s">
        <v>66</v>
      </c>
      <c r="C51" s="129">
        <f t="shared" si="34"/>
        <v>20210</v>
      </c>
      <c r="D51" s="99">
        <v>0</v>
      </c>
      <c r="E51" s="130">
        <v>20210</v>
      </c>
      <c r="F51" s="55">
        <f ca="1">IFERROR(__xludf.DUMMYFUNCTION("IMPORTRANGE(""https://docs.google.com/spreadsheets/d/1XL5vhW3sbDhbH9Cz0tuDiY8C3ctxq1tqvaCgkFb8cCA/edit?usp=sharing"",""อำนาจเจริญ!M146"")"),0)</f>
        <v>0</v>
      </c>
      <c r="G51" s="99">
        <f t="shared" ca="1" si="1"/>
        <v>0</v>
      </c>
      <c r="H51" s="131">
        <f t="shared" si="35"/>
        <v>14</v>
      </c>
      <c r="I51" s="55">
        <v>0</v>
      </c>
      <c r="J51" s="99">
        <f t="shared" si="3"/>
        <v>0</v>
      </c>
      <c r="K51" s="133">
        <v>14</v>
      </c>
      <c r="L51" s="55">
        <f ca="1">IFERROR(__xludf.DUMMYFUNCTION("IMPORTRANGE(""https://docs.google.com/spreadsheets/d/1XL5vhW3sbDhbH9Cz0tuDiY8C3ctxq1tqvaCgkFb8cCA/edit?usp=sharing"",""อำนาจเจริญ!J155"")"),0)</f>
        <v>0</v>
      </c>
      <c r="M51" s="99">
        <f t="shared" ca="1" si="5"/>
        <v>0</v>
      </c>
      <c r="N51" s="131">
        <v>0</v>
      </c>
      <c r="O51" s="55">
        <v>0</v>
      </c>
      <c r="P51" s="99">
        <f t="shared" si="7"/>
        <v>0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 x14ac:dyDescent="0.5">
      <c r="A52" s="52">
        <v>19</v>
      </c>
      <c r="B52" s="53" t="s">
        <v>67</v>
      </c>
      <c r="C52" s="129">
        <f t="shared" si="34"/>
        <v>20210</v>
      </c>
      <c r="D52" s="99">
        <v>0</v>
      </c>
      <c r="E52" s="130">
        <v>20210</v>
      </c>
      <c r="F52" s="55">
        <f ca="1">IFERROR(__xludf.DUMMYFUNCTION("IMPORTRANGE(""https://docs.google.com/spreadsheets/d/1XL5vhW3sbDhbH9Cz0tuDiY8C3ctxq1tqvaCgkFb8cCA/edit?usp=sharing"",""อุดรธานี!M146"")"),0)</f>
        <v>0</v>
      </c>
      <c r="G52" s="99">
        <f t="shared" ca="1" si="1"/>
        <v>0</v>
      </c>
      <c r="H52" s="131">
        <f t="shared" si="35"/>
        <v>14</v>
      </c>
      <c r="I52" s="55">
        <v>0</v>
      </c>
      <c r="J52" s="99">
        <f t="shared" si="3"/>
        <v>0</v>
      </c>
      <c r="K52" s="133">
        <v>14</v>
      </c>
      <c r="L52" s="55">
        <f ca="1">IFERROR(__xludf.DUMMYFUNCTION("IMPORTRANGE(""https://docs.google.com/spreadsheets/d/1XL5vhW3sbDhbH9Cz0tuDiY8C3ctxq1tqvaCgkFb8cCA/edit?usp=sharing"",""อุดรธานี!J155"")"),0)</f>
        <v>0</v>
      </c>
      <c r="M52" s="99">
        <f t="shared" ca="1" si="5"/>
        <v>0</v>
      </c>
      <c r="N52" s="131">
        <v>0</v>
      </c>
      <c r="O52" s="55">
        <v>0</v>
      </c>
      <c r="P52" s="99">
        <f t="shared" si="7"/>
        <v>0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 x14ac:dyDescent="0.5">
      <c r="A53" s="59">
        <v>20</v>
      </c>
      <c r="B53" s="60" t="s">
        <v>68</v>
      </c>
      <c r="C53" s="134">
        <f t="shared" si="34"/>
        <v>21125</v>
      </c>
      <c r="D53" s="100">
        <v>0</v>
      </c>
      <c r="E53" s="135">
        <v>21125</v>
      </c>
      <c r="F53" s="62">
        <f ca="1">IFERROR(__xludf.DUMMYFUNCTION("IMPORTRANGE(""https://docs.google.com/spreadsheets/d/1XL5vhW3sbDhbH9Cz0tuDiY8C3ctxq1tqvaCgkFb8cCA/edit?usp=sharing"",""อุบลราชธานี!M146"")"),0)</f>
        <v>0</v>
      </c>
      <c r="G53" s="100">
        <f t="shared" ca="1" si="1"/>
        <v>0</v>
      </c>
      <c r="H53" s="136">
        <f t="shared" si="35"/>
        <v>15</v>
      </c>
      <c r="I53" s="62">
        <v>0</v>
      </c>
      <c r="J53" s="100">
        <f t="shared" si="3"/>
        <v>0</v>
      </c>
      <c r="K53" s="137">
        <v>15</v>
      </c>
      <c r="L53" s="62">
        <f ca="1">IFERROR(__xludf.DUMMYFUNCTION("IMPORTRANGE(""https://docs.google.com/spreadsheets/d/1XL5vhW3sbDhbH9Cz0tuDiY8C3ctxq1tqvaCgkFb8cCA/edit?usp=sharing"",""อุบลราชธานี!J155"")"),0)</f>
        <v>0</v>
      </c>
      <c r="M53" s="100">
        <f t="shared" ca="1" si="5"/>
        <v>0</v>
      </c>
      <c r="N53" s="136">
        <v>0</v>
      </c>
      <c r="O53" s="62">
        <v>0</v>
      </c>
      <c r="P53" s="100">
        <f t="shared" si="7"/>
        <v>0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 x14ac:dyDescent="0.5">
      <c r="A54" s="570" t="s">
        <v>69</v>
      </c>
      <c r="B54" s="569"/>
      <c r="C54" s="138">
        <f t="shared" ref="C54:F54" si="36">SUM(C55:C75)</f>
        <v>367440</v>
      </c>
      <c r="D54" s="101">
        <f t="shared" si="36"/>
        <v>0</v>
      </c>
      <c r="E54" s="138">
        <f t="shared" si="36"/>
        <v>367440</v>
      </c>
      <c r="F54" s="66">
        <f t="shared" ca="1" si="36"/>
        <v>35165</v>
      </c>
      <c r="G54" s="101">
        <f t="shared" ca="1" si="1"/>
        <v>9.5702699760505112</v>
      </c>
      <c r="H54" s="139">
        <f t="shared" ref="H54:I54" si="37">SUM(H55:H75)</f>
        <v>256</v>
      </c>
      <c r="I54" s="66">
        <f t="shared" si="37"/>
        <v>0</v>
      </c>
      <c r="J54" s="101">
        <f t="shared" si="3"/>
        <v>0</v>
      </c>
      <c r="K54" s="139">
        <f t="shared" ref="K54:L54" si="38">SUM(K55:K75)</f>
        <v>256</v>
      </c>
      <c r="L54" s="66">
        <f t="shared" ca="1" si="38"/>
        <v>15</v>
      </c>
      <c r="M54" s="101">
        <f t="shared" ca="1" si="5"/>
        <v>5.859375</v>
      </c>
      <c r="N54" s="139">
        <f t="shared" ref="N54:O54" si="39">SUM(N55:N75)</f>
        <v>0</v>
      </c>
      <c r="O54" s="66">
        <f t="shared" si="39"/>
        <v>0</v>
      </c>
      <c r="P54" s="101">
        <f t="shared" si="7"/>
        <v>0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 x14ac:dyDescent="0.5">
      <c r="A55" s="45">
        <v>1</v>
      </c>
      <c r="B55" s="46" t="s">
        <v>70</v>
      </c>
      <c r="C55" s="125">
        <f t="shared" ref="C55:C75" si="40">+D55+E55</f>
        <v>20210</v>
      </c>
      <c r="D55" s="98">
        <v>0</v>
      </c>
      <c r="E55" s="126">
        <v>20210</v>
      </c>
      <c r="F55" s="48">
        <f ca="1">IFERROR(__xludf.DUMMYFUNCTION("IMPORTRANGE(""https://docs.google.com/spreadsheets/d/1SX6NBoVAgQJ6U1MVXOaj8PK2l7WJ3RER9xtqwdhxkhw/edit?usp=sharing"",""กาญจนบุรี!M146"")"),0)</f>
        <v>0</v>
      </c>
      <c r="G55" s="98">
        <f t="shared" ca="1" si="1"/>
        <v>0</v>
      </c>
      <c r="H55" s="127">
        <f t="shared" ref="H55:H75" si="41">+K55+N55</f>
        <v>14</v>
      </c>
      <c r="I55" s="48">
        <v>0</v>
      </c>
      <c r="J55" s="98">
        <f t="shared" si="3"/>
        <v>0</v>
      </c>
      <c r="K55" s="140">
        <v>14</v>
      </c>
      <c r="L55" s="48">
        <f ca="1">IFERROR(__xludf.DUMMYFUNCTION("IMPORTRANGE(""https://docs.google.com/spreadsheets/d/1SX6NBoVAgQJ6U1MVXOaj8PK2l7WJ3RER9xtqwdhxkhw/edit?usp=sharing"",""กาญจนบุรี!J155"")"),0)</f>
        <v>0</v>
      </c>
      <c r="M55" s="98">
        <f t="shared" ca="1" si="5"/>
        <v>0</v>
      </c>
      <c r="N55" s="127">
        <v>0</v>
      </c>
      <c r="O55" s="48">
        <v>0</v>
      </c>
      <c r="P55" s="98">
        <f t="shared" si="7"/>
        <v>0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 x14ac:dyDescent="0.5">
      <c r="A56" s="52">
        <v>2</v>
      </c>
      <c r="B56" s="53" t="s">
        <v>71</v>
      </c>
      <c r="C56" s="129">
        <f t="shared" si="40"/>
        <v>19295</v>
      </c>
      <c r="D56" s="99">
        <v>0</v>
      </c>
      <c r="E56" s="130">
        <v>19295</v>
      </c>
      <c r="F56" s="55">
        <f ca="1">IFERROR(__xludf.DUMMYFUNCTION("IMPORTRANGE(""https://docs.google.com/spreadsheets/d/1SX6NBoVAgQJ6U1MVXOaj8PK2l7WJ3RER9xtqwdhxkhw/edit?usp=sharing"",""จันทบุรี!M146"")"),0)</f>
        <v>0</v>
      </c>
      <c r="G56" s="99">
        <f t="shared" ca="1" si="1"/>
        <v>0</v>
      </c>
      <c r="H56" s="131">
        <f t="shared" si="41"/>
        <v>13</v>
      </c>
      <c r="I56" s="55">
        <v>0</v>
      </c>
      <c r="J56" s="99">
        <f t="shared" si="3"/>
        <v>0</v>
      </c>
      <c r="K56" s="133">
        <v>13</v>
      </c>
      <c r="L56" s="55">
        <f ca="1">IFERROR(__xludf.DUMMYFUNCTION("IMPORTRANGE(""https://docs.google.com/spreadsheets/d/1SX6NBoVAgQJ6U1MVXOaj8PK2l7WJ3RER9xtqwdhxkhw/edit?usp=sharing"",""จันทบุรี!J155"")"),0)</f>
        <v>0</v>
      </c>
      <c r="M56" s="99">
        <f t="shared" ca="1" si="5"/>
        <v>0</v>
      </c>
      <c r="N56" s="131">
        <v>0</v>
      </c>
      <c r="O56" s="55">
        <v>0</v>
      </c>
      <c r="P56" s="99">
        <f t="shared" si="7"/>
        <v>0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 x14ac:dyDescent="0.5">
      <c r="A57" s="52">
        <v>3</v>
      </c>
      <c r="B57" s="53" t="s">
        <v>72</v>
      </c>
      <c r="C57" s="129">
        <f t="shared" si="40"/>
        <v>21125</v>
      </c>
      <c r="D57" s="99">
        <v>0</v>
      </c>
      <c r="E57" s="130">
        <v>21125</v>
      </c>
      <c r="F57" s="55">
        <f ca="1">IFERROR(__xludf.DUMMYFUNCTION("IMPORTRANGE(""https://docs.google.com/spreadsheets/d/1SX6NBoVAgQJ6U1MVXOaj8PK2l7WJ3RER9xtqwdhxkhw/edit?usp=sharing"",""ฉะเชิงเทรา!M146"")"),0)</f>
        <v>0</v>
      </c>
      <c r="G57" s="99">
        <f t="shared" ca="1" si="1"/>
        <v>0</v>
      </c>
      <c r="H57" s="131">
        <f t="shared" si="41"/>
        <v>15</v>
      </c>
      <c r="I57" s="55">
        <v>0</v>
      </c>
      <c r="J57" s="99">
        <f t="shared" si="3"/>
        <v>0</v>
      </c>
      <c r="K57" s="133">
        <v>15</v>
      </c>
      <c r="L57" s="55">
        <f ca="1">IFERROR(__xludf.DUMMYFUNCTION("IMPORTRANGE(""https://docs.google.com/spreadsheets/d/1SX6NBoVAgQJ6U1MVXOaj8PK2l7WJ3RER9xtqwdhxkhw/edit?usp=sharing"",""ฉะเชิงเทรา!J155"")"),0)</f>
        <v>0</v>
      </c>
      <c r="M57" s="99">
        <f t="shared" ca="1" si="5"/>
        <v>0</v>
      </c>
      <c r="N57" s="131">
        <v>0</v>
      </c>
      <c r="O57" s="55">
        <v>0</v>
      </c>
      <c r="P57" s="99">
        <f t="shared" si="7"/>
        <v>0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 x14ac:dyDescent="0.5">
      <c r="A58" s="52">
        <v>4</v>
      </c>
      <c r="B58" s="53" t="s">
        <v>73</v>
      </c>
      <c r="C58" s="129">
        <f t="shared" si="40"/>
        <v>0</v>
      </c>
      <c r="D58" s="99">
        <v>0</v>
      </c>
      <c r="E58" s="130">
        <v>0</v>
      </c>
      <c r="F58" s="55">
        <f ca="1">IFERROR(__xludf.DUMMYFUNCTION("IMPORTRANGE(""https://docs.google.com/spreadsheets/d/1SX6NBoVAgQJ6U1MVXOaj8PK2l7WJ3RER9xtqwdhxkhw/edit?usp=sharing"",""ชลบุรี!M146"")"),0)</f>
        <v>0</v>
      </c>
      <c r="G58" s="99">
        <f t="shared" si="1"/>
        <v>0</v>
      </c>
      <c r="H58" s="131">
        <f t="shared" si="41"/>
        <v>0</v>
      </c>
      <c r="I58" s="55">
        <v>0</v>
      </c>
      <c r="J58" s="99">
        <f t="shared" si="3"/>
        <v>0</v>
      </c>
      <c r="K58" s="131">
        <v>0</v>
      </c>
      <c r="L58" s="55">
        <f ca="1">IFERROR(__xludf.DUMMYFUNCTION("IMPORTRANGE(""https://docs.google.com/spreadsheets/d/1SX6NBoVAgQJ6U1MVXOaj8PK2l7WJ3RER9xtqwdhxkhw/edit?usp=sharing"",""ชลบุรี!J155"")"),0)</f>
        <v>0</v>
      </c>
      <c r="M58" s="99">
        <f t="shared" si="5"/>
        <v>0</v>
      </c>
      <c r="N58" s="131">
        <v>0</v>
      </c>
      <c r="O58" s="55">
        <v>0</v>
      </c>
      <c r="P58" s="99">
        <f t="shared" si="7"/>
        <v>0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 x14ac:dyDescent="0.5">
      <c r="A59" s="52">
        <v>5</v>
      </c>
      <c r="B59" s="53" t="s">
        <v>74</v>
      </c>
      <c r="C59" s="129">
        <f t="shared" si="40"/>
        <v>19295</v>
      </c>
      <c r="D59" s="99">
        <v>0</v>
      </c>
      <c r="E59" s="130">
        <v>19295</v>
      </c>
      <c r="F59" s="55">
        <f ca="1">IFERROR(__xludf.DUMMYFUNCTION("IMPORTRANGE(""https://docs.google.com/spreadsheets/d/1SX6NBoVAgQJ6U1MVXOaj8PK2l7WJ3RER9xtqwdhxkhw/edit?usp=sharing"",""ชัยนาท!M146"")"),0)</f>
        <v>0</v>
      </c>
      <c r="G59" s="99">
        <f t="shared" ca="1" si="1"/>
        <v>0</v>
      </c>
      <c r="H59" s="131">
        <f t="shared" si="41"/>
        <v>13</v>
      </c>
      <c r="I59" s="55">
        <v>0</v>
      </c>
      <c r="J59" s="99">
        <f t="shared" si="3"/>
        <v>0</v>
      </c>
      <c r="K59" s="133">
        <v>13</v>
      </c>
      <c r="L59" s="55">
        <f ca="1">IFERROR(__xludf.DUMMYFUNCTION("IMPORTRANGE(""https://docs.google.com/spreadsheets/d/1SX6NBoVAgQJ6U1MVXOaj8PK2l7WJ3RER9xtqwdhxkhw/edit?usp=sharing"",""ชัยนาท!J155"")"),0)</f>
        <v>0</v>
      </c>
      <c r="M59" s="99">
        <f t="shared" ca="1" si="5"/>
        <v>0</v>
      </c>
      <c r="N59" s="131">
        <v>0</v>
      </c>
      <c r="O59" s="55">
        <v>0</v>
      </c>
      <c r="P59" s="99">
        <f t="shared" si="7"/>
        <v>0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 x14ac:dyDescent="0.5">
      <c r="A60" s="52">
        <v>6</v>
      </c>
      <c r="B60" s="53" t="s">
        <v>75</v>
      </c>
      <c r="C60" s="129">
        <f t="shared" si="40"/>
        <v>20210</v>
      </c>
      <c r="D60" s="99">
        <v>0</v>
      </c>
      <c r="E60" s="130">
        <v>20210</v>
      </c>
      <c r="F60" s="55">
        <f ca="1">IFERROR(__xludf.DUMMYFUNCTION("IMPORTRANGE(""https://docs.google.com/spreadsheets/d/1SX6NBoVAgQJ6U1MVXOaj8PK2l7WJ3RER9xtqwdhxkhw/edit?usp=sharing"",""ตราด!M146"")"),0)</f>
        <v>0</v>
      </c>
      <c r="G60" s="99">
        <f t="shared" ca="1" si="1"/>
        <v>0</v>
      </c>
      <c r="H60" s="131">
        <f t="shared" si="41"/>
        <v>14</v>
      </c>
      <c r="I60" s="55">
        <v>0</v>
      </c>
      <c r="J60" s="99">
        <f t="shared" si="3"/>
        <v>0</v>
      </c>
      <c r="K60" s="133">
        <v>14</v>
      </c>
      <c r="L60" s="55">
        <f ca="1">IFERROR(__xludf.DUMMYFUNCTION("IMPORTRANGE(""https://docs.google.com/spreadsheets/d/1SX6NBoVAgQJ6U1MVXOaj8PK2l7WJ3RER9xtqwdhxkhw/edit?usp=sharing"",""ตราด!J155"")"),0)</f>
        <v>0</v>
      </c>
      <c r="M60" s="99">
        <f t="shared" ca="1" si="5"/>
        <v>0</v>
      </c>
      <c r="N60" s="131">
        <v>0</v>
      </c>
      <c r="O60" s="55">
        <v>0</v>
      </c>
      <c r="P60" s="99">
        <f t="shared" si="7"/>
        <v>0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 x14ac:dyDescent="0.5">
      <c r="A61" s="52">
        <v>7</v>
      </c>
      <c r="B61" s="53" t="s">
        <v>76</v>
      </c>
      <c r="C61" s="129">
        <f t="shared" si="40"/>
        <v>0</v>
      </c>
      <c r="D61" s="99">
        <v>0</v>
      </c>
      <c r="E61" s="130">
        <v>0</v>
      </c>
      <c r="F61" s="55">
        <f ca="1">IFERROR(__xludf.DUMMYFUNCTION("IMPORTRANGE(""https://docs.google.com/spreadsheets/d/1SX6NBoVAgQJ6U1MVXOaj8PK2l7WJ3RER9xtqwdhxkhw/edit?usp=sharing"",""นครนายก!M146"")"),0)</f>
        <v>0</v>
      </c>
      <c r="G61" s="99">
        <f t="shared" si="1"/>
        <v>0</v>
      </c>
      <c r="H61" s="131">
        <f t="shared" si="41"/>
        <v>0</v>
      </c>
      <c r="I61" s="55">
        <v>0</v>
      </c>
      <c r="J61" s="99">
        <f t="shared" si="3"/>
        <v>0</v>
      </c>
      <c r="K61" s="131">
        <v>0</v>
      </c>
      <c r="L61" s="55">
        <f ca="1">IFERROR(__xludf.DUMMYFUNCTION("IMPORTRANGE(""https://docs.google.com/spreadsheets/d/1SX6NBoVAgQJ6U1MVXOaj8PK2l7WJ3RER9xtqwdhxkhw/edit?usp=sharing"",""นครนายก!J155"")"),0)</f>
        <v>0</v>
      </c>
      <c r="M61" s="99">
        <f t="shared" si="5"/>
        <v>0</v>
      </c>
      <c r="N61" s="131">
        <v>0</v>
      </c>
      <c r="O61" s="55">
        <v>0</v>
      </c>
      <c r="P61" s="99">
        <f t="shared" si="7"/>
        <v>0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 x14ac:dyDescent="0.5">
      <c r="A62" s="52">
        <v>8</v>
      </c>
      <c r="B62" s="53" t="s">
        <v>77</v>
      </c>
      <c r="C62" s="129">
        <f t="shared" si="40"/>
        <v>19295</v>
      </c>
      <c r="D62" s="99">
        <v>0</v>
      </c>
      <c r="E62" s="130">
        <v>19295</v>
      </c>
      <c r="F62" s="55">
        <f ca="1">IFERROR(__xludf.DUMMYFUNCTION("IMPORTRANGE(""https://docs.google.com/spreadsheets/d/1SX6NBoVAgQJ6U1MVXOaj8PK2l7WJ3RER9xtqwdhxkhw/edit?usp=sharing"",""นครปฐม!M146"")"),0)</f>
        <v>0</v>
      </c>
      <c r="G62" s="99">
        <f t="shared" ca="1" si="1"/>
        <v>0</v>
      </c>
      <c r="H62" s="131">
        <f t="shared" si="41"/>
        <v>13</v>
      </c>
      <c r="I62" s="55">
        <v>0</v>
      </c>
      <c r="J62" s="99">
        <f t="shared" si="3"/>
        <v>0</v>
      </c>
      <c r="K62" s="133">
        <v>13</v>
      </c>
      <c r="L62" s="55">
        <f ca="1">IFERROR(__xludf.DUMMYFUNCTION("IMPORTRANGE(""https://docs.google.com/spreadsheets/d/1SX6NBoVAgQJ6U1MVXOaj8PK2l7WJ3RER9xtqwdhxkhw/edit?usp=sharing"",""นครปฐม!J155"")"),0)</f>
        <v>0</v>
      </c>
      <c r="M62" s="99">
        <f t="shared" ca="1" si="5"/>
        <v>0</v>
      </c>
      <c r="N62" s="131">
        <v>0</v>
      </c>
      <c r="O62" s="55">
        <v>0</v>
      </c>
      <c r="P62" s="99">
        <f t="shared" si="7"/>
        <v>0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 x14ac:dyDescent="0.5">
      <c r="A63" s="52">
        <v>9</v>
      </c>
      <c r="B63" s="53" t="s">
        <v>78</v>
      </c>
      <c r="C63" s="129">
        <f t="shared" si="40"/>
        <v>21125</v>
      </c>
      <c r="D63" s="99">
        <v>0</v>
      </c>
      <c r="E63" s="130">
        <v>21125</v>
      </c>
      <c r="F63" s="55">
        <f ca="1">IFERROR(__xludf.DUMMYFUNCTION("IMPORTRANGE(""https://docs.google.com/spreadsheets/d/1SX6NBoVAgQJ6U1MVXOaj8PK2l7WJ3RER9xtqwdhxkhw/edit?usp=sharing"",""ปทุมธานี!M146"")"),21125)</f>
        <v>21125</v>
      </c>
      <c r="G63" s="99">
        <f t="shared" ca="1" si="1"/>
        <v>100</v>
      </c>
      <c r="H63" s="131">
        <f t="shared" si="41"/>
        <v>15</v>
      </c>
      <c r="I63" s="55">
        <v>0</v>
      </c>
      <c r="J63" s="99">
        <f t="shared" si="3"/>
        <v>0</v>
      </c>
      <c r="K63" s="133">
        <v>15</v>
      </c>
      <c r="L63" s="55">
        <f ca="1">IFERROR(__xludf.DUMMYFUNCTION("IMPORTRANGE(""https://docs.google.com/spreadsheets/d/1SX6NBoVAgQJ6U1MVXOaj8PK2l7WJ3RER9xtqwdhxkhw/edit?usp=sharing"",""ปทุมธานี!J155"")"),15)</f>
        <v>15</v>
      </c>
      <c r="M63" s="99">
        <f t="shared" ca="1" si="5"/>
        <v>100</v>
      </c>
      <c r="N63" s="131">
        <v>0</v>
      </c>
      <c r="O63" s="55">
        <v>0</v>
      </c>
      <c r="P63" s="99">
        <f t="shared" si="7"/>
        <v>0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 x14ac:dyDescent="0.5">
      <c r="A64" s="52">
        <v>10</v>
      </c>
      <c r="B64" s="53" t="s">
        <v>79</v>
      </c>
      <c r="C64" s="129">
        <f t="shared" si="40"/>
        <v>20210</v>
      </c>
      <c r="D64" s="99">
        <v>0</v>
      </c>
      <c r="E64" s="130">
        <v>20210</v>
      </c>
      <c r="F64" s="55">
        <f ca="1">IFERROR(__xludf.DUMMYFUNCTION("IMPORTRANGE(""https://docs.google.com/spreadsheets/d/1SX6NBoVAgQJ6U1MVXOaj8PK2l7WJ3RER9xtqwdhxkhw/edit?usp=sharing"",""ประจวบคีรีขันธ์!M146"")"),0)</f>
        <v>0</v>
      </c>
      <c r="G64" s="99">
        <f t="shared" ca="1" si="1"/>
        <v>0</v>
      </c>
      <c r="H64" s="131">
        <f t="shared" si="41"/>
        <v>14</v>
      </c>
      <c r="I64" s="55">
        <v>0</v>
      </c>
      <c r="J64" s="99">
        <f t="shared" si="3"/>
        <v>0</v>
      </c>
      <c r="K64" s="133">
        <v>14</v>
      </c>
      <c r="L64" s="55">
        <f ca="1">IFERROR(__xludf.DUMMYFUNCTION("IMPORTRANGE(""https://docs.google.com/spreadsheets/d/1SX6NBoVAgQJ6U1MVXOaj8PK2l7WJ3RER9xtqwdhxkhw/edit?usp=sharing"",""ประจวบคีรีขันธ์!J155"")"),0)</f>
        <v>0</v>
      </c>
      <c r="M64" s="99">
        <f t="shared" ca="1" si="5"/>
        <v>0</v>
      </c>
      <c r="N64" s="131">
        <v>0</v>
      </c>
      <c r="O64" s="55">
        <v>0</v>
      </c>
      <c r="P64" s="99">
        <f t="shared" si="7"/>
        <v>0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 x14ac:dyDescent="0.5">
      <c r="A65" s="52">
        <v>11</v>
      </c>
      <c r="B65" s="53" t="s">
        <v>80</v>
      </c>
      <c r="C65" s="129">
        <f t="shared" si="40"/>
        <v>21125</v>
      </c>
      <c r="D65" s="99">
        <v>0</v>
      </c>
      <c r="E65" s="130">
        <v>21125</v>
      </c>
      <c r="F65" s="55">
        <f ca="1">IFERROR(__xludf.DUMMYFUNCTION("IMPORTRANGE(""https://docs.google.com/spreadsheets/d/1SX6NBoVAgQJ6U1MVXOaj8PK2l7WJ3RER9xtqwdhxkhw/edit?usp=sharing"",""ปราจีนบุรี!M146"")"),0)</f>
        <v>0</v>
      </c>
      <c r="G65" s="99">
        <f t="shared" ca="1" si="1"/>
        <v>0</v>
      </c>
      <c r="H65" s="131">
        <f t="shared" si="41"/>
        <v>15</v>
      </c>
      <c r="I65" s="55">
        <v>0</v>
      </c>
      <c r="J65" s="99">
        <f t="shared" si="3"/>
        <v>0</v>
      </c>
      <c r="K65" s="133">
        <v>15</v>
      </c>
      <c r="L65" s="55">
        <f ca="1">IFERROR(__xludf.DUMMYFUNCTION("IMPORTRANGE(""https://docs.google.com/spreadsheets/d/1SX6NBoVAgQJ6U1MVXOaj8PK2l7WJ3RER9xtqwdhxkhw/edit?usp=sharing"",""ปราจีนบุรี!J155"")"),0)</f>
        <v>0</v>
      </c>
      <c r="M65" s="99">
        <f t="shared" ca="1" si="5"/>
        <v>0</v>
      </c>
      <c r="N65" s="131">
        <v>0</v>
      </c>
      <c r="O65" s="55">
        <v>0</v>
      </c>
      <c r="P65" s="99">
        <f t="shared" si="7"/>
        <v>0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 x14ac:dyDescent="0.5">
      <c r="A66" s="52">
        <v>12</v>
      </c>
      <c r="B66" s="53" t="s">
        <v>81</v>
      </c>
      <c r="C66" s="129">
        <f t="shared" si="40"/>
        <v>21125</v>
      </c>
      <c r="D66" s="99">
        <v>0</v>
      </c>
      <c r="E66" s="130">
        <v>21125</v>
      </c>
      <c r="F66" s="55">
        <f ca="1">IFERROR(__xludf.DUMMYFUNCTION("IMPORTRANGE(""https://docs.google.com/spreadsheets/d/1SX6NBoVAgQJ6U1MVXOaj8PK2l7WJ3RER9xtqwdhxkhw/edit?usp=sharing"",""พระนครศรีอยุธยา!M146"")"),0)</f>
        <v>0</v>
      </c>
      <c r="G66" s="99">
        <f t="shared" ca="1" si="1"/>
        <v>0</v>
      </c>
      <c r="H66" s="131">
        <f t="shared" si="41"/>
        <v>15</v>
      </c>
      <c r="I66" s="55">
        <v>0</v>
      </c>
      <c r="J66" s="99">
        <f t="shared" si="3"/>
        <v>0</v>
      </c>
      <c r="K66" s="133">
        <v>15</v>
      </c>
      <c r="L66" s="55">
        <f ca="1">IFERROR(__xludf.DUMMYFUNCTION("IMPORTRANGE(""https://docs.google.com/spreadsheets/d/1SX6NBoVAgQJ6U1MVXOaj8PK2l7WJ3RER9xtqwdhxkhw/edit?usp=sharing"",""พระนครศรีอยุธยา!J155"")"),0)</f>
        <v>0</v>
      </c>
      <c r="M66" s="99">
        <f t="shared" ca="1" si="5"/>
        <v>0</v>
      </c>
      <c r="N66" s="131">
        <v>0</v>
      </c>
      <c r="O66" s="55">
        <v>0</v>
      </c>
      <c r="P66" s="99">
        <f t="shared" si="7"/>
        <v>0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 x14ac:dyDescent="0.5">
      <c r="A67" s="52">
        <v>13</v>
      </c>
      <c r="B67" s="53" t="s">
        <v>82</v>
      </c>
      <c r="C67" s="129">
        <f t="shared" si="40"/>
        <v>21125</v>
      </c>
      <c r="D67" s="99">
        <v>0</v>
      </c>
      <c r="E67" s="130">
        <v>21125</v>
      </c>
      <c r="F67" s="55">
        <f ca="1">IFERROR(__xludf.DUMMYFUNCTION("IMPORTRANGE(""https://docs.google.com/spreadsheets/d/1SX6NBoVAgQJ6U1MVXOaj8PK2l7WJ3RER9xtqwdhxkhw/edit?usp=sharing"",""เพชรบุรี!M146"")"),0)</f>
        <v>0</v>
      </c>
      <c r="G67" s="99">
        <f t="shared" ca="1" si="1"/>
        <v>0</v>
      </c>
      <c r="H67" s="131">
        <f t="shared" si="41"/>
        <v>15</v>
      </c>
      <c r="I67" s="55">
        <v>0</v>
      </c>
      <c r="J67" s="99">
        <f t="shared" si="3"/>
        <v>0</v>
      </c>
      <c r="K67" s="133">
        <v>15</v>
      </c>
      <c r="L67" s="55">
        <f ca="1">IFERROR(__xludf.DUMMYFUNCTION("IMPORTRANGE(""https://docs.google.com/spreadsheets/d/1SX6NBoVAgQJ6U1MVXOaj8PK2l7WJ3RER9xtqwdhxkhw/edit?usp=sharing"",""เพชรบุรี!J155"")"),0)</f>
        <v>0</v>
      </c>
      <c r="M67" s="99">
        <f t="shared" ca="1" si="5"/>
        <v>0</v>
      </c>
      <c r="N67" s="131">
        <v>0</v>
      </c>
      <c r="O67" s="55">
        <v>0</v>
      </c>
      <c r="P67" s="99">
        <f t="shared" si="7"/>
        <v>0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 x14ac:dyDescent="0.5">
      <c r="A68" s="52">
        <v>14</v>
      </c>
      <c r="B68" s="53" t="s">
        <v>83</v>
      </c>
      <c r="C68" s="129">
        <f t="shared" si="40"/>
        <v>21125</v>
      </c>
      <c r="D68" s="99">
        <v>0</v>
      </c>
      <c r="E68" s="130">
        <v>21125</v>
      </c>
      <c r="F68" s="55">
        <f ca="1">IFERROR(__xludf.DUMMYFUNCTION("IMPORTRANGE(""https://docs.google.com/spreadsheets/d/1SX6NBoVAgQJ6U1MVXOaj8PK2l7WJ3RER9xtqwdhxkhw/edit?usp=sharing"",""ระยอง!M146"")"),0)</f>
        <v>0</v>
      </c>
      <c r="G68" s="99">
        <f t="shared" ca="1" si="1"/>
        <v>0</v>
      </c>
      <c r="H68" s="131">
        <f t="shared" si="41"/>
        <v>15</v>
      </c>
      <c r="I68" s="55">
        <v>0</v>
      </c>
      <c r="J68" s="99">
        <f t="shared" si="3"/>
        <v>0</v>
      </c>
      <c r="K68" s="133">
        <v>15</v>
      </c>
      <c r="L68" s="55">
        <f ca="1">IFERROR(__xludf.DUMMYFUNCTION("IMPORTRANGE(""https://docs.google.com/spreadsheets/d/1SX6NBoVAgQJ6U1MVXOaj8PK2l7WJ3RER9xtqwdhxkhw/edit?usp=sharing"",""ระยอง!J155"")"),0)</f>
        <v>0</v>
      </c>
      <c r="M68" s="99">
        <f t="shared" ca="1" si="5"/>
        <v>0</v>
      </c>
      <c r="N68" s="131">
        <v>0</v>
      </c>
      <c r="O68" s="55">
        <v>0</v>
      </c>
      <c r="P68" s="99">
        <f t="shared" si="7"/>
        <v>0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 x14ac:dyDescent="0.5">
      <c r="A69" s="52">
        <v>15</v>
      </c>
      <c r="B69" s="53" t="s">
        <v>84</v>
      </c>
      <c r="C69" s="129">
        <f t="shared" si="40"/>
        <v>21125</v>
      </c>
      <c r="D69" s="99">
        <v>0</v>
      </c>
      <c r="E69" s="130">
        <v>21125</v>
      </c>
      <c r="F69" s="55">
        <f ca="1">IFERROR(__xludf.DUMMYFUNCTION("IMPORTRANGE(""https://docs.google.com/spreadsheets/d/1SX6NBoVAgQJ6U1MVXOaj8PK2l7WJ3RER9xtqwdhxkhw/edit?usp=sharing"",""ราชบุรี!M146"")"),0)</f>
        <v>0</v>
      </c>
      <c r="G69" s="99">
        <f t="shared" ca="1" si="1"/>
        <v>0</v>
      </c>
      <c r="H69" s="131">
        <f t="shared" si="41"/>
        <v>15</v>
      </c>
      <c r="I69" s="55">
        <v>0</v>
      </c>
      <c r="J69" s="99">
        <f t="shared" si="3"/>
        <v>0</v>
      </c>
      <c r="K69" s="133">
        <v>15</v>
      </c>
      <c r="L69" s="55">
        <f ca="1">IFERROR(__xludf.DUMMYFUNCTION("IMPORTRANGE(""https://docs.google.com/spreadsheets/d/1SX6NBoVAgQJ6U1MVXOaj8PK2l7WJ3RER9xtqwdhxkhw/edit?usp=sharing"",""ราชบุรี!J155"")"),0)</f>
        <v>0</v>
      </c>
      <c r="M69" s="99">
        <f t="shared" ca="1" si="5"/>
        <v>0</v>
      </c>
      <c r="N69" s="131">
        <v>0</v>
      </c>
      <c r="O69" s="55">
        <v>0</v>
      </c>
      <c r="P69" s="99">
        <f t="shared" si="7"/>
        <v>0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 x14ac:dyDescent="0.5">
      <c r="A70" s="52">
        <v>16</v>
      </c>
      <c r="B70" s="53" t="s">
        <v>85</v>
      </c>
      <c r="C70" s="129">
        <f t="shared" si="40"/>
        <v>21125</v>
      </c>
      <c r="D70" s="99">
        <v>0</v>
      </c>
      <c r="E70" s="130">
        <v>21125</v>
      </c>
      <c r="F70" s="55">
        <f ca="1">IFERROR(__xludf.DUMMYFUNCTION("IMPORTRANGE(""https://docs.google.com/spreadsheets/d/1SX6NBoVAgQJ6U1MVXOaj8PK2l7WJ3RER9xtqwdhxkhw/edit?usp=sharing"",""ลพบุรี!M146"")"),0)</f>
        <v>0</v>
      </c>
      <c r="G70" s="99">
        <f t="shared" ca="1" si="1"/>
        <v>0</v>
      </c>
      <c r="H70" s="131">
        <f t="shared" si="41"/>
        <v>15</v>
      </c>
      <c r="I70" s="55">
        <v>0</v>
      </c>
      <c r="J70" s="99">
        <f t="shared" si="3"/>
        <v>0</v>
      </c>
      <c r="K70" s="133">
        <v>15</v>
      </c>
      <c r="L70" s="55">
        <f ca="1">IFERROR(__xludf.DUMMYFUNCTION("IMPORTRANGE(""https://docs.google.com/spreadsheets/d/1SX6NBoVAgQJ6U1MVXOaj8PK2l7WJ3RER9xtqwdhxkhw/edit?usp=sharing"",""ลพบุรี!J155"")"),0)</f>
        <v>0</v>
      </c>
      <c r="M70" s="99">
        <f t="shared" ca="1" si="5"/>
        <v>0</v>
      </c>
      <c r="N70" s="131">
        <v>0</v>
      </c>
      <c r="O70" s="55">
        <v>0</v>
      </c>
      <c r="P70" s="99">
        <f t="shared" si="7"/>
        <v>0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 x14ac:dyDescent="0.5">
      <c r="A71" s="52">
        <v>17</v>
      </c>
      <c r="B71" s="53" t="s">
        <v>86</v>
      </c>
      <c r="C71" s="129">
        <f t="shared" si="40"/>
        <v>19295</v>
      </c>
      <c r="D71" s="99">
        <v>0</v>
      </c>
      <c r="E71" s="130">
        <v>19295</v>
      </c>
      <c r="F71" s="55">
        <f ca="1">IFERROR(__xludf.DUMMYFUNCTION("IMPORTRANGE(""https://docs.google.com/spreadsheets/d/1SX6NBoVAgQJ6U1MVXOaj8PK2l7WJ3RER9xtqwdhxkhw/edit?usp=sharing"",""สระแก้ว!M146"")"),0)</f>
        <v>0</v>
      </c>
      <c r="G71" s="99">
        <f t="shared" ca="1" si="1"/>
        <v>0</v>
      </c>
      <c r="H71" s="131">
        <f t="shared" si="41"/>
        <v>13</v>
      </c>
      <c r="I71" s="55">
        <v>0</v>
      </c>
      <c r="J71" s="99">
        <f t="shared" si="3"/>
        <v>0</v>
      </c>
      <c r="K71" s="133">
        <v>13</v>
      </c>
      <c r="L71" s="55">
        <f ca="1">IFERROR(__xludf.DUMMYFUNCTION("IMPORTRANGE(""https://docs.google.com/spreadsheets/d/1SX6NBoVAgQJ6U1MVXOaj8PK2l7WJ3RER9xtqwdhxkhw/edit?usp=sharing"",""สระแก้ว!J155"")"),0)</f>
        <v>0</v>
      </c>
      <c r="M71" s="99">
        <f t="shared" ca="1" si="5"/>
        <v>0</v>
      </c>
      <c r="N71" s="131">
        <v>0</v>
      </c>
      <c r="O71" s="55">
        <v>0</v>
      </c>
      <c r="P71" s="99">
        <f t="shared" si="7"/>
        <v>0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 x14ac:dyDescent="0.5">
      <c r="A72" s="52">
        <v>18</v>
      </c>
      <c r="B72" s="53" t="s">
        <v>87</v>
      </c>
      <c r="C72" s="129">
        <f t="shared" si="40"/>
        <v>20210</v>
      </c>
      <c r="D72" s="99">
        <v>0</v>
      </c>
      <c r="E72" s="130">
        <v>20210</v>
      </c>
      <c r="F72" s="55">
        <f ca="1">IFERROR(__xludf.DUMMYFUNCTION("IMPORTRANGE(""https://docs.google.com/spreadsheets/d/1SX6NBoVAgQJ6U1MVXOaj8PK2l7WJ3RER9xtqwdhxkhw/edit?usp=sharing"",""สระบุรี!M146"")"),0)</f>
        <v>0</v>
      </c>
      <c r="G72" s="99">
        <f t="shared" ca="1" si="1"/>
        <v>0</v>
      </c>
      <c r="H72" s="131">
        <f t="shared" si="41"/>
        <v>14</v>
      </c>
      <c r="I72" s="55">
        <v>0</v>
      </c>
      <c r="J72" s="99">
        <f t="shared" si="3"/>
        <v>0</v>
      </c>
      <c r="K72" s="133">
        <v>14</v>
      </c>
      <c r="L72" s="55">
        <f ca="1">IFERROR(__xludf.DUMMYFUNCTION("IMPORTRANGE(""https://docs.google.com/spreadsheets/d/1SX6NBoVAgQJ6U1MVXOaj8PK2l7WJ3RER9xtqwdhxkhw/edit?usp=sharing"",""สระบุรี!J155"")"),0)</f>
        <v>0</v>
      </c>
      <c r="M72" s="99">
        <f t="shared" ca="1" si="5"/>
        <v>0</v>
      </c>
      <c r="N72" s="131">
        <v>0</v>
      </c>
      <c r="O72" s="55">
        <v>0</v>
      </c>
      <c r="P72" s="99">
        <f t="shared" si="7"/>
        <v>0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 x14ac:dyDescent="0.5">
      <c r="A73" s="52">
        <v>19</v>
      </c>
      <c r="B73" s="53" t="s">
        <v>88</v>
      </c>
      <c r="C73" s="129">
        <f t="shared" si="40"/>
        <v>19295</v>
      </c>
      <c r="D73" s="99">
        <v>0</v>
      </c>
      <c r="E73" s="130">
        <v>19295</v>
      </c>
      <c r="F73" s="55">
        <f ca="1">IFERROR(__xludf.DUMMYFUNCTION("IMPORTRANGE(""https://docs.google.com/spreadsheets/d/1SX6NBoVAgQJ6U1MVXOaj8PK2l7WJ3RER9xtqwdhxkhw/edit?usp=sharing"",""สิงห์บุรี!M146"")"),0)</f>
        <v>0</v>
      </c>
      <c r="G73" s="99">
        <f t="shared" ca="1" si="1"/>
        <v>0</v>
      </c>
      <c r="H73" s="131">
        <f t="shared" si="41"/>
        <v>13</v>
      </c>
      <c r="I73" s="55">
        <v>0</v>
      </c>
      <c r="J73" s="99">
        <f t="shared" si="3"/>
        <v>0</v>
      </c>
      <c r="K73" s="133">
        <v>13</v>
      </c>
      <c r="L73" s="55">
        <f ca="1">IFERROR(__xludf.DUMMYFUNCTION("IMPORTRANGE(""https://docs.google.com/spreadsheets/d/1SX6NBoVAgQJ6U1MVXOaj8PK2l7WJ3RER9xtqwdhxkhw/edit?usp=sharing"",""สิงห์บุรี!J155"")"),0)</f>
        <v>0</v>
      </c>
      <c r="M73" s="99">
        <f t="shared" ca="1" si="5"/>
        <v>0</v>
      </c>
      <c r="N73" s="131">
        <v>0</v>
      </c>
      <c r="O73" s="55">
        <v>0</v>
      </c>
      <c r="P73" s="99">
        <f t="shared" si="7"/>
        <v>0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 x14ac:dyDescent="0.5">
      <c r="A74" s="52">
        <v>20</v>
      </c>
      <c r="B74" s="53" t="s">
        <v>89</v>
      </c>
      <c r="C74" s="129">
        <f t="shared" si="40"/>
        <v>21125</v>
      </c>
      <c r="D74" s="99">
        <v>0</v>
      </c>
      <c r="E74" s="130">
        <v>21125</v>
      </c>
      <c r="F74" s="55">
        <f ca="1">IFERROR(__xludf.DUMMYFUNCTION("IMPORTRANGE(""https://docs.google.com/spreadsheets/d/1SX6NBoVAgQJ6U1MVXOaj8PK2l7WJ3RER9xtqwdhxkhw/edit?usp=sharing"",""สุพรรณบุรี!M146"")"),14040)</f>
        <v>14040</v>
      </c>
      <c r="G74" s="99">
        <f t="shared" ca="1" si="1"/>
        <v>66.461538461538467</v>
      </c>
      <c r="H74" s="131">
        <f t="shared" si="41"/>
        <v>15</v>
      </c>
      <c r="I74" s="55">
        <v>0</v>
      </c>
      <c r="J74" s="99">
        <f t="shared" si="3"/>
        <v>0</v>
      </c>
      <c r="K74" s="133">
        <v>15</v>
      </c>
      <c r="L74" s="55">
        <f ca="1">IFERROR(__xludf.DUMMYFUNCTION("IMPORTRANGE(""https://docs.google.com/spreadsheets/d/1SX6NBoVAgQJ6U1MVXOaj8PK2l7WJ3RER9xtqwdhxkhw/edit?usp=sharing"",""สุพรรณบุรี!J155"")"),0)</f>
        <v>0</v>
      </c>
      <c r="M74" s="99">
        <f t="shared" ca="1" si="5"/>
        <v>0</v>
      </c>
      <c r="N74" s="131">
        <v>0</v>
      </c>
      <c r="O74" s="55">
        <v>0</v>
      </c>
      <c r="P74" s="99">
        <f t="shared" si="7"/>
        <v>0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 x14ac:dyDescent="0.5">
      <c r="A75" s="59">
        <v>21</v>
      </c>
      <c r="B75" s="60" t="s">
        <v>90</v>
      </c>
      <c r="C75" s="134">
        <f t="shared" si="40"/>
        <v>0</v>
      </c>
      <c r="D75" s="100">
        <v>0</v>
      </c>
      <c r="E75" s="135">
        <v>0</v>
      </c>
      <c r="F75" s="62">
        <f ca="1">IFERROR(__xludf.DUMMYFUNCTION("IMPORTRANGE(""https://docs.google.com/spreadsheets/d/1SX6NBoVAgQJ6U1MVXOaj8PK2l7WJ3RER9xtqwdhxkhw/edit?usp=sharing"",""อ่างทอง!M146"")"),0)</f>
        <v>0</v>
      </c>
      <c r="G75" s="100">
        <f t="shared" si="1"/>
        <v>0</v>
      </c>
      <c r="H75" s="136">
        <f t="shared" si="41"/>
        <v>0</v>
      </c>
      <c r="I75" s="62">
        <v>0</v>
      </c>
      <c r="J75" s="100">
        <f t="shared" si="3"/>
        <v>0</v>
      </c>
      <c r="K75" s="136">
        <v>0</v>
      </c>
      <c r="L75" s="62">
        <f ca="1">IFERROR(__xludf.DUMMYFUNCTION("IMPORTRANGE(""https://docs.google.com/spreadsheets/d/1SX6NBoVAgQJ6U1MVXOaj8PK2l7WJ3RER9xtqwdhxkhw/edit?usp=sharing"",""อ่างทอง!J155"")"),0)</f>
        <v>0</v>
      </c>
      <c r="M75" s="100">
        <f t="shared" si="5"/>
        <v>0</v>
      </c>
      <c r="N75" s="136">
        <v>0</v>
      </c>
      <c r="O75" s="62">
        <v>0</v>
      </c>
      <c r="P75" s="100">
        <f t="shared" si="7"/>
        <v>0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 x14ac:dyDescent="0.5">
      <c r="A76" s="566" t="s">
        <v>91</v>
      </c>
      <c r="B76" s="571"/>
      <c r="C76" s="138">
        <f t="shared" ref="C76:F76" si="42">SUM(C77:C90)</f>
        <v>269135</v>
      </c>
      <c r="D76" s="101">
        <f t="shared" si="42"/>
        <v>0</v>
      </c>
      <c r="E76" s="138">
        <f t="shared" si="42"/>
        <v>269135</v>
      </c>
      <c r="F76" s="66">
        <f t="shared" ca="1" si="42"/>
        <v>0</v>
      </c>
      <c r="G76" s="101">
        <f t="shared" ca="1" si="1"/>
        <v>0</v>
      </c>
      <c r="H76" s="139">
        <f t="shared" ref="H76:I76" si="43">SUM(H77:H90)</f>
        <v>189</v>
      </c>
      <c r="I76" s="66">
        <f t="shared" si="43"/>
        <v>0</v>
      </c>
      <c r="J76" s="101">
        <f t="shared" si="3"/>
        <v>0</v>
      </c>
      <c r="K76" s="139">
        <f t="shared" ref="K76:L76" si="44">SUM(K77:K90)</f>
        <v>189</v>
      </c>
      <c r="L76" s="66">
        <f t="shared" ca="1" si="44"/>
        <v>0</v>
      </c>
      <c r="M76" s="101">
        <f t="shared" ca="1" si="5"/>
        <v>0</v>
      </c>
      <c r="N76" s="139">
        <f t="shared" ref="N76:O76" si="45">SUM(N77:N90)</f>
        <v>0</v>
      </c>
      <c r="O76" s="66">
        <f t="shared" si="45"/>
        <v>0</v>
      </c>
      <c r="P76" s="101">
        <f t="shared" si="7"/>
        <v>0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 x14ac:dyDescent="0.5">
      <c r="A77" s="45">
        <v>1</v>
      </c>
      <c r="B77" s="46" t="s">
        <v>92</v>
      </c>
      <c r="C77" s="125">
        <f t="shared" ref="C77:C90" si="46">+D77+E77</f>
        <v>19295</v>
      </c>
      <c r="D77" s="98">
        <v>0</v>
      </c>
      <c r="E77" s="126">
        <v>19295</v>
      </c>
      <c r="F77" s="48">
        <f ca="1">IFERROR(__xludf.DUMMYFUNCTION("IMPORTRANGE(""https://docs.google.com/spreadsheets/d/1IYY_tgx_IHuhSq3AJ5eI5OnqOPBNLWSHKh2a30DoXe8/edit?usp=sharing"",""กระบี่!M146"")"),0)</f>
        <v>0</v>
      </c>
      <c r="G77" s="98">
        <f t="shared" ca="1" si="1"/>
        <v>0</v>
      </c>
      <c r="H77" s="127">
        <f t="shared" ref="H77:H90" si="47">+K77+N77</f>
        <v>13</v>
      </c>
      <c r="I77" s="48">
        <v>0</v>
      </c>
      <c r="J77" s="98">
        <f t="shared" si="3"/>
        <v>0</v>
      </c>
      <c r="K77" s="140">
        <v>13</v>
      </c>
      <c r="L77" s="48">
        <f ca="1">IFERROR(__xludf.DUMMYFUNCTION("IMPORTRANGE(""https://docs.google.com/spreadsheets/d/1IYY_tgx_IHuhSq3AJ5eI5OnqOPBNLWSHKh2a30DoXe8/edit?usp=sharing"",""กระบี่!J155"")"),0)</f>
        <v>0</v>
      </c>
      <c r="M77" s="98">
        <f t="shared" ca="1" si="5"/>
        <v>0</v>
      </c>
      <c r="N77" s="127">
        <v>0</v>
      </c>
      <c r="O77" s="48">
        <v>0</v>
      </c>
      <c r="P77" s="98">
        <f t="shared" si="7"/>
        <v>0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 x14ac:dyDescent="0.5">
      <c r="A78" s="52">
        <v>2</v>
      </c>
      <c r="B78" s="53" t="s">
        <v>93</v>
      </c>
      <c r="C78" s="129">
        <f t="shared" si="46"/>
        <v>0</v>
      </c>
      <c r="D78" s="99">
        <v>0</v>
      </c>
      <c r="E78" s="130">
        <v>0</v>
      </c>
      <c r="F78" s="55">
        <f ca="1">IFERROR(__xludf.DUMMYFUNCTION("IMPORTRANGE(""https://docs.google.com/spreadsheets/d/1IYY_tgx_IHuhSq3AJ5eI5OnqOPBNLWSHKh2a30DoXe8/edit?usp=sharing"",""ชุมพร!M146"")"),0)</f>
        <v>0</v>
      </c>
      <c r="G78" s="99">
        <f t="shared" si="1"/>
        <v>0</v>
      </c>
      <c r="H78" s="131">
        <f t="shared" si="47"/>
        <v>0</v>
      </c>
      <c r="I78" s="55">
        <v>0</v>
      </c>
      <c r="J78" s="99">
        <f t="shared" si="3"/>
        <v>0</v>
      </c>
      <c r="K78" s="131">
        <v>0</v>
      </c>
      <c r="L78" s="55">
        <f ca="1">IFERROR(__xludf.DUMMYFUNCTION("IMPORTRANGE(""https://docs.google.com/spreadsheets/d/1IYY_tgx_IHuhSq3AJ5eI5OnqOPBNLWSHKh2a30DoXe8/edit?usp=sharing"",""ชุมพร!J155"")"),0)</f>
        <v>0</v>
      </c>
      <c r="M78" s="99">
        <f t="shared" si="5"/>
        <v>0</v>
      </c>
      <c r="N78" s="131">
        <v>0</v>
      </c>
      <c r="O78" s="55">
        <v>0</v>
      </c>
      <c r="P78" s="99">
        <f t="shared" si="7"/>
        <v>0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 x14ac:dyDescent="0.5">
      <c r="A79" s="52">
        <v>3</v>
      </c>
      <c r="B79" s="53" t="s">
        <v>94</v>
      </c>
      <c r="C79" s="129">
        <f t="shared" si="46"/>
        <v>21125</v>
      </c>
      <c r="D79" s="99">
        <v>0</v>
      </c>
      <c r="E79" s="130">
        <v>21125</v>
      </c>
      <c r="F79" s="55">
        <f ca="1">IFERROR(__xludf.DUMMYFUNCTION("IMPORTRANGE(""https://docs.google.com/spreadsheets/d/1IYY_tgx_IHuhSq3AJ5eI5OnqOPBNLWSHKh2a30DoXe8/edit?usp=sharing"",""ตรัง!M146"")"),0)</f>
        <v>0</v>
      </c>
      <c r="G79" s="99">
        <f t="shared" ca="1" si="1"/>
        <v>0</v>
      </c>
      <c r="H79" s="131">
        <f t="shared" si="47"/>
        <v>15</v>
      </c>
      <c r="I79" s="55">
        <v>0</v>
      </c>
      <c r="J79" s="99">
        <f t="shared" si="3"/>
        <v>0</v>
      </c>
      <c r="K79" s="133">
        <v>15</v>
      </c>
      <c r="L79" s="55">
        <f ca="1">IFERROR(__xludf.DUMMYFUNCTION("IMPORTRANGE(""https://docs.google.com/spreadsheets/d/1IYY_tgx_IHuhSq3AJ5eI5OnqOPBNLWSHKh2a30DoXe8/edit?usp=sharing"",""ตรัง!J155"")"),0)</f>
        <v>0</v>
      </c>
      <c r="M79" s="99">
        <f t="shared" ca="1" si="5"/>
        <v>0</v>
      </c>
      <c r="N79" s="131">
        <v>0</v>
      </c>
      <c r="O79" s="55">
        <v>0</v>
      </c>
      <c r="P79" s="99">
        <f t="shared" si="7"/>
        <v>0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 x14ac:dyDescent="0.5">
      <c r="A80" s="52">
        <v>4</v>
      </c>
      <c r="B80" s="53" t="s">
        <v>95</v>
      </c>
      <c r="C80" s="129">
        <f t="shared" si="46"/>
        <v>21125</v>
      </c>
      <c r="D80" s="99">
        <v>0</v>
      </c>
      <c r="E80" s="130">
        <v>21125</v>
      </c>
      <c r="F80" s="55">
        <f ca="1">IFERROR(__xludf.DUMMYFUNCTION("IMPORTRANGE(""https://docs.google.com/spreadsheets/d/1IYY_tgx_IHuhSq3AJ5eI5OnqOPBNLWSHKh2a30DoXe8/edit?usp=sharing"",""นครศรีธรรมราช!M146"")"),0)</f>
        <v>0</v>
      </c>
      <c r="G80" s="99">
        <f t="shared" ca="1" si="1"/>
        <v>0</v>
      </c>
      <c r="H80" s="131">
        <f t="shared" si="47"/>
        <v>15</v>
      </c>
      <c r="I80" s="55">
        <v>0</v>
      </c>
      <c r="J80" s="99">
        <f t="shared" si="3"/>
        <v>0</v>
      </c>
      <c r="K80" s="133">
        <v>15</v>
      </c>
      <c r="L80" s="55">
        <f ca="1">IFERROR(__xludf.DUMMYFUNCTION("IMPORTRANGE(""https://docs.google.com/spreadsheets/d/1IYY_tgx_IHuhSq3AJ5eI5OnqOPBNLWSHKh2a30DoXe8/edit?usp=sharing"",""นครศรีธรรมราช!J155"")"),0)</f>
        <v>0</v>
      </c>
      <c r="M80" s="99">
        <f t="shared" ca="1" si="5"/>
        <v>0</v>
      </c>
      <c r="N80" s="131">
        <v>0</v>
      </c>
      <c r="O80" s="55">
        <v>0</v>
      </c>
      <c r="P80" s="99">
        <f t="shared" si="7"/>
        <v>0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 x14ac:dyDescent="0.5">
      <c r="A81" s="52">
        <v>5</v>
      </c>
      <c r="B81" s="53" t="s">
        <v>96</v>
      </c>
      <c r="C81" s="129">
        <f t="shared" si="46"/>
        <v>21125</v>
      </c>
      <c r="D81" s="99">
        <v>0</v>
      </c>
      <c r="E81" s="130">
        <v>21125</v>
      </c>
      <c r="F81" s="55">
        <f ca="1">IFERROR(__xludf.DUMMYFUNCTION("IMPORTRANGE(""https://docs.google.com/spreadsheets/d/1IYY_tgx_IHuhSq3AJ5eI5OnqOPBNLWSHKh2a30DoXe8/edit?usp=sharing"",""นราธิวาส!M146"")"),0)</f>
        <v>0</v>
      </c>
      <c r="G81" s="99">
        <f t="shared" ca="1" si="1"/>
        <v>0</v>
      </c>
      <c r="H81" s="131">
        <f t="shared" si="47"/>
        <v>15</v>
      </c>
      <c r="I81" s="55">
        <v>0</v>
      </c>
      <c r="J81" s="99">
        <f t="shared" si="3"/>
        <v>0</v>
      </c>
      <c r="K81" s="133">
        <v>15</v>
      </c>
      <c r="L81" s="55">
        <f ca="1">IFERROR(__xludf.DUMMYFUNCTION("IMPORTRANGE(""https://docs.google.com/spreadsheets/d/1IYY_tgx_IHuhSq3AJ5eI5OnqOPBNLWSHKh2a30DoXe8/edit?usp=sharing"",""นราธิวาส!J155"")"),0)</f>
        <v>0</v>
      </c>
      <c r="M81" s="99">
        <f t="shared" ca="1" si="5"/>
        <v>0</v>
      </c>
      <c r="N81" s="131">
        <v>0</v>
      </c>
      <c r="O81" s="55">
        <v>0</v>
      </c>
      <c r="P81" s="99">
        <f t="shared" si="7"/>
        <v>0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 x14ac:dyDescent="0.5">
      <c r="A82" s="52">
        <v>6</v>
      </c>
      <c r="B82" s="53" t="s">
        <v>97</v>
      </c>
      <c r="C82" s="129">
        <f t="shared" si="46"/>
        <v>21125</v>
      </c>
      <c r="D82" s="99">
        <v>0</v>
      </c>
      <c r="E82" s="130">
        <v>21125</v>
      </c>
      <c r="F82" s="55">
        <f ca="1">IFERROR(__xludf.DUMMYFUNCTION("IMPORTRANGE(""https://docs.google.com/spreadsheets/d/1IYY_tgx_IHuhSq3AJ5eI5OnqOPBNLWSHKh2a30DoXe8/edit?usp=sharing"",""ปัตตานี!M146"")"),0)</f>
        <v>0</v>
      </c>
      <c r="G82" s="99">
        <f t="shared" ca="1" si="1"/>
        <v>0</v>
      </c>
      <c r="H82" s="131">
        <f t="shared" si="47"/>
        <v>15</v>
      </c>
      <c r="I82" s="55">
        <v>0</v>
      </c>
      <c r="J82" s="99">
        <f t="shared" si="3"/>
        <v>0</v>
      </c>
      <c r="K82" s="133">
        <v>15</v>
      </c>
      <c r="L82" s="55">
        <f ca="1">IFERROR(__xludf.DUMMYFUNCTION("IMPORTRANGE(""https://docs.google.com/spreadsheets/d/1IYY_tgx_IHuhSq3AJ5eI5OnqOPBNLWSHKh2a30DoXe8/edit?usp=sharing"",""ปัตตานี!J155"")"),0)</f>
        <v>0</v>
      </c>
      <c r="M82" s="99">
        <f t="shared" ca="1" si="5"/>
        <v>0</v>
      </c>
      <c r="N82" s="131">
        <v>0</v>
      </c>
      <c r="O82" s="55">
        <v>0</v>
      </c>
      <c r="P82" s="99">
        <f t="shared" si="7"/>
        <v>0</v>
      </c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 x14ac:dyDescent="0.5">
      <c r="A83" s="52">
        <v>7</v>
      </c>
      <c r="B83" s="53" t="s">
        <v>98</v>
      </c>
      <c r="C83" s="129">
        <f t="shared" si="46"/>
        <v>21125</v>
      </c>
      <c r="D83" s="99">
        <v>0</v>
      </c>
      <c r="E83" s="130">
        <v>21125</v>
      </c>
      <c r="F83" s="55">
        <f ca="1">IFERROR(__xludf.DUMMYFUNCTION("IMPORTRANGE(""https://docs.google.com/spreadsheets/d/1IYY_tgx_IHuhSq3AJ5eI5OnqOPBNLWSHKh2a30DoXe8/edit?usp=sharing"",""พังงา!M146"")"),0)</f>
        <v>0</v>
      </c>
      <c r="G83" s="99">
        <f t="shared" ca="1" si="1"/>
        <v>0</v>
      </c>
      <c r="H83" s="131">
        <f t="shared" si="47"/>
        <v>15</v>
      </c>
      <c r="I83" s="55">
        <v>0</v>
      </c>
      <c r="J83" s="99">
        <f t="shared" si="3"/>
        <v>0</v>
      </c>
      <c r="K83" s="133">
        <v>15</v>
      </c>
      <c r="L83" s="55">
        <f ca="1">IFERROR(__xludf.DUMMYFUNCTION("IMPORTRANGE(""https://docs.google.com/spreadsheets/d/1IYY_tgx_IHuhSq3AJ5eI5OnqOPBNLWSHKh2a30DoXe8/edit?usp=sharing"",""พังงา!J155"")"),0)</f>
        <v>0</v>
      </c>
      <c r="M83" s="99">
        <f t="shared" ca="1" si="5"/>
        <v>0</v>
      </c>
      <c r="N83" s="131">
        <v>0</v>
      </c>
      <c r="O83" s="55">
        <v>0</v>
      </c>
      <c r="P83" s="99">
        <f t="shared" si="7"/>
        <v>0</v>
      </c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 x14ac:dyDescent="0.5">
      <c r="A84" s="52">
        <v>8</v>
      </c>
      <c r="B84" s="53" t="s">
        <v>99</v>
      </c>
      <c r="C84" s="129">
        <f t="shared" si="46"/>
        <v>19295</v>
      </c>
      <c r="D84" s="99">
        <v>0</v>
      </c>
      <c r="E84" s="130">
        <v>19295</v>
      </c>
      <c r="F84" s="55">
        <f ca="1">IFERROR(__xludf.DUMMYFUNCTION("IMPORTRANGE(""https://docs.google.com/spreadsheets/d/1IYY_tgx_IHuhSq3AJ5eI5OnqOPBNLWSHKh2a30DoXe8/edit?usp=sharing"",""พัทลุง!M146"")"),0)</f>
        <v>0</v>
      </c>
      <c r="G84" s="99">
        <f t="shared" ca="1" si="1"/>
        <v>0</v>
      </c>
      <c r="H84" s="131">
        <f t="shared" si="47"/>
        <v>13</v>
      </c>
      <c r="I84" s="55">
        <v>0</v>
      </c>
      <c r="J84" s="99">
        <f t="shared" si="3"/>
        <v>0</v>
      </c>
      <c r="K84" s="133">
        <v>13</v>
      </c>
      <c r="L84" s="55">
        <f ca="1">IFERROR(__xludf.DUMMYFUNCTION("IMPORTRANGE(""https://docs.google.com/spreadsheets/d/1IYY_tgx_IHuhSq3AJ5eI5OnqOPBNLWSHKh2a30DoXe8/edit?usp=sharing"",""พัทลุง!J155"")"),0)</f>
        <v>0</v>
      </c>
      <c r="M84" s="99">
        <f t="shared" ca="1" si="5"/>
        <v>0</v>
      </c>
      <c r="N84" s="131">
        <v>0</v>
      </c>
      <c r="O84" s="55">
        <v>0</v>
      </c>
      <c r="P84" s="99">
        <f t="shared" si="7"/>
        <v>0</v>
      </c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 x14ac:dyDescent="0.5">
      <c r="A85" s="52">
        <v>9</v>
      </c>
      <c r="B85" s="53" t="s">
        <v>100</v>
      </c>
      <c r="C85" s="129">
        <f t="shared" si="46"/>
        <v>19295</v>
      </c>
      <c r="D85" s="99">
        <v>0</v>
      </c>
      <c r="E85" s="130">
        <v>19295</v>
      </c>
      <c r="F85" s="55">
        <f ca="1">IFERROR(__xludf.DUMMYFUNCTION("IMPORTRANGE(""https://docs.google.com/spreadsheets/d/1IYY_tgx_IHuhSq3AJ5eI5OnqOPBNLWSHKh2a30DoXe8/edit?usp=sharing"",""ภูเก็ต!M146"")"),0)</f>
        <v>0</v>
      </c>
      <c r="G85" s="99">
        <f t="shared" ca="1" si="1"/>
        <v>0</v>
      </c>
      <c r="H85" s="131">
        <f t="shared" si="47"/>
        <v>13</v>
      </c>
      <c r="I85" s="55"/>
      <c r="J85" s="99">
        <f t="shared" si="3"/>
        <v>0</v>
      </c>
      <c r="K85" s="131">
        <v>13</v>
      </c>
      <c r="L85" s="55">
        <f ca="1">IFERROR(__xludf.DUMMYFUNCTION("IMPORTRANGE(""https://docs.google.com/spreadsheets/d/1IYY_tgx_IHuhSq3AJ5eI5OnqOPBNLWSHKh2a30DoXe8/edit?usp=sharing"",""ภูเก็ต!J155"")"),0)</f>
        <v>0</v>
      </c>
      <c r="M85" s="99">
        <f t="shared" ca="1" si="5"/>
        <v>0</v>
      </c>
      <c r="N85" s="131">
        <v>0</v>
      </c>
      <c r="O85" s="55"/>
      <c r="P85" s="99">
        <f t="shared" si="7"/>
        <v>0</v>
      </c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 x14ac:dyDescent="0.5">
      <c r="A86" s="52">
        <v>10</v>
      </c>
      <c r="B86" s="53" t="s">
        <v>101</v>
      </c>
      <c r="C86" s="129">
        <f t="shared" si="46"/>
        <v>21125</v>
      </c>
      <c r="D86" s="99">
        <v>0</v>
      </c>
      <c r="E86" s="130">
        <v>21125</v>
      </c>
      <c r="F86" s="55">
        <f ca="1">IFERROR(__xludf.DUMMYFUNCTION("IMPORTRANGE(""https://docs.google.com/spreadsheets/d/1IYY_tgx_IHuhSq3AJ5eI5OnqOPBNLWSHKh2a30DoXe8/edit?usp=sharing"",""ยะลา!M146"")"),0)</f>
        <v>0</v>
      </c>
      <c r="G86" s="99">
        <f t="shared" ca="1" si="1"/>
        <v>0</v>
      </c>
      <c r="H86" s="131">
        <f t="shared" si="47"/>
        <v>15</v>
      </c>
      <c r="I86" s="55">
        <v>0</v>
      </c>
      <c r="J86" s="99">
        <f t="shared" si="3"/>
        <v>0</v>
      </c>
      <c r="K86" s="131">
        <v>15</v>
      </c>
      <c r="L86" s="55">
        <f ca="1">IFERROR(__xludf.DUMMYFUNCTION("IMPORTRANGE(""https://docs.google.com/spreadsheets/d/1IYY_tgx_IHuhSq3AJ5eI5OnqOPBNLWSHKh2a30DoXe8/edit?usp=sharing"",""ยะลา!J155"")"),0)</f>
        <v>0</v>
      </c>
      <c r="M86" s="99">
        <f t="shared" ca="1" si="5"/>
        <v>0</v>
      </c>
      <c r="N86" s="131">
        <v>0</v>
      </c>
      <c r="O86" s="55">
        <v>0</v>
      </c>
      <c r="P86" s="99">
        <f t="shared" si="7"/>
        <v>0</v>
      </c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 x14ac:dyDescent="0.5">
      <c r="A87" s="52">
        <v>11</v>
      </c>
      <c r="B87" s="53" t="s">
        <v>102</v>
      </c>
      <c r="C87" s="129">
        <f t="shared" si="46"/>
        <v>19295</v>
      </c>
      <c r="D87" s="99">
        <v>0</v>
      </c>
      <c r="E87" s="130">
        <v>19295</v>
      </c>
      <c r="F87" s="55">
        <f ca="1">IFERROR(__xludf.DUMMYFUNCTION("IMPORTRANGE(""https://docs.google.com/spreadsheets/d/1IYY_tgx_IHuhSq3AJ5eI5OnqOPBNLWSHKh2a30DoXe8/edit?usp=sharing"",""ระนอง!M146"")"),0)</f>
        <v>0</v>
      </c>
      <c r="G87" s="99">
        <f t="shared" ca="1" si="1"/>
        <v>0</v>
      </c>
      <c r="H87" s="131">
        <f t="shared" si="47"/>
        <v>13</v>
      </c>
      <c r="I87" s="55">
        <v>0</v>
      </c>
      <c r="J87" s="99">
        <f t="shared" si="3"/>
        <v>0</v>
      </c>
      <c r="K87" s="133">
        <v>13</v>
      </c>
      <c r="L87" s="55">
        <f ca="1">IFERROR(__xludf.DUMMYFUNCTION("IMPORTRANGE(""https://docs.google.com/spreadsheets/d/1IYY_tgx_IHuhSq3AJ5eI5OnqOPBNLWSHKh2a30DoXe8/edit?usp=sharing"",""ระนอง!J155"")"),0)</f>
        <v>0</v>
      </c>
      <c r="M87" s="99">
        <f t="shared" ca="1" si="5"/>
        <v>0</v>
      </c>
      <c r="N87" s="131">
        <v>0</v>
      </c>
      <c r="O87" s="55">
        <v>0</v>
      </c>
      <c r="P87" s="99">
        <f t="shared" si="7"/>
        <v>0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 x14ac:dyDescent="0.5">
      <c r="A88" s="52">
        <v>12</v>
      </c>
      <c r="B88" s="53" t="s">
        <v>103</v>
      </c>
      <c r="C88" s="129">
        <f t="shared" si="46"/>
        <v>21125</v>
      </c>
      <c r="D88" s="99">
        <v>0</v>
      </c>
      <c r="E88" s="130">
        <v>21125</v>
      </c>
      <c r="F88" s="55">
        <f ca="1">IFERROR(__xludf.DUMMYFUNCTION("IMPORTRANGE(""https://docs.google.com/spreadsheets/d/1IYY_tgx_IHuhSq3AJ5eI5OnqOPBNLWSHKh2a30DoXe8/edit?usp=sharing"",""สงขลา!M146"")"),0)</f>
        <v>0</v>
      </c>
      <c r="G88" s="99">
        <f t="shared" ca="1" si="1"/>
        <v>0</v>
      </c>
      <c r="H88" s="131">
        <f t="shared" si="47"/>
        <v>15</v>
      </c>
      <c r="I88" s="55">
        <v>0</v>
      </c>
      <c r="J88" s="99">
        <f t="shared" si="3"/>
        <v>0</v>
      </c>
      <c r="K88" s="133">
        <v>15</v>
      </c>
      <c r="L88" s="55">
        <f ca="1">IFERROR(__xludf.DUMMYFUNCTION("IMPORTRANGE(""https://docs.google.com/spreadsheets/d/1IYY_tgx_IHuhSq3AJ5eI5OnqOPBNLWSHKh2a30DoXe8/edit?usp=sharing"",""สงขลา!J155"")"),0)</f>
        <v>0</v>
      </c>
      <c r="M88" s="99">
        <f t="shared" ca="1" si="5"/>
        <v>0</v>
      </c>
      <c r="N88" s="131">
        <v>0</v>
      </c>
      <c r="O88" s="55">
        <v>0</v>
      </c>
      <c r="P88" s="99">
        <f t="shared" si="7"/>
        <v>0</v>
      </c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 x14ac:dyDescent="0.5">
      <c r="A89" s="52">
        <v>13</v>
      </c>
      <c r="B89" s="53" t="s">
        <v>104</v>
      </c>
      <c r="C89" s="129">
        <f t="shared" si="46"/>
        <v>23870</v>
      </c>
      <c r="D89" s="99">
        <v>0</v>
      </c>
      <c r="E89" s="130">
        <v>23870</v>
      </c>
      <c r="F89" s="55">
        <f ca="1">IFERROR(__xludf.DUMMYFUNCTION("IMPORTRANGE(""https://docs.google.com/spreadsheets/d/1IYY_tgx_IHuhSq3AJ5eI5OnqOPBNLWSHKh2a30DoXe8/edit?usp=sharing"",""สตูล!M146"")"),0)</f>
        <v>0</v>
      </c>
      <c r="G89" s="99">
        <f t="shared" ca="1" si="1"/>
        <v>0</v>
      </c>
      <c r="H89" s="131">
        <f t="shared" si="47"/>
        <v>18</v>
      </c>
      <c r="I89" s="55">
        <v>0</v>
      </c>
      <c r="J89" s="99">
        <f t="shared" si="3"/>
        <v>0</v>
      </c>
      <c r="K89" s="133">
        <v>18</v>
      </c>
      <c r="L89" s="55">
        <f ca="1">IFERROR(__xludf.DUMMYFUNCTION("IMPORTRANGE(""https://docs.google.com/spreadsheets/d/1IYY_tgx_IHuhSq3AJ5eI5OnqOPBNLWSHKh2a30DoXe8/edit?usp=sharing"",""สตูล!J155"")"),0)</f>
        <v>0</v>
      </c>
      <c r="M89" s="99">
        <f t="shared" ca="1" si="5"/>
        <v>0</v>
      </c>
      <c r="N89" s="131">
        <v>0</v>
      </c>
      <c r="O89" s="55">
        <v>0</v>
      </c>
      <c r="P89" s="99">
        <f t="shared" si="7"/>
        <v>0</v>
      </c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 x14ac:dyDescent="0.5">
      <c r="A90" s="59">
        <v>14</v>
      </c>
      <c r="B90" s="60" t="s">
        <v>105</v>
      </c>
      <c r="C90" s="134">
        <f t="shared" si="46"/>
        <v>20210</v>
      </c>
      <c r="D90" s="100">
        <v>0</v>
      </c>
      <c r="E90" s="135">
        <v>20210</v>
      </c>
      <c r="F90" s="62">
        <f ca="1">IFERROR(__xludf.DUMMYFUNCTION("IMPORTRANGE(""https://docs.google.com/spreadsheets/d/1IYY_tgx_IHuhSq3AJ5eI5OnqOPBNLWSHKh2a30DoXe8/edit?usp=sharing"",""สุราษฎร์ธานี!M146"")"),0)</f>
        <v>0</v>
      </c>
      <c r="G90" s="100">
        <f t="shared" ca="1" si="1"/>
        <v>0</v>
      </c>
      <c r="H90" s="136">
        <f t="shared" si="47"/>
        <v>14</v>
      </c>
      <c r="I90" s="62">
        <v>0</v>
      </c>
      <c r="J90" s="100">
        <f t="shared" si="3"/>
        <v>0</v>
      </c>
      <c r="K90" s="137">
        <v>14</v>
      </c>
      <c r="L90" s="62">
        <f ca="1">IFERROR(__xludf.DUMMYFUNCTION("IMPORTRANGE(""https://docs.google.com/spreadsheets/d/1IYY_tgx_IHuhSq3AJ5eI5OnqOPBNLWSHKh2a30DoXe8/edit?usp=sharing"",""สุราษฎร์ธานี!J155"")"),0)</f>
        <v>0</v>
      </c>
      <c r="M90" s="100">
        <f t="shared" ca="1" si="5"/>
        <v>0</v>
      </c>
      <c r="N90" s="136">
        <v>0</v>
      </c>
      <c r="O90" s="62">
        <v>0</v>
      </c>
      <c r="P90" s="100">
        <f t="shared" si="7"/>
        <v>0</v>
      </c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 x14ac:dyDescent="0.5">
      <c r="A91" s="572" t="s">
        <v>106</v>
      </c>
      <c r="B91" s="571"/>
      <c r="C91" s="119">
        <f t="shared" ref="C91:F91" si="48">+C92+C93+C94+C95+C96+C97+C98+C99+C100+C101+C102+C103+C104+C105</f>
        <v>17435300</v>
      </c>
      <c r="D91" s="92">
        <f t="shared" si="48"/>
        <v>0</v>
      </c>
      <c r="E91" s="119">
        <f t="shared" si="48"/>
        <v>17435300</v>
      </c>
      <c r="F91" s="35">
        <f t="shared" ca="1" si="48"/>
        <v>1124517</v>
      </c>
      <c r="G91" s="92">
        <f t="shared" ca="1" si="1"/>
        <v>6.4496567308850432</v>
      </c>
      <c r="H91" s="120">
        <f t="shared" ref="H91:I91" si="49">+H92+H93+H94+H95+H96+H97+H98+H99+H100+H101+H102+H103+H104+H105</f>
        <v>200</v>
      </c>
      <c r="I91" s="35">
        <f t="shared" si="49"/>
        <v>0</v>
      </c>
      <c r="J91" s="92">
        <f t="shared" si="3"/>
        <v>0</v>
      </c>
      <c r="K91" s="120">
        <f t="shared" ref="K91:L91" si="50">+K92+K93+K94+K95+K96+K97+K98+K99+K100+K101+K102+K103+K104+K105</f>
        <v>0</v>
      </c>
      <c r="L91" s="35">
        <f t="shared" si="50"/>
        <v>0</v>
      </c>
      <c r="M91" s="92">
        <f t="shared" si="5"/>
        <v>0</v>
      </c>
      <c r="N91" s="120">
        <f t="shared" ref="N91:O91" si="51">+N92+N93+N94+N95+N96+N97+N98+N99+N100+N101+N102+N103+N104+N105</f>
        <v>200</v>
      </c>
      <c r="O91" s="35">
        <f t="shared" si="51"/>
        <v>0</v>
      </c>
      <c r="P91" s="92">
        <f t="shared" si="7"/>
        <v>0</v>
      </c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 ht="24" customHeight="1" x14ac:dyDescent="0.5">
      <c r="A92" s="68">
        <v>1</v>
      </c>
      <c r="B92" s="69" t="s">
        <v>107</v>
      </c>
      <c r="C92" s="125">
        <f t="shared" ref="C92:C105" si="52">+D92+E92</f>
        <v>0</v>
      </c>
      <c r="D92" s="98">
        <v>0</v>
      </c>
      <c r="E92" s="126">
        <v>0</v>
      </c>
      <c r="F92" s="48">
        <f ca="1">IFERROR(__xludf.DUMMYFUNCTION("IMPORTRANGE(""https://docs.google.com/spreadsheets/d/1Yj_ptqi66GCucihVvJfMjLAmec39IyEx_6qawtMGysU/edit?usp=sharing"",""สบก!BT96"")"),0)</f>
        <v>0</v>
      </c>
      <c r="G92" s="98">
        <f t="shared" si="1"/>
        <v>0</v>
      </c>
      <c r="H92" s="127">
        <f t="shared" ref="H92:H105" si="53">+K92+N92</f>
        <v>0</v>
      </c>
      <c r="I92" s="48">
        <v>0</v>
      </c>
      <c r="J92" s="98">
        <f t="shared" si="3"/>
        <v>0</v>
      </c>
      <c r="K92" s="127">
        <v>0</v>
      </c>
      <c r="L92" s="48">
        <v>0</v>
      </c>
      <c r="M92" s="98">
        <f t="shared" si="5"/>
        <v>0</v>
      </c>
      <c r="N92" s="127">
        <v>0</v>
      </c>
      <c r="O92" s="48">
        <v>0</v>
      </c>
      <c r="P92" s="98">
        <f t="shared" si="7"/>
        <v>0</v>
      </c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 ht="24" customHeight="1" x14ac:dyDescent="0.5">
      <c r="A93" s="70">
        <v>2</v>
      </c>
      <c r="B93" s="71" t="s">
        <v>108</v>
      </c>
      <c r="C93" s="129">
        <f t="shared" si="52"/>
        <v>0</v>
      </c>
      <c r="D93" s="99">
        <v>0</v>
      </c>
      <c r="E93" s="130">
        <v>0</v>
      </c>
      <c r="F93" s="55">
        <f ca="1">IFERROR(__xludf.DUMMYFUNCTION("IMPORTRANGE(""https://docs.google.com/spreadsheets/d/1Yj_ptqi66GCucihVvJfMjLAmec39IyEx_6qawtMGysU/edit?usp=sharing"",""สบก!BT97"")"),0)</f>
        <v>0</v>
      </c>
      <c r="G93" s="99">
        <f t="shared" si="1"/>
        <v>0</v>
      </c>
      <c r="H93" s="131">
        <f t="shared" si="53"/>
        <v>0</v>
      </c>
      <c r="I93" s="55">
        <v>0</v>
      </c>
      <c r="J93" s="99">
        <f t="shared" si="3"/>
        <v>0</v>
      </c>
      <c r="K93" s="131">
        <v>0</v>
      </c>
      <c r="L93" s="55">
        <v>0</v>
      </c>
      <c r="M93" s="99">
        <f t="shared" si="5"/>
        <v>0</v>
      </c>
      <c r="N93" s="131">
        <v>0</v>
      </c>
      <c r="O93" s="55">
        <v>0</v>
      </c>
      <c r="P93" s="99">
        <f t="shared" si="7"/>
        <v>0</v>
      </c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 ht="24" customHeight="1" x14ac:dyDescent="0.5">
      <c r="A94" s="70">
        <v>3</v>
      </c>
      <c r="B94" s="71" t="s">
        <v>109</v>
      </c>
      <c r="C94" s="129">
        <f t="shared" si="52"/>
        <v>0</v>
      </c>
      <c r="D94" s="99">
        <v>0</v>
      </c>
      <c r="E94" s="130">
        <v>0</v>
      </c>
      <c r="F94" s="55">
        <f ca="1">IFERROR(__xludf.DUMMYFUNCTION("IMPORTRANGE(""https://docs.google.com/spreadsheets/d/1Yj_ptqi66GCucihVvJfMjLAmec39IyEx_6qawtMGysU/edit?usp=sharing"",""สบก!BT98"")"),124869)</f>
        <v>124869</v>
      </c>
      <c r="G94" s="99">
        <f t="shared" si="1"/>
        <v>0</v>
      </c>
      <c r="H94" s="131">
        <f t="shared" si="53"/>
        <v>0</v>
      </c>
      <c r="I94" s="55">
        <v>0</v>
      </c>
      <c r="J94" s="99">
        <f t="shared" si="3"/>
        <v>0</v>
      </c>
      <c r="K94" s="131">
        <v>0</v>
      </c>
      <c r="L94" s="55">
        <v>0</v>
      </c>
      <c r="M94" s="99">
        <f t="shared" si="5"/>
        <v>0</v>
      </c>
      <c r="N94" s="131">
        <v>0</v>
      </c>
      <c r="O94" s="55">
        <v>0</v>
      </c>
      <c r="P94" s="99">
        <f t="shared" si="7"/>
        <v>0</v>
      </c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 ht="24" customHeight="1" x14ac:dyDescent="0.5">
      <c r="A95" s="70">
        <f t="shared" ref="A95:A105" si="54">+A94+1</f>
        <v>4</v>
      </c>
      <c r="B95" s="71" t="s">
        <v>110</v>
      </c>
      <c r="C95" s="129">
        <f t="shared" si="52"/>
        <v>0</v>
      </c>
      <c r="D95" s="99">
        <v>0</v>
      </c>
      <c r="E95" s="130">
        <v>0</v>
      </c>
      <c r="F95" s="55">
        <f ca="1">IFERROR(__xludf.DUMMYFUNCTION("IMPORTRANGE(""https://docs.google.com/spreadsheets/d/1Yj_ptqi66GCucihVvJfMjLAmec39IyEx_6qawtMGysU/edit?usp=sharing"",""สบก!BT99"")"),0)</f>
        <v>0</v>
      </c>
      <c r="G95" s="99">
        <f t="shared" si="1"/>
        <v>0</v>
      </c>
      <c r="H95" s="131">
        <f t="shared" si="53"/>
        <v>0</v>
      </c>
      <c r="I95" s="55">
        <v>0</v>
      </c>
      <c r="J95" s="99">
        <f t="shared" si="3"/>
        <v>0</v>
      </c>
      <c r="K95" s="131">
        <v>0</v>
      </c>
      <c r="L95" s="55">
        <v>0</v>
      </c>
      <c r="M95" s="99">
        <f t="shared" si="5"/>
        <v>0</v>
      </c>
      <c r="N95" s="131">
        <v>0</v>
      </c>
      <c r="O95" s="55">
        <v>0</v>
      </c>
      <c r="P95" s="99">
        <f t="shared" si="7"/>
        <v>0</v>
      </c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 ht="24" customHeight="1" x14ac:dyDescent="0.5">
      <c r="A96" s="70">
        <f t="shared" si="54"/>
        <v>5</v>
      </c>
      <c r="B96" s="71" t="s">
        <v>111</v>
      </c>
      <c r="C96" s="129">
        <f t="shared" si="52"/>
        <v>0</v>
      </c>
      <c r="D96" s="99">
        <v>0</v>
      </c>
      <c r="E96" s="130">
        <v>0</v>
      </c>
      <c r="F96" s="55">
        <f ca="1">IFERROR(__xludf.DUMMYFUNCTION("IMPORTRANGE(""https://docs.google.com/spreadsheets/d/1Yj_ptqi66GCucihVvJfMjLAmec39IyEx_6qawtMGysU/edit?usp=sharing"",""สบก!BT100"")"),0)</f>
        <v>0</v>
      </c>
      <c r="G96" s="99">
        <f t="shared" si="1"/>
        <v>0</v>
      </c>
      <c r="H96" s="131">
        <f t="shared" si="53"/>
        <v>0</v>
      </c>
      <c r="I96" s="55">
        <v>0</v>
      </c>
      <c r="J96" s="99">
        <f t="shared" si="3"/>
        <v>0</v>
      </c>
      <c r="K96" s="131">
        <v>0</v>
      </c>
      <c r="L96" s="55">
        <v>0</v>
      </c>
      <c r="M96" s="99">
        <f t="shared" si="5"/>
        <v>0</v>
      </c>
      <c r="N96" s="131">
        <v>0</v>
      </c>
      <c r="O96" s="55">
        <v>0</v>
      </c>
      <c r="P96" s="99">
        <f t="shared" si="7"/>
        <v>0</v>
      </c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 ht="24" customHeight="1" x14ac:dyDescent="0.5">
      <c r="A97" s="70">
        <f t="shared" si="54"/>
        <v>6</v>
      </c>
      <c r="B97" s="71" t="s">
        <v>112</v>
      </c>
      <c r="C97" s="129">
        <f t="shared" si="52"/>
        <v>0</v>
      </c>
      <c r="D97" s="99">
        <v>0</v>
      </c>
      <c r="E97" s="130">
        <v>0</v>
      </c>
      <c r="F97" s="55">
        <f ca="1">IFERROR(__xludf.DUMMYFUNCTION("IMPORTRANGE(""https://docs.google.com/spreadsheets/d/1Yj_ptqi66GCucihVvJfMjLAmec39IyEx_6qawtMGysU/edit?usp=sharing"",""สบก!BT101"")"),0)</f>
        <v>0</v>
      </c>
      <c r="G97" s="99">
        <f t="shared" si="1"/>
        <v>0</v>
      </c>
      <c r="H97" s="131">
        <f t="shared" si="53"/>
        <v>0</v>
      </c>
      <c r="I97" s="55">
        <v>0</v>
      </c>
      <c r="J97" s="99">
        <f t="shared" si="3"/>
        <v>0</v>
      </c>
      <c r="K97" s="131">
        <v>0</v>
      </c>
      <c r="L97" s="55">
        <v>0</v>
      </c>
      <c r="M97" s="99">
        <f t="shared" si="5"/>
        <v>0</v>
      </c>
      <c r="N97" s="131">
        <v>0</v>
      </c>
      <c r="O97" s="55">
        <v>0</v>
      </c>
      <c r="P97" s="99">
        <f t="shared" si="7"/>
        <v>0</v>
      </c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 ht="24" customHeight="1" x14ac:dyDescent="0.5">
      <c r="A98" s="70">
        <f t="shared" si="54"/>
        <v>7</v>
      </c>
      <c r="B98" s="71" t="s">
        <v>113</v>
      </c>
      <c r="C98" s="129">
        <f t="shared" si="52"/>
        <v>0</v>
      </c>
      <c r="D98" s="99">
        <v>0</v>
      </c>
      <c r="E98" s="130">
        <v>0</v>
      </c>
      <c r="F98" s="55">
        <f ca="1">IFERROR(__xludf.DUMMYFUNCTION("IMPORTRANGE(""https://docs.google.com/spreadsheets/d/1Yj_ptqi66GCucihVvJfMjLAmec39IyEx_6qawtMGysU/edit?usp=sharing"",""สบก!BT102"")"),0)</f>
        <v>0</v>
      </c>
      <c r="G98" s="99">
        <f t="shared" si="1"/>
        <v>0</v>
      </c>
      <c r="H98" s="131">
        <f t="shared" si="53"/>
        <v>0</v>
      </c>
      <c r="I98" s="55">
        <v>0</v>
      </c>
      <c r="J98" s="99">
        <f t="shared" si="3"/>
        <v>0</v>
      </c>
      <c r="K98" s="131">
        <v>0</v>
      </c>
      <c r="L98" s="55">
        <v>0</v>
      </c>
      <c r="M98" s="99">
        <f t="shared" si="5"/>
        <v>0</v>
      </c>
      <c r="N98" s="131">
        <v>0</v>
      </c>
      <c r="O98" s="55">
        <v>0</v>
      </c>
      <c r="P98" s="99">
        <f t="shared" si="7"/>
        <v>0</v>
      </c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ht="24" customHeight="1" x14ac:dyDescent="0.5">
      <c r="A99" s="70">
        <f t="shared" si="54"/>
        <v>8</v>
      </c>
      <c r="B99" s="71" t="s">
        <v>114</v>
      </c>
      <c r="C99" s="129">
        <f t="shared" si="52"/>
        <v>0</v>
      </c>
      <c r="D99" s="99">
        <v>0</v>
      </c>
      <c r="E99" s="130">
        <v>0</v>
      </c>
      <c r="F99" s="55">
        <f ca="1">IFERROR(__xludf.DUMMYFUNCTION("IMPORTRANGE(""https://docs.google.com/spreadsheets/d/1Yj_ptqi66GCucihVvJfMjLAmec39IyEx_6qawtMGysU/edit?usp=sharing"",""สบก!BT103"")"),0)</f>
        <v>0</v>
      </c>
      <c r="G99" s="99">
        <f t="shared" si="1"/>
        <v>0</v>
      </c>
      <c r="H99" s="131">
        <f t="shared" si="53"/>
        <v>0</v>
      </c>
      <c r="I99" s="55">
        <v>0</v>
      </c>
      <c r="J99" s="99">
        <f t="shared" si="3"/>
        <v>0</v>
      </c>
      <c r="K99" s="131">
        <v>0</v>
      </c>
      <c r="L99" s="55">
        <v>0</v>
      </c>
      <c r="M99" s="99">
        <f t="shared" si="5"/>
        <v>0</v>
      </c>
      <c r="N99" s="131">
        <v>0</v>
      </c>
      <c r="O99" s="55">
        <v>0</v>
      </c>
      <c r="P99" s="99">
        <f t="shared" si="7"/>
        <v>0</v>
      </c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ht="24" customHeight="1" x14ac:dyDescent="0.5">
      <c r="A100" s="70">
        <f t="shared" si="54"/>
        <v>9</v>
      </c>
      <c r="B100" s="71" t="s">
        <v>115</v>
      </c>
      <c r="C100" s="129">
        <f t="shared" si="52"/>
        <v>0</v>
      </c>
      <c r="D100" s="99">
        <v>0</v>
      </c>
      <c r="E100" s="130">
        <v>0</v>
      </c>
      <c r="F100" s="55">
        <f ca="1">IFERROR(__xludf.DUMMYFUNCTION("IMPORTRANGE(""https://docs.google.com/spreadsheets/d/1Yj_ptqi66GCucihVvJfMjLAmec39IyEx_6qawtMGysU/edit?usp=sharing"",""สบก!BT104"")"),0)</f>
        <v>0</v>
      </c>
      <c r="G100" s="99">
        <f t="shared" si="1"/>
        <v>0</v>
      </c>
      <c r="H100" s="131">
        <f t="shared" si="53"/>
        <v>0</v>
      </c>
      <c r="I100" s="55">
        <v>0</v>
      </c>
      <c r="J100" s="99">
        <f t="shared" si="3"/>
        <v>0</v>
      </c>
      <c r="K100" s="131">
        <v>0</v>
      </c>
      <c r="L100" s="55">
        <v>0</v>
      </c>
      <c r="M100" s="99">
        <f t="shared" si="5"/>
        <v>0</v>
      </c>
      <c r="N100" s="131">
        <v>0</v>
      </c>
      <c r="O100" s="55">
        <v>0</v>
      </c>
      <c r="P100" s="99">
        <f t="shared" si="7"/>
        <v>0</v>
      </c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ht="24" customHeight="1" x14ac:dyDescent="0.5">
      <c r="A101" s="70">
        <f t="shared" si="54"/>
        <v>10</v>
      </c>
      <c r="B101" s="71" t="s">
        <v>116</v>
      </c>
      <c r="C101" s="129">
        <f t="shared" si="52"/>
        <v>0</v>
      </c>
      <c r="D101" s="99">
        <v>0</v>
      </c>
      <c r="E101" s="130">
        <v>0</v>
      </c>
      <c r="F101" s="55">
        <f ca="1">IFERROR(__xludf.DUMMYFUNCTION("IMPORTRANGE(""https://docs.google.com/spreadsheets/d/1Yj_ptqi66GCucihVvJfMjLAmec39IyEx_6qawtMGysU/edit?usp=sharing"",""สบก!BT105"")"),0)</f>
        <v>0</v>
      </c>
      <c r="G101" s="99">
        <f t="shared" si="1"/>
        <v>0</v>
      </c>
      <c r="H101" s="131">
        <f t="shared" si="53"/>
        <v>0</v>
      </c>
      <c r="I101" s="55">
        <v>0</v>
      </c>
      <c r="J101" s="99">
        <f t="shared" si="3"/>
        <v>0</v>
      </c>
      <c r="K101" s="131">
        <v>0</v>
      </c>
      <c r="L101" s="55">
        <v>0</v>
      </c>
      <c r="M101" s="99">
        <f t="shared" si="5"/>
        <v>0</v>
      </c>
      <c r="N101" s="131">
        <v>0</v>
      </c>
      <c r="O101" s="55">
        <v>0</v>
      </c>
      <c r="P101" s="99">
        <f t="shared" si="7"/>
        <v>0</v>
      </c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ht="24" customHeight="1" x14ac:dyDescent="0.5">
      <c r="A102" s="70">
        <f t="shared" si="54"/>
        <v>11</v>
      </c>
      <c r="B102" s="71" t="s">
        <v>117</v>
      </c>
      <c r="C102" s="129">
        <f t="shared" si="52"/>
        <v>0</v>
      </c>
      <c r="D102" s="99">
        <v>0</v>
      </c>
      <c r="E102" s="130">
        <v>0</v>
      </c>
      <c r="F102" s="55">
        <f ca="1">IFERROR(__xludf.DUMMYFUNCTION("IMPORTRANGE(""https://docs.google.com/spreadsheets/d/1Yj_ptqi66GCucihVvJfMjLAmec39IyEx_6qawtMGysU/edit?usp=sharing"",""สบก!BT106"")"),0)</f>
        <v>0</v>
      </c>
      <c r="G102" s="99">
        <f t="shared" si="1"/>
        <v>0</v>
      </c>
      <c r="H102" s="131">
        <f t="shared" si="53"/>
        <v>0</v>
      </c>
      <c r="I102" s="55">
        <v>0</v>
      </c>
      <c r="J102" s="99">
        <f t="shared" si="3"/>
        <v>0</v>
      </c>
      <c r="K102" s="131">
        <v>0</v>
      </c>
      <c r="L102" s="55">
        <v>0</v>
      </c>
      <c r="M102" s="99">
        <f t="shared" si="5"/>
        <v>0</v>
      </c>
      <c r="N102" s="131">
        <v>0</v>
      </c>
      <c r="O102" s="55">
        <v>0</v>
      </c>
      <c r="P102" s="99">
        <f t="shared" si="7"/>
        <v>0</v>
      </c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ht="24" customHeight="1" x14ac:dyDescent="0.5">
      <c r="A103" s="70">
        <f t="shared" si="54"/>
        <v>12</v>
      </c>
      <c r="B103" s="71" t="s">
        <v>118</v>
      </c>
      <c r="C103" s="129">
        <f t="shared" si="52"/>
        <v>0</v>
      </c>
      <c r="D103" s="99">
        <v>0</v>
      </c>
      <c r="E103" s="130">
        <v>0</v>
      </c>
      <c r="F103" s="55">
        <f ca="1">IFERROR(__xludf.DUMMYFUNCTION("IMPORTRANGE(""https://docs.google.com/spreadsheets/d/1Yj_ptqi66GCucihVvJfMjLAmec39IyEx_6qawtMGysU/edit?usp=sharing"",""สบก!BT107"")"),0)</f>
        <v>0</v>
      </c>
      <c r="G103" s="99">
        <f t="shared" si="1"/>
        <v>0</v>
      </c>
      <c r="H103" s="131">
        <f t="shared" si="53"/>
        <v>0</v>
      </c>
      <c r="I103" s="55">
        <v>0</v>
      </c>
      <c r="J103" s="99">
        <f t="shared" si="3"/>
        <v>0</v>
      </c>
      <c r="K103" s="131">
        <v>0</v>
      </c>
      <c r="L103" s="55">
        <v>0</v>
      </c>
      <c r="M103" s="99">
        <f t="shared" si="5"/>
        <v>0</v>
      </c>
      <c r="N103" s="131">
        <v>0</v>
      </c>
      <c r="O103" s="55">
        <v>0</v>
      </c>
      <c r="P103" s="99">
        <f t="shared" si="7"/>
        <v>0</v>
      </c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ht="24" customHeight="1" x14ac:dyDescent="0.5">
      <c r="A104" s="70">
        <f t="shared" si="54"/>
        <v>13</v>
      </c>
      <c r="B104" s="53" t="s">
        <v>119</v>
      </c>
      <c r="C104" s="129">
        <f t="shared" si="52"/>
        <v>0</v>
      </c>
      <c r="D104" s="99">
        <v>0</v>
      </c>
      <c r="E104" s="130">
        <v>0</v>
      </c>
      <c r="F104" s="55">
        <f ca="1">IFERROR(__xludf.DUMMYFUNCTION("IMPORTRANGE(""https://docs.google.com/spreadsheets/d/1Yj_ptqi66GCucihVvJfMjLAmec39IyEx_6qawtMGysU/edit?usp=sharing"",""สบก!BT108"")"),0)</f>
        <v>0</v>
      </c>
      <c r="G104" s="99">
        <f t="shared" si="1"/>
        <v>0</v>
      </c>
      <c r="H104" s="131">
        <f t="shared" si="53"/>
        <v>0</v>
      </c>
      <c r="I104" s="55">
        <v>0</v>
      </c>
      <c r="J104" s="99">
        <f t="shared" si="3"/>
        <v>0</v>
      </c>
      <c r="K104" s="131">
        <v>0</v>
      </c>
      <c r="L104" s="55">
        <v>0</v>
      </c>
      <c r="M104" s="99">
        <f t="shared" si="5"/>
        <v>0</v>
      </c>
      <c r="N104" s="131">
        <v>0</v>
      </c>
      <c r="O104" s="55">
        <v>0</v>
      </c>
      <c r="P104" s="99">
        <f t="shared" si="7"/>
        <v>0</v>
      </c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ht="24" customHeight="1" x14ac:dyDescent="0.5">
      <c r="A105" s="72">
        <f t="shared" si="54"/>
        <v>14</v>
      </c>
      <c r="B105" s="73" t="s">
        <v>120</v>
      </c>
      <c r="C105" s="134">
        <f t="shared" si="52"/>
        <v>17435300</v>
      </c>
      <c r="D105" s="100">
        <v>0</v>
      </c>
      <c r="E105" s="135">
        <v>17435300</v>
      </c>
      <c r="F105" s="62">
        <f ca="1">IFERROR(__xludf.DUMMYFUNCTION("IMPORTRANGE(""https://docs.google.com/spreadsheets/d/1Yj_ptqi66GCucihVvJfMjLAmec39IyEx_6qawtMGysU/edit?usp=sharing"",""สบก!BT109"")"),999648)</f>
        <v>999648</v>
      </c>
      <c r="G105" s="100">
        <f t="shared" ca="1" si="1"/>
        <v>5.7334717498408398</v>
      </c>
      <c r="H105" s="136">
        <f t="shared" si="53"/>
        <v>200</v>
      </c>
      <c r="I105" s="62">
        <v>0</v>
      </c>
      <c r="J105" s="100">
        <f t="shared" si="3"/>
        <v>0</v>
      </c>
      <c r="K105" s="136">
        <v>0</v>
      </c>
      <c r="L105" s="62">
        <v>0</v>
      </c>
      <c r="M105" s="100">
        <f t="shared" si="5"/>
        <v>0</v>
      </c>
      <c r="N105" s="136">
        <v>200</v>
      </c>
      <c r="O105" s="62">
        <v>0</v>
      </c>
      <c r="P105" s="100">
        <f t="shared" si="7"/>
        <v>0</v>
      </c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ht="24" customHeight="1" x14ac:dyDescent="0.5">
      <c r="A106" s="572" t="s">
        <v>121</v>
      </c>
      <c r="B106" s="571"/>
      <c r="C106" s="119">
        <f t="shared" ref="C106:F106" si="55">+C107+C108+C109+C110+C111+C112+C113+C114</f>
        <v>11000000</v>
      </c>
      <c r="D106" s="92">
        <f t="shared" si="55"/>
        <v>11000000</v>
      </c>
      <c r="E106" s="119">
        <f t="shared" si="55"/>
        <v>0</v>
      </c>
      <c r="F106" s="35">
        <f t="shared" si="55"/>
        <v>0</v>
      </c>
      <c r="G106" s="92">
        <f t="shared" si="1"/>
        <v>0</v>
      </c>
      <c r="H106" s="120">
        <f t="shared" ref="H106:I106" si="56">+H107+H108+H109+H110+H111+H112+H113+H114</f>
        <v>0</v>
      </c>
      <c r="I106" s="35">
        <f t="shared" si="56"/>
        <v>0</v>
      </c>
      <c r="J106" s="92">
        <f t="shared" si="3"/>
        <v>0</v>
      </c>
      <c r="K106" s="120">
        <f t="shared" ref="K106:L106" si="57">+K107+K108+K109+K110+K111+K112+K113+K114</f>
        <v>0</v>
      </c>
      <c r="L106" s="35">
        <f t="shared" si="57"/>
        <v>0</v>
      </c>
      <c r="M106" s="92">
        <f t="shared" si="5"/>
        <v>0</v>
      </c>
      <c r="N106" s="120">
        <f t="shared" ref="N106:O106" si="58">+N107+N108+N109+N110+N111+N112+N113+N114</f>
        <v>0</v>
      </c>
      <c r="O106" s="35">
        <f t="shared" si="58"/>
        <v>0</v>
      </c>
      <c r="P106" s="92">
        <f t="shared" si="7"/>
        <v>0</v>
      </c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ht="24" customHeight="1" x14ac:dyDescent="0.5">
      <c r="A107" s="68">
        <v>1</v>
      </c>
      <c r="B107" s="74" t="s">
        <v>122</v>
      </c>
      <c r="C107" s="125">
        <f t="shared" ref="C107:C114" si="59">+D107+E107</f>
        <v>0</v>
      </c>
      <c r="D107" s="98">
        <v>0</v>
      </c>
      <c r="E107" s="126">
        <v>0</v>
      </c>
      <c r="F107" s="48">
        <v>0</v>
      </c>
      <c r="G107" s="98">
        <f t="shared" si="1"/>
        <v>0</v>
      </c>
      <c r="H107" s="127">
        <f t="shared" ref="H107:H114" si="60">+K107+N107</f>
        <v>0</v>
      </c>
      <c r="I107" s="48">
        <v>0</v>
      </c>
      <c r="J107" s="98">
        <f t="shared" si="3"/>
        <v>0</v>
      </c>
      <c r="K107" s="127">
        <v>0</v>
      </c>
      <c r="L107" s="48">
        <v>0</v>
      </c>
      <c r="M107" s="98">
        <f t="shared" si="5"/>
        <v>0</v>
      </c>
      <c r="N107" s="127">
        <v>0</v>
      </c>
      <c r="O107" s="48">
        <v>0</v>
      </c>
      <c r="P107" s="98">
        <f t="shared" si="7"/>
        <v>0</v>
      </c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ht="24" customHeight="1" x14ac:dyDescent="0.5">
      <c r="A108" s="70">
        <v>2</v>
      </c>
      <c r="B108" s="459" t="s">
        <v>123</v>
      </c>
      <c r="C108" s="129">
        <f t="shared" si="59"/>
        <v>4000000</v>
      </c>
      <c r="D108" s="99">
        <v>4000000</v>
      </c>
      <c r="E108" s="130">
        <v>0</v>
      </c>
      <c r="F108" s="55">
        <v>0</v>
      </c>
      <c r="G108" s="99">
        <f t="shared" si="1"/>
        <v>0</v>
      </c>
      <c r="H108" s="131">
        <f t="shared" si="60"/>
        <v>0</v>
      </c>
      <c r="I108" s="55">
        <v>0</v>
      </c>
      <c r="J108" s="99">
        <f t="shared" si="3"/>
        <v>0</v>
      </c>
      <c r="K108" s="131">
        <v>0</v>
      </c>
      <c r="L108" s="55">
        <v>0</v>
      </c>
      <c r="M108" s="99">
        <f t="shared" si="5"/>
        <v>0</v>
      </c>
      <c r="N108" s="131">
        <v>0</v>
      </c>
      <c r="O108" s="55">
        <v>0</v>
      </c>
      <c r="P108" s="99">
        <f t="shared" si="7"/>
        <v>0</v>
      </c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ht="24" customHeight="1" x14ac:dyDescent="0.5">
      <c r="A109" s="70">
        <v>3</v>
      </c>
      <c r="B109" s="75" t="s">
        <v>124</v>
      </c>
      <c r="C109" s="129">
        <f t="shared" si="59"/>
        <v>0</v>
      </c>
      <c r="D109" s="99">
        <v>0</v>
      </c>
      <c r="E109" s="130">
        <v>0</v>
      </c>
      <c r="F109" s="55">
        <v>0</v>
      </c>
      <c r="G109" s="99">
        <f t="shared" si="1"/>
        <v>0</v>
      </c>
      <c r="H109" s="131">
        <f t="shared" si="60"/>
        <v>0</v>
      </c>
      <c r="I109" s="55">
        <v>0</v>
      </c>
      <c r="J109" s="99">
        <f t="shared" si="3"/>
        <v>0</v>
      </c>
      <c r="K109" s="131">
        <v>0</v>
      </c>
      <c r="L109" s="55">
        <v>0</v>
      </c>
      <c r="M109" s="99">
        <f t="shared" si="5"/>
        <v>0</v>
      </c>
      <c r="N109" s="131">
        <v>0</v>
      </c>
      <c r="O109" s="55">
        <v>0</v>
      </c>
      <c r="P109" s="99">
        <f t="shared" si="7"/>
        <v>0</v>
      </c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ht="24" customHeight="1" x14ac:dyDescent="0.5">
      <c r="A110" s="70">
        <f t="shared" ref="A110:A112" si="61">+A109+1</f>
        <v>4</v>
      </c>
      <c r="B110" s="75" t="s">
        <v>125</v>
      </c>
      <c r="C110" s="129">
        <f t="shared" si="59"/>
        <v>2000000</v>
      </c>
      <c r="D110" s="99">
        <v>2000000</v>
      </c>
      <c r="E110" s="130">
        <v>0</v>
      </c>
      <c r="F110" s="55">
        <v>0</v>
      </c>
      <c r="G110" s="99">
        <f t="shared" si="1"/>
        <v>0</v>
      </c>
      <c r="H110" s="131">
        <f t="shared" si="60"/>
        <v>0</v>
      </c>
      <c r="I110" s="55">
        <v>0</v>
      </c>
      <c r="J110" s="99">
        <f t="shared" si="3"/>
        <v>0</v>
      </c>
      <c r="K110" s="131">
        <v>0</v>
      </c>
      <c r="L110" s="55">
        <v>0</v>
      </c>
      <c r="M110" s="99">
        <f t="shared" si="5"/>
        <v>0</v>
      </c>
      <c r="N110" s="131">
        <v>0</v>
      </c>
      <c r="O110" s="55">
        <v>0</v>
      </c>
      <c r="P110" s="99">
        <f t="shared" si="7"/>
        <v>0</v>
      </c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ht="24" customHeight="1" x14ac:dyDescent="0.5">
      <c r="A111" s="70">
        <f t="shared" si="61"/>
        <v>5</v>
      </c>
      <c r="B111" s="75" t="s">
        <v>126</v>
      </c>
      <c r="C111" s="129">
        <f t="shared" si="59"/>
        <v>2000000</v>
      </c>
      <c r="D111" s="99">
        <v>2000000</v>
      </c>
      <c r="E111" s="130">
        <v>0</v>
      </c>
      <c r="F111" s="55">
        <v>0</v>
      </c>
      <c r="G111" s="99">
        <f t="shared" si="1"/>
        <v>0</v>
      </c>
      <c r="H111" s="131">
        <f t="shared" si="60"/>
        <v>0</v>
      </c>
      <c r="I111" s="55">
        <v>0</v>
      </c>
      <c r="J111" s="99">
        <f t="shared" si="3"/>
        <v>0</v>
      </c>
      <c r="K111" s="131">
        <v>0</v>
      </c>
      <c r="L111" s="55">
        <v>0</v>
      </c>
      <c r="M111" s="99">
        <f t="shared" si="5"/>
        <v>0</v>
      </c>
      <c r="N111" s="131">
        <v>0</v>
      </c>
      <c r="O111" s="55">
        <v>0</v>
      </c>
      <c r="P111" s="99">
        <f t="shared" si="7"/>
        <v>0</v>
      </c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ht="24" customHeight="1" x14ac:dyDescent="0.5">
      <c r="A112" s="70">
        <f t="shared" si="61"/>
        <v>6</v>
      </c>
      <c r="B112" s="75" t="s">
        <v>127</v>
      </c>
      <c r="C112" s="129">
        <f t="shared" si="59"/>
        <v>3000000</v>
      </c>
      <c r="D112" s="99">
        <v>3000000</v>
      </c>
      <c r="E112" s="130">
        <v>0</v>
      </c>
      <c r="F112" s="55">
        <v>0</v>
      </c>
      <c r="G112" s="99">
        <f t="shared" si="1"/>
        <v>0</v>
      </c>
      <c r="H112" s="131">
        <f t="shared" si="60"/>
        <v>0</v>
      </c>
      <c r="I112" s="55">
        <v>0</v>
      </c>
      <c r="J112" s="99">
        <f t="shared" si="3"/>
        <v>0</v>
      </c>
      <c r="K112" s="131">
        <v>0</v>
      </c>
      <c r="L112" s="55">
        <v>0</v>
      </c>
      <c r="M112" s="99">
        <f t="shared" si="5"/>
        <v>0</v>
      </c>
      <c r="N112" s="131">
        <v>0</v>
      </c>
      <c r="O112" s="55">
        <v>0</v>
      </c>
      <c r="P112" s="99">
        <f t="shared" si="7"/>
        <v>0</v>
      </c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ht="24" customHeight="1" x14ac:dyDescent="0.5">
      <c r="A113" s="70">
        <v>7</v>
      </c>
      <c r="B113" s="459" t="s">
        <v>128</v>
      </c>
      <c r="C113" s="129">
        <f t="shared" si="59"/>
        <v>0</v>
      </c>
      <c r="D113" s="99">
        <v>0</v>
      </c>
      <c r="E113" s="130">
        <v>0</v>
      </c>
      <c r="F113" s="55">
        <v>0</v>
      </c>
      <c r="G113" s="99">
        <f t="shared" si="1"/>
        <v>0</v>
      </c>
      <c r="H113" s="131">
        <f t="shared" si="60"/>
        <v>0</v>
      </c>
      <c r="I113" s="55">
        <v>0</v>
      </c>
      <c r="J113" s="99">
        <f t="shared" si="3"/>
        <v>0</v>
      </c>
      <c r="K113" s="131">
        <v>0</v>
      </c>
      <c r="L113" s="55">
        <v>0</v>
      </c>
      <c r="M113" s="99">
        <f t="shared" si="5"/>
        <v>0</v>
      </c>
      <c r="N113" s="131">
        <v>0</v>
      </c>
      <c r="O113" s="55">
        <v>0</v>
      </c>
      <c r="P113" s="99">
        <f t="shared" si="7"/>
        <v>0</v>
      </c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ht="24" customHeight="1" x14ac:dyDescent="0.5">
      <c r="A114" s="76">
        <v>8</v>
      </c>
      <c r="B114" s="77" t="s">
        <v>129</v>
      </c>
      <c r="C114" s="141">
        <f t="shared" si="59"/>
        <v>0</v>
      </c>
      <c r="D114" s="104">
        <v>0</v>
      </c>
      <c r="E114" s="142">
        <v>0</v>
      </c>
      <c r="F114" s="79">
        <v>0</v>
      </c>
      <c r="G114" s="104">
        <f t="shared" si="1"/>
        <v>0</v>
      </c>
      <c r="H114" s="143">
        <f t="shared" si="60"/>
        <v>0</v>
      </c>
      <c r="I114" s="79">
        <v>0</v>
      </c>
      <c r="J114" s="104">
        <f t="shared" si="3"/>
        <v>0</v>
      </c>
      <c r="K114" s="143">
        <v>0</v>
      </c>
      <c r="L114" s="79">
        <v>0</v>
      </c>
      <c r="M114" s="104">
        <f t="shared" si="5"/>
        <v>0</v>
      </c>
      <c r="N114" s="143">
        <v>0</v>
      </c>
      <c r="O114" s="79">
        <v>0</v>
      </c>
      <c r="P114" s="104">
        <f t="shared" si="7"/>
        <v>0</v>
      </c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ht="24" customHeight="1" x14ac:dyDescent="0.55000000000000004">
      <c r="A115" s="467" t="s">
        <v>321</v>
      </c>
      <c r="B115" s="3"/>
      <c r="C115" s="112"/>
      <c r="D115" s="3"/>
      <c r="E115" s="112"/>
      <c r="F115" s="3"/>
      <c r="G115" s="83"/>
      <c r="H115" s="113"/>
      <c r="I115" s="113"/>
      <c r="J115" s="113"/>
      <c r="K115" s="113"/>
      <c r="L115" s="113"/>
      <c r="M115" s="113"/>
      <c r="N115" s="113"/>
      <c r="O115" s="113"/>
      <c r="P115" s="113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 ht="24" customHeight="1" x14ac:dyDescent="0.5">
      <c r="A116" s="3"/>
      <c r="B116" s="3"/>
      <c r="C116" s="112"/>
      <c r="D116" s="3"/>
      <c r="E116" s="112"/>
      <c r="F116" s="3"/>
      <c r="G116" s="83"/>
      <c r="H116" s="113"/>
      <c r="I116" s="113"/>
      <c r="J116" s="113"/>
      <c r="K116" s="113"/>
      <c r="L116" s="113"/>
      <c r="M116" s="113"/>
      <c r="N116" s="113"/>
      <c r="O116" s="113"/>
      <c r="P116" s="113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 ht="24" customHeight="1" x14ac:dyDescent="0.5">
      <c r="A117" s="3"/>
      <c r="B117" s="3"/>
      <c r="C117" s="112"/>
      <c r="D117" s="3"/>
      <c r="E117" s="112"/>
      <c r="F117" s="3"/>
      <c r="G117" s="83"/>
      <c r="H117" s="113"/>
      <c r="I117" s="113"/>
      <c r="J117" s="113"/>
      <c r="K117" s="113"/>
      <c r="L117" s="113"/>
      <c r="M117" s="113"/>
      <c r="N117" s="113"/>
      <c r="O117" s="113"/>
      <c r="P117" s="113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 ht="24" customHeight="1" x14ac:dyDescent="0.5">
      <c r="A118" s="3"/>
      <c r="B118" s="3"/>
      <c r="C118" s="112"/>
      <c r="D118" s="3"/>
      <c r="E118" s="112"/>
      <c r="F118" s="3"/>
      <c r="G118" s="83"/>
      <c r="H118" s="113"/>
      <c r="I118" s="113"/>
      <c r="J118" s="113"/>
      <c r="K118" s="113"/>
      <c r="L118" s="113"/>
      <c r="M118" s="113"/>
      <c r="N118" s="113"/>
      <c r="O118" s="113"/>
      <c r="P118" s="113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 ht="24" customHeight="1" x14ac:dyDescent="0.5">
      <c r="A119" s="3"/>
      <c r="B119" s="3"/>
      <c r="C119" s="112"/>
      <c r="D119" s="3"/>
      <c r="E119" s="112"/>
      <c r="F119" s="3"/>
      <c r="G119" s="83"/>
      <c r="H119" s="113"/>
      <c r="I119" s="113"/>
      <c r="J119" s="113"/>
      <c r="K119" s="113"/>
      <c r="L119" s="113"/>
      <c r="M119" s="113"/>
      <c r="N119" s="113"/>
      <c r="O119" s="113"/>
      <c r="P119" s="113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 ht="24" customHeight="1" x14ac:dyDescent="0.5">
      <c r="A120" s="3"/>
      <c r="B120" s="3"/>
      <c r="C120" s="112"/>
      <c r="D120" s="3"/>
      <c r="E120" s="112"/>
      <c r="F120" s="3"/>
      <c r="G120" s="83"/>
      <c r="H120" s="113"/>
      <c r="I120" s="113"/>
      <c r="J120" s="113"/>
      <c r="K120" s="113"/>
      <c r="L120" s="113"/>
      <c r="M120" s="113"/>
      <c r="N120" s="113"/>
      <c r="O120" s="113"/>
      <c r="P120" s="113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 ht="24" customHeight="1" x14ac:dyDescent="0.5">
      <c r="A121" s="3"/>
      <c r="B121" s="3"/>
      <c r="C121" s="112"/>
      <c r="D121" s="3"/>
      <c r="E121" s="112"/>
      <c r="F121" s="3"/>
      <c r="G121" s="83"/>
      <c r="H121" s="113"/>
      <c r="I121" s="113"/>
      <c r="J121" s="113"/>
      <c r="K121" s="113"/>
      <c r="L121" s="113"/>
      <c r="M121" s="113"/>
      <c r="N121" s="113"/>
      <c r="O121" s="113"/>
      <c r="P121" s="113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 ht="24" customHeight="1" x14ac:dyDescent="0.5">
      <c r="A122" s="3"/>
      <c r="B122" s="3"/>
      <c r="C122" s="112"/>
      <c r="D122" s="3"/>
      <c r="E122" s="112"/>
      <c r="F122" s="3"/>
      <c r="G122" s="83"/>
      <c r="H122" s="113"/>
      <c r="I122" s="113"/>
      <c r="J122" s="113"/>
      <c r="K122" s="113"/>
      <c r="L122" s="113"/>
      <c r="M122" s="113"/>
      <c r="N122" s="113"/>
      <c r="O122" s="113"/>
      <c r="P122" s="113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 ht="24" customHeight="1" x14ac:dyDescent="0.5">
      <c r="A123" s="3"/>
      <c r="B123" s="3"/>
      <c r="C123" s="112"/>
      <c r="D123" s="3"/>
      <c r="E123" s="112"/>
      <c r="F123" s="3"/>
      <c r="G123" s="83"/>
      <c r="H123" s="113"/>
      <c r="I123" s="113"/>
      <c r="J123" s="113"/>
      <c r="K123" s="113"/>
      <c r="L123" s="113"/>
      <c r="M123" s="113"/>
      <c r="N123" s="113"/>
      <c r="O123" s="113"/>
      <c r="P123" s="113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 ht="24" customHeight="1" x14ac:dyDescent="0.5">
      <c r="A124" s="3"/>
      <c r="B124" s="3"/>
      <c r="C124" s="112"/>
      <c r="D124" s="3"/>
      <c r="E124" s="112"/>
      <c r="F124" s="3"/>
      <c r="G124" s="83"/>
      <c r="H124" s="113"/>
      <c r="I124" s="113"/>
      <c r="J124" s="113"/>
      <c r="K124" s="113"/>
      <c r="L124" s="113"/>
      <c r="M124" s="113"/>
      <c r="N124" s="113"/>
      <c r="O124" s="113"/>
      <c r="P124" s="113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 ht="24" customHeight="1" x14ac:dyDescent="0.5">
      <c r="A125" s="3"/>
      <c r="B125" s="3"/>
      <c r="C125" s="112"/>
      <c r="D125" s="3"/>
      <c r="E125" s="112"/>
      <c r="F125" s="3"/>
      <c r="G125" s="83"/>
      <c r="H125" s="113"/>
      <c r="I125" s="113"/>
      <c r="J125" s="113"/>
      <c r="K125" s="113"/>
      <c r="L125" s="113"/>
      <c r="M125" s="113"/>
      <c r="N125" s="113"/>
      <c r="O125" s="113"/>
      <c r="P125" s="113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 ht="24" customHeight="1" x14ac:dyDescent="0.5">
      <c r="A126" s="3"/>
      <c r="B126" s="3"/>
      <c r="C126" s="112"/>
      <c r="D126" s="3"/>
      <c r="E126" s="112"/>
      <c r="F126" s="3"/>
      <c r="G126" s="83"/>
      <c r="H126" s="113"/>
      <c r="I126" s="113"/>
      <c r="J126" s="113"/>
      <c r="K126" s="113"/>
      <c r="L126" s="113"/>
      <c r="M126" s="113"/>
      <c r="N126" s="113"/>
      <c r="O126" s="113"/>
      <c r="P126" s="113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ht="24" customHeight="1" x14ac:dyDescent="0.5">
      <c r="A127" s="3"/>
      <c r="B127" s="3"/>
      <c r="C127" s="112"/>
      <c r="D127" s="3"/>
      <c r="E127" s="112"/>
      <c r="F127" s="3"/>
      <c r="G127" s="83"/>
      <c r="H127" s="113"/>
      <c r="I127" s="113"/>
      <c r="J127" s="113"/>
      <c r="K127" s="113"/>
      <c r="L127" s="113"/>
      <c r="M127" s="113"/>
      <c r="N127" s="113"/>
      <c r="O127" s="113"/>
      <c r="P127" s="113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ht="24" customHeight="1" x14ac:dyDescent="0.5">
      <c r="A128" s="3"/>
      <c r="B128" s="3"/>
      <c r="C128" s="112"/>
      <c r="D128" s="3"/>
      <c r="E128" s="112"/>
      <c r="F128" s="3"/>
      <c r="G128" s="83"/>
      <c r="H128" s="113"/>
      <c r="I128" s="113"/>
      <c r="J128" s="113"/>
      <c r="K128" s="113"/>
      <c r="L128" s="113"/>
      <c r="M128" s="113"/>
      <c r="N128" s="113"/>
      <c r="O128" s="113"/>
      <c r="P128" s="113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 ht="24" customHeight="1" x14ac:dyDescent="0.5">
      <c r="A129" s="3"/>
      <c r="B129" s="3"/>
      <c r="C129" s="112"/>
      <c r="D129" s="3"/>
      <c r="E129" s="112"/>
      <c r="F129" s="3"/>
      <c r="G129" s="83"/>
      <c r="H129" s="113"/>
      <c r="I129" s="113"/>
      <c r="J129" s="113"/>
      <c r="K129" s="113"/>
      <c r="L129" s="113"/>
      <c r="M129" s="113"/>
      <c r="N129" s="113"/>
      <c r="O129" s="113"/>
      <c r="P129" s="113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 ht="24" customHeight="1" x14ac:dyDescent="0.5">
      <c r="A130" s="3"/>
      <c r="B130" s="3"/>
      <c r="C130" s="112"/>
      <c r="D130" s="3"/>
      <c r="E130" s="112"/>
      <c r="F130" s="3"/>
      <c r="G130" s="83"/>
      <c r="H130" s="113"/>
      <c r="I130" s="113"/>
      <c r="J130" s="113"/>
      <c r="K130" s="113"/>
      <c r="L130" s="113"/>
      <c r="M130" s="113"/>
      <c r="N130" s="113"/>
      <c r="O130" s="113"/>
      <c r="P130" s="113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ht="24" customHeight="1" x14ac:dyDescent="0.5">
      <c r="A131" s="3"/>
      <c r="B131" s="3"/>
      <c r="C131" s="112"/>
      <c r="D131" s="3"/>
      <c r="E131" s="112"/>
      <c r="F131" s="3"/>
      <c r="G131" s="83"/>
      <c r="H131" s="113"/>
      <c r="I131" s="113"/>
      <c r="J131" s="113"/>
      <c r="K131" s="113"/>
      <c r="L131" s="113"/>
      <c r="M131" s="113"/>
      <c r="N131" s="113"/>
      <c r="O131" s="113"/>
      <c r="P131" s="113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ht="24" customHeight="1" x14ac:dyDescent="0.5">
      <c r="A132" s="3"/>
      <c r="B132" s="3"/>
      <c r="C132" s="112"/>
      <c r="D132" s="3"/>
      <c r="E132" s="112"/>
      <c r="F132" s="3"/>
      <c r="G132" s="83"/>
      <c r="H132" s="113"/>
      <c r="I132" s="113"/>
      <c r="J132" s="113"/>
      <c r="K132" s="113"/>
      <c r="L132" s="113"/>
      <c r="M132" s="113"/>
      <c r="N132" s="113"/>
      <c r="O132" s="113"/>
      <c r="P132" s="113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ht="24" customHeight="1" x14ac:dyDescent="0.5">
      <c r="A133" s="3"/>
      <c r="B133" s="3"/>
      <c r="C133" s="112"/>
      <c r="D133" s="3"/>
      <c r="E133" s="112"/>
      <c r="F133" s="3"/>
      <c r="G133" s="83"/>
      <c r="H133" s="113"/>
      <c r="I133" s="113"/>
      <c r="J133" s="113"/>
      <c r="K133" s="113"/>
      <c r="L133" s="113"/>
      <c r="M133" s="113"/>
      <c r="N133" s="113"/>
      <c r="O133" s="113"/>
      <c r="P133" s="113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ht="24" customHeight="1" x14ac:dyDescent="0.5">
      <c r="A134" s="3"/>
      <c r="B134" s="3"/>
      <c r="C134" s="112"/>
      <c r="D134" s="3"/>
      <c r="E134" s="112"/>
      <c r="F134" s="3"/>
      <c r="G134" s="83"/>
      <c r="H134" s="113"/>
      <c r="I134" s="113"/>
      <c r="J134" s="113"/>
      <c r="K134" s="113"/>
      <c r="L134" s="113"/>
      <c r="M134" s="113"/>
      <c r="N134" s="113"/>
      <c r="O134" s="113"/>
      <c r="P134" s="113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ht="24" customHeight="1" x14ac:dyDescent="0.5">
      <c r="A135" s="3"/>
      <c r="B135" s="3"/>
      <c r="C135" s="112"/>
      <c r="D135" s="3"/>
      <c r="E135" s="112"/>
      <c r="F135" s="3"/>
      <c r="G135" s="83"/>
      <c r="H135" s="113"/>
      <c r="I135" s="113"/>
      <c r="J135" s="113"/>
      <c r="K135" s="113"/>
      <c r="L135" s="113"/>
      <c r="M135" s="113"/>
      <c r="N135" s="113"/>
      <c r="O135" s="113"/>
      <c r="P135" s="113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ht="24" customHeight="1" x14ac:dyDescent="0.5">
      <c r="A136" s="3"/>
      <c r="B136" s="3"/>
      <c r="C136" s="112"/>
      <c r="D136" s="3"/>
      <c r="E136" s="112"/>
      <c r="F136" s="3"/>
      <c r="G136" s="83"/>
      <c r="H136" s="113"/>
      <c r="I136" s="113"/>
      <c r="J136" s="113"/>
      <c r="K136" s="113"/>
      <c r="L136" s="113"/>
      <c r="M136" s="113"/>
      <c r="N136" s="113"/>
      <c r="O136" s="113"/>
      <c r="P136" s="113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ht="24" customHeight="1" x14ac:dyDescent="0.5">
      <c r="A137" s="3"/>
      <c r="B137" s="3"/>
      <c r="C137" s="112"/>
      <c r="D137" s="3"/>
      <c r="E137" s="112"/>
      <c r="F137" s="3"/>
      <c r="G137" s="83"/>
      <c r="H137" s="113"/>
      <c r="I137" s="113"/>
      <c r="J137" s="113"/>
      <c r="K137" s="113"/>
      <c r="L137" s="113"/>
      <c r="M137" s="113"/>
      <c r="N137" s="113"/>
      <c r="O137" s="113"/>
      <c r="P137" s="113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 ht="24" customHeight="1" x14ac:dyDescent="0.5">
      <c r="A138" s="3"/>
      <c r="B138" s="3"/>
      <c r="C138" s="112"/>
      <c r="D138" s="3"/>
      <c r="E138" s="112"/>
      <c r="F138" s="3"/>
      <c r="G138" s="83"/>
      <c r="H138" s="113"/>
      <c r="I138" s="113"/>
      <c r="J138" s="113"/>
      <c r="K138" s="113"/>
      <c r="L138" s="113"/>
      <c r="M138" s="113"/>
      <c r="N138" s="113"/>
      <c r="O138" s="113"/>
      <c r="P138" s="113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 ht="24" customHeight="1" x14ac:dyDescent="0.5">
      <c r="A139" s="3"/>
      <c r="B139" s="3"/>
      <c r="C139" s="112"/>
      <c r="D139" s="3"/>
      <c r="E139" s="112"/>
      <c r="F139" s="3"/>
      <c r="G139" s="83"/>
      <c r="H139" s="113"/>
      <c r="I139" s="113"/>
      <c r="J139" s="113"/>
      <c r="K139" s="113"/>
      <c r="L139" s="113"/>
      <c r="M139" s="113"/>
      <c r="N139" s="113"/>
      <c r="O139" s="113"/>
      <c r="P139" s="113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 ht="24" customHeight="1" x14ac:dyDescent="0.5">
      <c r="A140" s="3"/>
      <c r="B140" s="3"/>
      <c r="C140" s="112"/>
      <c r="D140" s="3"/>
      <c r="E140" s="112"/>
      <c r="F140" s="3"/>
      <c r="G140" s="83"/>
      <c r="H140" s="113"/>
      <c r="I140" s="113"/>
      <c r="J140" s="113"/>
      <c r="K140" s="113"/>
      <c r="L140" s="113"/>
      <c r="M140" s="113"/>
      <c r="N140" s="113"/>
      <c r="O140" s="113"/>
      <c r="P140" s="113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 ht="24" customHeight="1" x14ac:dyDescent="0.5">
      <c r="A141" s="3"/>
      <c r="B141" s="3"/>
      <c r="C141" s="112"/>
      <c r="D141" s="3"/>
      <c r="E141" s="112"/>
      <c r="F141" s="3"/>
      <c r="G141" s="83"/>
      <c r="H141" s="113"/>
      <c r="I141" s="113"/>
      <c r="J141" s="113"/>
      <c r="K141" s="113"/>
      <c r="L141" s="113"/>
      <c r="M141" s="113"/>
      <c r="N141" s="113"/>
      <c r="O141" s="113"/>
      <c r="P141" s="113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 ht="24" customHeight="1" x14ac:dyDescent="0.5">
      <c r="A142" s="3"/>
      <c r="B142" s="3"/>
      <c r="C142" s="112"/>
      <c r="D142" s="3"/>
      <c r="E142" s="112"/>
      <c r="F142" s="3"/>
      <c r="G142" s="83"/>
      <c r="H142" s="113"/>
      <c r="I142" s="113"/>
      <c r="J142" s="113"/>
      <c r="K142" s="113"/>
      <c r="L142" s="113"/>
      <c r="M142" s="113"/>
      <c r="N142" s="113"/>
      <c r="O142" s="113"/>
      <c r="P142" s="113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 ht="24" customHeight="1" x14ac:dyDescent="0.5">
      <c r="A143" s="3"/>
      <c r="B143" s="3"/>
      <c r="C143" s="112"/>
      <c r="D143" s="3"/>
      <c r="E143" s="112"/>
      <c r="F143" s="3"/>
      <c r="G143" s="83"/>
      <c r="H143" s="113"/>
      <c r="I143" s="113"/>
      <c r="J143" s="113"/>
      <c r="K143" s="113"/>
      <c r="L143" s="113"/>
      <c r="M143" s="113"/>
      <c r="N143" s="113"/>
      <c r="O143" s="113"/>
      <c r="P143" s="113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 ht="24" customHeight="1" x14ac:dyDescent="0.5">
      <c r="A144" s="3"/>
      <c r="B144" s="3"/>
      <c r="C144" s="112"/>
      <c r="D144" s="3"/>
      <c r="E144" s="112"/>
      <c r="F144" s="3"/>
      <c r="G144" s="83"/>
      <c r="H144" s="113"/>
      <c r="I144" s="113"/>
      <c r="J144" s="113"/>
      <c r="K144" s="113"/>
      <c r="L144" s="113"/>
      <c r="M144" s="113"/>
      <c r="N144" s="113"/>
      <c r="O144" s="113"/>
      <c r="P144" s="113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 ht="24" customHeight="1" x14ac:dyDescent="0.5">
      <c r="A145" s="3"/>
      <c r="B145" s="3"/>
      <c r="C145" s="112"/>
      <c r="D145" s="3"/>
      <c r="E145" s="112"/>
      <c r="F145" s="3"/>
      <c r="G145" s="83"/>
      <c r="H145" s="113"/>
      <c r="I145" s="113"/>
      <c r="J145" s="113"/>
      <c r="K145" s="113"/>
      <c r="L145" s="113"/>
      <c r="M145" s="113"/>
      <c r="N145" s="113"/>
      <c r="O145" s="113"/>
      <c r="P145" s="113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 ht="24" customHeight="1" x14ac:dyDescent="0.5">
      <c r="A146" s="3"/>
      <c r="B146" s="3"/>
      <c r="C146" s="112"/>
      <c r="D146" s="3"/>
      <c r="E146" s="112"/>
      <c r="F146" s="3"/>
      <c r="G146" s="83"/>
      <c r="H146" s="113"/>
      <c r="I146" s="113"/>
      <c r="J146" s="113"/>
      <c r="K146" s="113"/>
      <c r="L146" s="113"/>
      <c r="M146" s="113"/>
      <c r="N146" s="113"/>
      <c r="O146" s="113"/>
      <c r="P146" s="113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 ht="24" customHeight="1" x14ac:dyDescent="0.5">
      <c r="A147" s="3"/>
      <c r="B147" s="3"/>
      <c r="C147" s="112"/>
      <c r="D147" s="3"/>
      <c r="E147" s="112"/>
      <c r="F147" s="3"/>
      <c r="G147" s="83"/>
      <c r="H147" s="113"/>
      <c r="I147" s="113"/>
      <c r="J147" s="113"/>
      <c r="K147" s="113"/>
      <c r="L147" s="113"/>
      <c r="M147" s="113"/>
      <c r="N147" s="113"/>
      <c r="O147" s="113"/>
      <c r="P147" s="113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 ht="24" customHeight="1" x14ac:dyDescent="0.5">
      <c r="A148" s="3"/>
      <c r="B148" s="3"/>
      <c r="C148" s="112"/>
      <c r="D148" s="3"/>
      <c r="E148" s="112"/>
      <c r="F148" s="3"/>
      <c r="G148" s="83"/>
      <c r="H148" s="113"/>
      <c r="I148" s="113"/>
      <c r="J148" s="113"/>
      <c r="K148" s="113"/>
      <c r="L148" s="113"/>
      <c r="M148" s="113"/>
      <c r="N148" s="113"/>
      <c r="O148" s="113"/>
      <c r="P148" s="113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 ht="24" customHeight="1" x14ac:dyDescent="0.5">
      <c r="A149" s="3"/>
      <c r="B149" s="3"/>
      <c r="C149" s="112"/>
      <c r="D149" s="3"/>
      <c r="E149" s="112"/>
      <c r="F149" s="3"/>
      <c r="G149" s="83"/>
      <c r="H149" s="113"/>
      <c r="I149" s="113"/>
      <c r="J149" s="113"/>
      <c r="K149" s="113"/>
      <c r="L149" s="113"/>
      <c r="M149" s="113"/>
      <c r="N149" s="113"/>
      <c r="O149" s="113"/>
      <c r="P149" s="113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 ht="24" customHeight="1" x14ac:dyDescent="0.5">
      <c r="A150" s="3"/>
      <c r="B150" s="3"/>
      <c r="C150" s="112"/>
      <c r="D150" s="3"/>
      <c r="E150" s="112"/>
      <c r="F150" s="3"/>
      <c r="G150" s="83"/>
      <c r="H150" s="113"/>
      <c r="I150" s="113"/>
      <c r="J150" s="113"/>
      <c r="K150" s="113"/>
      <c r="L150" s="113"/>
      <c r="M150" s="113"/>
      <c r="N150" s="113"/>
      <c r="O150" s="113"/>
      <c r="P150" s="113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 ht="24" customHeight="1" x14ac:dyDescent="0.5">
      <c r="A151" s="3"/>
      <c r="B151" s="3"/>
      <c r="C151" s="112"/>
      <c r="D151" s="3"/>
      <c r="E151" s="112"/>
      <c r="F151" s="3"/>
      <c r="G151" s="83"/>
      <c r="H151" s="113"/>
      <c r="I151" s="113"/>
      <c r="J151" s="113"/>
      <c r="K151" s="113"/>
      <c r="L151" s="113"/>
      <c r="M151" s="113"/>
      <c r="N151" s="113"/>
      <c r="O151" s="113"/>
      <c r="P151" s="113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 ht="24" customHeight="1" x14ac:dyDescent="0.5">
      <c r="A152" s="3"/>
      <c r="B152" s="3"/>
      <c r="C152" s="112"/>
      <c r="D152" s="3"/>
      <c r="E152" s="112"/>
      <c r="F152" s="3"/>
      <c r="G152" s="83"/>
      <c r="H152" s="113"/>
      <c r="I152" s="113"/>
      <c r="J152" s="113"/>
      <c r="K152" s="113"/>
      <c r="L152" s="113"/>
      <c r="M152" s="113"/>
      <c r="N152" s="113"/>
      <c r="O152" s="113"/>
      <c r="P152" s="113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 ht="24" customHeight="1" x14ac:dyDescent="0.5">
      <c r="A153" s="3"/>
      <c r="B153" s="3"/>
      <c r="C153" s="112"/>
      <c r="D153" s="3"/>
      <c r="E153" s="112"/>
      <c r="F153" s="3"/>
      <c r="G153" s="83"/>
      <c r="H153" s="113"/>
      <c r="I153" s="113"/>
      <c r="J153" s="113"/>
      <c r="K153" s="113"/>
      <c r="L153" s="113"/>
      <c r="M153" s="113"/>
      <c r="N153" s="113"/>
      <c r="O153" s="113"/>
      <c r="P153" s="113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 ht="24" customHeight="1" x14ac:dyDescent="0.5">
      <c r="A154" s="3"/>
      <c r="B154" s="3"/>
      <c r="C154" s="112"/>
      <c r="D154" s="3"/>
      <c r="E154" s="112"/>
      <c r="F154" s="3"/>
      <c r="G154" s="83"/>
      <c r="H154" s="113"/>
      <c r="I154" s="113"/>
      <c r="J154" s="113"/>
      <c r="K154" s="113"/>
      <c r="L154" s="113"/>
      <c r="M154" s="113"/>
      <c r="N154" s="113"/>
      <c r="O154" s="113"/>
      <c r="P154" s="113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 ht="24" customHeight="1" x14ac:dyDescent="0.5">
      <c r="A155" s="3"/>
      <c r="B155" s="3"/>
      <c r="C155" s="112"/>
      <c r="D155" s="3"/>
      <c r="E155" s="112"/>
      <c r="F155" s="3"/>
      <c r="G155" s="83"/>
      <c r="H155" s="113"/>
      <c r="I155" s="113"/>
      <c r="J155" s="113"/>
      <c r="K155" s="113"/>
      <c r="L155" s="113"/>
      <c r="M155" s="113"/>
      <c r="N155" s="113"/>
      <c r="O155" s="113"/>
      <c r="P155" s="113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 ht="24" customHeight="1" x14ac:dyDescent="0.5">
      <c r="A156" s="3"/>
      <c r="B156" s="3"/>
      <c r="C156" s="112"/>
      <c r="D156" s="3"/>
      <c r="E156" s="112"/>
      <c r="F156" s="3"/>
      <c r="G156" s="83"/>
      <c r="H156" s="113"/>
      <c r="I156" s="113"/>
      <c r="J156" s="113"/>
      <c r="K156" s="113"/>
      <c r="L156" s="113"/>
      <c r="M156" s="113"/>
      <c r="N156" s="113"/>
      <c r="O156" s="113"/>
      <c r="P156" s="113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 ht="24" customHeight="1" x14ac:dyDescent="0.5">
      <c r="A157" s="3"/>
      <c r="B157" s="3"/>
      <c r="C157" s="112"/>
      <c r="D157" s="3"/>
      <c r="E157" s="112"/>
      <c r="F157" s="3"/>
      <c r="G157" s="83"/>
      <c r="H157" s="113"/>
      <c r="I157" s="113"/>
      <c r="J157" s="113"/>
      <c r="K157" s="113"/>
      <c r="L157" s="113"/>
      <c r="M157" s="113"/>
      <c r="N157" s="113"/>
      <c r="O157" s="113"/>
      <c r="P157" s="113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 ht="24" customHeight="1" x14ac:dyDescent="0.5">
      <c r="A158" s="3"/>
      <c r="B158" s="3"/>
      <c r="C158" s="112"/>
      <c r="D158" s="3"/>
      <c r="E158" s="112"/>
      <c r="F158" s="3"/>
      <c r="G158" s="83"/>
      <c r="H158" s="113"/>
      <c r="I158" s="113"/>
      <c r="J158" s="113"/>
      <c r="K158" s="113"/>
      <c r="L158" s="113"/>
      <c r="M158" s="113"/>
      <c r="N158" s="113"/>
      <c r="O158" s="113"/>
      <c r="P158" s="113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 ht="24" customHeight="1" x14ac:dyDescent="0.5">
      <c r="A159" s="3"/>
      <c r="B159" s="3"/>
      <c r="C159" s="112"/>
      <c r="D159" s="3"/>
      <c r="E159" s="112"/>
      <c r="F159" s="3"/>
      <c r="G159" s="83"/>
      <c r="H159" s="113"/>
      <c r="I159" s="113"/>
      <c r="J159" s="113"/>
      <c r="K159" s="113"/>
      <c r="L159" s="113"/>
      <c r="M159" s="113"/>
      <c r="N159" s="113"/>
      <c r="O159" s="113"/>
      <c r="P159" s="113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 ht="24" customHeight="1" x14ac:dyDescent="0.5">
      <c r="A160" s="3"/>
      <c r="B160" s="3"/>
      <c r="C160" s="112"/>
      <c r="D160" s="3"/>
      <c r="E160" s="112"/>
      <c r="F160" s="3"/>
      <c r="G160" s="83"/>
      <c r="H160" s="113"/>
      <c r="I160" s="113"/>
      <c r="J160" s="113"/>
      <c r="K160" s="113"/>
      <c r="L160" s="113"/>
      <c r="M160" s="113"/>
      <c r="N160" s="113"/>
      <c r="O160" s="113"/>
      <c r="P160" s="113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24" customHeight="1" x14ac:dyDescent="0.5">
      <c r="A161" s="3"/>
      <c r="B161" s="3"/>
      <c r="C161" s="112"/>
      <c r="D161" s="3"/>
      <c r="E161" s="112"/>
      <c r="F161" s="3"/>
      <c r="G161" s="83"/>
      <c r="H161" s="113"/>
      <c r="I161" s="113"/>
      <c r="J161" s="113"/>
      <c r="K161" s="113"/>
      <c r="L161" s="113"/>
      <c r="M161" s="113"/>
      <c r="N161" s="113"/>
      <c r="O161" s="113"/>
      <c r="P161" s="113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 ht="24" customHeight="1" x14ac:dyDescent="0.5">
      <c r="A162" s="3"/>
      <c r="B162" s="3"/>
      <c r="C162" s="112"/>
      <c r="D162" s="3"/>
      <c r="E162" s="112"/>
      <c r="F162" s="3"/>
      <c r="G162" s="83"/>
      <c r="H162" s="113"/>
      <c r="I162" s="113"/>
      <c r="J162" s="113"/>
      <c r="K162" s="113"/>
      <c r="L162" s="113"/>
      <c r="M162" s="113"/>
      <c r="N162" s="113"/>
      <c r="O162" s="113"/>
      <c r="P162" s="113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 ht="24" customHeight="1" x14ac:dyDescent="0.5">
      <c r="A163" s="3"/>
      <c r="B163" s="3"/>
      <c r="C163" s="112"/>
      <c r="D163" s="3"/>
      <c r="E163" s="112"/>
      <c r="F163" s="3"/>
      <c r="G163" s="83"/>
      <c r="H163" s="113"/>
      <c r="I163" s="113"/>
      <c r="J163" s="113"/>
      <c r="K163" s="113"/>
      <c r="L163" s="113"/>
      <c r="M163" s="113"/>
      <c r="N163" s="113"/>
      <c r="O163" s="113"/>
      <c r="P163" s="113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 ht="24" customHeight="1" x14ac:dyDescent="0.5">
      <c r="A164" s="3"/>
      <c r="B164" s="3"/>
      <c r="C164" s="112"/>
      <c r="D164" s="3"/>
      <c r="E164" s="112"/>
      <c r="F164" s="3"/>
      <c r="G164" s="83"/>
      <c r="H164" s="113"/>
      <c r="I164" s="113"/>
      <c r="J164" s="113"/>
      <c r="K164" s="113"/>
      <c r="L164" s="113"/>
      <c r="M164" s="113"/>
      <c r="N164" s="113"/>
      <c r="O164" s="113"/>
      <c r="P164" s="113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 ht="24" customHeight="1" x14ac:dyDescent="0.5">
      <c r="A165" s="3"/>
      <c r="B165" s="3"/>
      <c r="C165" s="112"/>
      <c r="D165" s="3"/>
      <c r="E165" s="112"/>
      <c r="F165" s="3"/>
      <c r="G165" s="83"/>
      <c r="H165" s="113"/>
      <c r="I165" s="113"/>
      <c r="J165" s="113"/>
      <c r="K165" s="113"/>
      <c r="L165" s="113"/>
      <c r="M165" s="113"/>
      <c r="N165" s="113"/>
      <c r="O165" s="113"/>
      <c r="P165" s="113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 ht="24" customHeight="1" x14ac:dyDescent="0.5">
      <c r="A166" s="3"/>
      <c r="B166" s="3"/>
      <c r="C166" s="112"/>
      <c r="D166" s="3"/>
      <c r="E166" s="112"/>
      <c r="F166" s="3"/>
      <c r="G166" s="83"/>
      <c r="H166" s="113"/>
      <c r="I166" s="113"/>
      <c r="J166" s="113"/>
      <c r="K166" s="113"/>
      <c r="L166" s="113"/>
      <c r="M166" s="113"/>
      <c r="N166" s="113"/>
      <c r="O166" s="113"/>
      <c r="P166" s="113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 ht="24" customHeight="1" x14ac:dyDescent="0.5">
      <c r="A167" s="3"/>
      <c r="B167" s="3"/>
      <c r="C167" s="112"/>
      <c r="D167" s="3"/>
      <c r="E167" s="112"/>
      <c r="F167" s="3"/>
      <c r="G167" s="83"/>
      <c r="H167" s="113"/>
      <c r="I167" s="113"/>
      <c r="J167" s="113"/>
      <c r="K167" s="113"/>
      <c r="L167" s="113"/>
      <c r="M167" s="113"/>
      <c r="N167" s="113"/>
      <c r="O167" s="113"/>
      <c r="P167" s="113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 ht="24" customHeight="1" x14ac:dyDescent="0.5">
      <c r="A168" s="3"/>
      <c r="B168" s="3"/>
      <c r="C168" s="112"/>
      <c r="D168" s="3"/>
      <c r="E168" s="112"/>
      <c r="F168" s="3"/>
      <c r="G168" s="83"/>
      <c r="H168" s="113"/>
      <c r="I168" s="113"/>
      <c r="J168" s="113"/>
      <c r="K168" s="113"/>
      <c r="L168" s="113"/>
      <c r="M168" s="113"/>
      <c r="N168" s="113"/>
      <c r="O168" s="113"/>
      <c r="P168" s="113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 ht="24" customHeight="1" x14ac:dyDescent="0.5">
      <c r="A169" s="3"/>
      <c r="B169" s="3"/>
      <c r="C169" s="112"/>
      <c r="D169" s="3"/>
      <c r="E169" s="112"/>
      <c r="F169" s="3"/>
      <c r="G169" s="83"/>
      <c r="H169" s="113"/>
      <c r="I169" s="113"/>
      <c r="J169" s="113"/>
      <c r="K169" s="113"/>
      <c r="L169" s="113"/>
      <c r="M169" s="113"/>
      <c r="N169" s="113"/>
      <c r="O169" s="113"/>
      <c r="P169" s="113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 ht="24" customHeight="1" x14ac:dyDescent="0.5">
      <c r="A170" s="3"/>
      <c r="B170" s="3"/>
      <c r="C170" s="112"/>
      <c r="D170" s="3"/>
      <c r="E170" s="112"/>
      <c r="F170" s="3"/>
      <c r="G170" s="83"/>
      <c r="H170" s="113"/>
      <c r="I170" s="113"/>
      <c r="J170" s="113"/>
      <c r="K170" s="113"/>
      <c r="L170" s="113"/>
      <c r="M170" s="113"/>
      <c r="N170" s="113"/>
      <c r="O170" s="113"/>
      <c r="P170" s="113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 ht="24" customHeight="1" x14ac:dyDescent="0.5">
      <c r="A171" s="3"/>
      <c r="B171" s="3"/>
      <c r="C171" s="112"/>
      <c r="D171" s="3"/>
      <c r="E171" s="112"/>
      <c r="F171" s="3"/>
      <c r="G171" s="83"/>
      <c r="H171" s="113"/>
      <c r="I171" s="113"/>
      <c r="J171" s="113"/>
      <c r="K171" s="113"/>
      <c r="L171" s="113"/>
      <c r="M171" s="113"/>
      <c r="N171" s="113"/>
      <c r="O171" s="113"/>
      <c r="P171" s="113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 ht="24" customHeight="1" x14ac:dyDescent="0.5">
      <c r="A172" s="3"/>
      <c r="B172" s="3"/>
      <c r="C172" s="112"/>
      <c r="D172" s="3"/>
      <c r="E172" s="112"/>
      <c r="F172" s="3"/>
      <c r="G172" s="83"/>
      <c r="H172" s="113"/>
      <c r="I172" s="113"/>
      <c r="J172" s="113"/>
      <c r="K172" s="113"/>
      <c r="L172" s="113"/>
      <c r="M172" s="113"/>
      <c r="N172" s="113"/>
      <c r="O172" s="113"/>
      <c r="P172" s="113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 ht="24" customHeight="1" x14ac:dyDescent="0.5">
      <c r="A173" s="3"/>
      <c r="B173" s="3"/>
      <c r="C173" s="112"/>
      <c r="D173" s="3"/>
      <c r="E173" s="112"/>
      <c r="F173" s="3"/>
      <c r="G173" s="83"/>
      <c r="H173" s="113"/>
      <c r="I173" s="113"/>
      <c r="J173" s="113"/>
      <c r="K173" s="113"/>
      <c r="L173" s="113"/>
      <c r="M173" s="113"/>
      <c r="N173" s="113"/>
      <c r="O173" s="113"/>
      <c r="P173" s="113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 ht="24" customHeight="1" x14ac:dyDescent="0.5">
      <c r="A174" s="3"/>
      <c r="B174" s="3"/>
      <c r="C174" s="112"/>
      <c r="D174" s="3"/>
      <c r="E174" s="112"/>
      <c r="F174" s="3"/>
      <c r="G174" s="83"/>
      <c r="H174" s="113"/>
      <c r="I174" s="113"/>
      <c r="J174" s="113"/>
      <c r="K174" s="113"/>
      <c r="L174" s="113"/>
      <c r="M174" s="113"/>
      <c r="N174" s="113"/>
      <c r="O174" s="113"/>
      <c r="P174" s="113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 ht="24" customHeight="1" x14ac:dyDescent="0.5">
      <c r="A175" s="3"/>
      <c r="B175" s="3"/>
      <c r="C175" s="112"/>
      <c r="D175" s="3"/>
      <c r="E175" s="112"/>
      <c r="F175" s="3"/>
      <c r="G175" s="83"/>
      <c r="H175" s="113"/>
      <c r="I175" s="113"/>
      <c r="J175" s="113"/>
      <c r="K175" s="113"/>
      <c r="L175" s="113"/>
      <c r="M175" s="113"/>
      <c r="N175" s="113"/>
      <c r="O175" s="113"/>
      <c r="P175" s="113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 ht="24" customHeight="1" x14ac:dyDescent="0.5">
      <c r="A176" s="3"/>
      <c r="B176" s="3"/>
      <c r="C176" s="112"/>
      <c r="D176" s="3"/>
      <c r="E176" s="112"/>
      <c r="F176" s="3"/>
      <c r="G176" s="83"/>
      <c r="H176" s="113"/>
      <c r="I176" s="113"/>
      <c r="J176" s="113"/>
      <c r="K176" s="113"/>
      <c r="L176" s="113"/>
      <c r="M176" s="113"/>
      <c r="N176" s="113"/>
      <c r="O176" s="113"/>
      <c r="P176" s="113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 ht="24" customHeight="1" x14ac:dyDescent="0.5">
      <c r="A177" s="3"/>
      <c r="B177" s="3"/>
      <c r="C177" s="112"/>
      <c r="D177" s="3"/>
      <c r="E177" s="112"/>
      <c r="F177" s="3"/>
      <c r="G177" s="83"/>
      <c r="H177" s="113"/>
      <c r="I177" s="113"/>
      <c r="J177" s="113"/>
      <c r="K177" s="113"/>
      <c r="L177" s="113"/>
      <c r="M177" s="113"/>
      <c r="N177" s="113"/>
      <c r="O177" s="113"/>
      <c r="P177" s="113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 ht="24" customHeight="1" x14ac:dyDescent="0.5">
      <c r="A178" s="3"/>
      <c r="B178" s="3"/>
      <c r="C178" s="112"/>
      <c r="D178" s="3"/>
      <c r="E178" s="112"/>
      <c r="F178" s="3"/>
      <c r="G178" s="83"/>
      <c r="H178" s="113"/>
      <c r="I178" s="113"/>
      <c r="J178" s="113"/>
      <c r="K178" s="113"/>
      <c r="L178" s="113"/>
      <c r="M178" s="113"/>
      <c r="N178" s="113"/>
      <c r="O178" s="113"/>
      <c r="P178" s="113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 ht="24" customHeight="1" x14ac:dyDescent="0.5">
      <c r="A179" s="3"/>
      <c r="B179" s="3"/>
      <c r="C179" s="112"/>
      <c r="D179" s="3"/>
      <c r="E179" s="112"/>
      <c r="F179" s="3"/>
      <c r="G179" s="83"/>
      <c r="H179" s="113"/>
      <c r="I179" s="113"/>
      <c r="J179" s="113"/>
      <c r="K179" s="113"/>
      <c r="L179" s="113"/>
      <c r="M179" s="113"/>
      <c r="N179" s="113"/>
      <c r="O179" s="113"/>
      <c r="P179" s="113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 ht="24" customHeight="1" x14ac:dyDescent="0.5">
      <c r="A180" s="3"/>
      <c r="B180" s="3"/>
      <c r="C180" s="112"/>
      <c r="D180" s="3"/>
      <c r="E180" s="112"/>
      <c r="F180" s="3"/>
      <c r="G180" s="83"/>
      <c r="H180" s="113"/>
      <c r="I180" s="113"/>
      <c r="J180" s="113"/>
      <c r="K180" s="113"/>
      <c r="L180" s="113"/>
      <c r="M180" s="113"/>
      <c r="N180" s="113"/>
      <c r="O180" s="113"/>
      <c r="P180" s="113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 ht="24" customHeight="1" x14ac:dyDescent="0.5">
      <c r="A181" s="3"/>
      <c r="B181" s="3"/>
      <c r="C181" s="112"/>
      <c r="D181" s="3"/>
      <c r="E181" s="112"/>
      <c r="F181" s="3"/>
      <c r="G181" s="83"/>
      <c r="H181" s="113"/>
      <c r="I181" s="113"/>
      <c r="J181" s="113"/>
      <c r="K181" s="113"/>
      <c r="L181" s="113"/>
      <c r="M181" s="113"/>
      <c r="N181" s="113"/>
      <c r="O181" s="113"/>
      <c r="P181" s="113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 ht="24" customHeight="1" x14ac:dyDescent="0.5">
      <c r="A182" s="3"/>
      <c r="B182" s="3"/>
      <c r="C182" s="112"/>
      <c r="D182" s="3"/>
      <c r="E182" s="112"/>
      <c r="F182" s="3"/>
      <c r="G182" s="83"/>
      <c r="H182" s="113"/>
      <c r="I182" s="113"/>
      <c r="J182" s="113"/>
      <c r="K182" s="113"/>
      <c r="L182" s="113"/>
      <c r="M182" s="113"/>
      <c r="N182" s="113"/>
      <c r="O182" s="113"/>
      <c r="P182" s="113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 ht="24" customHeight="1" x14ac:dyDescent="0.5">
      <c r="A183" s="3"/>
      <c r="B183" s="3"/>
      <c r="C183" s="112"/>
      <c r="D183" s="3"/>
      <c r="E183" s="112"/>
      <c r="F183" s="3"/>
      <c r="G183" s="83"/>
      <c r="H183" s="113"/>
      <c r="I183" s="113"/>
      <c r="J183" s="113"/>
      <c r="K183" s="113"/>
      <c r="L183" s="113"/>
      <c r="M183" s="113"/>
      <c r="N183" s="113"/>
      <c r="O183" s="113"/>
      <c r="P183" s="113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 ht="24" customHeight="1" x14ac:dyDescent="0.5">
      <c r="A184" s="3"/>
      <c r="B184" s="3"/>
      <c r="C184" s="112"/>
      <c r="D184" s="3"/>
      <c r="E184" s="112"/>
      <c r="F184" s="3"/>
      <c r="G184" s="83"/>
      <c r="H184" s="113"/>
      <c r="I184" s="113"/>
      <c r="J184" s="113"/>
      <c r="K184" s="113"/>
      <c r="L184" s="113"/>
      <c r="M184" s="113"/>
      <c r="N184" s="113"/>
      <c r="O184" s="113"/>
      <c r="P184" s="113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 ht="24" customHeight="1" x14ac:dyDescent="0.5">
      <c r="A185" s="3"/>
      <c r="B185" s="3"/>
      <c r="C185" s="112"/>
      <c r="D185" s="3"/>
      <c r="E185" s="112"/>
      <c r="F185" s="3"/>
      <c r="G185" s="83"/>
      <c r="H185" s="113"/>
      <c r="I185" s="113"/>
      <c r="J185" s="113"/>
      <c r="K185" s="113"/>
      <c r="L185" s="113"/>
      <c r="M185" s="113"/>
      <c r="N185" s="113"/>
      <c r="O185" s="113"/>
      <c r="P185" s="113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 ht="24" customHeight="1" x14ac:dyDescent="0.5">
      <c r="A186" s="3"/>
      <c r="B186" s="3"/>
      <c r="C186" s="112"/>
      <c r="D186" s="3"/>
      <c r="E186" s="112"/>
      <c r="F186" s="3"/>
      <c r="G186" s="83"/>
      <c r="H186" s="113"/>
      <c r="I186" s="113"/>
      <c r="J186" s="113"/>
      <c r="K186" s="113"/>
      <c r="L186" s="113"/>
      <c r="M186" s="113"/>
      <c r="N186" s="113"/>
      <c r="O186" s="113"/>
      <c r="P186" s="113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 ht="24" customHeight="1" x14ac:dyDescent="0.5">
      <c r="A187" s="3"/>
      <c r="B187" s="3"/>
      <c r="C187" s="112"/>
      <c r="D187" s="3"/>
      <c r="E187" s="112"/>
      <c r="F187" s="3"/>
      <c r="G187" s="83"/>
      <c r="H187" s="113"/>
      <c r="I187" s="113"/>
      <c r="J187" s="113"/>
      <c r="K187" s="113"/>
      <c r="L187" s="113"/>
      <c r="M187" s="113"/>
      <c r="N187" s="113"/>
      <c r="O187" s="113"/>
      <c r="P187" s="113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 ht="24" customHeight="1" x14ac:dyDescent="0.5">
      <c r="A188" s="3"/>
      <c r="B188" s="3"/>
      <c r="C188" s="112"/>
      <c r="D188" s="3"/>
      <c r="E188" s="112"/>
      <c r="F188" s="3"/>
      <c r="G188" s="83"/>
      <c r="H188" s="113"/>
      <c r="I188" s="113"/>
      <c r="J188" s="113"/>
      <c r="K188" s="113"/>
      <c r="L188" s="113"/>
      <c r="M188" s="113"/>
      <c r="N188" s="113"/>
      <c r="O188" s="113"/>
      <c r="P188" s="113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 ht="24" customHeight="1" x14ac:dyDescent="0.5">
      <c r="A189" s="3"/>
      <c r="B189" s="3"/>
      <c r="C189" s="112"/>
      <c r="D189" s="3"/>
      <c r="E189" s="112"/>
      <c r="F189" s="3"/>
      <c r="G189" s="83"/>
      <c r="H189" s="113"/>
      <c r="I189" s="113"/>
      <c r="J189" s="113"/>
      <c r="K189" s="113"/>
      <c r="L189" s="113"/>
      <c r="M189" s="113"/>
      <c r="N189" s="113"/>
      <c r="O189" s="113"/>
      <c r="P189" s="113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 ht="24" customHeight="1" x14ac:dyDescent="0.5">
      <c r="A190" s="3"/>
      <c r="B190" s="3"/>
      <c r="C190" s="112"/>
      <c r="D190" s="3"/>
      <c r="E190" s="112"/>
      <c r="F190" s="3"/>
      <c r="G190" s="83"/>
      <c r="H190" s="113"/>
      <c r="I190" s="113"/>
      <c r="J190" s="113"/>
      <c r="K190" s="113"/>
      <c r="L190" s="113"/>
      <c r="M190" s="113"/>
      <c r="N190" s="113"/>
      <c r="O190" s="113"/>
      <c r="P190" s="113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 ht="24" customHeight="1" x14ac:dyDescent="0.5">
      <c r="A191" s="3"/>
      <c r="B191" s="3"/>
      <c r="C191" s="112"/>
      <c r="D191" s="3"/>
      <c r="E191" s="112"/>
      <c r="F191" s="3"/>
      <c r="G191" s="83"/>
      <c r="H191" s="113"/>
      <c r="I191" s="113"/>
      <c r="J191" s="113"/>
      <c r="K191" s="113"/>
      <c r="L191" s="113"/>
      <c r="M191" s="113"/>
      <c r="N191" s="113"/>
      <c r="O191" s="113"/>
      <c r="P191" s="113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ht="24" customHeight="1" x14ac:dyDescent="0.5">
      <c r="A192" s="3"/>
      <c r="B192" s="3"/>
      <c r="C192" s="112"/>
      <c r="D192" s="3"/>
      <c r="E192" s="112"/>
      <c r="F192" s="3"/>
      <c r="G192" s="83"/>
      <c r="H192" s="113"/>
      <c r="I192" s="113"/>
      <c r="J192" s="113"/>
      <c r="K192" s="113"/>
      <c r="L192" s="113"/>
      <c r="M192" s="113"/>
      <c r="N192" s="113"/>
      <c r="O192" s="113"/>
      <c r="P192" s="113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 ht="24" customHeight="1" x14ac:dyDescent="0.5">
      <c r="A193" s="3"/>
      <c r="B193" s="3"/>
      <c r="C193" s="112"/>
      <c r="D193" s="3"/>
      <c r="E193" s="112"/>
      <c r="F193" s="3"/>
      <c r="G193" s="83"/>
      <c r="H193" s="113"/>
      <c r="I193" s="113"/>
      <c r="J193" s="113"/>
      <c r="K193" s="113"/>
      <c r="L193" s="113"/>
      <c r="M193" s="113"/>
      <c r="N193" s="113"/>
      <c r="O193" s="113"/>
      <c r="P193" s="113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 ht="24" customHeight="1" x14ac:dyDescent="0.5">
      <c r="A194" s="3"/>
      <c r="B194" s="3"/>
      <c r="C194" s="112"/>
      <c r="D194" s="3"/>
      <c r="E194" s="112"/>
      <c r="F194" s="3"/>
      <c r="G194" s="83"/>
      <c r="H194" s="113"/>
      <c r="I194" s="113"/>
      <c r="J194" s="113"/>
      <c r="K194" s="113"/>
      <c r="L194" s="113"/>
      <c r="M194" s="113"/>
      <c r="N194" s="113"/>
      <c r="O194" s="113"/>
      <c r="P194" s="113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 ht="24" customHeight="1" x14ac:dyDescent="0.5">
      <c r="A195" s="3"/>
      <c r="B195" s="3"/>
      <c r="C195" s="112"/>
      <c r="D195" s="3"/>
      <c r="E195" s="112"/>
      <c r="F195" s="3"/>
      <c r="G195" s="83"/>
      <c r="H195" s="113"/>
      <c r="I195" s="113"/>
      <c r="J195" s="113"/>
      <c r="K195" s="113"/>
      <c r="L195" s="113"/>
      <c r="M195" s="113"/>
      <c r="N195" s="113"/>
      <c r="O195" s="113"/>
      <c r="P195" s="113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 ht="24" customHeight="1" x14ac:dyDescent="0.5">
      <c r="A196" s="3"/>
      <c r="B196" s="3"/>
      <c r="C196" s="112"/>
      <c r="D196" s="3"/>
      <c r="E196" s="112"/>
      <c r="F196" s="3"/>
      <c r="G196" s="83"/>
      <c r="H196" s="113"/>
      <c r="I196" s="113"/>
      <c r="J196" s="113"/>
      <c r="K196" s="113"/>
      <c r="L196" s="113"/>
      <c r="M196" s="113"/>
      <c r="N196" s="113"/>
      <c r="O196" s="113"/>
      <c r="P196" s="113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ht="24" customHeight="1" x14ac:dyDescent="0.5">
      <c r="A197" s="3"/>
      <c r="B197" s="3"/>
      <c r="C197" s="112"/>
      <c r="D197" s="3"/>
      <c r="E197" s="112"/>
      <c r="F197" s="3"/>
      <c r="G197" s="83"/>
      <c r="H197" s="113"/>
      <c r="I197" s="113"/>
      <c r="J197" s="113"/>
      <c r="K197" s="113"/>
      <c r="L197" s="113"/>
      <c r="M197" s="113"/>
      <c r="N197" s="113"/>
      <c r="O197" s="113"/>
      <c r="P197" s="113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ht="24" customHeight="1" x14ac:dyDescent="0.5">
      <c r="A198" s="3"/>
      <c r="B198" s="3"/>
      <c r="C198" s="112"/>
      <c r="D198" s="3"/>
      <c r="E198" s="112"/>
      <c r="F198" s="3"/>
      <c r="G198" s="83"/>
      <c r="H198" s="113"/>
      <c r="I198" s="113"/>
      <c r="J198" s="113"/>
      <c r="K198" s="113"/>
      <c r="L198" s="113"/>
      <c r="M198" s="113"/>
      <c r="N198" s="113"/>
      <c r="O198" s="113"/>
      <c r="P198" s="113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ht="24" customHeight="1" x14ac:dyDescent="0.5">
      <c r="A199" s="3"/>
      <c r="B199" s="3"/>
      <c r="C199" s="112"/>
      <c r="D199" s="3"/>
      <c r="E199" s="112"/>
      <c r="F199" s="3"/>
      <c r="G199" s="83"/>
      <c r="H199" s="113"/>
      <c r="I199" s="113"/>
      <c r="J199" s="113"/>
      <c r="K199" s="113"/>
      <c r="L199" s="113"/>
      <c r="M199" s="113"/>
      <c r="N199" s="113"/>
      <c r="O199" s="113"/>
      <c r="P199" s="113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 ht="24" customHeight="1" x14ac:dyDescent="0.5">
      <c r="A200" s="3"/>
      <c r="B200" s="3"/>
      <c r="C200" s="112"/>
      <c r="D200" s="3"/>
      <c r="E200" s="112"/>
      <c r="F200" s="3"/>
      <c r="G200" s="83"/>
      <c r="H200" s="113"/>
      <c r="I200" s="113"/>
      <c r="J200" s="113"/>
      <c r="K200" s="113"/>
      <c r="L200" s="113"/>
      <c r="M200" s="113"/>
      <c r="N200" s="113"/>
      <c r="O200" s="113"/>
      <c r="P200" s="113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 ht="24" customHeight="1" x14ac:dyDescent="0.5">
      <c r="A201" s="3"/>
      <c r="B201" s="3"/>
      <c r="C201" s="112"/>
      <c r="D201" s="3"/>
      <c r="E201" s="112"/>
      <c r="F201" s="3"/>
      <c r="G201" s="83"/>
      <c r="H201" s="113"/>
      <c r="I201" s="113"/>
      <c r="J201" s="113"/>
      <c r="K201" s="113"/>
      <c r="L201" s="113"/>
      <c r="M201" s="113"/>
      <c r="N201" s="113"/>
      <c r="O201" s="113"/>
      <c r="P201" s="113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 ht="24" customHeight="1" x14ac:dyDescent="0.5">
      <c r="A202" s="3"/>
      <c r="B202" s="3"/>
      <c r="C202" s="112"/>
      <c r="D202" s="3"/>
      <c r="E202" s="112"/>
      <c r="F202" s="3"/>
      <c r="G202" s="83"/>
      <c r="H202" s="113"/>
      <c r="I202" s="113"/>
      <c r="J202" s="113"/>
      <c r="K202" s="113"/>
      <c r="L202" s="113"/>
      <c r="M202" s="113"/>
      <c r="N202" s="113"/>
      <c r="O202" s="113"/>
      <c r="P202" s="113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 ht="24" customHeight="1" x14ac:dyDescent="0.5">
      <c r="A203" s="3"/>
      <c r="B203" s="3"/>
      <c r="C203" s="112"/>
      <c r="D203" s="3"/>
      <c r="E203" s="112"/>
      <c r="F203" s="3"/>
      <c r="G203" s="83"/>
      <c r="H203" s="113"/>
      <c r="I203" s="113"/>
      <c r="J203" s="113"/>
      <c r="K203" s="113"/>
      <c r="L203" s="113"/>
      <c r="M203" s="113"/>
      <c r="N203" s="113"/>
      <c r="O203" s="113"/>
      <c r="P203" s="113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 ht="24" customHeight="1" x14ac:dyDescent="0.5">
      <c r="A204" s="3"/>
      <c r="B204" s="3"/>
      <c r="C204" s="112"/>
      <c r="D204" s="3"/>
      <c r="E204" s="112"/>
      <c r="F204" s="3"/>
      <c r="G204" s="83"/>
      <c r="H204" s="113"/>
      <c r="I204" s="113"/>
      <c r="J204" s="113"/>
      <c r="K204" s="113"/>
      <c r="L204" s="113"/>
      <c r="M204" s="113"/>
      <c r="N204" s="113"/>
      <c r="O204" s="113"/>
      <c r="P204" s="113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 ht="24" customHeight="1" x14ac:dyDescent="0.5">
      <c r="A205" s="3"/>
      <c r="B205" s="3"/>
      <c r="C205" s="112"/>
      <c r="D205" s="3"/>
      <c r="E205" s="112"/>
      <c r="F205" s="3"/>
      <c r="G205" s="83"/>
      <c r="H205" s="113"/>
      <c r="I205" s="113"/>
      <c r="J205" s="113"/>
      <c r="K205" s="113"/>
      <c r="L205" s="113"/>
      <c r="M205" s="113"/>
      <c r="N205" s="113"/>
      <c r="O205" s="113"/>
      <c r="P205" s="113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 ht="24" customHeight="1" x14ac:dyDescent="0.5">
      <c r="A206" s="3"/>
      <c r="B206" s="3"/>
      <c r="C206" s="112"/>
      <c r="D206" s="3"/>
      <c r="E206" s="112"/>
      <c r="F206" s="3"/>
      <c r="G206" s="83"/>
      <c r="H206" s="113"/>
      <c r="I206" s="113"/>
      <c r="J206" s="113"/>
      <c r="K206" s="113"/>
      <c r="L206" s="113"/>
      <c r="M206" s="113"/>
      <c r="N206" s="113"/>
      <c r="O206" s="113"/>
      <c r="P206" s="113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 ht="24" customHeight="1" x14ac:dyDescent="0.5">
      <c r="A207" s="3"/>
      <c r="B207" s="3"/>
      <c r="C207" s="112"/>
      <c r="D207" s="3"/>
      <c r="E207" s="112"/>
      <c r="F207" s="3"/>
      <c r="G207" s="83"/>
      <c r="H207" s="113"/>
      <c r="I207" s="113"/>
      <c r="J207" s="113"/>
      <c r="K207" s="113"/>
      <c r="L207" s="113"/>
      <c r="M207" s="113"/>
      <c r="N207" s="113"/>
      <c r="O207" s="113"/>
      <c r="P207" s="113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 ht="24" customHeight="1" x14ac:dyDescent="0.5">
      <c r="A208" s="3"/>
      <c r="B208" s="3"/>
      <c r="C208" s="112"/>
      <c r="D208" s="3"/>
      <c r="E208" s="112"/>
      <c r="F208" s="3"/>
      <c r="G208" s="83"/>
      <c r="H208" s="113"/>
      <c r="I208" s="113"/>
      <c r="J208" s="113"/>
      <c r="K208" s="113"/>
      <c r="L208" s="113"/>
      <c r="M208" s="113"/>
      <c r="N208" s="113"/>
      <c r="O208" s="113"/>
      <c r="P208" s="113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 ht="24" customHeight="1" x14ac:dyDescent="0.5">
      <c r="A209" s="3"/>
      <c r="B209" s="3"/>
      <c r="C209" s="112"/>
      <c r="D209" s="3"/>
      <c r="E209" s="112"/>
      <c r="F209" s="3"/>
      <c r="G209" s="83"/>
      <c r="H209" s="113"/>
      <c r="I209" s="113"/>
      <c r="J209" s="113"/>
      <c r="K209" s="113"/>
      <c r="L209" s="113"/>
      <c r="M209" s="113"/>
      <c r="N209" s="113"/>
      <c r="O209" s="113"/>
      <c r="P209" s="113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 ht="24" customHeight="1" x14ac:dyDescent="0.5">
      <c r="A210" s="3"/>
      <c r="B210" s="3"/>
      <c r="C210" s="112"/>
      <c r="D210" s="3"/>
      <c r="E210" s="112"/>
      <c r="F210" s="3"/>
      <c r="G210" s="83"/>
      <c r="H210" s="113"/>
      <c r="I210" s="113"/>
      <c r="J210" s="113"/>
      <c r="K210" s="113"/>
      <c r="L210" s="113"/>
      <c r="M210" s="113"/>
      <c r="N210" s="113"/>
      <c r="O210" s="113"/>
      <c r="P210" s="113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 ht="24" customHeight="1" x14ac:dyDescent="0.5">
      <c r="A211" s="3"/>
      <c r="B211" s="3"/>
      <c r="C211" s="112"/>
      <c r="D211" s="3"/>
      <c r="E211" s="112"/>
      <c r="F211" s="3"/>
      <c r="G211" s="83"/>
      <c r="H211" s="113"/>
      <c r="I211" s="113"/>
      <c r="J211" s="113"/>
      <c r="K211" s="113"/>
      <c r="L211" s="113"/>
      <c r="M211" s="113"/>
      <c r="N211" s="113"/>
      <c r="O211" s="113"/>
      <c r="P211" s="113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 ht="24" customHeight="1" x14ac:dyDescent="0.5">
      <c r="A212" s="3"/>
      <c r="B212" s="3"/>
      <c r="C212" s="112"/>
      <c r="D212" s="3"/>
      <c r="E212" s="112"/>
      <c r="F212" s="3"/>
      <c r="G212" s="83"/>
      <c r="H212" s="113"/>
      <c r="I212" s="113"/>
      <c r="J212" s="113"/>
      <c r="K212" s="113"/>
      <c r="L212" s="113"/>
      <c r="M212" s="113"/>
      <c r="N212" s="113"/>
      <c r="O212" s="113"/>
      <c r="P212" s="113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 ht="24" customHeight="1" x14ac:dyDescent="0.5">
      <c r="A213" s="3"/>
      <c r="B213" s="3"/>
      <c r="C213" s="112"/>
      <c r="D213" s="3"/>
      <c r="E213" s="112"/>
      <c r="F213" s="3"/>
      <c r="G213" s="83"/>
      <c r="H213" s="113"/>
      <c r="I213" s="113"/>
      <c r="J213" s="113"/>
      <c r="K213" s="113"/>
      <c r="L213" s="113"/>
      <c r="M213" s="113"/>
      <c r="N213" s="113"/>
      <c r="O213" s="113"/>
      <c r="P213" s="113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 ht="24" customHeight="1" x14ac:dyDescent="0.5">
      <c r="A214" s="3"/>
      <c r="B214" s="3"/>
      <c r="C214" s="112"/>
      <c r="D214" s="3"/>
      <c r="E214" s="112"/>
      <c r="F214" s="3"/>
      <c r="G214" s="83"/>
      <c r="H214" s="113"/>
      <c r="I214" s="113"/>
      <c r="J214" s="113"/>
      <c r="K214" s="113"/>
      <c r="L214" s="113"/>
      <c r="M214" s="113"/>
      <c r="N214" s="113"/>
      <c r="O214" s="113"/>
      <c r="P214" s="113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 ht="24" customHeight="1" x14ac:dyDescent="0.5">
      <c r="A215" s="3"/>
      <c r="B215" s="3"/>
      <c r="C215" s="112"/>
      <c r="D215" s="3"/>
      <c r="E215" s="112"/>
      <c r="F215" s="3"/>
      <c r="G215" s="83"/>
      <c r="H215" s="113"/>
      <c r="I215" s="113"/>
      <c r="J215" s="113"/>
      <c r="K215" s="113"/>
      <c r="L215" s="113"/>
      <c r="M215" s="113"/>
      <c r="N215" s="113"/>
      <c r="O215" s="113"/>
      <c r="P215" s="113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 ht="24" customHeight="1" x14ac:dyDescent="0.5">
      <c r="A216" s="3"/>
      <c r="B216" s="3"/>
      <c r="C216" s="112"/>
      <c r="D216" s="3"/>
      <c r="E216" s="112"/>
      <c r="F216" s="3"/>
      <c r="G216" s="83"/>
      <c r="H216" s="113"/>
      <c r="I216" s="113"/>
      <c r="J216" s="113"/>
      <c r="K216" s="113"/>
      <c r="L216" s="113"/>
      <c r="M216" s="113"/>
      <c r="N216" s="113"/>
      <c r="O216" s="113"/>
      <c r="P216" s="113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 ht="24" customHeight="1" x14ac:dyDescent="0.5">
      <c r="A217" s="3"/>
      <c r="B217" s="3"/>
      <c r="C217" s="112"/>
      <c r="D217" s="3"/>
      <c r="E217" s="112"/>
      <c r="F217" s="3"/>
      <c r="G217" s="83"/>
      <c r="H217" s="113"/>
      <c r="I217" s="113"/>
      <c r="J217" s="113"/>
      <c r="K217" s="113"/>
      <c r="L217" s="113"/>
      <c r="M217" s="113"/>
      <c r="N217" s="113"/>
      <c r="O217" s="113"/>
      <c r="P217" s="113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 ht="24" customHeight="1" x14ac:dyDescent="0.5">
      <c r="A218" s="3"/>
      <c r="B218" s="3"/>
      <c r="C218" s="112"/>
      <c r="D218" s="3"/>
      <c r="E218" s="112"/>
      <c r="F218" s="3"/>
      <c r="G218" s="83"/>
      <c r="H218" s="113"/>
      <c r="I218" s="113"/>
      <c r="J218" s="113"/>
      <c r="K218" s="113"/>
      <c r="L218" s="113"/>
      <c r="M218" s="113"/>
      <c r="N218" s="113"/>
      <c r="O218" s="113"/>
      <c r="P218" s="113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 ht="24" customHeight="1" x14ac:dyDescent="0.5">
      <c r="A219" s="3"/>
      <c r="B219" s="3"/>
      <c r="C219" s="112"/>
      <c r="D219" s="3"/>
      <c r="E219" s="112"/>
      <c r="F219" s="3"/>
      <c r="G219" s="83"/>
      <c r="H219" s="113"/>
      <c r="I219" s="113"/>
      <c r="J219" s="113"/>
      <c r="K219" s="113"/>
      <c r="L219" s="113"/>
      <c r="M219" s="113"/>
      <c r="N219" s="113"/>
      <c r="O219" s="113"/>
      <c r="P219" s="113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 ht="24" customHeight="1" x14ac:dyDescent="0.5">
      <c r="A220" s="3"/>
      <c r="B220" s="3"/>
      <c r="C220" s="112"/>
      <c r="D220" s="3"/>
      <c r="E220" s="112"/>
      <c r="F220" s="3"/>
      <c r="G220" s="83"/>
      <c r="H220" s="113"/>
      <c r="I220" s="113"/>
      <c r="J220" s="113"/>
      <c r="K220" s="113"/>
      <c r="L220" s="113"/>
      <c r="M220" s="113"/>
      <c r="N220" s="113"/>
      <c r="O220" s="113"/>
      <c r="P220" s="113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 ht="24" customHeight="1" x14ac:dyDescent="0.5">
      <c r="A221" s="3"/>
      <c r="B221" s="3"/>
      <c r="C221" s="112"/>
      <c r="D221" s="3"/>
      <c r="E221" s="112"/>
      <c r="F221" s="3"/>
      <c r="G221" s="83"/>
      <c r="H221" s="113"/>
      <c r="I221" s="113"/>
      <c r="J221" s="113"/>
      <c r="K221" s="113"/>
      <c r="L221" s="113"/>
      <c r="M221" s="113"/>
      <c r="N221" s="113"/>
      <c r="O221" s="113"/>
      <c r="P221" s="113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 ht="24" customHeight="1" x14ac:dyDescent="0.5">
      <c r="A222" s="3"/>
      <c r="B222" s="3"/>
      <c r="C222" s="112"/>
      <c r="D222" s="3"/>
      <c r="E222" s="112"/>
      <c r="F222" s="3"/>
      <c r="G222" s="83"/>
      <c r="H222" s="113"/>
      <c r="I222" s="113"/>
      <c r="J222" s="113"/>
      <c r="K222" s="113"/>
      <c r="L222" s="113"/>
      <c r="M222" s="113"/>
      <c r="N222" s="113"/>
      <c r="O222" s="113"/>
      <c r="P222" s="113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 ht="24" customHeight="1" x14ac:dyDescent="0.5">
      <c r="A223" s="3"/>
      <c r="B223" s="3"/>
      <c r="C223" s="112"/>
      <c r="D223" s="3"/>
      <c r="E223" s="112"/>
      <c r="F223" s="3"/>
      <c r="G223" s="83"/>
      <c r="H223" s="113"/>
      <c r="I223" s="113"/>
      <c r="J223" s="113"/>
      <c r="K223" s="113"/>
      <c r="L223" s="113"/>
      <c r="M223" s="113"/>
      <c r="N223" s="113"/>
      <c r="O223" s="113"/>
      <c r="P223" s="113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 ht="24" customHeight="1" x14ac:dyDescent="0.5">
      <c r="A224" s="3"/>
      <c r="B224" s="3"/>
      <c r="C224" s="112"/>
      <c r="D224" s="3"/>
      <c r="E224" s="112"/>
      <c r="F224" s="3"/>
      <c r="G224" s="83"/>
      <c r="H224" s="113"/>
      <c r="I224" s="113"/>
      <c r="J224" s="113"/>
      <c r="K224" s="113"/>
      <c r="L224" s="113"/>
      <c r="M224" s="113"/>
      <c r="N224" s="113"/>
      <c r="O224" s="113"/>
      <c r="P224" s="113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spans="1:26" ht="24" customHeight="1" x14ac:dyDescent="0.5">
      <c r="A225" s="3"/>
      <c r="B225" s="3"/>
      <c r="C225" s="112"/>
      <c r="D225" s="3"/>
      <c r="E225" s="112"/>
      <c r="F225" s="3"/>
      <c r="G225" s="83"/>
      <c r="H225" s="113"/>
      <c r="I225" s="113"/>
      <c r="J225" s="113"/>
      <c r="K225" s="113"/>
      <c r="L225" s="113"/>
      <c r="M225" s="113"/>
      <c r="N225" s="113"/>
      <c r="O225" s="113"/>
      <c r="P225" s="113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spans="1:26" ht="24" customHeight="1" x14ac:dyDescent="0.5">
      <c r="A226" s="3"/>
      <c r="B226" s="3"/>
      <c r="C226" s="112"/>
      <c r="D226" s="3"/>
      <c r="E226" s="112"/>
      <c r="F226" s="3"/>
      <c r="G226" s="83"/>
      <c r="H226" s="113"/>
      <c r="I226" s="113"/>
      <c r="J226" s="113"/>
      <c r="K226" s="113"/>
      <c r="L226" s="113"/>
      <c r="M226" s="113"/>
      <c r="N226" s="113"/>
      <c r="O226" s="113"/>
      <c r="P226" s="113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 ht="24" customHeight="1" x14ac:dyDescent="0.5">
      <c r="A227" s="3"/>
      <c r="B227" s="3"/>
      <c r="C227" s="112"/>
      <c r="D227" s="3"/>
      <c r="E227" s="112"/>
      <c r="F227" s="3"/>
      <c r="G227" s="83"/>
      <c r="H227" s="113"/>
      <c r="I227" s="113"/>
      <c r="J227" s="113"/>
      <c r="K227" s="113"/>
      <c r="L227" s="113"/>
      <c r="M227" s="113"/>
      <c r="N227" s="113"/>
      <c r="O227" s="113"/>
      <c r="P227" s="113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 ht="24" customHeight="1" x14ac:dyDescent="0.5">
      <c r="A228" s="3"/>
      <c r="B228" s="3"/>
      <c r="C228" s="112"/>
      <c r="D228" s="3"/>
      <c r="E228" s="112"/>
      <c r="F228" s="3"/>
      <c r="G228" s="83"/>
      <c r="H228" s="113"/>
      <c r="I228" s="113"/>
      <c r="J228" s="113"/>
      <c r="K228" s="113"/>
      <c r="L228" s="113"/>
      <c r="M228" s="113"/>
      <c r="N228" s="113"/>
      <c r="O228" s="113"/>
      <c r="P228" s="113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 ht="24" customHeight="1" x14ac:dyDescent="0.5">
      <c r="A229" s="3"/>
      <c r="B229" s="3"/>
      <c r="C229" s="112"/>
      <c r="D229" s="3"/>
      <c r="E229" s="112"/>
      <c r="F229" s="3"/>
      <c r="G229" s="83"/>
      <c r="H229" s="113"/>
      <c r="I229" s="113"/>
      <c r="J229" s="113"/>
      <c r="K229" s="113"/>
      <c r="L229" s="113"/>
      <c r="M229" s="113"/>
      <c r="N229" s="113"/>
      <c r="O229" s="113"/>
      <c r="P229" s="113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 ht="24" customHeight="1" x14ac:dyDescent="0.5">
      <c r="A230" s="3"/>
      <c r="B230" s="3"/>
      <c r="C230" s="112"/>
      <c r="D230" s="3"/>
      <c r="E230" s="112"/>
      <c r="F230" s="3"/>
      <c r="G230" s="83"/>
      <c r="H230" s="113"/>
      <c r="I230" s="113"/>
      <c r="J230" s="113"/>
      <c r="K230" s="113"/>
      <c r="L230" s="113"/>
      <c r="M230" s="113"/>
      <c r="N230" s="113"/>
      <c r="O230" s="113"/>
      <c r="P230" s="113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 ht="24" customHeight="1" x14ac:dyDescent="0.5">
      <c r="A231" s="3"/>
      <c r="B231" s="3"/>
      <c r="C231" s="112"/>
      <c r="D231" s="3"/>
      <c r="E231" s="112"/>
      <c r="F231" s="3"/>
      <c r="G231" s="83"/>
      <c r="H231" s="113"/>
      <c r="I231" s="113"/>
      <c r="J231" s="113"/>
      <c r="K231" s="113"/>
      <c r="L231" s="113"/>
      <c r="M231" s="113"/>
      <c r="N231" s="113"/>
      <c r="O231" s="113"/>
      <c r="P231" s="113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 ht="24" customHeight="1" x14ac:dyDescent="0.5">
      <c r="A232" s="3"/>
      <c r="B232" s="3"/>
      <c r="C232" s="112"/>
      <c r="D232" s="3"/>
      <c r="E232" s="112"/>
      <c r="F232" s="3"/>
      <c r="G232" s="83"/>
      <c r="H232" s="113"/>
      <c r="I232" s="113"/>
      <c r="J232" s="113"/>
      <c r="K232" s="113"/>
      <c r="L232" s="113"/>
      <c r="M232" s="113"/>
      <c r="N232" s="113"/>
      <c r="O232" s="113"/>
      <c r="P232" s="113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 ht="24" customHeight="1" x14ac:dyDescent="0.5">
      <c r="A233" s="3"/>
      <c r="B233" s="3"/>
      <c r="C233" s="112"/>
      <c r="D233" s="3"/>
      <c r="E233" s="112"/>
      <c r="F233" s="3"/>
      <c r="G233" s="83"/>
      <c r="H233" s="113"/>
      <c r="I233" s="113"/>
      <c r="J233" s="113"/>
      <c r="K233" s="113"/>
      <c r="L233" s="113"/>
      <c r="M233" s="113"/>
      <c r="N233" s="113"/>
      <c r="O233" s="113"/>
      <c r="P233" s="113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 ht="24" customHeight="1" x14ac:dyDescent="0.5">
      <c r="A234" s="3"/>
      <c r="B234" s="3"/>
      <c r="C234" s="112"/>
      <c r="D234" s="3"/>
      <c r="E234" s="112"/>
      <c r="F234" s="3"/>
      <c r="G234" s="83"/>
      <c r="H234" s="113"/>
      <c r="I234" s="113"/>
      <c r="J234" s="113"/>
      <c r="K234" s="113"/>
      <c r="L234" s="113"/>
      <c r="M234" s="113"/>
      <c r="N234" s="113"/>
      <c r="O234" s="113"/>
      <c r="P234" s="113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 ht="24" customHeight="1" x14ac:dyDescent="0.5">
      <c r="A235" s="3"/>
      <c r="B235" s="3"/>
      <c r="C235" s="112"/>
      <c r="D235" s="3"/>
      <c r="E235" s="112"/>
      <c r="F235" s="3"/>
      <c r="G235" s="83"/>
      <c r="H235" s="113"/>
      <c r="I235" s="113"/>
      <c r="J235" s="113"/>
      <c r="K235" s="113"/>
      <c r="L235" s="113"/>
      <c r="M235" s="113"/>
      <c r="N235" s="113"/>
      <c r="O235" s="113"/>
      <c r="P235" s="113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 ht="24" customHeight="1" x14ac:dyDescent="0.5">
      <c r="A236" s="3"/>
      <c r="B236" s="3"/>
      <c r="C236" s="112"/>
      <c r="D236" s="3"/>
      <c r="E236" s="112"/>
      <c r="F236" s="3"/>
      <c r="G236" s="83"/>
      <c r="H236" s="113"/>
      <c r="I236" s="113"/>
      <c r="J236" s="113"/>
      <c r="K236" s="113"/>
      <c r="L236" s="113"/>
      <c r="M236" s="113"/>
      <c r="N236" s="113"/>
      <c r="O236" s="113"/>
      <c r="P236" s="113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 ht="24" customHeight="1" x14ac:dyDescent="0.5">
      <c r="A237" s="3"/>
      <c r="B237" s="3"/>
      <c r="C237" s="112"/>
      <c r="D237" s="3"/>
      <c r="E237" s="112"/>
      <c r="F237" s="3"/>
      <c r="G237" s="83"/>
      <c r="H237" s="113"/>
      <c r="I237" s="113"/>
      <c r="J237" s="113"/>
      <c r="K237" s="113"/>
      <c r="L237" s="113"/>
      <c r="M237" s="113"/>
      <c r="N237" s="113"/>
      <c r="O237" s="113"/>
      <c r="P237" s="113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 ht="24" customHeight="1" x14ac:dyDescent="0.5">
      <c r="A238" s="3"/>
      <c r="B238" s="3"/>
      <c r="C238" s="112"/>
      <c r="D238" s="3"/>
      <c r="E238" s="112"/>
      <c r="F238" s="3"/>
      <c r="G238" s="83"/>
      <c r="H238" s="113"/>
      <c r="I238" s="113"/>
      <c r="J238" s="113"/>
      <c r="K238" s="113"/>
      <c r="L238" s="113"/>
      <c r="M238" s="113"/>
      <c r="N238" s="113"/>
      <c r="O238" s="113"/>
      <c r="P238" s="113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 ht="24" customHeight="1" x14ac:dyDescent="0.5">
      <c r="A239" s="3"/>
      <c r="B239" s="3"/>
      <c r="C239" s="112"/>
      <c r="D239" s="3"/>
      <c r="E239" s="112"/>
      <c r="F239" s="3"/>
      <c r="G239" s="83"/>
      <c r="H239" s="113"/>
      <c r="I239" s="113"/>
      <c r="J239" s="113"/>
      <c r="K239" s="113"/>
      <c r="L239" s="113"/>
      <c r="M239" s="113"/>
      <c r="N239" s="113"/>
      <c r="O239" s="113"/>
      <c r="P239" s="113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 ht="24" customHeight="1" x14ac:dyDescent="0.5">
      <c r="A240" s="3"/>
      <c r="B240" s="3"/>
      <c r="C240" s="112"/>
      <c r="D240" s="3"/>
      <c r="E240" s="112"/>
      <c r="F240" s="3"/>
      <c r="G240" s="83"/>
      <c r="H240" s="113"/>
      <c r="I240" s="113"/>
      <c r="J240" s="113"/>
      <c r="K240" s="113"/>
      <c r="L240" s="113"/>
      <c r="M240" s="113"/>
      <c r="N240" s="113"/>
      <c r="O240" s="113"/>
      <c r="P240" s="113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 ht="24" customHeight="1" x14ac:dyDescent="0.5">
      <c r="A241" s="3"/>
      <c r="B241" s="3"/>
      <c r="C241" s="112"/>
      <c r="D241" s="3"/>
      <c r="E241" s="112"/>
      <c r="F241" s="3"/>
      <c r="G241" s="83"/>
      <c r="H241" s="113"/>
      <c r="I241" s="113"/>
      <c r="J241" s="113"/>
      <c r="K241" s="113"/>
      <c r="L241" s="113"/>
      <c r="M241" s="113"/>
      <c r="N241" s="113"/>
      <c r="O241" s="113"/>
      <c r="P241" s="113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 ht="24" customHeight="1" x14ac:dyDescent="0.5">
      <c r="A242" s="3"/>
      <c r="B242" s="3"/>
      <c r="C242" s="112"/>
      <c r="D242" s="3"/>
      <c r="E242" s="112"/>
      <c r="F242" s="3"/>
      <c r="G242" s="83"/>
      <c r="H242" s="113"/>
      <c r="I242" s="113"/>
      <c r="J242" s="113"/>
      <c r="K242" s="113"/>
      <c r="L242" s="113"/>
      <c r="M242" s="113"/>
      <c r="N242" s="113"/>
      <c r="O242" s="113"/>
      <c r="P242" s="113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 ht="24" customHeight="1" x14ac:dyDescent="0.5">
      <c r="A243" s="3"/>
      <c r="B243" s="3"/>
      <c r="C243" s="112"/>
      <c r="D243" s="3"/>
      <c r="E243" s="112"/>
      <c r="F243" s="3"/>
      <c r="G243" s="83"/>
      <c r="H243" s="113"/>
      <c r="I243" s="113"/>
      <c r="J243" s="113"/>
      <c r="K243" s="113"/>
      <c r="L243" s="113"/>
      <c r="M243" s="113"/>
      <c r="N243" s="113"/>
      <c r="O243" s="113"/>
      <c r="P243" s="113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 ht="24" customHeight="1" x14ac:dyDescent="0.5">
      <c r="A244" s="3"/>
      <c r="B244" s="3"/>
      <c r="C244" s="112"/>
      <c r="D244" s="3"/>
      <c r="E244" s="112"/>
      <c r="F244" s="3"/>
      <c r="G244" s="83"/>
      <c r="H244" s="113"/>
      <c r="I244" s="113"/>
      <c r="J244" s="113"/>
      <c r="K244" s="113"/>
      <c r="L244" s="113"/>
      <c r="M244" s="113"/>
      <c r="N244" s="113"/>
      <c r="O244" s="113"/>
      <c r="P244" s="113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 ht="24" customHeight="1" x14ac:dyDescent="0.5">
      <c r="A245" s="3"/>
      <c r="B245" s="3"/>
      <c r="C245" s="112"/>
      <c r="D245" s="3"/>
      <c r="E245" s="112"/>
      <c r="F245" s="3"/>
      <c r="G245" s="83"/>
      <c r="H245" s="113"/>
      <c r="I245" s="113"/>
      <c r="J245" s="113"/>
      <c r="K245" s="113"/>
      <c r="L245" s="113"/>
      <c r="M245" s="113"/>
      <c r="N245" s="113"/>
      <c r="O245" s="113"/>
      <c r="P245" s="113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 ht="24" customHeight="1" x14ac:dyDescent="0.5">
      <c r="A246" s="3"/>
      <c r="B246" s="3"/>
      <c r="C246" s="112"/>
      <c r="D246" s="3"/>
      <c r="E246" s="112"/>
      <c r="F246" s="3"/>
      <c r="G246" s="83"/>
      <c r="H246" s="113"/>
      <c r="I246" s="113"/>
      <c r="J246" s="113"/>
      <c r="K246" s="113"/>
      <c r="L246" s="113"/>
      <c r="M246" s="113"/>
      <c r="N246" s="113"/>
      <c r="O246" s="113"/>
      <c r="P246" s="113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 ht="24" customHeight="1" x14ac:dyDescent="0.5">
      <c r="A247" s="3"/>
      <c r="B247" s="3"/>
      <c r="C247" s="112"/>
      <c r="D247" s="3"/>
      <c r="E247" s="112"/>
      <c r="F247" s="3"/>
      <c r="G247" s="83"/>
      <c r="H247" s="113"/>
      <c r="I247" s="113"/>
      <c r="J247" s="113"/>
      <c r="K247" s="113"/>
      <c r="L247" s="113"/>
      <c r="M247" s="113"/>
      <c r="N247" s="113"/>
      <c r="O247" s="113"/>
      <c r="P247" s="113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 ht="24" customHeight="1" x14ac:dyDescent="0.5">
      <c r="A248" s="3"/>
      <c r="B248" s="3"/>
      <c r="C248" s="112"/>
      <c r="D248" s="3"/>
      <c r="E248" s="112"/>
      <c r="F248" s="3"/>
      <c r="G248" s="83"/>
      <c r="H248" s="113"/>
      <c r="I248" s="113"/>
      <c r="J248" s="113"/>
      <c r="K248" s="113"/>
      <c r="L248" s="113"/>
      <c r="M248" s="113"/>
      <c r="N248" s="113"/>
      <c r="O248" s="113"/>
      <c r="P248" s="113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 ht="24" customHeight="1" x14ac:dyDescent="0.5">
      <c r="A249" s="3"/>
      <c r="B249" s="3"/>
      <c r="C249" s="112"/>
      <c r="D249" s="3"/>
      <c r="E249" s="112"/>
      <c r="F249" s="3"/>
      <c r="G249" s="83"/>
      <c r="H249" s="113"/>
      <c r="I249" s="113"/>
      <c r="J249" s="113"/>
      <c r="K249" s="113"/>
      <c r="L249" s="113"/>
      <c r="M249" s="113"/>
      <c r="N249" s="113"/>
      <c r="O249" s="113"/>
      <c r="P249" s="113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 ht="24" customHeight="1" x14ac:dyDescent="0.5">
      <c r="A250" s="3"/>
      <c r="B250" s="3"/>
      <c r="C250" s="112"/>
      <c r="D250" s="3"/>
      <c r="E250" s="112"/>
      <c r="F250" s="3"/>
      <c r="G250" s="83"/>
      <c r="H250" s="113"/>
      <c r="I250" s="113"/>
      <c r="J250" s="113"/>
      <c r="K250" s="113"/>
      <c r="L250" s="113"/>
      <c r="M250" s="113"/>
      <c r="N250" s="113"/>
      <c r="O250" s="113"/>
      <c r="P250" s="113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 ht="24" customHeight="1" x14ac:dyDescent="0.5">
      <c r="A251" s="3"/>
      <c r="B251" s="3"/>
      <c r="C251" s="112"/>
      <c r="D251" s="3"/>
      <c r="E251" s="112"/>
      <c r="F251" s="3"/>
      <c r="G251" s="83"/>
      <c r="H251" s="113"/>
      <c r="I251" s="113"/>
      <c r="J251" s="113"/>
      <c r="K251" s="113"/>
      <c r="L251" s="113"/>
      <c r="M251" s="113"/>
      <c r="N251" s="113"/>
      <c r="O251" s="113"/>
      <c r="P251" s="113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 ht="24" customHeight="1" x14ac:dyDescent="0.5">
      <c r="A252" s="3"/>
      <c r="B252" s="3"/>
      <c r="C252" s="112"/>
      <c r="D252" s="3"/>
      <c r="E252" s="112"/>
      <c r="F252" s="3"/>
      <c r="G252" s="83"/>
      <c r="H252" s="113"/>
      <c r="I252" s="113"/>
      <c r="J252" s="113"/>
      <c r="K252" s="113"/>
      <c r="L252" s="113"/>
      <c r="M252" s="113"/>
      <c r="N252" s="113"/>
      <c r="O252" s="113"/>
      <c r="P252" s="113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 ht="24" customHeight="1" x14ac:dyDescent="0.5">
      <c r="A253" s="3"/>
      <c r="B253" s="3"/>
      <c r="C253" s="112"/>
      <c r="D253" s="3"/>
      <c r="E253" s="112"/>
      <c r="F253" s="3"/>
      <c r="G253" s="83"/>
      <c r="H253" s="113"/>
      <c r="I253" s="113"/>
      <c r="J253" s="113"/>
      <c r="K253" s="113"/>
      <c r="L253" s="113"/>
      <c r="M253" s="113"/>
      <c r="N253" s="113"/>
      <c r="O253" s="113"/>
      <c r="P253" s="113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 ht="24" customHeight="1" x14ac:dyDescent="0.5">
      <c r="A254" s="3"/>
      <c r="B254" s="3"/>
      <c r="C254" s="112"/>
      <c r="D254" s="3"/>
      <c r="E254" s="112"/>
      <c r="F254" s="3"/>
      <c r="G254" s="83"/>
      <c r="H254" s="113"/>
      <c r="I254" s="113"/>
      <c r="J254" s="113"/>
      <c r="K254" s="113"/>
      <c r="L254" s="113"/>
      <c r="M254" s="113"/>
      <c r="N254" s="113"/>
      <c r="O254" s="113"/>
      <c r="P254" s="113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 ht="24" customHeight="1" x14ac:dyDescent="0.5">
      <c r="A255" s="3"/>
      <c r="B255" s="3"/>
      <c r="C255" s="112"/>
      <c r="D255" s="3"/>
      <c r="E255" s="112"/>
      <c r="F255" s="3"/>
      <c r="G255" s="83"/>
      <c r="H255" s="113"/>
      <c r="I255" s="113"/>
      <c r="J255" s="113"/>
      <c r="K255" s="113"/>
      <c r="L255" s="113"/>
      <c r="M255" s="113"/>
      <c r="N255" s="113"/>
      <c r="O255" s="113"/>
      <c r="P255" s="113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 ht="24" customHeight="1" x14ac:dyDescent="0.5">
      <c r="A256" s="3"/>
      <c r="B256" s="3"/>
      <c r="C256" s="112"/>
      <c r="D256" s="3"/>
      <c r="E256" s="112"/>
      <c r="F256" s="3"/>
      <c r="G256" s="83"/>
      <c r="H256" s="113"/>
      <c r="I256" s="113"/>
      <c r="J256" s="113"/>
      <c r="K256" s="113"/>
      <c r="L256" s="113"/>
      <c r="M256" s="113"/>
      <c r="N256" s="113"/>
      <c r="O256" s="113"/>
      <c r="P256" s="113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 ht="24" customHeight="1" x14ac:dyDescent="0.5">
      <c r="A257" s="3"/>
      <c r="B257" s="3"/>
      <c r="C257" s="112"/>
      <c r="D257" s="3"/>
      <c r="E257" s="112"/>
      <c r="F257" s="3"/>
      <c r="G257" s="83"/>
      <c r="H257" s="113"/>
      <c r="I257" s="113"/>
      <c r="J257" s="113"/>
      <c r="K257" s="113"/>
      <c r="L257" s="113"/>
      <c r="M257" s="113"/>
      <c r="N257" s="113"/>
      <c r="O257" s="113"/>
      <c r="P257" s="113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 ht="24" customHeight="1" x14ac:dyDescent="0.5">
      <c r="A258" s="3"/>
      <c r="B258" s="3"/>
      <c r="C258" s="112"/>
      <c r="D258" s="3"/>
      <c r="E258" s="112"/>
      <c r="F258" s="3"/>
      <c r="G258" s="83"/>
      <c r="H258" s="113"/>
      <c r="I258" s="113"/>
      <c r="J258" s="113"/>
      <c r="K258" s="113"/>
      <c r="L258" s="113"/>
      <c r="M258" s="113"/>
      <c r="N258" s="113"/>
      <c r="O258" s="113"/>
      <c r="P258" s="113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 ht="24" customHeight="1" x14ac:dyDescent="0.5">
      <c r="A259" s="3"/>
      <c r="B259" s="3"/>
      <c r="C259" s="112"/>
      <c r="D259" s="3"/>
      <c r="E259" s="112"/>
      <c r="F259" s="3"/>
      <c r="G259" s="83"/>
      <c r="H259" s="113"/>
      <c r="I259" s="113"/>
      <c r="J259" s="113"/>
      <c r="K259" s="113"/>
      <c r="L259" s="113"/>
      <c r="M259" s="113"/>
      <c r="N259" s="113"/>
      <c r="O259" s="113"/>
      <c r="P259" s="113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 ht="24" customHeight="1" x14ac:dyDescent="0.5">
      <c r="A260" s="3"/>
      <c r="B260" s="3"/>
      <c r="C260" s="112"/>
      <c r="D260" s="3"/>
      <c r="E260" s="112"/>
      <c r="F260" s="3"/>
      <c r="G260" s="83"/>
      <c r="H260" s="113"/>
      <c r="I260" s="113"/>
      <c r="J260" s="113"/>
      <c r="K260" s="113"/>
      <c r="L260" s="113"/>
      <c r="M260" s="113"/>
      <c r="N260" s="113"/>
      <c r="O260" s="113"/>
      <c r="P260" s="113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 ht="24" customHeight="1" x14ac:dyDescent="0.5">
      <c r="A261" s="3"/>
      <c r="B261" s="3"/>
      <c r="C261" s="112"/>
      <c r="D261" s="3"/>
      <c r="E261" s="112"/>
      <c r="F261" s="3"/>
      <c r="G261" s="83"/>
      <c r="H261" s="113"/>
      <c r="I261" s="113"/>
      <c r="J261" s="113"/>
      <c r="K261" s="113"/>
      <c r="L261" s="113"/>
      <c r="M261" s="113"/>
      <c r="N261" s="113"/>
      <c r="O261" s="113"/>
      <c r="P261" s="113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 ht="24" customHeight="1" x14ac:dyDescent="0.5">
      <c r="A262" s="3"/>
      <c r="B262" s="3"/>
      <c r="C262" s="112"/>
      <c r="D262" s="3"/>
      <c r="E262" s="112"/>
      <c r="F262" s="3"/>
      <c r="G262" s="83"/>
      <c r="H262" s="113"/>
      <c r="I262" s="113"/>
      <c r="J262" s="113"/>
      <c r="K262" s="113"/>
      <c r="L262" s="113"/>
      <c r="M262" s="113"/>
      <c r="N262" s="113"/>
      <c r="O262" s="113"/>
      <c r="P262" s="113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 ht="24" customHeight="1" x14ac:dyDescent="0.5">
      <c r="A263" s="3"/>
      <c r="B263" s="3"/>
      <c r="C263" s="112"/>
      <c r="D263" s="3"/>
      <c r="E263" s="112"/>
      <c r="F263" s="3"/>
      <c r="G263" s="83"/>
      <c r="H263" s="113"/>
      <c r="I263" s="113"/>
      <c r="J263" s="113"/>
      <c r="K263" s="113"/>
      <c r="L263" s="113"/>
      <c r="M263" s="113"/>
      <c r="N263" s="113"/>
      <c r="O263" s="113"/>
      <c r="P263" s="113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 ht="24" customHeight="1" x14ac:dyDescent="0.5">
      <c r="A264" s="3"/>
      <c r="B264" s="3"/>
      <c r="C264" s="112"/>
      <c r="D264" s="3"/>
      <c r="E264" s="112"/>
      <c r="F264" s="3"/>
      <c r="G264" s="83"/>
      <c r="H264" s="113"/>
      <c r="I264" s="113"/>
      <c r="J264" s="113"/>
      <c r="K264" s="113"/>
      <c r="L264" s="113"/>
      <c r="M264" s="113"/>
      <c r="N264" s="113"/>
      <c r="O264" s="113"/>
      <c r="P264" s="113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 ht="24" customHeight="1" x14ac:dyDescent="0.5">
      <c r="A265" s="3"/>
      <c r="B265" s="3"/>
      <c r="C265" s="112"/>
      <c r="D265" s="3"/>
      <c r="E265" s="112"/>
      <c r="F265" s="3"/>
      <c r="G265" s="83"/>
      <c r="H265" s="113"/>
      <c r="I265" s="113"/>
      <c r="J265" s="113"/>
      <c r="K265" s="113"/>
      <c r="L265" s="113"/>
      <c r="M265" s="113"/>
      <c r="N265" s="113"/>
      <c r="O265" s="113"/>
      <c r="P265" s="113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 ht="24" customHeight="1" x14ac:dyDescent="0.5">
      <c r="A266" s="3"/>
      <c r="B266" s="3"/>
      <c r="C266" s="112"/>
      <c r="D266" s="3"/>
      <c r="E266" s="112"/>
      <c r="F266" s="3"/>
      <c r="G266" s="83"/>
      <c r="H266" s="113"/>
      <c r="I266" s="113"/>
      <c r="J266" s="113"/>
      <c r="K266" s="113"/>
      <c r="L266" s="113"/>
      <c r="M266" s="113"/>
      <c r="N266" s="113"/>
      <c r="O266" s="113"/>
      <c r="P266" s="113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 ht="24" customHeight="1" x14ac:dyDescent="0.5">
      <c r="A267" s="3"/>
      <c r="B267" s="3"/>
      <c r="C267" s="112"/>
      <c r="D267" s="3"/>
      <c r="E267" s="112"/>
      <c r="F267" s="3"/>
      <c r="G267" s="83"/>
      <c r="H267" s="113"/>
      <c r="I267" s="113"/>
      <c r="J267" s="113"/>
      <c r="K267" s="113"/>
      <c r="L267" s="113"/>
      <c r="M267" s="113"/>
      <c r="N267" s="113"/>
      <c r="O267" s="113"/>
      <c r="P267" s="113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 ht="24" customHeight="1" x14ac:dyDescent="0.5">
      <c r="A268" s="3"/>
      <c r="B268" s="3"/>
      <c r="C268" s="112"/>
      <c r="D268" s="3"/>
      <c r="E268" s="112"/>
      <c r="F268" s="3"/>
      <c r="G268" s="83"/>
      <c r="H268" s="113"/>
      <c r="I268" s="113"/>
      <c r="J268" s="113"/>
      <c r="K268" s="113"/>
      <c r="L268" s="113"/>
      <c r="M268" s="113"/>
      <c r="N268" s="113"/>
      <c r="O268" s="113"/>
      <c r="P268" s="113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 ht="24" customHeight="1" x14ac:dyDescent="0.5">
      <c r="A269" s="3"/>
      <c r="B269" s="3"/>
      <c r="C269" s="112"/>
      <c r="D269" s="3"/>
      <c r="E269" s="112"/>
      <c r="F269" s="3"/>
      <c r="G269" s="83"/>
      <c r="H269" s="113"/>
      <c r="I269" s="113"/>
      <c r="J269" s="113"/>
      <c r="K269" s="113"/>
      <c r="L269" s="113"/>
      <c r="M269" s="113"/>
      <c r="N269" s="113"/>
      <c r="O269" s="113"/>
      <c r="P269" s="113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 ht="24" customHeight="1" x14ac:dyDescent="0.5">
      <c r="A270" s="3"/>
      <c r="B270" s="3"/>
      <c r="C270" s="112"/>
      <c r="D270" s="3"/>
      <c r="E270" s="112"/>
      <c r="F270" s="3"/>
      <c r="G270" s="83"/>
      <c r="H270" s="113"/>
      <c r="I270" s="113"/>
      <c r="J270" s="113"/>
      <c r="K270" s="113"/>
      <c r="L270" s="113"/>
      <c r="M270" s="113"/>
      <c r="N270" s="113"/>
      <c r="O270" s="113"/>
      <c r="P270" s="113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 ht="24" customHeight="1" x14ac:dyDescent="0.5">
      <c r="A271" s="3"/>
      <c r="B271" s="3"/>
      <c r="C271" s="112"/>
      <c r="D271" s="3"/>
      <c r="E271" s="112"/>
      <c r="F271" s="3"/>
      <c r="G271" s="83"/>
      <c r="H271" s="113"/>
      <c r="I271" s="113"/>
      <c r="J271" s="113"/>
      <c r="K271" s="113"/>
      <c r="L271" s="113"/>
      <c r="M271" s="113"/>
      <c r="N271" s="113"/>
      <c r="O271" s="113"/>
      <c r="P271" s="113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 ht="24" customHeight="1" x14ac:dyDescent="0.5">
      <c r="A272" s="3"/>
      <c r="B272" s="3"/>
      <c r="C272" s="112"/>
      <c r="D272" s="3"/>
      <c r="E272" s="112"/>
      <c r="F272" s="3"/>
      <c r="G272" s="83"/>
      <c r="H272" s="113"/>
      <c r="I272" s="113"/>
      <c r="J272" s="113"/>
      <c r="K272" s="113"/>
      <c r="L272" s="113"/>
      <c r="M272" s="113"/>
      <c r="N272" s="113"/>
      <c r="O272" s="113"/>
      <c r="P272" s="113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 ht="24" customHeight="1" x14ac:dyDescent="0.5">
      <c r="A273" s="3"/>
      <c r="B273" s="3"/>
      <c r="C273" s="112"/>
      <c r="D273" s="3"/>
      <c r="E273" s="112"/>
      <c r="F273" s="3"/>
      <c r="G273" s="83"/>
      <c r="H273" s="113"/>
      <c r="I273" s="113"/>
      <c r="J273" s="113"/>
      <c r="K273" s="113"/>
      <c r="L273" s="113"/>
      <c r="M273" s="113"/>
      <c r="N273" s="113"/>
      <c r="O273" s="113"/>
      <c r="P273" s="113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 ht="24" customHeight="1" x14ac:dyDescent="0.5">
      <c r="A274" s="3"/>
      <c r="B274" s="3"/>
      <c r="C274" s="112"/>
      <c r="D274" s="3"/>
      <c r="E274" s="112"/>
      <c r="F274" s="3"/>
      <c r="G274" s="83"/>
      <c r="H274" s="113"/>
      <c r="I274" s="113"/>
      <c r="J274" s="113"/>
      <c r="K274" s="113"/>
      <c r="L274" s="113"/>
      <c r="M274" s="113"/>
      <c r="N274" s="113"/>
      <c r="O274" s="113"/>
      <c r="P274" s="113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 ht="24" customHeight="1" x14ac:dyDescent="0.5">
      <c r="A275" s="3"/>
      <c r="B275" s="3"/>
      <c r="C275" s="112"/>
      <c r="D275" s="3"/>
      <c r="E275" s="112"/>
      <c r="F275" s="3"/>
      <c r="G275" s="83"/>
      <c r="H275" s="113"/>
      <c r="I275" s="113"/>
      <c r="J275" s="113"/>
      <c r="K275" s="113"/>
      <c r="L275" s="113"/>
      <c r="M275" s="113"/>
      <c r="N275" s="113"/>
      <c r="O275" s="113"/>
      <c r="P275" s="113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 ht="24" customHeight="1" x14ac:dyDescent="0.5">
      <c r="A276" s="3"/>
      <c r="B276" s="3"/>
      <c r="C276" s="112"/>
      <c r="D276" s="3"/>
      <c r="E276" s="112"/>
      <c r="F276" s="3"/>
      <c r="G276" s="83"/>
      <c r="H276" s="113"/>
      <c r="I276" s="113"/>
      <c r="J276" s="113"/>
      <c r="K276" s="113"/>
      <c r="L276" s="113"/>
      <c r="M276" s="113"/>
      <c r="N276" s="113"/>
      <c r="O276" s="113"/>
      <c r="P276" s="113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 ht="24" customHeight="1" x14ac:dyDescent="0.5">
      <c r="A277" s="3"/>
      <c r="B277" s="3"/>
      <c r="C277" s="112"/>
      <c r="D277" s="3"/>
      <c r="E277" s="112"/>
      <c r="F277" s="3"/>
      <c r="G277" s="83"/>
      <c r="H277" s="113"/>
      <c r="I277" s="113"/>
      <c r="J277" s="113"/>
      <c r="K277" s="113"/>
      <c r="L277" s="113"/>
      <c r="M277" s="113"/>
      <c r="N277" s="113"/>
      <c r="O277" s="113"/>
      <c r="P277" s="113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 ht="24" customHeight="1" x14ac:dyDescent="0.5">
      <c r="A278" s="3"/>
      <c r="B278" s="3"/>
      <c r="C278" s="112"/>
      <c r="D278" s="3"/>
      <c r="E278" s="112"/>
      <c r="F278" s="3"/>
      <c r="G278" s="83"/>
      <c r="H278" s="113"/>
      <c r="I278" s="113"/>
      <c r="J278" s="113"/>
      <c r="K278" s="113"/>
      <c r="L278" s="113"/>
      <c r="M278" s="113"/>
      <c r="N278" s="113"/>
      <c r="O278" s="113"/>
      <c r="P278" s="113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 ht="24" customHeight="1" x14ac:dyDescent="0.5">
      <c r="A279" s="3"/>
      <c r="B279" s="3"/>
      <c r="C279" s="112"/>
      <c r="D279" s="3"/>
      <c r="E279" s="112"/>
      <c r="F279" s="3"/>
      <c r="G279" s="83"/>
      <c r="H279" s="113"/>
      <c r="I279" s="113"/>
      <c r="J279" s="113"/>
      <c r="K279" s="113"/>
      <c r="L279" s="113"/>
      <c r="M279" s="113"/>
      <c r="N279" s="113"/>
      <c r="O279" s="113"/>
      <c r="P279" s="113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 ht="24" customHeight="1" x14ac:dyDescent="0.5">
      <c r="A280" s="3"/>
      <c r="B280" s="3"/>
      <c r="C280" s="112"/>
      <c r="D280" s="3"/>
      <c r="E280" s="112"/>
      <c r="F280" s="3"/>
      <c r="G280" s="83"/>
      <c r="H280" s="113"/>
      <c r="I280" s="113"/>
      <c r="J280" s="113"/>
      <c r="K280" s="113"/>
      <c r="L280" s="113"/>
      <c r="M280" s="113"/>
      <c r="N280" s="113"/>
      <c r="O280" s="113"/>
      <c r="P280" s="113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 ht="24" customHeight="1" x14ac:dyDescent="0.5">
      <c r="A281" s="3"/>
      <c r="B281" s="3"/>
      <c r="C281" s="112"/>
      <c r="D281" s="3"/>
      <c r="E281" s="112"/>
      <c r="F281" s="3"/>
      <c r="G281" s="83"/>
      <c r="H281" s="113"/>
      <c r="I281" s="113"/>
      <c r="J281" s="113"/>
      <c r="K281" s="113"/>
      <c r="L281" s="113"/>
      <c r="M281" s="113"/>
      <c r="N281" s="113"/>
      <c r="O281" s="113"/>
      <c r="P281" s="113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 ht="24" customHeight="1" x14ac:dyDescent="0.5">
      <c r="A282" s="3"/>
      <c r="B282" s="3"/>
      <c r="C282" s="112"/>
      <c r="D282" s="3"/>
      <c r="E282" s="112"/>
      <c r="F282" s="3"/>
      <c r="G282" s="83"/>
      <c r="H282" s="113"/>
      <c r="I282" s="113"/>
      <c r="J282" s="113"/>
      <c r="K282" s="113"/>
      <c r="L282" s="113"/>
      <c r="M282" s="113"/>
      <c r="N282" s="113"/>
      <c r="O282" s="113"/>
      <c r="P282" s="113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 ht="24" customHeight="1" x14ac:dyDescent="0.5">
      <c r="A283" s="3"/>
      <c r="B283" s="3"/>
      <c r="C283" s="112"/>
      <c r="D283" s="3"/>
      <c r="E283" s="112"/>
      <c r="F283" s="3"/>
      <c r="G283" s="83"/>
      <c r="H283" s="113"/>
      <c r="I283" s="113"/>
      <c r="J283" s="113"/>
      <c r="K283" s="113"/>
      <c r="L283" s="113"/>
      <c r="M283" s="113"/>
      <c r="N283" s="113"/>
      <c r="O283" s="113"/>
      <c r="P283" s="113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 ht="24" customHeight="1" x14ac:dyDescent="0.5">
      <c r="A284" s="3"/>
      <c r="B284" s="3"/>
      <c r="C284" s="112"/>
      <c r="D284" s="3"/>
      <c r="E284" s="112"/>
      <c r="F284" s="3"/>
      <c r="G284" s="83"/>
      <c r="H284" s="113"/>
      <c r="I284" s="113"/>
      <c r="J284" s="113"/>
      <c r="K284" s="113"/>
      <c r="L284" s="113"/>
      <c r="M284" s="113"/>
      <c r="N284" s="113"/>
      <c r="O284" s="113"/>
      <c r="P284" s="113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 ht="24" customHeight="1" x14ac:dyDescent="0.5">
      <c r="A285" s="3"/>
      <c r="B285" s="3"/>
      <c r="C285" s="112"/>
      <c r="D285" s="3"/>
      <c r="E285" s="112"/>
      <c r="F285" s="3"/>
      <c r="G285" s="83"/>
      <c r="H285" s="113"/>
      <c r="I285" s="113"/>
      <c r="J285" s="113"/>
      <c r="K285" s="113"/>
      <c r="L285" s="113"/>
      <c r="M285" s="113"/>
      <c r="N285" s="113"/>
      <c r="O285" s="113"/>
      <c r="P285" s="113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 ht="24" customHeight="1" x14ac:dyDescent="0.5">
      <c r="A286" s="3"/>
      <c r="B286" s="3"/>
      <c r="C286" s="112"/>
      <c r="D286" s="3"/>
      <c r="E286" s="112"/>
      <c r="F286" s="3"/>
      <c r="G286" s="83"/>
      <c r="H286" s="113"/>
      <c r="I286" s="113"/>
      <c r="J286" s="113"/>
      <c r="K286" s="113"/>
      <c r="L286" s="113"/>
      <c r="M286" s="113"/>
      <c r="N286" s="113"/>
      <c r="O286" s="113"/>
      <c r="P286" s="113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 ht="24" customHeight="1" x14ac:dyDescent="0.5">
      <c r="A287" s="3"/>
      <c r="B287" s="3"/>
      <c r="C287" s="112"/>
      <c r="D287" s="3"/>
      <c r="E287" s="112"/>
      <c r="F287" s="3"/>
      <c r="G287" s="83"/>
      <c r="H287" s="113"/>
      <c r="I287" s="113"/>
      <c r="J287" s="113"/>
      <c r="K287" s="113"/>
      <c r="L287" s="113"/>
      <c r="M287" s="113"/>
      <c r="N287" s="113"/>
      <c r="O287" s="113"/>
      <c r="P287" s="113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 ht="24" customHeight="1" x14ac:dyDescent="0.5">
      <c r="A288" s="3"/>
      <c r="B288" s="3"/>
      <c r="C288" s="112"/>
      <c r="D288" s="3"/>
      <c r="E288" s="112"/>
      <c r="F288" s="3"/>
      <c r="G288" s="83"/>
      <c r="H288" s="113"/>
      <c r="I288" s="113"/>
      <c r="J288" s="113"/>
      <c r="K288" s="113"/>
      <c r="L288" s="113"/>
      <c r="M288" s="113"/>
      <c r="N288" s="113"/>
      <c r="O288" s="113"/>
      <c r="P288" s="113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 ht="24" customHeight="1" x14ac:dyDescent="0.5">
      <c r="A289" s="3"/>
      <c r="B289" s="3"/>
      <c r="C289" s="112"/>
      <c r="D289" s="3"/>
      <c r="E289" s="112"/>
      <c r="F289" s="3"/>
      <c r="G289" s="83"/>
      <c r="H289" s="113"/>
      <c r="I289" s="113"/>
      <c r="J289" s="113"/>
      <c r="K289" s="113"/>
      <c r="L289" s="113"/>
      <c r="M289" s="113"/>
      <c r="N289" s="113"/>
      <c r="O289" s="113"/>
      <c r="P289" s="113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 ht="24" customHeight="1" x14ac:dyDescent="0.5">
      <c r="A290" s="3"/>
      <c r="B290" s="3"/>
      <c r="C290" s="112"/>
      <c r="D290" s="3"/>
      <c r="E290" s="112"/>
      <c r="F290" s="3"/>
      <c r="G290" s="83"/>
      <c r="H290" s="113"/>
      <c r="I290" s="113"/>
      <c r="J290" s="113"/>
      <c r="K290" s="113"/>
      <c r="L290" s="113"/>
      <c r="M290" s="113"/>
      <c r="N290" s="113"/>
      <c r="O290" s="113"/>
      <c r="P290" s="113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 ht="24" customHeight="1" x14ac:dyDescent="0.5">
      <c r="A291" s="3"/>
      <c r="B291" s="3"/>
      <c r="C291" s="112"/>
      <c r="D291" s="3"/>
      <c r="E291" s="112"/>
      <c r="F291" s="3"/>
      <c r="G291" s="83"/>
      <c r="H291" s="113"/>
      <c r="I291" s="113"/>
      <c r="J291" s="113"/>
      <c r="K291" s="113"/>
      <c r="L291" s="113"/>
      <c r="M291" s="113"/>
      <c r="N291" s="113"/>
      <c r="O291" s="113"/>
      <c r="P291" s="113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 ht="24" customHeight="1" x14ac:dyDescent="0.5">
      <c r="A292" s="3"/>
      <c r="B292" s="3"/>
      <c r="C292" s="112"/>
      <c r="D292" s="3"/>
      <c r="E292" s="112"/>
      <c r="F292" s="3"/>
      <c r="G292" s="83"/>
      <c r="H292" s="113"/>
      <c r="I292" s="113"/>
      <c r="J292" s="113"/>
      <c r="K292" s="113"/>
      <c r="L292" s="113"/>
      <c r="M292" s="113"/>
      <c r="N292" s="113"/>
      <c r="O292" s="113"/>
      <c r="P292" s="113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 ht="24" customHeight="1" x14ac:dyDescent="0.5">
      <c r="A293" s="3"/>
      <c r="B293" s="3"/>
      <c r="C293" s="112"/>
      <c r="D293" s="3"/>
      <c r="E293" s="112"/>
      <c r="F293" s="3"/>
      <c r="G293" s="83"/>
      <c r="H293" s="113"/>
      <c r="I293" s="113"/>
      <c r="J293" s="113"/>
      <c r="K293" s="113"/>
      <c r="L293" s="113"/>
      <c r="M293" s="113"/>
      <c r="N293" s="113"/>
      <c r="O293" s="113"/>
      <c r="P293" s="113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 ht="24" customHeight="1" x14ac:dyDescent="0.5">
      <c r="A294" s="3"/>
      <c r="B294" s="3"/>
      <c r="C294" s="112"/>
      <c r="D294" s="3"/>
      <c r="E294" s="112"/>
      <c r="F294" s="3"/>
      <c r="G294" s="83"/>
      <c r="H294" s="113"/>
      <c r="I294" s="113"/>
      <c r="J294" s="113"/>
      <c r="K294" s="113"/>
      <c r="L294" s="113"/>
      <c r="M294" s="113"/>
      <c r="N294" s="113"/>
      <c r="O294" s="113"/>
      <c r="P294" s="113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 ht="24" customHeight="1" x14ac:dyDescent="0.5">
      <c r="A295" s="3"/>
      <c r="B295" s="3"/>
      <c r="C295" s="112"/>
      <c r="D295" s="3"/>
      <c r="E295" s="112"/>
      <c r="F295" s="3"/>
      <c r="G295" s="83"/>
      <c r="H295" s="113"/>
      <c r="I295" s="113"/>
      <c r="J295" s="113"/>
      <c r="K295" s="113"/>
      <c r="L295" s="113"/>
      <c r="M295" s="113"/>
      <c r="N295" s="113"/>
      <c r="O295" s="113"/>
      <c r="P295" s="113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 ht="24" customHeight="1" x14ac:dyDescent="0.5">
      <c r="A296" s="3"/>
      <c r="B296" s="3"/>
      <c r="C296" s="112"/>
      <c r="D296" s="3"/>
      <c r="E296" s="112"/>
      <c r="F296" s="3"/>
      <c r="G296" s="83"/>
      <c r="H296" s="113"/>
      <c r="I296" s="113"/>
      <c r="J296" s="113"/>
      <c r="K296" s="113"/>
      <c r="L296" s="113"/>
      <c r="M296" s="113"/>
      <c r="N296" s="113"/>
      <c r="O296" s="113"/>
      <c r="P296" s="113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 ht="24" customHeight="1" x14ac:dyDescent="0.5">
      <c r="A297" s="3"/>
      <c r="B297" s="3"/>
      <c r="C297" s="112"/>
      <c r="D297" s="3"/>
      <c r="E297" s="112"/>
      <c r="F297" s="3"/>
      <c r="G297" s="83"/>
      <c r="H297" s="113"/>
      <c r="I297" s="113"/>
      <c r="J297" s="113"/>
      <c r="K297" s="113"/>
      <c r="L297" s="113"/>
      <c r="M297" s="113"/>
      <c r="N297" s="113"/>
      <c r="O297" s="113"/>
      <c r="P297" s="113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 ht="24" customHeight="1" x14ac:dyDescent="0.5">
      <c r="A298" s="3"/>
      <c r="B298" s="3"/>
      <c r="C298" s="112"/>
      <c r="D298" s="3"/>
      <c r="E298" s="112"/>
      <c r="F298" s="3"/>
      <c r="G298" s="83"/>
      <c r="H298" s="113"/>
      <c r="I298" s="113"/>
      <c r="J298" s="113"/>
      <c r="K298" s="113"/>
      <c r="L298" s="113"/>
      <c r="M298" s="113"/>
      <c r="N298" s="113"/>
      <c r="O298" s="113"/>
      <c r="P298" s="113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 ht="24" customHeight="1" x14ac:dyDescent="0.5">
      <c r="A299" s="3"/>
      <c r="B299" s="3"/>
      <c r="C299" s="112"/>
      <c r="D299" s="3"/>
      <c r="E299" s="112"/>
      <c r="F299" s="3"/>
      <c r="G299" s="83"/>
      <c r="H299" s="113"/>
      <c r="I299" s="113"/>
      <c r="J299" s="113"/>
      <c r="K299" s="113"/>
      <c r="L299" s="113"/>
      <c r="M299" s="113"/>
      <c r="N299" s="113"/>
      <c r="O299" s="113"/>
      <c r="P299" s="113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 ht="24" customHeight="1" x14ac:dyDescent="0.5">
      <c r="A300" s="3"/>
      <c r="B300" s="3"/>
      <c r="C300" s="112"/>
      <c r="D300" s="3"/>
      <c r="E300" s="112"/>
      <c r="F300" s="3"/>
      <c r="G300" s="83"/>
      <c r="H300" s="113"/>
      <c r="I300" s="113"/>
      <c r="J300" s="113"/>
      <c r="K300" s="113"/>
      <c r="L300" s="113"/>
      <c r="M300" s="113"/>
      <c r="N300" s="113"/>
      <c r="O300" s="113"/>
      <c r="P300" s="113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 ht="24" customHeight="1" x14ac:dyDescent="0.5">
      <c r="A301" s="3"/>
      <c r="B301" s="3"/>
      <c r="C301" s="112"/>
      <c r="D301" s="3"/>
      <c r="E301" s="112"/>
      <c r="F301" s="3"/>
      <c r="G301" s="83"/>
      <c r="H301" s="113"/>
      <c r="I301" s="113"/>
      <c r="J301" s="113"/>
      <c r="K301" s="113"/>
      <c r="L301" s="113"/>
      <c r="M301" s="113"/>
      <c r="N301" s="113"/>
      <c r="O301" s="113"/>
      <c r="P301" s="113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 ht="24" customHeight="1" x14ac:dyDescent="0.5">
      <c r="A302" s="3"/>
      <c r="B302" s="3"/>
      <c r="C302" s="112"/>
      <c r="D302" s="3"/>
      <c r="E302" s="112"/>
      <c r="F302" s="3"/>
      <c r="G302" s="83"/>
      <c r="H302" s="113"/>
      <c r="I302" s="113"/>
      <c r="J302" s="113"/>
      <c r="K302" s="113"/>
      <c r="L302" s="113"/>
      <c r="M302" s="113"/>
      <c r="N302" s="113"/>
      <c r="O302" s="113"/>
      <c r="P302" s="113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 ht="24" customHeight="1" x14ac:dyDescent="0.5">
      <c r="A303" s="3"/>
      <c r="B303" s="3"/>
      <c r="C303" s="112"/>
      <c r="D303" s="3"/>
      <c r="E303" s="112"/>
      <c r="F303" s="3"/>
      <c r="G303" s="83"/>
      <c r="H303" s="113"/>
      <c r="I303" s="113"/>
      <c r="J303" s="113"/>
      <c r="K303" s="113"/>
      <c r="L303" s="113"/>
      <c r="M303" s="113"/>
      <c r="N303" s="113"/>
      <c r="O303" s="113"/>
      <c r="P303" s="113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 ht="24" customHeight="1" x14ac:dyDescent="0.5">
      <c r="A304" s="3"/>
      <c r="B304" s="3"/>
      <c r="C304" s="112"/>
      <c r="D304" s="3"/>
      <c r="E304" s="112"/>
      <c r="F304" s="3"/>
      <c r="G304" s="83"/>
      <c r="H304" s="113"/>
      <c r="I304" s="113"/>
      <c r="J304" s="113"/>
      <c r="K304" s="113"/>
      <c r="L304" s="113"/>
      <c r="M304" s="113"/>
      <c r="N304" s="113"/>
      <c r="O304" s="113"/>
      <c r="P304" s="113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 ht="24" customHeight="1" x14ac:dyDescent="0.5">
      <c r="A305" s="3"/>
      <c r="B305" s="3"/>
      <c r="C305" s="112"/>
      <c r="D305" s="3"/>
      <c r="E305" s="112"/>
      <c r="F305" s="3"/>
      <c r="G305" s="83"/>
      <c r="H305" s="113"/>
      <c r="I305" s="113"/>
      <c r="J305" s="113"/>
      <c r="K305" s="113"/>
      <c r="L305" s="113"/>
      <c r="M305" s="113"/>
      <c r="N305" s="113"/>
      <c r="O305" s="113"/>
      <c r="P305" s="113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 ht="24" customHeight="1" x14ac:dyDescent="0.5">
      <c r="A306" s="3"/>
      <c r="B306" s="3"/>
      <c r="C306" s="112"/>
      <c r="D306" s="3"/>
      <c r="E306" s="112"/>
      <c r="F306" s="3"/>
      <c r="G306" s="83"/>
      <c r="H306" s="113"/>
      <c r="I306" s="113"/>
      <c r="J306" s="113"/>
      <c r="K306" s="113"/>
      <c r="L306" s="113"/>
      <c r="M306" s="113"/>
      <c r="N306" s="113"/>
      <c r="O306" s="113"/>
      <c r="P306" s="113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 ht="24" customHeight="1" x14ac:dyDescent="0.5">
      <c r="A307" s="3"/>
      <c r="B307" s="3"/>
      <c r="C307" s="112"/>
      <c r="D307" s="3"/>
      <c r="E307" s="112"/>
      <c r="F307" s="3"/>
      <c r="G307" s="83"/>
      <c r="H307" s="113"/>
      <c r="I307" s="113"/>
      <c r="J307" s="113"/>
      <c r="K307" s="113"/>
      <c r="L307" s="113"/>
      <c r="M307" s="113"/>
      <c r="N307" s="113"/>
      <c r="O307" s="113"/>
      <c r="P307" s="113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 ht="24" customHeight="1" x14ac:dyDescent="0.5">
      <c r="A308" s="3"/>
      <c r="B308" s="3"/>
      <c r="C308" s="112"/>
      <c r="D308" s="3"/>
      <c r="E308" s="112"/>
      <c r="F308" s="3"/>
      <c r="G308" s="83"/>
      <c r="H308" s="113"/>
      <c r="I308" s="113"/>
      <c r="J308" s="113"/>
      <c r="K308" s="113"/>
      <c r="L308" s="113"/>
      <c r="M308" s="113"/>
      <c r="N308" s="113"/>
      <c r="O308" s="113"/>
      <c r="P308" s="113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 ht="24" customHeight="1" x14ac:dyDescent="0.5">
      <c r="A309" s="3"/>
      <c r="B309" s="3"/>
      <c r="C309" s="112"/>
      <c r="D309" s="3"/>
      <c r="E309" s="112"/>
      <c r="F309" s="3"/>
      <c r="G309" s="83"/>
      <c r="H309" s="113"/>
      <c r="I309" s="113"/>
      <c r="J309" s="113"/>
      <c r="K309" s="113"/>
      <c r="L309" s="113"/>
      <c r="M309" s="113"/>
      <c r="N309" s="113"/>
      <c r="O309" s="113"/>
      <c r="P309" s="113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 ht="24" customHeight="1" x14ac:dyDescent="0.5">
      <c r="A310" s="3"/>
      <c r="B310" s="3"/>
      <c r="C310" s="112"/>
      <c r="D310" s="3"/>
      <c r="E310" s="112"/>
      <c r="F310" s="3"/>
      <c r="G310" s="83"/>
      <c r="H310" s="113"/>
      <c r="I310" s="113"/>
      <c r="J310" s="113"/>
      <c r="K310" s="113"/>
      <c r="L310" s="113"/>
      <c r="M310" s="113"/>
      <c r="N310" s="113"/>
      <c r="O310" s="113"/>
      <c r="P310" s="113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 ht="24" customHeight="1" x14ac:dyDescent="0.5">
      <c r="A311" s="3"/>
      <c r="B311" s="3"/>
      <c r="C311" s="112"/>
      <c r="D311" s="3"/>
      <c r="E311" s="112"/>
      <c r="F311" s="3"/>
      <c r="G311" s="83"/>
      <c r="H311" s="113"/>
      <c r="I311" s="113"/>
      <c r="J311" s="113"/>
      <c r="K311" s="113"/>
      <c r="L311" s="113"/>
      <c r="M311" s="113"/>
      <c r="N311" s="113"/>
      <c r="O311" s="113"/>
      <c r="P311" s="113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 ht="24" customHeight="1" x14ac:dyDescent="0.5">
      <c r="A312" s="3"/>
      <c r="B312" s="3"/>
      <c r="C312" s="112"/>
      <c r="D312" s="3"/>
      <c r="E312" s="112"/>
      <c r="F312" s="3"/>
      <c r="G312" s="83"/>
      <c r="H312" s="113"/>
      <c r="I312" s="113"/>
      <c r="J312" s="113"/>
      <c r="K312" s="113"/>
      <c r="L312" s="113"/>
      <c r="M312" s="113"/>
      <c r="N312" s="113"/>
      <c r="O312" s="113"/>
      <c r="P312" s="113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 ht="24" customHeight="1" x14ac:dyDescent="0.5">
      <c r="A313" s="3"/>
      <c r="B313" s="3"/>
      <c r="C313" s="112"/>
      <c r="D313" s="3"/>
      <c r="E313" s="112"/>
      <c r="F313" s="3"/>
      <c r="G313" s="83"/>
      <c r="H313" s="113"/>
      <c r="I313" s="113"/>
      <c r="J313" s="113"/>
      <c r="K313" s="113"/>
      <c r="L313" s="113"/>
      <c r="M313" s="113"/>
      <c r="N313" s="113"/>
      <c r="O313" s="113"/>
      <c r="P313" s="113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 ht="24" customHeight="1" x14ac:dyDescent="0.5">
      <c r="A314" s="3"/>
      <c r="B314" s="3"/>
      <c r="C314" s="112"/>
      <c r="D314" s="3"/>
      <c r="E314" s="112"/>
      <c r="F314" s="3"/>
      <c r="G314" s="83"/>
      <c r="H314" s="113"/>
      <c r="I314" s="113"/>
      <c r="J314" s="113"/>
      <c r="K314" s="113"/>
      <c r="L314" s="113"/>
      <c r="M314" s="113"/>
      <c r="N314" s="113"/>
      <c r="O314" s="113"/>
      <c r="P314" s="113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 ht="24" customHeight="1" x14ac:dyDescent="0.5">
      <c r="A315" s="81"/>
      <c r="B315" s="81"/>
      <c r="C315" s="81"/>
      <c r="D315" s="81"/>
      <c r="E315" s="81"/>
      <c r="F315" s="81"/>
      <c r="G315" s="105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 ht="24" customHeight="1" x14ac:dyDescent="0.5">
      <c r="A316" s="81"/>
      <c r="B316" s="81"/>
      <c r="C316" s="81"/>
      <c r="D316" s="81"/>
      <c r="E316" s="81"/>
      <c r="F316" s="81"/>
      <c r="G316" s="105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 ht="24" customHeight="1" x14ac:dyDescent="0.5">
      <c r="A317" s="81"/>
      <c r="B317" s="81"/>
      <c r="C317" s="81"/>
      <c r="D317" s="81"/>
      <c r="E317" s="81"/>
      <c r="F317" s="81"/>
      <c r="G317" s="105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 ht="24" customHeight="1" x14ac:dyDescent="0.5">
      <c r="A318" s="81"/>
      <c r="B318" s="81"/>
      <c r="C318" s="81"/>
      <c r="D318" s="81"/>
      <c r="E318" s="81"/>
      <c r="F318" s="81"/>
      <c r="G318" s="105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 ht="24" customHeight="1" x14ac:dyDescent="0.5">
      <c r="A319" s="81"/>
      <c r="B319" s="81"/>
      <c r="C319" s="81"/>
      <c r="D319" s="81"/>
      <c r="E319" s="81"/>
      <c r="F319" s="81"/>
      <c r="G319" s="105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 ht="24" customHeight="1" x14ac:dyDescent="0.5">
      <c r="A320" s="81"/>
      <c r="B320" s="81"/>
      <c r="C320" s="81"/>
      <c r="D320" s="81"/>
      <c r="E320" s="81"/>
      <c r="F320" s="81"/>
      <c r="G320" s="105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 ht="24" customHeight="1" x14ac:dyDescent="0.5">
      <c r="A321" s="81"/>
      <c r="B321" s="81"/>
      <c r="C321" s="81"/>
      <c r="D321" s="81"/>
      <c r="E321" s="81"/>
      <c r="F321" s="81"/>
      <c r="G321" s="105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 ht="24" customHeight="1" x14ac:dyDescent="0.5">
      <c r="A322" s="81"/>
      <c r="B322" s="81"/>
      <c r="C322" s="81"/>
      <c r="D322" s="81"/>
      <c r="E322" s="81"/>
      <c r="F322" s="81"/>
      <c r="G322" s="105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 ht="24" customHeight="1" x14ac:dyDescent="0.5">
      <c r="A323" s="81"/>
      <c r="B323" s="81"/>
      <c r="C323" s="81"/>
      <c r="D323" s="81"/>
      <c r="E323" s="81"/>
      <c r="F323" s="81"/>
      <c r="G323" s="105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 ht="24" customHeight="1" x14ac:dyDescent="0.5">
      <c r="A324" s="81"/>
      <c r="B324" s="81"/>
      <c r="C324" s="81"/>
      <c r="D324" s="81"/>
      <c r="E324" s="81"/>
      <c r="F324" s="81"/>
      <c r="G324" s="105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 ht="24" customHeight="1" x14ac:dyDescent="0.5">
      <c r="A325" s="81"/>
      <c r="B325" s="81"/>
      <c r="C325" s="81"/>
      <c r="D325" s="81"/>
      <c r="E325" s="81"/>
      <c r="F325" s="81"/>
      <c r="G325" s="105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 ht="24" customHeight="1" x14ac:dyDescent="0.5">
      <c r="A326" s="81"/>
      <c r="B326" s="81"/>
      <c r="C326" s="81"/>
      <c r="D326" s="81"/>
      <c r="E326" s="81"/>
      <c r="F326" s="81"/>
      <c r="G326" s="105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 ht="24" customHeight="1" x14ac:dyDescent="0.5">
      <c r="A327" s="81"/>
      <c r="B327" s="81"/>
      <c r="C327" s="81"/>
      <c r="D327" s="81"/>
      <c r="E327" s="81"/>
      <c r="F327" s="81"/>
      <c r="G327" s="105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 ht="24" customHeight="1" x14ac:dyDescent="0.5">
      <c r="A328" s="81"/>
      <c r="B328" s="81"/>
      <c r="C328" s="81"/>
      <c r="D328" s="81"/>
      <c r="E328" s="81"/>
      <c r="F328" s="81"/>
      <c r="G328" s="105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 ht="24" customHeight="1" x14ac:dyDescent="0.5">
      <c r="A329" s="81"/>
      <c r="B329" s="81"/>
      <c r="C329" s="81"/>
      <c r="D329" s="81"/>
      <c r="E329" s="81"/>
      <c r="F329" s="81"/>
      <c r="G329" s="105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 ht="24" customHeight="1" x14ac:dyDescent="0.5">
      <c r="A330" s="81"/>
      <c r="B330" s="81"/>
      <c r="C330" s="81"/>
      <c r="D330" s="81"/>
      <c r="E330" s="81"/>
      <c r="F330" s="81"/>
      <c r="G330" s="105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 ht="24" customHeight="1" x14ac:dyDescent="0.5">
      <c r="A331" s="81"/>
      <c r="B331" s="81"/>
      <c r="C331" s="81"/>
      <c r="D331" s="81"/>
      <c r="E331" s="81"/>
      <c r="F331" s="81"/>
      <c r="G331" s="105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 ht="24" customHeight="1" x14ac:dyDescent="0.5">
      <c r="A332" s="81"/>
      <c r="B332" s="81"/>
      <c r="C332" s="81"/>
      <c r="D332" s="81"/>
      <c r="E332" s="81"/>
      <c r="F332" s="81"/>
      <c r="G332" s="105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 ht="24" customHeight="1" x14ac:dyDescent="0.5">
      <c r="A333" s="81"/>
      <c r="B333" s="81"/>
      <c r="C333" s="81"/>
      <c r="D333" s="81"/>
      <c r="E333" s="81"/>
      <c r="F333" s="81"/>
      <c r="G333" s="105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 ht="24" customHeight="1" x14ac:dyDescent="0.5">
      <c r="A334" s="81"/>
      <c r="B334" s="81"/>
      <c r="C334" s="81"/>
      <c r="D334" s="81"/>
      <c r="E334" s="81"/>
      <c r="F334" s="81"/>
      <c r="G334" s="105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 ht="24" customHeight="1" x14ac:dyDescent="0.5">
      <c r="A335" s="81"/>
      <c r="B335" s="81"/>
      <c r="C335" s="81"/>
      <c r="D335" s="81"/>
      <c r="E335" s="81"/>
      <c r="F335" s="81"/>
      <c r="G335" s="105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 ht="24" customHeight="1" x14ac:dyDescent="0.5">
      <c r="A336" s="81"/>
      <c r="B336" s="81"/>
      <c r="C336" s="81"/>
      <c r="D336" s="81"/>
      <c r="E336" s="81"/>
      <c r="F336" s="81"/>
      <c r="G336" s="105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 ht="24" customHeight="1" x14ac:dyDescent="0.5">
      <c r="A337" s="81"/>
      <c r="B337" s="81"/>
      <c r="C337" s="81"/>
      <c r="D337" s="81"/>
      <c r="E337" s="81"/>
      <c r="F337" s="81"/>
      <c r="G337" s="105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 ht="24" customHeight="1" x14ac:dyDescent="0.5">
      <c r="A338" s="81"/>
      <c r="B338" s="81"/>
      <c r="C338" s="81"/>
      <c r="D338" s="81"/>
      <c r="E338" s="81"/>
      <c r="F338" s="81"/>
      <c r="G338" s="105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 ht="24" customHeight="1" x14ac:dyDescent="0.5">
      <c r="A339" s="81"/>
      <c r="B339" s="81"/>
      <c r="C339" s="81"/>
      <c r="D339" s="81"/>
      <c r="E339" s="81"/>
      <c r="F339" s="81"/>
      <c r="G339" s="105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 ht="24" customHeight="1" x14ac:dyDescent="0.5">
      <c r="A340" s="81"/>
      <c r="B340" s="81"/>
      <c r="C340" s="81"/>
      <c r="D340" s="81"/>
      <c r="E340" s="81"/>
      <c r="F340" s="81"/>
      <c r="G340" s="105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 ht="24" customHeight="1" x14ac:dyDescent="0.5">
      <c r="A341" s="81"/>
      <c r="B341" s="81"/>
      <c r="C341" s="81"/>
      <c r="D341" s="81"/>
      <c r="E341" s="81"/>
      <c r="F341" s="81"/>
      <c r="G341" s="105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 ht="24" customHeight="1" x14ac:dyDescent="0.5">
      <c r="A342" s="81"/>
      <c r="B342" s="81"/>
      <c r="C342" s="81"/>
      <c r="D342" s="81"/>
      <c r="E342" s="81"/>
      <c r="F342" s="81"/>
      <c r="G342" s="105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 ht="24" customHeight="1" x14ac:dyDescent="0.5">
      <c r="A343" s="81"/>
      <c r="B343" s="81"/>
      <c r="C343" s="81"/>
      <c r="D343" s="81"/>
      <c r="E343" s="81"/>
      <c r="F343" s="81"/>
      <c r="G343" s="105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 ht="24" customHeight="1" x14ac:dyDescent="0.5">
      <c r="A344" s="81"/>
      <c r="B344" s="81"/>
      <c r="C344" s="81"/>
      <c r="D344" s="81"/>
      <c r="E344" s="81"/>
      <c r="F344" s="81"/>
      <c r="G344" s="105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 ht="24" customHeight="1" x14ac:dyDescent="0.5">
      <c r="A345" s="81"/>
      <c r="B345" s="81"/>
      <c r="C345" s="81"/>
      <c r="D345" s="81"/>
      <c r="E345" s="81"/>
      <c r="F345" s="81"/>
      <c r="G345" s="105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 ht="24" customHeight="1" x14ac:dyDescent="0.5">
      <c r="A346" s="81"/>
      <c r="B346" s="81"/>
      <c r="C346" s="81"/>
      <c r="D346" s="81"/>
      <c r="E346" s="81"/>
      <c r="F346" s="81"/>
      <c r="G346" s="105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 ht="24" customHeight="1" x14ac:dyDescent="0.5">
      <c r="A347" s="81"/>
      <c r="B347" s="81"/>
      <c r="C347" s="81"/>
      <c r="D347" s="81"/>
      <c r="E347" s="81"/>
      <c r="F347" s="81"/>
      <c r="G347" s="105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 ht="24" customHeight="1" x14ac:dyDescent="0.5">
      <c r="A348" s="81"/>
      <c r="B348" s="81"/>
      <c r="C348" s="81"/>
      <c r="D348" s="81"/>
      <c r="E348" s="81"/>
      <c r="F348" s="81"/>
      <c r="G348" s="105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 ht="24" customHeight="1" x14ac:dyDescent="0.5">
      <c r="A349" s="81"/>
      <c r="B349" s="81"/>
      <c r="C349" s="81"/>
      <c r="D349" s="81"/>
      <c r="E349" s="81"/>
      <c r="F349" s="81"/>
      <c r="G349" s="105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 ht="24" customHeight="1" x14ac:dyDescent="0.5">
      <c r="A350" s="81"/>
      <c r="B350" s="81"/>
      <c r="C350" s="81"/>
      <c r="D350" s="81"/>
      <c r="E350" s="81"/>
      <c r="F350" s="81"/>
      <c r="G350" s="105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 ht="24" customHeight="1" x14ac:dyDescent="0.5">
      <c r="A351" s="81"/>
      <c r="B351" s="81"/>
      <c r="C351" s="81"/>
      <c r="D351" s="81"/>
      <c r="E351" s="81"/>
      <c r="F351" s="81"/>
      <c r="G351" s="105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 ht="24" customHeight="1" x14ac:dyDescent="0.5">
      <c r="A352" s="81"/>
      <c r="B352" s="81"/>
      <c r="C352" s="81"/>
      <c r="D352" s="81"/>
      <c r="E352" s="81"/>
      <c r="F352" s="81"/>
      <c r="G352" s="105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 ht="24" customHeight="1" x14ac:dyDescent="0.5">
      <c r="A353" s="81"/>
      <c r="B353" s="81"/>
      <c r="C353" s="81"/>
      <c r="D353" s="81"/>
      <c r="E353" s="81"/>
      <c r="F353" s="81"/>
      <c r="G353" s="105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 ht="24" customHeight="1" x14ac:dyDescent="0.5">
      <c r="A354" s="81"/>
      <c r="B354" s="81"/>
      <c r="C354" s="81"/>
      <c r="D354" s="81"/>
      <c r="E354" s="81"/>
      <c r="F354" s="81"/>
      <c r="G354" s="105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 ht="24" customHeight="1" x14ac:dyDescent="0.5">
      <c r="A355" s="81"/>
      <c r="B355" s="81"/>
      <c r="C355" s="81"/>
      <c r="D355" s="81"/>
      <c r="E355" s="81"/>
      <c r="F355" s="81"/>
      <c r="G355" s="105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 ht="24" customHeight="1" x14ac:dyDescent="0.5">
      <c r="A356" s="81"/>
      <c r="B356" s="81"/>
      <c r="C356" s="81"/>
      <c r="D356" s="81"/>
      <c r="E356" s="81"/>
      <c r="F356" s="81"/>
      <c r="G356" s="105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 ht="24" customHeight="1" x14ac:dyDescent="0.5">
      <c r="A357" s="81"/>
      <c r="B357" s="81"/>
      <c r="C357" s="81"/>
      <c r="D357" s="81"/>
      <c r="E357" s="81"/>
      <c r="F357" s="81"/>
      <c r="G357" s="105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 ht="24" customHeight="1" x14ac:dyDescent="0.5">
      <c r="A358" s="81"/>
      <c r="B358" s="81"/>
      <c r="C358" s="81"/>
      <c r="D358" s="81"/>
      <c r="E358" s="81"/>
      <c r="F358" s="81"/>
      <c r="G358" s="105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 ht="24" customHeight="1" x14ac:dyDescent="0.5">
      <c r="A359" s="81"/>
      <c r="B359" s="81"/>
      <c r="C359" s="81"/>
      <c r="D359" s="81"/>
      <c r="E359" s="81"/>
      <c r="F359" s="81"/>
      <c r="G359" s="105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 ht="24" customHeight="1" x14ac:dyDescent="0.5">
      <c r="A360" s="81"/>
      <c r="B360" s="81"/>
      <c r="C360" s="81"/>
      <c r="D360" s="81"/>
      <c r="E360" s="81"/>
      <c r="F360" s="81"/>
      <c r="G360" s="105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 ht="24" customHeight="1" x14ac:dyDescent="0.5">
      <c r="A361" s="81"/>
      <c r="B361" s="81"/>
      <c r="C361" s="81"/>
      <c r="D361" s="81"/>
      <c r="E361" s="81"/>
      <c r="F361" s="81"/>
      <c r="G361" s="105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 ht="24" customHeight="1" x14ac:dyDescent="0.5">
      <c r="A362" s="81"/>
      <c r="B362" s="81"/>
      <c r="C362" s="81"/>
      <c r="D362" s="81"/>
      <c r="E362" s="81"/>
      <c r="F362" s="81"/>
      <c r="G362" s="105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 ht="24" customHeight="1" x14ac:dyDescent="0.5">
      <c r="A363" s="81"/>
      <c r="B363" s="81"/>
      <c r="C363" s="81"/>
      <c r="D363" s="81"/>
      <c r="E363" s="81"/>
      <c r="F363" s="81"/>
      <c r="G363" s="105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 ht="24" customHeight="1" x14ac:dyDescent="0.5">
      <c r="A364" s="81"/>
      <c r="B364" s="81"/>
      <c r="C364" s="81"/>
      <c r="D364" s="81"/>
      <c r="E364" s="81"/>
      <c r="F364" s="81"/>
      <c r="G364" s="105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 ht="24" customHeight="1" x14ac:dyDescent="0.5">
      <c r="A365" s="81"/>
      <c r="B365" s="81"/>
      <c r="C365" s="81"/>
      <c r="D365" s="81"/>
      <c r="E365" s="81"/>
      <c r="F365" s="81"/>
      <c r="G365" s="105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 ht="24" customHeight="1" x14ac:dyDescent="0.5">
      <c r="A366" s="81"/>
      <c r="B366" s="81"/>
      <c r="C366" s="81"/>
      <c r="D366" s="81"/>
      <c r="E366" s="81"/>
      <c r="F366" s="81"/>
      <c r="G366" s="105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 ht="24" customHeight="1" x14ac:dyDescent="0.5">
      <c r="A367" s="81"/>
      <c r="B367" s="81"/>
      <c r="C367" s="81"/>
      <c r="D367" s="81"/>
      <c r="E367" s="81"/>
      <c r="F367" s="81"/>
      <c r="G367" s="105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 ht="24" customHeight="1" x14ac:dyDescent="0.5">
      <c r="A368" s="81"/>
      <c r="B368" s="81"/>
      <c r="C368" s="81"/>
      <c r="D368" s="81"/>
      <c r="E368" s="81"/>
      <c r="F368" s="81"/>
      <c r="G368" s="105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 ht="24" customHeight="1" x14ac:dyDescent="0.5">
      <c r="A369" s="81"/>
      <c r="B369" s="81"/>
      <c r="C369" s="81"/>
      <c r="D369" s="81"/>
      <c r="E369" s="81"/>
      <c r="F369" s="81"/>
      <c r="G369" s="105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 ht="24" customHeight="1" x14ac:dyDescent="0.5">
      <c r="A370" s="81"/>
      <c r="B370" s="81"/>
      <c r="C370" s="81"/>
      <c r="D370" s="81"/>
      <c r="E370" s="81"/>
      <c r="F370" s="81"/>
      <c r="G370" s="105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 ht="24" customHeight="1" x14ac:dyDescent="0.5">
      <c r="A371" s="81"/>
      <c r="B371" s="81"/>
      <c r="C371" s="81"/>
      <c r="D371" s="81"/>
      <c r="E371" s="81"/>
      <c r="F371" s="81"/>
      <c r="G371" s="105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 ht="24" customHeight="1" x14ac:dyDescent="0.5">
      <c r="A372" s="81"/>
      <c r="B372" s="81"/>
      <c r="C372" s="81"/>
      <c r="D372" s="81"/>
      <c r="E372" s="81"/>
      <c r="F372" s="81"/>
      <c r="G372" s="105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 ht="24" customHeight="1" x14ac:dyDescent="0.5">
      <c r="A373" s="81"/>
      <c r="B373" s="81"/>
      <c r="C373" s="81"/>
      <c r="D373" s="81"/>
      <c r="E373" s="81"/>
      <c r="F373" s="81"/>
      <c r="G373" s="105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 ht="24" customHeight="1" x14ac:dyDescent="0.5">
      <c r="A374" s="81"/>
      <c r="B374" s="81"/>
      <c r="C374" s="81"/>
      <c r="D374" s="81"/>
      <c r="E374" s="81"/>
      <c r="F374" s="81"/>
      <c r="G374" s="105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 ht="24" customHeight="1" x14ac:dyDescent="0.5">
      <c r="A375" s="81"/>
      <c r="B375" s="81"/>
      <c r="C375" s="81"/>
      <c r="D375" s="81"/>
      <c r="E375" s="81"/>
      <c r="F375" s="81"/>
      <c r="G375" s="105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 ht="24" customHeight="1" x14ac:dyDescent="0.5">
      <c r="A376" s="81"/>
      <c r="B376" s="81"/>
      <c r="C376" s="81"/>
      <c r="D376" s="81"/>
      <c r="E376" s="81"/>
      <c r="F376" s="81"/>
      <c r="G376" s="105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 ht="24" customHeight="1" x14ac:dyDescent="0.5">
      <c r="A377" s="81"/>
      <c r="B377" s="81"/>
      <c r="C377" s="81"/>
      <c r="D377" s="81"/>
      <c r="E377" s="81"/>
      <c r="F377" s="81"/>
      <c r="G377" s="105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 ht="24" customHeight="1" x14ac:dyDescent="0.5">
      <c r="A378" s="81"/>
      <c r="B378" s="81"/>
      <c r="C378" s="81"/>
      <c r="D378" s="81"/>
      <c r="E378" s="81"/>
      <c r="F378" s="81"/>
      <c r="G378" s="105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 ht="24" customHeight="1" x14ac:dyDescent="0.5">
      <c r="A379" s="81"/>
      <c r="B379" s="81"/>
      <c r="C379" s="81"/>
      <c r="D379" s="81"/>
      <c r="E379" s="81"/>
      <c r="F379" s="81"/>
      <c r="G379" s="105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 ht="24" customHeight="1" x14ac:dyDescent="0.5">
      <c r="A380" s="81"/>
      <c r="B380" s="81"/>
      <c r="C380" s="81"/>
      <c r="D380" s="81"/>
      <c r="E380" s="81"/>
      <c r="F380" s="81"/>
      <c r="G380" s="105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 ht="24" customHeight="1" x14ac:dyDescent="0.5">
      <c r="A381" s="81"/>
      <c r="B381" s="81"/>
      <c r="C381" s="81"/>
      <c r="D381" s="81"/>
      <c r="E381" s="81"/>
      <c r="F381" s="81"/>
      <c r="G381" s="105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 ht="24" customHeight="1" x14ac:dyDescent="0.5">
      <c r="A382" s="81"/>
      <c r="B382" s="81"/>
      <c r="C382" s="81"/>
      <c r="D382" s="81"/>
      <c r="E382" s="81"/>
      <c r="F382" s="81"/>
      <c r="G382" s="105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 ht="24" customHeight="1" x14ac:dyDescent="0.5">
      <c r="A383" s="81"/>
      <c r="B383" s="81"/>
      <c r="C383" s="81"/>
      <c r="D383" s="81"/>
      <c r="E383" s="81"/>
      <c r="F383" s="81"/>
      <c r="G383" s="105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 ht="24" customHeight="1" x14ac:dyDescent="0.5">
      <c r="A384" s="81"/>
      <c r="B384" s="81"/>
      <c r="C384" s="81"/>
      <c r="D384" s="81"/>
      <c r="E384" s="81"/>
      <c r="F384" s="81"/>
      <c r="G384" s="105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 ht="24" customHeight="1" x14ac:dyDescent="0.5">
      <c r="A385" s="81"/>
      <c r="B385" s="81"/>
      <c r="C385" s="81"/>
      <c r="D385" s="81"/>
      <c r="E385" s="81"/>
      <c r="F385" s="81"/>
      <c r="G385" s="105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 ht="24" customHeight="1" x14ac:dyDescent="0.5">
      <c r="A386" s="81"/>
      <c r="B386" s="81"/>
      <c r="C386" s="81"/>
      <c r="D386" s="81"/>
      <c r="E386" s="81"/>
      <c r="F386" s="81"/>
      <c r="G386" s="105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 ht="24" customHeight="1" x14ac:dyDescent="0.5">
      <c r="A387" s="81"/>
      <c r="B387" s="81"/>
      <c r="C387" s="81"/>
      <c r="D387" s="81"/>
      <c r="E387" s="81"/>
      <c r="F387" s="81"/>
      <c r="G387" s="105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 ht="24" customHeight="1" x14ac:dyDescent="0.5">
      <c r="A388" s="81"/>
      <c r="B388" s="81"/>
      <c r="C388" s="81"/>
      <c r="D388" s="81"/>
      <c r="E388" s="81"/>
      <c r="F388" s="81"/>
      <c r="G388" s="105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 ht="24" customHeight="1" x14ac:dyDescent="0.5">
      <c r="A389" s="81"/>
      <c r="B389" s="81"/>
      <c r="C389" s="81"/>
      <c r="D389" s="81"/>
      <c r="E389" s="81"/>
      <c r="F389" s="81"/>
      <c r="G389" s="105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 ht="24" customHeight="1" x14ac:dyDescent="0.5">
      <c r="A390" s="81"/>
      <c r="B390" s="81"/>
      <c r="C390" s="81"/>
      <c r="D390" s="81"/>
      <c r="E390" s="81"/>
      <c r="F390" s="81"/>
      <c r="G390" s="105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ht="24" customHeight="1" x14ac:dyDescent="0.5">
      <c r="A391" s="81"/>
      <c r="B391" s="81"/>
      <c r="C391" s="81"/>
      <c r="D391" s="81"/>
      <c r="E391" s="81"/>
      <c r="F391" s="81"/>
      <c r="G391" s="105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 ht="24" customHeight="1" x14ac:dyDescent="0.5">
      <c r="A392" s="81"/>
      <c r="B392" s="81"/>
      <c r="C392" s="81"/>
      <c r="D392" s="81"/>
      <c r="E392" s="81"/>
      <c r="F392" s="81"/>
      <c r="G392" s="105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 ht="24" customHeight="1" x14ac:dyDescent="0.5">
      <c r="A393" s="81"/>
      <c r="B393" s="81"/>
      <c r="C393" s="81"/>
      <c r="D393" s="81"/>
      <c r="E393" s="81"/>
      <c r="F393" s="81"/>
      <c r="G393" s="105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 ht="24" customHeight="1" x14ac:dyDescent="0.5">
      <c r="A394" s="81"/>
      <c r="B394" s="81"/>
      <c r="C394" s="81"/>
      <c r="D394" s="81"/>
      <c r="E394" s="81"/>
      <c r="F394" s="81"/>
      <c r="G394" s="105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 ht="24" customHeight="1" x14ac:dyDescent="0.5">
      <c r="A395" s="81"/>
      <c r="B395" s="81"/>
      <c r="C395" s="81"/>
      <c r="D395" s="81"/>
      <c r="E395" s="81"/>
      <c r="F395" s="81"/>
      <c r="G395" s="105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 ht="24" customHeight="1" x14ac:dyDescent="0.5">
      <c r="A396" s="81"/>
      <c r="B396" s="81"/>
      <c r="C396" s="81"/>
      <c r="D396" s="81"/>
      <c r="E396" s="81"/>
      <c r="F396" s="81"/>
      <c r="G396" s="105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 ht="24" customHeight="1" x14ac:dyDescent="0.5">
      <c r="A397" s="81"/>
      <c r="B397" s="81"/>
      <c r="C397" s="81"/>
      <c r="D397" s="81"/>
      <c r="E397" s="81"/>
      <c r="F397" s="81"/>
      <c r="G397" s="105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 ht="24" customHeight="1" x14ac:dyDescent="0.5">
      <c r="A398" s="81"/>
      <c r="B398" s="81"/>
      <c r="C398" s="81"/>
      <c r="D398" s="81"/>
      <c r="E398" s="81"/>
      <c r="F398" s="81"/>
      <c r="G398" s="105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 ht="24" customHeight="1" x14ac:dyDescent="0.5">
      <c r="A399" s="81"/>
      <c r="B399" s="81"/>
      <c r="C399" s="81"/>
      <c r="D399" s="81"/>
      <c r="E399" s="81"/>
      <c r="F399" s="81"/>
      <c r="G399" s="105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 ht="24" customHeight="1" x14ac:dyDescent="0.5">
      <c r="A400" s="81"/>
      <c r="B400" s="81"/>
      <c r="C400" s="81"/>
      <c r="D400" s="81"/>
      <c r="E400" s="81"/>
      <c r="F400" s="81"/>
      <c r="G400" s="105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 ht="24" customHeight="1" x14ac:dyDescent="0.5">
      <c r="A401" s="81"/>
      <c r="B401" s="81"/>
      <c r="C401" s="81"/>
      <c r="D401" s="81"/>
      <c r="E401" s="81"/>
      <c r="F401" s="81"/>
      <c r="G401" s="105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 ht="24" customHeight="1" x14ac:dyDescent="0.5">
      <c r="A402" s="81"/>
      <c r="B402" s="81"/>
      <c r="C402" s="81"/>
      <c r="D402" s="81"/>
      <c r="E402" s="81"/>
      <c r="F402" s="81"/>
      <c r="G402" s="105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 ht="24" customHeight="1" x14ac:dyDescent="0.5">
      <c r="A403" s="81"/>
      <c r="B403" s="81"/>
      <c r="C403" s="81"/>
      <c r="D403" s="81"/>
      <c r="E403" s="81"/>
      <c r="F403" s="81"/>
      <c r="G403" s="105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 ht="24" customHeight="1" x14ac:dyDescent="0.5">
      <c r="A404" s="81"/>
      <c r="B404" s="81"/>
      <c r="C404" s="81"/>
      <c r="D404" s="81"/>
      <c r="E404" s="81"/>
      <c r="F404" s="81"/>
      <c r="G404" s="105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 ht="24" customHeight="1" x14ac:dyDescent="0.5">
      <c r="A405" s="81"/>
      <c r="B405" s="81"/>
      <c r="C405" s="81"/>
      <c r="D405" s="81"/>
      <c r="E405" s="81"/>
      <c r="F405" s="81"/>
      <c r="G405" s="105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 ht="24" customHeight="1" x14ac:dyDescent="0.5">
      <c r="A406" s="81"/>
      <c r="B406" s="81"/>
      <c r="C406" s="81"/>
      <c r="D406" s="81"/>
      <c r="E406" s="81"/>
      <c r="F406" s="81"/>
      <c r="G406" s="105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 ht="24" customHeight="1" x14ac:dyDescent="0.5">
      <c r="A407" s="81"/>
      <c r="B407" s="81"/>
      <c r="C407" s="81"/>
      <c r="D407" s="81"/>
      <c r="E407" s="81"/>
      <c r="F407" s="81"/>
      <c r="G407" s="105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 ht="24" customHeight="1" x14ac:dyDescent="0.5">
      <c r="A408" s="81"/>
      <c r="B408" s="81"/>
      <c r="C408" s="81"/>
      <c r="D408" s="81"/>
      <c r="E408" s="81"/>
      <c r="F408" s="81"/>
      <c r="G408" s="105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 ht="24" customHeight="1" x14ac:dyDescent="0.5">
      <c r="A409" s="81"/>
      <c r="B409" s="81"/>
      <c r="C409" s="81"/>
      <c r="D409" s="81"/>
      <c r="E409" s="81"/>
      <c r="F409" s="81"/>
      <c r="G409" s="105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 ht="24" customHeight="1" x14ac:dyDescent="0.5">
      <c r="A410" s="81"/>
      <c r="B410" s="81"/>
      <c r="C410" s="81"/>
      <c r="D410" s="81"/>
      <c r="E410" s="81"/>
      <c r="F410" s="81"/>
      <c r="G410" s="105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 ht="24" customHeight="1" x14ac:dyDescent="0.5">
      <c r="A411" s="81"/>
      <c r="B411" s="81"/>
      <c r="C411" s="81"/>
      <c r="D411" s="81"/>
      <c r="E411" s="81"/>
      <c r="F411" s="81"/>
      <c r="G411" s="105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 ht="24" customHeight="1" x14ac:dyDescent="0.5">
      <c r="A412" s="81"/>
      <c r="B412" s="81"/>
      <c r="C412" s="81"/>
      <c r="D412" s="81"/>
      <c r="E412" s="81"/>
      <c r="F412" s="81"/>
      <c r="G412" s="105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 ht="24" customHeight="1" x14ac:dyDescent="0.5">
      <c r="A413" s="81"/>
      <c r="B413" s="81"/>
      <c r="C413" s="81"/>
      <c r="D413" s="81"/>
      <c r="E413" s="81"/>
      <c r="F413" s="81"/>
      <c r="G413" s="105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 ht="24" customHeight="1" x14ac:dyDescent="0.5">
      <c r="A414" s="81"/>
      <c r="B414" s="81"/>
      <c r="C414" s="81"/>
      <c r="D414" s="81"/>
      <c r="E414" s="81"/>
      <c r="F414" s="81"/>
      <c r="G414" s="105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 ht="24" customHeight="1" x14ac:dyDescent="0.5">
      <c r="A415" s="81"/>
      <c r="B415" s="81"/>
      <c r="C415" s="81"/>
      <c r="D415" s="81"/>
      <c r="E415" s="81"/>
      <c r="F415" s="81"/>
      <c r="G415" s="105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 ht="24" customHeight="1" x14ac:dyDescent="0.5">
      <c r="A416" s="81"/>
      <c r="B416" s="81"/>
      <c r="C416" s="81"/>
      <c r="D416" s="81"/>
      <c r="E416" s="81"/>
      <c r="F416" s="81"/>
      <c r="G416" s="105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 ht="24" customHeight="1" x14ac:dyDescent="0.5">
      <c r="A417" s="81"/>
      <c r="B417" s="81"/>
      <c r="C417" s="81"/>
      <c r="D417" s="81"/>
      <c r="E417" s="81"/>
      <c r="F417" s="81"/>
      <c r="G417" s="105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 ht="24" customHeight="1" x14ac:dyDescent="0.5">
      <c r="A418" s="81"/>
      <c r="B418" s="81"/>
      <c r="C418" s="81"/>
      <c r="D418" s="81"/>
      <c r="E418" s="81"/>
      <c r="F418" s="81"/>
      <c r="G418" s="105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 ht="24" customHeight="1" x14ac:dyDescent="0.5">
      <c r="A419" s="81"/>
      <c r="B419" s="81"/>
      <c r="C419" s="81"/>
      <c r="D419" s="81"/>
      <c r="E419" s="81"/>
      <c r="F419" s="81"/>
      <c r="G419" s="105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 ht="24" customHeight="1" x14ac:dyDescent="0.5">
      <c r="A420" s="81"/>
      <c r="B420" s="81"/>
      <c r="C420" s="81"/>
      <c r="D420" s="81"/>
      <c r="E420" s="81"/>
      <c r="F420" s="81"/>
      <c r="G420" s="105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 ht="24" customHeight="1" x14ac:dyDescent="0.5">
      <c r="A421" s="81"/>
      <c r="B421" s="81"/>
      <c r="C421" s="81"/>
      <c r="D421" s="81"/>
      <c r="E421" s="81"/>
      <c r="F421" s="81"/>
      <c r="G421" s="105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 ht="24" customHeight="1" x14ac:dyDescent="0.5">
      <c r="A422" s="81"/>
      <c r="B422" s="81"/>
      <c r="C422" s="81"/>
      <c r="D422" s="81"/>
      <c r="E422" s="81"/>
      <c r="F422" s="81"/>
      <c r="G422" s="105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 ht="24" customHeight="1" x14ac:dyDescent="0.5">
      <c r="A423" s="81"/>
      <c r="B423" s="81"/>
      <c r="C423" s="81"/>
      <c r="D423" s="81"/>
      <c r="E423" s="81"/>
      <c r="F423" s="81"/>
      <c r="G423" s="105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 ht="24" customHeight="1" x14ac:dyDescent="0.5">
      <c r="A424" s="81"/>
      <c r="B424" s="81"/>
      <c r="C424" s="81"/>
      <c r="D424" s="81"/>
      <c r="E424" s="81"/>
      <c r="F424" s="81"/>
      <c r="G424" s="105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 ht="24" customHeight="1" x14ac:dyDescent="0.5">
      <c r="A425" s="81"/>
      <c r="B425" s="81"/>
      <c r="C425" s="81"/>
      <c r="D425" s="81"/>
      <c r="E425" s="81"/>
      <c r="F425" s="81"/>
      <c r="G425" s="105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 ht="24" customHeight="1" x14ac:dyDescent="0.5">
      <c r="A426" s="81"/>
      <c r="B426" s="81"/>
      <c r="C426" s="81"/>
      <c r="D426" s="81"/>
      <c r="E426" s="81"/>
      <c r="F426" s="81"/>
      <c r="G426" s="105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 ht="24" customHeight="1" x14ac:dyDescent="0.5">
      <c r="A427" s="81"/>
      <c r="B427" s="81"/>
      <c r="C427" s="81"/>
      <c r="D427" s="81"/>
      <c r="E427" s="81"/>
      <c r="F427" s="81"/>
      <c r="G427" s="105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 ht="24" customHeight="1" x14ac:dyDescent="0.5">
      <c r="A428" s="81"/>
      <c r="B428" s="81"/>
      <c r="C428" s="81"/>
      <c r="D428" s="81"/>
      <c r="E428" s="81"/>
      <c r="F428" s="81"/>
      <c r="G428" s="105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 ht="24" customHeight="1" x14ac:dyDescent="0.5">
      <c r="A429" s="81"/>
      <c r="B429" s="81"/>
      <c r="C429" s="81"/>
      <c r="D429" s="81"/>
      <c r="E429" s="81"/>
      <c r="F429" s="81"/>
      <c r="G429" s="105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 ht="24" customHeight="1" x14ac:dyDescent="0.5">
      <c r="A430" s="81"/>
      <c r="B430" s="81"/>
      <c r="C430" s="81"/>
      <c r="D430" s="81"/>
      <c r="E430" s="81"/>
      <c r="F430" s="81"/>
      <c r="G430" s="105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 ht="24" customHeight="1" x14ac:dyDescent="0.5">
      <c r="A431" s="81"/>
      <c r="B431" s="81"/>
      <c r="C431" s="81"/>
      <c r="D431" s="81"/>
      <c r="E431" s="81"/>
      <c r="F431" s="81"/>
      <c r="G431" s="105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 ht="24" customHeight="1" x14ac:dyDescent="0.5">
      <c r="A432" s="81"/>
      <c r="B432" s="81"/>
      <c r="C432" s="81"/>
      <c r="D432" s="81"/>
      <c r="E432" s="81"/>
      <c r="F432" s="81"/>
      <c r="G432" s="105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 ht="24" customHeight="1" x14ac:dyDescent="0.5">
      <c r="A433" s="81"/>
      <c r="B433" s="81"/>
      <c r="C433" s="81"/>
      <c r="D433" s="81"/>
      <c r="E433" s="81"/>
      <c r="F433" s="81"/>
      <c r="G433" s="105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 ht="24" customHeight="1" x14ac:dyDescent="0.5">
      <c r="A434" s="81"/>
      <c r="B434" s="81"/>
      <c r="C434" s="81"/>
      <c r="D434" s="81"/>
      <c r="E434" s="81"/>
      <c r="F434" s="81"/>
      <c r="G434" s="105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 ht="24" customHeight="1" x14ac:dyDescent="0.5">
      <c r="A435" s="81"/>
      <c r="B435" s="81"/>
      <c r="C435" s="81"/>
      <c r="D435" s="81"/>
      <c r="E435" s="81"/>
      <c r="F435" s="81"/>
      <c r="G435" s="105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 ht="24" customHeight="1" x14ac:dyDescent="0.5">
      <c r="A436" s="81"/>
      <c r="B436" s="81"/>
      <c r="C436" s="81"/>
      <c r="D436" s="81"/>
      <c r="E436" s="81"/>
      <c r="F436" s="81"/>
      <c r="G436" s="105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 ht="24" customHeight="1" x14ac:dyDescent="0.5">
      <c r="A437" s="81"/>
      <c r="B437" s="81"/>
      <c r="C437" s="81"/>
      <c r="D437" s="81"/>
      <c r="E437" s="81"/>
      <c r="F437" s="81"/>
      <c r="G437" s="105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 ht="24" customHeight="1" x14ac:dyDescent="0.5">
      <c r="A438" s="81"/>
      <c r="B438" s="81"/>
      <c r="C438" s="81"/>
      <c r="D438" s="81"/>
      <c r="E438" s="81"/>
      <c r="F438" s="81"/>
      <c r="G438" s="105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 ht="24" customHeight="1" x14ac:dyDescent="0.5">
      <c r="A439" s="81"/>
      <c r="B439" s="81"/>
      <c r="C439" s="81"/>
      <c r="D439" s="81"/>
      <c r="E439" s="81"/>
      <c r="F439" s="81"/>
      <c r="G439" s="105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 ht="24" customHeight="1" x14ac:dyDescent="0.5">
      <c r="A440" s="81"/>
      <c r="B440" s="81"/>
      <c r="C440" s="81"/>
      <c r="D440" s="81"/>
      <c r="E440" s="81"/>
      <c r="F440" s="81"/>
      <c r="G440" s="105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 ht="24" customHeight="1" x14ac:dyDescent="0.5">
      <c r="A441" s="81"/>
      <c r="B441" s="81"/>
      <c r="C441" s="81"/>
      <c r="D441" s="81"/>
      <c r="E441" s="81"/>
      <c r="F441" s="81"/>
      <c r="G441" s="105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 ht="24" customHeight="1" x14ac:dyDescent="0.5">
      <c r="A442" s="81"/>
      <c r="B442" s="81"/>
      <c r="C442" s="81"/>
      <c r="D442" s="81"/>
      <c r="E442" s="81"/>
      <c r="F442" s="81"/>
      <c r="G442" s="105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 ht="24" customHeight="1" x14ac:dyDescent="0.5">
      <c r="A443" s="81"/>
      <c r="B443" s="81"/>
      <c r="C443" s="81"/>
      <c r="D443" s="81"/>
      <c r="E443" s="81"/>
      <c r="F443" s="81"/>
      <c r="G443" s="105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 ht="24" customHeight="1" x14ac:dyDescent="0.5">
      <c r="A444" s="81"/>
      <c r="B444" s="81"/>
      <c r="C444" s="81"/>
      <c r="D444" s="81"/>
      <c r="E444" s="81"/>
      <c r="F444" s="81"/>
      <c r="G444" s="105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 ht="24" customHeight="1" x14ac:dyDescent="0.5">
      <c r="A445" s="81"/>
      <c r="B445" s="81"/>
      <c r="C445" s="81"/>
      <c r="D445" s="81"/>
      <c r="E445" s="81"/>
      <c r="F445" s="81"/>
      <c r="G445" s="105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 ht="24" customHeight="1" x14ac:dyDescent="0.5">
      <c r="A446" s="81"/>
      <c r="B446" s="81"/>
      <c r="C446" s="81"/>
      <c r="D446" s="81"/>
      <c r="E446" s="81"/>
      <c r="F446" s="81"/>
      <c r="G446" s="105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 ht="24" customHeight="1" x14ac:dyDescent="0.5">
      <c r="A447" s="81"/>
      <c r="B447" s="81"/>
      <c r="C447" s="81"/>
      <c r="D447" s="81"/>
      <c r="E447" s="81"/>
      <c r="F447" s="81"/>
      <c r="G447" s="105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 ht="24" customHeight="1" x14ac:dyDescent="0.5">
      <c r="A448" s="81"/>
      <c r="B448" s="81"/>
      <c r="C448" s="81"/>
      <c r="D448" s="81"/>
      <c r="E448" s="81"/>
      <c r="F448" s="81"/>
      <c r="G448" s="105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 ht="24" customHeight="1" x14ac:dyDescent="0.5">
      <c r="A449" s="81"/>
      <c r="B449" s="81"/>
      <c r="C449" s="81"/>
      <c r="D449" s="81"/>
      <c r="E449" s="81"/>
      <c r="F449" s="81"/>
      <c r="G449" s="105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 ht="24" customHeight="1" x14ac:dyDescent="0.5">
      <c r="A450" s="81"/>
      <c r="B450" s="81"/>
      <c r="C450" s="81"/>
      <c r="D450" s="81"/>
      <c r="E450" s="81"/>
      <c r="F450" s="81"/>
      <c r="G450" s="105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 ht="24" customHeight="1" x14ac:dyDescent="0.5">
      <c r="A451" s="81"/>
      <c r="B451" s="81"/>
      <c r="C451" s="81"/>
      <c r="D451" s="81"/>
      <c r="E451" s="81"/>
      <c r="F451" s="81"/>
      <c r="G451" s="105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 ht="24" customHeight="1" x14ac:dyDescent="0.5">
      <c r="A452" s="81"/>
      <c r="B452" s="81"/>
      <c r="C452" s="81"/>
      <c r="D452" s="81"/>
      <c r="E452" s="81"/>
      <c r="F452" s="81"/>
      <c r="G452" s="105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 ht="24" customHeight="1" x14ac:dyDescent="0.5">
      <c r="A453" s="81"/>
      <c r="B453" s="81"/>
      <c r="C453" s="81"/>
      <c r="D453" s="81"/>
      <c r="E453" s="81"/>
      <c r="F453" s="81"/>
      <c r="G453" s="105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 ht="24" customHeight="1" x14ac:dyDescent="0.5">
      <c r="A454" s="81"/>
      <c r="B454" s="81"/>
      <c r="C454" s="81"/>
      <c r="D454" s="81"/>
      <c r="E454" s="81"/>
      <c r="F454" s="81"/>
      <c r="G454" s="105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 ht="24" customHeight="1" x14ac:dyDescent="0.5">
      <c r="A455" s="81"/>
      <c r="B455" s="81"/>
      <c r="C455" s="81"/>
      <c r="D455" s="81"/>
      <c r="E455" s="81"/>
      <c r="F455" s="81"/>
      <c r="G455" s="105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 ht="24" customHeight="1" x14ac:dyDescent="0.5">
      <c r="A456" s="81"/>
      <c r="B456" s="81"/>
      <c r="C456" s="81"/>
      <c r="D456" s="81"/>
      <c r="E456" s="81"/>
      <c r="F456" s="81"/>
      <c r="G456" s="105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 ht="24" customHeight="1" x14ac:dyDescent="0.5">
      <c r="A457" s="81"/>
      <c r="B457" s="81"/>
      <c r="C457" s="81"/>
      <c r="D457" s="81"/>
      <c r="E457" s="81"/>
      <c r="F457" s="81"/>
      <c r="G457" s="105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 ht="24" customHeight="1" x14ac:dyDescent="0.5">
      <c r="A458" s="81"/>
      <c r="B458" s="81"/>
      <c r="C458" s="81"/>
      <c r="D458" s="81"/>
      <c r="E458" s="81"/>
      <c r="F458" s="81"/>
      <c r="G458" s="105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 ht="24" customHeight="1" x14ac:dyDescent="0.5">
      <c r="A459" s="81"/>
      <c r="B459" s="81"/>
      <c r="C459" s="81"/>
      <c r="D459" s="81"/>
      <c r="E459" s="81"/>
      <c r="F459" s="81"/>
      <c r="G459" s="105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 ht="24" customHeight="1" x14ac:dyDescent="0.5">
      <c r="A460" s="81"/>
      <c r="B460" s="81"/>
      <c r="C460" s="81"/>
      <c r="D460" s="81"/>
      <c r="E460" s="81"/>
      <c r="F460" s="81"/>
      <c r="G460" s="105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 ht="24" customHeight="1" x14ac:dyDescent="0.5">
      <c r="A461" s="81"/>
      <c r="B461" s="81"/>
      <c r="C461" s="81"/>
      <c r="D461" s="81"/>
      <c r="E461" s="81"/>
      <c r="F461" s="81"/>
      <c r="G461" s="105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 ht="24" customHeight="1" x14ac:dyDescent="0.5">
      <c r="A462" s="81"/>
      <c r="B462" s="81"/>
      <c r="C462" s="81"/>
      <c r="D462" s="81"/>
      <c r="E462" s="81"/>
      <c r="F462" s="81"/>
      <c r="G462" s="105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 ht="24" customHeight="1" x14ac:dyDescent="0.5">
      <c r="A463" s="81"/>
      <c r="B463" s="81"/>
      <c r="C463" s="81"/>
      <c r="D463" s="81"/>
      <c r="E463" s="81"/>
      <c r="F463" s="81"/>
      <c r="G463" s="105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 ht="24" customHeight="1" x14ac:dyDescent="0.5">
      <c r="A464" s="81"/>
      <c r="B464" s="81"/>
      <c r="C464" s="81"/>
      <c r="D464" s="81"/>
      <c r="E464" s="81"/>
      <c r="F464" s="81"/>
      <c r="G464" s="105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 ht="24" customHeight="1" x14ac:dyDescent="0.5">
      <c r="A465" s="81"/>
      <c r="B465" s="81"/>
      <c r="C465" s="81"/>
      <c r="D465" s="81"/>
      <c r="E465" s="81"/>
      <c r="F465" s="81"/>
      <c r="G465" s="105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 ht="24" customHeight="1" x14ac:dyDescent="0.5">
      <c r="A466" s="81"/>
      <c r="B466" s="81"/>
      <c r="C466" s="81"/>
      <c r="D466" s="81"/>
      <c r="E466" s="81"/>
      <c r="F466" s="81"/>
      <c r="G466" s="105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 ht="24" customHeight="1" x14ac:dyDescent="0.5">
      <c r="A467" s="81"/>
      <c r="B467" s="81"/>
      <c r="C467" s="81"/>
      <c r="D467" s="81"/>
      <c r="E467" s="81"/>
      <c r="F467" s="81"/>
      <c r="G467" s="105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 ht="24" customHeight="1" x14ac:dyDescent="0.5">
      <c r="A468" s="81"/>
      <c r="B468" s="81"/>
      <c r="C468" s="81"/>
      <c r="D468" s="81"/>
      <c r="E468" s="81"/>
      <c r="F468" s="81"/>
      <c r="G468" s="105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 ht="24" customHeight="1" x14ac:dyDescent="0.5">
      <c r="A469" s="81"/>
      <c r="B469" s="81"/>
      <c r="C469" s="81"/>
      <c r="D469" s="81"/>
      <c r="E469" s="81"/>
      <c r="F469" s="81"/>
      <c r="G469" s="105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 ht="24" customHeight="1" x14ac:dyDescent="0.5">
      <c r="A470" s="81"/>
      <c r="B470" s="81"/>
      <c r="C470" s="81"/>
      <c r="D470" s="81"/>
      <c r="E470" s="81"/>
      <c r="F470" s="81"/>
      <c r="G470" s="105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 ht="24" customHeight="1" x14ac:dyDescent="0.5">
      <c r="A471" s="81"/>
      <c r="B471" s="81"/>
      <c r="C471" s="81"/>
      <c r="D471" s="81"/>
      <c r="E471" s="81"/>
      <c r="F471" s="81"/>
      <c r="G471" s="105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 ht="24" customHeight="1" x14ac:dyDescent="0.5">
      <c r="A472" s="81"/>
      <c r="B472" s="81"/>
      <c r="C472" s="81"/>
      <c r="D472" s="81"/>
      <c r="E472" s="81"/>
      <c r="F472" s="81"/>
      <c r="G472" s="105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 ht="24" customHeight="1" x14ac:dyDescent="0.5">
      <c r="A473" s="81"/>
      <c r="B473" s="81"/>
      <c r="C473" s="81"/>
      <c r="D473" s="81"/>
      <c r="E473" s="81"/>
      <c r="F473" s="81"/>
      <c r="G473" s="105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 ht="24" customHeight="1" x14ac:dyDescent="0.5">
      <c r="A474" s="81"/>
      <c r="B474" s="81"/>
      <c r="C474" s="81"/>
      <c r="D474" s="81"/>
      <c r="E474" s="81"/>
      <c r="F474" s="81"/>
      <c r="G474" s="105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 ht="24" customHeight="1" x14ac:dyDescent="0.5">
      <c r="A475" s="81"/>
      <c r="B475" s="81"/>
      <c r="C475" s="81"/>
      <c r="D475" s="81"/>
      <c r="E475" s="81"/>
      <c r="F475" s="81"/>
      <c r="G475" s="105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 ht="24" customHeight="1" x14ac:dyDescent="0.5">
      <c r="A476" s="81"/>
      <c r="B476" s="81"/>
      <c r="C476" s="81"/>
      <c r="D476" s="81"/>
      <c r="E476" s="81"/>
      <c r="F476" s="81"/>
      <c r="G476" s="105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 ht="24" customHeight="1" x14ac:dyDescent="0.5">
      <c r="A477" s="81"/>
      <c r="B477" s="81"/>
      <c r="C477" s="81"/>
      <c r="D477" s="81"/>
      <c r="E477" s="81"/>
      <c r="F477" s="81"/>
      <c r="G477" s="105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 ht="24" customHeight="1" x14ac:dyDescent="0.5">
      <c r="A478" s="81"/>
      <c r="B478" s="81"/>
      <c r="C478" s="81"/>
      <c r="D478" s="81"/>
      <c r="E478" s="81"/>
      <c r="F478" s="81"/>
      <c r="G478" s="105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 ht="24" customHeight="1" x14ac:dyDescent="0.5">
      <c r="A479" s="81"/>
      <c r="B479" s="81"/>
      <c r="C479" s="81"/>
      <c r="D479" s="81"/>
      <c r="E479" s="81"/>
      <c r="F479" s="81"/>
      <c r="G479" s="105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 ht="24" customHeight="1" x14ac:dyDescent="0.5">
      <c r="A480" s="81"/>
      <c r="B480" s="81"/>
      <c r="C480" s="81"/>
      <c r="D480" s="81"/>
      <c r="E480" s="81"/>
      <c r="F480" s="81"/>
      <c r="G480" s="105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 ht="24" customHeight="1" x14ac:dyDescent="0.5">
      <c r="A481" s="81"/>
      <c r="B481" s="81"/>
      <c r="C481" s="81"/>
      <c r="D481" s="81"/>
      <c r="E481" s="81"/>
      <c r="F481" s="81"/>
      <c r="G481" s="105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 ht="24" customHeight="1" x14ac:dyDescent="0.5">
      <c r="A482" s="81"/>
      <c r="B482" s="81"/>
      <c r="C482" s="81"/>
      <c r="D482" s="81"/>
      <c r="E482" s="81"/>
      <c r="F482" s="81"/>
      <c r="G482" s="105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 ht="24" customHeight="1" x14ac:dyDescent="0.5">
      <c r="A483" s="81"/>
      <c r="B483" s="81"/>
      <c r="C483" s="81"/>
      <c r="D483" s="81"/>
      <c r="E483" s="81"/>
      <c r="F483" s="81"/>
      <c r="G483" s="105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 ht="24" customHeight="1" x14ac:dyDescent="0.5">
      <c r="A484" s="81"/>
      <c r="B484" s="81"/>
      <c r="C484" s="81"/>
      <c r="D484" s="81"/>
      <c r="E484" s="81"/>
      <c r="F484" s="81"/>
      <c r="G484" s="105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 ht="24" customHeight="1" x14ac:dyDescent="0.5">
      <c r="A485" s="81"/>
      <c r="B485" s="81"/>
      <c r="C485" s="81"/>
      <c r="D485" s="81"/>
      <c r="E485" s="81"/>
      <c r="F485" s="81"/>
      <c r="G485" s="105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 ht="24" customHeight="1" x14ac:dyDescent="0.5">
      <c r="A486" s="81"/>
      <c r="B486" s="81"/>
      <c r="C486" s="81"/>
      <c r="D486" s="81"/>
      <c r="E486" s="81"/>
      <c r="F486" s="81"/>
      <c r="G486" s="105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 ht="24" customHeight="1" x14ac:dyDescent="0.5">
      <c r="A487" s="81"/>
      <c r="B487" s="81"/>
      <c r="C487" s="81"/>
      <c r="D487" s="81"/>
      <c r="E487" s="81"/>
      <c r="F487" s="81"/>
      <c r="G487" s="105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 ht="24" customHeight="1" x14ac:dyDescent="0.5">
      <c r="A488" s="81"/>
      <c r="B488" s="81"/>
      <c r="C488" s="81"/>
      <c r="D488" s="81"/>
      <c r="E488" s="81"/>
      <c r="F488" s="81"/>
      <c r="G488" s="105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 ht="24" customHeight="1" x14ac:dyDescent="0.5">
      <c r="A489" s="81"/>
      <c r="B489" s="81"/>
      <c r="C489" s="81"/>
      <c r="D489" s="81"/>
      <c r="E489" s="81"/>
      <c r="F489" s="81"/>
      <c r="G489" s="105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 ht="24" customHeight="1" x14ac:dyDescent="0.5">
      <c r="A490" s="81"/>
      <c r="B490" s="81"/>
      <c r="C490" s="81"/>
      <c r="D490" s="81"/>
      <c r="E490" s="81"/>
      <c r="F490" s="81"/>
      <c r="G490" s="105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 ht="24" customHeight="1" x14ac:dyDescent="0.5">
      <c r="A491" s="81"/>
      <c r="B491" s="81"/>
      <c r="C491" s="81"/>
      <c r="D491" s="81"/>
      <c r="E491" s="81"/>
      <c r="F491" s="81"/>
      <c r="G491" s="105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 ht="24" customHeight="1" x14ac:dyDescent="0.5">
      <c r="A492" s="81"/>
      <c r="B492" s="81"/>
      <c r="C492" s="81"/>
      <c r="D492" s="81"/>
      <c r="E492" s="81"/>
      <c r="F492" s="81"/>
      <c r="G492" s="105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 ht="24" customHeight="1" x14ac:dyDescent="0.5">
      <c r="A493" s="81"/>
      <c r="B493" s="81"/>
      <c r="C493" s="81"/>
      <c r="D493" s="81"/>
      <c r="E493" s="81"/>
      <c r="F493" s="81"/>
      <c r="G493" s="105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 ht="24" customHeight="1" x14ac:dyDescent="0.5">
      <c r="A494" s="81"/>
      <c r="B494" s="81"/>
      <c r="C494" s="81"/>
      <c r="D494" s="81"/>
      <c r="E494" s="81"/>
      <c r="F494" s="81"/>
      <c r="G494" s="105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 ht="24" customHeight="1" x14ac:dyDescent="0.5">
      <c r="A495" s="81"/>
      <c r="B495" s="81"/>
      <c r="C495" s="81"/>
      <c r="D495" s="81"/>
      <c r="E495" s="81"/>
      <c r="F495" s="81"/>
      <c r="G495" s="105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 ht="24" customHeight="1" x14ac:dyDescent="0.5">
      <c r="A496" s="81"/>
      <c r="B496" s="81"/>
      <c r="C496" s="81"/>
      <c r="D496" s="81"/>
      <c r="E496" s="81"/>
      <c r="F496" s="81"/>
      <c r="G496" s="105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 ht="24" customHeight="1" x14ac:dyDescent="0.5">
      <c r="A497" s="81"/>
      <c r="B497" s="81"/>
      <c r="C497" s="81"/>
      <c r="D497" s="81"/>
      <c r="E497" s="81"/>
      <c r="F497" s="81"/>
      <c r="G497" s="105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 ht="24" customHeight="1" x14ac:dyDescent="0.5">
      <c r="A498" s="81"/>
      <c r="B498" s="81"/>
      <c r="C498" s="81"/>
      <c r="D498" s="81"/>
      <c r="E498" s="81"/>
      <c r="F498" s="81"/>
      <c r="G498" s="105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 ht="24" customHeight="1" x14ac:dyDescent="0.5">
      <c r="A499" s="81"/>
      <c r="B499" s="81"/>
      <c r="C499" s="81"/>
      <c r="D499" s="81"/>
      <c r="E499" s="81"/>
      <c r="F499" s="81"/>
      <c r="G499" s="105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 ht="24" customHeight="1" x14ac:dyDescent="0.5">
      <c r="A500" s="81"/>
      <c r="B500" s="81"/>
      <c r="C500" s="81"/>
      <c r="D500" s="81"/>
      <c r="E500" s="81"/>
      <c r="F500" s="81"/>
      <c r="G500" s="105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 ht="24" customHeight="1" x14ac:dyDescent="0.5">
      <c r="A501" s="81"/>
      <c r="B501" s="81"/>
      <c r="C501" s="81"/>
      <c r="D501" s="81"/>
      <c r="E501" s="81"/>
      <c r="F501" s="81"/>
      <c r="G501" s="105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 ht="24" customHeight="1" x14ac:dyDescent="0.5">
      <c r="A502" s="81"/>
      <c r="B502" s="81"/>
      <c r="C502" s="81"/>
      <c r="D502" s="81"/>
      <c r="E502" s="81"/>
      <c r="F502" s="81"/>
      <c r="G502" s="105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 ht="24" customHeight="1" x14ac:dyDescent="0.5">
      <c r="A503" s="81"/>
      <c r="B503" s="81"/>
      <c r="C503" s="81"/>
      <c r="D503" s="81"/>
      <c r="E503" s="81"/>
      <c r="F503" s="81"/>
      <c r="G503" s="105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 ht="24" customHeight="1" x14ac:dyDescent="0.5">
      <c r="A504" s="81"/>
      <c r="B504" s="81"/>
      <c r="C504" s="81"/>
      <c r="D504" s="81"/>
      <c r="E504" s="81"/>
      <c r="F504" s="81"/>
      <c r="G504" s="105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 ht="24" customHeight="1" x14ac:dyDescent="0.5">
      <c r="A505" s="81"/>
      <c r="B505" s="81"/>
      <c r="C505" s="81"/>
      <c r="D505" s="81"/>
      <c r="E505" s="81"/>
      <c r="F505" s="81"/>
      <c r="G505" s="105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 ht="24" customHeight="1" x14ac:dyDescent="0.5">
      <c r="A506" s="81"/>
      <c r="B506" s="81"/>
      <c r="C506" s="81"/>
      <c r="D506" s="81"/>
      <c r="E506" s="81"/>
      <c r="F506" s="81"/>
      <c r="G506" s="105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 ht="24" customHeight="1" x14ac:dyDescent="0.5">
      <c r="A507" s="81"/>
      <c r="B507" s="81"/>
      <c r="C507" s="81"/>
      <c r="D507" s="81"/>
      <c r="E507" s="81"/>
      <c r="F507" s="81"/>
      <c r="G507" s="105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 ht="24" customHeight="1" x14ac:dyDescent="0.5">
      <c r="A508" s="81"/>
      <c r="B508" s="81"/>
      <c r="C508" s="81"/>
      <c r="D508" s="81"/>
      <c r="E508" s="81"/>
      <c r="F508" s="81"/>
      <c r="G508" s="105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 ht="24" customHeight="1" x14ac:dyDescent="0.5">
      <c r="A509" s="81"/>
      <c r="B509" s="81"/>
      <c r="C509" s="81"/>
      <c r="D509" s="81"/>
      <c r="E509" s="81"/>
      <c r="F509" s="81"/>
      <c r="G509" s="105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 ht="24" customHeight="1" x14ac:dyDescent="0.5">
      <c r="A510" s="81"/>
      <c r="B510" s="81"/>
      <c r="C510" s="81"/>
      <c r="D510" s="81"/>
      <c r="E510" s="81"/>
      <c r="F510" s="81"/>
      <c r="G510" s="105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 ht="24" customHeight="1" x14ac:dyDescent="0.5">
      <c r="A511" s="81"/>
      <c r="B511" s="81"/>
      <c r="C511" s="81"/>
      <c r="D511" s="81"/>
      <c r="E511" s="81"/>
      <c r="F511" s="81"/>
      <c r="G511" s="105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 ht="24" customHeight="1" x14ac:dyDescent="0.5">
      <c r="A512" s="81"/>
      <c r="B512" s="81"/>
      <c r="C512" s="81"/>
      <c r="D512" s="81"/>
      <c r="E512" s="81"/>
      <c r="F512" s="81"/>
      <c r="G512" s="105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 ht="24" customHeight="1" x14ac:dyDescent="0.5">
      <c r="A513" s="81"/>
      <c r="B513" s="81"/>
      <c r="C513" s="81"/>
      <c r="D513" s="81"/>
      <c r="E513" s="81"/>
      <c r="F513" s="81"/>
      <c r="G513" s="105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 ht="24" customHeight="1" x14ac:dyDescent="0.5">
      <c r="A514" s="81"/>
      <c r="B514" s="81"/>
      <c r="C514" s="81"/>
      <c r="D514" s="81"/>
      <c r="E514" s="81"/>
      <c r="F514" s="81"/>
      <c r="G514" s="105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 ht="24" customHeight="1" x14ac:dyDescent="0.5">
      <c r="A515" s="81"/>
      <c r="B515" s="81"/>
      <c r="C515" s="81"/>
      <c r="D515" s="81"/>
      <c r="E515" s="81"/>
      <c r="F515" s="81"/>
      <c r="G515" s="105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 ht="24" customHeight="1" x14ac:dyDescent="0.5">
      <c r="A516" s="81"/>
      <c r="B516" s="81"/>
      <c r="C516" s="81"/>
      <c r="D516" s="81"/>
      <c r="E516" s="81"/>
      <c r="F516" s="81"/>
      <c r="G516" s="105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 ht="24" customHeight="1" x14ac:dyDescent="0.5">
      <c r="A517" s="81"/>
      <c r="B517" s="81"/>
      <c r="C517" s="81"/>
      <c r="D517" s="81"/>
      <c r="E517" s="81"/>
      <c r="F517" s="81"/>
      <c r="G517" s="105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 ht="24" customHeight="1" x14ac:dyDescent="0.5">
      <c r="A518" s="81"/>
      <c r="B518" s="81"/>
      <c r="C518" s="81"/>
      <c r="D518" s="81"/>
      <c r="E518" s="81"/>
      <c r="F518" s="81"/>
      <c r="G518" s="105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 ht="24" customHeight="1" x14ac:dyDescent="0.5">
      <c r="A519" s="81"/>
      <c r="B519" s="81"/>
      <c r="C519" s="81"/>
      <c r="D519" s="81"/>
      <c r="E519" s="81"/>
      <c r="F519" s="81"/>
      <c r="G519" s="105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 ht="24" customHeight="1" x14ac:dyDescent="0.5">
      <c r="A520" s="81"/>
      <c r="B520" s="81"/>
      <c r="C520" s="81"/>
      <c r="D520" s="81"/>
      <c r="E520" s="81"/>
      <c r="F520" s="81"/>
      <c r="G520" s="105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 ht="24" customHeight="1" x14ac:dyDescent="0.5">
      <c r="A521" s="81"/>
      <c r="B521" s="81"/>
      <c r="C521" s="81"/>
      <c r="D521" s="81"/>
      <c r="E521" s="81"/>
      <c r="F521" s="81"/>
      <c r="G521" s="105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 ht="24" customHeight="1" x14ac:dyDescent="0.5">
      <c r="A522" s="81"/>
      <c r="B522" s="81"/>
      <c r="C522" s="81"/>
      <c r="D522" s="81"/>
      <c r="E522" s="81"/>
      <c r="F522" s="81"/>
      <c r="G522" s="105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 ht="24" customHeight="1" x14ac:dyDescent="0.5">
      <c r="A523" s="81"/>
      <c r="B523" s="81"/>
      <c r="C523" s="81"/>
      <c r="D523" s="81"/>
      <c r="E523" s="81"/>
      <c r="F523" s="81"/>
      <c r="G523" s="105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 ht="24" customHeight="1" x14ac:dyDescent="0.5">
      <c r="A524" s="81"/>
      <c r="B524" s="81"/>
      <c r="C524" s="81"/>
      <c r="D524" s="81"/>
      <c r="E524" s="81"/>
      <c r="F524" s="81"/>
      <c r="G524" s="105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 ht="24" customHeight="1" x14ac:dyDescent="0.5">
      <c r="A525" s="81"/>
      <c r="B525" s="81"/>
      <c r="C525" s="81"/>
      <c r="D525" s="81"/>
      <c r="E525" s="81"/>
      <c r="F525" s="81"/>
      <c r="G525" s="105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 ht="24" customHeight="1" x14ac:dyDescent="0.5">
      <c r="A526" s="81"/>
      <c r="B526" s="81"/>
      <c r="C526" s="81"/>
      <c r="D526" s="81"/>
      <c r="E526" s="81"/>
      <c r="F526" s="81"/>
      <c r="G526" s="105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 ht="24" customHeight="1" x14ac:dyDescent="0.5">
      <c r="A527" s="81"/>
      <c r="B527" s="81"/>
      <c r="C527" s="81"/>
      <c r="D527" s="81"/>
      <c r="E527" s="81"/>
      <c r="F527" s="81"/>
      <c r="G527" s="105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 ht="24" customHeight="1" x14ac:dyDescent="0.5">
      <c r="A528" s="81"/>
      <c r="B528" s="81"/>
      <c r="C528" s="81"/>
      <c r="D528" s="81"/>
      <c r="E528" s="81"/>
      <c r="F528" s="81"/>
      <c r="G528" s="105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 ht="24" customHeight="1" x14ac:dyDescent="0.5">
      <c r="A529" s="81"/>
      <c r="B529" s="81"/>
      <c r="C529" s="81"/>
      <c r="D529" s="81"/>
      <c r="E529" s="81"/>
      <c r="F529" s="81"/>
      <c r="G529" s="105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 ht="24" customHeight="1" x14ac:dyDescent="0.5">
      <c r="A530" s="81"/>
      <c r="B530" s="81"/>
      <c r="C530" s="81"/>
      <c r="D530" s="81"/>
      <c r="E530" s="81"/>
      <c r="F530" s="81"/>
      <c r="G530" s="105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 ht="24" customHeight="1" x14ac:dyDescent="0.5">
      <c r="A531" s="81"/>
      <c r="B531" s="81"/>
      <c r="C531" s="81"/>
      <c r="D531" s="81"/>
      <c r="E531" s="81"/>
      <c r="F531" s="81"/>
      <c r="G531" s="105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 ht="24" customHeight="1" x14ac:dyDescent="0.5">
      <c r="A532" s="81"/>
      <c r="B532" s="81"/>
      <c r="C532" s="81"/>
      <c r="D532" s="81"/>
      <c r="E532" s="81"/>
      <c r="F532" s="81"/>
      <c r="G532" s="105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 ht="24" customHeight="1" x14ac:dyDescent="0.5">
      <c r="A533" s="81"/>
      <c r="B533" s="81"/>
      <c r="C533" s="81"/>
      <c r="D533" s="81"/>
      <c r="E533" s="81"/>
      <c r="F533" s="81"/>
      <c r="G533" s="105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 ht="24" customHeight="1" x14ac:dyDescent="0.5">
      <c r="A534" s="81"/>
      <c r="B534" s="81"/>
      <c r="C534" s="81"/>
      <c r="D534" s="81"/>
      <c r="E534" s="81"/>
      <c r="F534" s="81"/>
      <c r="G534" s="105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 ht="24" customHeight="1" x14ac:dyDescent="0.5">
      <c r="A535" s="81"/>
      <c r="B535" s="81"/>
      <c r="C535" s="81"/>
      <c r="D535" s="81"/>
      <c r="E535" s="81"/>
      <c r="F535" s="81"/>
      <c r="G535" s="105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 ht="24" customHeight="1" x14ac:dyDescent="0.5">
      <c r="A536" s="81"/>
      <c r="B536" s="81"/>
      <c r="C536" s="81"/>
      <c r="D536" s="81"/>
      <c r="E536" s="81"/>
      <c r="F536" s="81"/>
      <c r="G536" s="105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 ht="24" customHeight="1" x14ac:dyDescent="0.5">
      <c r="A537" s="81"/>
      <c r="B537" s="81"/>
      <c r="C537" s="81"/>
      <c r="D537" s="81"/>
      <c r="E537" s="81"/>
      <c r="F537" s="81"/>
      <c r="G537" s="105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 ht="24" customHeight="1" x14ac:dyDescent="0.5">
      <c r="A538" s="81"/>
      <c r="B538" s="81"/>
      <c r="C538" s="81"/>
      <c r="D538" s="81"/>
      <c r="E538" s="81"/>
      <c r="F538" s="81"/>
      <c r="G538" s="105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 ht="24" customHeight="1" x14ac:dyDescent="0.5">
      <c r="A539" s="81"/>
      <c r="B539" s="81"/>
      <c r="C539" s="81"/>
      <c r="D539" s="81"/>
      <c r="E539" s="81"/>
      <c r="F539" s="81"/>
      <c r="G539" s="105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 ht="24" customHeight="1" x14ac:dyDescent="0.5">
      <c r="A540" s="81"/>
      <c r="B540" s="81"/>
      <c r="C540" s="81"/>
      <c r="D540" s="81"/>
      <c r="E540" s="81"/>
      <c r="F540" s="81"/>
      <c r="G540" s="105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 ht="24" customHeight="1" x14ac:dyDescent="0.5">
      <c r="A541" s="81"/>
      <c r="B541" s="81"/>
      <c r="C541" s="81"/>
      <c r="D541" s="81"/>
      <c r="E541" s="81"/>
      <c r="F541" s="81"/>
      <c r="G541" s="105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 ht="24" customHeight="1" x14ac:dyDescent="0.5">
      <c r="A542" s="81"/>
      <c r="B542" s="81"/>
      <c r="C542" s="81"/>
      <c r="D542" s="81"/>
      <c r="E542" s="81"/>
      <c r="F542" s="81"/>
      <c r="G542" s="105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 ht="24" customHeight="1" x14ac:dyDescent="0.5">
      <c r="A543" s="81"/>
      <c r="B543" s="81"/>
      <c r="C543" s="81"/>
      <c r="D543" s="81"/>
      <c r="E543" s="81"/>
      <c r="F543" s="81"/>
      <c r="G543" s="105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 ht="24" customHeight="1" x14ac:dyDescent="0.5">
      <c r="A544" s="81"/>
      <c r="B544" s="81"/>
      <c r="C544" s="81"/>
      <c r="D544" s="81"/>
      <c r="E544" s="81"/>
      <c r="F544" s="81"/>
      <c r="G544" s="105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 ht="24" customHeight="1" x14ac:dyDescent="0.5">
      <c r="A545" s="81"/>
      <c r="B545" s="81"/>
      <c r="C545" s="81"/>
      <c r="D545" s="81"/>
      <c r="E545" s="81"/>
      <c r="F545" s="81"/>
      <c r="G545" s="105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 ht="24" customHeight="1" x14ac:dyDescent="0.5">
      <c r="A546" s="81"/>
      <c r="B546" s="81"/>
      <c r="C546" s="81"/>
      <c r="D546" s="81"/>
      <c r="E546" s="81"/>
      <c r="F546" s="81"/>
      <c r="G546" s="105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 ht="24" customHeight="1" x14ac:dyDescent="0.5">
      <c r="A547" s="81"/>
      <c r="B547" s="81"/>
      <c r="C547" s="81"/>
      <c r="D547" s="81"/>
      <c r="E547" s="81"/>
      <c r="F547" s="81"/>
      <c r="G547" s="105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 ht="24" customHeight="1" x14ac:dyDescent="0.5">
      <c r="A548" s="81"/>
      <c r="B548" s="81"/>
      <c r="C548" s="81"/>
      <c r="D548" s="81"/>
      <c r="E548" s="81"/>
      <c r="F548" s="81"/>
      <c r="G548" s="105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 ht="24" customHeight="1" x14ac:dyDescent="0.5">
      <c r="A549" s="81"/>
      <c r="B549" s="81"/>
      <c r="C549" s="81"/>
      <c r="D549" s="81"/>
      <c r="E549" s="81"/>
      <c r="F549" s="81"/>
      <c r="G549" s="105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 ht="24" customHeight="1" x14ac:dyDescent="0.5">
      <c r="A550" s="81"/>
      <c r="B550" s="81"/>
      <c r="C550" s="81"/>
      <c r="D550" s="81"/>
      <c r="E550" s="81"/>
      <c r="F550" s="81"/>
      <c r="G550" s="105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 ht="24" customHeight="1" x14ac:dyDescent="0.5">
      <c r="A551" s="81"/>
      <c r="B551" s="81"/>
      <c r="C551" s="81"/>
      <c r="D551" s="81"/>
      <c r="E551" s="81"/>
      <c r="F551" s="81"/>
      <c r="G551" s="105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 ht="24" customHeight="1" x14ac:dyDescent="0.5">
      <c r="A552" s="81"/>
      <c r="B552" s="81"/>
      <c r="C552" s="81"/>
      <c r="D552" s="81"/>
      <c r="E552" s="81"/>
      <c r="F552" s="81"/>
      <c r="G552" s="105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 ht="24" customHeight="1" x14ac:dyDescent="0.5">
      <c r="A553" s="81"/>
      <c r="B553" s="81"/>
      <c r="C553" s="81"/>
      <c r="D553" s="81"/>
      <c r="E553" s="81"/>
      <c r="F553" s="81"/>
      <c r="G553" s="105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 ht="24" customHeight="1" x14ac:dyDescent="0.5">
      <c r="A554" s="81"/>
      <c r="B554" s="81"/>
      <c r="C554" s="81"/>
      <c r="D554" s="81"/>
      <c r="E554" s="81"/>
      <c r="F554" s="81"/>
      <c r="G554" s="105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 ht="24" customHeight="1" x14ac:dyDescent="0.5">
      <c r="A555" s="81"/>
      <c r="B555" s="81"/>
      <c r="C555" s="81"/>
      <c r="D555" s="81"/>
      <c r="E555" s="81"/>
      <c r="F555" s="81"/>
      <c r="G555" s="105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 ht="24" customHeight="1" x14ac:dyDescent="0.5">
      <c r="A556" s="81"/>
      <c r="B556" s="81"/>
      <c r="C556" s="81"/>
      <c r="D556" s="81"/>
      <c r="E556" s="81"/>
      <c r="F556" s="81"/>
      <c r="G556" s="105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 ht="24" customHeight="1" x14ac:dyDescent="0.5">
      <c r="A557" s="81"/>
      <c r="B557" s="81"/>
      <c r="C557" s="81"/>
      <c r="D557" s="81"/>
      <c r="E557" s="81"/>
      <c r="F557" s="81"/>
      <c r="G557" s="105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 ht="24" customHeight="1" x14ac:dyDescent="0.5">
      <c r="A558" s="81"/>
      <c r="B558" s="81"/>
      <c r="C558" s="81"/>
      <c r="D558" s="81"/>
      <c r="E558" s="81"/>
      <c r="F558" s="81"/>
      <c r="G558" s="105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 ht="24" customHeight="1" x14ac:dyDescent="0.5">
      <c r="A559" s="81"/>
      <c r="B559" s="81"/>
      <c r="C559" s="81"/>
      <c r="D559" s="81"/>
      <c r="E559" s="81"/>
      <c r="F559" s="81"/>
      <c r="G559" s="105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 ht="24" customHeight="1" x14ac:dyDescent="0.5">
      <c r="A560" s="81"/>
      <c r="B560" s="81"/>
      <c r="C560" s="81"/>
      <c r="D560" s="81"/>
      <c r="E560" s="81"/>
      <c r="F560" s="81"/>
      <c r="G560" s="105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 ht="24" customHeight="1" x14ac:dyDescent="0.5">
      <c r="A561" s="81"/>
      <c r="B561" s="81"/>
      <c r="C561" s="81"/>
      <c r="D561" s="81"/>
      <c r="E561" s="81"/>
      <c r="F561" s="81"/>
      <c r="G561" s="105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 ht="24" customHeight="1" x14ac:dyDescent="0.5">
      <c r="A562" s="81"/>
      <c r="B562" s="81"/>
      <c r="C562" s="81"/>
      <c r="D562" s="81"/>
      <c r="E562" s="81"/>
      <c r="F562" s="81"/>
      <c r="G562" s="105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 ht="24" customHeight="1" x14ac:dyDescent="0.5">
      <c r="A563" s="81"/>
      <c r="B563" s="81"/>
      <c r="C563" s="81"/>
      <c r="D563" s="81"/>
      <c r="E563" s="81"/>
      <c r="F563" s="81"/>
      <c r="G563" s="105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 ht="24" customHeight="1" x14ac:dyDescent="0.5">
      <c r="A564" s="81"/>
      <c r="B564" s="81"/>
      <c r="C564" s="81"/>
      <c r="D564" s="81"/>
      <c r="E564" s="81"/>
      <c r="F564" s="81"/>
      <c r="G564" s="105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 ht="24" customHeight="1" x14ac:dyDescent="0.5">
      <c r="A565" s="81"/>
      <c r="B565" s="81"/>
      <c r="C565" s="81"/>
      <c r="D565" s="81"/>
      <c r="E565" s="81"/>
      <c r="F565" s="81"/>
      <c r="G565" s="105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 ht="24" customHeight="1" x14ac:dyDescent="0.5">
      <c r="A566" s="81"/>
      <c r="B566" s="81"/>
      <c r="C566" s="81"/>
      <c r="D566" s="81"/>
      <c r="E566" s="81"/>
      <c r="F566" s="81"/>
      <c r="G566" s="105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 ht="24" customHeight="1" x14ac:dyDescent="0.5">
      <c r="A567" s="81"/>
      <c r="B567" s="81"/>
      <c r="C567" s="81"/>
      <c r="D567" s="81"/>
      <c r="E567" s="81"/>
      <c r="F567" s="81"/>
      <c r="G567" s="105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 ht="24" customHeight="1" x14ac:dyDescent="0.5">
      <c r="A568" s="81"/>
      <c r="B568" s="81"/>
      <c r="C568" s="81"/>
      <c r="D568" s="81"/>
      <c r="E568" s="81"/>
      <c r="F568" s="81"/>
      <c r="G568" s="105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 ht="24" customHeight="1" x14ac:dyDescent="0.5">
      <c r="A569" s="81"/>
      <c r="B569" s="81"/>
      <c r="C569" s="81"/>
      <c r="D569" s="81"/>
      <c r="E569" s="81"/>
      <c r="F569" s="81"/>
      <c r="G569" s="105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 ht="24" customHeight="1" x14ac:dyDescent="0.5">
      <c r="A570" s="81"/>
      <c r="B570" s="81"/>
      <c r="C570" s="81"/>
      <c r="D570" s="81"/>
      <c r="E570" s="81"/>
      <c r="F570" s="81"/>
      <c r="G570" s="105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 ht="24" customHeight="1" x14ac:dyDescent="0.5">
      <c r="A571" s="81"/>
      <c r="B571" s="81"/>
      <c r="C571" s="81"/>
      <c r="D571" s="81"/>
      <c r="E571" s="81"/>
      <c r="F571" s="81"/>
      <c r="G571" s="105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 ht="24" customHeight="1" x14ac:dyDescent="0.5">
      <c r="A572" s="81"/>
      <c r="B572" s="81"/>
      <c r="C572" s="81"/>
      <c r="D572" s="81"/>
      <c r="E572" s="81"/>
      <c r="F572" s="81"/>
      <c r="G572" s="105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 ht="24" customHeight="1" x14ac:dyDescent="0.5">
      <c r="A573" s="81"/>
      <c r="B573" s="81"/>
      <c r="C573" s="81"/>
      <c r="D573" s="81"/>
      <c r="E573" s="81"/>
      <c r="F573" s="81"/>
      <c r="G573" s="105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 ht="24" customHeight="1" x14ac:dyDescent="0.5">
      <c r="A574" s="81"/>
      <c r="B574" s="81"/>
      <c r="C574" s="81"/>
      <c r="D574" s="81"/>
      <c r="E574" s="81"/>
      <c r="F574" s="81"/>
      <c r="G574" s="105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 ht="24" customHeight="1" x14ac:dyDescent="0.5">
      <c r="A575" s="81"/>
      <c r="B575" s="81"/>
      <c r="C575" s="81"/>
      <c r="D575" s="81"/>
      <c r="E575" s="81"/>
      <c r="F575" s="81"/>
      <c r="G575" s="105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 ht="24" customHeight="1" x14ac:dyDescent="0.5">
      <c r="A576" s="81"/>
      <c r="B576" s="81"/>
      <c r="C576" s="81"/>
      <c r="D576" s="81"/>
      <c r="E576" s="81"/>
      <c r="F576" s="81"/>
      <c r="G576" s="105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 ht="24" customHeight="1" x14ac:dyDescent="0.5">
      <c r="A577" s="81"/>
      <c r="B577" s="81"/>
      <c r="C577" s="81"/>
      <c r="D577" s="81"/>
      <c r="E577" s="81"/>
      <c r="F577" s="81"/>
      <c r="G577" s="105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 ht="24" customHeight="1" x14ac:dyDescent="0.5">
      <c r="A578" s="81"/>
      <c r="B578" s="81"/>
      <c r="C578" s="81"/>
      <c r="D578" s="81"/>
      <c r="E578" s="81"/>
      <c r="F578" s="81"/>
      <c r="G578" s="105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 ht="24" customHeight="1" x14ac:dyDescent="0.5">
      <c r="A579" s="81"/>
      <c r="B579" s="81"/>
      <c r="C579" s="81"/>
      <c r="D579" s="81"/>
      <c r="E579" s="81"/>
      <c r="F579" s="81"/>
      <c r="G579" s="105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 ht="24" customHeight="1" x14ac:dyDescent="0.5">
      <c r="A580" s="81"/>
      <c r="B580" s="81"/>
      <c r="C580" s="81"/>
      <c r="D580" s="81"/>
      <c r="E580" s="81"/>
      <c r="F580" s="81"/>
      <c r="G580" s="105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 ht="24" customHeight="1" x14ac:dyDescent="0.5">
      <c r="A581" s="81"/>
      <c r="B581" s="81"/>
      <c r="C581" s="81"/>
      <c r="D581" s="81"/>
      <c r="E581" s="81"/>
      <c r="F581" s="81"/>
      <c r="G581" s="105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 ht="24" customHeight="1" x14ac:dyDescent="0.5">
      <c r="A582" s="81"/>
      <c r="B582" s="81"/>
      <c r="C582" s="81"/>
      <c r="D582" s="81"/>
      <c r="E582" s="81"/>
      <c r="F582" s="81"/>
      <c r="G582" s="105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 ht="24" customHeight="1" x14ac:dyDescent="0.5">
      <c r="A583" s="81"/>
      <c r="B583" s="81"/>
      <c r="C583" s="81"/>
      <c r="D583" s="81"/>
      <c r="E583" s="81"/>
      <c r="F583" s="81"/>
      <c r="G583" s="105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 ht="24" customHeight="1" x14ac:dyDescent="0.5">
      <c r="A584" s="81"/>
      <c r="B584" s="81"/>
      <c r="C584" s="81"/>
      <c r="D584" s="81"/>
      <c r="E584" s="81"/>
      <c r="F584" s="81"/>
      <c r="G584" s="105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 ht="24" customHeight="1" x14ac:dyDescent="0.5">
      <c r="A585" s="81"/>
      <c r="B585" s="81"/>
      <c r="C585" s="81"/>
      <c r="D585" s="81"/>
      <c r="E585" s="81"/>
      <c r="F585" s="81"/>
      <c r="G585" s="105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 ht="24" customHeight="1" x14ac:dyDescent="0.5">
      <c r="A586" s="81"/>
      <c r="B586" s="81"/>
      <c r="C586" s="81"/>
      <c r="D586" s="81"/>
      <c r="E586" s="81"/>
      <c r="F586" s="81"/>
      <c r="G586" s="105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 ht="24" customHeight="1" x14ac:dyDescent="0.5">
      <c r="A587" s="81"/>
      <c r="B587" s="81"/>
      <c r="C587" s="81"/>
      <c r="D587" s="81"/>
      <c r="E587" s="81"/>
      <c r="F587" s="81"/>
      <c r="G587" s="105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 ht="24" customHeight="1" x14ac:dyDescent="0.5">
      <c r="A588" s="81"/>
      <c r="B588" s="81"/>
      <c r="C588" s="81"/>
      <c r="D588" s="81"/>
      <c r="E588" s="81"/>
      <c r="F588" s="81"/>
      <c r="G588" s="105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 ht="24" customHeight="1" x14ac:dyDescent="0.5">
      <c r="A589" s="81"/>
      <c r="B589" s="81"/>
      <c r="C589" s="81"/>
      <c r="D589" s="81"/>
      <c r="E589" s="81"/>
      <c r="F589" s="81"/>
      <c r="G589" s="105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 ht="24" customHeight="1" x14ac:dyDescent="0.5">
      <c r="A590" s="81"/>
      <c r="B590" s="81"/>
      <c r="C590" s="81"/>
      <c r="D590" s="81"/>
      <c r="E590" s="81"/>
      <c r="F590" s="81"/>
      <c r="G590" s="105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 ht="24" customHeight="1" x14ac:dyDescent="0.5">
      <c r="A591" s="81"/>
      <c r="B591" s="81"/>
      <c r="C591" s="81"/>
      <c r="D591" s="81"/>
      <c r="E591" s="81"/>
      <c r="F591" s="81"/>
      <c r="G591" s="105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 ht="24" customHeight="1" x14ac:dyDescent="0.5">
      <c r="A592" s="81"/>
      <c r="B592" s="81"/>
      <c r="C592" s="81"/>
      <c r="D592" s="81"/>
      <c r="E592" s="81"/>
      <c r="F592" s="81"/>
      <c r="G592" s="105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 ht="24" customHeight="1" x14ac:dyDescent="0.5">
      <c r="A593" s="81"/>
      <c r="B593" s="81"/>
      <c r="C593" s="81"/>
      <c r="D593" s="81"/>
      <c r="E593" s="81"/>
      <c r="F593" s="81"/>
      <c r="G593" s="105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 ht="24" customHeight="1" x14ac:dyDescent="0.5">
      <c r="A594" s="81"/>
      <c r="B594" s="81"/>
      <c r="C594" s="81"/>
      <c r="D594" s="81"/>
      <c r="E594" s="81"/>
      <c r="F594" s="81"/>
      <c r="G594" s="105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 ht="24" customHeight="1" x14ac:dyDescent="0.5">
      <c r="A595" s="81"/>
      <c r="B595" s="81"/>
      <c r="C595" s="81"/>
      <c r="D595" s="81"/>
      <c r="E595" s="81"/>
      <c r="F595" s="81"/>
      <c r="G595" s="105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 ht="24" customHeight="1" x14ac:dyDescent="0.5">
      <c r="A596" s="81"/>
      <c r="B596" s="81"/>
      <c r="C596" s="81"/>
      <c r="D596" s="81"/>
      <c r="E596" s="81"/>
      <c r="F596" s="81"/>
      <c r="G596" s="105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 ht="24" customHeight="1" x14ac:dyDescent="0.5">
      <c r="A597" s="81"/>
      <c r="B597" s="81"/>
      <c r="C597" s="81"/>
      <c r="D597" s="81"/>
      <c r="E597" s="81"/>
      <c r="F597" s="81"/>
      <c r="G597" s="105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 ht="24" customHeight="1" x14ac:dyDescent="0.5">
      <c r="A598" s="81"/>
      <c r="B598" s="81"/>
      <c r="C598" s="81"/>
      <c r="D598" s="81"/>
      <c r="E598" s="81"/>
      <c r="F598" s="81"/>
      <c r="G598" s="105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 ht="24" customHeight="1" x14ac:dyDescent="0.5">
      <c r="A599" s="81"/>
      <c r="B599" s="81"/>
      <c r="C599" s="81"/>
      <c r="D599" s="81"/>
      <c r="E599" s="81"/>
      <c r="F599" s="81"/>
      <c r="G599" s="105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 ht="24" customHeight="1" x14ac:dyDescent="0.5">
      <c r="A600" s="81"/>
      <c r="B600" s="81"/>
      <c r="C600" s="81"/>
      <c r="D600" s="81"/>
      <c r="E600" s="81"/>
      <c r="F600" s="81"/>
      <c r="G600" s="105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 ht="24" customHeight="1" x14ac:dyDescent="0.5">
      <c r="A601" s="81"/>
      <c r="B601" s="81"/>
      <c r="C601" s="81"/>
      <c r="D601" s="81"/>
      <c r="E601" s="81"/>
      <c r="F601" s="81"/>
      <c r="G601" s="105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 ht="24" customHeight="1" x14ac:dyDescent="0.5">
      <c r="A602" s="81"/>
      <c r="B602" s="81"/>
      <c r="C602" s="81"/>
      <c r="D602" s="81"/>
      <c r="E602" s="81"/>
      <c r="F602" s="81"/>
      <c r="G602" s="105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 ht="24" customHeight="1" x14ac:dyDescent="0.5">
      <c r="A603" s="81"/>
      <c r="B603" s="81"/>
      <c r="C603" s="81"/>
      <c r="D603" s="81"/>
      <c r="E603" s="81"/>
      <c r="F603" s="81"/>
      <c r="G603" s="105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 ht="24" customHeight="1" x14ac:dyDescent="0.5">
      <c r="A604" s="81"/>
      <c r="B604" s="81"/>
      <c r="C604" s="81"/>
      <c r="D604" s="81"/>
      <c r="E604" s="81"/>
      <c r="F604" s="81"/>
      <c r="G604" s="105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 ht="24" customHeight="1" x14ac:dyDescent="0.5">
      <c r="A605" s="81"/>
      <c r="B605" s="81"/>
      <c r="C605" s="81"/>
      <c r="D605" s="81"/>
      <c r="E605" s="81"/>
      <c r="F605" s="81"/>
      <c r="G605" s="105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 ht="24" customHeight="1" x14ac:dyDescent="0.5">
      <c r="A606" s="81"/>
      <c r="B606" s="81"/>
      <c r="C606" s="81"/>
      <c r="D606" s="81"/>
      <c r="E606" s="81"/>
      <c r="F606" s="81"/>
      <c r="G606" s="105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 ht="24" customHeight="1" x14ac:dyDescent="0.5">
      <c r="A607" s="81"/>
      <c r="B607" s="81"/>
      <c r="C607" s="81"/>
      <c r="D607" s="81"/>
      <c r="E607" s="81"/>
      <c r="F607" s="81"/>
      <c r="G607" s="105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 ht="24" customHeight="1" x14ac:dyDescent="0.5">
      <c r="A608" s="81"/>
      <c r="B608" s="81"/>
      <c r="C608" s="81"/>
      <c r="D608" s="81"/>
      <c r="E608" s="81"/>
      <c r="F608" s="81"/>
      <c r="G608" s="105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 ht="24" customHeight="1" x14ac:dyDescent="0.5">
      <c r="A609" s="81"/>
      <c r="B609" s="81"/>
      <c r="C609" s="81"/>
      <c r="D609" s="81"/>
      <c r="E609" s="81"/>
      <c r="F609" s="81"/>
      <c r="G609" s="105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 ht="24" customHeight="1" x14ac:dyDescent="0.5">
      <c r="A610" s="81"/>
      <c r="B610" s="81"/>
      <c r="C610" s="81"/>
      <c r="D610" s="81"/>
      <c r="E610" s="81"/>
      <c r="F610" s="81"/>
      <c r="G610" s="105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 ht="24" customHeight="1" x14ac:dyDescent="0.5">
      <c r="A611" s="81"/>
      <c r="B611" s="81"/>
      <c r="C611" s="81"/>
      <c r="D611" s="81"/>
      <c r="E611" s="81"/>
      <c r="F611" s="81"/>
      <c r="G611" s="105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 ht="24" customHeight="1" x14ac:dyDescent="0.5">
      <c r="A612" s="81"/>
      <c r="B612" s="81"/>
      <c r="C612" s="81"/>
      <c r="D612" s="81"/>
      <c r="E612" s="81"/>
      <c r="F612" s="81"/>
      <c r="G612" s="105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 ht="24" customHeight="1" x14ac:dyDescent="0.5">
      <c r="A613" s="81"/>
      <c r="B613" s="81"/>
      <c r="C613" s="81"/>
      <c r="D613" s="81"/>
      <c r="E613" s="81"/>
      <c r="F613" s="81"/>
      <c r="G613" s="105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 ht="24" customHeight="1" x14ac:dyDescent="0.5">
      <c r="A614" s="81"/>
      <c r="B614" s="81"/>
      <c r="C614" s="81"/>
      <c r="D614" s="81"/>
      <c r="E614" s="81"/>
      <c r="F614" s="81"/>
      <c r="G614" s="105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 ht="24" customHeight="1" x14ac:dyDescent="0.5">
      <c r="A615" s="81"/>
      <c r="B615" s="81"/>
      <c r="C615" s="81"/>
      <c r="D615" s="81"/>
      <c r="E615" s="81"/>
      <c r="F615" s="81"/>
      <c r="G615" s="105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 ht="24" customHeight="1" x14ac:dyDescent="0.5">
      <c r="A616" s="81"/>
      <c r="B616" s="81"/>
      <c r="C616" s="81"/>
      <c r="D616" s="81"/>
      <c r="E616" s="81"/>
      <c r="F616" s="81"/>
      <c r="G616" s="105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 ht="24" customHeight="1" x14ac:dyDescent="0.5">
      <c r="A617" s="81"/>
      <c r="B617" s="81"/>
      <c r="C617" s="81"/>
      <c r="D617" s="81"/>
      <c r="E617" s="81"/>
      <c r="F617" s="81"/>
      <c r="G617" s="105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 ht="24" customHeight="1" x14ac:dyDescent="0.5">
      <c r="A618" s="81"/>
      <c r="B618" s="81"/>
      <c r="C618" s="81"/>
      <c r="D618" s="81"/>
      <c r="E618" s="81"/>
      <c r="F618" s="81"/>
      <c r="G618" s="105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 ht="24" customHeight="1" x14ac:dyDescent="0.5">
      <c r="A619" s="81"/>
      <c r="B619" s="81"/>
      <c r="C619" s="81"/>
      <c r="D619" s="81"/>
      <c r="E619" s="81"/>
      <c r="F619" s="81"/>
      <c r="G619" s="105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 ht="24" customHeight="1" x14ac:dyDescent="0.5">
      <c r="A620" s="81"/>
      <c r="B620" s="81"/>
      <c r="C620" s="81"/>
      <c r="D620" s="81"/>
      <c r="E620" s="81"/>
      <c r="F620" s="81"/>
      <c r="G620" s="105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 ht="24" customHeight="1" x14ac:dyDescent="0.5">
      <c r="A621" s="81"/>
      <c r="B621" s="81"/>
      <c r="C621" s="81"/>
      <c r="D621" s="81"/>
      <c r="E621" s="81"/>
      <c r="F621" s="81"/>
      <c r="G621" s="105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 ht="24" customHeight="1" x14ac:dyDescent="0.5">
      <c r="A622" s="81"/>
      <c r="B622" s="81"/>
      <c r="C622" s="81"/>
      <c r="D622" s="81"/>
      <c r="E622" s="81"/>
      <c r="F622" s="81"/>
      <c r="G622" s="105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 ht="24" customHeight="1" x14ac:dyDescent="0.5">
      <c r="A623" s="81"/>
      <c r="B623" s="81"/>
      <c r="C623" s="81"/>
      <c r="D623" s="81"/>
      <c r="E623" s="81"/>
      <c r="F623" s="81"/>
      <c r="G623" s="105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 ht="24" customHeight="1" x14ac:dyDescent="0.5">
      <c r="A624" s="81"/>
      <c r="B624" s="81"/>
      <c r="C624" s="81"/>
      <c r="D624" s="81"/>
      <c r="E624" s="81"/>
      <c r="F624" s="81"/>
      <c r="G624" s="105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 ht="24" customHeight="1" x14ac:dyDescent="0.5">
      <c r="A625" s="81"/>
      <c r="B625" s="81"/>
      <c r="C625" s="81"/>
      <c r="D625" s="81"/>
      <c r="E625" s="81"/>
      <c r="F625" s="81"/>
      <c r="G625" s="105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 ht="24" customHeight="1" x14ac:dyDescent="0.5">
      <c r="A626" s="81"/>
      <c r="B626" s="81"/>
      <c r="C626" s="81"/>
      <c r="D626" s="81"/>
      <c r="E626" s="81"/>
      <c r="F626" s="81"/>
      <c r="G626" s="105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 ht="24" customHeight="1" x14ac:dyDescent="0.5">
      <c r="A627" s="81"/>
      <c r="B627" s="81"/>
      <c r="C627" s="81"/>
      <c r="D627" s="81"/>
      <c r="E627" s="81"/>
      <c r="F627" s="81"/>
      <c r="G627" s="105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 ht="24" customHeight="1" x14ac:dyDescent="0.5">
      <c r="A628" s="81"/>
      <c r="B628" s="81"/>
      <c r="C628" s="81"/>
      <c r="D628" s="81"/>
      <c r="E628" s="81"/>
      <c r="F628" s="81"/>
      <c r="G628" s="105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 ht="24" customHeight="1" x14ac:dyDescent="0.5">
      <c r="A629" s="81"/>
      <c r="B629" s="81"/>
      <c r="C629" s="81"/>
      <c r="D629" s="81"/>
      <c r="E629" s="81"/>
      <c r="F629" s="81"/>
      <c r="G629" s="105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 ht="24" customHeight="1" x14ac:dyDescent="0.5">
      <c r="A630" s="81"/>
      <c r="B630" s="81"/>
      <c r="C630" s="81"/>
      <c r="D630" s="81"/>
      <c r="E630" s="81"/>
      <c r="F630" s="81"/>
      <c r="G630" s="105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 ht="24" customHeight="1" x14ac:dyDescent="0.5">
      <c r="A631" s="81"/>
      <c r="B631" s="81"/>
      <c r="C631" s="81"/>
      <c r="D631" s="81"/>
      <c r="E631" s="81"/>
      <c r="F631" s="81"/>
      <c r="G631" s="105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 ht="24" customHeight="1" x14ac:dyDescent="0.5">
      <c r="A632" s="81"/>
      <c r="B632" s="81"/>
      <c r="C632" s="81"/>
      <c r="D632" s="81"/>
      <c r="E632" s="81"/>
      <c r="F632" s="81"/>
      <c r="G632" s="105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 ht="24" customHeight="1" x14ac:dyDescent="0.5">
      <c r="A633" s="81"/>
      <c r="B633" s="81"/>
      <c r="C633" s="81"/>
      <c r="D633" s="81"/>
      <c r="E633" s="81"/>
      <c r="F633" s="81"/>
      <c r="G633" s="105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 ht="24" customHeight="1" x14ac:dyDescent="0.5">
      <c r="A634" s="81"/>
      <c r="B634" s="81"/>
      <c r="C634" s="81"/>
      <c r="D634" s="81"/>
      <c r="E634" s="81"/>
      <c r="F634" s="81"/>
      <c r="G634" s="105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 ht="24" customHeight="1" x14ac:dyDescent="0.5">
      <c r="A635" s="81"/>
      <c r="B635" s="81"/>
      <c r="C635" s="81"/>
      <c r="D635" s="81"/>
      <c r="E635" s="81"/>
      <c r="F635" s="81"/>
      <c r="G635" s="105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 ht="24" customHeight="1" x14ac:dyDescent="0.5">
      <c r="A636" s="81"/>
      <c r="B636" s="81"/>
      <c r="C636" s="81"/>
      <c r="D636" s="81"/>
      <c r="E636" s="81"/>
      <c r="F636" s="81"/>
      <c r="G636" s="105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 ht="24" customHeight="1" x14ac:dyDescent="0.5">
      <c r="A637" s="81"/>
      <c r="B637" s="81"/>
      <c r="C637" s="81"/>
      <c r="D637" s="81"/>
      <c r="E637" s="81"/>
      <c r="F637" s="81"/>
      <c r="G637" s="105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 ht="24" customHeight="1" x14ac:dyDescent="0.5">
      <c r="A638" s="81"/>
      <c r="B638" s="81"/>
      <c r="C638" s="81"/>
      <c r="D638" s="81"/>
      <c r="E638" s="81"/>
      <c r="F638" s="81"/>
      <c r="G638" s="105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 ht="24" customHeight="1" x14ac:dyDescent="0.5">
      <c r="A639" s="81"/>
      <c r="B639" s="81"/>
      <c r="C639" s="81"/>
      <c r="D639" s="81"/>
      <c r="E639" s="81"/>
      <c r="F639" s="81"/>
      <c r="G639" s="105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 ht="24" customHeight="1" x14ac:dyDescent="0.5">
      <c r="A640" s="81"/>
      <c r="B640" s="81"/>
      <c r="C640" s="81"/>
      <c r="D640" s="81"/>
      <c r="E640" s="81"/>
      <c r="F640" s="81"/>
      <c r="G640" s="105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 ht="24" customHeight="1" x14ac:dyDescent="0.5">
      <c r="A641" s="81"/>
      <c r="B641" s="81"/>
      <c r="C641" s="81"/>
      <c r="D641" s="81"/>
      <c r="E641" s="81"/>
      <c r="F641" s="81"/>
      <c r="G641" s="105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 ht="24" customHeight="1" x14ac:dyDescent="0.5">
      <c r="A642" s="81"/>
      <c r="B642" s="81"/>
      <c r="C642" s="81"/>
      <c r="D642" s="81"/>
      <c r="E642" s="81"/>
      <c r="F642" s="81"/>
      <c r="G642" s="105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 ht="24" customHeight="1" x14ac:dyDescent="0.5">
      <c r="A643" s="81"/>
      <c r="B643" s="81"/>
      <c r="C643" s="81"/>
      <c r="D643" s="81"/>
      <c r="E643" s="81"/>
      <c r="F643" s="81"/>
      <c r="G643" s="105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 ht="24" customHeight="1" x14ac:dyDescent="0.5">
      <c r="A644" s="81"/>
      <c r="B644" s="81"/>
      <c r="C644" s="81"/>
      <c r="D644" s="81"/>
      <c r="E644" s="81"/>
      <c r="F644" s="81"/>
      <c r="G644" s="105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 ht="24" customHeight="1" x14ac:dyDescent="0.5">
      <c r="A645" s="81"/>
      <c r="B645" s="81"/>
      <c r="C645" s="81"/>
      <c r="D645" s="81"/>
      <c r="E645" s="81"/>
      <c r="F645" s="81"/>
      <c r="G645" s="105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 ht="24" customHeight="1" x14ac:dyDescent="0.5">
      <c r="A646" s="81"/>
      <c r="B646" s="81"/>
      <c r="C646" s="81"/>
      <c r="D646" s="81"/>
      <c r="E646" s="81"/>
      <c r="F646" s="81"/>
      <c r="G646" s="105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 ht="24" customHeight="1" x14ac:dyDescent="0.5">
      <c r="A647" s="81"/>
      <c r="B647" s="81"/>
      <c r="C647" s="81"/>
      <c r="D647" s="81"/>
      <c r="E647" s="81"/>
      <c r="F647" s="81"/>
      <c r="G647" s="105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 ht="24" customHeight="1" x14ac:dyDescent="0.5">
      <c r="A648" s="81"/>
      <c r="B648" s="81"/>
      <c r="C648" s="81"/>
      <c r="D648" s="81"/>
      <c r="E648" s="81"/>
      <c r="F648" s="81"/>
      <c r="G648" s="105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 ht="24" customHeight="1" x14ac:dyDescent="0.5">
      <c r="A649" s="81"/>
      <c r="B649" s="81"/>
      <c r="C649" s="81"/>
      <c r="D649" s="81"/>
      <c r="E649" s="81"/>
      <c r="F649" s="81"/>
      <c r="G649" s="105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 ht="24" customHeight="1" x14ac:dyDescent="0.5">
      <c r="A650" s="81"/>
      <c r="B650" s="81"/>
      <c r="C650" s="81"/>
      <c r="D650" s="81"/>
      <c r="E650" s="81"/>
      <c r="F650" s="81"/>
      <c r="G650" s="105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 ht="24" customHeight="1" x14ac:dyDescent="0.5">
      <c r="A651" s="81"/>
      <c r="B651" s="81"/>
      <c r="C651" s="81"/>
      <c r="D651" s="81"/>
      <c r="E651" s="81"/>
      <c r="F651" s="81"/>
      <c r="G651" s="105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 ht="24" customHeight="1" x14ac:dyDescent="0.5">
      <c r="A652" s="81"/>
      <c r="B652" s="81"/>
      <c r="C652" s="81"/>
      <c r="D652" s="81"/>
      <c r="E652" s="81"/>
      <c r="F652" s="81"/>
      <c r="G652" s="105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 ht="24" customHeight="1" x14ac:dyDescent="0.5">
      <c r="A653" s="81"/>
      <c r="B653" s="81"/>
      <c r="C653" s="81"/>
      <c r="D653" s="81"/>
      <c r="E653" s="81"/>
      <c r="F653" s="81"/>
      <c r="G653" s="105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 ht="24" customHeight="1" x14ac:dyDescent="0.5">
      <c r="A654" s="81"/>
      <c r="B654" s="81"/>
      <c r="C654" s="81"/>
      <c r="D654" s="81"/>
      <c r="E654" s="81"/>
      <c r="F654" s="81"/>
      <c r="G654" s="105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 ht="24" customHeight="1" x14ac:dyDescent="0.5">
      <c r="A655" s="81"/>
      <c r="B655" s="81"/>
      <c r="C655" s="81"/>
      <c r="D655" s="81"/>
      <c r="E655" s="81"/>
      <c r="F655" s="81"/>
      <c r="G655" s="105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 ht="24" customHeight="1" x14ac:dyDescent="0.5">
      <c r="A656" s="81"/>
      <c r="B656" s="81"/>
      <c r="C656" s="81"/>
      <c r="D656" s="81"/>
      <c r="E656" s="81"/>
      <c r="F656" s="81"/>
      <c r="G656" s="105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 ht="24" customHeight="1" x14ac:dyDescent="0.5">
      <c r="A657" s="81"/>
      <c r="B657" s="81"/>
      <c r="C657" s="81"/>
      <c r="D657" s="81"/>
      <c r="E657" s="81"/>
      <c r="F657" s="81"/>
      <c r="G657" s="105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 ht="24" customHeight="1" x14ac:dyDescent="0.5">
      <c r="A658" s="81"/>
      <c r="B658" s="81"/>
      <c r="C658" s="81"/>
      <c r="D658" s="81"/>
      <c r="E658" s="81"/>
      <c r="F658" s="81"/>
      <c r="G658" s="105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 ht="24" customHeight="1" x14ac:dyDescent="0.5">
      <c r="A659" s="81"/>
      <c r="B659" s="81"/>
      <c r="C659" s="81"/>
      <c r="D659" s="81"/>
      <c r="E659" s="81"/>
      <c r="F659" s="81"/>
      <c r="G659" s="105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 ht="24" customHeight="1" x14ac:dyDescent="0.5">
      <c r="A660" s="81"/>
      <c r="B660" s="81"/>
      <c r="C660" s="81"/>
      <c r="D660" s="81"/>
      <c r="E660" s="81"/>
      <c r="F660" s="81"/>
      <c r="G660" s="105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 ht="24" customHeight="1" x14ac:dyDescent="0.5">
      <c r="A661" s="81"/>
      <c r="B661" s="81"/>
      <c r="C661" s="81"/>
      <c r="D661" s="81"/>
      <c r="E661" s="81"/>
      <c r="F661" s="81"/>
      <c r="G661" s="105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 ht="24" customHeight="1" x14ac:dyDescent="0.5">
      <c r="A662" s="81"/>
      <c r="B662" s="81"/>
      <c r="C662" s="81"/>
      <c r="D662" s="81"/>
      <c r="E662" s="81"/>
      <c r="F662" s="81"/>
      <c r="G662" s="105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 ht="24" customHeight="1" x14ac:dyDescent="0.5">
      <c r="A663" s="81"/>
      <c r="B663" s="81"/>
      <c r="C663" s="81"/>
      <c r="D663" s="81"/>
      <c r="E663" s="81"/>
      <c r="F663" s="81"/>
      <c r="G663" s="105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 ht="24" customHeight="1" x14ac:dyDescent="0.5">
      <c r="A664" s="81"/>
      <c r="B664" s="81"/>
      <c r="C664" s="81"/>
      <c r="D664" s="81"/>
      <c r="E664" s="81"/>
      <c r="F664" s="81"/>
      <c r="G664" s="105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 ht="24" customHeight="1" x14ac:dyDescent="0.5">
      <c r="A665" s="81"/>
      <c r="B665" s="81"/>
      <c r="C665" s="81"/>
      <c r="D665" s="81"/>
      <c r="E665" s="81"/>
      <c r="F665" s="81"/>
      <c r="G665" s="105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 ht="24" customHeight="1" x14ac:dyDescent="0.5">
      <c r="A666" s="81"/>
      <c r="B666" s="81"/>
      <c r="C666" s="81"/>
      <c r="D666" s="81"/>
      <c r="E666" s="81"/>
      <c r="F666" s="81"/>
      <c r="G666" s="105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 ht="24" customHeight="1" x14ac:dyDescent="0.5">
      <c r="A667" s="81"/>
      <c r="B667" s="81"/>
      <c r="C667" s="81"/>
      <c r="D667" s="81"/>
      <c r="E667" s="81"/>
      <c r="F667" s="81"/>
      <c r="G667" s="105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 ht="24" customHeight="1" x14ac:dyDescent="0.5">
      <c r="A668" s="81"/>
      <c r="B668" s="81"/>
      <c r="C668" s="81"/>
      <c r="D668" s="81"/>
      <c r="E668" s="81"/>
      <c r="F668" s="81"/>
      <c r="G668" s="105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 ht="24" customHeight="1" x14ac:dyDescent="0.5">
      <c r="A669" s="81"/>
      <c r="B669" s="81"/>
      <c r="C669" s="81"/>
      <c r="D669" s="81"/>
      <c r="E669" s="81"/>
      <c r="F669" s="81"/>
      <c r="G669" s="105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 ht="24" customHeight="1" x14ac:dyDescent="0.5">
      <c r="A670" s="81"/>
      <c r="B670" s="81"/>
      <c r="C670" s="81"/>
      <c r="D670" s="81"/>
      <c r="E670" s="81"/>
      <c r="F670" s="81"/>
      <c r="G670" s="105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 ht="24" customHeight="1" x14ac:dyDescent="0.5">
      <c r="A671" s="81"/>
      <c r="B671" s="81"/>
      <c r="C671" s="81"/>
      <c r="D671" s="81"/>
      <c r="E671" s="81"/>
      <c r="F671" s="81"/>
      <c r="G671" s="105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 ht="24" customHeight="1" x14ac:dyDescent="0.5">
      <c r="A672" s="81"/>
      <c r="B672" s="81"/>
      <c r="C672" s="81"/>
      <c r="D672" s="81"/>
      <c r="E672" s="81"/>
      <c r="F672" s="81"/>
      <c r="G672" s="105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 ht="24" customHeight="1" x14ac:dyDescent="0.5">
      <c r="A673" s="81"/>
      <c r="B673" s="81"/>
      <c r="C673" s="81"/>
      <c r="D673" s="81"/>
      <c r="E673" s="81"/>
      <c r="F673" s="81"/>
      <c r="G673" s="105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 ht="24" customHeight="1" x14ac:dyDescent="0.5">
      <c r="A674" s="81"/>
      <c r="B674" s="81"/>
      <c r="C674" s="81"/>
      <c r="D674" s="81"/>
      <c r="E674" s="81"/>
      <c r="F674" s="81"/>
      <c r="G674" s="105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 ht="24" customHeight="1" x14ac:dyDescent="0.5">
      <c r="A675" s="81"/>
      <c r="B675" s="81"/>
      <c r="C675" s="81"/>
      <c r="D675" s="81"/>
      <c r="E675" s="81"/>
      <c r="F675" s="81"/>
      <c r="G675" s="105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 ht="24" customHeight="1" x14ac:dyDescent="0.5">
      <c r="A676" s="81"/>
      <c r="B676" s="81"/>
      <c r="C676" s="81"/>
      <c r="D676" s="81"/>
      <c r="E676" s="81"/>
      <c r="F676" s="81"/>
      <c r="G676" s="105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 ht="24" customHeight="1" x14ac:dyDescent="0.5">
      <c r="A677" s="81"/>
      <c r="B677" s="81"/>
      <c r="C677" s="81"/>
      <c r="D677" s="81"/>
      <c r="E677" s="81"/>
      <c r="F677" s="81"/>
      <c r="G677" s="105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 ht="24" customHeight="1" x14ac:dyDescent="0.5">
      <c r="A678" s="81"/>
      <c r="B678" s="81"/>
      <c r="C678" s="81"/>
      <c r="D678" s="81"/>
      <c r="E678" s="81"/>
      <c r="F678" s="81"/>
      <c r="G678" s="105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 ht="24" customHeight="1" x14ac:dyDescent="0.5">
      <c r="A679" s="81"/>
      <c r="B679" s="81"/>
      <c r="C679" s="81"/>
      <c r="D679" s="81"/>
      <c r="E679" s="81"/>
      <c r="F679" s="81"/>
      <c r="G679" s="105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 ht="24" customHeight="1" x14ac:dyDescent="0.5">
      <c r="A680" s="81"/>
      <c r="B680" s="81"/>
      <c r="C680" s="81"/>
      <c r="D680" s="81"/>
      <c r="E680" s="81"/>
      <c r="F680" s="81"/>
      <c r="G680" s="105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 ht="24" customHeight="1" x14ac:dyDescent="0.5">
      <c r="A681" s="81"/>
      <c r="B681" s="81"/>
      <c r="C681" s="81"/>
      <c r="D681" s="81"/>
      <c r="E681" s="81"/>
      <c r="F681" s="81"/>
      <c r="G681" s="105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 ht="24" customHeight="1" x14ac:dyDescent="0.5">
      <c r="A682" s="81"/>
      <c r="B682" s="81"/>
      <c r="C682" s="81"/>
      <c r="D682" s="81"/>
      <c r="E682" s="81"/>
      <c r="F682" s="81"/>
      <c r="G682" s="105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 ht="24" customHeight="1" x14ac:dyDescent="0.5">
      <c r="A683" s="81"/>
      <c r="B683" s="81"/>
      <c r="C683" s="81"/>
      <c r="D683" s="81"/>
      <c r="E683" s="81"/>
      <c r="F683" s="81"/>
      <c r="G683" s="105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 ht="24" customHeight="1" x14ac:dyDescent="0.5">
      <c r="A684" s="81"/>
      <c r="B684" s="81"/>
      <c r="C684" s="81"/>
      <c r="D684" s="81"/>
      <c r="E684" s="81"/>
      <c r="F684" s="81"/>
      <c r="G684" s="105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 ht="24" customHeight="1" x14ac:dyDescent="0.5">
      <c r="A685" s="81"/>
      <c r="B685" s="81"/>
      <c r="C685" s="81"/>
      <c r="D685" s="81"/>
      <c r="E685" s="81"/>
      <c r="F685" s="81"/>
      <c r="G685" s="105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 ht="24" customHeight="1" x14ac:dyDescent="0.5">
      <c r="A686" s="81"/>
      <c r="B686" s="81"/>
      <c r="C686" s="81"/>
      <c r="D686" s="81"/>
      <c r="E686" s="81"/>
      <c r="F686" s="81"/>
      <c r="G686" s="105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 ht="24" customHeight="1" x14ac:dyDescent="0.5">
      <c r="A687" s="81"/>
      <c r="B687" s="81"/>
      <c r="C687" s="81"/>
      <c r="D687" s="81"/>
      <c r="E687" s="81"/>
      <c r="F687" s="81"/>
      <c r="G687" s="105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 ht="24" customHeight="1" x14ac:dyDescent="0.5">
      <c r="A688" s="81"/>
      <c r="B688" s="81"/>
      <c r="C688" s="81"/>
      <c r="D688" s="81"/>
      <c r="E688" s="81"/>
      <c r="F688" s="81"/>
      <c r="G688" s="105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 ht="24" customHeight="1" x14ac:dyDescent="0.5">
      <c r="A689" s="81"/>
      <c r="B689" s="81"/>
      <c r="C689" s="81"/>
      <c r="D689" s="81"/>
      <c r="E689" s="81"/>
      <c r="F689" s="81"/>
      <c r="G689" s="105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 ht="24" customHeight="1" x14ac:dyDescent="0.5">
      <c r="A690" s="81"/>
      <c r="B690" s="81"/>
      <c r="C690" s="81"/>
      <c r="D690" s="81"/>
      <c r="E690" s="81"/>
      <c r="F690" s="81"/>
      <c r="G690" s="105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 ht="24" customHeight="1" x14ac:dyDescent="0.5">
      <c r="A691" s="81"/>
      <c r="B691" s="81"/>
      <c r="C691" s="81"/>
      <c r="D691" s="81"/>
      <c r="E691" s="81"/>
      <c r="F691" s="81"/>
      <c r="G691" s="105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 ht="24" customHeight="1" x14ac:dyDescent="0.5">
      <c r="A692" s="81"/>
      <c r="B692" s="81"/>
      <c r="C692" s="81"/>
      <c r="D692" s="81"/>
      <c r="E692" s="81"/>
      <c r="F692" s="81"/>
      <c r="G692" s="105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 ht="24" customHeight="1" x14ac:dyDescent="0.5">
      <c r="A693" s="81"/>
      <c r="B693" s="81"/>
      <c r="C693" s="81"/>
      <c r="D693" s="81"/>
      <c r="E693" s="81"/>
      <c r="F693" s="81"/>
      <c r="G693" s="105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 ht="24" customHeight="1" x14ac:dyDescent="0.5">
      <c r="A694" s="81"/>
      <c r="B694" s="81"/>
      <c r="C694" s="81"/>
      <c r="D694" s="81"/>
      <c r="E694" s="81"/>
      <c r="F694" s="81"/>
      <c r="G694" s="105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 ht="24" customHeight="1" x14ac:dyDescent="0.5">
      <c r="A695" s="81"/>
      <c r="B695" s="81"/>
      <c r="C695" s="81"/>
      <c r="D695" s="81"/>
      <c r="E695" s="81"/>
      <c r="F695" s="81"/>
      <c r="G695" s="105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 ht="24" customHeight="1" x14ac:dyDescent="0.5">
      <c r="A696" s="81"/>
      <c r="B696" s="81"/>
      <c r="C696" s="81"/>
      <c r="D696" s="81"/>
      <c r="E696" s="81"/>
      <c r="F696" s="81"/>
      <c r="G696" s="105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 ht="24" customHeight="1" x14ac:dyDescent="0.5">
      <c r="A697" s="81"/>
      <c r="B697" s="81"/>
      <c r="C697" s="81"/>
      <c r="D697" s="81"/>
      <c r="E697" s="81"/>
      <c r="F697" s="81"/>
      <c r="G697" s="105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 ht="24" customHeight="1" x14ac:dyDescent="0.5">
      <c r="A698" s="81"/>
      <c r="B698" s="81"/>
      <c r="C698" s="81"/>
      <c r="D698" s="81"/>
      <c r="E698" s="81"/>
      <c r="F698" s="81"/>
      <c r="G698" s="105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 ht="24" customHeight="1" x14ac:dyDescent="0.5">
      <c r="A699" s="81"/>
      <c r="B699" s="81"/>
      <c r="C699" s="81"/>
      <c r="D699" s="81"/>
      <c r="E699" s="81"/>
      <c r="F699" s="81"/>
      <c r="G699" s="105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 ht="24" customHeight="1" x14ac:dyDescent="0.5">
      <c r="A700" s="81"/>
      <c r="B700" s="81"/>
      <c r="C700" s="81"/>
      <c r="D700" s="81"/>
      <c r="E700" s="81"/>
      <c r="F700" s="81"/>
      <c r="G700" s="105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 ht="24" customHeight="1" x14ac:dyDescent="0.5">
      <c r="A701" s="81"/>
      <c r="B701" s="81"/>
      <c r="C701" s="81"/>
      <c r="D701" s="81"/>
      <c r="E701" s="81"/>
      <c r="F701" s="81"/>
      <c r="G701" s="105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 ht="24" customHeight="1" x14ac:dyDescent="0.5">
      <c r="A702" s="81"/>
      <c r="B702" s="81"/>
      <c r="C702" s="81"/>
      <c r="D702" s="81"/>
      <c r="E702" s="81"/>
      <c r="F702" s="81"/>
      <c r="G702" s="105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 ht="24" customHeight="1" x14ac:dyDescent="0.5">
      <c r="A703" s="81"/>
      <c r="B703" s="81"/>
      <c r="C703" s="81"/>
      <c r="D703" s="81"/>
      <c r="E703" s="81"/>
      <c r="F703" s="81"/>
      <c r="G703" s="105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 ht="24" customHeight="1" x14ac:dyDescent="0.5">
      <c r="A704" s="81"/>
      <c r="B704" s="81"/>
      <c r="C704" s="81"/>
      <c r="D704" s="81"/>
      <c r="E704" s="81"/>
      <c r="F704" s="81"/>
      <c r="G704" s="105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 ht="24" customHeight="1" x14ac:dyDescent="0.5">
      <c r="A705" s="81"/>
      <c r="B705" s="81"/>
      <c r="C705" s="81"/>
      <c r="D705" s="81"/>
      <c r="E705" s="81"/>
      <c r="F705" s="81"/>
      <c r="G705" s="105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 ht="24" customHeight="1" x14ac:dyDescent="0.5">
      <c r="A706" s="81"/>
      <c r="B706" s="81"/>
      <c r="C706" s="81"/>
      <c r="D706" s="81"/>
      <c r="E706" s="81"/>
      <c r="F706" s="81"/>
      <c r="G706" s="105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 ht="24" customHeight="1" x14ac:dyDescent="0.5">
      <c r="A707" s="81"/>
      <c r="B707" s="81"/>
      <c r="C707" s="81"/>
      <c r="D707" s="81"/>
      <c r="E707" s="81"/>
      <c r="F707" s="81"/>
      <c r="G707" s="105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 ht="24" customHeight="1" x14ac:dyDescent="0.5">
      <c r="A708" s="81"/>
      <c r="B708" s="81"/>
      <c r="C708" s="81"/>
      <c r="D708" s="81"/>
      <c r="E708" s="81"/>
      <c r="F708" s="81"/>
      <c r="G708" s="105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 ht="24" customHeight="1" x14ac:dyDescent="0.5">
      <c r="A709" s="81"/>
      <c r="B709" s="81"/>
      <c r="C709" s="81"/>
      <c r="D709" s="81"/>
      <c r="E709" s="81"/>
      <c r="F709" s="81"/>
      <c r="G709" s="105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 ht="24" customHeight="1" x14ac:dyDescent="0.5">
      <c r="A710" s="81"/>
      <c r="B710" s="81"/>
      <c r="C710" s="81"/>
      <c r="D710" s="81"/>
      <c r="E710" s="81"/>
      <c r="F710" s="81"/>
      <c r="G710" s="105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 ht="24" customHeight="1" x14ac:dyDescent="0.5">
      <c r="A711" s="81"/>
      <c r="B711" s="81"/>
      <c r="C711" s="81"/>
      <c r="D711" s="81"/>
      <c r="E711" s="81"/>
      <c r="F711" s="81"/>
      <c r="G711" s="105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 ht="24" customHeight="1" x14ac:dyDescent="0.5">
      <c r="A712" s="81"/>
      <c r="B712" s="81"/>
      <c r="C712" s="81"/>
      <c r="D712" s="81"/>
      <c r="E712" s="81"/>
      <c r="F712" s="81"/>
      <c r="G712" s="105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 ht="24" customHeight="1" x14ac:dyDescent="0.5">
      <c r="A713" s="81"/>
      <c r="B713" s="81"/>
      <c r="C713" s="81"/>
      <c r="D713" s="81"/>
      <c r="E713" s="81"/>
      <c r="F713" s="81"/>
      <c r="G713" s="105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 ht="24" customHeight="1" x14ac:dyDescent="0.5">
      <c r="A714" s="81"/>
      <c r="B714" s="81"/>
      <c r="C714" s="81"/>
      <c r="D714" s="81"/>
      <c r="E714" s="81"/>
      <c r="F714" s="81"/>
      <c r="G714" s="105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 ht="24" customHeight="1" x14ac:dyDescent="0.5">
      <c r="A715" s="81"/>
      <c r="B715" s="81"/>
      <c r="C715" s="81"/>
      <c r="D715" s="81"/>
      <c r="E715" s="81"/>
      <c r="F715" s="81"/>
      <c r="G715" s="105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 ht="24" customHeight="1" x14ac:dyDescent="0.5">
      <c r="A716" s="81"/>
      <c r="B716" s="81"/>
      <c r="C716" s="81"/>
      <c r="D716" s="81"/>
      <c r="E716" s="81"/>
      <c r="F716" s="81"/>
      <c r="G716" s="105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 ht="24" customHeight="1" x14ac:dyDescent="0.5">
      <c r="A717" s="81"/>
      <c r="B717" s="81"/>
      <c r="C717" s="81"/>
      <c r="D717" s="81"/>
      <c r="E717" s="81"/>
      <c r="F717" s="81"/>
      <c r="G717" s="105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 ht="24" customHeight="1" x14ac:dyDescent="0.5">
      <c r="A718" s="81"/>
      <c r="B718" s="81"/>
      <c r="C718" s="81"/>
      <c r="D718" s="81"/>
      <c r="E718" s="81"/>
      <c r="F718" s="81"/>
      <c r="G718" s="105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 ht="24" customHeight="1" x14ac:dyDescent="0.5">
      <c r="A719" s="81"/>
      <c r="B719" s="81"/>
      <c r="C719" s="81"/>
      <c r="D719" s="81"/>
      <c r="E719" s="81"/>
      <c r="F719" s="81"/>
      <c r="G719" s="105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 ht="24" customHeight="1" x14ac:dyDescent="0.5">
      <c r="A720" s="81"/>
      <c r="B720" s="81"/>
      <c r="C720" s="81"/>
      <c r="D720" s="81"/>
      <c r="E720" s="81"/>
      <c r="F720" s="81"/>
      <c r="G720" s="105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 ht="24" customHeight="1" x14ac:dyDescent="0.5">
      <c r="A721" s="81"/>
      <c r="B721" s="81"/>
      <c r="C721" s="81"/>
      <c r="D721" s="81"/>
      <c r="E721" s="81"/>
      <c r="F721" s="81"/>
      <c r="G721" s="105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 ht="24" customHeight="1" x14ac:dyDescent="0.5">
      <c r="A722" s="81"/>
      <c r="B722" s="81"/>
      <c r="C722" s="81"/>
      <c r="D722" s="81"/>
      <c r="E722" s="81"/>
      <c r="F722" s="81"/>
      <c r="G722" s="105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 ht="24" customHeight="1" x14ac:dyDescent="0.5">
      <c r="A723" s="81"/>
      <c r="B723" s="81"/>
      <c r="C723" s="81"/>
      <c r="D723" s="81"/>
      <c r="E723" s="81"/>
      <c r="F723" s="81"/>
      <c r="G723" s="105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 ht="24" customHeight="1" x14ac:dyDescent="0.5">
      <c r="A724" s="81"/>
      <c r="B724" s="81"/>
      <c r="C724" s="81"/>
      <c r="D724" s="81"/>
      <c r="E724" s="81"/>
      <c r="F724" s="81"/>
      <c r="G724" s="105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 ht="24" customHeight="1" x14ac:dyDescent="0.5">
      <c r="A725" s="81"/>
      <c r="B725" s="81"/>
      <c r="C725" s="81"/>
      <c r="D725" s="81"/>
      <c r="E725" s="81"/>
      <c r="F725" s="81"/>
      <c r="G725" s="105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 ht="24" customHeight="1" x14ac:dyDescent="0.5">
      <c r="A726" s="81"/>
      <c r="B726" s="81"/>
      <c r="C726" s="81"/>
      <c r="D726" s="81"/>
      <c r="E726" s="81"/>
      <c r="F726" s="81"/>
      <c r="G726" s="105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 ht="24" customHeight="1" x14ac:dyDescent="0.5">
      <c r="A727" s="81"/>
      <c r="B727" s="81"/>
      <c r="C727" s="81"/>
      <c r="D727" s="81"/>
      <c r="E727" s="81"/>
      <c r="F727" s="81"/>
      <c r="G727" s="105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 ht="24" customHeight="1" x14ac:dyDescent="0.5">
      <c r="A728" s="81"/>
      <c r="B728" s="81"/>
      <c r="C728" s="81"/>
      <c r="D728" s="81"/>
      <c r="E728" s="81"/>
      <c r="F728" s="81"/>
      <c r="G728" s="105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 ht="24" customHeight="1" x14ac:dyDescent="0.5">
      <c r="A729" s="81"/>
      <c r="B729" s="81"/>
      <c r="C729" s="81"/>
      <c r="D729" s="81"/>
      <c r="E729" s="81"/>
      <c r="F729" s="81"/>
      <c r="G729" s="105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 ht="24" customHeight="1" x14ac:dyDescent="0.5">
      <c r="A730" s="81"/>
      <c r="B730" s="81"/>
      <c r="C730" s="81"/>
      <c r="D730" s="81"/>
      <c r="E730" s="81"/>
      <c r="F730" s="81"/>
      <c r="G730" s="105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 ht="24" customHeight="1" x14ac:dyDescent="0.5">
      <c r="A731" s="81"/>
      <c r="B731" s="81"/>
      <c r="C731" s="81"/>
      <c r="D731" s="81"/>
      <c r="E731" s="81"/>
      <c r="F731" s="81"/>
      <c r="G731" s="105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 ht="24" customHeight="1" x14ac:dyDescent="0.5">
      <c r="A732" s="81"/>
      <c r="B732" s="81"/>
      <c r="C732" s="81"/>
      <c r="D732" s="81"/>
      <c r="E732" s="81"/>
      <c r="F732" s="81"/>
      <c r="G732" s="105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 ht="24" customHeight="1" x14ac:dyDescent="0.5">
      <c r="A733" s="81"/>
      <c r="B733" s="81"/>
      <c r="C733" s="81"/>
      <c r="D733" s="81"/>
      <c r="E733" s="81"/>
      <c r="F733" s="81"/>
      <c r="G733" s="105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 ht="24" customHeight="1" x14ac:dyDescent="0.5">
      <c r="A734" s="81"/>
      <c r="B734" s="81"/>
      <c r="C734" s="81"/>
      <c r="D734" s="81"/>
      <c r="E734" s="81"/>
      <c r="F734" s="81"/>
      <c r="G734" s="105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 ht="24" customHeight="1" x14ac:dyDescent="0.5">
      <c r="A735" s="81"/>
      <c r="B735" s="81"/>
      <c r="C735" s="81"/>
      <c r="D735" s="81"/>
      <c r="E735" s="81"/>
      <c r="F735" s="81"/>
      <c r="G735" s="105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 ht="24" customHeight="1" x14ac:dyDescent="0.5">
      <c r="A736" s="81"/>
      <c r="B736" s="81"/>
      <c r="C736" s="81"/>
      <c r="D736" s="81"/>
      <c r="E736" s="81"/>
      <c r="F736" s="81"/>
      <c r="G736" s="105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 ht="24" customHeight="1" x14ac:dyDescent="0.5">
      <c r="A737" s="81"/>
      <c r="B737" s="81"/>
      <c r="C737" s="81"/>
      <c r="D737" s="81"/>
      <c r="E737" s="81"/>
      <c r="F737" s="81"/>
      <c r="G737" s="105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 ht="24" customHeight="1" x14ac:dyDescent="0.5">
      <c r="A738" s="81"/>
      <c r="B738" s="81"/>
      <c r="C738" s="81"/>
      <c r="D738" s="81"/>
      <c r="E738" s="81"/>
      <c r="F738" s="81"/>
      <c r="G738" s="105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 ht="24" customHeight="1" x14ac:dyDescent="0.5">
      <c r="A739" s="81"/>
      <c r="B739" s="81"/>
      <c r="C739" s="81"/>
      <c r="D739" s="81"/>
      <c r="E739" s="81"/>
      <c r="F739" s="81"/>
      <c r="G739" s="105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 ht="24" customHeight="1" x14ac:dyDescent="0.5">
      <c r="A740" s="81"/>
      <c r="B740" s="81"/>
      <c r="C740" s="81"/>
      <c r="D740" s="81"/>
      <c r="E740" s="81"/>
      <c r="F740" s="81"/>
      <c r="G740" s="105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 ht="24" customHeight="1" x14ac:dyDescent="0.5">
      <c r="A741" s="81"/>
      <c r="B741" s="81"/>
      <c r="C741" s="81"/>
      <c r="D741" s="81"/>
      <c r="E741" s="81"/>
      <c r="F741" s="81"/>
      <c r="G741" s="105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 ht="24" customHeight="1" x14ac:dyDescent="0.5">
      <c r="A742" s="81"/>
      <c r="B742" s="81"/>
      <c r="C742" s="81"/>
      <c r="D742" s="81"/>
      <c r="E742" s="81"/>
      <c r="F742" s="81"/>
      <c r="G742" s="105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 ht="24" customHeight="1" x14ac:dyDescent="0.5">
      <c r="A743" s="81"/>
      <c r="B743" s="81"/>
      <c r="C743" s="81"/>
      <c r="D743" s="81"/>
      <c r="E743" s="81"/>
      <c r="F743" s="81"/>
      <c r="G743" s="105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 ht="24" customHeight="1" x14ac:dyDescent="0.5">
      <c r="A744" s="81"/>
      <c r="B744" s="81"/>
      <c r="C744" s="81"/>
      <c r="D744" s="81"/>
      <c r="E744" s="81"/>
      <c r="F744" s="81"/>
      <c r="G744" s="105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 ht="24" customHeight="1" x14ac:dyDescent="0.5">
      <c r="A745" s="81"/>
      <c r="B745" s="81"/>
      <c r="C745" s="81"/>
      <c r="D745" s="81"/>
      <c r="E745" s="81"/>
      <c r="F745" s="81"/>
      <c r="G745" s="105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 ht="24" customHeight="1" x14ac:dyDescent="0.5">
      <c r="A746" s="81"/>
      <c r="B746" s="81"/>
      <c r="C746" s="81"/>
      <c r="D746" s="81"/>
      <c r="E746" s="81"/>
      <c r="F746" s="81"/>
      <c r="G746" s="105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 ht="24" customHeight="1" x14ac:dyDescent="0.5">
      <c r="A747" s="81"/>
      <c r="B747" s="81"/>
      <c r="C747" s="81"/>
      <c r="D747" s="81"/>
      <c r="E747" s="81"/>
      <c r="F747" s="81"/>
      <c r="G747" s="105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 ht="24" customHeight="1" x14ac:dyDescent="0.5">
      <c r="A748" s="81"/>
      <c r="B748" s="81"/>
      <c r="C748" s="81"/>
      <c r="D748" s="81"/>
      <c r="E748" s="81"/>
      <c r="F748" s="81"/>
      <c r="G748" s="105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 ht="24" customHeight="1" x14ac:dyDescent="0.5">
      <c r="A749" s="81"/>
      <c r="B749" s="81"/>
      <c r="C749" s="81"/>
      <c r="D749" s="81"/>
      <c r="E749" s="81"/>
      <c r="F749" s="81"/>
      <c r="G749" s="105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 ht="24" customHeight="1" x14ac:dyDescent="0.5">
      <c r="A750" s="81"/>
      <c r="B750" s="81"/>
      <c r="C750" s="81"/>
      <c r="D750" s="81"/>
      <c r="E750" s="81"/>
      <c r="F750" s="81"/>
      <c r="G750" s="105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 ht="24" customHeight="1" x14ac:dyDescent="0.5">
      <c r="A751" s="81"/>
      <c r="B751" s="81"/>
      <c r="C751" s="81"/>
      <c r="D751" s="81"/>
      <c r="E751" s="81"/>
      <c r="F751" s="81"/>
      <c r="G751" s="105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 ht="24" customHeight="1" x14ac:dyDescent="0.5">
      <c r="A752" s="81"/>
      <c r="B752" s="81"/>
      <c r="C752" s="81"/>
      <c r="D752" s="81"/>
      <c r="E752" s="81"/>
      <c r="F752" s="81"/>
      <c r="G752" s="105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 ht="24" customHeight="1" x14ac:dyDescent="0.5">
      <c r="A753" s="81"/>
      <c r="B753" s="81"/>
      <c r="C753" s="81"/>
      <c r="D753" s="81"/>
      <c r="E753" s="81"/>
      <c r="F753" s="81"/>
      <c r="G753" s="105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 ht="24" customHeight="1" x14ac:dyDescent="0.5">
      <c r="A754" s="81"/>
      <c r="B754" s="81"/>
      <c r="C754" s="81"/>
      <c r="D754" s="81"/>
      <c r="E754" s="81"/>
      <c r="F754" s="81"/>
      <c r="G754" s="105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 ht="24" customHeight="1" x14ac:dyDescent="0.5">
      <c r="A755" s="81"/>
      <c r="B755" s="81"/>
      <c r="C755" s="81"/>
      <c r="D755" s="81"/>
      <c r="E755" s="81"/>
      <c r="F755" s="81"/>
      <c r="G755" s="105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 ht="24" customHeight="1" x14ac:dyDescent="0.5">
      <c r="A756" s="81"/>
      <c r="B756" s="81"/>
      <c r="C756" s="81"/>
      <c r="D756" s="81"/>
      <c r="E756" s="81"/>
      <c r="F756" s="81"/>
      <c r="G756" s="105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 ht="24" customHeight="1" x14ac:dyDescent="0.5">
      <c r="A757" s="81"/>
      <c r="B757" s="81"/>
      <c r="C757" s="81"/>
      <c r="D757" s="81"/>
      <c r="E757" s="81"/>
      <c r="F757" s="81"/>
      <c r="G757" s="105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 ht="24" customHeight="1" x14ac:dyDescent="0.5">
      <c r="A758" s="81"/>
      <c r="B758" s="81"/>
      <c r="C758" s="81"/>
      <c r="D758" s="81"/>
      <c r="E758" s="81"/>
      <c r="F758" s="81"/>
      <c r="G758" s="105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 ht="24" customHeight="1" x14ac:dyDescent="0.5">
      <c r="A759" s="81"/>
      <c r="B759" s="81"/>
      <c r="C759" s="81"/>
      <c r="D759" s="81"/>
      <c r="E759" s="81"/>
      <c r="F759" s="81"/>
      <c r="G759" s="105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 ht="24" customHeight="1" x14ac:dyDescent="0.5">
      <c r="A760" s="81"/>
      <c r="B760" s="81"/>
      <c r="C760" s="81"/>
      <c r="D760" s="81"/>
      <c r="E760" s="81"/>
      <c r="F760" s="81"/>
      <c r="G760" s="105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 ht="24" customHeight="1" x14ac:dyDescent="0.5">
      <c r="A761" s="81"/>
      <c r="B761" s="81"/>
      <c r="C761" s="81"/>
      <c r="D761" s="81"/>
      <c r="E761" s="81"/>
      <c r="F761" s="81"/>
      <c r="G761" s="105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 ht="24" customHeight="1" x14ac:dyDescent="0.5">
      <c r="A762" s="81"/>
      <c r="B762" s="81"/>
      <c r="C762" s="81"/>
      <c r="D762" s="81"/>
      <c r="E762" s="81"/>
      <c r="F762" s="81"/>
      <c r="G762" s="105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 ht="24" customHeight="1" x14ac:dyDescent="0.5">
      <c r="A763" s="81"/>
      <c r="B763" s="81"/>
      <c r="C763" s="81"/>
      <c r="D763" s="81"/>
      <c r="E763" s="81"/>
      <c r="F763" s="81"/>
      <c r="G763" s="105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 ht="24" customHeight="1" x14ac:dyDescent="0.5">
      <c r="A764" s="81"/>
      <c r="B764" s="81"/>
      <c r="C764" s="81"/>
      <c r="D764" s="81"/>
      <c r="E764" s="81"/>
      <c r="F764" s="81"/>
      <c r="G764" s="105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 ht="24" customHeight="1" x14ac:dyDescent="0.5">
      <c r="A765" s="81"/>
      <c r="B765" s="81"/>
      <c r="C765" s="81"/>
      <c r="D765" s="81"/>
      <c r="E765" s="81"/>
      <c r="F765" s="81"/>
      <c r="G765" s="105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 ht="24" customHeight="1" x14ac:dyDescent="0.5">
      <c r="A766" s="81"/>
      <c r="B766" s="81"/>
      <c r="C766" s="81"/>
      <c r="D766" s="81"/>
      <c r="E766" s="81"/>
      <c r="F766" s="81"/>
      <c r="G766" s="105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 ht="24" customHeight="1" x14ac:dyDescent="0.5">
      <c r="A767" s="81"/>
      <c r="B767" s="81"/>
      <c r="C767" s="81"/>
      <c r="D767" s="81"/>
      <c r="E767" s="81"/>
      <c r="F767" s="81"/>
      <c r="G767" s="105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 ht="24" customHeight="1" x14ac:dyDescent="0.5">
      <c r="A768" s="81"/>
      <c r="B768" s="81"/>
      <c r="C768" s="81"/>
      <c r="D768" s="81"/>
      <c r="E768" s="81"/>
      <c r="F768" s="81"/>
      <c r="G768" s="105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 ht="24" customHeight="1" x14ac:dyDescent="0.5">
      <c r="A769" s="81"/>
      <c r="B769" s="81"/>
      <c r="C769" s="81"/>
      <c r="D769" s="81"/>
      <c r="E769" s="81"/>
      <c r="F769" s="81"/>
      <c r="G769" s="105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 ht="24" customHeight="1" x14ac:dyDescent="0.5">
      <c r="A770" s="81"/>
      <c r="B770" s="81"/>
      <c r="C770" s="81"/>
      <c r="D770" s="81"/>
      <c r="E770" s="81"/>
      <c r="F770" s="81"/>
      <c r="G770" s="105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 ht="24" customHeight="1" x14ac:dyDescent="0.5">
      <c r="A771" s="81"/>
      <c r="B771" s="81"/>
      <c r="C771" s="81"/>
      <c r="D771" s="81"/>
      <c r="E771" s="81"/>
      <c r="F771" s="81"/>
      <c r="G771" s="105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 ht="24" customHeight="1" x14ac:dyDescent="0.5">
      <c r="A772" s="81"/>
      <c r="B772" s="81"/>
      <c r="C772" s="81"/>
      <c r="D772" s="81"/>
      <c r="E772" s="81"/>
      <c r="F772" s="81"/>
      <c r="G772" s="105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 ht="24" customHeight="1" x14ac:dyDescent="0.5">
      <c r="A773" s="81"/>
      <c r="B773" s="81"/>
      <c r="C773" s="81"/>
      <c r="D773" s="81"/>
      <c r="E773" s="81"/>
      <c r="F773" s="81"/>
      <c r="G773" s="105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 ht="24" customHeight="1" x14ac:dyDescent="0.5">
      <c r="A774" s="81"/>
      <c r="B774" s="81"/>
      <c r="C774" s="81"/>
      <c r="D774" s="81"/>
      <c r="E774" s="81"/>
      <c r="F774" s="81"/>
      <c r="G774" s="105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 ht="24" customHeight="1" x14ac:dyDescent="0.5">
      <c r="A775" s="81"/>
      <c r="B775" s="81"/>
      <c r="C775" s="81"/>
      <c r="D775" s="81"/>
      <c r="E775" s="81"/>
      <c r="F775" s="81"/>
      <c r="G775" s="105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 ht="24" customHeight="1" x14ac:dyDescent="0.5">
      <c r="A776" s="81"/>
      <c r="B776" s="81"/>
      <c r="C776" s="81"/>
      <c r="D776" s="81"/>
      <c r="E776" s="81"/>
      <c r="F776" s="81"/>
      <c r="G776" s="105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 ht="24" customHeight="1" x14ac:dyDescent="0.5">
      <c r="A777" s="81"/>
      <c r="B777" s="81"/>
      <c r="C777" s="81"/>
      <c r="D777" s="81"/>
      <c r="E777" s="81"/>
      <c r="F777" s="81"/>
      <c r="G777" s="105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 ht="24" customHeight="1" x14ac:dyDescent="0.5">
      <c r="A778" s="81"/>
      <c r="B778" s="81"/>
      <c r="C778" s="81"/>
      <c r="D778" s="81"/>
      <c r="E778" s="81"/>
      <c r="F778" s="81"/>
      <c r="G778" s="105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 ht="24" customHeight="1" x14ac:dyDescent="0.5">
      <c r="A779" s="81"/>
      <c r="B779" s="81"/>
      <c r="C779" s="81"/>
      <c r="D779" s="81"/>
      <c r="E779" s="81"/>
      <c r="F779" s="81"/>
      <c r="G779" s="105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 ht="24" customHeight="1" x14ac:dyDescent="0.5">
      <c r="A780" s="81"/>
      <c r="B780" s="81"/>
      <c r="C780" s="81"/>
      <c r="D780" s="81"/>
      <c r="E780" s="81"/>
      <c r="F780" s="81"/>
      <c r="G780" s="105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 ht="24" customHeight="1" x14ac:dyDescent="0.5">
      <c r="A781" s="81"/>
      <c r="B781" s="81"/>
      <c r="C781" s="81"/>
      <c r="D781" s="81"/>
      <c r="E781" s="81"/>
      <c r="F781" s="81"/>
      <c r="G781" s="105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 ht="24" customHeight="1" x14ac:dyDescent="0.5">
      <c r="A782" s="81"/>
      <c r="B782" s="81"/>
      <c r="C782" s="81"/>
      <c r="D782" s="81"/>
      <c r="E782" s="81"/>
      <c r="F782" s="81"/>
      <c r="G782" s="105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 ht="24" customHeight="1" x14ac:dyDescent="0.5">
      <c r="A783" s="81"/>
      <c r="B783" s="81"/>
      <c r="C783" s="81"/>
      <c r="D783" s="81"/>
      <c r="E783" s="81"/>
      <c r="F783" s="81"/>
      <c r="G783" s="105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 ht="24" customHeight="1" x14ac:dyDescent="0.5">
      <c r="A784" s="81"/>
      <c r="B784" s="81"/>
      <c r="C784" s="81"/>
      <c r="D784" s="81"/>
      <c r="E784" s="81"/>
      <c r="F784" s="81"/>
      <c r="G784" s="105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 ht="24" customHeight="1" x14ac:dyDescent="0.5">
      <c r="A785" s="81"/>
      <c r="B785" s="81"/>
      <c r="C785" s="81"/>
      <c r="D785" s="81"/>
      <c r="E785" s="81"/>
      <c r="F785" s="81"/>
      <c r="G785" s="105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 ht="24" customHeight="1" x14ac:dyDescent="0.5">
      <c r="A786" s="81"/>
      <c r="B786" s="81"/>
      <c r="C786" s="81"/>
      <c r="D786" s="81"/>
      <c r="E786" s="81"/>
      <c r="F786" s="81"/>
      <c r="G786" s="105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 ht="24" customHeight="1" x14ac:dyDescent="0.5">
      <c r="A787" s="81"/>
      <c r="B787" s="81"/>
      <c r="C787" s="81"/>
      <c r="D787" s="81"/>
      <c r="E787" s="81"/>
      <c r="F787" s="81"/>
      <c r="G787" s="105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 ht="24" customHeight="1" x14ac:dyDescent="0.5">
      <c r="A788" s="81"/>
      <c r="B788" s="81"/>
      <c r="C788" s="81"/>
      <c r="D788" s="81"/>
      <c r="E788" s="81"/>
      <c r="F788" s="81"/>
      <c r="G788" s="105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 ht="24" customHeight="1" x14ac:dyDescent="0.5">
      <c r="A789" s="81"/>
      <c r="B789" s="81"/>
      <c r="C789" s="81"/>
      <c r="D789" s="81"/>
      <c r="E789" s="81"/>
      <c r="F789" s="81"/>
      <c r="G789" s="105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 ht="24" customHeight="1" x14ac:dyDescent="0.5">
      <c r="A790" s="81"/>
      <c r="B790" s="81"/>
      <c r="C790" s="81"/>
      <c r="D790" s="81"/>
      <c r="E790" s="81"/>
      <c r="F790" s="81"/>
      <c r="G790" s="105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 ht="24" customHeight="1" x14ac:dyDescent="0.5">
      <c r="A791" s="81"/>
      <c r="B791" s="81"/>
      <c r="C791" s="81"/>
      <c r="D791" s="81"/>
      <c r="E791" s="81"/>
      <c r="F791" s="81"/>
      <c r="G791" s="105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 ht="24" customHeight="1" x14ac:dyDescent="0.5">
      <c r="A792" s="81"/>
      <c r="B792" s="81"/>
      <c r="C792" s="81"/>
      <c r="D792" s="81"/>
      <c r="E792" s="81"/>
      <c r="F792" s="81"/>
      <c r="G792" s="105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 ht="24" customHeight="1" x14ac:dyDescent="0.5">
      <c r="A793" s="81"/>
      <c r="B793" s="81"/>
      <c r="C793" s="81"/>
      <c r="D793" s="81"/>
      <c r="E793" s="81"/>
      <c r="F793" s="81"/>
      <c r="G793" s="105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 ht="24" customHeight="1" x14ac:dyDescent="0.5">
      <c r="A794" s="81"/>
      <c r="B794" s="81"/>
      <c r="C794" s="81"/>
      <c r="D794" s="81"/>
      <c r="E794" s="81"/>
      <c r="F794" s="81"/>
      <c r="G794" s="105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 ht="24" customHeight="1" x14ac:dyDescent="0.5">
      <c r="A795" s="81"/>
      <c r="B795" s="81"/>
      <c r="C795" s="81"/>
      <c r="D795" s="81"/>
      <c r="E795" s="81"/>
      <c r="F795" s="81"/>
      <c r="G795" s="105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 ht="24" customHeight="1" x14ac:dyDescent="0.5">
      <c r="A796" s="81"/>
      <c r="B796" s="81"/>
      <c r="C796" s="81"/>
      <c r="D796" s="81"/>
      <c r="E796" s="81"/>
      <c r="F796" s="81"/>
      <c r="G796" s="105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 ht="24" customHeight="1" x14ac:dyDescent="0.5">
      <c r="A797" s="81"/>
      <c r="B797" s="81"/>
      <c r="C797" s="81"/>
      <c r="D797" s="81"/>
      <c r="E797" s="81"/>
      <c r="F797" s="81"/>
      <c r="G797" s="105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 ht="24" customHeight="1" x14ac:dyDescent="0.5">
      <c r="A798" s="81"/>
      <c r="B798" s="81"/>
      <c r="C798" s="81"/>
      <c r="D798" s="81"/>
      <c r="E798" s="81"/>
      <c r="F798" s="81"/>
      <c r="G798" s="105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 ht="24" customHeight="1" x14ac:dyDescent="0.5">
      <c r="A799" s="81"/>
      <c r="B799" s="81"/>
      <c r="C799" s="81"/>
      <c r="D799" s="81"/>
      <c r="E799" s="81"/>
      <c r="F799" s="81"/>
      <c r="G799" s="105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 ht="24" customHeight="1" x14ac:dyDescent="0.5">
      <c r="A800" s="81"/>
      <c r="B800" s="81"/>
      <c r="C800" s="81"/>
      <c r="D800" s="81"/>
      <c r="E800" s="81"/>
      <c r="F800" s="81"/>
      <c r="G800" s="105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 ht="24" customHeight="1" x14ac:dyDescent="0.5">
      <c r="A801" s="81"/>
      <c r="B801" s="81"/>
      <c r="C801" s="81"/>
      <c r="D801" s="81"/>
      <c r="E801" s="81"/>
      <c r="F801" s="81"/>
      <c r="G801" s="105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 ht="24" customHeight="1" x14ac:dyDescent="0.5">
      <c r="A802" s="81"/>
      <c r="B802" s="81"/>
      <c r="C802" s="81"/>
      <c r="D802" s="81"/>
      <c r="E802" s="81"/>
      <c r="F802" s="81"/>
      <c r="G802" s="105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 ht="24" customHeight="1" x14ac:dyDescent="0.5">
      <c r="A803" s="81"/>
      <c r="B803" s="81"/>
      <c r="C803" s="81"/>
      <c r="D803" s="81"/>
      <c r="E803" s="81"/>
      <c r="F803" s="81"/>
      <c r="G803" s="105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 ht="24" customHeight="1" x14ac:dyDescent="0.5">
      <c r="A804" s="81"/>
      <c r="B804" s="81"/>
      <c r="C804" s="81"/>
      <c r="D804" s="81"/>
      <c r="E804" s="81"/>
      <c r="F804" s="81"/>
      <c r="G804" s="105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 ht="24" customHeight="1" x14ac:dyDescent="0.5">
      <c r="A805" s="81"/>
      <c r="B805" s="81"/>
      <c r="C805" s="81"/>
      <c r="D805" s="81"/>
      <c r="E805" s="81"/>
      <c r="F805" s="81"/>
      <c r="G805" s="105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 ht="24" customHeight="1" x14ac:dyDescent="0.5">
      <c r="A806" s="81"/>
      <c r="B806" s="81"/>
      <c r="C806" s="81"/>
      <c r="D806" s="81"/>
      <c r="E806" s="81"/>
      <c r="F806" s="81"/>
      <c r="G806" s="105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 ht="24" customHeight="1" x14ac:dyDescent="0.5">
      <c r="A807" s="81"/>
      <c r="B807" s="81"/>
      <c r="C807" s="81"/>
      <c r="D807" s="81"/>
      <c r="E807" s="81"/>
      <c r="F807" s="81"/>
      <c r="G807" s="105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 ht="24" customHeight="1" x14ac:dyDescent="0.5">
      <c r="A808" s="81"/>
      <c r="B808" s="81"/>
      <c r="C808" s="81"/>
      <c r="D808" s="81"/>
      <c r="E808" s="81"/>
      <c r="F808" s="81"/>
      <c r="G808" s="105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 ht="24" customHeight="1" x14ac:dyDescent="0.5">
      <c r="A809" s="81"/>
      <c r="B809" s="81"/>
      <c r="C809" s="81"/>
      <c r="D809" s="81"/>
      <c r="E809" s="81"/>
      <c r="F809" s="81"/>
      <c r="G809" s="105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 ht="24" customHeight="1" x14ac:dyDescent="0.5">
      <c r="A810" s="81"/>
      <c r="B810" s="81"/>
      <c r="C810" s="81"/>
      <c r="D810" s="81"/>
      <c r="E810" s="81"/>
      <c r="F810" s="81"/>
      <c r="G810" s="105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 ht="24" customHeight="1" x14ac:dyDescent="0.5">
      <c r="A811" s="81"/>
      <c r="B811" s="81"/>
      <c r="C811" s="81"/>
      <c r="D811" s="81"/>
      <c r="E811" s="81"/>
      <c r="F811" s="81"/>
      <c r="G811" s="105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 ht="24" customHeight="1" x14ac:dyDescent="0.5">
      <c r="A812" s="81"/>
      <c r="B812" s="81"/>
      <c r="C812" s="81"/>
      <c r="D812" s="81"/>
      <c r="E812" s="81"/>
      <c r="F812" s="81"/>
      <c r="G812" s="105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 ht="24" customHeight="1" x14ac:dyDescent="0.5">
      <c r="A813" s="81"/>
      <c r="B813" s="81"/>
      <c r="C813" s="81"/>
      <c r="D813" s="81"/>
      <c r="E813" s="81"/>
      <c r="F813" s="81"/>
      <c r="G813" s="105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 ht="24" customHeight="1" x14ac:dyDescent="0.5">
      <c r="A814" s="81"/>
      <c r="B814" s="81"/>
      <c r="C814" s="81"/>
      <c r="D814" s="81"/>
      <c r="E814" s="81"/>
      <c r="F814" s="81"/>
      <c r="G814" s="105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 ht="24" customHeight="1" x14ac:dyDescent="0.5">
      <c r="A815" s="81"/>
      <c r="B815" s="81"/>
      <c r="C815" s="81"/>
      <c r="D815" s="81"/>
      <c r="E815" s="81"/>
      <c r="F815" s="81"/>
      <c r="G815" s="105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 ht="24" customHeight="1" x14ac:dyDescent="0.5">
      <c r="A816" s="81"/>
      <c r="B816" s="81"/>
      <c r="C816" s="81"/>
      <c r="D816" s="81"/>
      <c r="E816" s="81"/>
      <c r="F816" s="81"/>
      <c r="G816" s="105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 ht="24" customHeight="1" x14ac:dyDescent="0.5">
      <c r="A817" s="81"/>
      <c r="B817" s="81"/>
      <c r="C817" s="81"/>
      <c r="D817" s="81"/>
      <c r="E817" s="81"/>
      <c r="F817" s="81"/>
      <c r="G817" s="105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 ht="24" customHeight="1" x14ac:dyDescent="0.5">
      <c r="A818" s="81"/>
      <c r="B818" s="81"/>
      <c r="C818" s="81"/>
      <c r="D818" s="81"/>
      <c r="E818" s="81"/>
      <c r="F818" s="81"/>
      <c r="G818" s="105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 ht="24" customHeight="1" x14ac:dyDescent="0.5">
      <c r="A819" s="81"/>
      <c r="B819" s="81"/>
      <c r="C819" s="81"/>
      <c r="D819" s="81"/>
      <c r="E819" s="81"/>
      <c r="F819" s="81"/>
      <c r="G819" s="105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 ht="24" customHeight="1" x14ac:dyDescent="0.5">
      <c r="A820" s="81"/>
      <c r="B820" s="81"/>
      <c r="C820" s="81"/>
      <c r="D820" s="81"/>
      <c r="E820" s="81"/>
      <c r="F820" s="81"/>
      <c r="G820" s="105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 ht="24" customHeight="1" x14ac:dyDescent="0.5">
      <c r="A821" s="81"/>
      <c r="B821" s="81"/>
      <c r="C821" s="81"/>
      <c r="D821" s="81"/>
      <c r="E821" s="81"/>
      <c r="F821" s="81"/>
      <c r="G821" s="105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 ht="24" customHeight="1" x14ac:dyDescent="0.5">
      <c r="A822" s="81"/>
      <c r="B822" s="81"/>
      <c r="C822" s="81"/>
      <c r="D822" s="81"/>
      <c r="E822" s="81"/>
      <c r="F822" s="81"/>
      <c r="G822" s="105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 ht="24" customHeight="1" x14ac:dyDescent="0.5">
      <c r="A823" s="81"/>
      <c r="B823" s="81"/>
      <c r="C823" s="81"/>
      <c r="D823" s="81"/>
      <c r="E823" s="81"/>
      <c r="F823" s="81"/>
      <c r="G823" s="105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 ht="24" customHeight="1" x14ac:dyDescent="0.5">
      <c r="A824" s="81"/>
      <c r="B824" s="81"/>
      <c r="C824" s="81"/>
      <c r="D824" s="81"/>
      <c r="E824" s="81"/>
      <c r="F824" s="81"/>
      <c r="G824" s="105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 ht="24" customHeight="1" x14ac:dyDescent="0.5">
      <c r="A825" s="81"/>
      <c r="B825" s="81"/>
      <c r="C825" s="81"/>
      <c r="D825" s="81"/>
      <c r="E825" s="81"/>
      <c r="F825" s="81"/>
      <c r="G825" s="105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 ht="24" customHeight="1" x14ac:dyDescent="0.5">
      <c r="A826" s="81"/>
      <c r="B826" s="81"/>
      <c r="C826" s="81"/>
      <c r="D826" s="81"/>
      <c r="E826" s="81"/>
      <c r="F826" s="81"/>
      <c r="G826" s="105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 ht="24" customHeight="1" x14ac:dyDescent="0.5">
      <c r="A827" s="81"/>
      <c r="B827" s="81"/>
      <c r="C827" s="81"/>
      <c r="D827" s="81"/>
      <c r="E827" s="81"/>
      <c r="F827" s="81"/>
      <c r="G827" s="105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 ht="24" customHeight="1" x14ac:dyDescent="0.5">
      <c r="A828" s="81"/>
      <c r="B828" s="81"/>
      <c r="C828" s="81"/>
      <c r="D828" s="81"/>
      <c r="E828" s="81"/>
      <c r="F828" s="81"/>
      <c r="G828" s="105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 ht="24" customHeight="1" x14ac:dyDescent="0.5">
      <c r="A829" s="81"/>
      <c r="B829" s="81"/>
      <c r="C829" s="81"/>
      <c r="D829" s="81"/>
      <c r="E829" s="81"/>
      <c r="F829" s="81"/>
      <c r="G829" s="105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 ht="24" customHeight="1" x14ac:dyDescent="0.5">
      <c r="A830" s="81"/>
      <c r="B830" s="81"/>
      <c r="C830" s="81"/>
      <c r="D830" s="81"/>
      <c r="E830" s="81"/>
      <c r="F830" s="81"/>
      <c r="G830" s="105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 ht="24" customHeight="1" x14ac:dyDescent="0.5">
      <c r="A831" s="81"/>
      <c r="B831" s="81"/>
      <c r="C831" s="81"/>
      <c r="D831" s="81"/>
      <c r="E831" s="81"/>
      <c r="F831" s="81"/>
      <c r="G831" s="105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 ht="24" customHeight="1" x14ac:dyDescent="0.5">
      <c r="A832" s="81"/>
      <c r="B832" s="81"/>
      <c r="C832" s="81"/>
      <c r="D832" s="81"/>
      <c r="E832" s="81"/>
      <c r="F832" s="81"/>
      <c r="G832" s="105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 ht="24" customHeight="1" x14ac:dyDescent="0.5">
      <c r="A833" s="81"/>
      <c r="B833" s="81"/>
      <c r="C833" s="81"/>
      <c r="D833" s="81"/>
      <c r="E833" s="81"/>
      <c r="F833" s="81"/>
      <c r="G833" s="105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 ht="24" customHeight="1" x14ac:dyDescent="0.5">
      <c r="A834" s="81"/>
      <c r="B834" s="81"/>
      <c r="C834" s="81"/>
      <c r="D834" s="81"/>
      <c r="E834" s="81"/>
      <c r="F834" s="81"/>
      <c r="G834" s="105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 ht="24" customHeight="1" x14ac:dyDescent="0.5">
      <c r="A835" s="81"/>
      <c r="B835" s="81"/>
      <c r="C835" s="81"/>
      <c r="D835" s="81"/>
      <c r="E835" s="81"/>
      <c r="F835" s="81"/>
      <c r="G835" s="105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 ht="24" customHeight="1" x14ac:dyDescent="0.5">
      <c r="A836" s="81"/>
      <c r="B836" s="81"/>
      <c r="C836" s="81"/>
      <c r="D836" s="81"/>
      <c r="E836" s="81"/>
      <c r="F836" s="81"/>
      <c r="G836" s="105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 ht="24" customHeight="1" x14ac:dyDescent="0.5">
      <c r="A837" s="81"/>
      <c r="B837" s="81"/>
      <c r="C837" s="81"/>
      <c r="D837" s="81"/>
      <c r="E837" s="81"/>
      <c r="F837" s="81"/>
      <c r="G837" s="105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 ht="24" customHeight="1" x14ac:dyDescent="0.5">
      <c r="A838" s="81"/>
      <c r="B838" s="81"/>
      <c r="C838" s="81"/>
      <c r="D838" s="81"/>
      <c r="E838" s="81"/>
      <c r="F838" s="81"/>
      <c r="G838" s="105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 ht="24" customHeight="1" x14ac:dyDescent="0.5">
      <c r="A839" s="81"/>
      <c r="B839" s="81"/>
      <c r="C839" s="81"/>
      <c r="D839" s="81"/>
      <c r="E839" s="81"/>
      <c r="F839" s="81"/>
      <c r="G839" s="105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 ht="24" customHeight="1" x14ac:dyDescent="0.5">
      <c r="A840" s="81"/>
      <c r="B840" s="81"/>
      <c r="C840" s="81"/>
      <c r="D840" s="81"/>
      <c r="E840" s="81"/>
      <c r="F840" s="81"/>
      <c r="G840" s="105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 ht="24" customHeight="1" x14ac:dyDescent="0.5">
      <c r="A841" s="81"/>
      <c r="B841" s="81"/>
      <c r="C841" s="81"/>
      <c r="D841" s="81"/>
      <c r="E841" s="81"/>
      <c r="F841" s="81"/>
      <c r="G841" s="105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 ht="24" customHeight="1" x14ac:dyDescent="0.5">
      <c r="A842" s="81"/>
      <c r="B842" s="81"/>
      <c r="C842" s="81"/>
      <c r="D842" s="81"/>
      <c r="E842" s="81"/>
      <c r="F842" s="81"/>
      <c r="G842" s="105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 ht="24" customHeight="1" x14ac:dyDescent="0.5">
      <c r="A843" s="81"/>
      <c r="B843" s="81"/>
      <c r="C843" s="81"/>
      <c r="D843" s="81"/>
      <c r="E843" s="81"/>
      <c r="F843" s="81"/>
      <c r="G843" s="105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 ht="24" customHeight="1" x14ac:dyDescent="0.5">
      <c r="A844" s="81"/>
      <c r="B844" s="81"/>
      <c r="C844" s="81"/>
      <c r="D844" s="81"/>
      <c r="E844" s="81"/>
      <c r="F844" s="81"/>
      <c r="G844" s="105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 ht="24" customHeight="1" x14ac:dyDescent="0.5">
      <c r="A845" s="81"/>
      <c r="B845" s="81"/>
      <c r="C845" s="81"/>
      <c r="D845" s="81"/>
      <c r="E845" s="81"/>
      <c r="F845" s="81"/>
      <c r="G845" s="105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 ht="24" customHeight="1" x14ac:dyDescent="0.5">
      <c r="A846" s="81"/>
      <c r="B846" s="81"/>
      <c r="C846" s="81"/>
      <c r="D846" s="81"/>
      <c r="E846" s="81"/>
      <c r="F846" s="81"/>
      <c r="G846" s="105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 ht="24" customHeight="1" x14ac:dyDescent="0.5">
      <c r="A847" s="81"/>
      <c r="B847" s="81"/>
      <c r="C847" s="81"/>
      <c r="D847" s="81"/>
      <c r="E847" s="81"/>
      <c r="F847" s="81"/>
      <c r="G847" s="105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 ht="24" customHeight="1" x14ac:dyDescent="0.5">
      <c r="A848" s="81"/>
      <c r="B848" s="81"/>
      <c r="C848" s="81"/>
      <c r="D848" s="81"/>
      <c r="E848" s="81"/>
      <c r="F848" s="81"/>
      <c r="G848" s="105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 ht="24" customHeight="1" x14ac:dyDescent="0.5">
      <c r="A849" s="81"/>
      <c r="B849" s="81"/>
      <c r="C849" s="81"/>
      <c r="D849" s="81"/>
      <c r="E849" s="81"/>
      <c r="F849" s="81"/>
      <c r="G849" s="105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 ht="24" customHeight="1" x14ac:dyDescent="0.5">
      <c r="A850" s="81"/>
      <c r="B850" s="81"/>
      <c r="C850" s="81"/>
      <c r="D850" s="81"/>
      <c r="E850" s="81"/>
      <c r="F850" s="81"/>
      <c r="G850" s="105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 ht="24" customHeight="1" x14ac:dyDescent="0.5">
      <c r="A851" s="81"/>
      <c r="B851" s="81"/>
      <c r="C851" s="81"/>
      <c r="D851" s="81"/>
      <c r="E851" s="81"/>
      <c r="F851" s="81"/>
      <c r="G851" s="105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 ht="24" customHeight="1" x14ac:dyDescent="0.5">
      <c r="A852" s="81"/>
      <c r="B852" s="81"/>
      <c r="C852" s="81"/>
      <c r="D852" s="81"/>
      <c r="E852" s="81"/>
      <c r="F852" s="81"/>
      <c r="G852" s="105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 ht="24" customHeight="1" x14ac:dyDescent="0.5">
      <c r="A853" s="81"/>
      <c r="B853" s="81"/>
      <c r="C853" s="81"/>
      <c r="D853" s="81"/>
      <c r="E853" s="81"/>
      <c r="F853" s="81"/>
      <c r="G853" s="105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 ht="24" customHeight="1" x14ac:dyDescent="0.5">
      <c r="A854" s="81"/>
      <c r="B854" s="81"/>
      <c r="C854" s="81"/>
      <c r="D854" s="81"/>
      <c r="E854" s="81"/>
      <c r="F854" s="81"/>
      <c r="G854" s="105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 ht="24" customHeight="1" x14ac:dyDescent="0.5">
      <c r="A855" s="81"/>
      <c r="B855" s="81"/>
      <c r="C855" s="81"/>
      <c r="D855" s="81"/>
      <c r="E855" s="81"/>
      <c r="F855" s="81"/>
      <c r="G855" s="105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 ht="24" customHeight="1" x14ac:dyDescent="0.5">
      <c r="A856" s="81"/>
      <c r="B856" s="81"/>
      <c r="C856" s="81"/>
      <c r="D856" s="81"/>
      <c r="E856" s="81"/>
      <c r="F856" s="81"/>
      <c r="G856" s="105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 ht="24" customHeight="1" x14ac:dyDescent="0.5">
      <c r="A857" s="81"/>
      <c r="B857" s="81"/>
      <c r="C857" s="81"/>
      <c r="D857" s="81"/>
      <c r="E857" s="81"/>
      <c r="F857" s="81"/>
      <c r="G857" s="105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 ht="24" customHeight="1" x14ac:dyDescent="0.5">
      <c r="A858" s="81"/>
      <c r="B858" s="81"/>
      <c r="C858" s="81"/>
      <c r="D858" s="81"/>
      <c r="E858" s="81"/>
      <c r="F858" s="81"/>
      <c r="G858" s="105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 ht="24" customHeight="1" x14ac:dyDescent="0.5">
      <c r="A859" s="81"/>
      <c r="B859" s="81"/>
      <c r="C859" s="81"/>
      <c r="D859" s="81"/>
      <c r="E859" s="81"/>
      <c r="F859" s="81"/>
      <c r="G859" s="105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 ht="24" customHeight="1" x14ac:dyDescent="0.5">
      <c r="A860" s="81"/>
      <c r="B860" s="81"/>
      <c r="C860" s="81"/>
      <c r="D860" s="81"/>
      <c r="E860" s="81"/>
      <c r="F860" s="81"/>
      <c r="G860" s="105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 ht="24" customHeight="1" x14ac:dyDescent="0.5">
      <c r="A861" s="81"/>
      <c r="B861" s="81"/>
      <c r="C861" s="81"/>
      <c r="D861" s="81"/>
      <c r="E861" s="81"/>
      <c r="F861" s="81"/>
      <c r="G861" s="105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 ht="24" customHeight="1" x14ac:dyDescent="0.5">
      <c r="A862" s="81"/>
      <c r="B862" s="81"/>
      <c r="C862" s="81"/>
      <c r="D862" s="81"/>
      <c r="E862" s="81"/>
      <c r="F862" s="81"/>
      <c r="G862" s="105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 ht="24" customHeight="1" x14ac:dyDescent="0.5">
      <c r="A863" s="81"/>
      <c r="B863" s="81"/>
      <c r="C863" s="81"/>
      <c r="D863" s="81"/>
      <c r="E863" s="81"/>
      <c r="F863" s="81"/>
      <c r="G863" s="105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 ht="24" customHeight="1" x14ac:dyDescent="0.5">
      <c r="A864" s="81"/>
      <c r="B864" s="81"/>
      <c r="C864" s="81"/>
      <c r="D864" s="81"/>
      <c r="E864" s="81"/>
      <c r="F864" s="81"/>
      <c r="G864" s="105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 ht="24" customHeight="1" x14ac:dyDescent="0.5">
      <c r="A865" s="81"/>
      <c r="B865" s="81"/>
      <c r="C865" s="81"/>
      <c r="D865" s="81"/>
      <c r="E865" s="81"/>
      <c r="F865" s="81"/>
      <c r="G865" s="105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 ht="24" customHeight="1" x14ac:dyDescent="0.5">
      <c r="A866" s="81"/>
      <c r="B866" s="81"/>
      <c r="C866" s="81"/>
      <c r="D866" s="81"/>
      <c r="E866" s="81"/>
      <c r="F866" s="81"/>
      <c r="G866" s="105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 ht="24" customHeight="1" x14ac:dyDescent="0.5">
      <c r="A867" s="81"/>
      <c r="B867" s="81"/>
      <c r="C867" s="81"/>
      <c r="D867" s="81"/>
      <c r="E867" s="81"/>
      <c r="F867" s="81"/>
      <c r="G867" s="105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 ht="24" customHeight="1" x14ac:dyDescent="0.5">
      <c r="A868" s="81"/>
      <c r="B868" s="81"/>
      <c r="C868" s="81"/>
      <c r="D868" s="81"/>
      <c r="E868" s="81"/>
      <c r="F868" s="81"/>
      <c r="G868" s="105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 ht="24" customHeight="1" x14ac:dyDescent="0.5">
      <c r="A869" s="81"/>
      <c r="B869" s="81"/>
      <c r="C869" s="81"/>
      <c r="D869" s="81"/>
      <c r="E869" s="81"/>
      <c r="F869" s="81"/>
      <c r="G869" s="105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 ht="24" customHeight="1" x14ac:dyDescent="0.5">
      <c r="A870" s="81"/>
      <c r="B870" s="81"/>
      <c r="C870" s="81"/>
      <c r="D870" s="81"/>
      <c r="E870" s="81"/>
      <c r="F870" s="81"/>
      <c r="G870" s="105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 ht="24" customHeight="1" x14ac:dyDescent="0.5">
      <c r="A871" s="81"/>
      <c r="B871" s="81"/>
      <c r="C871" s="81"/>
      <c r="D871" s="81"/>
      <c r="E871" s="81"/>
      <c r="F871" s="81"/>
      <c r="G871" s="105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 ht="24" customHeight="1" x14ac:dyDescent="0.5">
      <c r="A872" s="81"/>
      <c r="B872" s="81"/>
      <c r="C872" s="81"/>
      <c r="D872" s="81"/>
      <c r="E872" s="81"/>
      <c r="F872" s="81"/>
      <c r="G872" s="105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 ht="24" customHeight="1" x14ac:dyDescent="0.5">
      <c r="A873" s="81"/>
      <c r="B873" s="81"/>
      <c r="C873" s="81"/>
      <c r="D873" s="81"/>
      <c r="E873" s="81"/>
      <c r="F873" s="81"/>
      <c r="G873" s="105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 ht="24" customHeight="1" x14ac:dyDescent="0.5">
      <c r="A874" s="81"/>
      <c r="B874" s="81"/>
      <c r="C874" s="81"/>
      <c r="D874" s="81"/>
      <c r="E874" s="81"/>
      <c r="F874" s="81"/>
      <c r="G874" s="105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 ht="24" customHeight="1" x14ac:dyDescent="0.5">
      <c r="A875" s="81"/>
      <c r="B875" s="81"/>
      <c r="C875" s="81"/>
      <c r="D875" s="81"/>
      <c r="E875" s="81"/>
      <c r="F875" s="81"/>
      <c r="G875" s="105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 ht="24" customHeight="1" x14ac:dyDescent="0.5">
      <c r="A876" s="81"/>
      <c r="B876" s="81"/>
      <c r="C876" s="81"/>
      <c r="D876" s="81"/>
      <c r="E876" s="81"/>
      <c r="F876" s="81"/>
      <c r="G876" s="105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 ht="24" customHeight="1" x14ac:dyDescent="0.5">
      <c r="A877" s="81"/>
      <c r="B877" s="81"/>
      <c r="C877" s="81"/>
      <c r="D877" s="81"/>
      <c r="E877" s="81"/>
      <c r="F877" s="81"/>
      <c r="G877" s="105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 ht="24" customHeight="1" x14ac:dyDescent="0.5">
      <c r="A878" s="81"/>
      <c r="B878" s="81"/>
      <c r="C878" s="81"/>
      <c r="D878" s="81"/>
      <c r="E878" s="81"/>
      <c r="F878" s="81"/>
      <c r="G878" s="105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 ht="24" customHeight="1" x14ac:dyDescent="0.5">
      <c r="A879" s="81"/>
      <c r="B879" s="81"/>
      <c r="C879" s="81"/>
      <c r="D879" s="81"/>
      <c r="E879" s="81"/>
      <c r="F879" s="81"/>
      <c r="G879" s="105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 ht="24" customHeight="1" x14ac:dyDescent="0.5">
      <c r="A880" s="81"/>
      <c r="B880" s="81"/>
      <c r="C880" s="81"/>
      <c r="D880" s="81"/>
      <c r="E880" s="81"/>
      <c r="F880" s="81"/>
      <c r="G880" s="105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 ht="24" customHeight="1" x14ac:dyDescent="0.5">
      <c r="A881" s="81"/>
      <c r="B881" s="81"/>
      <c r="C881" s="81"/>
      <c r="D881" s="81"/>
      <c r="E881" s="81"/>
      <c r="F881" s="81"/>
      <c r="G881" s="105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 ht="24" customHeight="1" x14ac:dyDescent="0.5">
      <c r="A882" s="81"/>
      <c r="B882" s="81"/>
      <c r="C882" s="81"/>
      <c r="D882" s="81"/>
      <c r="E882" s="81"/>
      <c r="F882" s="81"/>
      <c r="G882" s="105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 ht="24" customHeight="1" x14ac:dyDescent="0.5">
      <c r="A883" s="81"/>
      <c r="B883" s="81"/>
      <c r="C883" s="81"/>
      <c r="D883" s="81"/>
      <c r="E883" s="81"/>
      <c r="F883" s="81"/>
      <c r="G883" s="105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 ht="24" customHeight="1" x14ac:dyDescent="0.5">
      <c r="A884" s="81"/>
      <c r="B884" s="81"/>
      <c r="C884" s="81"/>
      <c r="D884" s="81"/>
      <c r="E884" s="81"/>
      <c r="F884" s="81"/>
      <c r="G884" s="105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 ht="24" customHeight="1" x14ac:dyDescent="0.5">
      <c r="A885" s="81"/>
      <c r="B885" s="81"/>
      <c r="C885" s="81"/>
      <c r="D885" s="81"/>
      <c r="E885" s="81"/>
      <c r="F885" s="81"/>
      <c r="G885" s="105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 ht="24" customHeight="1" x14ac:dyDescent="0.5">
      <c r="A886" s="81"/>
      <c r="B886" s="81"/>
      <c r="C886" s="81"/>
      <c r="D886" s="81"/>
      <c r="E886" s="81"/>
      <c r="F886" s="81"/>
      <c r="G886" s="105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 ht="24" customHeight="1" x14ac:dyDescent="0.5">
      <c r="A887" s="81"/>
      <c r="B887" s="81"/>
      <c r="C887" s="81"/>
      <c r="D887" s="81"/>
      <c r="E887" s="81"/>
      <c r="F887" s="81"/>
      <c r="G887" s="105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 ht="24" customHeight="1" x14ac:dyDescent="0.5">
      <c r="A888" s="81"/>
      <c r="B888" s="81"/>
      <c r="C888" s="81"/>
      <c r="D888" s="81"/>
      <c r="E888" s="81"/>
      <c r="F888" s="81"/>
      <c r="G888" s="105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 ht="24" customHeight="1" x14ac:dyDescent="0.5">
      <c r="A889" s="81"/>
      <c r="B889" s="81"/>
      <c r="C889" s="81"/>
      <c r="D889" s="81"/>
      <c r="E889" s="81"/>
      <c r="F889" s="81"/>
      <c r="G889" s="105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 ht="24" customHeight="1" x14ac:dyDescent="0.5">
      <c r="A890" s="81"/>
      <c r="B890" s="81"/>
      <c r="C890" s="81"/>
      <c r="D890" s="81"/>
      <c r="E890" s="81"/>
      <c r="F890" s="81"/>
      <c r="G890" s="105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 ht="24" customHeight="1" x14ac:dyDescent="0.5">
      <c r="A891" s="81"/>
      <c r="B891" s="81"/>
      <c r="C891" s="81"/>
      <c r="D891" s="81"/>
      <c r="E891" s="81"/>
      <c r="F891" s="81"/>
      <c r="G891" s="105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 ht="24" customHeight="1" x14ac:dyDescent="0.5">
      <c r="A892" s="81"/>
      <c r="B892" s="81"/>
      <c r="C892" s="81"/>
      <c r="D892" s="81"/>
      <c r="E892" s="81"/>
      <c r="F892" s="81"/>
      <c r="G892" s="105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 ht="24" customHeight="1" x14ac:dyDescent="0.5">
      <c r="A893" s="81"/>
      <c r="B893" s="81"/>
      <c r="C893" s="81"/>
      <c r="D893" s="81"/>
      <c r="E893" s="81"/>
      <c r="F893" s="81"/>
      <c r="G893" s="105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 ht="24" customHeight="1" x14ac:dyDescent="0.5">
      <c r="A894" s="81"/>
      <c r="B894" s="81"/>
      <c r="C894" s="81"/>
      <c r="D894" s="81"/>
      <c r="E894" s="81"/>
      <c r="F894" s="81"/>
      <c r="G894" s="105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 ht="24" customHeight="1" x14ac:dyDescent="0.5">
      <c r="A895" s="81"/>
      <c r="B895" s="81"/>
      <c r="C895" s="81"/>
      <c r="D895" s="81"/>
      <c r="E895" s="81"/>
      <c r="F895" s="81"/>
      <c r="G895" s="105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 ht="24" customHeight="1" x14ac:dyDescent="0.5">
      <c r="A896" s="81"/>
      <c r="B896" s="81"/>
      <c r="C896" s="81"/>
      <c r="D896" s="81"/>
      <c r="E896" s="81"/>
      <c r="F896" s="81"/>
      <c r="G896" s="105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 ht="24" customHeight="1" x14ac:dyDescent="0.5">
      <c r="A897" s="81"/>
      <c r="B897" s="81"/>
      <c r="C897" s="81"/>
      <c r="D897" s="81"/>
      <c r="E897" s="81"/>
      <c r="F897" s="81"/>
      <c r="G897" s="105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 ht="24" customHeight="1" x14ac:dyDescent="0.5">
      <c r="A898" s="81"/>
      <c r="B898" s="81"/>
      <c r="C898" s="81"/>
      <c r="D898" s="81"/>
      <c r="E898" s="81"/>
      <c r="F898" s="81"/>
      <c r="G898" s="105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 ht="24" customHeight="1" x14ac:dyDescent="0.5">
      <c r="A899" s="81"/>
      <c r="B899" s="81"/>
      <c r="C899" s="81"/>
      <c r="D899" s="81"/>
      <c r="E899" s="81"/>
      <c r="F899" s="81"/>
      <c r="G899" s="105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 ht="24" customHeight="1" x14ac:dyDescent="0.5">
      <c r="A900" s="81"/>
      <c r="B900" s="81"/>
      <c r="C900" s="81"/>
      <c r="D900" s="81"/>
      <c r="E900" s="81"/>
      <c r="F900" s="81"/>
      <c r="G900" s="105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 ht="24" customHeight="1" x14ac:dyDescent="0.5">
      <c r="A901" s="81"/>
      <c r="B901" s="81"/>
      <c r="C901" s="81"/>
      <c r="D901" s="81"/>
      <c r="E901" s="81"/>
      <c r="F901" s="81"/>
      <c r="G901" s="105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 ht="24" customHeight="1" x14ac:dyDescent="0.5">
      <c r="A902" s="81"/>
      <c r="B902" s="81"/>
      <c r="C902" s="81"/>
      <c r="D902" s="81"/>
      <c r="E902" s="81"/>
      <c r="F902" s="81"/>
      <c r="G902" s="105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 ht="24" customHeight="1" x14ac:dyDescent="0.5">
      <c r="A903" s="81"/>
      <c r="B903" s="81"/>
      <c r="C903" s="81"/>
      <c r="D903" s="81"/>
      <c r="E903" s="81"/>
      <c r="F903" s="81"/>
      <c r="G903" s="105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 ht="24" customHeight="1" x14ac:dyDescent="0.5">
      <c r="A904" s="81"/>
      <c r="B904" s="81"/>
      <c r="C904" s="81"/>
      <c r="D904" s="81"/>
      <c r="E904" s="81"/>
      <c r="F904" s="81"/>
      <c r="G904" s="105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 ht="24" customHeight="1" x14ac:dyDescent="0.5">
      <c r="A905" s="81"/>
      <c r="B905" s="81"/>
      <c r="C905" s="81"/>
      <c r="D905" s="81"/>
      <c r="E905" s="81"/>
      <c r="F905" s="81"/>
      <c r="G905" s="105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 ht="24" customHeight="1" x14ac:dyDescent="0.5">
      <c r="A906" s="81"/>
      <c r="B906" s="81"/>
      <c r="C906" s="81"/>
      <c r="D906" s="81"/>
      <c r="E906" s="81"/>
      <c r="F906" s="81"/>
      <c r="G906" s="105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 ht="24" customHeight="1" x14ac:dyDescent="0.5">
      <c r="A907" s="81"/>
      <c r="B907" s="81"/>
      <c r="C907" s="81"/>
      <c r="D907" s="81"/>
      <c r="E907" s="81"/>
      <c r="F907" s="81"/>
      <c r="G907" s="105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 ht="24" customHeight="1" x14ac:dyDescent="0.5">
      <c r="A908" s="81"/>
      <c r="B908" s="81"/>
      <c r="C908" s="81"/>
      <c r="D908" s="81"/>
      <c r="E908" s="81"/>
      <c r="F908" s="81"/>
      <c r="G908" s="105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 ht="24" customHeight="1" x14ac:dyDescent="0.5">
      <c r="A909" s="81"/>
      <c r="B909" s="81"/>
      <c r="C909" s="81"/>
      <c r="D909" s="81"/>
      <c r="E909" s="81"/>
      <c r="F909" s="81"/>
      <c r="G909" s="105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 ht="24" customHeight="1" x14ac:dyDescent="0.5">
      <c r="A910" s="81"/>
      <c r="B910" s="81"/>
      <c r="C910" s="81"/>
      <c r="D910" s="81"/>
      <c r="E910" s="81"/>
      <c r="F910" s="81"/>
      <c r="G910" s="105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 ht="24" customHeight="1" x14ac:dyDescent="0.5">
      <c r="A911" s="81"/>
      <c r="B911" s="81"/>
      <c r="C911" s="81"/>
      <c r="D911" s="81"/>
      <c r="E911" s="81"/>
      <c r="F911" s="81"/>
      <c r="G911" s="105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 ht="24" customHeight="1" x14ac:dyDescent="0.5">
      <c r="A912" s="81"/>
      <c r="B912" s="81"/>
      <c r="C912" s="81"/>
      <c r="D912" s="81"/>
      <c r="E912" s="81"/>
      <c r="F912" s="81"/>
      <c r="G912" s="105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 ht="24" customHeight="1" x14ac:dyDescent="0.5">
      <c r="A913" s="81"/>
      <c r="B913" s="81"/>
      <c r="C913" s="81"/>
      <c r="D913" s="81"/>
      <c r="E913" s="81"/>
      <c r="F913" s="81"/>
      <c r="G913" s="105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 ht="24" customHeight="1" x14ac:dyDescent="0.5">
      <c r="A914" s="81"/>
      <c r="B914" s="81"/>
      <c r="C914" s="81"/>
      <c r="D914" s="81"/>
      <c r="E914" s="81"/>
      <c r="F914" s="81"/>
      <c r="G914" s="105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 ht="24" customHeight="1" x14ac:dyDescent="0.5">
      <c r="A915" s="81"/>
      <c r="B915" s="81"/>
      <c r="C915" s="81"/>
      <c r="D915" s="81"/>
      <c r="E915" s="81"/>
      <c r="F915" s="81"/>
      <c r="G915" s="105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 ht="24" customHeight="1" x14ac:dyDescent="0.5">
      <c r="A916" s="81"/>
      <c r="B916" s="81"/>
      <c r="C916" s="81"/>
      <c r="D916" s="81"/>
      <c r="E916" s="81"/>
      <c r="F916" s="81"/>
      <c r="G916" s="105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 ht="24" customHeight="1" x14ac:dyDescent="0.5">
      <c r="A917" s="81"/>
      <c r="B917" s="81"/>
      <c r="C917" s="81"/>
      <c r="D917" s="81"/>
      <c r="E917" s="81"/>
      <c r="F917" s="81"/>
      <c r="G917" s="105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 ht="24" customHeight="1" x14ac:dyDescent="0.5">
      <c r="A918" s="81"/>
      <c r="B918" s="81"/>
      <c r="C918" s="81"/>
      <c r="D918" s="81"/>
      <c r="E918" s="81"/>
      <c r="F918" s="81"/>
      <c r="G918" s="105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 ht="24" customHeight="1" x14ac:dyDescent="0.5">
      <c r="A919" s="81"/>
      <c r="B919" s="81"/>
      <c r="C919" s="81"/>
      <c r="D919" s="81"/>
      <c r="E919" s="81"/>
      <c r="F919" s="81"/>
      <c r="G919" s="105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 ht="24" customHeight="1" x14ac:dyDescent="0.5">
      <c r="A920" s="81"/>
      <c r="B920" s="81"/>
      <c r="C920" s="81"/>
      <c r="D920" s="81"/>
      <c r="E920" s="81"/>
      <c r="F920" s="81"/>
      <c r="G920" s="105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 ht="24" customHeight="1" x14ac:dyDescent="0.5">
      <c r="A921" s="81"/>
      <c r="B921" s="81"/>
      <c r="C921" s="81"/>
      <c r="D921" s="81"/>
      <c r="E921" s="81"/>
      <c r="F921" s="81"/>
      <c r="G921" s="105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 ht="24" customHeight="1" x14ac:dyDescent="0.5">
      <c r="A922" s="81"/>
      <c r="B922" s="81"/>
      <c r="C922" s="81"/>
      <c r="D922" s="81"/>
      <c r="E922" s="81"/>
      <c r="F922" s="81"/>
      <c r="G922" s="105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 ht="24" customHeight="1" x14ac:dyDescent="0.5">
      <c r="A923" s="81"/>
      <c r="B923" s="81"/>
      <c r="C923" s="81"/>
      <c r="D923" s="81"/>
      <c r="E923" s="81"/>
      <c r="F923" s="81"/>
      <c r="G923" s="105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 ht="24" customHeight="1" x14ac:dyDescent="0.5">
      <c r="A924" s="81"/>
      <c r="B924" s="81"/>
      <c r="C924" s="81"/>
      <c r="D924" s="81"/>
      <c r="E924" s="81"/>
      <c r="F924" s="81"/>
      <c r="G924" s="105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 ht="24" customHeight="1" x14ac:dyDescent="0.5">
      <c r="A925" s="81"/>
      <c r="B925" s="81"/>
      <c r="C925" s="81"/>
      <c r="D925" s="81"/>
      <c r="E925" s="81"/>
      <c r="F925" s="81"/>
      <c r="G925" s="105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 ht="24" customHeight="1" x14ac:dyDescent="0.5">
      <c r="A926" s="81"/>
      <c r="B926" s="81"/>
      <c r="C926" s="81"/>
      <c r="D926" s="81"/>
      <c r="E926" s="81"/>
      <c r="F926" s="81"/>
      <c r="G926" s="105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 ht="24" customHeight="1" x14ac:dyDescent="0.5">
      <c r="A927" s="81"/>
      <c r="B927" s="81"/>
      <c r="C927" s="81"/>
      <c r="D927" s="81"/>
      <c r="E927" s="81"/>
      <c r="F927" s="81"/>
      <c r="G927" s="105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 ht="24" customHeight="1" x14ac:dyDescent="0.5">
      <c r="A928" s="81"/>
      <c r="B928" s="81"/>
      <c r="C928" s="81"/>
      <c r="D928" s="81"/>
      <c r="E928" s="81"/>
      <c r="F928" s="81"/>
      <c r="G928" s="105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 ht="24" customHeight="1" x14ac:dyDescent="0.5">
      <c r="A929" s="81"/>
      <c r="B929" s="81"/>
      <c r="C929" s="81"/>
      <c r="D929" s="81"/>
      <c r="E929" s="81"/>
      <c r="F929" s="81"/>
      <c r="G929" s="105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 ht="24" customHeight="1" x14ac:dyDescent="0.5">
      <c r="A930" s="81"/>
      <c r="B930" s="81"/>
      <c r="C930" s="81"/>
      <c r="D930" s="81"/>
      <c r="E930" s="81"/>
      <c r="F930" s="81"/>
      <c r="G930" s="105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 ht="24" customHeight="1" x14ac:dyDescent="0.5">
      <c r="A931" s="81"/>
      <c r="B931" s="81"/>
      <c r="C931" s="81"/>
      <c r="D931" s="81"/>
      <c r="E931" s="81"/>
      <c r="F931" s="81"/>
      <c r="G931" s="105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 ht="24" customHeight="1" x14ac:dyDescent="0.5">
      <c r="A932" s="81"/>
      <c r="B932" s="81"/>
      <c r="C932" s="81"/>
      <c r="D932" s="81"/>
      <c r="E932" s="81"/>
      <c r="F932" s="81"/>
      <c r="G932" s="105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 ht="24" customHeight="1" x14ac:dyDescent="0.5">
      <c r="A933" s="81"/>
      <c r="B933" s="81"/>
      <c r="C933" s="81"/>
      <c r="D933" s="81"/>
      <c r="E933" s="81"/>
      <c r="F933" s="81"/>
      <c r="G933" s="105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 ht="24" customHeight="1" x14ac:dyDescent="0.5">
      <c r="A934" s="81"/>
      <c r="B934" s="81"/>
      <c r="C934" s="81"/>
      <c r="D934" s="81"/>
      <c r="E934" s="81"/>
      <c r="F934" s="81"/>
      <c r="G934" s="105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 ht="24" customHeight="1" x14ac:dyDescent="0.5">
      <c r="A935" s="81"/>
      <c r="B935" s="81"/>
      <c r="C935" s="81"/>
      <c r="D935" s="81"/>
      <c r="E935" s="81"/>
      <c r="F935" s="81"/>
      <c r="G935" s="105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 ht="24" customHeight="1" x14ac:dyDescent="0.5">
      <c r="A936" s="81"/>
      <c r="B936" s="81"/>
      <c r="C936" s="81"/>
      <c r="D936" s="81"/>
      <c r="E936" s="81"/>
      <c r="F936" s="81"/>
      <c r="G936" s="105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 ht="24" customHeight="1" x14ac:dyDescent="0.5">
      <c r="A937" s="81"/>
      <c r="B937" s="81"/>
      <c r="C937" s="81"/>
      <c r="D937" s="81"/>
      <c r="E937" s="81"/>
      <c r="F937" s="81"/>
      <c r="G937" s="105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 ht="24" customHeight="1" x14ac:dyDescent="0.5">
      <c r="A938" s="81"/>
      <c r="B938" s="81"/>
      <c r="C938" s="81"/>
      <c r="D938" s="81"/>
      <c r="E938" s="81"/>
      <c r="F938" s="81"/>
      <c r="G938" s="105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 ht="24" customHeight="1" x14ac:dyDescent="0.5">
      <c r="A939" s="81"/>
      <c r="B939" s="81"/>
      <c r="C939" s="81"/>
      <c r="D939" s="81"/>
      <c r="E939" s="81"/>
      <c r="F939" s="81"/>
      <c r="G939" s="105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 ht="24" customHeight="1" x14ac:dyDescent="0.5">
      <c r="A940" s="81"/>
      <c r="B940" s="81"/>
      <c r="C940" s="81"/>
      <c r="D940" s="81"/>
      <c r="E940" s="81"/>
      <c r="F940" s="81"/>
      <c r="G940" s="105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 ht="24" customHeight="1" x14ac:dyDescent="0.5">
      <c r="A941" s="81"/>
      <c r="B941" s="81"/>
      <c r="C941" s="81"/>
      <c r="D941" s="81"/>
      <c r="E941" s="81"/>
      <c r="F941" s="81"/>
      <c r="G941" s="105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 ht="24" customHeight="1" x14ac:dyDescent="0.5">
      <c r="A942" s="81"/>
      <c r="B942" s="81"/>
      <c r="C942" s="81"/>
      <c r="D942" s="81"/>
      <c r="E942" s="81"/>
      <c r="F942" s="81"/>
      <c r="G942" s="105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 ht="24" customHeight="1" x14ac:dyDescent="0.5">
      <c r="A943" s="81"/>
      <c r="B943" s="81"/>
      <c r="C943" s="81"/>
      <c r="D943" s="81"/>
      <c r="E943" s="81"/>
      <c r="F943" s="81"/>
      <c r="G943" s="105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 ht="24" customHeight="1" x14ac:dyDescent="0.5">
      <c r="A944" s="81"/>
      <c r="B944" s="81"/>
      <c r="C944" s="81"/>
      <c r="D944" s="81"/>
      <c r="E944" s="81"/>
      <c r="F944" s="81"/>
      <c r="G944" s="105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 ht="24" customHeight="1" x14ac:dyDescent="0.5">
      <c r="A945" s="81"/>
      <c r="B945" s="81"/>
      <c r="C945" s="81"/>
      <c r="D945" s="81"/>
      <c r="E945" s="81"/>
      <c r="F945" s="81"/>
      <c r="G945" s="105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 ht="24" customHeight="1" x14ac:dyDescent="0.5">
      <c r="A946" s="81"/>
      <c r="B946" s="81"/>
      <c r="C946" s="81"/>
      <c r="D946" s="81"/>
      <c r="E946" s="81"/>
      <c r="F946" s="81"/>
      <c r="G946" s="105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 ht="24" customHeight="1" x14ac:dyDescent="0.5">
      <c r="A947" s="81"/>
      <c r="B947" s="81"/>
      <c r="C947" s="81"/>
      <c r="D947" s="81"/>
      <c r="E947" s="81"/>
      <c r="F947" s="81"/>
      <c r="G947" s="105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 ht="24" customHeight="1" x14ac:dyDescent="0.5">
      <c r="A948" s="81"/>
      <c r="B948" s="81"/>
      <c r="C948" s="81"/>
      <c r="D948" s="81"/>
      <c r="E948" s="81"/>
      <c r="F948" s="81"/>
      <c r="G948" s="105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 ht="24" customHeight="1" x14ac:dyDescent="0.5">
      <c r="A949" s="81"/>
      <c r="B949" s="81"/>
      <c r="C949" s="81"/>
      <c r="D949" s="81"/>
      <c r="E949" s="81"/>
      <c r="F949" s="81"/>
      <c r="G949" s="105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 ht="24" customHeight="1" x14ac:dyDescent="0.5">
      <c r="A950" s="81"/>
      <c r="B950" s="81"/>
      <c r="C950" s="81"/>
      <c r="D950" s="81"/>
      <c r="E950" s="81"/>
      <c r="F950" s="81"/>
      <c r="G950" s="105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 ht="24" customHeight="1" x14ac:dyDescent="0.5">
      <c r="A951" s="81"/>
      <c r="B951" s="81"/>
      <c r="C951" s="81"/>
      <c r="D951" s="81"/>
      <c r="E951" s="81"/>
      <c r="F951" s="81"/>
      <c r="G951" s="105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 ht="24" customHeight="1" x14ac:dyDescent="0.5">
      <c r="A952" s="81"/>
      <c r="B952" s="81"/>
      <c r="C952" s="81"/>
      <c r="D952" s="81"/>
      <c r="E952" s="81"/>
      <c r="F952" s="81"/>
      <c r="G952" s="105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 ht="24" customHeight="1" x14ac:dyDescent="0.5">
      <c r="A953" s="81"/>
      <c r="B953" s="81"/>
      <c r="C953" s="81"/>
      <c r="D953" s="81"/>
      <c r="E953" s="81"/>
      <c r="F953" s="81"/>
      <c r="G953" s="105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 ht="24" customHeight="1" x14ac:dyDescent="0.5">
      <c r="A954" s="81"/>
      <c r="B954" s="81"/>
      <c r="C954" s="81"/>
      <c r="D954" s="81"/>
      <c r="E954" s="81"/>
      <c r="F954" s="81"/>
      <c r="G954" s="105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 ht="24" customHeight="1" x14ac:dyDescent="0.5">
      <c r="A955" s="81"/>
      <c r="B955" s="81"/>
      <c r="C955" s="81"/>
      <c r="D955" s="81"/>
      <c r="E955" s="81"/>
      <c r="F955" s="81"/>
      <c r="G955" s="105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 ht="24" customHeight="1" x14ac:dyDescent="0.5">
      <c r="A956" s="81"/>
      <c r="B956" s="81"/>
      <c r="C956" s="81"/>
      <c r="D956" s="81"/>
      <c r="E956" s="81"/>
      <c r="F956" s="81"/>
      <c r="G956" s="105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 ht="24" customHeight="1" x14ac:dyDescent="0.5">
      <c r="A957" s="81"/>
      <c r="B957" s="81"/>
      <c r="C957" s="81"/>
      <c r="D957" s="81"/>
      <c r="E957" s="81"/>
      <c r="F957" s="81"/>
      <c r="G957" s="105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 ht="24" customHeight="1" x14ac:dyDescent="0.5">
      <c r="A958" s="81"/>
      <c r="B958" s="81"/>
      <c r="C958" s="81"/>
      <c r="D958" s="81"/>
      <c r="E958" s="81"/>
      <c r="F958" s="81"/>
      <c r="G958" s="105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 ht="24" customHeight="1" x14ac:dyDescent="0.5">
      <c r="A959" s="81"/>
      <c r="B959" s="81"/>
      <c r="C959" s="81"/>
      <c r="D959" s="81"/>
      <c r="E959" s="81"/>
      <c r="F959" s="81"/>
      <c r="G959" s="105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 ht="24" customHeight="1" x14ac:dyDescent="0.5">
      <c r="A960" s="81"/>
      <c r="B960" s="81"/>
      <c r="C960" s="81"/>
      <c r="D960" s="81"/>
      <c r="E960" s="81"/>
      <c r="F960" s="81"/>
      <c r="G960" s="105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 ht="24" customHeight="1" x14ac:dyDescent="0.5">
      <c r="A961" s="81"/>
      <c r="B961" s="81"/>
      <c r="C961" s="81"/>
      <c r="D961" s="81"/>
      <c r="E961" s="81"/>
      <c r="F961" s="81"/>
      <c r="G961" s="105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 ht="24" customHeight="1" x14ac:dyDescent="0.5">
      <c r="A962" s="81"/>
      <c r="B962" s="81"/>
      <c r="C962" s="81"/>
      <c r="D962" s="81"/>
      <c r="E962" s="81"/>
      <c r="F962" s="81"/>
      <c r="G962" s="105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 ht="24" customHeight="1" x14ac:dyDescent="0.5">
      <c r="A963" s="81"/>
      <c r="B963" s="81"/>
      <c r="C963" s="81"/>
      <c r="D963" s="81"/>
      <c r="E963" s="81"/>
      <c r="F963" s="81"/>
      <c r="G963" s="105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 ht="24" customHeight="1" x14ac:dyDescent="0.5">
      <c r="A964" s="81"/>
      <c r="B964" s="81"/>
      <c r="C964" s="81"/>
      <c r="D964" s="81"/>
      <c r="E964" s="81"/>
      <c r="F964" s="81"/>
      <c r="G964" s="105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 ht="24" customHeight="1" x14ac:dyDescent="0.5">
      <c r="A965" s="81"/>
      <c r="B965" s="81"/>
      <c r="C965" s="81"/>
      <c r="D965" s="81"/>
      <c r="E965" s="81"/>
      <c r="F965" s="81"/>
      <c r="G965" s="105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 ht="24" customHeight="1" x14ac:dyDescent="0.5">
      <c r="A966" s="81"/>
      <c r="B966" s="81"/>
      <c r="C966" s="81"/>
      <c r="D966" s="81"/>
      <c r="E966" s="81"/>
      <c r="F966" s="81"/>
      <c r="G966" s="105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 ht="24" customHeight="1" x14ac:dyDescent="0.5">
      <c r="A967" s="81"/>
      <c r="B967" s="81"/>
      <c r="C967" s="81"/>
      <c r="D967" s="81"/>
      <c r="E967" s="81"/>
      <c r="F967" s="81"/>
      <c r="G967" s="105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 ht="24" customHeight="1" x14ac:dyDescent="0.5">
      <c r="A968" s="81"/>
      <c r="B968" s="81"/>
      <c r="C968" s="81"/>
      <c r="D968" s="81"/>
      <c r="E968" s="81"/>
      <c r="F968" s="81"/>
      <c r="G968" s="105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 ht="24" customHeight="1" x14ac:dyDescent="0.5">
      <c r="A969" s="81"/>
      <c r="B969" s="81"/>
      <c r="C969" s="81"/>
      <c r="D969" s="81"/>
      <c r="E969" s="81"/>
      <c r="F969" s="81"/>
      <c r="G969" s="105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 ht="24" customHeight="1" x14ac:dyDescent="0.5">
      <c r="A970" s="81"/>
      <c r="B970" s="81"/>
      <c r="C970" s="81"/>
      <c r="D970" s="81"/>
      <c r="E970" s="81"/>
      <c r="F970" s="81"/>
      <c r="G970" s="105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 ht="24" customHeight="1" x14ac:dyDescent="0.5">
      <c r="A971" s="81"/>
      <c r="B971" s="81"/>
      <c r="C971" s="81"/>
      <c r="D971" s="81"/>
      <c r="E971" s="81"/>
      <c r="F971" s="81"/>
      <c r="G971" s="105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 ht="24" customHeight="1" x14ac:dyDescent="0.5">
      <c r="A972" s="81"/>
      <c r="B972" s="81"/>
      <c r="C972" s="81"/>
      <c r="D972" s="81"/>
      <c r="E972" s="81"/>
      <c r="F972" s="81"/>
      <c r="G972" s="105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 ht="24" customHeight="1" x14ac:dyDescent="0.5">
      <c r="A973" s="81"/>
      <c r="B973" s="81"/>
      <c r="C973" s="81"/>
      <c r="D973" s="81"/>
      <c r="E973" s="81"/>
      <c r="F973" s="81"/>
      <c r="G973" s="105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 ht="24" customHeight="1" x14ac:dyDescent="0.5">
      <c r="A974" s="81"/>
      <c r="B974" s="81"/>
      <c r="C974" s="81"/>
      <c r="D974" s="81"/>
      <c r="E974" s="81"/>
      <c r="F974" s="81"/>
      <c r="G974" s="105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 ht="24" customHeight="1" x14ac:dyDescent="0.5">
      <c r="A975" s="81"/>
      <c r="B975" s="81"/>
      <c r="C975" s="81"/>
      <c r="D975" s="81"/>
      <c r="E975" s="81"/>
      <c r="F975" s="81"/>
      <c r="G975" s="105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 ht="24" customHeight="1" x14ac:dyDescent="0.5">
      <c r="A976" s="81"/>
      <c r="B976" s="81"/>
      <c r="C976" s="81"/>
      <c r="D976" s="81"/>
      <c r="E976" s="81"/>
      <c r="F976" s="81"/>
      <c r="G976" s="105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 ht="24" customHeight="1" x14ac:dyDescent="0.5">
      <c r="A977" s="81"/>
      <c r="B977" s="81"/>
      <c r="C977" s="81"/>
      <c r="D977" s="81"/>
      <c r="E977" s="81"/>
      <c r="F977" s="81"/>
      <c r="G977" s="105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 ht="24" customHeight="1" x14ac:dyDescent="0.5">
      <c r="A978" s="81"/>
      <c r="B978" s="81"/>
      <c r="C978" s="81"/>
      <c r="D978" s="81"/>
      <c r="E978" s="81"/>
      <c r="F978" s="81"/>
      <c r="G978" s="105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 ht="24" customHeight="1" x14ac:dyDescent="0.5">
      <c r="A979" s="81"/>
      <c r="B979" s="81"/>
      <c r="C979" s="81"/>
      <c r="D979" s="81"/>
      <c r="E979" s="81"/>
      <c r="F979" s="81"/>
      <c r="G979" s="105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 ht="24" customHeight="1" x14ac:dyDescent="0.5">
      <c r="A980" s="81"/>
      <c r="B980" s="81"/>
      <c r="C980" s="81"/>
      <c r="D980" s="81"/>
      <c r="E980" s="81"/>
      <c r="F980" s="81"/>
      <c r="G980" s="105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 ht="24" customHeight="1" x14ac:dyDescent="0.5">
      <c r="A981" s="81"/>
      <c r="B981" s="81"/>
      <c r="C981" s="81"/>
      <c r="D981" s="81"/>
      <c r="E981" s="81"/>
      <c r="F981" s="81"/>
      <c r="G981" s="105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 ht="24" customHeight="1" x14ac:dyDescent="0.5">
      <c r="A982" s="81"/>
      <c r="B982" s="81"/>
      <c r="C982" s="81"/>
      <c r="D982" s="81"/>
      <c r="E982" s="81"/>
      <c r="F982" s="81"/>
      <c r="G982" s="105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 ht="24" customHeight="1" x14ac:dyDescent="0.5">
      <c r="A983" s="81"/>
      <c r="B983" s="81"/>
      <c r="C983" s="81"/>
      <c r="D983" s="81"/>
      <c r="E983" s="81"/>
      <c r="F983" s="81"/>
      <c r="G983" s="105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 ht="24" customHeight="1" x14ac:dyDescent="0.5">
      <c r="A984" s="81"/>
      <c r="B984" s="81"/>
      <c r="C984" s="81"/>
      <c r="D984" s="81"/>
      <c r="E984" s="81"/>
      <c r="F984" s="81"/>
      <c r="G984" s="105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 ht="24" customHeight="1" x14ac:dyDescent="0.5">
      <c r="A985" s="81"/>
      <c r="B985" s="81"/>
      <c r="C985" s="81"/>
      <c r="D985" s="81"/>
      <c r="E985" s="81"/>
      <c r="F985" s="81"/>
      <c r="G985" s="105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 ht="24" customHeight="1" x14ac:dyDescent="0.5">
      <c r="A986" s="81"/>
      <c r="B986" s="81"/>
      <c r="C986" s="81"/>
      <c r="D986" s="81"/>
      <c r="E986" s="81"/>
      <c r="F986" s="81"/>
      <c r="G986" s="105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 ht="24" customHeight="1" x14ac:dyDescent="0.5">
      <c r="A987" s="81"/>
      <c r="B987" s="81"/>
      <c r="C987" s="81"/>
      <c r="D987" s="81"/>
      <c r="E987" s="81"/>
      <c r="F987" s="81"/>
      <c r="G987" s="105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 ht="24" customHeight="1" x14ac:dyDescent="0.5">
      <c r="A988" s="81"/>
      <c r="B988" s="81"/>
      <c r="C988" s="81"/>
      <c r="D988" s="81"/>
      <c r="E988" s="81"/>
      <c r="F988" s="81"/>
      <c r="G988" s="105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 ht="24" customHeight="1" x14ac:dyDescent="0.5">
      <c r="A989" s="81"/>
      <c r="B989" s="81"/>
      <c r="C989" s="81"/>
      <c r="D989" s="81"/>
      <c r="E989" s="81"/>
      <c r="F989" s="81"/>
      <c r="G989" s="105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 ht="24" customHeight="1" x14ac:dyDescent="0.5">
      <c r="A990" s="81"/>
      <c r="B990" s="81"/>
      <c r="C990" s="81"/>
      <c r="D990" s="81"/>
      <c r="E990" s="81"/>
      <c r="F990" s="81"/>
      <c r="G990" s="105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 ht="24" customHeight="1" x14ac:dyDescent="0.5">
      <c r="A991" s="81"/>
      <c r="B991" s="81"/>
      <c r="C991" s="81"/>
      <c r="D991" s="81"/>
      <c r="E991" s="81"/>
      <c r="F991" s="81"/>
      <c r="G991" s="105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 ht="24" customHeight="1" x14ac:dyDescent="0.5">
      <c r="A992" s="81"/>
      <c r="B992" s="81"/>
      <c r="C992" s="81"/>
      <c r="D992" s="81"/>
      <c r="E992" s="81"/>
      <c r="F992" s="81"/>
      <c r="G992" s="105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 ht="24" customHeight="1" x14ac:dyDescent="0.5">
      <c r="A993" s="81"/>
      <c r="B993" s="81"/>
      <c r="C993" s="81"/>
      <c r="D993" s="81"/>
      <c r="E993" s="81"/>
      <c r="F993" s="81"/>
      <c r="G993" s="105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 ht="24" customHeight="1" x14ac:dyDescent="0.5">
      <c r="A994" s="81"/>
      <c r="B994" s="81"/>
      <c r="C994" s="81"/>
      <c r="D994" s="81"/>
      <c r="E994" s="81"/>
      <c r="F994" s="81"/>
      <c r="G994" s="105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 ht="24" customHeight="1" x14ac:dyDescent="0.5">
      <c r="A995" s="81"/>
      <c r="B995" s="81"/>
      <c r="C995" s="81"/>
      <c r="D995" s="81"/>
      <c r="E995" s="81"/>
      <c r="F995" s="81"/>
      <c r="G995" s="105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 ht="24" customHeight="1" x14ac:dyDescent="0.5">
      <c r="A996" s="81"/>
      <c r="B996" s="81"/>
      <c r="C996" s="81"/>
      <c r="D996" s="81"/>
      <c r="E996" s="81"/>
      <c r="F996" s="81"/>
      <c r="G996" s="105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 ht="24" customHeight="1" x14ac:dyDescent="0.5">
      <c r="A997" s="81"/>
      <c r="B997" s="81"/>
      <c r="C997" s="81"/>
      <c r="D997" s="81"/>
      <c r="E997" s="81"/>
      <c r="F997" s="81"/>
      <c r="G997" s="105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 ht="24" customHeight="1" x14ac:dyDescent="0.5">
      <c r="A998" s="81"/>
      <c r="B998" s="81"/>
      <c r="C998" s="81"/>
      <c r="D998" s="81"/>
      <c r="E998" s="81"/>
      <c r="F998" s="81"/>
      <c r="G998" s="105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 ht="24" customHeight="1" x14ac:dyDescent="0.5">
      <c r="A999" s="81"/>
      <c r="B999" s="81"/>
      <c r="C999" s="81"/>
      <c r="D999" s="81"/>
      <c r="E999" s="81"/>
      <c r="F999" s="81"/>
      <c r="G999" s="105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  <row r="1000" spans="1:26" ht="24" customHeight="1" x14ac:dyDescent="0.5">
      <c r="A1000" s="81"/>
      <c r="B1000" s="81"/>
      <c r="C1000" s="81"/>
      <c r="D1000" s="81"/>
      <c r="E1000" s="81"/>
      <c r="F1000" s="81"/>
      <c r="G1000" s="105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</row>
  </sheetData>
  <mergeCells count="24">
    <mergeCell ref="A91:B91"/>
    <mergeCell ref="A106:B106"/>
    <mergeCell ref="A6:B8"/>
    <mergeCell ref="D7:D8"/>
    <mergeCell ref="A9:B9"/>
    <mergeCell ref="A15:B15"/>
    <mergeCell ref="A33:B33"/>
    <mergeCell ref="A54:B54"/>
    <mergeCell ref="A76:B76"/>
    <mergeCell ref="O7:P7"/>
    <mergeCell ref="A2:B4"/>
    <mergeCell ref="C2:P2"/>
    <mergeCell ref="C3:P3"/>
    <mergeCell ref="C4:P4"/>
    <mergeCell ref="C5:G5"/>
    <mergeCell ref="H5:P5"/>
    <mergeCell ref="N6:P6"/>
    <mergeCell ref="C6:E6"/>
    <mergeCell ref="F6:G6"/>
    <mergeCell ref="F7:G7"/>
    <mergeCell ref="H6:J6"/>
    <mergeCell ref="K6:M6"/>
    <mergeCell ref="I7:J7"/>
    <mergeCell ref="L7:M7"/>
  </mergeCells>
  <printOptions horizontalCentered="1"/>
  <pageMargins left="0.25" right="0.25" top="0.75" bottom="0.25" header="0.3" footer="0.3"/>
  <pageSetup paperSize="9" scale="65" orientation="landscape" r:id="rId1"/>
  <rowBreaks count="5" manualBreakCount="5">
    <brk id="32" man="1"/>
    <brk id="53" man="1"/>
    <brk id="75" max="16383" man="1"/>
    <brk id="90" man="1"/>
    <brk id="7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EAADB"/>
  </sheetPr>
  <dimension ref="A1:AA1000"/>
  <sheetViews>
    <sheetView view="pageBreakPreview" zoomScale="130" zoomScaleNormal="70" zoomScaleSheetLayoutView="130" workbookViewId="0">
      <pane xSplit="2" ySplit="9" topLeftCell="U109" activePane="bottomRight" state="frozen"/>
      <selection activeCell="Z5" sqref="Z5:AB6"/>
      <selection pane="topRight" activeCell="Z5" sqref="Z5:AB6"/>
      <selection pane="bottomLeft" activeCell="Z5" sqref="Z5:AB6"/>
      <selection pane="bottomRight" activeCell="Z5" sqref="Z5:AB6"/>
    </sheetView>
  </sheetViews>
  <sheetFormatPr defaultColWidth="12.625" defaultRowHeight="24" customHeight="1" x14ac:dyDescent="0.5"/>
  <cols>
    <col min="1" max="1" width="4.375" style="6" customWidth="1"/>
    <col min="2" max="2" width="27.75" style="6" customWidth="1"/>
    <col min="3" max="6" width="10.75" style="6" customWidth="1"/>
    <col min="7" max="7" width="6.75" style="6" customWidth="1"/>
    <col min="8" max="9" width="9.75" style="6" customWidth="1"/>
    <col min="10" max="10" width="6.75" style="6" customWidth="1"/>
    <col min="11" max="12" width="9.75" style="6" customWidth="1"/>
    <col min="13" max="13" width="6.75" style="6" customWidth="1"/>
    <col min="14" max="15" width="9.75" style="6" customWidth="1"/>
    <col min="16" max="16" width="6.75" style="6" customWidth="1"/>
    <col min="17" max="18" width="9.75" style="6" customWidth="1"/>
    <col min="19" max="19" width="6.75" style="6" customWidth="1"/>
    <col min="20" max="27" width="14.75" style="6" customWidth="1"/>
    <col min="28" max="16384" width="12.625" style="6"/>
  </cols>
  <sheetData>
    <row r="1" spans="1:27" ht="24" customHeight="1" x14ac:dyDescent="0.5">
      <c r="A1" s="2" t="s">
        <v>323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/>
      <c r="Z1" s="3"/>
      <c r="AA1" s="3"/>
    </row>
    <row r="2" spans="1:27" ht="24" customHeight="1" x14ac:dyDescent="0.5">
      <c r="A2" s="573" t="s">
        <v>0</v>
      </c>
      <c r="B2" s="627"/>
      <c r="C2" s="677" t="s">
        <v>178</v>
      </c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9"/>
      <c r="T2" s="677" t="s">
        <v>178</v>
      </c>
      <c r="U2" s="578"/>
      <c r="V2" s="578"/>
      <c r="W2" s="578"/>
      <c r="X2" s="578"/>
      <c r="Y2" s="578"/>
      <c r="Z2" s="578"/>
      <c r="AA2" s="579"/>
    </row>
    <row r="3" spans="1:27" ht="24" customHeight="1" x14ac:dyDescent="0.5">
      <c r="A3" s="628"/>
      <c r="B3" s="629"/>
      <c r="C3" s="678" t="s">
        <v>179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67"/>
      <c r="T3" s="679" t="s">
        <v>180</v>
      </c>
      <c r="U3" s="581"/>
      <c r="V3" s="581"/>
      <c r="W3" s="581"/>
      <c r="X3" s="581"/>
      <c r="Y3" s="581"/>
      <c r="Z3" s="581"/>
      <c r="AA3" s="567"/>
    </row>
    <row r="4" spans="1:27" ht="24" customHeight="1" x14ac:dyDescent="0.5">
      <c r="A4" s="630"/>
      <c r="B4" s="631"/>
      <c r="C4" s="680" t="s">
        <v>181</v>
      </c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67"/>
      <c r="T4" s="681" t="s">
        <v>182</v>
      </c>
      <c r="U4" s="581"/>
      <c r="V4" s="581"/>
      <c r="W4" s="581"/>
      <c r="X4" s="581"/>
      <c r="Y4" s="581"/>
      <c r="Z4" s="581"/>
      <c r="AA4" s="567"/>
    </row>
    <row r="5" spans="1:27" ht="24" customHeight="1" x14ac:dyDescent="0.5">
      <c r="A5" s="7"/>
      <c r="B5" s="8"/>
      <c r="C5" s="600" t="s">
        <v>4</v>
      </c>
      <c r="D5" s="581"/>
      <c r="E5" s="581"/>
      <c r="F5" s="581"/>
      <c r="G5" s="567"/>
      <c r="H5" s="676" t="s">
        <v>309</v>
      </c>
      <c r="I5" s="633"/>
      <c r="J5" s="634"/>
      <c r="K5" s="676" t="s">
        <v>312</v>
      </c>
      <c r="L5" s="633"/>
      <c r="M5" s="634"/>
      <c r="N5" s="676" t="s">
        <v>310</v>
      </c>
      <c r="O5" s="633"/>
      <c r="P5" s="634"/>
      <c r="Q5" s="676" t="s">
        <v>311</v>
      </c>
      <c r="R5" s="633"/>
      <c r="S5" s="634"/>
      <c r="T5" s="600" t="s">
        <v>4</v>
      </c>
      <c r="U5" s="581"/>
      <c r="V5" s="581"/>
      <c r="W5" s="581"/>
      <c r="X5" s="567"/>
      <c r="Y5" s="638" t="s">
        <v>334</v>
      </c>
      <c r="Z5" s="633"/>
      <c r="AA5" s="634"/>
    </row>
    <row r="6" spans="1:27" ht="24" customHeight="1" x14ac:dyDescent="0.5">
      <c r="A6" s="595" t="s">
        <v>207</v>
      </c>
      <c r="B6" s="596"/>
      <c r="C6" s="601" t="s">
        <v>6</v>
      </c>
      <c r="D6" s="581"/>
      <c r="E6" s="567"/>
      <c r="F6" s="602" t="s">
        <v>7</v>
      </c>
      <c r="G6" s="584"/>
      <c r="H6" s="639"/>
      <c r="I6" s="640"/>
      <c r="J6" s="641"/>
      <c r="K6" s="639"/>
      <c r="L6" s="640"/>
      <c r="M6" s="641"/>
      <c r="N6" s="635"/>
      <c r="O6" s="636"/>
      <c r="P6" s="637"/>
      <c r="Q6" s="639"/>
      <c r="R6" s="640"/>
      <c r="S6" s="641"/>
      <c r="T6" s="601" t="s">
        <v>6</v>
      </c>
      <c r="U6" s="581"/>
      <c r="V6" s="567"/>
      <c r="W6" s="602" t="s">
        <v>7</v>
      </c>
      <c r="X6" s="584"/>
      <c r="Y6" s="639"/>
      <c r="Z6" s="640"/>
      <c r="AA6" s="641"/>
    </row>
    <row r="7" spans="1:27" ht="24" customHeight="1" x14ac:dyDescent="0.5">
      <c r="A7" s="595"/>
      <c r="B7" s="596"/>
      <c r="C7" s="9" t="s">
        <v>12</v>
      </c>
      <c r="D7" s="604" t="s">
        <v>13</v>
      </c>
      <c r="E7" s="10" t="s">
        <v>14</v>
      </c>
      <c r="F7" s="606" t="s">
        <v>15</v>
      </c>
      <c r="G7" s="594"/>
      <c r="H7" s="84" t="s">
        <v>16</v>
      </c>
      <c r="I7" s="611" t="s">
        <v>17</v>
      </c>
      <c r="J7" s="567"/>
      <c r="K7" s="84" t="s">
        <v>16</v>
      </c>
      <c r="L7" s="611" t="s">
        <v>17</v>
      </c>
      <c r="M7" s="567"/>
      <c r="N7" s="84" t="s">
        <v>16</v>
      </c>
      <c r="O7" s="611" t="s">
        <v>17</v>
      </c>
      <c r="P7" s="567"/>
      <c r="Q7" s="84" t="s">
        <v>16</v>
      </c>
      <c r="R7" s="611" t="s">
        <v>17</v>
      </c>
      <c r="S7" s="567"/>
      <c r="T7" s="9" t="s">
        <v>12</v>
      </c>
      <c r="U7" s="682" t="s">
        <v>13</v>
      </c>
      <c r="V7" s="10" t="s">
        <v>14</v>
      </c>
      <c r="W7" s="606" t="s">
        <v>15</v>
      </c>
      <c r="X7" s="594"/>
      <c r="Y7" s="84" t="s">
        <v>16</v>
      </c>
      <c r="Z7" s="611" t="s">
        <v>17</v>
      </c>
      <c r="AA7" s="567"/>
    </row>
    <row r="8" spans="1:27" ht="24" customHeight="1" x14ac:dyDescent="0.5">
      <c r="A8" s="597"/>
      <c r="B8" s="598"/>
      <c r="C8" s="12"/>
      <c r="D8" s="605"/>
      <c r="E8" s="13"/>
      <c r="F8" s="14" t="s">
        <v>18</v>
      </c>
      <c r="G8" s="14" t="s">
        <v>19</v>
      </c>
      <c r="H8" s="16" t="s">
        <v>138</v>
      </c>
      <c r="I8" s="85" t="s">
        <v>139</v>
      </c>
      <c r="J8" s="85" t="s">
        <v>19</v>
      </c>
      <c r="K8" s="16" t="s">
        <v>22</v>
      </c>
      <c r="L8" s="85" t="s">
        <v>21</v>
      </c>
      <c r="M8" s="85" t="s">
        <v>19</v>
      </c>
      <c r="N8" s="16" t="s">
        <v>22</v>
      </c>
      <c r="O8" s="85" t="s">
        <v>21</v>
      </c>
      <c r="P8" s="85" t="s">
        <v>19</v>
      </c>
      <c r="Q8" s="16" t="s">
        <v>22</v>
      </c>
      <c r="R8" s="85" t="s">
        <v>21</v>
      </c>
      <c r="S8" s="85" t="s">
        <v>19</v>
      </c>
      <c r="T8" s="12"/>
      <c r="U8" s="683"/>
      <c r="V8" s="13"/>
      <c r="W8" s="14" t="s">
        <v>18</v>
      </c>
      <c r="X8" s="14" t="s">
        <v>19</v>
      </c>
      <c r="Y8" s="16" t="s">
        <v>22</v>
      </c>
      <c r="Z8" s="85" t="s">
        <v>21</v>
      </c>
      <c r="AA8" s="85" t="s">
        <v>19</v>
      </c>
    </row>
    <row r="9" spans="1:27" ht="24" customHeight="1" x14ac:dyDescent="0.5">
      <c r="A9" s="564" t="s">
        <v>24</v>
      </c>
      <c r="B9" s="565"/>
      <c r="C9" s="114">
        <f t="shared" ref="C9:E9" si="0">C10+C11</f>
        <v>5102100</v>
      </c>
      <c r="D9" s="20">
        <f t="shared" si="0"/>
        <v>1419300</v>
      </c>
      <c r="E9" s="115">
        <f t="shared" si="0"/>
        <v>3682800</v>
      </c>
      <c r="F9" s="22">
        <f ca="1">F10+F11+F14</f>
        <v>220412</v>
      </c>
      <c r="G9" s="88">
        <f t="shared" ref="G9:G114" ca="1" si="1">IF(C9&gt;0,F9*100/C9,0)</f>
        <v>4.3200250877089825</v>
      </c>
      <c r="H9" s="24">
        <f t="shared" ref="H9:I9" si="2">H10+H11</f>
        <v>30</v>
      </c>
      <c r="I9" s="25">
        <f t="shared" ca="1" si="2"/>
        <v>2</v>
      </c>
      <c r="J9" s="89">
        <f t="shared" ref="J9:J114" ca="1" si="3">IF(H9&gt;0,I9*100/H9,0)</f>
        <v>6.666666666666667</v>
      </c>
      <c r="K9" s="24">
        <f t="shared" ref="K9:L9" si="4">K10+K11</f>
        <v>700</v>
      </c>
      <c r="L9" s="25">
        <f t="shared" ca="1" si="4"/>
        <v>0</v>
      </c>
      <c r="M9" s="89">
        <f t="shared" ref="M9:M114" ca="1" si="5">IF(K9&gt;0,L9*100/K9,0)</f>
        <v>0</v>
      </c>
      <c r="N9" s="24">
        <f t="shared" ref="N9:O9" si="6">N10+N11</f>
        <v>700</v>
      </c>
      <c r="O9" s="25">
        <f t="shared" ca="1" si="6"/>
        <v>0</v>
      </c>
      <c r="P9" s="89">
        <f t="shared" ref="P9:P114" ca="1" si="7">IF(N9&gt;0,O9*100/N9,0)</f>
        <v>0</v>
      </c>
      <c r="Q9" s="24">
        <f t="shared" ref="Q9:R9" si="8">Q10+Q11</f>
        <v>30</v>
      </c>
      <c r="R9" s="25">
        <f t="shared" ca="1" si="8"/>
        <v>1</v>
      </c>
      <c r="S9" s="89">
        <f t="shared" ref="S9:S114" ca="1" si="9">IF(Q9&gt;0,R9*100/Q9,0)</f>
        <v>3.3333333333333335</v>
      </c>
      <c r="T9" s="19">
        <f t="shared" ref="T9:V9" si="10">T10+T11</f>
        <v>8336100</v>
      </c>
      <c r="U9" s="144">
        <f t="shared" si="10"/>
        <v>2816000</v>
      </c>
      <c r="V9" s="21">
        <f t="shared" si="10"/>
        <v>5520100</v>
      </c>
      <c r="W9" s="22">
        <f ca="1">W10+W11+W14</f>
        <v>187840</v>
      </c>
      <c r="X9" s="88">
        <f t="shared" ref="X9:X114" ca="1" si="11">IF(T9&gt;0,W9*100/T9,0)</f>
        <v>2.2533318938112545</v>
      </c>
      <c r="Y9" s="24">
        <f t="shared" ref="Y9:Z9" si="12">Y10+Y11</f>
        <v>800</v>
      </c>
      <c r="Z9" s="25">
        <f t="shared" ca="1" si="12"/>
        <v>20</v>
      </c>
      <c r="AA9" s="89">
        <f t="shared" ref="AA9:AA114" ca="1" si="13">IF(Y9&gt;0,Z9*100/Y9,0)</f>
        <v>2.5</v>
      </c>
    </row>
    <row r="10" spans="1:27" ht="24" customHeight="1" x14ac:dyDescent="0.5">
      <c r="A10" s="27" t="s">
        <v>25</v>
      </c>
      <c r="B10" s="28"/>
      <c r="C10" s="117">
        <f t="shared" ref="C10:F10" si="14">+C15+C33+C54+C76</f>
        <v>4062000</v>
      </c>
      <c r="D10" s="29">
        <f t="shared" si="14"/>
        <v>792000</v>
      </c>
      <c r="E10" s="117">
        <f t="shared" si="14"/>
        <v>3270000</v>
      </c>
      <c r="F10" s="29">
        <f t="shared" ca="1" si="14"/>
        <v>62046</v>
      </c>
      <c r="G10" s="91">
        <f t="shared" ca="1" si="1"/>
        <v>1.5274741506646972</v>
      </c>
      <c r="H10" s="29">
        <f t="shared" ref="H10:I10" si="15">+H15+H33+H54+H76</f>
        <v>30</v>
      </c>
      <c r="I10" s="29">
        <f t="shared" ca="1" si="15"/>
        <v>2</v>
      </c>
      <c r="J10" s="91">
        <f t="shared" ca="1" si="3"/>
        <v>6.666666666666667</v>
      </c>
      <c r="K10" s="29">
        <f t="shared" ref="K10:L10" si="16">+K15+K33+K54+K76</f>
        <v>700</v>
      </c>
      <c r="L10" s="29">
        <f t="shared" ca="1" si="16"/>
        <v>0</v>
      </c>
      <c r="M10" s="91">
        <f t="shared" ca="1" si="5"/>
        <v>0</v>
      </c>
      <c r="N10" s="29">
        <f t="shared" ref="N10:O10" si="17">+N15+N33+N54+N76</f>
        <v>700</v>
      </c>
      <c r="O10" s="29">
        <f t="shared" ca="1" si="17"/>
        <v>0</v>
      </c>
      <c r="P10" s="91">
        <f t="shared" ca="1" si="7"/>
        <v>0</v>
      </c>
      <c r="Q10" s="29">
        <f t="shared" ref="Q10:R10" si="18">+Q15+Q33+Q54+Q76</f>
        <v>30</v>
      </c>
      <c r="R10" s="29">
        <f t="shared" ca="1" si="18"/>
        <v>1</v>
      </c>
      <c r="S10" s="91">
        <f t="shared" ca="1" si="9"/>
        <v>3.3333333333333335</v>
      </c>
      <c r="T10" s="29">
        <f t="shared" ref="T10:W10" si="19">+T15+T33+T54+T76</f>
        <v>6952200</v>
      </c>
      <c r="U10" s="29">
        <f t="shared" si="19"/>
        <v>2376000</v>
      </c>
      <c r="V10" s="29">
        <f t="shared" si="19"/>
        <v>4576200</v>
      </c>
      <c r="W10" s="29">
        <f t="shared" ca="1" si="19"/>
        <v>89840</v>
      </c>
      <c r="X10" s="91">
        <f t="shared" ca="1" si="11"/>
        <v>1.2922528120594921</v>
      </c>
      <c r="Y10" s="29">
        <f t="shared" ref="Y10:Z10" si="20">+Y15+Y33+Y54+Y76</f>
        <v>800</v>
      </c>
      <c r="Z10" s="29">
        <f t="shared" ca="1" si="20"/>
        <v>20</v>
      </c>
      <c r="AA10" s="91">
        <f t="shared" ca="1" si="13"/>
        <v>2.5</v>
      </c>
    </row>
    <row r="11" spans="1:27" ht="24" customHeight="1" x14ac:dyDescent="0.5">
      <c r="A11" s="33" t="s">
        <v>26</v>
      </c>
      <c r="B11" s="34"/>
      <c r="C11" s="119">
        <f t="shared" ref="C11:F11" si="21">+C12+C13</f>
        <v>1040100</v>
      </c>
      <c r="D11" s="35">
        <f t="shared" si="21"/>
        <v>627300</v>
      </c>
      <c r="E11" s="119">
        <f t="shared" si="21"/>
        <v>412800</v>
      </c>
      <c r="F11" s="35">
        <f t="shared" ca="1" si="21"/>
        <v>158366</v>
      </c>
      <c r="G11" s="92">
        <f t="shared" ca="1" si="1"/>
        <v>15.226035958080955</v>
      </c>
      <c r="H11" s="35">
        <v>0</v>
      </c>
      <c r="I11" s="35">
        <f>+I12+I13</f>
        <v>0</v>
      </c>
      <c r="J11" s="92">
        <f t="shared" si="3"/>
        <v>0</v>
      </c>
      <c r="K11" s="35">
        <v>0</v>
      </c>
      <c r="L11" s="35">
        <f>+L12+L13</f>
        <v>0</v>
      </c>
      <c r="M11" s="92">
        <f t="shared" si="5"/>
        <v>0</v>
      </c>
      <c r="N11" s="35">
        <v>0</v>
      </c>
      <c r="O11" s="35">
        <f>+O12+O13</f>
        <v>0</v>
      </c>
      <c r="P11" s="92">
        <f t="shared" si="7"/>
        <v>0</v>
      </c>
      <c r="Q11" s="35">
        <v>0</v>
      </c>
      <c r="R11" s="35">
        <f>+R12+R13</f>
        <v>0</v>
      </c>
      <c r="S11" s="92">
        <f t="shared" si="9"/>
        <v>0</v>
      </c>
      <c r="T11" s="35">
        <f t="shared" ref="T11:W11" si="22">+T12+T13</f>
        <v>1383900</v>
      </c>
      <c r="U11" s="35">
        <f t="shared" si="22"/>
        <v>440000</v>
      </c>
      <c r="V11" s="35">
        <f t="shared" si="22"/>
        <v>943900</v>
      </c>
      <c r="W11" s="35">
        <f t="shared" ca="1" si="22"/>
        <v>98000</v>
      </c>
      <c r="X11" s="92">
        <f t="shared" ca="1" si="11"/>
        <v>7.0814365199797678</v>
      </c>
      <c r="Y11" s="35">
        <v>0</v>
      </c>
      <c r="Z11" s="35">
        <f>+Z12+Z13</f>
        <v>0</v>
      </c>
      <c r="AA11" s="92">
        <f t="shared" si="13"/>
        <v>0</v>
      </c>
    </row>
    <row r="12" spans="1:27" ht="24" customHeight="1" x14ac:dyDescent="0.5">
      <c r="A12" s="33" t="s">
        <v>27</v>
      </c>
      <c r="B12" s="34"/>
      <c r="C12" s="119">
        <f t="shared" ref="C12:F12" si="23">+C91</f>
        <v>922100</v>
      </c>
      <c r="D12" s="35">
        <f t="shared" si="23"/>
        <v>509300</v>
      </c>
      <c r="E12" s="119">
        <f t="shared" si="23"/>
        <v>412800</v>
      </c>
      <c r="F12" s="35">
        <f t="shared" ca="1" si="23"/>
        <v>158366</v>
      </c>
      <c r="G12" s="92">
        <f t="shared" ca="1" si="1"/>
        <v>17.174493005097062</v>
      </c>
      <c r="H12" s="35">
        <v>0</v>
      </c>
      <c r="I12" s="35">
        <f>+I91</f>
        <v>0</v>
      </c>
      <c r="J12" s="92">
        <f t="shared" si="3"/>
        <v>0</v>
      </c>
      <c r="K12" s="35">
        <v>0</v>
      </c>
      <c r="L12" s="35">
        <f>+L91</f>
        <v>0</v>
      </c>
      <c r="M12" s="92">
        <f t="shared" si="5"/>
        <v>0</v>
      </c>
      <c r="N12" s="35">
        <v>0</v>
      </c>
      <c r="O12" s="35">
        <f>+O91</f>
        <v>0</v>
      </c>
      <c r="P12" s="92">
        <f t="shared" si="7"/>
        <v>0</v>
      </c>
      <c r="Q12" s="35">
        <v>0</v>
      </c>
      <c r="R12" s="35">
        <f>+R91</f>
        <v>0</v>
      </c>
      <c r="S12" s="92">
        <f t="shared" si="9"/>
        <v>0</v>
      </c>
      <c r="T12" s="35">
        <f t="shared" ref="T12:W12" si="24">+T91</f>
        <v>1207900</v>
      </c>
      <c r="U12" s="35">
        <f t="shared" si="24"/>
        <v>264000</v>
      </c>
      <c r="V12" s="35">
        <f t="shared" si="24"/>
        <v>943900</v>
      </c>
      <c r="W12" s="35">
        <f t="shared" ca="1" si="24"/>
        <v>98000</v>
      </c>
      <c r="X12" s="92">
        <f t="shared" ca="1" si="11"/>
        <v>8.1132544084775233</v>
      </c>
      <c r="Y12" s="35">
        <v>0</v>
      </c>
      <c r="Z12" s="35">
        <f>+Z91</f>
        <v>0</v>
      </c>
      <c r="AA12" s="92">
        <f t="shared" si="13"/>
        <v>0</v>
      </c>
    </row>
    <row r="13" spans="1:27" ht="24" customHeight="1" x14ac:dyDescent="0.5">
      <c r="A13" s="33" t="s">
        <v>28</v>
      </c>
      <c r="B13" s="34"/>
      <c r="C13" s="119">
        <f t="shared" ref="C13:F13" si="25">+C106</f>
        <v>118000</v>
      </c>
      <c r="D13" s="35">
        <f t="shared" si="25"/>
        <v>118000</v>
      </c>
      <c r="E13" s="119">
        <f t="shared" si="25"/>
        <v>0</v>
      </c>
      <c r="F13" s="35">
        <f t="shared" si="25"/>
        <v>0</v>
      </c>
      <c r="G13" s="92">
        <f t="shared" si="1"/>
        <v>0</v>
      </c>
      <c r="H13" s="35">
        <v>0</v>
      </c>
      <c r="I13" s="35">
        <f>+I106</f>
        <v>0</v>
      </c>
      <c r="J13" s="92">
        <f t="shared" si="3"/>
        <v>0</v>
      </c>
      <c r="K13" s="35">
        <v>0</v>
      </c>
      <c r="L13" s="35">
        <f>+L106</f>
        <v>0</v>
      </c>
      <c r="M13" s="92">
        <f t="shared" si="5"/>
        <v>0</v>
      </c>
      <c r="N13" s="35">
        <v>0</v>
      </c>
      <c r="O13" s="35">
        <f>+O106</f>
        <v>0</v>
      </c>
      <c r="P13" s="92">
        <f t="shared" si="7"/>
        <v>0</v>
      </c>
      <c r="Q13" s="35">
        <v>0</v>
      </c>
      <c r="R13" s="35">
        <f>+R106</f>
        <v>0</v>
      </c>
      <c r="S13" s="92">
        <f t="shared" si="9"/>
        <v>0</v>
      </c>
      <c r="T13" s="35">
        <f t="shared" ref="T13:W13" si="26">+T106</f>
        <v>176000</v>
      </c>
      <c r="U13" s="35">
        <f t="shared" si="26"/>
        <v>176000</v>
      </c>
      <c r="V13" s="35">
        <f t="shared" si="26"/>
        <v>0</v>
      </c>
      <c r="W13" s="35">
        <f t="shared" si="26"/>
        <v>0</v>
      </c>
      <c r="X13" s="92">
        <f t="shared" si="11"/>
        <v>0</v>
      </c>
      <c r="Y13" s="35">
        <v>0</v>
      </c>
      <c r="Z13" s="35">
        <f>+Z106</f>
        <v>0</v>
      </c>
      <c r="AA13" s="92">
        <f t="shared" si="13"/>
        <v>0</v>
      </c>
    </row>
    <row r="14" spans="1:27" ht="24" customHeight="1" x14ac:dyDescent="0.5">
      <c r="A14" s="39" t="s">
        <v>29</v>
      </c>
      <c r="B14" s="40"/>
      <c r="C14" s="121">
        <v>0</v>
      </c>
      <c r="D14" s="93">
        <v>0</v>
      </c>
      <c r="E14" s="121">
        <v>0</v>
      </c>
      <c r="F14" s="41">
        <v>0</v>
      </c>
      <c r="G14" s="94">
        <f t="shared" si="1"/>
        <v>0</v>
      </c>
      <c r="H14" s="93">
        <v>0</v>
      </c>
      <c r="I14" s="93">
        <v>0</v>
      </c>
      <c r="J14" s="96">
        <f t="shared" si="3"/>
        <v>0</v>
      </c>
      <c r="K14" s="93">
        <v>0</v>
      </c>
      <c r="L14" s="93">
        <v>0</v>
      </c>
      <c r="M14" s="96">
        <f t="shared" si="5"/>
        <v>0</v>
      </c>
      <c r="N14" s="93">
        <v>0</v>
      </c>
      <c r="O14" s="93">
        <v>0</v>
      </c>
      <c r="P14" s="96">
        <f t="shared" si="7"/>
        <v>0</v>
      </c>
      <c r="Q14" s="93">
        <v>0</v>
      </c>
      <c r="R14" s="93">
        <v>0</v>
      </c>
      <c r="S14" s="96">
        <f t="shared" si="9"/>
        <v>0</v>
      </c>
      <c r="T14" s="93">
        <v>0</v>
      </c>
      <c r="U14" s="93">
        <v>0</v>
      </c>
      <c r="V14" s="93">
        <v>0</v>
      </c>
      <c r="W14" s="41">
        <v>0</v>
      </c>
      <c r="X14" s="94">
        <f t="shared" si="11"/>
        <v>0</v>
      </c>
      <c r="Y14" s="93">
        <v>0</v>
      </c>
      <c r="Z14" s="93">
        <v>0</v>
      </c>
      <c r="AA14" s="96">
        <f t="shared" si="13"/>
        <v>0</v>
      </c>
    </row>
    <row r="15" spans="1:27" ht="24" customHeight="1" x14ac:dyDescent="0.5">
      <c r="A15" s="566" t="s">
        <v>30</v>
      </c>
      <c r="B15" s="567"/>
      <c r="C15" s="43">
        <f t="shared" ref="C15:F15" si="27">SUM(C16:C32)</f>
        <v>1126000</v>
      </c>
      <c r="D15" s="43">
        <f t="shared" si="27"/>
        <v>264000</v>
      </c>
      <c r="E15" s="43">
        <f t="shared" si="27"/>
        <v>862000</v>
      </c>
      <c r="F15" s="43">
        <f t="shared" ca="1" si="27"/>
        <v>42046</v>
      </c>
      <c r="G15" s="97">
        <f t="shared" ca="1" si="1"/>
        <v>3.7341030195381881</v>
      </c>
      <c r="H15" s="43">
        <f t="shared" ref="H15:I15" si="28">SUM(H16:H32)</f>
        <v>8</v>
      </c>
      <c r="I15" s="43">
        <f t="shared" ca="1" si="28"/>
        <v>2</v>
      </c>
      <c r="J15" s="97">
        <f t="shared" ca="1" si="3"/>
        <v>25</v>
      </c>
      <c r="K15" s="43">
        <f t="shared" ref="K15:L15" si="29">SUM(K16:K32)</f>
        <v>180</v>
      </c>
      <c r="L15" s="43">
        <f t="shared" ca="1" si="29"/>
        <v>0</v>
      </c>
      <c r="M15" s="97">
        <f t="shared" ca="1" si="5"/>
        <v>0</v>
      </c>
      <c r="N15" s="43">
        <f t="shared" ref="N15:O15" si="30">SUM(N16:N32)</f>
        <v>180</v>
      </c>
      <c r="O15" s="43">
        <f t="shared" ca="1" si="30"/>
        <v>0</v>
      </c>
      <c r="P15" s="97">
        <f t="shared" ca="1" si="7"/>
        <v>0</v>
      </c>
      <c r="Q15" s="43">
        <f t="shared" ref="Q15:R15" si="31">SUM(Q16:Q32)</f>
        <v>8</v>
      </c>
      <c r="R15" s="43">
        <f t="shared" ca="1" si="31"/>
        <v>1</v>
      </c>
      <c r="S15" s="97">
        <f t="shared" ca="1" si="9"/>
        <v>12.5</v>
      </c>
      <c r="T15" s="43">
        <f t="shared" ref="T15:W15" si="32">SUM(T16:T32)</f>
        <v>2476100</v>
      </c>
      <c r="U15" s="43">
        <f t="shared" si="32"/>
        <v>1056000</v>
      </c>
      <c r="V15" s="43">
        <f t="shared" si="32"/>
        <v>1420100</v>
      </c>
      <c r="W15" s="43">
        <f t="shared" ca="1" si="32"/>
        <v>46160</v>
      </c>
      <c r="X15" s="97">
        <f t="shared" ca="1" si="11"/>
        <v>1.8642219619563023</v>
      </c>
      <c r="Y15" s="43">
        <f t="shared" ref="Y15:Z15" si="33">SUM(Y16:Y32)</f>
        <v>255</v>
      </c>
      <c r="Z15" s="43">
        <f t="shared" ca="1" si="33"/>
        <v>20</v>
      </c>
      <c r="AA15" s="97">
        <f t="shared" ca="1" si="13"/>
        <v>7.8431372549019605</v>
      </c>
    </row>
    <row r="16" spans="1:27" ht="24" customHeight="1" x14ac:dyDescent="0.5">
      <c r="A16" s="45">
        <v>1</v>
      </c>
      <c r="B16" s="46" t="s">
        <v>31</v>
      </c>
      <c r="C16" s="47">
        <f t="shared" ref="C16:C32" si="34">+D16+E16</f>
        <v>0</v>
      </c>
      <c r="D16" s="48">
        <v>0</v>
      </c>
      <c r="E16" s="48">
        <v>0</v>
      </c>
      <c r="F16" s="48">
        <f ca="1">IFERROR(__xludf.DUMMYFUNCTION("IMPORTRANGE(""https://docs.google.com/spreadsheets/d/11923uPwbBZFjjGgGUA6NLw09EwE0CqkOc4q9oUmW1yo/edit?usp=sharing"",""กำแพงเพชร!M169"")"),0)</f>
        <v>0</v>
      </c>
      <c r="G16" s="98">
        <f t="shared" si="1"/>
        <v>0</v>
      </c>
      <c r="H16" s="48">
        <v>0</v>
      </c>
      <c r="I16" s="48">
        <f ca="1">IFERROR(__xludf.DUMMYFUNCTION("IMPORTRANGE(""https://docs.google.com/spreadsheets/d/11923uPwbBZFjjGgGUA6NLw09EwE0CqkOc4q9oUmW1yo/edit?usp=sharing"",""กำแพงเพชร!j179"")"),0)</f>
        <v>0</v>
      </c>
      <c r="J16" s="98">
        <f t="shared" si="3"/>
        <v>0</v>
      </c>
      <c r="K16" s="48">
        <v>0</v>
      </c>
      <c r="L16" s="48">
        <f ca="1">IFERROR(__xludf.DUMMYFUNCTION("IMPORTRANGE(""https://docs.google.com/spreadsheets/d/11923uPwbBZFjjGgGUA6NLw09EwE0CqkOc4q9oUmW1yo/edit?usp=sharing"",""กำแพงเพชร!j180"")"),0)</f>
        <v>0</v>
      </c>
      <c r="M16" s="98">
        <f t="shared" si="5"/>
        <v>0</v>
      </c>
      <c r="N16" s="48">
        <v>0</v>
      </c>
      <c r="O16" s="48">
        <f ca="1">IFERROR(__xludf.DUMMYFUNCTION("IMPORTRANGE(""https://docs.google.com/spreadsheets/d/11923uPwbBZFjjGgGUA6NLw09EwE0CqkOc4q9oUmW1yo/edit?usp=sharing"",""กำแพงเพชร!j181"")"),0)</f>
        <v>0</v>
      </c>
      <c r="P16" s="98">
        <f t="shared" si="7"/>
        <v>0</v>
      </c>
      <c r="Q16" s="48">
        <v>0</v>
      </c>
      <c r="R16" s="48">
        <f ca="1">IFERROR(__xludf.DUMMYFUNCTION("IMPORTRANGE(""https://docs.google.com/spreadsheets/d/11923uPwbBZFjjGgGUA6NLw09EwE0CqkOc4q9oUmW1yo/edit?usp=sharing"",""กำแพงเพชร!j182"")"),0)</f>
        <v>0</v>
      </c>
      <c r="S16" s="98">
        <f t="shared" si="9"/>
        <v>0</v>
      </c>
      <c r="T16" s="47">
        <f t="shared" ref="T16:T32" si="35">+U16+V16</f>
        <v>319200</v>
      </c>
      <c r="U16" s="48">
        <v>264000</v>
      </c>
      <c r="V16" s="48">
        <v>55200</v>
      </c>
      <c r="W16" s="48">
        <f ca="1">IFERROR(__xludf.DUMMYFUNCTION("IMPORTRANGE(""https://docs.google.com/spreadsheets/d/11923uPwbBZFjjGgGUA6NLw09EwE0CqkOc4q9oUmW1yo/edit?usp=sharing"",""กำแพงเพชร!M185"")"),0)</f>
        <v>0</v>
      </c>
      <c r="X16" s="98">
        <f t="shared" ca="1" si="11"/>
        <v>0</v>
      </c>
      <c r="Y16" s="48">
        <v>15</v>
      </c>
      <c r="Z16" s="48">
        <f ca="1">IFERROR(__xludf.DUMMYFUNCTION("IMPORTRANGE(""https://docs.google.com/spreadsheets/d/11923uPwbBZFjjGgGUA6NLw09EwE0CqkOc4q9oUmW1yo/edit?usp=sharing"",""กำแพงเพชร!j195"")"),0)</f>
        <v>0</v>
      </c>
      <c r="AA16" s="98">
        <f t="shared" ca="1" si="13"/>
        <v>0</v>
      </c>
    </row>
    <row r="17" spans="1:27" ht="24" customHeight="1" x14ac:dyDescent="0.5">
      <c r="A17" s="52">
        <v>2</v>
      </c>
      <c r="B17" s="53" t="s">
        <v>32</v>
      </c>
      <c r="C17" s="54">
        <f t="shared" si="34"/>
        <v>71400</v>
      </c>
      <c r="D17" s="55">
        <v>0</v>
      </c>
      <c r="E17" s="55">
        <v>71400</v>
      </c>
      <c r="F17" s="55">
        <f ca="1">IFERROR(__xludf.DUMMYFUNCTION("IMPORTRANGE(""https://docs.google.com/spreadsheets/d/11923uPwbBZFjjGgGUA6NLw09EwE0CqkOc4q9oUmW1yo/edit?usp=sharing"",""เชียงราย!M169"")"),0)</f>
        <v>0</v>
      </c>
      <c r="G17" s="99">
        <f t="shared" ca="1" si="1"/>
        <v>0</v>
      </c>
      <c r="H17" s="55">
        <v>1</v>
      </c>
      <c r="I17" s="55">
        <f ca="1">IFERROR(__xludf.DUMMYFUNCTION("IMPORTRANGE(""https://docs.google.com/spreadsheets/d/11923uPwbBZFjjGgGUA6NLw09EwE0CqkOc4q9oUmW1yo/edit?usp=sharing"",""เชียงราย!j179"")"),0)</f>
        <v>0</v>
      </c>
      <c r="J17" s="99">
        <f t="shared" ca="1" si="3"/>
        <v>0</v>
      </c>
      <c r="K17" s="55">
        <v>20</v>
      </c>
      <c r="L17" s="55">
        <f ca="1">IFERROR(__xludf.DUMMYFUNCTION("IMPORTRANGE(""https://docs.google.com/spreadsheets/d/11923uPwbBZFjjGgGUA6NLw09EwE0CqkOc4q9oUmW1yo/edit?usp=sharing"",""เชียงราย!j180"")"),0)</f>
        <v>0</v>
      </c>
      <c r="M17" s="99">
        <f t="shared" ca="1" si="5"/>
        <v>0</v>
      </c>
      <c r="N17" s="55">
        <v>20</v>
      </c>
      <c r="O17" s="55">
        <f ca="1">IFERROR(__xludf.DUMMYFUNCTION("IMPORTRANGE(""https://docs.google.com/spreadsheets/d/11923uPwbBZFjjGgGUA6NLw09EwE0CqkOc4q9oUmW1yo/edit?usp=sharing"",""เชียงราย!j181"")"),0)</f>
        <v>0</v>
      </c>
      <c r="P17" s="99">
        <f t="shared" ca="1" si="7"/>
        <v>0</v>
      </c>
      <c r="Q17" s="55">
        <v>1</v>
      </c>
      <c r="R17" s="55">
        <f ca="1">IFERROR(__xludf.DUMMYFUNCTION("IMPORTRANGE(""https://docs.google.com/spreadsheets/d/11923uPwbBZFjjGgGUA6NLw09EwE0CqkOc4q9oUmW1yo/edit?usp=sharing"",""เชียงราย!j182"")"),0)</f>
        <v>0</v>
      </c>
      <c r="S17" s="99">
        <f t="shared" ca="1" si="9"/>
        <v>0</v>
      </c>
      <c r="T17" s="54">
        <f t="shared" si="35"/>
        <v>105700</v>
      </c>
      <c r="U17" s="55">
        <v>0</v>
      </c>
      <c r="V17" s="55">
        <v>105700</v>
      </c>
      <c r="W17" s="55">
        <f ca="1">IFERROR(__xludf.DUMMYFUNCTION("IMPORTRANGE(""https://docs.google.com/spreadsheets/d/11923uPwbBZFjjGgGUA6NLw09EwE0CqkOc4q9oUmW1yo/edit?usp=sharing"",""เชียงราย!M185"")"),0)</f>
        <v>0</v>
      </c>
      <c r="X17" s="99">
        <f t="shared" ca="1" si="11"/>
        <v>0</v>
      </c>
      <c r="Y17" s="55">
        <v>15</v>
      </c>
      <c r="Z17" s="55">
        <f ca="1">IFERROR(__xludf.DUMMYFUNCTION("IMPORTRANGE(""https://docs.google.com/spreadsheets/d/11923uPwbBZFjjGgGUA6NLw09EwE0CqkOc4q9oUmW1yo/edit?usp=sharing"",""เชียงราย!j195"")"),0)</f>
        <v>0</v>
      </c>
      <c r="AA17" s="99">
        <f t="shared" ca="1" si="13"/>
        <v>0</v>
      </c>
    </row>
    <row r="18" spans="1:27" ht="24" customHeight="1" x14ac:dyDescent="0.5">
      <c r="A18" s="52">
        <v>3</v>
      </c>
      <c r="B18" s="53" t="s">
        <v>33</v>
      </c>
      <c r="C18" s="54">
        <f t="shared" si="34"/>
        <v>71400</v>
      </c>
      <c r="D18" s="55">
        <v>0</v>
      </c>
      <c r="E18" s="55">
        <v>71400</v>
      </c>
      <c r="F18" s="55">
        <f ca="1">IFERROR(__xludf.DUMMYFUNCTION("IMPORTRANGE(""https://docs.google.com/spreadsheets/d/11923uPwbBZFjjGgGUA6NLw09EwE0CqkOc4q9oUmW1yo/edit?usp=sharing"",""เชียงใหม่!M169"")"),14922)</f>
        <v>14922</v>
      </c>
      <c r="G18" s="99">
        <f t="shared" ca="1" si="1"/>
        <v>20.899159663865547</v>
      </c>
      <c r="H18" s="55">
        <v>1</v>
      </c>
      <c r="I18" s="55">
        <f ca="1">IFERROR(__xludf.DUMMYFUNCTION("IMPORTRANGE(""https://docs.google.com/spreadsheets/d/11923uPwbBZFjjGgGUA6NLw09EwE0CqkOc4q9oUmW1yo/edit?usp=sharing"",""เชียงใหม่!j179"")"),1)</f>
        <v>1</v>
      </c>
      <c r="J18" s="99">
        <f t="shared" ca="1" si="3"/>
        <v>100</v>
      </c>
      <c r="K18" s="55">
        <v>20</v>
      </c>
      <c r="L18" s="55">
        <f ca="1">IFERROR(__xludf.DUMMYFUNCTION("IMPORTRANGE(""https://docs.google.com/spreadsheets/d/11923uPwbBZFjjGgGUA6NLw09EwE0CqkOc4q9oUmW1yo/edit?usp=sharing"",""เชียงใหม่!j180"")"),0)</f>
        <v>0</v>
      </c>
      <c r="M18" s="99">
        <f t="shared" ca="1" si="5"/>
        <v>0</v>
      </c>
      <c r="N18" s="55">
        <v>20</v>
      </c>
      <c r="O18" s="55">
        <f ca="1">IFERROR(__xludf.DUMMYFUNCTION("IMPORTRANGE(""https://docs.google.com/spreadsheets/d/11923uPwbBZFjjGgGUA6NLw09EwE0CqkOc4q9oUmW1yo/edit?usp=sharing"",""เชียงใหม่!j181"")"),0)</f>
        <v>0</v>
      </c>
      <c r="P18" s="99">
        <f t="shared" ca="1" si="7"/>
        <v>0</v>
      </c>
      <c r="Q18" s="55">
        <v>1</v>
      </c>
      <c r="R18" s="55">
        <f ca="1">IFERROR(__xludf.DUMMYFUNCTION("IMPORTRANGE(""https://docs.google.com/spreadsheets/d/11923uPwbBZFjjGgGUA6NLw09EwE0CqkOc4q9oUmW1yo/edit?usp=sharing"",""เชียงใหม่!j182"")"),0)</f>
        <v>0</v>
      </c>
      <c r="S18" s="99">
        <f t="shared" ca="1" si="9"/>
        <v>0</v>
      </c>
      <c r="T18" s="54">
        <f t="shared" si="35"/>
        <v>105700</v>
      </c>
      <c r="U18" s="55">
        <v>0</v>
      </c>
      <c r="V18" s="55">
        <v>105700</v>
      </c>
      <c r="W18" s="55">
        <f ca="1">IFERROR(__xludf.DUMMYFUNCTION("IMPORTRANGE(""https://docs.google.com/spreadsheets/d/11923uPwbBZFjjGgGUA6NLw09EwE0CqkOc4q9oUmW1yo/edit?usp=sharing"",""เชียงใหม่!M185"")"),0)</f>
        <v>0</v>
      </c>
      <c r="X18" s="99">
        <f t="shared" ca="1" si="11"/>
        <v>0</v>
      </c>
      <c r="Y18" s="55">
        <v>15</v>
      </c>
      <c r="Z18" s="55">
        <f ca="1">IFERROR(__xludf.DUMMYFUNCTION("IMPORTRANGE(""https://docs.google.com/spreadsheets/d/11923uPwbBZFjjGgGUA6NLw09EwE0CqkOc4q9oUmW1yo/edit?usp=sharing"",""เชียงใหม่!j195"")"),0)</f>
        <v>0</v>
      </c>
      <c r="AA18" s="99">
        <f t="shared" ca="1" si="13"/>
        <v>0</v>
      </c>
    </row>
    <row r="19" spans="1:27" ht="24" customHeight="1" x14ac:dyDescent="0.5">
      <c r="A19" s="52">
        <v>4</v>
      </c>
      <c r="B19" s="53" t="s">
        <v>34</v>
      </c>
      <c r="C19" s="54">
        <f t="shared" si="34"/>
        <v>0</v>
      </c>
      <c r="D19" s="55">
        <v>0</v>
      </c>
      <c r="E19" s="55">
        <v>0</v>
      </c>
      <c r="F19" s="55">
        <f ca="1">IFERROR(__xludf.DUMMYFUNCTION("IMPORTRANGE(""https://docs.google.com/spreadsheets/d/11923uPwbBZFjjGgGUA6NLw09EwE0CqkOc4q9oUmW1yo/edit?usp=sharing"",""ตาก!M169"")"),0)</f>
        <v>0</v>
      </c>
      <c r="G19" s="99">
        <f t="shared" si="1"/>
        <v>0</v>
      </c>
      <c r="H19" s="55">
        <v>0</v>
      </c>
      <c r="I19" s="55">
        <f ca="1">IFERROR(__xludf.DUMMYFUNCTION("IMPORTRANGE(""https://docs.google.com/spreadsheets/d/11923uPwbBZFjjGgGUA6NLw09EwE0CqkOc4q9oUmW1yo/edit?usp=sharing"",""ตาก!j179"")"),0)</f>
        <v>0</v>
      </c>
      <c r="J19" s="99">
        <f t="shared" si="3"/>
        <v>0</v>
      </c>
      <c r="K19" s="55">
        <v>0</v>
      </c>
      <c r="L19" s="55">
        <f ca="1">IFERROR(__xludf.DUMMYFUNCTION("IMPORTRANGE(""https://docs.google.com/spreadsheets/d/11923uPwbBZFjjGgGUA6NLw09EwE0CqkOc4q9oUmW1yo/edit?usp=sharing"",""ตาก!j180"")"),0)</f>
        <v>0</v>
      </c>
      <c r="M19" s="99">
        <f t="shared" si="5"/>
        <v>0</v>
      </c>
      <c r="N19" s="55">
        <v>0</v>
      </c>
      <c r="O19" s="55">
        <f ca="1">IFERROR(__xludf.DUMMYFUNCTION("IMPORTRANGE(""https://docs.google.com/spreadsheets/d/11923uPwbBZFjjGgGUA6NLw09EwE0CqkOc4q9oUmW1yo/edit?usp=sharing"",""ตาก!j181"")"),0)</f>
        <v>0</v>
      </c>
      <c r="P19" s="99">
        <f t="shared" si="7"/>
        <v>0</v>
      </c>
      <c r="Q19" s="55">
        <v>0</v>
      </c>
      <c r="R19" s="55">
        <f ca="1">IFERROR(__xludf.DUMMYFUNCTION("IMPORTRANGE(""https://docs.google.com/spreadsheets/d/11923uPwbBZFjjGgGUA6NLw09EwE0CqkOc4q9oUmW1yo/edit?usp=sharing"",""ตาก!j182"")"),0)</f>
        <v>0</v>
      </c>
      <c r="S19" s="99">
        <f t="shared" si="9"/>
        <v>0</v>
      </c>
      <c r="T19" s="54">
        <f t="shared" si="35"/>
        <v>337600</v>
      </c>
      <c r="U19" s="55">
        <v>264000</v>
      </c>
      <c r="V19" s="55">
        <v>73600</v>
      </c>
      <c r="W19" s="55">
        <f ca="1">IFERROR(__xludf.DUMMYFUNCTION("IMPORTRANGE(""https://docs.google.com/spreadsheets/d/11923uPwbBZFjjGgGUA6NLw09EwE0CqkOc4q9oUmW1yo/edit?usp=sharing"",""ตาก!M185"")"),0)</f>
        <v>0</v>
      </c>
      <c r="X19" s="99">
        <f t="shared" ca="1" si="11"/>
        <v>0</v>
      </c>
      <c r="Y19" s="55">
        <v>20</v>
      </c>
      <c r="Z19" s="55">
        <f ca="1">IFERROR(__xludf.DUMMYFUNCTION("IMPORTRANGE(""https://docs.google.com/spreadsheets/d/11923uPwbBZFjjGgGUA6NLw09EwE0CqkOc4q9oUmW1yo/edit?usp=sharing"",""ตาก!j195"")"),0)</f>
        <v>0</v>
      </c>
      <c r="AA19" s="99">
        <f t="shared" ca="1" si="13"/>
        <v>0</v>
      </c>
    </row>
    <row r="20" spans="1:27" ht="24" customHeight="1" x14ac:dyDescent="0.5">
      <c r="A20" s="52">
        <v>5</v>
      </c>
      <c r="B20" s="53" t="s">
        <v>35</v>
      </c>
      <c r="C20" s="54">
        <f t="shared" si="34"/>
        <v>89000</v>
      </c>
      <c r="D20" s="55">
        <v>0</v>
      </c>
      <c r="E20" s="55">
        <v>89000</v>
      </c>
      <c r="F20" s="55">
        <f ca="1">IFERROR(__xludf.DUMMYFUNCTION("IMPORTRANGE(""https://docs.google.com/spreadsheets/d/11923uPwbBZFjjGgGUA6NLw09EwE0CqkOc4q9oUmW1yo/edit?usp=sharing"",""นครสวรรค์!M169"")"),0)</f>
        <v>0</v>
      </c>
      <c r="G20" s="99">
        <f t="shared" ca="1" si="1"/>
        <v>0</v>
      </c>
      <c r="H20" s="55">
        <v>1</v>
      </c>
      <c r="I20" s="55">
        <f ca="1">IFERROR(__xludf.DUMMYFUNCTION("IMPORTRANGE(""https://docs.google.com/spreadsheets/d/11923uPwbBZFjjGgGUA6NLw09EwE0CqkOc4q9oUmW1yo/edit?usp=sharing"",""นครสวรรค์!j179"")"),0)</f>
        <v>0</v>
      </c>
      <c r="J20" s="99">
        <f t="shared" ca="1" si="3"/>
        <v>0</v>
      </c>
      <c r="K20" s="55">
        <v>25</v>
      </c>
      <c r="L20" s="55">
        <f ca="1">IFERROR(__xludf.DUMMYFUNCTION("IMPORTRANGE(""https://docs.google.com/spreadsheets/d/11923uPwbBZFjjGgGUA6NLw09EwE0CqkOc4q9oUmW1yo/edit?usp=sharing"",""นครสวรรค์!j180"")"),0)</f>
        <v>0</v>
      </c>
      <c r="M20" s="99">
        <f t="shared" ca="1" si="5"/>
        <v>0</v>
      </c>
      <c r="N20" s="55">
        <v>25</v>
      </c>
      <c r="O20" s="55">
        <f ca="1">IFERROR(__xludf.DUMMYFUNCTION("IMPORTRANGE(""https://docs.google.com/spreadsheets/d/11923uPwbBZFjjGgGUA6NLw09EwE0CqkOc4q9oUmW1yo/edit?usp=sharing"",""นครสวรรค์!j181"")"),0)</f>
        <v>0</v>
      </c>
      <c r="P20" s="99">
        <f t="shared" ca="1" si="7"/>
        <v>0</v>
      </c>
      <c r="Q20" s="55">
        <v>1</v>
      </c>
      <c r="R20" s="55">
        <f ca="1">IFERROR(__xludf.DUMMYFUNCTION("IMPORTRANGE(""https://docs.google.com/spreadsheets/d/11923uPwbBZFjjGgGUA6NLw09EwE0CqkOc4q9oUmW1yo/edit?usp=sharing"",""นครสวรรค์!j182"")"),0)</f>
        <v>0</v>
      </c>
      <c r="S20" s="99">
        <f t="shared" ca="1" si="9"/>
        <v>0</v>
      </c>
      <c r="T20" s="54">
        <f t="shared" si="35"/>
        <v>183600</v>
      </c>
      <c r="U20" s="55">
        <v>0</v>
      </c>
      <c r="V20" s="55">
        <v>183600</v>
      </c>
      <c r="W20" s="55">
        <f ca="1">IFERROR(__xludf.DUMMYFUNCTION("IMPORTRANGE(""https://docs.google.com/spreadsheets/d/11923uPwbBZFjjGgGUA6NLw09EwE0CqkOc4q9oUmW1yo/edit?usp=sharing"",""นครสวรรค์!M185"")"),0)</f>
        <v>0</v>
      </c>
      <c r="X20" s="99">
        <f t="shared" ca="1" si="11"/>
        <v>0</v>
      </c>
      <c r="Y20" s="55">
        <v>20</v>
      </c>
      <c r="Z20" s="55">
        <f ca="1">IFERROR(__xludf.DUMMYFUNCTION("IMPORTRANGE(""https://docs.google.com/spreadsheets/d/11923uPwbBZFjjGgGUA6NLw09EwE0CqkOc4q9oUmW1yo/edit?usp=sharing"",""นครสวรรค์!j195"")"),0)</f>
        <v>0</v>
      </c>
      <c r="AA20" s="99">
        <f t="shared" ca="1" si="13"/>
        <v>0</v>
      </c>
    </row>
    <row r="21" spans="1:27" ht="24" customHeight="1" x14ac:dyDescent="0.5">
      <c r="A21" s="52">
        <v>6</v>
      </c>
      <c r="B21" s="53" t="s">
        <v>36</v>
      </c>
      <c r="C21" s="54">
        <f t="shared" si="34"/>
        <v>0</v>
      </c>
      <c r="D21" s="55">
        <v>0</v>
      </c>
      <c r="E21" s="55">
        <v>0</v>
      </c>
      <c r="F21" s="55">
        <f ca="1">IFERROR(__xludf.DUMMYFUNCTION("IMPORTRANGE(""https://docs.google.com/spreadsheets/d/11923uPwbBZFjjGgGUA6NLw09EwE0CqkOc4q9oUmW1yo/edit?usp=sharing"",""น่าน!M169"")"),0)</f>
        <v>0</v>
      </c>
      <c r="G21" s="99">
        <f t="shared" si="1"/>
        <v>0</v>
      </c>
      <c r="H21" s="55">
        <v>0</v>
      </c>
      <c r="I21" s="55">
        <f ca="1">IFERROR(__xludf.DUMMYFUNCTION("IMPORTRANGE(""https://docs.google.com/spreadsheets/d/11923uPwbBZFjjGgGUA6NLw09EwE0CqkOc4q9oUmW1yo/edit?usp=sharing"",""น่าน!j179"")"),0)</f>
        <v>0</v>
      </c>
      <c r="J21" s="99">
        <f t="shared" si="3"/>
        <v>0</v>
      </c>
      <c r="K21" s="55">
        <v>0</v>
      </c>
      <c r="L21" s="55">
        <f ca="1">IFERROR(__xludf.DUMMYFUNCTION("IMPORTRANGE(""https://docs.google.com/spreadsheets/d/11923uPwbBZFjjGgGUA6NLw09EwE0CqkOc4q9oUmW1yo/edit?usp=sharing"",""น่าน!j180"")"),0)</f>
        <v>0</v>
      </c>
      <c r="M21" s="99">
        <f t="shared" si="5"/>
        <v>0</v>
      </c>
      <c r="N21" s="55">
        <v>0</v>
      </c>
      <c r="O21" s="55">
        <f ca="1">IFERROR(__xludf.DUMMYFUNCTION("IMPORTRANGE(""https://docs.google.com/spreadsheets/d/11923uPwbBZFjjGgGUA6NLw09EwE0CqkOc4q9oUmW1yo/edit?usp=sharing"",""น่าน!j181"")"),0)</f>
        <v>0</v>
      </c>
      <c r="P21" s="99">
        <f t="shared" si="7"/>
        <v>0</v>
      </c>
      <c r="Q21" s="55">
        <v>0</v>
      </c>
      <c r="R21" s="55">
        <f ca="1">IFERROR(__xludf.DUMMYFUNCTION("IMPORTRANGE(""https://docs.google.com/spreadsheets/d/11923uPwbBZFjjGgGUA6NLw09EwE0CqkOc4q9oUmW1yo/edit?usp=sharing"",""น่าน!j182"")"),0)</f>
        <v>0</v>
      </c>
      <c r="S21" s="99">
        <f t="shared" si="9"/>
        <v>0</v>
      </c>
      <c r="T21" s="54">
        <f t="shared" si="35"/>
        <v>55200</v>
      </c>
      <c r="U21" s="55">
        <v>0</v>
      </c>
      <c r="V21" s="55">
        <v>55200</v>
      </c>
      <c r="W21" s="55">
        <f ca="1">IFERROR(__xludf.DUMMYFUNCTION("IMPORTRANGE(""https://docs.google.com/spreadsheets/d/11923uPwbBZFjjGgGUA6NLw09EwE0CqkOc4q9oUmW1yo/edit?usp=sharing"",""น่าน!M185"")"),1920)</f>
        <v>1920</v>
      </c>
      <c r="X21" s="99">
        <f t="shared" ca="1" si="11"/>
        <v>3.4782608695652173</v>
      </c>
      <c r="Y21" s="55">
        <v>15</v>
      </c>
      <c r="Z21" s="55">
        <f ca="1">IFERROR(__xludf.DUMMYFUNCTION("IMPORTRANGE(""https://docs.google.com/spreadsheets/d/11923uPwbBZFjjGgGUA6NLw09EwE0CqkOc4q9oUmW1yo/edit?usp=sharing"",""น่าน!j195"")"),0)</f>
        <v>0</v>
      </c>
      <c r="AA21" s="99">
        <f t="shared" ca="1" si="13"/>
        <v>0</v>
      </c>
    </row>
    <row r="22" spans="1:27" ht="24" customHeight="1" x14ac:dyDescent="0.5">
      <c r="A22" s="52">
        <v>7</v>
      </c>
      <c r="B22" s="53" t="s">
        <v>37</v>
      </c>
      <c r="C22" s="54">
        <f t="shared" si="34"/>
        <v>71400</v>
      </c>
      <c r="D22" s="55">
        <v>0</v>
      </c>
      <c r="E22" s="55">
        <v>71400</v>
      </c>
      <c r="F22" s="55">
        <f ca="1">IFERROR(__xludf.DUMMYFUNCTION("IMPORTRANGE(""https://docs.google.com/spreadsheets/d/11923uPwbBZFjjGgGUA6NLw09EwE0CqkOc4q9oUmW1yo/edit?usp=sharing"",""พะเยา!M169"")"),0)</f>
        <v>0</v>
      </c>
      <c r="G22" s="99">
        <f t="shared" ca="1" si="1"/>
        <v>0</v>
      </c>
      <c r="H22" s="55">
        <v>1</v>
      </c>
      <c r="I22" s="55">
        <f ca="1">IFERROR(__xludf.DUMMYFUNCTION("IMPORTRANGE(""https://docs.google.com/spreadsheets/d/11923uPwbBZFjjGgGUA6NLw09EwE0CqkOc4q9oUmW1yo/edit?usp=sharing"",""พะเยา!j179"")"),1)</f>
        <v>1</v>
      </c>
      <c r="J22" s="99">
        <f t="shared" ca="1" si="3"/>
        <v>100</v>
      </c>
      <c r="K22" s="55">
        <v>20</v>
      </c>
      <c r="L22" s="55">
        <f ca="1">IFERROR(__xludf.DUMMYFUNCTION("IMPORTRANGE(""https://docs.google.com/spreadsheets/d/11923uPwbBZFjjGgGUA6NLw09EwE0CqkOc4q9oUmW1yo/edit?usp=sharing"",""พะเยา!j180"")"),0)</f>
        <v>0</v>
      </c>
      <c r="M22" s="99">
        <f t="shared" ca="1" si="5"/>
        <v>0</v>
      </c>
      <c r="N22" s="55">
        <v>20</v>
      </c>
      <c r="O22" s="55">
        <f ca="1">IFERROR(__xludf.DUMMYFUNCTION("IMPORTRANGE(""https://docs.google.com/spreadsheets/d/11923uPwbBZFjjGgGUA6NLw09EwE0CqkOc4q9oUmW1yo/edit?usp=sharing"",""พะเยา!j181"")"),0)</f>
        <v>0</v>
      </c>
      <c r="P22" s="99">
        <f t="shared" ca="1" si="7"/>
        <v>0</v>
      </c>
      <c r="Q22" s="55">
        <v>1</v>
      </c>
      <c r="R22" s="55">
        <f ca="1">IFERROR(__xludf.DUMMYFUNCTION("IMPORTRANGE(""https://docs.google.com/spreadsheets/d/11923uPwbBZFjjGgGUA6NLw09EwE0CqkOc4q9oUmW1yo/edit?usp=sharing"",""พะเยา!j182"")"),1)</f>
        <v>1</v>
      </c>
      <c r="S22" s="99">
        <f t="shared" ca="1" si="9"/>
        <v>100</v>
      </c>
      <c r="T22" s="54">
        <f t="shared" si="35"/>
        <v>183600</v>
      </c>
      <c r="U22" s="55">
        <v>0</v>
      </c>
      <c r="V22" s="55">
        <v>183600</v>
      </c>
      <c r="W22" s="55">
        <f ca="1">IFERROR(__xludf.DUMMYFUNCTION("IMPORTRANGE(""https://docs.google.com/spreadsheets/d/11923uPwbBZFjjGgGUA6NLw09EwE0CqkOc4q9oUmW1yo/edit?usp=sharing"",""พะเยา!M185"")"),0)</f>
        <v>0</v>
      </c>
      <c r="X22" s="99">
        <f t="shared" ca="1" si="11"/>
        <v>0</v>
      </c>
      <c r="Y22" s="55">
        <v>20</v>
      </c>
      <c r="Z22" s="55">
        <f ca="1">IFERROR(__xludf.DUMMYFUNCTION("IMPORTRANGE(""https://docs.google.com/spreadsheets/d/11923uPwbBZFjjGgGUA6NLw09EwE0CqkOc4q9oUmW1yo/edit?usp=sharing"",""พะเยา!j195"")"),0)</f>
        <v>0</v>
      </c>
      <c r="AA22" s="99">
        <f t="shared" ca="1" si="13"/>
        <v>0</v>
      </c>
    </row>
    <row r="23" spans="1:27" ht="24" customHeight="1" x14ac:dyDescent="0.5">
      <c r="A23" s="52">
        <v>8</v>
      </c>
      <c r="B23" s="53" t="s">
        <v>38</v>
      </c>
      <c r="C23" s="54">
        <f t="shared" si="34"/>
        <v>0</v>
      </c>
      <c r="D23" s="55">
        <v>0</v>
      </c>
      <c r="E23" s="55">
        <v>0</v>
      </c>
      <c r="F23" s="55">
        <f ca="1">IFERROR(__xludf.DUMMYFUNCTION("IMPORTRANGE(""https://docs.google.com/spreadsheets/d/11923uPwbBZFjjGgGUA6NLw09EwE0CqkOc4q9oUmW1yo/edit?usp=sharing"",""พิจิตร!M169"")"),0)</f>
        <v>0</v>
      </c>
      <c r="G23" s="99">
        <f t="shared" si="1"/>
        <v>0</v>
      </c>
      <c r="H23" s="55">
        <v>0</v>
      </c>
      <c r="I23" s="55">
        <f ca="1">IFERROR(__xludf.DUMMYFUNCTION("IMPORTRANGE(""https://docs.google.com/spreadsheets/d/11923uPwbBZFjjGgGUA6NLw09EwE0CqkOc4q9oUmW1yo/edit?usp=sharing"",""พิจิตร!j179"")"),0)</f>
        <v>0</v>
      </c>
      <c r="J23" s="99">
        <f t="shared" si="3"/>
        <v>0</v>
      </c>
      <c r="K23" s="55">
        <v>0</v>
      </c>
      <c r="L23" s="55">
        <f ca="1">IFERROR(__xludf.DUMMYFUNCTION("IMPORTRANGE(""https://docs.google.com/spreadsheets/d/11923uPwbBZFjjGgGUA6NLw09EwE0CqkOc4q9oUmW1yo/edit?usp=sharing"",""พิจิตร!j180"")"),0)</f>
        <v>0</v>
      </c>
      <c r="M23" s="99">
        <f t="shared" si="5"/>
        <v>0</v>
      </c>
      <c r="N23" s="55">
        <v>0</v>
      </c>
      <c r="O23" s="55">
        <f ca="1">IFERROR(__xludf.DUMMYFUNCTION("IMPORTRANGE(""https://docs.google.com/spreadsheets/d/11923uPwbBZFjjGgGUA6NLw09EwE0CqkOc4q9oUmW1yo/edit?usp=sharing"",""พิจิตร!j181"")"),0)</f>
        <v>0</v>
      </c>
      <c r="P23" s="99">
        <f t="shared" si="7"/>
        <v>0</v>
      </c>
      <c r="Q23" s="55">
        <v>0</v>
      </c>
      <c r="R23" s="55">
        <f ca="1">IFERROR(__xludf.DUMMYFUNCTION("IMPORTRANGE(""https://docs.google.com/spreadsheets/d/11923uPwbBZFjjGgGUA6NLw09EwE0CqkOc4q9oUmW1yo/edit?usp=sharing"",""พิจิตร!j182"")"),0)</f>
        <v>0</v>
      </c>
      <c r="S23" s="99">
        <f t="shared" si="9"/>
        <v>0</v>
      </c>
      <c r="T23" s="54">
        <f t="shared" si="35"/>
        <v>0</v>
      </c>
      <c r="U23" s="55">
        <v>0</v>
      </c>
      <c r="V23" s="55">
        <v>0</v>
      </c>
      <c r="W23" s="55">
        <f ca="1">IFERROR(__xludf.DUMMYFUNCTION("IMPORTRANGE(""https://docs.google.com/spreadsheets/d/11923uPwbBZFjjGgGUA6NLw09EwE0CqkOc4q9oUmW1yo/edit?usp=sharing"",""พิจิตร!M185"")"),0)</f>
        <v>0</v>
      </c>
      <c r="X23" s="99">
        <f t="shared" si="11"/>
        <v>0</v>
      </c>
      <c r="Y23" s="55">
        <v>0</v>
      </c>
      <c r="Z23" s="55">
        <f ca="1">IFERROR(__xludf.DUMMYFUNCTION("IMPORTRANGE(""https://docs.google.com/spreadsheets/d/11923uPwbBZFjjGgGUA6NLw09EwE0CqkOc4q9oUmW1yo/edit?usp=sharing"",""พิจิตร!j195"")"),0)</f>
        <v>0</v>
      </c>
      <c r="AA23" s="99">
        <f t="shared" si="13"/>
        <v>0</v>
      </c>
    </row>
    <row r="24" spans="1:27" ht="24" customHeight="1" x14ac:dyDescent="0.5">
      <c r="A24" s="52">
        <v>9</v>
      </c>
      <c r="B24" s="53" t="s">
        <v>39</v>
      </c>
      <c r="C24" s="54">
        <f t="shared" si="34"/>
        <v>0</v>
      </c>
      <c r="D24" s="55">
        <v>0</v>
      </c>
      <c r="E24" s="55">
        <v>0</v>
      </c>
      <c r="F24" s="55">
        <f ca="1">IFERROR(__xludf.DUMMYFUNCTION("IMPORTRANGE(""https://docs.google.com/spreadsheets/d/11923uPwbBZFjjGgGUA6NLw09EwE0CqkOc4q9oUmW1yo/edit?usp=sharing"",""พิษณุโลก!M169"")"),0)</f>
        <v>0</v>
      </c>
      <c r="G24" s="99">
        <f t="shared" si="1"/>
        <v>0</v>
      </c>
      <c r="H24" s="55">
        <v>0</v>
      </c>
      <c r="I24" s="55">
        <f ca="1">IFERROR(__xludf.DUMMYFUNCTION("IMPORTRANGE(""https://docs.google.com/spreadsheets/d/11923uPwbBZFjjGgGUA6NLw09EwE0CqkOc4q9oUmW1yo/edit?usp=sharing"",""พิษณุโลก!j179"")"),0)</f>
        <v>0</v>
      </c>
      <c r="J24" s="99">
        <f t="shared" si="3"/>
        <v>0</v>
      </c>
      <c r="K24" s="55">
        <v>0</v>
      </c>
      <c r="L24" s="55">
        <f ca="1">IFERROR(__xludf.DUMMYFUNCTION("IMPORTRANGE(""https://docs.google.com/spreadsheets/d/11923uPwbBZFjjGgGUA6NLw09EwE0CqkOc4q9oUmW1yo/edit?usp=sharing"",""พิษณุโลก!j180"")"),0)</f>
        <v>0</v>
      </c>
      <c r="M24" s="99">
        <f t="shared" si="5"/>
        <v>0</v>
      </c>
      <c r="N24" s="55">
        <v>0</v>
      </c>
      <c r="O24" s="55">
        <f ca="1">IFERROR(__xludf.DUMMYFUNCTION("IMPORTRANGE(""https://docs.google.com/spreadsheets/d/11923uPwbBZFjjGgGUA6NLw09EwE0CqkOc4q9oUmW1yo/edit?usp=sharing"",""พิษณุโลก!j181"")"),0)</f>
        <v>0</v>
      </c>
      <c r="P24" s="99">
        <f t="shared" si="7"/>
        <v>0</v>
      </c>
      <c r="Q24" s="55">
        <v>0</v>
      </c>
      <c r="R24" s="55">
        <f ca="1">IFERROR(__xludf.DUMMYFUNCTION("IMPORTRANGE(""https://docs.google.com/spreadsheets/d/11923uPwbBZFjjGgGUA6NLw09EwE0CqkOc4q9oUmW1yo/edit?usp=sharing"",""พิษณุโลก!j182"")"),0)</f>
        <v>0</v>
      </c>
      <c r="S24" s="99">
        <f t="shared" si="9"/>
        <v>0</v>
      </c>
      <c r="T24" s="54">
        <f t="shared" si="35"/>
        <v>55200</v>
      </c>
      <c r="U24" s="55">
        <v>0</v>
      </c>
      <c r="V24" s="55">
        <v>55200</v>
      </c>
      <c r="W24" s="55">
        <f ca="1">IFERROR(__xludf.DUMMYFUNCTION("IMPORTRANGE(""https://docs.google.com/spreadsheets/d/11923uPwbBZFjjGgGUA6NLw09EwE0CqkOc4q9oUmW1yo/edit?usp=sharing"",""พิษณุโลก!M185"")"),0)</f>
        <v>0</v>
      </c>
      <c r="X24" s="99">
        <f t="shared" ca="1" si="11"/>
        <v>0</v>
      </c>
      <c r="Y24" s="55">
        <v>15</v>
      </c>
      <c r="Z24" s="55">
        <f ca="1">IFERROR(__xludf.DUMMYFUNCTION("IMPORTRANGE(""https://docs.google.com/spreadsheets/d/11923uPwbBZFjjGgGUA6NLw09EwE0CqkOc4q9oUmW1yo/edit?usp=sharing"",""พิษณุโลก!j195"")"),0)</f>
        <v>0</v>
      </c>
      <c r="AA24" s="99">
        <f t="shared" ca="1" si="13"/>
        <v>0</v>
      </c>
    </row>
    <row r="25" spans="1:27" ht="24" customHeight="1" x14ac:dyDescent="0.5">
      <c r="A25" s="52">
        <v>10</v>
      </c>
      <c r="B25" s="53" t="s">
        <v>40</v>
      </c>
      <c r="C25" s="54">
        <f t="shared" si="34"/>
        <v>199000</v>
      </c>
      <c r="D25" s="55">
        <v>0</v>
      </c>
      <c r="E25" s="55">
        <v>199000</v>
      </c>
      <c r="F25" s="55">
        <f ca="1">IFERROR(__xludf.DUMMYFUNCTION("IMPORTRANGE(""https://docs.google.com/spreadsheets/d/11923uPwbBZFjjGgGUA6NLw09EwE0CqkOc4q9oUmW1yo/edit?usp=sharing"",""เพชรบูรณ์!M169"")"),16124)</f>
        <v>16124</v>
      </c>
      <c r="G25" s="99">
        <f t="shared" ca="1" si="1"/>
        <v>8.10251256281407</v>
      </c>
      <c r="H25" s="55">
        <v>1</v>
      </c>
      <c r="I25" s="55">
        <f ca="1">IFERROR(__xludf.DUMMYFUNCTION("IMPORTRANGE(""https://docs.google.com/spreadsheets/d/11923uPwbBZFjjGgGUA6NLw09EwE0CqkOc4q9oUmW1yo/edit?usp=sharing"",""เพชรบูรณ์!j179"")"),0)</f>
        <v>0</v>
      </c>
      <c r="J25" s="99">
        <f t="shared" ca="1" si="3"/>
        <v>0</v>
      </c>
      <c r="K25" s="55">
        <v>25</v>
      </c>
      <c r="L25" s="55">
        <f ca="1">IFERROR(__xludf.DUMMYFUNCTION("IMPORTRANGE(""https://docs.google.com/spreadsheets/d/11923uPwbBZFjjGgGUA6NLw09EwE0CqkOc4q9oUmW1yo/edit?usp=sharing"",""เพชรบูรณ์!j180"")"),0)</f>
        <v>0</v>
      </c>
      <c r="M25" s="99">
        <f t="shared" ca="1" si="5"/>
        <v>0</v>
      </c>
      <c r="N25" s="55">
        <v>25</v>
      </c>
      <c r="O25" s="55">
        <f ca="1">IFERROR(__xludf.DUMMYFUNCTION("IMPORTRANGE(""https://docs.google.com/spreadsheets/d/11923uPwbBZFjjGgGUA6NLw09EwE0CqkOc4q9oUmW1yo/edit?usp=sharing"",""เพชรบูรณ์!j181"")"),0)</f>
        <v>0</v>
      </c>
      <c r="P25" s="99">
        <f t="shared" ca="1" si="7"/>
        <v>0</v>
      </c>
      <c r="Q25" s="55">
        <v>1</v>
      </c>
      <c r="R25" s="55">
        <v>0</v>
      </c>
      <c r="S25" s="99">
        <f t="shared" si="9"/>
        <v>0</v>
      </c>
      <c r="T25" s="54">
        <f t="shared" si="35"/>
        <v>73700</v>
      </c>
      <c r="U25" s="55">
        <v>0</v>
      </c>
      <c r="V25" s="55">
        <v>73700</v>
      </c>
      <c r="W25" s="55">
        <f ca="1">IFERROR(__xludf.DUMMYFUNCTION("IMPORTRANGE(""https://docs.google.com/spreadsheets/d/11923uPwbBZFjjGgGUA6NLw09EwE0CqkOc4q9oUmW1yo/edit?usp=sharing"",""เพชรบูรณ์!M185"")"),33000)</f>
        <v>33000</v>
      </c>
      <c r="X25" s="99">
        <f t="shared" ca="1" si="11"/>
        <v>44.776119402985074</v>
      </c>
      <c r="Y25" s="55">
        <v>20</v>
      </c>
      <c r="Z25" s="55">
        <f ca="1">IFERROR(__xludf.DUMMYFUNCTION("IMPORTRANGE(""https://docs.google.com/spreadsheets/d/11923uPwbBZFjjGgGUA6NLw09EwE0CqkOc4q9oUmW1yo/edit?usp=sharing"",""เพชรบูรณ์!j195"")"),20)</f>
        <v>20</v>
      </c>
      <c r="AA25" s="99">
        <f t="shared" ca="1" si="13"/>
        <v>100</v>
      </c>
    </row>
    <row r="26" spans="1:27" ht="24" customHeight="1" x14ac:dyDescent="0.5">
      <c r="A26" s="52">
        <v>11</v>
      </c>
      <c r="B26" s="53" t="s">
        <v>41</v>
      </c>
      <c r="C26" s="54">
        <f t="shared" si="34"/>
        <v>217000</v>
      </c>
      <c r="D26" s="55">
        <v>0</v>
      </c>
      <c r="E26" s="55">
        <v>217000</v>
      </c>
      <c r="F26" s="55">
        <f ca="1">IFERROR(__xludf.DUMMYFUNCTION("IMPORTRANGE(""https://docs.google.com/spreadsheets/d/11923uPwbBZFjjGgGUA6NLw09EwE0CqkOc4q9oUmW1yo/edit?usp=sharing"",""แพร่!M169"")"),0)</f>
        <v>0</v>
      </c>
      <c r="G26" s="99">
        <f t="shared" ca="1" si="1"/>
        <v>0</v>
      </c>
      <c r="H26" s="55">
        <v>1</v>
      </c>
      <c r="I26" s="55">
        <f ca="1">IFERROR(__xludf.DUMMYFUNCTION("IMPORTRANGE(""https://docs.google.com/spreadsheets/d/11923uPwbBZFjjGgGUA6NLw09EwE0CqkOc4q9oUmW1yo/edit?usp=sharing"",""แพร่!j179"")"),0)</f>
        <v>0</v>
      </c>
      <c r="J26" s="99">
        <f t="shared" ca="1" si="3"/>
        <v>0</v>
      </c>
      <c r="K26" s="55">
        <v>30</v>
      </c>
      <c r="L26" s="55">
        <f ca="1">IFERROR(__xludf.DUMMYFUNCTION("IMPORTRANGE(""https://docs.google.com/spreadsheets/d/11923uPwbBZFjjGgGUA6NLw09EwE0CqkOc4q9oUmW1yo/edit?usp=sharing"",""แพร่!j180"")"),0)</f>
        <v>0</v>
      </c>
      <c r="M26" s="99">
        <f t="shared" ca="1" si="5"/>
        <v>0</v>
      </c>
      <c r="N26" s="55">
        <v>30</v>
      </c>
      <c r="O26" s="55">
        <f ca="1">IFERROR(__xludf.DUMMYFUNCTION("IMPORTRANGE(""https://docs.google.com/spreadsheets/d/11923uPwbBZFjjGgGUA6NLw09EwE0CqkOc4q9oUmW1yo/edit?usp=sharing"",""แพร่!j181"")"),0)</f>
        <v>0</v>
      </c>
      <c r="P26" s="99">
        <f t="shared" ca="1" si="7"/>
        <v>0</v>
      </c>
      <c r="Q26" s="55">
        <v>1</v>
      </c>
      <c r="R26" s="55">
        <f ca="1">IFERROR(__xludf.DUMMYFUNCTION("IMPORTRANGE(""https://docs.google.com/spreadsheets/d/11923uPwbBZFjjGgGUA6NLw09EwE0CqkOc4q9oUmW1yo/edit?usp=sharing"",""แพร่!j182"")"),0)</f>
        <v>0</v>
      </c>
      <c r="S26" s="99">
        <f t="shared" ca="1" si="9"/>
        <v>0</v>
      </c>
      <c r="T26" s="54">
        <f t="shared" si="35"/>
        <v>205700</v>
      </c>
      <c r="U26" s="55">
        <v>132000</v>
      </c>
      <c r="V26" s="55">
        <v>73700</v>
      </c>
      <c r="W26" s="55">
        <f ca="1">IFERROR(__xludf.DUMMYFUNCTION("IMPORTRANGE(""https://docs.google.com/spreadsheets/d/11923uPwbBZFjjGgGUA6NLw09EwE0CqkOc4q9oUmW1yo/edit?usp=sharing"",""แพร่!M185"")"),0)</f>
        <v>0</v>
      </c>
      <c r="X26" s="99">
        <f t="shared" ca="1" si="11"/>
        <v>0</v>
      </c>
      <c r="Y26" s="55">
        <v>20</v>
      </c>
      <c r="Z26" s="55">
        <f ca="1">IFERROR(__xludf.DUMMYFUNCTION("IMPORTRANGE(""https://docs.google.com/spreadsheets/d/11923uPwbBZFjjGgGUA6NLw09EwE0CqkOc4q9oUmW1yo/edit?usp=sharing"",""แพร่!j195"")"),0)</f>
        <v>0</v>
      </c>
      <c r="AA26" s="99">
        <f t="shared" ca="1" si="13"/>
        <v>0</v>
      </c>
    </row>
    <row r="27" spans="1:27" ht="24" customHeight="1" x14ac:dyDescent="0.5">
      <c r="A27" s="52">
        <v>12</v>
      </c>
      <c r="B27" s="53" t="s">
        <v>42</v>
      </c>
      <c r="C27" s="54">
        <f t="shared" si="34"/>
        <v>0</v>
      </c>
      <c r="D27" s="55">
        <v>0</v>
      </c>
      <c r="E27" s="55">
        <v>0</v>
      </c>
      <c r="F27" s="55">
        <f ca="1">IFERROR(__xludf.DUMMYFUNCTION("IMPORTRANGE(""https://docs.google.com/spreadsheets/d/11923uPwbBZFjjGgGUA6NLw09EwE0CqkOc4q9oUmW1yo/edit?usp=sharing"",""แม่ฮ่องสอน!M169"")"),0)</f>
        <v>0</v>
      </c>
      <c r="G27" s="99">
        <f t="shared" si="1"/>
        <v>0</v>
      </c>
      <c r="H27" s="55">
        <v>0</v>
      </c>
      <c r="I27" s="55">
        <f ca="1">IFERROR(__xludf.DUMMYFUNCTION("IMPORTRANGE(""https://docs.google.com/spreadsheets/d/11923uPwbBZFjjGgGUA6NLw09EwE0CqkOc4q9oUmW1yo/edit?usp=sharing"",""แม่ฮ่องสอน!j179"")"),0)</f>
        <v>0</v>
      </c>
      <c r="J27" s="99">
        <f t="shared" si="3"/>
        <v>0</v>
      </c>
      <c r="K27" s="55">
        <v>0</v>
      </c>
      <c r="L27" s="55">
        <f ca="1">IFERROR(__xludf.DUMMYFUNCTION("IMPORTRANGE(""https://docs.google.com/spreadsheets/d/11923uPwbBZFjjGgGUA6NLw09EwE0CqkOc4q9oUmW1yo/edit?usp=sharing"",""แม่ฮ่องสอน!j180"")"),0)</f>
        <v>0</v>
      </c>
      <c r="M27" s="99">
        <f t="shared" si="5"/>
        <v>0</v>
      </c>
      <c r="N27" s="55">
        <v>0</v>
      </c>
      <c r="O27" s="55">
        <f ca="1">IFERROR(__xludf.DUMMYFUNCTION("IMPORTRANGE(""https://docs.google.com/spreadsheets/d/11923uPwbBZFjjGgGUA6NLw09EwE0CqkOc4q9oUmW1yo/edit?usp=sharing"",""แม่ฮ่องสอน!j181"")"),0)</f>
        <v>0</v>
      </c>
      <c r="P27" s="99">
        <f t="shared" si="7"/>
        <v>0</v>
      </c>
      <c r="Q27" s="55">
        <v>0</v>
      </c>
      <c r="R27" s="55">
        <f ca="1">IFERROR(__xludf.DUMMYFUNCTION("IMPORTRANGE(""https://docs.google.com/spreadsheets/d/11923uPwbBZFjjGgGUA6NLw09EwE0CqkOc4q9oUmW1yo/edit?usp=sharing"",""แม่ฮ่องสอน!j182"")"),0)</f>
        <v>0</v>
      </c>
      <c r="S27" s="99">
        <f t="shared" si="9"/>
        <v>0</v>
      </c>
      <c r="T27" s="54">
        <f t="shared" si="35"/>
        <v>187200</v>
      </c>
      <c r="U27" s="55">
        <v>132000</v>
      </c>
      <c r="V27" s="55">
        <v>55200</v>
      </c>
      <c r="W27" s="55">
        <f ca="1">IFERROR(__xludf.DUMMYFUNCTION("IMPORTRANGE(""https://docs.google.com/spreadsheets/d/11923uPwbBZFjjGgGUA6NLw09EwE0CqkOc4q9oUmW1yo/edit?usp=sharing"",""แม่ฮ่องสอน!M185"")"),0)</f>
        <v>0</v>
      </c>
      <c r="X27" s="99">
        <f t="shared" ca="1" si="11"/>
        <v>0</v>
      </c>
      <c r="Y27" s="55">
        <v>15</v>
      </c>
      <c r="Z27" s="55">
        <f ca="1">IFERROR(__xludf.DUMMYFUNCTION("IMPORTRANGE(""https://docs.google.com/spreadsheets/d/11923uPwbBZFjjGgGUA6NLw09EwE0CqkOc4q9oUmW1yo/edit?usp=sharing"",""แม่ฮ่องสอน!j195"")"),0)</f>
        <v>0</v>
      </c>
      <c r="AA27" s="99">
        <f t="shared" ca="1" si="13"/>
        <v>0</v>
      </c>
    </row>
    <row r="28" spans="1:27" ht="24" customHeight="1" x14ac:dyDescent="0.5">
      <c r="A28" s="52">
        <v>13</v>
      </c>
      <c r="B28" s="53" t="s">
        <v>43</v>
      </c>
      <c r="C28" s="54">
        <f t="shared" si="34"/>
        <v>0</v>
      </c>
      <c r="D28" s="55">
        <v>0</v>
      </c>
      <c r="E28" s="55">
        <v>0</v>
      </c>
      <c r="F28" s="55">
        <f ca="1">IFERROR(__xludf.DUMMYFUNCTION("IMPORTRANGE(""https://docs.google.com/spreadsheets/d/11923uPwbBZFjjGgGUA6NLw09EwE0CqkOc4q9oUmW1yo/edit?usp=sharing"",""ลำปาง!M169"")"),0)</f>
        <v>0</v>
      </c>
      <c r="G28" s="99">
        <f t="shared" si="1"/>
        <v>0</v>
      </c>
      <c r="H28" s="55">
        <v>0</v>
      </c>
      <c r="I28" s="55">
        <f ca="1">IFERROR(__xludf.DUMMYFUNCTION("IMPORTRANGE(""https://docs.google.com/spreadsheets/d/11923uPwbBZFjjGgGUA6NLw09EwE0CqkOc4q9oUmW1yo/edit?usp=sharing"",""ลำปาง!j179"")"),0)</f>
        <v>0</v>
      </c>
      <c r="J28" s="99">
        <f t="shared" si="3"/>
        <v>0</v>
      </c>
      <c r="K28" s="55">
        <v>0</v>
      </c>
      <c r="L28" s="55">
        <f ca="1">IFERROR(__xludf.DUMMYFUNCTION("IMPORTRANGE(""https://docs.google.com/spreadsheets/d/11923uPwbBZFjjGgGUA6NLw09EwE0CqkOc4q9oUmW1yo/edit?usp=sharing"",""ลำปาง!j180"")"),0)</f>
        <v>0</v>
      </c>
      <c r="M28" s="99">
        <f t="shared" si="5"/>
        <v>0</v>
      </c>
      <c r="N28" s="55">
        <v>0</v>
      </c>
      <c r="O28" s="55">
        <f ca="1">IFERROR(__xludf.DUMMYFUNCTION("IMPORTRANGE(""https://docs.google.com/spreadsheets/d/11923uPwbBZFjjGgGUA6NLw09EwE0CqkOc4q9oUmW1yo/edit?usp=sharing"",""ลำปาง!j181"")"),0)</f>
        <v>0</v>
      </c>
      <c r="P28" s="99">
        <f t="shared" si="7"/>
        <v>0</v>
      </c>
      <c r="Q28" s="55">
        <v>0</v>
      </c>
      <c r="R28" s="55">
        <f ca="1">IFERROR(__xludf.DUMMYFUNCTION("IMPORTRANGE(""https://docs.google.com/spreadsheets/d/11923uPwbBZFjjGgGUA6NLw09EwE0CqkOc4q9oUmW1yo/edit?usp=sharing"",""ลำปาง!j182"")"),0)</f>
        <v>0</v>
      </c>
      <c r="S28" s="99">
        <f t="shared" si="9"/>
        <v>0</v>
      </c>
      <c r="T28" s="54">
        <f t="shared" si="35"/>
        <v>187200</v>
      </c>
      <c r="U28" s="55">
        <v>132000</v>
      </c>
      <c r="V28" s="55">
        <v>55200</v>
      </c>
      <c r="W28" s="55">
        <f ca="1">IFERROR(__xludf.DUMMYFUNCTION("IMPORTRANGE(""https://docs.google.com/spreadsheets/d/11923uPwbBZFjjGgGUA6NLw09EwE0CqkOc4q9oUmW1yo/edit?usp=sharing"",""ลำปาง!M185"")"),240)</f>
        <v>240</v>
      </c>
      <c r="X28" s="99">
        <f t="shared" ca="1" si="11"/>
        <v>0.12820512820512819</v>
      </c>
      <c r="Y28" s="55">
        <v>15</v>
      </c>
      <c r="Z28" s="55">
        <f ca="1">IFERROR(__xludf.DUMMYFUNCTION("IMPORTRANGE(""https://docs.google.com/spreadsheets/d/11923uPwbBZFjjGgGUA6NLw09EwE0CqkOc4q9oUmW1yo/edit?usp=sharing"",""ลำปาง!j195"")"),0)</f>
        <v>0</v>
      </c>
      <c r="AA28" s="99">
        <f t="shared" ca="1" si="13"/>
        <v>0</v>
      </c>
    </row>
    <row r="29" spans="1:27" ht="24" customHeight="1" x14ac:dyDescent="0.5">
      <c r="A29" s="52">
        <v>14</v>
      </c>
      <c r="B29" s="53" t="s">
        <v>44</v>
      </c>
      <c r="C29" s="54">
        <f t="shared" si="34"/>
        <v>0</v>
      </c>
      <c r="D29" s="55">
        <v>0</v>
      </c>
      <c r="E29" s="55">
        <v>0</v>
      </c>
      <c r="F29" s="55">
        <f ca="1">IFERROR(__xludf.DUMMYFUNCTION("IMPORTRANGE(""https://docs.google.com/spreadsheets/d/11923uPwbBZFjjGgGUA6NLw09EwE0CqkOc4q9oUmW1yo/edit?usp=sharing"",""ลำพูน!M169"")"),0)</f>
        <v>0</v>
      </c>
      <c r="G29" s="99">
        <f t="shared" si="1"/>
        <v>0</v>
      </c>
      <c r="H29" s="55">
        <v>0</v>
      </c>
      <c r="I29" s="55">
        <f ca="1">IFERROR(__xludf.DUMMYFUNCTION("IMPORTRANGE(""https://docs.google.com/spreadsheets/d/11923uPwbBZFjjGgGUA6NLw09EwE0CqkOc4q9oUmW1yo/edit?usp=sharing"",""ลำพูน!j179"")"),0)</f>
        <v>0</v>
      </c>
      <c r="J29" s="99">
        <f t="shared" si="3"/>
        <v>0</v>
      </c>
      <c r="K29" s="55">
        <v>0</v>
      </c>
      <c r="L29" s="55">
        <f ca="1">IFERROR(__xludf.DUMMYFUNCTION("IMPORTRANGE(""https://docs.google.com/spreadsheets/d/11923uPwbBZFjjGgGUA6NLw09EwE0CqkOc4q9oUmW1yo/edit?usp=sharing"",""ลำพูน!j180"")"),0)</f>
        <v>0</v>
      </c>
      <c r="M29" s="99">
        <f t="shared" si="5"/>
        <v>0</v>
      </c>
      <c r="N29" s="55">
        <v>0</v>
      </c>
      <c r="O29" s="55">
        <f ca="1">IFERROR(__xludf.DUMMYFUNCTION("IMPORTRANGE(""https://docs.google.com/spreadsheets/d/11923uPwbBZFjjGgGUA6NLw09EwE0CqkOc4q9oUmW1yo/edit?usp=sharing"",""ลำพูน!j181"")"),0)</f>
        <v>0</v>
      </c>
      <c r="P29" s="99">
        <f t="shared" si="7"/>
        <v>0</v>
      </c>
      <c r="Q29" s="55">
        <v>0</v>
      </c>
      <c r="R29" s="55">
        <f ca="1">IFERROR(__xludf.DUMMYFUNCTION("IMPORTRANGE(""https://docs.google.com/spreadsheets/d/11923uPwbBZFjjGgGUA6NLw09EwE0CqkOc4q9oUmW1yo/edit?usp=sharing"",""ลำพูน!j182"")"),0)</f>
        <v>0</v>
      </c>
      <c r="S29" s="99">
        <f t="shared" si="9"/>
        <v>0</v>
      </c>
      <c r="T29" s="54">
        <f t="shared" si="35"/>
        <v>55200</v>
      </c>
      <c r="U29" s="55">
        <v>0</v>
      </c>
      <c r="V29" s="55">
        <v>55200</v>
      </c>
      <c r="W29" s="55">
        <f ca="1">IFERROR(__xludf.DUMMYFUNCTION("IMPORTRANGE(""https://docs.google.com/spreadsheets/d/11923uPwbBZFjjGgGUA6NLw09EwE0CqkOc4q9oUmW1yo/edit?usp=sharing"",""ลำพูน!M185"")"),0)</f>
        <v>0</v>
      </c>
      <c r="X29" s="99">
        <f t="shared" ca="1" si="11"/>
        <v>0</v>
      </c>
      <c r="Y29" s="55">
        <v>15</v>
      </c>
      <c r="Z29" s="55">
        <f ca="1">IFERROR(__xludf.DUMMYFUNCTION("IMPORTRANGE(""https://docs.google.com/spreadsheets/d/11923uPwbBZFjjGgGUA6NLw09EwE0CqkOc4q9oUmW1yo/edit?usp=sharing"",""ลำพูน!j195"")"),0)</f>
        <v>0</v>
      </c>
      <c r="AA29" s="99">
        <f t="shared" ca="1" si="13"/>
        <v>0</v>
      </c>
    </row>
    <row r="30" spans="1:27" ht="24" customHeight="1" x14ac:dyDescent="0.5">
      <c r="A30" s="52">
        <v>15</v>
      </c>
      <c r="B30" s="53" t="s">
        <v>45</v>
      </c>
      <c r="C30" s="54">
        <f t="shared" si="34"/>
        <v>0</v>
      </c>
      <c r="D30" s="55">
        <v>0</v>
      </c>
      <c r="E30" s="55">
        <v>0</v>
      </c>
      <c r="F30" s="55">
        <f ca="1">IFERROR(__xludf.DUMMYFUNCTION("IMPORTRANGE(""https://docs.google.com/spreadsheets/d/11923uPwbBZFjjGgGUA6NLw09EwE0CqkOc4q9oUmW1yo/edit?usp=sharing"",""สุโขทัย!M169"")"),0)</f>
        <v>0</v>
      </c>
      <c r="G30" s="99">
        <f t="shared" si="1"/>
        <v>0</v>
      </c>
      <c r="H30" s="55">
        <v>0</v>
      </c>
      <c r="I30" s="55">
        <f ca="1">IFERROR(__xludf.DUMMYFUNCTION("IMPORTRANGE(""https://docs.google.com/spreadsheets/d/11923uPwbBZFjjGgGUA6NLw09EwE0CqkOc4q9oUmW1yo/edit?usp=sharing"",""สุโขทัย!j179"")"),0)</f>
        <v>0</v>
      </c>
      <c r="J30" s="99">
        <f t="shared" si="3"/>
        <v>0</v>
      </c>
      <c r="K30" s="55">
        <v>0</v>
      </c>
      <c r="L30" s="55">
        <f ca="1">IFERROR(__xludf.DUMMYFUNCTION("IMPORTRANGE(""https://docs.google.com/spreadsheets/d/11923uPwbBZFjjGgGUA6NLw09EwE0CqkOc4q9oUmW1yo/edit?usp=sharing"",""สุโขทัย!j180"")"),0)</f>
        <v>0</v>
      </c>
      <c r="M30" s="99">
        <f t="shared" si="5"/>
        <v>0</v>
      </c>
      <c r="N30" s="55">
        <v>0</v>
      </c>
      <c r="O30" s="55">
        <f ca="1">IFERROR(__xludf.DUMMYFUNCTION("IMPORTRANGE(""https://docs.google.com/spreadsheets/d/11923uPwbBZFjjGgGUA6NLw09EwE0CqkOc4q9oUmW1yo/edit?usp=sharing"",""สุโขทัย!j181"")"),0)</f>
        <v>0</v>
      </c>
      <c r="P30" s="99">
        <f t="shared" si="7"/>
        <v>0</v>
      </c>
      <c r="Q30" s="55">
        <v>0</v>
      </c>
      <c r="R30" s="55">
        <f ca="1">IFERROR(__xludf.DUMMYFUNCTION("IMPORTRANGE(""https://docs.google.com/spreadsheets/d/11923uPwbBZFjjGgGUA6NLw09EwE0CqkOc4q9oUmW1yo/edit?usp=sharing"",""สุโขทัย!j182"")"),0)</f>
        <v>0</v>
      </c>
      <c r="S30" s="99">
        <f t="shared" si="9"/>
        <v>0</v>
      </c>
      <c r="T30" s="54">
        <f t="shared" si="35"/>
        <v>237700</v>
      </c>
      <c r="U30" s="55">
        <v>132000</v>
      </c>
      <c r="V30" s="55">
        <v>105700</v>
      </c>
      <c r="W30" s="55">
        <f ca="1">IFERROR(__xludf.DUMMYFUNCTION("IMPORTRANGE(""https://docs.google.com/spreadsheets/d/11923uPwbBZFjjGgGUA6NLw09EwE0CqkOc4q9oUmW1yo/edit?usp=sharing"",""สุโขทัย!M185"")"),11000)</f>
        <v>11000</v>
      </c>
      <c r="X30" s="99">
        <f t="shared" ca="1" si="11"/>
        <v>4.6276819520403869</v>
      </c>
      <c r="Y30" s="55">
        <v>15</v>
      </c>
      <c r="Z30" s="55">
        <f ca="1">IFERROR(__xludf.DUMMYFUNCTION("IMPORTRANGE(""https://docs.google.com/spreadsheets/d/11923uPwbBZFjjGgGUA6NLw09EwE0CqkOc4q9oUmW1yo/edit?usp=sharing"",""สุโขทัย!j195"")"),0)</f>
        <v>0</v>
      </c>
      <c r="AA30" s="99">
        <f t="shared" ca="1" si="13"/>
        <v>0</v>
      </c>
    </row>
    <row r="31" spans="1:27" ht="24" customHeight="1" x14ac:dyDescent="0.5">
      <c r="A31" s="52">
        <v>16</v>
      </c>
      <c r="B31" s="53" t="s">
        <v>46</v>
      </c>
      <c r="C31" s="54">
        <f t="shared" si="34"/>
        <v>203400</v>
      </c>
      <c r="D31" s="55">
        <v>132000</v>
      </c>
      <c r="E31" s="55">
        <v>71400</v>
      </c>
      <c r="F31" s="55">
        <f ca="1">IFERROR(__xludf.DUMMYFUNCTION("IMPORTRANGE(""https://docs.google.com/spreadsheets/d/11923uPwbBZFjjGgGUA6NLw09EwE0CqkOc4q9oUmW1yo/edit?usp=sharing"",""อุตรดิตถ์!M169"")"),11000)</f>
        <v>11000</v>
      </c>
      <c r="G31" s="99">
        <f t="shared" ca="1" si="1"/>
        <v>5.4080629301868237</v>
      </c>
      <c r="H31" s="55">
        <v>1</v>
      </c>
      <c r="I31" s="55">
        <f ca="1">IFERROR(__xludf.DUMMYFUNCTION("IMPORTRANGE(""https://docs.google.com/spreadsheets/d/11923uPwbBZFjjGgGUA6NLw09EwE0CqkOc4q9oUmW1yo/edit?usp=sharing"",""อุตรดิตถ์!j179"")"),0)</f>
        <v>0</v>
      </c>
      <c r="J31" s="99">
        <f t="shared" ca="1" si="3"/>
        <v>0</v>
      </c>
      <c r="K31" s="55">
        <v>20</v>
      </c>
      <c r="L31" s="55">
        <f ca="1">IFERROR(__xludf.DUMMYFUNCTION("IMPORTRANGE(""https://docs.google.com/spreadsheets/d/11923uPwbBZFjjGgGUA6NLw09EwE0CqkOc4q9oUmW1yo/edit?usp=sharing"",""อุตรดิตถ์!j180"")"),0)</f>
        <v>0</v>
      </c>
      <c r="M31" s="99">
        <f t="shared" ca="1" si="5"/>
        <v>0</v>
      </c>
      <c r="N31" s="55">
        <v>20</v>
      </c>
      <c r="O31" s="55">
        <f ca="1">IFERROR(__xludf.DUMMYFUNCTION("IMPORTRANGE(""https://docs.google.com/spreadsheets/d/11923uPwbBZFjjGgGUA6NLw09EwE0CqkOc4q9oUmW1yo/edit?usp=sharing"",""อุตรดิตถ์!j181"")"),0)</f>
        <v>0</v>
      </c>
      <c r="P31" s="99">
        <f t="shared" ca="1" si="7"/>
        <v>0</v>
      </c>
      <c r="Q31" s="55">
        <v>1</v>
      </c>
      <c r="R31" s="55">
        <f ca="1">IFERROR(__xludf.DUMMYFUNCTION("IMPORTRANGE(""https://docs.google.com/spreadsheets/d/11923uPwbBZFjjGgGUA6NLw09EwE0CqkOc4q9oUmW1yo/edit?usp=sharing"",""อุตรดิตถ์!j182"")"),0)</f>
        <v>0</v>
      </c>
      <c r="S31" s="99">
        <f t="shared" ca="1" si="9"/>
        <v>0</v>
      </c>
      <c r="T31" s="54">
        <f t="shared" si="35"/>
        <v>0</v>
      </c>
      <c r="U31" s="55">
        <v>0</v>
      </c>
      <c r="V31" s="55">
        <v>0</v>
      </c>
      <c r="W31" s="55">
        <f ca="1">IFERROR(__xludf.DUMMYFUNCTION("IMPORTRANGE(""https://docs.google.com/spreadsheets/d/11923uPwbBZFjjGgGUA6NLw09EwE0CqkOc4q9oUmW1yo/edit?usp=sharing"",""อุตรดิตถ์!M185"")"),0)</f>
        <v>0</v>
      </c>
      <c r="X31" s="99">
        <f t="shared" si="11"/>
        <v>0</v>
      </c>
      <c r="Y31" s="55">
        <v>0</v>
      </c>
      <c r="Z31" s="55">
        <f ca="1">IFERROR(__xludf.DUMMYFUNCTION("IMPORTRANGE(""https://docs.google.com/spreadsheets/d/11923uPwbBZFjjGgGUA6NLw09EwE0CqkOc4q9oUmW1yo/edit?usp=sharing"",""อุตรดิตถ์!j195"")"),0)</f>
        <v>0</v>
      </c>
      <c r="AA31" s="99">
        <f t="shared" si="13"/>
        <v>0</v>
      </c>
    </row>
    <row r="32" spans="1:27" ht="24" customHeight="1" x14ac:dyDescent="0.5">
      <c r="A32" s="59">
        <v>17</v>
      </c>
      <c r="B32" s="60" t="s">
        <v>47</v>
      </c>
      <c r="C32" s="61">
        <f t="shared" si="34"/>
        <v>203400</v>
      </c>
      <c r="D32" s="62">
        <v>132000</v>
      </c>
      <c r="E32" s="62">
        <v>71400</v>
      </c>
      <c r="F32" s="62">
        <f ca="1">IFERROR(__xludf.DUMMYFUNCTION("IMPORTRANGE(""https://docs.google.com/spreadsheets/d/11923uPwbBZFjjGgGUA6NLw09EwE0CqkOc4q9oUmW1yo/edit?usp=sharing"",""อุทัยธานี!M169"")"),0)</f>
        <v>0</v>
      </c>
      <c r="G32" s="100">
        <f t="shared" ca="1" si="1"/>
        <v>0</v>
      </c>
      <c r="H32" s="62">
        <v>1</v>
      </c>
      <c r="I32" s="62">
        <f ca="1">IFERROR(__xludf.DUMMYFUNCTION("IMPORTRANGE(""https://docs.google.com/spreadsheets/d/11923uPwbBZFjjGgGUA6NLw09EwE0CqkOc4q9oUmW1yo/edit?usp=sharing"",""อุทัยธานี!j179"")"),0)</f>
        <v>0</v>
      </c>
      <c r="J32" s="100">
        <f t="shared" ca="1" si="3"/>
        <v>0</v>
      </c>
      <c r="K32" s="62">
        <v>20</v>
      </c>
      <c r="L32" s="62">
        <f ca="1">IFERROR(__xludf.DUMMYFUNCTION("IMPORTRANGE(""https://docs.google.com/spreadsheets/d/11923uPwbBZFjjGgGUA6NLw09EwE0CqkOc4q9oUmW1yo/edit?usp=sharing"",""อุทัยธานี!j180"")"),0)</f>
        <v>0</v>
      </c>
      <c r="M32" s="100">
        <f t="shared" ca="1" si="5"/>
        <v>0</v>
      </c>
      <c r="N32" s="62">
        <v>20</v>
      </c>
      <c r="O32" s="62">
        <f ca="1">IFERROR(__xludf.DUMMYFUNCTION("IMPORTRANGE(""https://docs.google.com/spreadsheets/d/11923uPwbBZFjjGgGUA6NLw09EwE0CqkOc4q9oUmW1yo/edit?usp=sharing"",""อุทัยธานี!j181"")"),0)</f>
        <v>0</v>
      </c>
      <c r="P32" s="100">
        <f t="shared" ca="1" si="7"/>
        <v>0</v>
      </c>
      <c r="Q32" s="62">
        <v>1</v>
      </c>
      <c r="R32" s="62">
        <f ca="1">IFERROR(__xludf.DUMMYFUNCTION("IMPORTRANGE(""https://docs.google.com/spreadsheets/d/11923uPwbBZFjjGgGUA6NLw09EwE0CqkOc4q9oUmW1yo/edit?usp=sharing"",""อุทัยธานี!j182"")"),0)</f>
        <v>0</v>
      </c>
      <c r="S32" s="100">
        <f t="shared" ca="1" si="9"/>
        <v>0</v>
      </c>
      <c r="T32" s="61">
        <f t="shared" si="35"/>
        <v>183600</v>
      </c>
      <c r="U32" s="62">
        <v>0</v>
      </c>
      <c r="V32" s="62">
        <v>183600</v>
      </c>
      <c r="W32" s="62">
        <f ca="1">IFERROR(__xludf.DUMMYFUNCTION("IMPORTRANGE(""https://docs.google.com/spreadsheets/d/11923uPwbBZFjjGgGUA6NLw09EwE0CqkOc4q9oUmW1yo/edit?usp=sharing"",""อุทัยธานี!M185"")"),0)</f>
        <v>0</v>
      </c>
      <c r="X32" s="100">
        <f t="shared" ca="1" si="11"/>
        <v>0</v>
      </c>
      <c r="Y32" s="62">
        <v>20</v>
      </c>
      <c r="Z32" s="62">
        <f ca="1">IFERROR(__xludf.DUMMYFUNCTION("IMPORTRANGE(""https://docs.google.com/spreadsheets/d/11923uPwbBZFjjGgGUA6NLw09EwE0CqkOc4q9oUmW1yo/edit?usp=sharing"",""อุทัยธานี!j195"")"),0)</f>
        <v>0</v>
      </c>
      <c r="AA32" s="100">
        <f t="shared" ca="1" si="13"/>
        <v>0</v>
      </c>
    </row>
    <row r="33" spans="1:27" ht="24" customHeight="1" x14ac:dyDescent="0.5">
      <c r="A33" s="568" t="s">
        <v>48</v>
      </c>
      <c r="B33" s="569"/>
      <c r="C33" s="66">
        <f t="shared" ref="C33:F33" si="36">SUM(C34:C53)</f>
        <v>1364900</v>
      </c>
      <c r="D33" s="66">
        <f t="shared" si="36"/>
        <v>396000</v>
      </c>
      <c r="E33" s="66">
        <f t="shared" si="36"/>
        <v>968900</v>
      </c>
      <c r="F33" s="66">
        <f t="shared" ca="1" si="36"/>
        <v>9000</v>
      </c>
      <c r="G33" s="101">
        <f t="shared" ca="1" si="1"/>
        <v>0.65938896622463183</v>
      </c>
      <c r="H33" s="66">
        <f t="shared" ref="H33:I33" si="37">SUM(H34:H53)</f>
        <v>9</v>
      </c>
      <c r="I33" s="66">
        <f t="shared" ca="1" si="37"/>
        <v>0</v>
      </c>
      <c r="J33" s="101">
        <f t="shared" ca="1" si="3"/>
        <v>0</v>
      </c>
      <c r="K33" s="66">
        <f t="shared" ref="K33:L33" si="38">SUM(K34:K53)</f>
        <v>240</v>
      </c>
      <c r="L33" s="66">
        <f t="shared" ca="1" si="38"/>
        <v>0</v>
      </c>
      <c r="M33" s="101">
        <f t="shared" ca="1" si="5"/>
        <v>0</v>
      </c>
      <c r="N33" s="66">
        <f t="shared" ref="N33:O33" si="39">SUM(N34:N53)</f>
        <v>240</v>
      </c>
      <c r="O33" s="66">
        <f t="shared" ca="1" si="39"/>
        <v>0</v>
      </c>
      <c r="P33" s="101">
        <f t="shared" ca="1" si="7"/>
        <v>0</v>
      </c>
      <c r="Q33" s="66">
        <f t="shared" ref="Q33:R33" si="40">SUM(Q34:Q53)</f>
        <v>9</v>
      </c>
      <c r="R33" s="66">
        <f t="shared" ca="1" si="40"/>
        <v>0</v>
      </c>
      <c r="S33" s="101">
        <f t="shared" ca="1" si="9"/>
        <v>0</v>
      </c>
      <c r="T33" s="66">
        <f t="shared" ref="T33:W33" si="41">SUM(T34:T53)</f>
        <v>2016400</v>
      </c>
      <c r="U33" s="66">
        <f t="shared" si="41"/>
        <v>528000</v>
      </c>
      <c r="V33" s="66">
        <f t="shared" si="41"/>
        <v>1488400</v>
      </c>
      <c r="W33" s="66">
        <f t="shared" ca="1" si="41"/>
        <v>21700</v>
      </c>
      <c r="X33" s="101">
        <f t="shared" ca="1" si="11"/>
        <v>1.076175362031343</v>
      </c>
      <c r="Y33" s="66">
        <f t="shared" ref="Y33:Z33" si="42">SUM(Y34:Y53)</f>
        <v>255</v>
      </c>
      <c r="Z33" s="66">
        <f t="shared" ca="1" si="42"/>
        <v>0</v>
      </c>
      <c r="AA33" s="101">
        <f t="shared" ca="1" si="13"/>
        <v>0</v>
      </c>
    </row>
    <row r="34" spans="1:27" ht="24" customHeight="1" x14ac:dyDescent="0.5">
      <c r="A34" s="45">
        <v>1</v>
      </c>
      <c r="B34" s="46" t="s">
        <v>49</v>
      </c>
      <c r="C34" s="47">
        <f t="shared" ref="C34:C53" si="43">+D34+E34</f>
        <v>335400</v>
      </c>
      <c r="D34" s="48">
        <v>264000</v>
      </c>
      <c r="E34" s="48">
        <v>71400</v>
      </c>
      <c r="F34" s="48">
        <f ca="1">IFERROR(__xludf.DUMMYFUNCTION("IMPORTRANGE(""https://docs.google.com/spreadsheets/d/1XL5vhW3sbDhbH9Cz0tuDiY8C3ctxq1tqvaCgkFb8cCA/edit?usp=sharing"",""กาฬสินธุ์!M169"")"),0)</f>
        <v>0</v>
      </c>
      <c r="G34" s="98">
        <f t="shared" ca="1" si="1"/>
        <v>0</v>
      </c>
      <c r="H34" s="48">
        <v>1</v>
      </c>
      <c r="I34" s="48">
        <f ca="1">IFERROR(__xludf.DUMMYFUNCTION("IMPORTRANGE(""https://docs.google.com/spreadsheets/d/1XL5vhW3sbDhbH9Cz0tuDiY8C3ctxq1tqvaCgkFb8cCA/edit?usp=sharing"",""กาฬสินธุ์!j179"")"),0)</f>
        <v>0</v>
      </c>
      <c r="J34" s="98">
        <f t="shared" ca="1" si="3"/>
        <v>0</v>
      </c>
      <c r="K34" s="48">
        <v>20</v>
      </c>
      <c r="L34" s="48">
        <f ca="1">IFERROR(__xludf.DUMMYFUNCTION("IMPORTRANGE(""https://docs.google.com/spreadsheets/d/1XL5vhW3sbDhbH9Cz0tuDiY8C3ctxq1tqvaCgkFb8cCA/edit?usp=sharing"",""กาฬสินธุ์!j180"")"),0)</f>
        <v>0</v>
      </c>
      <c r="M34" s="98">
        <f t="shared" ca="1" si="5"/>
        <v>0</v>
      </c>
      <c r="N34" s="48">
        <v>20</v>
      </c>
      <c r="O34" s="48">
        <f ca="1">IFERROR(__xludf.DUMMYFUNCTION("IMPORTRANGE(""https://docs.google.com/spreadsheets/d/1XL5vhW3sbDhbH9Cz0tuDiY8C3ctxq1tqvaCgkFb8cCA/edit?usp=sharing"",""กาฬสินธุ์!j181"")"),0)</f>
        <v>0</v>
      </c>
      <c r="P34" s="98">
        <f t="shared" ca="1" si="7"/>
        <v>0</v>
      </c>
      <c r="Q34" s="48">
        <v>1</v>
      </c>
      <c r="R34" s="48">
        <f ca="1">IFERROR(__xludf.DUMMYFUNCTION("IMPORTRANGE(""https://docs.google.com/spreadsheets/d/1XL5vhW3sbDhbH9Cz0tuDiY8C3ctxq1tqvaCgkFb8cCA/edit?usp=sharing"",""กาฬสินธุ์!j182"")"),0)</f>
        <v>0</v>
      </c>
      <c r="S34" s="98">
        <f t="shared" ca="1" si="9"/>
        <v>0</v>
      </c>
      <c r="T34" s="47">
        <f t="shared" ref="T34:T53" si="44">+U34+V34</f>
        <v>183600</v>
      </c>
      <c r="U34" s="48">
        <v>0</v>
      </c>
      <c r="V34" s="48">
        <v>183600</v>
      </c>
      <c r="W34" s="48">
        <f ca="1">IFERROR(__xludf.DUMMYFUNCTION("IMPORTRANGE(""https://docs.google.com/spreadsheets/d/1XL5vhW3sbDhbH9Cz0tuDiY8C3ctxq1tqvaCgkFb8cCA/edit?usp=sharing"",""กาฬสินธุ์!m185"")"),0)</f>
        <v>0</v>
      </c>
      <c r="X34" s="98">
        <f t="shared" ca="1" si="11"/>
        <v>0</v>
      </c>
      <c r="Y34" s="48">
        <v>20</v>
      </c>
      <c r="Z34" s="48">
        <f ca="1">IFERROR(__xludf.DUMMYFUNCTION("IMPORTRANGE(""https://docs.google.com/spreadsheets/d/1XL5vhW3sbDhbH9Cz0tuDiY8C3ctxq1tqvaCgkFb8cCA/edit?usp=sharing"",""กาฬสินธุ์!j195"")"),0)</f>
        <v>0</v>
      </c>
      <c r="AA34" s="98">
        <f t="shared" ca="1" si="13"/>
        <v>0</v>
      </c>
    </row>
    <row r="35" spans="1:27" ht="24" customHeight="1" x14ac:dyDescent="0.5">
      <c r="A35" s="52">
        <v>2</v>
      </c>
      <c r="B35" s="53" t="s">
        <v>50</v>
      </c>
      <c r="C35" s="54">
        <f t="shared" si="43"/>
        <v>0</v>
      </c>
      <c r="D35" s="55">
        <v>0</v>
      </c>
      <c r="E35" s="55">
        <v>0</v>
      </c>
      <c r="F35" s="55">
        <f ca="1">IFERROR(__xludf.DUMMYFUNCTION("IMPORTRANGE(""https://docs.google.com/spreadsheets/d/1XL5vhW3sbDhbH9Cz0tuDiY8C3ctxq1tqvaCgkFb8cCA/edit?usp=sharing"",""ขอนแก่น!M169"")"),0)</f>
        <v>0</v>
      </c>
      <c r="G35" s="99">
        <f t="shared" si="1"/>
        <v>0</v>
      </c>
      <c r="H35" s="55">
        <v>0</v>
      </c>
      <c r="I35" s="55">
        <f ca="1">IFERROR(__xludf.DUMMYFUNCTION("IMPORTRANGE(""https://docs.google.com/spreadsheets/d/1XL5vhW3sbDhbH9Cz0tuDiY8C3ctxq1tqvaCgkFb8cCA/edit?usp=sharing"",""ขอนแก่น!j179"")"),0)</f>
        <v>0</v>
      </c>
      <c r="J35" s="99">
        <f t="shared" si="3"/>
        <v>0</v>
      </c>
      <c r="K35" s="55">
        <v>0</v>
      </c>
      <c r="L35" s="55">
        <f ca="1">IFERROR(__xludf.DUMMYFUNCTION("IMPORTRANGE(""https://docs.google.com/spreadsheets/d/1XL5vhW3sbDhbH9Cz0tuDiY8C3ctxq1tqvaCgkFb8cCA/edit?usp=sharing"",""ขอนแก่น!j180"")"),0)</f>
        <v>0</v>
      </c>
      <c r="M35" s="99">
        <f t="shared" si="5"/>
        <v>0</v>
      </c>
      <c r="N35" s="55">
        <v>0</v>
      </c>
      <c r="O35" s="55">
        <f ca="1">IFERROR(__xludf.DUMMYFUNCTION("IMPORTRANGE(""https://docs.google.com/spreadsheets/d/1XL5vhW3sbDhbH9Cz0tuDiY8C3ctxq1tqvaCgkFb8cCA/edit?usp=sharing"",""ขอนแก่น!j181"")"),0)</f>
        <v>0</v>
      </c>
      <c r="P35" s="99">
        <f t="shared" si="7"/>
        <v>0</v>
      </c>
      <c r="Q35" s="55">
        <v>0</v>
      </c>
      <c r="R35" s="55">
        <f ca="1">IFERROR(__xludf.DUMMYFUNCTION("IMPORTRANGE(""https://docs.google.com/spreadsheets/d/1XL5vhW3sbDhbH9Cz0tuDiY8C3ctxq1tqvaCgkFb8cCA/edit?usp=sharing"",""ขอนแก่น!j182"")"),0)</f>
        <v>0</v>
      </c>
      <c r="S35" s="99">
        <f t="shared" si="9"/>
        <v>0</v>
      </c>
      <c r="T35" s="54">
        <f t="shared" si="44"/>
        <v>55200</v>
      </c>
      <c r="U35" s="55">
        <v>0</v>
      </c>
      <c r="V35" s="55">
        <v>55200</v>
      </c>
      <c r="W35" s="55">
        <f ca="1">IFERROR(__xludf.DUMMYFUNCTION("IMPORTRANGE(""https://docs.google.com/spreadsheets/d/1XL5vhW3sbDhbH9Cz0tuDiY8C3ctxq1tqvaCgkFb8cCA/edit?usp=sharing"",""ขอนแก่น!m185"")"),0)</f>
        <v>0</v>
      </c>
      <c r="X35" s="99">
        <f t="shared" ca="1" si="11"/>
        <v>0</v>
      </c>
      <c r="Y35" s="55">
        <v>15</v>
      </c>
      <c r="Z35" s="55">
        <f ca="1">IFERROR(__xludf.DUMMYFUNCTION("IMPORTRANGE(""https://docs.google.com/spreadsheets/d/1XL5vhW3sbDhbH9Cz0tuDiY8C3ctxq1tqvaCgkFb8cCA/edit?usp=sharing"",""ขอนแก่น!j195"")"),0)</f>
        <v>0</v>
      </c>
      <c r="AA35" s="99">
        <f t="shared" ca="1" si="13"/>
        <v>0</v>
      </c>
    </row>
    <row r="36" spans="1:27" ht="24" customHeight="1" x14ac:dyDescent="0.5">
      <c r="A36" s="52">
        <v>3</v>
      </c>
      <c r="B36" s="53" t="s">
        <v>51</v>
      </c>
      <c r="C36" s="54">
        <f t="shared" si="43"/>
        <v>0</v>
      </c>
      <c r="D36" s="55">
        <v>0</v>
      </c>
      <c r="E36" s="55">
        <v>0</v>
      </c>
      <c r="F36" s="55">
        <f ca="1">IFERROR(__xludf.DUMMYFUNCTION("IMPORTRANGE(""https://docs.google.com/spreadsheets/d/1XL5vhW3sbDhbH9Cz0tuDiY8C3ctxq1tqvaCgkFb8cCA/edit?usp=sharing"",""ชัยภูมิ!M169"")"),0)</f>
        <v>0</v>
      </c>
      <c r="G36" s="99">
        <f t="shared" si="1"/>
        <v>0</v>
      </c>
      <c r="H36" s="55">
        <v>0</v>
      </c>
      <c r="I36" s="55">
        <f ca="1">IFERROR(__xludf.DUMMYFUNCTION("IMPORTRANGE(""https://docs.google.com/spreadsheets/d/1XL5vhW3sbDhbH9Cz0tuDiY8C3ctxq1tqvaCgkFb8cCA/edit?usp=sharing"",""ชัยภูมิ!j179"")"),0)</f>
        <v>0</v>
      </c>
      <c r="J36" s="99">
        <f t="shared" si="3"/>
        <v>0</v>
      </c>
      <c r="K36" s="55">
        <v>0</v>
      </c>
      <c r="L36" s="55">
        <f ca="1">IFERROR(__xludf.DUMMYFUNCTION("IMPORTRANGE(""https://docs.google.com/spreadsheets/d/1XL5vhW3sbDhbH9Cz0tuDiY8C3ctxq1tqvaCgkFb8cCA/edit?usp=sharing"",""ชัยภูมิ!j180"")"),0)</f>
        <v>0</v>
      </c>
      <c r="M36" s="99">
        <f t="shared" si="5"/>
        <v>0</v>
      </c>
      <c r="N36" s="55">
        <v>0</v>
      </c>
      <c r="O36" s="55">
        <f ca="1">IFERROR(__xludf.DUMMYFUNCTION("IMPORTRANGE(""https://docs.google.com/spreadsheets/d/1XL5vhW3sbDhbH9Cz0tuDiY8C3ctxq1tqvaCgkFb8cCA/edit?usp=sharing"",""ชัยภูมิ!j181"")"),0)</f>
        <v>0</v>
      </c>
      <c r="P36" s="99">
        <f t="shared" si="7"/>
        <v>0</v>
      </c>
      <c r="Q36" s="55">
        <v>0</v>
      </c>
      <c r="R36" s="55">
        <f ca="1">IFERROR(__xludf.DUMMYFUNCTION("IMPORTRANGE(""https://docs.google.com/spreadsheets/d/1XL5vhW3sbDhbH9Cz0tuDiY8C3ctxq1tqvaCgkFb8cCA/edit?usp=sharing"",""ชัยภูมิ!j182"")"),0)</f>
        <v>0</v>
      </c>
      <c r="S36" s="99">
        <f t="shared" si="9"/>
        <v>0</v>
      </c>
      <c r="T36" s="54">
        <f t="shared" si="44"/>
        <v>319200</v>
      </c>
      <c r="U36" s="55">
        <v>264000</v>
      </c>
      <c r="V36" s="55">
        <v>55200</v>
      </c>
      <c r="W36" s="55">
        <f ca="1">IFERROR(__xludf.DUMMYFUNCTION("IMPORTRANGE(""https://docs.google.com/spreadsheets/d/1XL5vhW3sbDhbH9Cz0tuDiY8C3ctxq1tqvaCgkFb8cCA/edit?usp=sharing"",""ชัยภูมิ!m185"")"),0)</f>
        <v>0</v>
      </c>
      <c r="X36" s="99">
        <f t="shared" ca="1" si="11"/>
        <v>0</v>
      </c>
      <c r="Y36" s="55">
        <v>15</v>
      </c>
      <c r="Z36" s="55">
        <f ca="1">IFERROR(__xludf.DUMMYFUNCTION("IMPORTRANGE(""https://docs.google.com/spreadsheets/d/1XL5vhW3sbDhbH9Cz0tuDiY8C3ctxq1tqvaCgkFb8cCA/edit?usp=sharing"",""ชัยภูมิ!j195"")"),0)</f>
        <v>0</v>
      </c>
      <c r="AA36" s="99">
        <f t="shared" ca="1" si="13"/>
        <v>0</v>
      </c>
    </row>
    <row r="37" spans="1:27" ht="24" customHeight="1" x14ac:dyDescent="0.5">
      <c r="A37" s="52">
        <v>4</v>
      </c>
      <c r="B37" s="53" t="s">
        <v>52</v>
      </c>
      <c r="C37" s="54">
        <f t="shared" si="43"/>
        <v>221000</v>
      </c>
      <c r="D37" s="55">
        <v>132000</v>
      </c>
      <c r="E37" s="55">
        <v>89000</v>
      </c>
      <c r="F37" s="55">
        <f ca="1">IFERROR(__xludf.DUMMYFUNCTION("IMPORTRANGE(""https://docs.google.com/spreadsheets/d/1XL5vhW3sbDhbH9Cz0tuDiY8C3ctxq1tqvaCgkFb8cCA/edit?usp=sharing"",""นครพนม!M169"")"),9000)</f>
        <v>9000</v>
      </c>
      <c r="G37" s="99">
        <f t="shared" ca="1" si="1"/>
        <v>4.0723981900452486</v>
      </c>
      <c r="H37" s="55">
        <v>1</v>
      </c>
      <c r="I37" s="55">
        <f ca="1">IFERROR(__xludf.DUMMYFUNCTION("IMPORTRANGE(""https://docs.google.com/spreadsheets/d/1XL5vhW3sbDhbH9Cz0tuDiY8C3ctxq1tqvaCgkFb8cCA/edit?usp=sharing"",""นครพนม!j179"")"),0)</f>
        <v>0</v>
      </c>
      <c r="J37" s="99">
        <f t="shared" ca="1" si="3"/>
        <v>0</v>
      </c>
      <c r="K37" s="55">
        <v>25</v>
      </c>
      <c r="L37" s="55">
        <f ca="1">IFERROR(__xludf.DUMMYFUNCTION("IMPORTRANGE(""https://docs.google.com/spreadsheets/d/1XL5vhW3sbDhbH9Cz0tuDiY8C3ctxq1tqvaCgkFb8cCA/edit?usp=sharing"",""นครพนม!j180"")"),0)</f>
        <v>0</v>
      </c>
      <c r="M37" s="99">
        <f t="shared" ca="1" si="5"/>
        <v>0</v>
      </c>
      <c r="N37" s="55">
        <v>25</v>
      </c>
      <c r="O37" s="55">
        <f ca="1">IFERROR(__xludf.DUMMYFUNCTION("IMPORTRANGE(""https://docs.google.com/spreadsheets/d/1XL5vhW3sbDhbH9Cz0tuDiY8C3ctxq1tqvaCgkFb8cCA/edit?usp=sharing"",""นครพนม!j181"")"),0)</f>
        <v>0</v>
      </c>
      <c r="P37" s="99">
        <f t="shared" ca="1" si="7"/>
        <v>0</v>
      </c>
      <c r="Q37" s="55">
        <v>1</v>
      </c>
      <c r="R37" s="55">
        <f ca="1">IFERROR(__xludf.DUMMYFUNCTION("IMPORTRANGE(""https://docs.google.com/spreadsheets/d/1XL5vhW3sbDhbH9Cz0tuDiY8C3ctxq1tqvaCgkFb8cCA/edit?usp=sharing"",""นครพนม!j182"")"),0)</f>
        <v>0</v>
      </c>
      <c r="S37" s="99">
        <f t="shared" ca="1" si="9"/>
        <v>0</v>
      </c>
      <c r="T37" s="54">
        <f t="shared" si="44"/>
        <v>0</v>
      </c>
      <c r="U37" s="55">
        <v>0</v>
      </c>
      <c r="V37" s="55">
        <v>0</v>
      </c>
      <c r="W37" s="55">
        <f ca="1">IFERROR(__xludf.DUMMYFUNCTION("IMPORTRANGE(""https://docs.google.com/spreadsheets/d/1XL5vhW3sbDhbH9Cz0tuDiY8C3ctxq1tqvaCgkFb8cCA/edit?usp=sharing"",""นครพนม!m185"")"),0)</f>
        <v>0</v>
      </c>
      <c r="X37" s="99">
        <f t="shared" si="11"/>
        <v>0</v>
      </c>
      <c r="Y37" s="55">
        <v>0</v>
      </c>
      <c r="Z37" s="55">
        <f ca="1">IFERROR(__xludf.DUMMYFUNCTION("IMPORTRANGE(""https://docs.google.com/spreadsheets/d/1XL5vhW3sbDhbH9Cz0tuDiY8C3ctxq1tqvaCgkFb8cCA/edit?usp=sharing"",""นครพนม!j195"")"),0)</f>
        <v>0</v>
      </c>
      <c r="AA37" s="99">
        <f t="shared" si="13"/>
        <v>0</v>
      </c>
    </row>
    <row r="38" spans="1:27" ht="24" customHeight="1" x14ac:dyDescent="0.5">
      <c r="A38" s="52">
        <v>5</v>
      </c>
      <c r="B38" s="53" t="s">
        <v>53</v>
      </c>
      <c r="C38" s="54">
        <f t="shared" si="43"/>
        <v>292100</v>
      </c>
      <c r="D38" s="55">
        <v>0</v>
      </c>
      <c r="E38" s="55">
        <v>292100</v>
      </c>
      <c r="F38" s="55">
        <f ca="1">IFERROR(__xludf.DUMMYFUNCTION("IMPORTRANGE(""https://docs.google.com/spreadsheets/d/1XL5vhW3sbDhbH9Cz0tuDiY8C3ctxq1tqvaCgkFb8cCA/edit?usp=sharing"",""นครราชสีมา!M169"")"),0)</f>
        <v>0</v>
      </c>
      <c r="G38" s="99">
        <f t="shared" ca="1" si="1"/>
        <v>0</v>
      </c>
      <c r="H38" s="55">
        <v>1</v>
      </c>
      <c r="I38" s="55">
        <f ca="1">IFERROR(__xludf.DUMMYFUNCTION("IMPORTRANGE(""https://docs.google.com/spreadsheets/d/1XL5vhW3sbDhbH9Cz0tuDiY8C3ctxq1tqvaCgkFb8cCA/edit?usp=sharing"",""นครราชสีมา!j179"")"),0)</f>
        <v>0</v>
      </c>
      <c r="J38" s="99">
        <f t="shared" ca="1" si="3"/>
        <v>0</v>
      </c>
      <c r="K38" s="55">
        <v>50</v>
      </c>
      <c r="L38" s="55">
        <f ca="1">IFERROR(__xludf.DUMMYFUNCTION("IMPORTRANGE(""https://docs.google.com/spreadsheets/d/1XL5vhW3sbDhbH9Cz0tuDiY8C3ctxq1tqvaCgkFb8cCA/edit?usp=sharing"",""นครราชสีมา!j180"")"),0)</f>
        <v>0</v>
      </c>
      <c r="M38" s="99">
        <f t="shared" ca="1" si="5"/>
        <v>0</v>
      </c>
      <c r="N38" s="55">
        <v>50</v>
      </c>
      <c r="O38" s="55">
        <f ca="1">IFERROR(__xludf.DUMMYFUNCTION("IMPORTRANGE(""https://docs.google.com/spreadsheets/d/1XL5vhW3sbDhbH9Cz0tuDiY8C3ctxq1tqvaCgkFb8cCA/edit?usp=sharing"",""นครราชสีมา!j181"")"),0)</f>
        <v>0</v>
      </c>
      <c r="P38" s="99">
        <f t="shared" ca="1" si="7"/>
        <v>0</v>
      </c>
      <c r="Q38" s="55">
        <v>1</v>
      </c>
      <c r="R38" s="55">
        <f ca="1">IFERROR(__xludf.DUMMYFUNCTION("IMPORTRANGE(""https://docs.google.com/spreadsheets/d/1XL5vhW3sbDhbH9Cz0tuDiY8C3ctxq1tqvaCgkFb8cCA/edit?usp=sharing"",""นครราชสีมา!j182"")"),0)</f>
        <v>0</v>
      </c>
      <c r="S38" s="99">
        <f t="shared" ca="1" si="9"/>
        <v>0</v>
      </c>
      <c r="T38" s="54">
        <f t="shared" si="44"/>
        <v>73600</v>
      </c>
      <c r="U38" s="55">
        <v>0</v>
      </c>
      <c r="V38" s="55">
        <v>73600</v>
      </c>
      <c r="W38" s="55">
        <f ca="1">IFERROR(__xludf.DUMMYFUNCTION("IMPORTRANGE(""https://docs.google.com/spreadsheets/d/1XL5vhW3sbDhbH9Cz0tuDiY8C3ctxq1tqvaCgkFb8cCA/edit?usp=sharing"",""นครราชสีมา!m185"")"),0)</f>
        <v>0</v>
      </c>
      <c r="X38" s="99">
        <f t="shared" ca="1" si="11"/>
        <v>0</v>
      </c>
      <c r="Y38" s="55">
        <v>20</v>
      </c>
      <c r="Z38" s="55">
        <f ca="1">IFERROR(__xludf.DUMMYFUNCTION("IMPORTRANGE(""https://docs.google.com/spreadsheets/d/1XL5vhW3sbDhbH9Cz0tuDiY8C3ctxq1tqvaCgkFb8cCA/edit?usp=sharing"",""นครราชสีมา!j195"")"),0)</f>
        <v>0</v>
      </c>
      <c r="AA38" s="99">
        <f t="shared" ca="1" si="13"/>
        <v>0</v>
      </c>
    </row>
    <row r="39" spans="1:27" ht="24" customHeight="1" x14ac:dyDescent="0.5">
      <c r="A39" s="52">
        <v>6</v>
      </c>
      <c r="B39" s="53" t="s">
        <v>54</v>
      </c>
      <c r="C39" s="54">
        <f t="shared" si="43"/>
        <v>0</v>
      </c>
      <c r="D39" s="55">
        <v>0</v>
      </c>
      <c r="E39" s="55">
        <v>0</v>
      </c>
      <c r="F39" s="55">
        <f ca="1">IFERROR(__xludf.DUMMYFUNCTION("IMPORTRANGE(""https://docs.google.com/spreadsheets/d/1XL5vhW3sbDhbH9Cz0tuDiY8C3ctxq1tqvaCgkFb8cCA/edit?usp=sharing"",""บึงกาฬ!M169"")"),0)</f>
        <v>0</v>
      </c>
      <c r="G39" s="99">
        <f t="shared" si="1"/>
        <v>0</v>
      </c>
      <c r="H39" s="55">
        <v>0</v>
      </c>
      <c r="I39" s="55">
        <f ca="1">IFERROR(__xludf.DUMMYFUNCTION("IMPORTRANGE(""https://docs.google.com/spreadsheets/d/1XL5vhW3sbDhbH9Cz0tuDiY8C3ctxq1tqvaCgkFb8cCA/edit?usp=sharing"",""บึงกาฬ!j179"")"),0)</f>
        <v>0</v>
      </c>
      <c r="J39" s="99">
        <f t="shared" si="3"/>
        <v>0</v>
      </c>
      <c r="K39" s="55">
        <v>0</v>
      </c>
      <c r="L39" s="55">
        <f ca="1">IFERROR(__xludf.DUMMYFUNCTION("IMPORTRANGE(""https://docs.google.com/spreadsheets/d/1XL5vhW3sbDhbH9Cz0tuDiY8C3ctxq1tqvaCgkFb8cCA/edit?usp=sharing"",""บึงกาฬ!j180"")"),0)</f>
        <v>0</v>
      </c>
      <c r="M39" s="99">
        <f t="shared" si="5"/>
        <v>0</v>
      </c>
      <c r="N39" s="55">
        <v>0</v>
      </c>
      <c r="O39" s="55">
        <f ca="1">IFERROR(__xludf.DUMMYFUNCTION("IMPORTRANGE(""https://docs.google.com/spreadsheets/d/1XL5vhW3sbDhbH9Cz0tuDiY8C3ctxq1tqvaCgkFb8cCA/edit?usp=sharing"",""บึงกาฬ!j181"")"),0)</f>
        <v>0</v>
      </c>
      <c r="P39" s="99">
        <f t="shared" si="7"/>
        <v>0</v>
      </c>
      <c r="Q39" s="55">
        <v>0</v>
      </c>
      <c r="R39" s="55">
        <f ca="1">IFERROR(__xludf.DUMMYFUNCTION("IMPORTRANGE(""https://docs.google.com/spreadsheets/d/1XL5vhW3sbDhbH9Cz0tuDiY8C3ctxq1tqvaCgkFb8cCA/edit?usp=sharing"",""บึงกาฬ!j182"")"),0)</f>
        <v>0</v>
      </c>
      <c r="S39" s="99">
        <f t="shared" si="9"/>
        <v>0</v>
      </c>
      <c r="T39" s="54">
        <f t="shared" si="44"/>
        <v>0</v>
      </c>
      <c r="U39" s="55">
        <v>0</v>
      </c>
      <c r="V39" s="55">
        <v>0</v>
      </c>
      <c r="W39" s="55">
        <f ca="1">IFERROR(__xludf.DUMMYFUNCTION("IMPORTRANGE(""https://docs.google.com/spreadsheets/d/1XL5vhW3sbDhbH9Cz0tuDiY8C3ctxq1tqvaCgkFb8cCA/edit?usp=sharing"",""บึงกาฬ!m185"")"),0)</f>
        <v>0</v>
      </c>
      <c r="X39" s="99">
        <f t="shared" si="11"/>
        <v>0</v>
      </c>
      <c r="Y39" s="55">
        <v>0</v>
      </c>
      <c r="Z39" s="55">
        <f ca="1">IFERROR(__xludf.DUMMYFUNCTION("IMPORTRANGE(""https://docs.google.com/spreadsheets/d/1XL5vhW3sbDhbH9Cz0tuDiY8C3ctxq1tqvaCgkFb8cCA/edit?usp=sharing"",""บึงกาฬ!j195"")"),0)</f>
        <v>0</v>
      </c>
      <c r="AA39" s="99">
        <f t="shared" si="13"/>
        <v>0</v>
      </c>
    </row>
    <row r="40" spans="1:27" ht="24" customHeight="1" x14ac:dyDescent="0.5">
      <c r="A40" s="52">
        <v>7</v>
      </c>
      <c r="B40" s="53" t="s">
        <v>55</v>
      </c>
      <c r="C40" s="54">
        <f t="shared" si="43"/>
        <v>89000</v>
      </c>
      <c r="D40" s="55">
        <v>0</v>
      </c>
      <c r="E40" s="55">
        <v>89000</v>
      </c>
      <c r="F40" s="55">
        <f ca="1">IFERROR(__xludf.DUMMYFUNCTION("IMPORTRANGE(""https://docs.google.com/spreadsheets/d/1XL5vhW3sbDhbH9Cz0tuDiY8C3ctxq1tqvaCgkFb8cCA/edit?usp=sharing"",""บุรีรัมย์!M169"")"),0)</f>
        <v>0</v>
      </c>
      <c r="G40" s="99">
        <f t="shared" ca="1" si="1"/>
        <v>0</v>
      </c>
      <c r="H40" s="55">
        <v>1</v>
      </c>
      <c r="I40" s="55">
        <f ca="1">IFERROR(__xludf.DUMMYFUNCTION("IMPORTRANGE(""https://docs.google.com/spreadsheets/d/1XL5vhW3sbDhbH9Cz0tuDiY8C3ctxq1tqvaCgkFb8cCA/edit?usp=sharing"",""บุรีรัมย์!j179"")"),0)</f>
        <v>0</v>
      </c>
      <c r="J40" s="99">
        <f t="shared" ca="1" si="3"/>
        <v>0</v>
      </c>
      <c r="K40" s="55">
        <v>25</v>
      </c>
      <c r="L40" s="55">
        <f ca="1">IFERROR(__xludf.DUMMYFUNCTION("IMPORTRANGE(""https://docs.google.com/spreadsheets/d/1XL5vhW3sbDhbH9Cz0tuDiY8C3ctxq1tqvaCgkFb8cCA/edit?usp=sharing"",""บุรีรัมย์!j180"")"),0)</f>
        <v>0</v>
      </c>
      <c r="M40" s="99">
        <f t="shared" ca="1" si="5"/>
        <v>0</v>
      </c>
      <c r="N40" s="55">
        <v>25</v>
      </c>
      <c r="O40" s="55">
        <f ca="1">IFERROR(__xludf.DUMMYFUNCTION("IMPORTRANGE(""https://docs.google.com/spreadsheets/d/1XL5vhW3sbDhbH9Cz0tuDiY8C3ctxq1tqvaCgkFb8cCA/edit?usp=sharing"",""บุรีรัมย์!j181"")"),0)</f>
        <v>0</v>
      </c>
      <c r="P40" s="99">
        <f t="shared" ca="1" si="7"/>
        <v>0</v>
      </c>
      <c r="Q40" s="55">
        <v>1</v>
      </c>
      <c r="R40" s="55">
        <f ca="1">IFERROR(__xludf.DUMMYFUNCTION("IMPORTRANGE(""https://docs.google.com/spreadsheets/d/1XL5vhW3sbDhbH9Cz0tuDiY8C3ctxq1tqvaCgkFb8cCA/edit?usp=sharing"",""บุรีรัมย์!j182"")"),0)</f>
        <v>0</v>
      </c>
      <c r="S40" s="99">
        <f t="shared" ca="1" si="9"/>
        <v>0</v>
      </c>
      <c r="T40" s="54">
        <f t="shared" si="44"/>
        <v>447600</v>
      </c>
      <c r="U40" s="55">
        <v>264000</v>
      </c>
      <c r="V40" s="55">
        <v>183600</v>
      </c>
      <c r="W40" s="55">
        <f ca="1">IFERROR(__xludf.DUMMYFUNCTION("IMPORTRANGE(""https://docs.google.com/spreadsheets/d/1XL5vhW3sbDhbH9Cz0tuDiY8C3ctxq1tqvaCgkFb8cCA/edit?usp=sharing"",""บุรีรัมย์!m185"")"),18500)</f>
        <v>18500</v>
      </c>
      <c r="X40" s="99">
        <f t="shared" ca="1" si="11"/>
        <v>4.1331546023235033</v>
      </c>
      <c r="Y40" s="55">
        <v>20</v>
      </c>
      <c r="Z40" s="55">
        <f ca="1">IFERROR(__xludf.DUMMYFUNCTION("IMPORTRANGE(""https://docs.google.com/spreadsheets/d/1XL5vhW3sbDhbH9Cz0tuDiY8C3ctxq1tqvaCgkFb8cCA/edit?usp=sharing"",""บุรีรัมย์!j195"")"),0)</f>
        <v>0</v>
      </c>
      <c r="AA40" s="99">
        <f t="shared" ca="1" si="13"/>
        <v>0</v>
      </c>
    </row>
    <row r="41" spans="1:27" ht="24" customHeight="1" x14ac:dyDescent="0.5">
      <c r="A41" s="52">
        <v>8</v>
      </c>
      <c r="B41" s="53" t="s">
        <v>56</v>
      </c>
      <c r="C41" s="54">
        <f t="shared" si="43"/>
        <v>0</v>
      </c>
      <c r="D41" s="55">
        <v>0</v>
      </c>
      <c r="E41" s="55">
        <v>0</v>
      </c>
      <c r="F41" s="55">
        <f ca="1">IFERROR(__xludf.DUMMYFUNCTION("IMPORTRANGE(""https://docs.google.com/spreadsheets/d/1XL5vhW3sbDhbH9Cz0tuDiY8C3ctxq1tqvaCgkFb8cCA/edit?usp=sharing"",""มหาสารคาม!M169"")"),0)</f>
        <v>0</v>
      </c>
      <c r="G41" s="99">
        <f t="shared" si="1"/>
        <v>0</v>
      </c>
      <c r="H41" s="55">
        <v>0</v>
      </c>
      <c r="I41" s="55">
        <f ca="1">IFERROR(__xludf.DUMMYFUNCTION("IMPORTRANGE(""https://docs.google.com/spreadsheets/d/1XL5vhW3sbDhbH9Cz0tuDiY8C3ctxq1tqvaCgkFb8cCA/edit?usp=sharing"",""มหาสารคาม!j179"")"),0)</f>
        <v>0</v>
      </c>
      <c r="J41" s="99">
        <f t="shared" si="3"/>
        <v>0</v>
      </c>
      <c r="K41" s="55">
        <v>0</v>
      </c>
      <c r="L41" s="55">
        <f ca="1">IFERROR(__xludf.DUMMYFUNCTION("IMPORTRANGE(""https://docs.google.com/spreadsheets/d/1XL5vhW3sbDhbH9Cz0tuDiY8C3ctxq1tqvaCgkFb8cCA/edit?usp=sharing"",""มหาสารคาม!j180"")"),0)</f>
        <v>0</v>
      </c>
      <c r="M41" s="99">
        <f t="shared" si="5"/>
        <v>0</v>
      </c>
      <c r="N41" s="55">
        <v>0</v>
      </c>
      <c r="O41" s="55">
        <f ca="1">IFERROR(__xludf.DUMMYFUNCTION("IMPORTRANGE(""https://docs.google.com/spreadsheets/d/1XL5vhW3sbDhbH9Cz0tuDiY8C3ctxq1tqvaCgkFb8cCA/edit?usp=sharing"",""มหาสารคาม!j181"")"),0)</f>
        <v>0</v>
      </c>
      <c r="P41" s="99">
        <f t="shared" si="7"/>
        <v>0</v>
      </c>
      <c r="Q41" s="55">
        <v>0</v>
      </c>
      <c r="R41" s="55">
        <f ca="1">IFERROR(__xludf.DUMMYFUNCTION("IMPORTRANGE(""https://docs.google.com/spreadsheets/d/1XL5vhW3sbDhbH9Cz0tuDiY8C3ctxq1tqvaCgkFb8cCA/edit?usp=sharing"",""มหาสารคาม!j182"")"),0)</f>
        <v>0</v>
      </c>
      <c r="S41" s="99">
        <f t="shared" si="9"/>
        <v>0</v>
      </c>
      <c r="T41" s="54">
        <f t="shared" si="44"/>
        <v>55200</v>
      </c>
      <c r="U41" s="55">
        <v>0</v>
      </c>
      <c r="V41" s="55">
        <v>55200</v>
      </c>
      <c r="W41" s="55">
        <f ca="1">IFERROR(__xludf.DUMMYFUNCTION("IMPORTRANGE(""https://docs.google.com/spreadsheets/d/1XL5vhW3sbDhbH9Cz0tuDiY8C3ctxq1tqvaCgkFb8cCA/edit?usp=sharing"",""มหาสารคาม!m185"")"),0)</f>
        <v>0</v>
      </c>
      <c r="X41" s="99">
        <f t="shared" ca="1" si="11"/>
        <v>0</v>
      </c>
      <c r="Y41" s="55">
        <v>15</v>
      </c>
      <c r="Z41" s="55">
        <f ca="1">IFERROR(__xludf.DUMMYFUNCTION("IMPORTRANGE(""https://docs.google.com/spreadsheets/d/1XL5vhW3sbDhbH9Cz0tuDiY8C3ctxq1tqvaCgkFb8cCA/edit?usp=sharing"",""มหาสารคาม!j195"")"),0)</f>
        <v>0</v>
      </c>
      <c r="AA41" s="99">
        <f t="shared" ca="1" si="13"/>
        <v>0</v>
      </c>
    </row>
    <row r="42" spans="1:27" ht="24" customHeight="1" x14ac:dyDescent="0.5">
      <c r="A42" s="52">
        <v>9</v>
      </c>
      <c r="B42" s="53" t="s">
        <v>57</v>
      </c>
      <c r="C42" s="54">
        <f t="shared" si="43"/>
        <v>0</v>
      </c>
      <c r="D42" s="55">
        <v>0</v>
      </c>
      <c r="E42" s="55">
        <v>0</v>
      </c>
      <c r="F42" s="55">
        <f ca="1">IFERROR(__xludf.DUMMYFUNCTION("IMPORTRANGE(""https://docs.google.com/spreadsheets/d/1XL5vhW3sbDhbH9Cz0tuDiY8C3ctxq1tqvaCgkFb8cCA/edit?usp=sharing"",""มุกดาหาร!M169"")"),0)</f>
        <v>0</v>
      </c>
      <c r="G42" s="99">
        <f t="shared" si="1"/>
        <v>0</v>
      </c>
      <c r="H42" s="55">
        <v>0</v>
      </c>
      <c r="I42" s="55">
        <f ca="1">IFERROR(__xludf.DUMMYFUNCTION("IMPORTRANGE(""https://docs.google.com/spreadsheets/d/1XL5vhW3sbDhbH9Cz0tuDiY8C3ctxq1tqvaCgkFb8cCA/edit?usp=sharing"",""มุกดาหาร!j179"")"),0)</f>
        <v>0</v>
      </c>
      <c r="J42" s="99">
        <f t="shared" si="3"/>
        <v>0</v>
      </c>
      <c r="K42" s="55">
        <v>0</v>
      </c>
      <c r="L42" s="55">
        <f ca="1">IFERROR(__xludf.DUMMYFUNCTION("IMPORTRANGE(""https://docs.google.com/spreadsheets/d/1XL5vhW3sbDhbH9Cz0tuDiY8C3ctxq1tqvaCgkFb8cCA/edit?usp=sharing"",""มุกดาหาร!j180"")"),0)</f>
        <v>0</v>
      </c>
      <c r="M42" s="99">
        <f t="shared" si="5"/>
        <v>0</v>
      </c>
      <c r="N42" s="55">
        <v>0</v>
      </c>
      <c r="O42" s="55">
        <f ca="1">IFERROR(__xludf.DUMMYFUNCTION("IMPORTRANGE(""https://docs.google.com/spreadsheets/d/1XL5vhW3sbDhbH9Cz0tuDiY8C3ctxq1tqvaCgkFb8cCA/edit?usp=sharing"",""มุกดาหาร!j181"")"),0)</f>
        <v>0</v>
      </c>
      <c r="P42" s="99">
        <f t="shared" si="7"/>
        <v>0</v>
      </c>
      <c r="Q42" s="55">
        <v>0</v>
      </c>
      <c r="R42" s="55">
        <f ca="1">IFERROR(__xludf.DUMMYFUNCTION("IMPORTRANGE(""https://docs.google.com/spreadsheets/d/1XL5vhW3sbDhbH9Cz0tuDiY8C3ctxq1tqvaCgkFb8cCA/edit?usp=sharing"",""มุกดาหาร!j182"")"),0)</f>
        <v>0</v>
      </c>
      <c r="S42" s="99">
        <f t="shared" si="9"/>
        <v>0</v>
      </c>
      <c r="T42" s="54">
        <f t="shared" si="44"/>
        <v>55200</v>
      </c>
      <c r="U42" s="55">
        <v>0</v>
      </c>
      <c r="V42" s="55">
        <v>55200</v>
      </c>
      <c r="W42" s="55">
        <f ca="1">IFERROR(__xludf.DUMMYFUNCTION("IMPORTRANGE(""https://docs.google.com/spreadsheets/d/1XL5vhW3sbDhbH9Cz0tuDiY8C3ctxq1tqvaCgkFb8cCA/edit?usp=sharing"",""มุกดาหาร!m185"")"),0)</f>
        <v>0</v>
      </c>
      <c r="X42" s="99">
        <f t="shared" ca="1" si="11"/>
        <v>0</v>
      </c>
      <c r="Y42" s="55">
        <v>15</v>
      </c>
      <c r="Z42" s="55">
        <f ca="1">IFERROR(__xludf.DUMMYFUNCTION("IMPORTRANGE(""https://docs.google.com/spreadsheets/d/1XL5vhW3sbDhbH9Cz0tuDiY8C3ctxq1tqvaCgkFb8cCA/edit?usp=sharing"",""มุกดาหาร!j195"")"),0)</f>
        <v>0</v>
      </c>
      <c r="AA42" s="99">
        <f t="shared" ca="1" si="13"/>
        <v>0</v>
      </c>
    </row>
    <row r="43" spans="1:27" ht="24" customHeight="1" x14ac:dyDescent="0.5">
      <c r="A43" s="52">
        <v>10</v>
      </c>
      <c r="B43" s="53" t="s">
        <v>58</v>
      </c>
      <c r="C43" s="54">
        <f t="shared" si="43"/>
        <v>0</v>
      </c>
      <c r="D43" s="55">
        <v>0</v>
      </c>
      <c r="E43" s="55">
        <v>0</v>
      </c>
      <c r="F43" s="55">
        <f ca="1">IFERROR(__xludf.DUMMYFUNCTION("IMPORTRANGE(""https://docs.google.com/spreadsheets/d/1XL5vhW3sbDhbH9Cz0tuDiY8C3ctxq1tqvaCgkFb8cCA/edit?usp=sharing"",""ยโสธร!M169"")"),0)</f>
        <v>0</v>
      </c>
      <c r="G43" s="99">
        <f t="shared" si="1"/>
        <v>0</v>
      </c>
      <c r="H43" s="55">
        <v>0</v>
      </c>
      <c r="I43" s="55">
        <f ca="1">IFERROR(__xludf.DUMMYFUNCTION("IMPORTRANGE(""https://docs.google.com/spreadsheets/d/1XL5vhW3sbDhbH9Cz0tuDiY8C3ctxq1tqvaCgkFb8cCA/edit?usp=sharing"",""ยโสธร!j179"")"),0)</f>
        <v>0</v>
      </c>
      <c r="J43" s="99">
        <f t="shared" si="3"/>
        <v>0</v>
      </c>
      <c r="K43" s="55">
        <v>0</v>
      </c>
      <c r="L43" s="55">
        <f ca="1">IFERROR(__xludf.DUMMYFUNCTION("IMPORTRANGE(""https://docs.google.com/spreadsheets/d/1XL5vhW3sbDhbH9Cz0tuDiY8C3ctxq1tqvaCgkFb8cCA/edit?usp=sharing"",""ยโสธร!j180"")"),0)</f>
        <v>0</v>
      </c>
      <c r="M43" s="99">
        <f t="shared" si="5"/>
        <v>0</v>
      </c>
      <c r="N43" s="55">
        <v>0</v>
      </c>
      <c r="O43" s="55">
        <f ca="1">IFERROR(__xludf.DUMMYFUNCTION("IMPORTRANGE(""https://docs.google.com/spreadsheets/d/1XL5vhW3sbDhbH9Cz0tuDiY8C3ctxq1tqvaCgkFb8cCA/edit?usp=sharing"",""ยโสธร!j181"")"),0)</f>
        <v>0</v>
      </c>
      <c r="P43" s="99">
        <f t="shared" si="7"/>
        <v>0</v>
      </c>
      <c r="Q43" s="55">
        <v>0</v>
      </c>
      <c r="R43" s="55">
        <f ca="1">IFERROR(__xludf.DUMMYFUNCTION("IMPORTRANGE(""https://docs.google.com/spreadsheets/d/1XL5vhW3sbDhbH9Cz0tuDiY8C3ctxq1tqvaCgkFb8cCA/edit?usp=sharing"",""ยโสธร!j182"")"),0)</f>
        <v>0</v>
      </c>
      <c r="S43" s="99">
        <f t="shared" si="9"/>
        <v>0</v>
      </c>
      <c r="T43" s="54">
        <f t="shared" si="44"/>
        <v>55200</v>
      </c>
      <c r="U43" s="55">
        <v>0</v>
      </c>
      <c r="V43" s="55">
        <v>55200</v>
      </c>
      <c r="W43" s="55">
        <f ca="1">IFERROR(__xludf.DUMMYFUNCTION("IMPORTRANGE(""https://docs.google.com/spreadsheets/d/1XL5vhW3sbDhbH9Cz0tuDiY8C3ctxq1tqvaCgkFb8cCA/edit?usp=sharing"",""ยโสธร!m185"")"),0)</f>
        <v>0</v>
      </c>
      <c r="X43" s="99">
        <f t="shared" ca="1" si="11"/>
        <v>0</v>
      </c>
      <c r="Y43" s="55">
        <v>15</v>
      </c>
      <c r="Z43" s="55">
        <f ca="1">IFERROR(__xludf.DUMMYFUNCTION("IMPORTRANGE(""https://docs.google.com/spreadsheets/d/1XL5vhW3sbDhbH9Cz0tuDiY8C3ctxq1tqvaCgkFb8cCA/edit?usp=sharing"",""ยโสธร!j195"")"),0)</f>
        <v>0</v>
      </c>
      <c r="AA43" s="99">
        <f t="shared" ca="1" si="13"/>
        <v>0</v>
      </c>
    </row>
    <row r="44" spans="1:27" ht="24" customHeight="1" x14ac:dyDescent="0.5">
      <c r="A44" s="52">
        <v>11</v>
      </c>
      <c r="B44" s="53" t="s">
        <v>59</v>
      </c>
      <c r="C44" s="54">
        <f t="shared" si="43"/>
        <v>0</v>
      </c>
      <c r="D44" s="55">
        <v>0</v>
      </c>
      <c r="E44" s="55">
        <v>0</v>
      </c>
      <c r="F44" s="55">
        <f ca="1">IFERROR(__xludf.DUMMYFUNCTION("IMPORTRANGE(""https://docs.google.com/spreadsheets/d/1XL5vhW3sbDhbH9Cz0tuDiY8C3ctxq1tqvaCgkFb8cCA/edit?usp=sharing"",""ร้อยเอ็ด!M169"")"),0)</f>
        <v>0</v>
      </c>
      <c r="G44" s="99">
        <f t="shared" si="1"/>
        <v>0</v>
      </c>
      <c r="H44" s="55">
        <v>0</v>
      </c>
      <c r="I44" s="55">
        <f ca="1">IFERROR(__xludf.DUMMYFUNCTION("IMPORTRANGE(""https://docs.google.com/spreadsheets/d/1XL5vhW3sbDhbH9Cz0tuDiY8C3ctxq1tqvaCgkFb8cCA/edit?usp=sharing"",""ร้อยเอ็ด!j179"")"),0)</f>
        <v>0</v>
      </c>
      <c r="J44" s="99">
        <f t="shared" si="3"/>
        <v>0</v>
      </c>
      <c r="K44" s="55">
        <v>0</v>
      </c>
      <c r="L44" s="55">
        <f ca="1">IFERROR(__xludf.DUMMYFUNCTION("IMPORTRANGE(""https://docs.google.com/spreadsheets/d/1XL5vhW3sbDhbH9Cz0tuDiY8C3ctxq1tqvaCgkFb8cCA/edit?usp=sharing"",""ร้อยเอ็ด!j180"")"),0)</f>
        <v>0</v>
      </c>
      <c r="M44" s="99">
        <f t="shared" si="5"/>
        <v>0</v>
      </c>
      <c r="N44" s="55">
        <v>0</v>
      </c>
      <c r="O44" s="55">
        <f ca="1">IFERROR(__xludf.DUMMYFUNCTION("IMPORTRANGE(""https://docs.google.com/spreadsheets/d/1XL5vhW3sbDhbH9Cz0tuDiY8C3ctxq1tqvaCgkFb8cCA/edit?usp=sharing"",""ร้อยเอ็ด!j181"")"),0)</f>
        <v>0</v>
      </c>
      <c r="P44" s="99">
        <f t="shared" si="7"/>
        <v>0</v>
      </c>
      <c r="Q44" s="55">
        <v>0</v>
      </c>
      <c r="R44" s="55">
        <f ca="1">IFERROR(__xludf.DUMMYFUNCTION("IMPORTRANGE(""https://docs.google.com/spreadsheets/d/1XL5vhW3sbDhbH9Cz0tuDiY8C3ctxq1tqvaCgkFb8cCA/edit?usp=sharing"",""ร้อยเอ็ด!j182"")"),0)</f>
        <v>0</v>
      </c>
      <c r="S44" s="99">
        <f t="shared" si="9"/>
        <v>0</v>
      </c>
      <c r="T44" s="54">
        <f t="shared" si="44"/>
        <v>55200</v>
      </c>
      <c r="U44" s="55">
        <v>0</v>
      </c>
      <c r="V44" s="55">
        <v>55200</v>
      </c>
      <c r="W44" s="55">
        <f ca="1">IFERROR(__xludf.DUMMYFUNCTION("IMPORTRANGE(""https://docs.google.com/spreadsheets/d/1XL5vhW3sbDhbH9Cz0tuDiY8C3ctxq1tqvaCgkFb8cCA/edit?usp=sharing"",""ร้อยเอ็ด!m185"")"),0)</f>
        <v>0</v>
      </c>
      <c r="X44" s="99">
        <f t="shared" ca="1" si="11"/>
        <v>0</v>
      </c>
      <c r="Y44" s="55">
        <v>15</v>
      </c>
      <c r="Z44" s="55">
        <f ca="1">IFERROR(__xludf.DUMMYFUNCTION("IMPORTRANGE(""https://docs.google.com/spreadsheets/d/1XL5vhW3sbDhbH9Cz0tuDiY8C3ctxq1tqvaCgkFb8cCA/edit?usp=sharing"",""ร้อยเอ็ด!j195"")"),0)</f>
        <v>0</v>
      </c>
      <c r="AA44" s="99">
        <f t="shared" ca="1" si="13"/>
        <v>0</v>
      </c>
    </row>
    <row r="45" spans="1:27" ht="24" customHeight="1" x14ac:dyDescent="0.5">
      <c r="A45" s="52">
        <v>12</v>
      </c>
      <c r="B45" s="53" t="s">
        <v>60</v>
      </c>
      <c r="C45" s="54">
        <f t="shared" si="43"/>
        <v>0</v>
      </c>
      <c r="D45" s="55">
        <v>0</v>
      </c>
      <c r="E45" s="55">
        <v>0</v>
      </c>
      <c r="F45" s="55">
        <f ca="1">IFERROR(__xludf.DUMMYFUNCTION("IMPORTRANGE(""https://docs.google.com/spreadsheets/d/1XL5vhW3sbDhbH9Cz0tuDiY8C3ctxq1tqvaCgkFb8cCA/edit?usp=sharing"",""เลย!M169"")"),0)</f>
        <v>0</v>
      </c>
      <c r="G45" s="99">
        <f t="shared" si="1"/>
        <v>0</v>
      </c>
      <c r="H45" s="55">
        <v>0</v>
      </c>
      <c r="I45" s="55">
        <f ca="1">IFERROR(__xludf.DUMMYFUNCTION("IMPORTRANGE(""https://docs.google.com/spreadsheets/d/1XL5vhW3sbDhbH9Cz0tuDiY8C3ctxq1tqvaCgkFb8cCA/edit?usp=sharing"",""เลย!j179"")"),0)</f>
        <v>0</v>
      </c>
      <c r="J45" s="99">
        <f t="shared" si="3"/>
        <v>0</v>
      </c>
      <c r="K45" s="55">
        <v>0</v>
      </c>
      <c r="L45" s="55">
        <f ca="1">IFERROR(__xludf.DUMMYFUNCTION("IMPORTRANGE(""https://docs.google.com/spreadsheets/d/1XL5vhW3sbDhbH9Cz0tuDiY8C3ctxq1tqvaCgkFb8cCA/edit?usp=sharing"",""เลย!j180"")"),0)</f>
        <v>0</v>
      </c>
      <c r="M45" s="99">
        <f t="shared" si="5"/>
        <v>0</v>
      </c>
      <c r="N45" s="55">
        <v>0</v>
      </c>
      <c r="O45" s="55">
        <f ca="1">IFERROR(__xludf.DUMMYFUNCTION("IMPORTRANGE(""https://docs.google.com/spreadsheets/d/1XL5vhW3sbDhbH9Cz0tuDiY8C3ctxq1tqvaCgkFb8cCA/edit?usp=sharing"",""เลย!j181"")"),0)</f>
        <v>0</v>
      </c>
      <c r="P45" s="99">
        <f t="shared" si="7"/>
        <v>0</v>
      </c>
      <c r="Q45" s="55">
        <v>0</v>
      </c>
      <c r="R45" s="55">
        <f ca="1">IFERROR(__xludf.DUMMYFUNCTION("IMPORTRANGE(""https://docs.google.com/spreadsheets/d/1XL5vhW3sbDhbH9Cz0tuDiY8C3ctxq1tqvaCgkFb8cCA/edit?usp=sharing"",""เลย!j182"")"),0)</f>
        <v>0</v>
      </c>
      <c r="S45" s="99">
        <f t="shared" si="9"/>
        <v>0</v>
      </c>
      <c r="T45" s="54">
        <f t="shared" si="44"/>
        <v>55200</v>
      </c>
      <c r="U45" s="55">
        <v>0</v>
      </c>
      <c r="V45" s="55">
        <v>55200</v>
      </c>
      <c r="W45" s="55">
        <f ca="1">IFERROR(__xludf.DUMMYFUNCTION("IMPORTRANGE(""https://docs.google.com/spreadsheets/d/1XL5vhW3sbDhbH9Cz0tuDiY8C3ctxq1tqvaCgkFb8cCA/edit?usp=sharing"",""เลย!m185"")"),0)</f>
        <v>0</v>
      </c>
      <c r="X45" s="99">
        <f t="shared" ca="1" si="11"/>
        <v>0</v>
      </c>
      <c r="Y45" s="55">
        <v>15</v>
      </c>
      <c r="Z45" s="55">
        <f ca="1">IFERROR(__xludf.DUMMYFUNCTION("IMPORTRANGE(""https://docs.google.com/spreadsheets/d/1XL5vhW3sbDhbH9Cz0tuDiY8C3ctxq1tqvaCgkFb8cCA/edit?usp=sharing"",""เลย!j195"")"),0)</f>
        <v>0</v>
      </c>
      <c r="AA45" s="99">
        <f t="shared" ca="1" si="13"/>
        <v>0</v>
      </c>
    </row>
    <row r="46" spans="1:27" ht="24" customHeight="1" x14ac:dyDescent="0.5">
      <c r="A46" s="52">
        <v>13</v>
      </c>
      <c r="B46" s="53" t="s">
        <v>61</v>
      </c>
      <c r="C46" s="54">
        <f t="shared" si="43"/>
        <v>89000</v>
      </c>
      <c r="D46" s="55">
        <v>0</v>
      </c>
      <c r="E46" s="55">
        <v>89000</v>
      </c>
      <c r="F46" s="55">
        <f ca="1">IFERROR(__xludf.DUMMYFUNCTION("IMPORTRANGE(""https://docs.google.com/spreadsheets/d/1XL5vhW3sbDhbH9Cz0tuDiY8C3ctxq1tqvaCgkFb8cCA/edit?usp=sharing"",""ศรีสะเกษ!M169"")"),0)</f>
        <v>0</v>
      </c>
      <c r="G46" s="99">
        <f t="shared" ca="1" si="1"/>
        <v>0</v>
      </c>
      <c r="H46" s="55">
        <v>1</v>
      </c>
      <c r="I46" s="55">
        <f ca="1">IFERROR(__xludf.DUMMYFUNCTION("IMPORTRANGE(""https://docs.google.com/spreadsheets/d/1XL5vhW3sbDhbH9Cz0tuDiY8C3ctxq1tqvaCgkFb8cCA/edit?usp=sharing"",""ศรีสะเกษ!j179"")"),0)</f>
        <v>0</v>
      </c>
      <c r="J46" s="99">
        <f t="shared" ca="1" si="3"/>
        <v>0</v>
      </c>
      <c r="K46" s="55">
        <v>25</v>
      </c>
      <c r="L46" s="55">
        <f ca="1">IFERROR(__xludf.DUMMYFUNCTION("IMPORTRANGE(""https://docs.google.com/spreadsheets/d/1XL5vhW3sbDhbH9Cz0tuDiY8C3ctxq1tqvaCgkFb8cCA/edit?usp=sharing"",""ศรีสะเกษ!j180"")"),0)</f>
        <v>0</v>
      </c>
      <c r="M46" s="99">
        <f t="shared" ca="1" si="5"/>
        <v>0</v>
      </c>
      <c r="N46" s="55">
        <v>25</v>
      </c>
      <c r="O46" s="55">
        <f ca="1">IFERROR(__xludf.DUMMYFUNCTION("IMPORTRANGE(""https://docs.google.com/spreadsheets/d/1XL5vhW3sbDhbH9Cz0tuDiY8C3ctxq1tqvaCgkFb8cCA/edit?usp=sharing"",""ศรีสะเกษ!j181"")"),0)</f>
        <v>0</v>
      </c>
      <c r="P46" s="99">
        <f t="shared" ca="1" si="7"/>
        <v>0</v>
      </c>
      <c r="Q46" s="55">
        <v>1</v>
      </c>
      <c r="R46" s="55">
        <f ca="1">IFERROR(__xludf.DUMMYFUNCTION("IMPORTRANGE(""https://docs.google.com/spreadsheets/d/1XL5vhW3sbDhbH9Cz0tuDiY8C3ctxq1tqvaCgkFb8cCA/edit?usp=sharing"",""ศรีสะเกษ!j182"")"),0)</f>
        <v>0</v>
      </c>
      <c r="S46" s="99">
        <f t="shared" ca="1" si="9"/>
        <v>0</v>
      </c>
      <c r="T46" s="54">
        <f t="shared" si="44"/>
        <v>183600</v>
      </c>
      <c r="U46" s="55">
        <v>0</v>
      </c>
      <c r="V46" s="55">
        <v>183600</v>
      </c>
      <c r="W46" s="55">
        <f ca="1">IFERROR(__xludf.DUMMYFUNCTION("IMPORTRANGE(""https://docs.google.com/spreadsheets/d/1XL5vhW3sbDhbH9Cz0tuDiY8C3ctxq1tqvaCgkFb8cCA/edit?usp=sharing"",""ศรีสะเกษ!m185"")"),0)</f>
        <v>0</v>
      </c>
      <c r="X46" s="99">
        <f t="shared" ca="1" si="11"/>
        <v>0</v>
      </c>
      <c r="Y46" s="55">
        <v>20</v>
      </c>
      <c r="Z46" s="55">
        <f ca="1">IFERROR(__xludf.DUMMYFUNCTION("IMPORTRANGE(""https://docs.google.com/spreadsheets/d/1XL5vhW3sbDhbH9Cz0tuDiY8C3ctxq1tqvaCgkFb8cCA/edit?usp=sharing"",""ศรีสะเกษ!j195"")"),0)</f>
        <v>0</v>
      </c>
      <c r="AA46" s="99">
        <f t="shared" ca="1" si="13"/>
        <v>0</v>
      </c>
    </row>
    <row r="47" spans="1:27" ht="24" customHeight="1" x14ac:dyDescent="0.5">
      <c r="A47" s="52">
        <v>14</v>
      </c>
      <c r="B47" s="53" t="s">
        <v>62</v>
      </c>
      <c r="C47" s="54">
        <f t="shared" si="43"/>
        <v>89000</v>
      </c>
      <c r="D47" s="55">
        <v>0</v>
      </c>
      <c r="E47" s="55">
        <v>89000</v>
      </c>
      <c r="F47" s="55">
        <f ca="1">IFERROR(__xludf.DUMMYFUNCTION("IMPORTRANGE(""https://docs.google.com/spreadsheets/d/1XL5vhW3sbDhbH9Cz0tuDiY8C3ctxq1tqvaCgkFb8cCA/edit?usp=sharing"",""สกลนคร!M169"")"),0)</f>
        <v>0</v>
      </c>
      <c r="G47" s="99">
        <f t="shared" ca="1" si="1"/>
        <v>0</v>
      </c>
      <c r="H47" s="55">
        <v>1</v>
      </c>
      <c r="I47" s="55">
        <f ca="1">IFERROR(__xludf.DUMMYFUNCTION("IMPORTRANGE(""https://docs.google.com/spreadsheets/d/1XL5vhW3sbDhbH9Cz0tuDiY8C3ctxq1tqvaCgkFb8cCA/edit?usp=sharing"",""สกลนคร!j179"")"),0)</f>
        <v>0</v>
      </c>
      <c r="J47" s="99">
        <f t="shared" ca="1" si="3"/>
        <v>0</v>
      </c>
      <c r="K47" s="55">
        <v>25</v>
      </c>
      <c r="L47" s="55">
        <f ca="1">IFERROR(__xludf.DUMMYFUNCTION("IMPORTRANGE(""https://docs.google.com/spreadsheets/d/1XL5vhW3sbDhbH9Cz0tuDiY8C3ctxq1tqvaCgkFb8cCA/edit?usp=sharing"",""สกลนคร!j180"")"),0)</f>
        <v>0</v>
      </c>
      <c r="M47" s="99">
        <f t="shared" ca="1" si="5"/>
        <v>0</v>
      </c>
      <c r="N47" s="55">
        <v>25</v>
      </c>
      <c r="O47" s="55">
        <f ca="1">IFERROR(__xludf.DUMMYFUNCTION("IMPORTRANGE(""https://docs.google.com/spreadsheets/d/1XL5vhW3sbDhbH9Cz0tuDiY8C3ctxq1tqvaCgkFb8cCA/edit?usp=sharing"",""สกลนคร!j181"")"),0)</f>
        <v>0</v>
      </c>
      <c r="P47" s="99">
        <f t="shared" ca="1" si="7"/>
        <v>0</v>
      </c>
      <c r="Q47" s="55">
        <v>1</v>
      </c>
      <c r="R47" s="55">
        <f ca="1">IFERROR(__xludf.DUMMYFUNCTION("IMPORTRANGE(""https://docs.google.com/spreadsheets/d/1XL5vhW3sbDhbH9Cz0tuDiY8C3ctxq1tqvaCgkFb8cCA/edit?usp=sharing"",""สกลนคร!j182"")"),0)</f>
        <v>0</v>
      </c>
      <c r="S47" s="99">
        <f t="shared" ca="1" si="9"/>
        <v>0</v>
      </c>
      <c r="T47" s="54">
        <f t="shared" si="44"/>
        <v>0</v>
      </c>
      <c r="U47" s="55">
        <v>0</v>
      </c>
      <c r="V47" s="55">
        <v>0</v>
      </c>
      <c r="W47" s="55">
        <f ca="1">IFERROR(__xludf.DUMMYFUNCTION("IMPORTRANGE(""https://docs.google.com/spreadsheets/d/1XL5vhW3sbDhbH9Cz0tuDiY8C3ctxq1tqvaCgkFb8cCA/edit?usp=sharing"",""สกลนคร!m185"")"),0)</f>
        <v>0</v>
      </c>
      <c r="X47" s="99">
        <f t="shared" si="11"/>
        <v>0</v>
      </c>
      <c r="Y47" s="55">
        <v>0</v>
      </c>
      <c r="Z47" s="55">
        <f ca="1">IFERROR(__xludf.DUMMYFUNCTION("IMPORTRANGE(""https://docs.google.com/spreadsheets/d/1XL5vhW3sbDhbH9Cz0tuDiY8C3ctxq1tqvaCgkFb8cCA/edit?usp=sharing"",""สกลนคร!j195"")"),0)</f>
        <v>0</v>
      </c>
      <c r="AA47" s="99">
        <f t="shared" si="13"/>
        <v>0</v>
      </c>
    </row>
    <row r="48" spans="1:27" ht="24" customHeight="1" x14ac:dyDescent="0.5">
      <c r="A48" s="52">
        <v>15</v>
      </c>
      <c r="B48" s="53" t="s">
        <v>63</v>
      </c>
      <c r="C48" s="54">
        <f t="shared" si="43"/>
        <v>0</v>
      </c>
      <c r="D48" s="55">
        <v>0</v>
      </c>
      <c r="E48" s="55">
        <v>0</v>
      </c>
      <c r="F48" s="55">
        <f ca="1">IFERROR(__xludf.DUMMYFUNCTION("IMPORTRANGE(""https://docs.google.com/spreadsheets/d/1XL5vhW3sbDhbH9Cz0tuDiY8C3ctxq1tqvaCgkFb8cCA/edit?usp=sharing"",""สุรินทร์!M169"")"),0)</f>
        <v>0</v>
      </c>
      <c r="G48" s="99">
        <f t="shared" si="1"/>
        <v>0</v>
      </c>
      <c r="H48" s="55">
        <v>0</v>
      </c>
      <c r="I48" s="55">
        <f ca="1">IFERROR(__xludf.DUMMYFUNCTION("IMPORTRANGE(""https://docs.google.com/spreadsheets/d/1XL5vhW3sbDhbH9Cz0tuDiY8C3ctxq1tqvaCgkFb8cCA/edit?usp=sharing"",""สุรินทร์!j179"")"),0)</f>
        <v>0</v>
      </c>
      <c r="J48" s="99">
        <f t="shared" si="3"/>
        <v>0</v>
      </c>
      <c r="K48" s="55">
        <v>0</v>
      </c>
      <c r="L48" s="55">
        <f ca="1">IFERROR(__xludf.DUMMYFUNCTION("IMPORTRANGE(""https://docs.google.com/spreadsheets/d/1XL5vhW3sbDhbH9Cz0tuDiY8C3ctxq1tqvaCgkFb8cCA/edit?usp=sharing"",""สุรินทร์!j180"")"),0)</f>
        <v>0</v>
      </c>
      <c r="M48" s="99">
        <f t="shared" si="5"/>
        <v>0</v>
      </c>
      <c r="N48" s="55">
        <v>0</v>
      </c>
      <c r="O48" s="55">
        <f ca="1">IFERROR(__xludf.DUMMYFUNCTION("IMPORTRANGE(""https://docs.google.com/spreadsheets/d/1XL5vhW3sbDhbH9Cz0tuDiY8C3ctxq1tqvaCgkFb8cCA/edit?usp=sharing"",""สุรินทร์!j181"")"),0)</f>
        <v>0</v>
      </c>
      <c r="P48" s="99">
        <f t="shared" si="7"/>
        <v>0</v>
      </c>
      <c r="Q48" s="55">
        <v>0</v>
      </c>
      <c r="R48" s="55">
        <f ca="1">IFERROR(__xludf.DUMMYFUNCTION("IMPORTRANGE(""https://docs.google.com/spreadsheets/d/1XL5vhW3sbDhbH9Cz0tuDiY8C3ctxq1tqvaCgkFb8cCA/edit?usp=sharing"",""สุรินทร์!j182"")"),0)</f>
        <v>0</v>
      </c>
      <c r="S48" s="99">
        <f t="shared" si="9"/>
        <v>0</v>
      </c>
      <c r="T48" s="54">
        <f t="shared" si="44"/>
        <v>55200</v>
      </c>
      <c r="U48" s="55">
        <v>0</v>
      </c>
      <c r="V48" s="55">
        <v>55200</v>
      </c>
      <c r="W48" s="55">
        <f ca="1">IFERROR(__xludf.DUMMYFUNCTION("IMPORTRANGE(""https://docs.google.com/spreadsheets/d/1XL5vhW3sbDhbH9Cz0tuDiY8C3ctxq1tqvaCgkFb8cCA/edit?usp=sharing"",""สุรินทร์!m185"")"),0)</f>
        <v>0</v>
      </c>
      <c r="X48" s="99">
        <f t="shared" ca="1" si="11"/>
        <v>0</v>
      </c>
      <c r="Y48" s="55">
        <v>15</v>
      </c>
      <c r="Z48" s="55">
        <f ca="1">IFERROR(__xludf.DUMMYFUNCTION("IMPORTRANGE(""https://docs.google.com/spreadsheets/d/1XL5vhW3sbDhbH9Cz0tuDiY8C3ctxq1tqvaCgkFb8cCA/edit?usp=sharing"",""สุรินทร์!j195"")"),0)</f>
        <v>0</v>
      </c>
      <c r="AA48" s="99">
        <f t="shared" ca="1" si="13"/>
        <v>0</v>
      </c>
    </row>
    <row r="49" spans="1:27" ht="24" customHeight="1" x14ac:dyDescent="0.5">
      <c r="A49" s="52">
        <v>16</v>
      </c>
      <c r="B49" s="53" t="s">
        <v>64</v>
      </c>
      <c r="C49" s="54">
        <f t="shared" si="43"/>
        <v>89000</v>
      </c>
      <c r="D49" s="55">
        <v>0</v>
      </c>
      <c r="E49" s="55">
        <v>89000</v>
      </c>
      <c r="F49" s="55">
        <f ca="1">IFERROR(__xludf.DUMMYFUNCTION("IMPORTRANGE(""https://docs.google.com/spreadsheets/d/1XL5vhW3sbDhbH9Cz0tuDiY8C3ctxq1tqvaCgkFb8cCA/edit?usp=sharing"",""หนองคาย!M169"")"),0)</f>
        <v>0</v>
      </c>
      <c r="G49" s="99">
        <f t="shared" ca="1" si="1"/>
        <v>0</v>
      </c>
      <c r="H49" s="55">
        <v>1</v>
      </c>
      <c r="I49" s="55">
        <f ca="1">IFERROR(__xludf.DUMMYFUNCTION("IMPORTRANGE(""https://docs.google.com/spreadsheets/d/1XL5vhW3sbDhbH9Cz0tuDiY8C3ctxq1tqvaCgkFb8cCA/edit?usp=sharing"",""หนองคาย!j179"")"),0)</f>
        <v>0</v>
      </c>
      <c r="J49" s="99">
        <f t="shared" ca="1" si="3"/>
        <v>0</v>
      </c>
      <c r="K49" s="55">
        <v>25</v>
      </c>
      <c r="L49" s="55">
        <f ca="1">IFERROR(__xludf.DUMMYFUNCTION("IMPORTRANGE(""https://docs.google.com/spreadsheets/d/1XL5vhW3sbDhbH9Cz0tuDiY8C3ctxq1tqvaCgkFb8cCA/edit?usp=sharing"",""หนองคาย!j180"")"),0)</f>
        <v>0</v>
      </c>
      <c r="M49" s="99">
        <f t="shared" ca="1" si="5"/>
        <v>0</v>
      </c>
      <c r="N49" s="55">
        <v>25</v>
      </c>
      <c r="O49" s="55">
        <f ca="1">IFERROR(__xludf.DUMMYFUNCTION("IMPORTRANGE(""https://docs.google.com/spreadsheets/d/1XL5vhW3sbDhbH9Cz0tuDiY8C3ctxq1tqvaCgkFb8cCA/edit?usp=sharing"",""หนองคาย!j181"")"),0)</f>
        <v>0</v>
      </c>
      <c r="P49" s="99">
        <f t="shared" ca="1" si="7"/>
        <v>0</v>
      </c>
      <c r="Q49" s="55">
        <v>1</v>
      </c>
      <c r="R49" s="55">
        <f ca="1">IFERROR(__xludf.DUMMYFUNCTION("IMPORTRANGE(""https://docs.google.com/spreadsheets/d/1XL5vhW3sbDhbH9Cz0tuDiY8C3ctxq1tqvaCgkFb8cCA/edit?usp=sharing"",""หนองคาย!j182"")"),0)</f>
        <v>0</v>
      </c>
      <c r="S49" s="99">
        <f t="shared" ca="1" si="9"/>
        <v>0</v>
      </c>
      <c r="T49" s="54">
        <f t="shared" si="44"/>
        <v>0</v>
      </c>
      <c r="U49" s="55">
        <v>0</v>
      </c>
      <c r="V49" s="55">
        <v>0</v>
      </c>
      <c r="W49" s="55">
        <f ca="1">IFERROR(__xludf.DUMMYFUNCTION("IMPORTRANGE(""https://docs.google.com/spreadsheets/d/1XL5vhW3sbDhbH9Cz0tuDiY8C3ctxq1tqvaCgkFb8cCA/edit?usp=sharing"",""หนองคาย!m185"")"),0)</f>
        <v>0</v>
      </c>
      <c r="X49" s="99">
        <f t="shared" si="11"/>
        <v>0</v>
      </c>
      <c r="Y49" s="55">
        <v>0</v>
      </c>
      <c r="Z49" s="55">
        <f ca="1">IFERROR(__xludf.DUMMYFUNCTION("IMPORTRANGE(""https://docs.google.com/spreadsheets/d/1XL5vhW3sbDhbH9Cz0tuDiY8C3ctxq1tqvaCgkFb8cCA/edit?usp=sharing"",""หนองคาย!j195"")"),0)</f>
        <v>0</v>
      </c>
      <c r="AA49" s="99">
        <f t="shared" si="13"/>
        <v>0</v>
      </c>
    </row>
    <row r="50" spans="1:27" ht="24" customHeight="1" x14ac:dyDescent="0.5">
      <c r="A50" s="52">
        <v>17</v>
      </c>
      <c r="B50" s="53" t="s">
        <v>65</v>
      </c>
      <c r="C50" s="54">
        <f t="shared" si="43"/>
        <v>0</v>
      </c>
      <c r="D50" s="55">
        <v>0</v>
      </c>
      <c r="E50" s="55">
        <v>0</v>
      </c>
      <c r="F50" s="55">
        <f ca="1">IFERROR(__xludf.DUMMYFUNCTION("IMPORTRANGE(""https://docs.google.com/spreadsheets/d/1XL5vhW3sbDhbH9Cz0tuDiY8C3ctxq1tqvaCgkFb8cCA/edit?usp=sharing"",""หนองบัวลำภู!M169"")"),0)</f>
        <v>0</v>
      </c>
      <c r="G50" s="99">
        <f t="shared" si="1"/>
        <v>0</v>
      </c>
      <c r="H50" s="55">
        <v>0</v>
      </c>
      <c r="I50" s="55">
        <f ca="1">IFERROR(__xludf.DUMMYFUNCTION("IMPORTRANGE(""https://docs.google.com/spreadsheets/d/1XL5vhW3sbDhbH9Cz0tuDiY8C3ctxq1tqvaCgkFb8cCA/edit?usp=sharing"",""หนองบัวลำภู!j179"")"),0)</f>
        <v>0</v>
      </c>
      <c r="J50" s="99">
        <f t="shared" si="3"/>
        <v>0</v>
      </c>
      <c r="K50" s="55">
        <v>0</v>
      </c>
      <c r="L50" s="55">
        <f ca="1">IFERROR(__xludf.DUMMYFUNCTION("IMPORTRANGE(""https://docs.google.com/spreadsheets/d/1XL5vhW3sbDhbH9Cz0tuDiY8C3ctxq1tqvaCgkFb8cCA/edit?usp=sharing"",""หนองบัวลำภู!j180"")"),0)</f>
        <v>0</v>
      </c>
      <c r="M50" s="99">
        <f t="shared" si="5"/>
        <v>0</v>
      </c>
      <c r="N50" s="55">
        <v>0</v>
      </c>
      <c r="O50" s="55">
        <f ca="1">IFERROR(__xludf.DUMMYFUNCTION("IMPORTRANGE(""https://docs.google.com/spreadsheets/d/1XL5vhW3sbDhbH9Cz0tuDiY8C3ctxq1tqvaCgkFb8cCA/edit?usp=sharing"",""หนองบัวลำภู!j181"")"),0)</f>
        <v>0</v>
      </c>
      <c r="P50" s="99">
        <f t="shared" si="7"/>
        <v>0</v>
      </c>
      <c r="Q50" s="55">
        <v>0</v>
      </c>
      <c r="R50" s="55">
        <f ca="1">IFERROR(__xludf.DUMMYFUNCTION("IMPORTRANGE(""https://docs.google.com/spreadsheets/d/1XL5vhW3sbDhbH9Cz0tuDiY8C3ctxq1tqvaCgkFb8cCA/edit?usp=sharing"",""หนองบัวลำภู!j182"")"),0)</f>
        <v>0</v>
      </c>
      <c r="S50" s="99">
        <f t="shared" si="9"/>
        <v>0</v>
      </c>
      <c r="T50" s="54">
        <f t="shared" si="44"/>
        <v>0</v>
      </c>
      <c r="U50" s="55">
        <v>0</v>
      </c>
      <c r="V50" s="55">
        <v>0</v>
      </c>
      <c r="W50" s="55">
        <f ca="1">IFERROR(__xludf.DUMMYFUNCTION("IMPORTRANGE(""https://docs.google.com/spreadsheets/d/1XL5vhW3sbDhbH9Cz0tuDiY8C3ctxq1tqvaCgkFb8cCA/edit?usp=sharing"",""หนองบัวลำภู!m185"")"),0)</f>
        <v>0</v>
      </c>
      <c r="X50" s="99">
        <f t="shared" si="11"/>
        <v>0</v>
      </c>
      <c r="Y50" s="55">
        <v>0</v>
      </c>
      <c r="Z50" s="55">
        <f ca="1">IFERROR(__xludf.DUMMYFUNCTION("IMPORTRANGE(""https://docs.google.com/spreadsheets/d/1XL5vhW3sbDhbH9Cz0tuDiY8C3ctxq1tqvaCgkFb8cCA/edit?usp=sharing"",""หนองบัวลำภู!j195"")"),0)</f>
        <v>0</v>
      </c>
      <c r="AA50" s="99">
        <f t="shared" si="13"/>
        <v>0</v>
      </c>
    </row>
    <row r="51" spans="1:27" ht="24" customHeight="1" x14ac:dyDescent="0.5">
      <c r="A51" s="52">
        <v>18</v>
      </c>
      <c r="B51" s="53" t="s">
        <v>66</v>
      </c>
      <c r="C51" s="54">
        <f t="shared" si="43"/>
        <v>0</v>
      </c>
      <c r="D51" s="55">
        <v>0</v>
      </c>
      <c r="E51" s="55">
        <v>0</v>
      </c>
      <c r="F51" s="55">
        <f ca="1">IFERROR(__xludf.DUMMYFUNCTION("IMPORTRANGE(""https://docs.google.com/spreadsheets/d/1XL5vhW3sbDhbH9Cz0tuDiY8C3ctxq1tqvaCgkFb8cCA/edit?usp=sharing"",""อำนาจเจริญ!M169"")"),0)</f>
        <v>0</v>
      </c>
      <c r="G51" s="99">
        <f t="shared" si="1"/>
        <v>0</v>
      </c>
      <c r="H51" s="55">
        <v>0</v>
      </c>
      <c r="I51" s="55">
        <f ca="1">IFERROR(__xludf.DUMMYFUNCTION("IMPORTRANGE(""https://docs.google.com/spreadsheets/d/1XL5vhW3sbDhbH9Cz0tuDiY8C3ctxq1tqvaCgkFb8cCA/edit?usp=sharing"",""อำนาจเจริญ!j179"")"),0)</f>
        <v>0</v>
      </c>
      <c r="J51" s="99">
        <f t="shared" si="3"/>
        <v>0</v>
      </c>
      <c r="K51" s="55">
        <v>0</v>
      </c>
      <c r="L51" s="55">
        <f ca="1">IFERROR(__xludf.DUMMYFUNCTION("IMPORTRANGE(""https://docs.google.com/spreadsheets/d/1XL5vhW3sbDhbH9Cz0tuDiY8C3ctxq1tqvaCgkFb8cCA/edit?usp=sharing"",""อำนาจเจริญ!j180"")"),0)</f>
        <v>0</v>
      </c>
      <c r="M51" s="99">
        <f t="shared" si="5"/>
        <v>0</v>
      </c>
      <c r="N51" s="55">
        <v>0</v>
      </c>
      <c r="O51" s="55">
        <f ca="1">IFERROR(__xludf.DUMMYFUNCTION("IMPORTRANGE(""https://docs.google.com/spreadsheets/d/1XL5vhW3sbDhbH9Cz0tuDiY8C3ctxq1tqvaCgkFb8cCA/edit?usp=sharing"",""อำนาจเจริญ!j181"")"),0)</f>
        <v>0</v>
      </c>
      <c r="P51" s="99">
        <f t="shared" si="7"/>
        <v>0</v>
      </c>
      <c r="Q51" s="55">
        <v>0</v>
      </c>
      <c r="R51" s="55">
        <f ca="1">IFERROR(__xludf.DUMMYFUNCTION("IMPORTRANGE(""https://docs.google.com/spreadsheets/d/1XL5vhW3sbDhbH9Cz0tuDiY8C3ctxq1tqvaCgkFb8cCA/edit?usp=sharing"",""อำนาจเจริญ!j182"")"),0)</f>
        <v>0</v>
      </c>
      <c r="S51" s="99">
        <f t="shared" si="9"/>
        <v>0</v>
      </c>
      <c r="T51" s="54">
        <f t="shared" si="44"/>
        <v>55200</v>
      </c>
      <c r="U51" s="55">
        <v>0</v>
      </c>
      <c r="V51" s="55">
        <v>55200</v>
      </c>
      <c r="W51" s="55">
        <f ca="1">IFERROR(__xludf.DUMMYFUNCTION("IMPORTRANGE(""https://docs.google.com/spreadsheets/d/1XL5vhW3sbDhbH9Cz0tuDiY8C3ctxq1tqvaCgkFb8cCA/edit?usp=sharing"",""อำนาจเจริญ!m185"")"),0)</f>
        <v>0</v>
      </c>
      <c r="X51" s="99">
        <f t="shared" ca="1" si="11"/>
        <v>0</v>
      </c>
      <c r="Y51" s="55">
        <v>15</v>
      </c>
      <c r="Z51" s="55">
        <f ca="1">IFERROR(__xludf.DUMMYFUNCTION("IMPORTRANGE(""https://docs.google.com/spreadsheets/d/1XL5vhW3sbDhbH9Cz0tuDiY8C3ctxq1tqvaCgkFb8cCA/edit?usp=sharing"",""อำนาจเจริญ!j195"")"),0)</f>
        <v>0</v>
      </c>
      <c r="AA51" s="99">
        <f t="shared" ca="1" si="13"/>
        <v>0</v>
      </c>
    </row>
    <row r="52" spans="1:27" ht="24" customHeight="1" x14ac:dyDescent="0.5">
      <c r="A52" s="52">
        <v>19</v>
      </c>
      <c r="B52" s="53" t="s">
        <v>67</v>
      </c>
      <c r="C52" s="54">
        <f t="shared" si="43"/>
        <v>71400</v>
      </c>
      <c r="D52" s="55">
        <v>0</v>
      </c>
      <c r="E52" s="55">
        <v>71400</v>
      </c>
      <c r="F52" s="55">
        <f ca="1">IFERROR(__xludf.DUMMYFUNCTION("IMPORTRANGE(""https://docs.google.com/spreadsheets/d/1XL5vhW3sbDhbH9Cz0tuDiY8C3ctxq1tqvaCgkFb8cCA/edit?usp=sharing"",""อุดรธานี!M169"")"),0)</f>
        <v>0</v>
      </c>
      <c r="G52" s="99">
        <f t="shared" ca="1" si="1"/>
        <v>0</v>
      </c>
      <c r="H52" s="55">
        <v>1</v>
      </c>
      <c r="I52" s="55">
        <f ca="1">IFERROR(__xludf.DUMMYFUNCTION("IMPORTRANGE(""https://docs.google.com/spreadsheets/d/1XL5vhW3sbDhbH9Cz0tuDiY8C3ctxq1tqvaCgkFb8cCA/edit?usp=sharing"",""อุดรธานี!j179"")"),0)</f>
        <v>0</v>
      </c>
      <c r="J52" s="99">
        <f t="shared" ca="1" si="3"/>
        <v>0</v>
      </c>
      <c r="K52" s="55">
        <v>20</v>
      </c>
      <c r="L52" s="55">
        <f ca="1">IFERROR(__xludf.DUMMYFUNCTION("IMPORTRANGE(""https://docs.google.com/spreadsheets/d/1XL5vhW3sbDhbH9Cz0tuDiY8C3ctxq1tqvaCgkFb8cCA/edit?usp=sharing"",""อุดรธานี!j180"")"),0)</f>
        <v>0</v>
      </c>
      <c r="M52" s="99">
        <f t="shared" ca="1" si="5"/>
        <v>0</v>
      </c>
      <c r="N52" s="55">
        <v>20</v>
      </c>
      <c r="O52" s="55">
        <f ca="1">IFERROR(__xludf.DUMMYFUNCTION("IMPORTRANGE(""https://docs.google.com/spreadsheets/d/1XL5vhW3sbDhbH9Cz0tuDiY8C3ctxq1tqvaCgkFb8cCA/edit?usp=sharing"",""อุดรธานี!j181"")"),0)</f>
        <v>0</v>
      </c>
      <c r="P52" s="99">
        <f t="shared" ca="1" si="7"/>
        <v>0</v>
      </c>
      <c r="Q52" s="55">
        <v>1</v>
      </c>
      <c r="R52" s="55">
        <f ca="1">IFERROR(__xludf.DUMMYFUNCTION("IMPORTRANGE(""https://docs.google.com/spreadsheets/d/1XL5vhW3sbDhbH9Cz0tuDiY8C3ctxq1tqvaCgkFb8cCA/edit?usp=sharing"",""อุดรธานี!j182"")"),0)</f>
        <v>0</v>
      </c>
      <c r="S52" s="99">
        <f t="shared" ca="1" si="9"/>
        <v>0</v>
      </c>
      <c r="T52" s="54">
        <f t="shared" si="44"/>
        <v>183600</v>
      </c>
      <c r="U52" s="55">
        <v>0</v>
      </c>
      <c r="V52" s="55">
        <v>183600</v>
      </c>
      <c r="W52" s="55">
        <f ca="1">IFERROR(__xludf.DUMMYFUNCTION("IMPORTRANGE(""https://docs.google.com/spreadsheets/d/1XL5vhW3sbDhbH9Cz0tuDiY8C3ctxq1tqvaCgkFb8cCA/edit?usp=sharing"",""อุดรธานี!m185"")"),3200)</f>
        <v>3200</v>
      </c>
      <c r="X52" s="99">
        <f t="shared" ca="1" si="11"/>
        <v>1.7429193899782136</v>
      </c>
      <c r="Y52" s="55">
        <v>20</v>
      </c>
      <c r="Z52" s="55">
        <f ca="1">IFERROR(__xludf.DUMMYFUNCTION("IMPORTRANGE(""https://docs.google.com/spreadsheets/d/1XL5vhW3sbDhbH9Cz0tuDiY8C3ctxq1tqvaCgkFb8cCA/edit?usp=sharing"",""อุดรธานี!j195"")"),0)</f>
        <v>0</v>
      </c>
      <c r="AA52" s="99">
        <f t="shared" ca="1" si="13"/>
        <v>0</v>
      </c>
    </row>
    <row r="53" spans="1:27" ht="24" customHeight="1" x14ac:dyDescent="0.5">
      <c r="A53" s="59">
        <v>20</v>
      </c>
      <c r="B53" s="60" t="s">
        <v>68</v>
      </c>
      <c r="C53" s="61">
        <f t="shared" si="43"/>
        <v>89000</v>
      </c>
      <c r="D53" s="62">
        <v>0</v>
      </c>
      <c r="E53" s="62">
        <v>89000</v>
      </c>
      <c r="F53" s="62">
        <f ca="1">IFERROR(__xludf.DUMMYFUNCTION("IMPORTRANGE(""https://docs.google.com/spreadsheets/d/1XL5vhW3sbDhbH9Cz0tuDiY8C3ctxq1tqvaCgkFb8cCA/edit?usp=sharing"",""อุบลราชธานี!M169"")"),0)</f>
        <v>0</v>
      </c>
      <c r="G53" s="100">
        <f t="shared" ca="1" si="1"/>
        <v>0</v>
      </c>
      <c r="H53" s="62">
        <v>1</v>
      </c>
      <c r="I53" s="62">
        <f ca="1">IFERROR(__xludf.DUMMYFUNCTION("IMPORTRANGE(""https://docs.google.com/spreadsheets/d/1XL5vhW3sbDhbH9Cz0tuDiY8C3ctxq1tqvaCgkFb8cCA/edit?usp=sharing"",""อุบลราชธานี!j179"")"),0)</f>
        <v>0</v>
      </c>
      <c r="J53" s="100">
        <f t="shared" ca="1" si="3"/>
        <v>0</v>
      </c>
      <c r="K53" s="62">
        <v>25</v>
      </c>
      <c r="L53" s="62">
        <f ca="1">IFERROR(__xludf.DUMMYFUNCTION("IMPORTRANGE(""https://docs.google.com/spreadsheets/d/1XL5vhW3sbDhbH9Cz0tuDiY8C3ctxq1tqvaCgkFb8cCA/edit?usp=sharing"",""อุบลราชธานี!j180"")"),0)</f>
        <v>0</v>
      </c>
      <c r="M53" s="100">
        <f t="shared" ca="1" si="5"/>
        <v>0</v>
      </c>
      <c r="N53" s="62">
        <v>25</v>
      </c>
      <c r="O53" s="62">
        <f ca="1">IFERROR(__xludf.DUMMYFUNCTION("IMPORTRANGE(""https://docs.google.com/spreadsheets/d/1XL5vhW3sbDhbH9Cz0tuDiY8C3ctxq1tqvaCgkFb8cCA/edit?usp=sharing"",""อุบลราชธานี!j181"")"),0)</f>
        <v>0</v>
      </c>
      <c r="P53" s="100">
        <f t="shared" ca="1" si="7"/>
        <v>0</v>
      </c>
      <c r="Q53" s="62">
        <v>1</v>
      </c>
      <c r="R53" s="62">
        <f ca="1">IFERROR(__xludf.DUMMYFUNCTION("IMPORTRANGE(""https://docs.google.com/spreadsheets/d/1XL5vhW3sbDhbH9Cz0tuDiY8C3ctxq1tqvaCgkFb8cCA/edit?usp=sharing"",""อุบลราชธานี!j182"")"),0)</f>
        <v>0</v>
      </c>
      <c r="S53" s="100">
        <f t="shared" ca="1" si="9"/>
        <v>0</v>
      </c>
      <c r="T53" s="61">
        <f t="shared" si="44"/>
        <v>183600</v>
      </c>
      <c r="U53" s="62">
        <v>0</v>
      </c>
      <c r="V53" s="62">
        <v>183600</v>
      </c>
      <c r="W53" s="62">
        <f ca="1">IFERROR(__xludf.DUMMYFUNCTION("IMPORTRANGE(""https://docs.google.com/spreadsheets/d/1XL5vhW3sbDhbH9Cz0tuDiY8C3ctxq1tqvaCgkFb8cCA/edit?usp=sharing"",""อุบลราชธานี!m185"")"),0)</f>
        <v>0</v>
      </c>
      <c r="X53" s="100">
        <f t="shared" ca="1" si="11"/>
        <v>0</v>
      </c>
      <c r="Y53" s="62">
        <v>20</v>
      </c>
      <c r="Z53" s="62">
        <f ca="1">IFERROR(__xludf.DUMMYFUNCTION("IMPORTRANGE(""https://docs.google.com/spreadsheets/d/1XL5vhW3sbDhbH9Cz0tuDiY8C3ctxq1tqvaCgkFb8cCA/edit?usp=sharing"",""อุบลราชธานี!j195"")"),0)</f>
        <v>0</v>
      </c>
      <c r="AA53" s="100">
        <f t="shared" ca="1" si="13"/>
        <v>0</v>
      </c>
    </row>
    <row r="54" spans="1:27" ht="24" customHeight="1" x14ac:dyDescent="0.5">
      <c r="A54" s="570" t="s">
        <v>69</v>
      </c>
      <c r="B54" s="569"/>
      <c r="C54" s="66">
        <f t="shared" ref="C54:F54" si="45">SUM(C55:C75)</f>
        <v>1135900</v>
      </c>
      <c r="D54" s="66">
        <f t="shared" si="45"/>
        <v>0</v>
      </c>
      <c r="E54" s="66">
        <f t="shared" si="45"/>
        <v>1135900</v>
      </c>
      <c r="F54" s="66">
        <f t="shared" ca="1" si="45"/>
        <v>0</v>
      </c>
      <c r="G54" s="101">
        <f t="shared" ca="1" si="1"/>
        <v>0</v>
      </c>
      <c r="H54" s="66">
        <f t="shared" ref="H54:I54" si="46">SUM(H55:H75)</f>
        <v>9</v>
      </c>
      <c r="I54" s="66">
        <f t="shared" ca="1" si="46"/>
        <v>0</v>
      </c>
      <c r="J54" s="101">
        <f t="shared" ca="1" si="3"/>
        <v>0</v>
      </c>
      <c r="K54" s="66">
        <f t="shared" ref="K54:L54" si="47">SUM(K55:K75)</f>
        <v>195</v>
      </c>
      <c r="L54" s="66">
        <f t="shared" ca="1" si="47"/>
        <v>0</v>
      </c>
      <c r="M54" s="101">
        <f t="shared" ca="1" si="5"/>
        <v>0</v>
      </c>
      <c r="N54" s="66">
        <f t="shared" ref="N54:O54" si="48">SUM(N55:N75)</f>
        <v>195</v>
      </c>
      <c r="O54" s="66">
        <f t="shared" ca="1" si="48"/>
        <v>0</v>
      </c>
      <c r="P54" s="101">
        <f t="shared" ca="1" si="7"/>
        <v>0</v>
      </c>
      <c r="Q54" s="66">
        <f t="shared" ref="Q54:R54" si="49">SUM(Q55:Q75)</f>
        <v>9</v>
      </c>
      <c r="R54" s="66">
        <f t="shared" ca="1" si="49"/>
        <v>0</v>
      </c>
      <c r="S54" s="101">
        <f t="shared" ca="1" si="9"/>
        <v>0</v>
      </c>
      <c r="T54" s="66">
        <f t="shared" ref="T54:W54" si="50">SUM(T55:T75)</f>
        <v>1266900</v>
      </c>
      <c r="U54" s="66">
        <f t="shared" si="50"/>
        <v>132000</v>
      </c>
      <c r="V54" s="66">
        <f t="shared" si="50"/>
        <v>1134900</v>
      </c>
      <c r="W54" s="66">
        <f t="shared" ca="1" si="50"/>
        <v>10500</v>
      </c>
      <c r="X54" s="101">
        <f t="shared" ca="1" si="11"/>
        <v>0.82879469571394748</v>
      </c>
      <c r="Y54" s="66">
        <f t="shared" ref="Y54:Z54" si="51">SUM(Y55:Y75)</f>
        <v>205</v>
      </c>
      <c r="Z54" s="66">
        <f t="shared" ca="1" si="51"/>
        <v>0</v>
      </c>
      <c r="AA54" s="101">
        <f t="shared" ca="1" si="13"/>
        <v>0</v>
      </c>
    </row>
    <row r="55" spans="1:27" ht="24" customHeight="1" x14ac:dyDescent="0.5">
      <c r="A55" s="45">
        <v>1</v>
      </c>
      <c r="B55" s="46" t="s">
        <v>70</v>
      </c>
      <c r="C55" s="47">
        <f t="shared" ref="C55:C75" si="52">+D55+E55</f>
        <v>71400</v>
      </c>
      <c r="D55" s="48">
        <v>0</v>
      </c>
      <c r="E55" s="48">
        <v>71400</v>
      </c>
      <c r="F55" s="48">
        <f ca="1">IFERROR(__xludf.DUMMYFUNCTION("IMPORTRANGE(""https://docs.google.com/spreadsheets/d/1SX6NBoVAgQJ6U1MVXOaj8PK2l7WJ3RER9xtqwdhxkhw/edit?usp=sharing"",""กาญจนบุรี!M169"")"),0)</f>
        <v>0</v>
      </c>
      <c r="G55" s="98">
        <f t="shared" ca="1" si="1"/>
        <v>0</v>
      </c>
      <c r="H55" s="48">
        <v>1</v>
      </c>
      <c r="I55" s="48">
        <f ca="1">IFERROR(__xludf.DUMMYFUNCTION("IMPORTRANGE(""https://docs.google.com/spreadsheets/d/1SX6NBoVAgQJ6U1MVXOaj8PK2l7WJ3RER9xtqwdhxkhw/edit?usp=sharing"",""กาญจนบุรี!J179"")"),0)</f>
        <v>0</v>
      </c>
      <c r="J55" s="98">
        <f t="shared" ca="1" si="3"/>
        <v>0</v>
      </c>
      <c r="K55" s="48">
        <v>20</v>
      </c>
      <c r="L55" s="48">
        <f ca="1">IFERROR(__xludf.DUMMYFUNCTION("IMPORTRANGE(""https://docs.google.com/spreadsheets/d/1SX6NBoVAgQJ6U1MVXOaj8PK2l7WJ3RER9xtqwdhxkhw/edit?usp=sharing"",""กาญจนบุรี!J180"")"),0)</f>
        <v>0</v>
      </c>
      <c r="M55" s="98">
        <f t="shared" ca="1" si="5"/>
        <v>0</v>
      </c>
      <c r="N55" s="48">
        <v>20</v>
      </c>
      <c r="O55" s="48">
        <f ca="1">IFERROR(__xludf.DUMMYFUNCTION("IMPORTRANGE(""https://docs.google.com/spreadsheets/d/1SX6NBoVAgQJ6U1MVXOaj8PK2l7WJ3RER9xtqwdhxkhw/edit?usp=sharing"",""กาญจนบุรี!J181"")"),0)</f>
        <v>0</v>
      </c>
      <c r="P55" s="98">
        <f t="shared" ca="1" si="7"/>
        <v>0</v>
      </c>
      <c r="Q55" s="48">
        <v>1</v>
      </c>
      <c r="R55" s="48">
        <f ca="1">IFERROR(__xludf.DUMMYFUNCTION("IMPORTRANGE(""https://docs.google.com/spreadsheets/d/1SX6NBoVAgQJ6U1MVXOaj8PK2l7WJ3RER9xtqwdhxkhw/edit?usp=sharing"",""กาญจนบุรี!J182"")"),0)</f>
        <v>0</v>
      </c>
      <c r="S55" s="98">
        <f t="shared" ca="1" si="9"/>
        <v>0</v>
      </c>
      <c r="T55" s="47">
        <f t="shared" ref="T55:T75" si="53">+U55+V55</f>
        <v>183600</v>
      </c>
      <c r="U55" s="48">
        <v>0</v>
      </c>
      <c r="V55" s="48">
        <v>183600</v>
      </c>
      <c r="W55" s="48">
        <f ca="1">IFERROR(__xludf.DUMMYFUNCTION("IMPORTRANGE(""https://docs.google.com/spreadsheets/d/1SX6NBoVAgQJ6U1MVXOaj8PK2l7WJ3RER9xtqwdhxkhw/edit?usp=sharing"",""กาญจนบุรี!M185"")"),0)</f>
        <v>0</v>
      </c>
      <c r="X55" s="98">
        <f t="shared" ca="1" si="11"/>
        <v>0</v>
      </c>
      <c r="Y55" s="48">
        <v>20</v>
      </c>
      <c r="Z55" s="48">
        <f ca="1">IFERROR(__xludf.DUMMYFUNCTION("IMPORTRANGE(""https://docs.google.com/spreadsheets/d/1SX6NBoVAgQJ6U1MVXOaj8PK2l7WJ3RER9xtqwdhxkhw/edit?usp=sharing"",""กาญจนบุรี!J195"")"),0)</f>
        <v>0</v>
      </c>
      <c r="AA55" s="98">
        <f t="shared" ca="1" si="13"/>
        <v>0</v>
      </c>
    </row>
    <row r="56" spans="1:27" ht="24" customHeight="1" x14ac:dyDescent="0.5">
      <c r="A56" s="52">
        <v>2</v>
      </c>
      <c r="B56" s="53" t="s">
        <v>71</v>
      </c>
      <c r="C56" s="54">
        <f t="shared" si="52"/>
        <v>199000</v>
      </c>
      <c r="D56" s="55">
        <v>0</v>
      </c>
      <c r="E56" s="55">
        <v>199000</v>
      </c>
      <c r="F56" s="55">
        <f ca="1">IFERROR(__xludf.DUMMYFUNCTION("IMPORTRANGE(""https://docs.google.com/spreadsheets/d/1SX6NBoVAgQJ6U1MVXOaj8PK2l7WJ3RER9xtqwdhxkhw/edit?usp=sharing"",""จันทบุรี!M169"")"),0)</f>
        <v>0</v>
      </c>
      <c r="G56" s="99">
        <f t="shared" ca="1" si="1"/>
        <v>0</v>
      </c>
      <c r="H56" s="55">
        <v>1</v>
      </c>
      <c r="I56" s="55">
        <f ca="1">IFERROR(__xludf.DUMMYFUNCTION("IMPORTRANGE(""https://docs.google.com/spreadsheets/d/1SX6NBoVAgQJ6U1MVXOaj8PK2l7WJ3RER9xtqwdhxkhw/edit?usp=sharing"",""จันทบุรี!J179"")"),0)</f>
        <v>0</v>
      </c>
      <c r="J56" s="99">
        <f t="shared" ca="1" si="3"/>
        <v>0</v>
      </c>
      <c r="K56" s="55">
        <v>25</v>
      </c>
      <c r="L56" s="55">
        <f ca="1">IFERROR(__xludf.DUMMYFUNCTION("IMPORTRANGE(""https://docs.google.com/spreadsheets/d/1SX6NBoVAgQJ6U1MVXOaj8PK2l7WJ3RER9xtqwdhxkhw/edit?usp=sharing"",""จันทบุรี!J180"")"),0)</f>
        <v>0</v>
      </c>
      <c r="M56" s="99">
        <f t="shared" ca="1" si="5"/>
        <v>0</v>
      </c>
      <c r="N56" s="55">
        <v>25</v>
      </c>
      <c r="O56" s="55">
        <f ca="1">IFERROR(__xludf.DUMMYFUNCTION("IMPORTRANGE(""https://docs.google.com/spreadsheets/d/1SX6NBoVAgQJ6U1MVXOaj8PK2l7WJ3RER9xtqwdhxkhw/edit?usp=sharing"",""จันทบุรี!J181"")"),0)</f>
        <v>0</v>
      </c>
      <c r="P56" s="99">
        <f t="shared" ca="1" si="7"/>
        <v>0</v>
      </c>
      <c r="Q56" s="55">
        <v>1</v>
      </c>
      <c r="R56" s="55">
        <f ca="1">IFERROR(__xludf.DUMMYFUNCTION("IMPORTRANGE(""https://docs.google.com/spreadsheets/d/1SX6NBoVAgQJ6U1MVXOaj8PK2l7WJ3RER9xtqwdhxkhw/edit?usp=sharing"",""จันทบุรี!J182"")"),0)</f>
        <v>0</v>
      </c>
      <c r="S56" s="99">
        <f t="shared" ca="1" si="9"/>
        <v>0</v>
      </c>
      <c r="T56" s="54">
        <f t="shared" si="53"/>
        <v>55200</v>
      </c>
      <c r="U56" s="55">
        <v>0</v>
      </c>
      <c r="V56" s="55">
        <v>55200</v>
      </c>
      <c r="W56" s="55">
        <f ca="1">IFERROR(__xludf.DUMMYFUNCTION("IMPORTRANGE(""https://docs.google.com/spreadsheets/d/1SX6NBoVAgQJ6U1MVXOaj8PK2l7WJ3RER9xtqwdhxkhw/edit?usp=sharing"",""จันทบุรี!M185"")"),0)</f>
        <v>0</v>
      </c>
      <c r="X56" s="99">
        <f t="shared" ca="1" si="11"/>
        <v>0</v>
      </c>
      <c r="Y56" s="55">
        <v>15</v>
      </c>
      <c r="Z56" s="55">
        <f ca="1">IFERROR(__xludf.DUMMYFUNCTION("IMPORTRANGE(""https://docs.google.com/spreadsheets/d/1SX6NBoVAgQJ6U1MVXOaj8PK2l7WJ3RER9xtqwdhxkhw/edit?usp=sharing"",""จันทบุรี!J195"")"),0)</f>
        <v>0</v>
      </c>
      <c r="AA56" s="99">
        <f t="shared" ca="1" si="13"/>
        <v>0</v>
      </c>
    </row>
    <row r="57" spans="1:27" ht="24" customHeight="1" x14ac:dyDescent="0.5">
      <c r="A57" s="52">
        <v>3</v>
      </c>
      <c r="B57" s="53" t="s">
        <v>72</v>
      </c>
      <c r="C57" s="54">
        <f t="shared" si="52"/>
        <v>71400</v>
      </c>
      <c r="D57" s="55">
        <v>0</v>
      </c>
      <c r="E57" s="55">
        <v>71400</v>
      </c>
      <c r="F57" s="55">
        <f ca="1">IFERROR(__xludf.DUMMYFUNCTION("IMPORTRANGE(""https://docs.google.com/spreadsheets/d/1SX6NBoVAgQJ6U1MVXOaj8PK2l7WJ3RER9xtqwdhxkhw/edit?usp=sharing"",""ฉะเชิงเทรา!M169"")"),0)</f>
        <v>0</v>
      </c>
      <c r="G57" s="99">
        <f t="shared" ca="1" si="1"/>
        <v>0</v>
      </c>
      <c r="H57" s="55">
        <v>1</v>
      </c>
      <c r="I57" s="55">
        <f ca="1">IFERROR(__xludf.DUMMYFUNCTION("IMPORTRANGE(""https://docs.google.com/spreadsheets/d/1SX6NBoVAgQJ6U1MVXOaj8PK2l7WJ3RER9xtqwdhxkhw/edit?usp=sharing"",""ฉะเชิงเทรา!J179"")"),0)</f>
        <v>0</v>
      </c>
      <c r="J57" s="99">
        <f t="shared" ca="1" si="3"/>
        <v>0</v>
      </c>
      <c r="K57" s="55">
        <v>20</v>
      </c>
      <c r="L57" s="55">
        <f ca="1">IFERROR(__xludf.DUMMYFUNCTION("IMPORTRANGE(""https://docs.google.com/spreadsheets/d/1SX6NBoVAgQJ6U1MVXOaj8PK2l7WJ3RER9xtqwdhxkhw/edit?usp=sharing"",""ฉะเชิงเทรา!J180"")"),0)</f>
        <v>0</v>
      </c>
      <c r="M57" s="99">
        <f t="shared" ca="1" si="5"/>
        <v>0</v>
      </c>
      <c r="N57" s="55">
        <v>20</v>
      </c>
      <c r="O57" s="55">
        <f ca="1">IFERROR(__xludf.DUMMYFUNCTION("IMPORTRANGE(""https://docs.google.com/spreadsheets/d/1SX6NBoVAgQJ6U1MVXOaj8PK2l7WJ3RER9xtqwdhxkhw/edit?usp=sharing"",""ฉะเชิงเทรา!J181"")"),0)</f>
        <v>0</v>
      </c>
      <c r="P57" s="99">
        <f t="shared" ca="1" si="7"/>
        <v>0</v>
      </c>
      <c r="Q57" s="55">
        <v>1</v>
      </c>
      <c r="R57" s="55">
        <f ca="1">IFERROR(__xludf.DUMMYFUNCTION("IMPORTRANGE(""https://docs.google.com/spreadsheets/d/1SX6NBoVAgQJ6U1MVXOaj8PK2l7WJ3RER9xtqwdhxkhw/edit?usp=sharing"",""ฉะเชิงเทรา!J182"")"),0)</f>
        <v>0</v>
      </c>
      <c r="S57" s="99">
        <f t="shared" ca="1" si="9"/>
        <v>0</v>
      </c>
      <c r="T57" s="54">
        <f t="shared" si="53"/>
        <v>183600</v>
      </c>
      <c r="U57" s="55">
        <v>0</v>
      </c>
      <c r="V57" s="55">
        <v>183600</v>
      </c>
      <c r="W57" s="55">
        <f ca="1">IFERROR(__xludf.DUMMYFUNCTION("IMPORTRANGE(""https://docs.google.com/spreadsheets/d/1SX6NBoVAgQJ6U1MVXOaj8PK2l7WJ3RER9xtqwdhxkhw/edit?usp=sharing"",""ฉะเชิงเทรา!M185"")"),0)</f>
        <v>0</v>
      </c>
      <c r="X57" s="99">
        <f t="shared" ca="1" si="11"/>
        <v>0</v>
      </c>
      <c r="Y57" s="55">
        <v>20</v>
      </c>
      <c r="Z57" s="55">
        <f ca="1">IFERROR(__xludf.DUMMYFUNCTION("IMPORTRANGE(""https://docs.google.com/spreadsheets/d/1SX6NBoVAgQJ6U1MVXOaj8PK2l7WJ3RER9xtqwdhxkhw/edit?usp=sharing"",""ฉะเชิงเทรา!J195"")"),0)</f>
        <v>0</v>
      </c>
      <c r="AA57" s="99">
        <f t="shared" ca="1" si="13"/>
        <v>0</v>
      </c>
    </row>
    <row r="58" spans="1:27" ht="24" customHeight="1" x14ac:dyDescent="0.5">
      <c r="A58" s="52">
        <v>4</v>
      </c>
      <c r="B58" s="53" t="s">
        <v>73</v>
      </c>
      <c r="C58" s="54">
        <f t="shared" si="52"/>
        <v>0</v>
      </c>
      <c r="D58" s="55">
        <v>0</v>
      </c>
      <c r="E58" s="55">
        <v>0</v>
      </c>
      <c r="F58" s="55">
        <f ca="1">IFERROR(__xludf.DUMMYFUNCTION("IMPORTRANGE(""https://docs.google.com/spreadsheets/d/1SX6NBoVAgQJ6U1MVXOaj8PK2l7WJ3RER9xtqwdhxkhw/edit?usp=sharing"",""ชลบุรี!M169"")"),0)</f>
        <v>0</v>
      </c>
      <c r="G58" s="99">
        <f t="shared" si="1"/>
        <v>0</v>
      </c>
      <c r="H58" s="55">
        <v>0</v>
      </c>
      <c r="I58" s="55">
        <f ca="1">IFERROR(__xludf.DUMMYFUNCTION("IMPORTRANGE(""https://docs.google.com/spreadsheets/d/1SX6NBoVAgQJ6U1MVXOaj8PK2l7WJ3RER9xtqwdhxkhw/edit?usp=sharing"",""ชลบุรี!J179"")"),0)</f>
        <v>0</v>
      </c>
      <c r="J58" s="99">
        <f t="shared" si="3"/>
        <v>0</v>
      </c>
      <c r="K58" s="55">
        <v>0</v>
      </c>
      <c r="L58" s="55">
        <f ca="1">IFERROR(__xludf.DUMMYFUNCTION("IMPORTRANGE(""https://docs.google.com/spreadsheets/d/1SX6NBoVAgQJ6U1MVXOaj8PK2l7WJ3RER9xtqwdhxkhw/edit?usp=sharing"",""ชลบุรี!J180"")"),0)</f>
        <v>0</v>
      </c>
      <c r="M58" s="99">
        <f t="shared" si="5"/>
        <v>0</v>
      </c>
      <c r="N58" s="55">
        <v>0</v>
      </c>
      <c r="O58" s="55">
        <f ca="1">IFERROR(__xludf.DUMMYFUNCTION("IMPORTRANGE(""https://docs.google.com/spreadsheets/d/1SX6NBoVAgQJ6U1MVXOaj8PK2l7WJ3RER9xtqwdhxkhw/edit?usp=sharing"",""ชลบุรี!J181"")"),0)</f>
        <v>0</v>
      </c>
      <c r="P58" s="99">
        <f t="shared" si="7"/>
        <v>0</v>
      </c>
      <c r="Q58" s="55">
        <v>0</v>
      </c>
      <c r="R58" s="55">
        <f ca="1">IFERROR(__xludf.DUMMYFUNCTION("IMPORTRANGE(""https://docs.google.com/spreadsheets/d/1SX6NBoVAgQJ6U1MVXOaj8PK2l7WJ3RER9xtqwdhxkhw/edit?usp=sharing"",""ชลบุรี!J182"")"),0)</f>
        <v>0</v>
      </c>
      <c r="S58" s="99">
        <f t="shared" si="9"/>
        <v>0</v>
      </c>
      <c r="T58" s="54">
        <f t="shared" si="53"/>
        <v>55200</v>
      </c>
      <c r="U58" s="55">
        <v>0</v>
      </c>
      <c r="V58" s="55">
        <v>55200</v>
      </c>
      <c r="W58" s="55">
        <f ca="1">IFERROR(__xludf.DUMMYFUNCTION("IMPORTRANGE(""https://docs.google.com/spreadsheets/d/1SX6NBoVAgQJ6U1MVXOaj8PK2l7WJ3RER9xtqwdhxkhw/edit?usp=sharing"",""ชลบุรี!M185"")"),0)</f>
        <v>0</v>
      </c>
      <c r="X58" s="99">
        <f t="shared" ca="1" si="11"/>
        <v>0</v>
      </c>
      <c r="Y58" s="55">
        <v>15</v>
      </c>
      <c r="Z58" s="55">
        <f ca="1">IFERROR(__xludf.DUMMYFUNCTION("IMPORTRANGE(""https://docs.google.com/spreadsheets/d/1SX6NBoVAgQJ6U1MVXOaj8PK2l7WJ3RER9xtqwdhxkhw/edit?usp=sharing"",""ชลบุรี!J195"")"),0)</f>
        <v>0</v>
      </c>
      <c r="AA58" s="99">
        <f t="shared" ca="1" si="13"/>
        <v>0</v>
      </c>
    </row>
    <row r="59" spans="1:27" ht="24" customHeight="1" x14ac:dyDescent="0.5">
      <c r="A59" s="52">
        <v>5</v>
      </c>
      <c r="B59" s="53" t="s">
        <v>74</v>
      </c>
      <c r="C59" s="54">
        <f t="shared" si="52"/>
        <v>71400</v>
      </c>
      <c r="D59" s="55">
        <v>0</v>
      </c>
      <c r="E59" s="55">
        <v>71400</v>
      </c>
      <c r="F59" s="55">
        <f ca="1">IFERROR(__xludf.DUMMYFUNCTION("IMPORTRANGE(""https://docs.google.com/spreadsheets/d/1SX6NBoVAgQJ6U1MVXOaj8PK2l7WJ3RER9xtqwdhxkhw/edit?usp=sharing"",""ชัยนาท!M169"")"),0)</f>
        <v>0</v>
      </c>
      <c r="G59" s="99">
        <f t="shared" ca="1" si="1"/>
        <v>0</v>
      </c>
      <c r="H59" s="55">
        <v>1</v>
      </c>
      <c r="I59" s="55">
        <f ca="1">IFERROR(__xludf.DUMMYFUNCTION("IMPORTRANGE(""https://docs.google.com/spreadsheets/d/1SX6NBoVAgQJ6U1MVXOaj8PK2l7WJ3RER9xtqwdhxkhw/edit?usp=sharing"",""ชัยนาท!J179"")"),0)</f>
        <v>0</v>
      </c>
      <c r="J59" s="99">
        <f t="shared" ca="1" si="3"/>
        <v>0</v>
      </c>
      <c r="K59" s="55">
        <v>20</v>
      </c>
      <c r="L59" s="55">
        <f ca="1">IFERROR(__xludf.DUMMYFUNCTION("IMPORTRANGE(""https://docs.google.com/spreadsheets/d/1SX6NBoVAgQJ6U1MVXOaj8PK2l7WJ3RER9xtqwdhxkhw/edit?usp=sharing"",""ชัยนาท!J180"")"),0)</f>
        <v>0</v>
      </c>
      <c r="M59" s="99">
        <f t="shared" ca="1" si="5"/>
        <v>0</v>
      </c>
      <c r="N59" s="55">
        <v>20</v>
      </c>
      <c r="O59" s="55">
        <f ca="1">IFERROR(__xludf.DUMMYFUNCTION("IMPORTRANGE(""https://docs.google.com/spreadsheets/d/1SX6NBoVAgQJ6U1MVXOaj8PK2l7WJ3RER9xtqwdhxkhw/edit?usp=sharing"",""ชัยนาท!J181"")"),0)</f>
        <v>0</v>
      </c>
      <c r="P59" s="99">
        <f t="shared" ca="1" si="7"/>
        <v>0</v>
      </c>
      <c r="Q59" s="55">
        <v>1</v>
      </c>
      <c r="R59" s="55">
        <f ca="1">IFERROR(__xludf.DUMMYFUNCTION("IMPORTRANGE(""https://docs.google.com/spreadsheets/d/1SX6NBoVAgQJ6U1MVXOaj8PK2l7WJ3RER9xtqwdhxkhw/edit?usp=sharing"",""ชัยนาท!J182"")"),0)</f>
        <v>0</v>
      </c>
      <c r="S59" s="99">
        <f t="shared" ca="1" si="9"/>
        <v>0</v>
      </c>
      <c r="T59" s="54">
        <f t="shared" si="53"/>
        <v>165200</v>
      </c>
      <c r="U59" s="55">
        <v>0</v>
      </c>
      <c r="V59" s="55">
        <v>165200</v>
      </c>
      <c r="W59" s="55">
        <f ca="1">IFERROR(__xludf.DUMMYFUNCTION("IMPORTRANGE(""https://docs.google.com/spreadsheets/d/1SX6NBoVAgQJ6U1MVXOaj8PK2l7WJ3RER9xtqwdhxkhw/edit?usp=sharing"",""ชัยนาท!M185"")"),0)</f>
        <v>0</v>
      </c>
      <c r="X59" s="99">
        <f t="shared" ca="1" si="11"/>
        <v>0</v>
      </c>
      <c r="Y59" s="55">
        <v>15</v>
      </c>
      <c r="Z59" s="55">
        <f ca="1">IFERROR(__xludf.DUMMYFUNCTION("IMPORTRANGE(""https://docs.google.com/spreadsheets/d/1SX6NBoVAgQJ6U1MVXOaj8PK2l7WJ3RER9xtqwdhxkhw/edit?usp=sharing"",""ชัยนาท!J195"")"),0)</f>
        <v>0</v>
      </c>
      <c r="AA59" s="99">
        <f t="shared" ca="1" si="13"/>
        <v>0</v>
      </c>
    </row>
    <row r="60" spans="1:27" ht="24" customHeight="1" x14ac:dyDescent="0.5">
      <c r="A60" s="52">
        <v>6</v>
      </c>
      <c r="B60" s="53" t="s">
        <v>75</v>
      </c>
      <c r="C60" s="54">
        <f t="shared" si="52"/>
        <v>0</v>
      </c>
      <c r="D60" s="55">
        <v>0</v>
      </c>
      <c r="E60" s="55">
        <v>0</v>
      </c>
      <c r="F60" s="55">
        <f ca="1">IFERROR(__xludf.DUMMYFUNCTION("IMPORTRANGE(""https://docs.google.com/spreadsheets/d/1SX6NBoVAgQJ6U1MVXOaj8PK2l7WJ3RER9xtqwdhxkhw/edit?usp=sharing"",""ตราด!M169"")"),0)</f>
        <v>0</v>
      </c>
      <c r="G60" s="99">
        <f t="shared" si="1"/>
        <v>0</v>
      </c>
      <c r="H60" s="55">
        <v>0</v>
      </c>
      <c r="I60" s="55">
        <f ca="1">IFERROR(__xludf.DUMMYFUNCTION("IMPORTRANGE(""https://docs.google.com/spreadsheets/d/1SX6NBoVAgQJ6U1MVXOaj8PK2l7WJ3RER9xtqwdhxkhw/edit?usp=sharing"",""ตราด!J179"")"),0)</f>
        <v>0</v>
      </c>
      <c r="J60" s="99">
        <f t="shared" si="3"/>
        <v>0</v>
      </c>
      <c r="K60" s="55">
        <v>0</v>
      </c>
      <c r="L60" s="55">
        <f ca="1">IFERROR(__xludf.DUMMYFUNCTION("IMPORTRANGE(""https://docs.google.com/spreadsheets/d/1SX6NBoVAgQJ6U1MVXOaj8PK2l7WJ3RER9xtqwdhxkhw/edit?usp=sharing"",""ตราด!J180"")"),0)</f>
        <v>0</v>
      </c>
      <c r="M60" s="99">
        <f t="shared" si="5"/>
        <v>0</v>
      </c>
      <c r="N60" s="55">
        <v>0</v>
      </c>
      <c r="O60" s="55">
        <f ca="1">IFERROR(__xludf.DUMMYFUNCTION("IMPORTRANGE(""https://docs.google.com/spreadsheets/d/1SX6NBoVAgQJ6U1MVXOaj8PK2l7WJ3RER9xtqwdhxkhw/edit?usp=sharing"",""ตราด!J181"")"),0)</f>
        <v>0</v>
      </c>
      <c r="P60" s="99">
        <f t="shared" si="7"/>
        <v>0</v>
      </c>
      <c r="Q60" s="55">
        <v>0</v>
      </c>
      <c r="R60" s="55">
        <f ca="1">IFERROR(__xludf.DUMMYFUNCTION("IMPORTRANGE(""https://docs.google.com/spreadsheets/d/1SX6NBoVAgQJ6U1MVXOaj8PK2l7WJ3RER9xtqwdhxkhw/edit?usp=sharing"",""ตราด!J182"")"),0)</f>
        <v>0</v>
      </c>
      <c r="S60" s="99">
        <f t="shared" si="9"/>
        <v>0</v>
      </c>
      <c r="T60" s="54">
        <f t="shared" si="53"/>
        <v>0</v>
      </c>
      <c r="U60" s="55">
        <v>0</v>
      </c>
      <c r="V60" s="55">
        <v>0</v>
      </c>
      <c r="W60" s="55">
        <f ca="1">IFERROR(__xludf.DUMMYFUNCTION("IMPORTRANGE(""https://docs.google.com/spreadsheets/d/1SX6NBoVAgQJ6U1MVXOaj8PK2l7WJ3RER9xtqwdhxkhw/edit?usp=sharing"",""ตราด!M185"")"),0)</f>
        <v>0</v>
      </c>
      <c r="X60" s="99">
        <f t="shared" si="11"/>
        <v>0</v>
      </c>
      <c r="Y60" s="55">
        <v>0</v>
      </c>
      <c r="Z60" s="55">
        <f ca="1">IFERROR(__xludf.DUMMYFUNCTION("IMPORTRANGE(""https://docs.google.com/spreadsheets/d/1SX6NBoVAgQJ6U1MVXOaj8PK2l7WJ3RER9xtqwdhxkhw/edit?usp=sharing"",""ตราด!J195"")"),0)</f>
        <v>0</v>
      </c>
      <c r="AA60" s="99">
        <f t="shared" si="13"/>
        <v>0</v>
      </c>
    </row>
    <row r="61" spans="1:27" ht="24" customHeight="1" x14ac:dyDescent="0.5">
      <c r="A61" s="52">
        <v>7</v>
      </c>
      <c r="B61" s="53" t="s">
        <v>76</v>
      </c>
      <c r="C61" s="54">
        <f t="shared" si="52"/>
        <v>0</v>
      </c>
      <c r="D61" s="55">
        <v>0</v>
      </c>
      <c r="E61" s="55">
        <v>0</v>
      </c>
      <c r="F61" s="55">
        <f ca="1">IFERROR(__xludf.DUMMYFUNCTION("IMPORTRANGE(""https://docs.google.com/spreadsheets/d/1SX6NBoVAgQJ6U1MVXOaj8PK2l7WJ3RER9xtqwdhxkhw/edit?usp=sharing"",""นครนายก!M169"")"),0)</f>
        <v>0</v>
      </c>
      <c r="G61" s="99">
        <f t="shared" si="1"/>
        <v>0</v>
      </c>
      <c r="H61" s="55">
        <v>0</v>
      </c>
      <c r="I61" s="55">
        <f ca="1">IFERROR(__xludf.DUMMYFUNCTION("IMPORTRANGE(""https://docs.google.com/spreadsheets/d/1SX6NBoVAgQJ6U1MVXOaj8PK2l7WJ3RER9xtqwdhxkhw/edit?usp=sharing"",""นครนายก!J179"")"),0)</f>
        <v>0</v>
      </c>
      <c r="J61" s="99">
        <f t="shared" si="3"/>
        <v>0</v>
      </c>
      <c r="K61" s="55">
        <v>0</v>
      </c>
      <c r="L61" s="55">
        <f ca="1">IFERROR(__xludf.DUMMYFUNCTION("IMPORTRANGE(""https://docs.google.com/spreadsheets/d/1SX6NBoVAgQJ6U1MVXOaj8PK2l7WJ3RER9xtqwdhxkhw/edit?usp=sharing"",""นครนายก!J180"")"),0)</f>
        <v>0</v>
      </c>
      <c r="M61" s="99">
        <f t="shared" si="5"/>
        <v>0</v>
      </c>
      <c r="N61" s="55">
        <v>0</v>
      </c>
      <c r="O61" s="55">
        <f ca="1">IFERROR(__xludf.DUMMYFUNCTION("IMPORTRANGE(""https://docs.google.com/spreadsheets/d/1SX6NBoVAgQJ6U1MVXOaj8PK2l7WJ3RER9xtqwdhxkhw/edit?usp=sharing"",""นครนายก!J181"")"),0)</f>
        <v>0</v>
      </c>
      <c r="P61" s="99">
        <f t="shared" si="7"/>
        <v>0</v>
      </c>
      <c r="Q61" s="55">
        <v>0</v>
      </c>
      <c r="R61" s="55">
        <f ca="1">IFERROR(__xludf.DUMMYFUNCTION("IMPORTRANGE(""https://docs.google.com/spreadsheets/d/1SX6NBoVAgQJ6U1MVXOaj8PK2l7WJ3RER9xtqwdhxkhw/edit?usp=sharing"",""นครนายก!J182"")"),0)</f>
        <v>0</v>
      </c>
      <c r="S61" s="99">
        <f t="shared" si="9"/>
        <v>0</v>
      </c>
      <c r="T61" s="54">
        <f t="shared" si="53"/>
        <v>55200</v>
      </c>
      <c r="U61" s="55">
        <v>0</v>
      </c>
      <c r="V61" s="55">
        <v>55200</v>
      </c>
      <c r="W61" s="55">
        <f ca="1">IFERROR(__xludf.DUMMYFUNCTION("IMPORTRANGE(""https://docs.google.com/spreadsheets/d/1SX6NBoVAgQJ6U1MVXOaj8PK2l7WJ3RER9xtqwdhxkhw/edit?usp=sharing"",""นครนายก!M185"")"),0)</f>
        <v>0</v>
      </c>
      <c r="X61" s="99">
        <f t="shared" ca="1" si="11"/>
        <v>0</v>
      </c>
      <c r="Y61" s="55">
        <v>15</v>
      </c>
      <c r="Z61" s="55">
        <f ca="1">IFERROR(__xludf.DUMMYFUNCTION("IMPORTRANGE(""https://docs.google.com/spreadsheets/d/1SX6NBoVAgQJ6U1MVXOaj8PK2l7WJ3RER9xtqwdhxkhw/edit?usp=sharing"",""นครนายก!J195"")"),0)</f>
        <v>0</v>
      </c>
      <c r="AA61" s="99">
        <f t="shared" ca="1" si="13"/>
        <v>0</v>
      </c>
    </row>
    <row r="62" spans="1:27" ht="24" customHeight="1" x14ac:dyDescent="0.5">
      <c r="A62" s="52">
        <v>8</v>
      </c>
      <c r="B62" s="53" t="s">
        <v>77</v>
      </c>
      <c r="C62" s="54">
        <f t="shared" si="52"/>
        <v>0</v>
      </c>
      <c r="D62" s="55">
        <v>0</v>
      </c>
      <c r="E62" s="55">
        <v>0</v>
      </c>
      <c r="F62" s="55">
        <f ca="1">IFERROR(__xludf.DUMMYFUNCTION("IMPORTRANGE(""https://docs.google.com/spreadsheets/d/1SX6NBoVAgQJ6U1MVXOaj8PK2l7WJ3RER9xtqwdhxkhw/edit?usp=sharing"",""นครปฐม!M169"")"),0)</f>
        <v>0</v>
      </c>
      <c r="G62" s="99">
        <f t="shared" si="1"/>
        <v>0</v>
      </c>
      <c r="H62" s="55">
        <v>0</v>
      </c>
      <c r="I62" s="55">
        <f ca="1">IFERROR(__xludf.DUMMYFUNCTION("IMPORTRANGE(""https://docs.google.com/spreadsheets/d/1SX6NBoVAgQJ6U1MVXOaj8PK2l7WJ3RER9xtqwdhxkhw/edit?usp=sharing"",""นครปฐม!J179"")"),0)</f>
        <v>0</v>
      </c>
      <c r="J62" s="99">
        <f t="shared" si="3"/>
        <v>0</v>
      </c>
      <c r="K62" s="55">
        <v>0</v>
      </c>
      <c r="L62" s="55">
        <f ca="1">IFERROR(__xludf.DUMMYFUNCTION("IMPORTRANGE(""https://docs.google.com/spreadsheets/d/1SX6NBoVAgQJ6U1MVXOaj8PK2l7WJ3RER9xtqwdhxkhw/edit?usp=sharing"",""นครปฐม!J180"")"),0)</f>
        <v>0</v>
      </c>
      <c r="M62" s="99">
        <f t="shared" si="5"/>
        <v>0</v>
      </c>
      <c r="N62" s="55">
        <v>0</v>
      </c>
      <c r="O62" s="55">
        <f ca="1">IFERROR(__xludf.DUMMYFUNCTION("IMPORTRANGE(""https://docs.google.com/spreadsheets/d/1SX6NBoVAgQJ6U1MVXOaj8PK2l7WJ3RER9xtqwdhxkhw/edit?usp=sharing"",""นครปฐม!J181"")"),0)</f>
        <v>0</v>
      </c>
      <c r="P62" s="99">
        <f t="shared" si="7"/>
        <v>0</v>
      </c>
      <c r="Q62" s="55">
        <v>0</v>
      </c>
      <c r="R62" s="55">
        <f ca="1">IFERROR(__xludf.DUMMYFUNCTION("IMPORTRANGE(""https://docs.google.com/spreadsheets/d/1SX6NBoVAgQJ6U1MVXOaj8PK2l7WJ3RER9xtqwdhxkhw/edit?usp=sharing"",""นครปฐม!J182"")"),0)</f>
        <v>0</v>
      </c>
      <c r="S62" s="99">
        <f t="shared" si="9"/>
        <v>0</v>
      </c>
      <c r="T62" s="54">
        <f t="shared" si="53"/>
        <v>0</v>
      </c>
      <c r="U62" s="55">
        <v>0</v>
      </c>
      <c r="V62" s="55">
        <v>0</v>
      </c>
      <c r="W62" s="55">
        <f ca="1">IFERROR(__xludf.DUMMYFUNCTION("IMPORTRANGE(""https://docs.google.com/spreadsheets/d/1SX6NBoVAgQJ6U1MVXOaj8PK2l7WJ3RER9xtqwdhxkhw/edit?usp=sharing"",""นครปฐม!M185"")"),0)</f>
        <v>0</v>
      </c>
      <c r="X62" s="99">
        <f t="shared" si="11"/>
        <v>0</v>
      </c>
      <c r="Y62" s="55">
        <v>0</v>
      </c>
      <c r="Z62" s="55">
        <f ca="1">IFERROR(__xludf.DUMMYFUNCTION("IMPORTRANGE(""https://docs.google.com/spreadsheets/d/1SX6NBoVAgQJ6U1MVXOaj8PK2l7WJ3RER9xtqwdhxkhw/edit?usp=sharing"",""นครปฐม!J195"")"),0)</f>
        <v>0</v>
      </c>
      <c r="AA62" s="99">
        <f t="shared" si="13"/>
        <v>0</v>
      </c>
    </row>
    <row r="63" spans="1:27" ht="24" customHeight="1" x14ac:dyDescent="0.5">
      <c r="A63" s="52">
        <v>9</v>
      </c>
      <c r="B63" s="53" t="s">
        <v>78</v>
      </c>
      <c r="C63" s="54">
        <f t="shared" si="52"/>
        <v>0</v>
      </c>
      <c r="D63" s="55">
        <v>0</v>
      </c>
      <c r="E63" s="55">
        <v>0</v>
      </c>
      <c r="F63" s="55">
        <f ca="1">IFERROR(__xludf.DUMMYFUNCTION("IMPORTRANGE(""https://docs.google.com/spreadsheets/d/1SX6NBoVAgQJ6U1MVXOaj8PK2l7WJ3RER9xtqwdhxkhw/edit?usp=sharing"",""ปทุมธานี!M169"")"),0)</f>
        <v>0</v>
      </c>
      <c r="G63" s="99">
        <f t="shared" si="1"/>
        <v>0</v>
      </c>
      <c r="H63" s="55">
        <v>0</v>
      </c>
      <c r="I63" s="55">
        <f ca="1">IFERROR(__xludf.DUMMYFUNCTION("IMPORTRANGE(""https://docs.google.com/spreadsheets/d/1SX6NBoVAgQJ6U1MVXOaj8PK2l7WJ3RER9xtqwdhxkhw/edit?usp=sharing"",""ปทุมธานี!J179"")"),0)</f>
        <v>0</v>
      </c>
      <c r="J63" s="99">
        <f t="shared" si="3"/>
        <v>0</v>
      </c>
      <c r="K63" s="55">
        <v>0</v>
      </c>
      <c r="L63" s="55">
        <f ca="1">IFERROR(__xludf.DUMMYFUNCTION("IMPORTRANGE(""https://docs.google.com/spreadsheets/d/1SX6NBoVAgQJ6U1MVXOaj8PK2l7WJ3RER9xtqwdhxkhw/edit?usp=sharing"",""ปทุมธานี!J180"")"),0)</f>
        <v>0</v>
      </c>
      <c r="M63" s="99">
        <f t="shared" si="5"/>
        <v>0</v>
      </c>
      <c r="N63" s="55">
        <v>0</v>
      </c>
      <c r="O63" s="55">
        <f ca="1">IFERROR(__xludf.DUMMYFUNCTION("IMPORTRANGE(""https://docs.google.com/spreadsheets/d/1SX6NBoVAgQJ6U1MVXOaj8PK2l7WJ3RER9xtqwdhxkhw/edit?usp=sharing"",""ปทุมธานี!J181"")"),0)</f>
        <v>0</v>
      </c>
      <c r="P63" s="99">
        <f t="shared" si="7"/>
        <v>0</v>
      </c>
      <c r="Q63" s="55">
        <v>0</v>
      </c>
      <c r="R63" s="55">
        <f ca="1">IFERROR(__xludf.DUMMYFUNCTION("IMPORTRANGE(""https://docs.google.com/spreadsheets/d/1SX6NBoVAgQJ6U1MVXOaj8PK2l7WJ3RER9xtqwdhxkhw/edit?usp=sharing"",""ปทุมธานี!J182"")"),0)</f>
        <v>0</v>
      </c>
      <c r="S63" s="99">
        <f t="shared" si="9"/>
        <v>0</v>
      </c>
      <c r="T63" s="54">
        <f t="shared" si="53"/>
        <v>55200</v>
      </c>
      <c r="U63" s="55">
        <v>0</v>
      </c>
      <c r="V63" s="55">
        <v>55200</v>
      </c>
      <c r="W63" s="55">
        <f ca="1">IFERROR(__xludf.DUMMYFUNCTION("IMPORTRANGE(""https://docs.google.com/spreadsheets/d/1SX6NBoVAgQJ6U1MVXOaj8PK2l7WJ3RER9xtqwdhxkhw/edit?usp=sharing"",""ปทุมธานี!M185"")"),0)</f>
        <v>0</v>
      </c>
      <c r="X63" s="99">
        <f t="shared" ca="1" si="11"/>
        <v>0</v>
      </c>
      <c r="Y63" s="55">
        <v>15</v>
      </c>
      <c r="Z63" s="55">
        <f ca="1">IFERROR(__xludf.DUMMYFUNCTION("IMPORTRANGE(""https://docs.google.com/spreadsheets/d/1SX6NBoVAgQJ6U1MVXOaj8PK2l7WJ3RER9xtqwdhxkhw/edit?usp=sharing"",""ปทุมธานี!J195"")"),0)</f>
        <v>0</v>
      </c>
      <c r="AA63" s="99">
        <f t="shared" ca="1" si="13"/>
        <v>0</v>
      </c>
    </row>
    <row r="64" spans="1:27" ht="24" customHeight="1" x14ac:dyDescent="0.5">
      <c r="A64" s="52">
        <v>10</v>
      </c>
      <c r="B64" s="53" t="s">
        <v>79</v>
      </c>
      <c r="C64" s="54">
        <f t="shared" si="52"/>
        <v>0</v>
      </c>
      <c r="D64" s="55">
        <v>0</v>
      </c>
      <c r="E64" s="55">
        <v>0</v>
      </c>
      <c r="F64" s="55">
        <f ca="1">IFERROR(__xludf.DUMMYFUNCTION("IMPORTRANGE(""https://docs.google.com/spreadsheets/d/1SX6NBoVAgQJ6U1MVXOaj8PK2l7WJ3RER9xtqwdhxkhw/edit?usp=sharing"",""ประจวบคีรีขันธ์!M169"")"),0)</f>
        <v>0</v>
      </c>
      <c r="G64" s="99">
        <f t="shared" si="1"/>
        <v>0</v>
      </c>
      <c r="H64" s="55">
        <v>0</v>
      </c>
      <c r="I64" s="55">
        <f ca="1">IFERROR(__xludf.DUMMYFUNCTION("IMPORTRANGE(""https://docs.google.com/spreadsheets/d/1SX6NBoVAgQJ6U1MVXOaj8PK2l7WJ3RER9xtqwdhxkhw/edit?usp=sharing"",""ประจวบคีรีขันธ์!J179"")"),0)</f>
        <v>0</v>
      </c>
      <c r="J64" s="99">
        <f t="shared" si="3"/>
        <v>0</v>
      </c>
      <c r="K64" s="55">
        <v>0</v>
      </c>
      <c r="L64" s="55">
        <f ca="1">IFERROR(__xludf.DUMMYFUNCTION("IMPORTRANGE(""https://docs.google.com/spreadsheets/d/1SX6NBoVAgQJ6U1MVXOaj8PK2l7WJ3RER9xtqwdhxkhw/edit?usp=sharing"",""ประจวบคีรีขันธ์!J180"")"),0)</f>
        <v>0</v>
      </c>
      <c r="M64" s="99">
        <f t="shared" si="5"/>
        <v>0</v>
      </c>
      <c r="N64" s="55">
        <v>0</v>
      </c>
      <c r="O64" s="55">
        <f ca="1">IFERROR(__xludf.DUMMYFUNCTION("IMPORTRANGE(""https://docs.google.com/spreadsheets/d/1SX6NBoVAgQJ6U1MVXOaj8PK2l7WJ3RER9xtqwdhxkhw/edit?usp=sharing"",""ประจวบคีรีขันธ์!J181"")"),0)</f>
        <v>0</v>
      </c>
      <c r="P64" s="99">
        <f t="shared" si="7"/>
        <v>0</v>
      </c>
      <c r="Q64" s="55">
        <v>0</v>
      </c>
      <c r="R64" s="55">
        <f ca="1">IFERROR(__xludf.DUMMYFUNCTION("IMPORTRANGE(""https://docs.google.com/spreadsheets/d/1SX6NBoVAgQJ6U1MVXOaj8PK2l7WJ3RER9xtqwdhxkhw/edit?usp=sharing"",""ประจวบคีรีขันธ์!J182"")"),0)</f>
        <v>0</v>
      </c>
      <c r="S64" s="99">
        <f t="shared" si="9"/>
        <v>0</v>
      </c>
      <c r="T64" s="54">
        <f t="shared" si="53"/>
        <v>0</v>
      </c>
      <c r="U64" s="55">
        <v>0</v>
      </c>
      <c r="V64" s="55">
        <v>0</v>
      </c>
      <c r="W64" s="55">
        <f ca="1">IFERROR(__xludf.DUMMYFUNCTION("IMPORTRANGE(""https://docs.google.com/spreadsheets/d/1SX6NBoVAgQJ6U1MVXOaj8PK2l7WJ3RER9xtqwdhxkhw/edit?usp=sharing"",""ประจวบคีรีขันธ์!M185"")"),0)</f>
        <v>0</v>
      </c>
      <c r="X64" s="99">
        <f t="shared" si="11"/>
        <v>0</v>
      </c>
      <c r="Y64" s="55">
        <v>0</v>
      </c>
      <c r="Z64" s="55">
        <f ca="1">IFERROR(__xludf.DUMMYFUNCTION("IMPORTRANGE(""https://docs.google.com/spreadsheets/d/1SX6NBoVAgQJ6U1MVXOaj8PK2l7WJ3RER9xtqwdhxkhw/edit?usp=sharing"",""ประจวบคีรีขันธ์!J195"")"),0)</f>
        <v>0</v>
      </c>
      <c r="AA64" s="99">
        <f t="shared" si="13"/>
        <v>0</v>
      </c>
    </row>
    <row r="65" spans="1:27" ht="24" customHeight="1" x14ac:dyDescent="0.5">
      <c r="A65" s="52">
        <v>11</v>
      </c>
      <c r="B65" s="53" t="s">
        <v>80</v>
      </c>
      <c r="C65" s="54">
        <f t="shared" si="52"/>
        <v>71400</v>
      </c>
      <c r="D65" s="55">
        <v>0</v>
      </c>
      <c r="E65" s="55">
        <v>71400</v>
      </c>
      <c r="F65" s="55">
        <f ca="1">IFERROR(__xludf.DUMMYFUNCTION("IMPORTRANGE(""https://docs.google.com/spreadsheets/d/1SX6NBoVAgQJ6U1MVXOaj8PK2l7WJ3RER9xtqwdhxkhw/edit?usp=sharing"",""ปราจีนบุรี!M169"")"),0)</f>
        <v>0</v>
      </c>
      <c r="G65" s="99">
        <f t="shared" ca="1" si="1"/>
        <v>0</v>
      </c>
      <c r="H65" s="55">
        <v>1</v>
      </c>
      <c r="I65" s="55">
        <f ca="1">IFERROR(__xludf.DUMMYFUNCTION("IMPORTRANGE(""https://docs.google.com/spreadsheets/d/1SX6NBoVAgQJ6U1MVXOaj8PK2l7WJ3RER9xtqwdhxkhw/edit?usp=sharing"",""ปราจีนบุรี!J179"")"),0)</f>
        <v>0</v>
      </c>
      <c r="J65" s="99">
        <f t="shared" ca="1" si="3"/>
        <v>0</v>
      </c>
      <c r="K65" s="55">
        <v>20</v>
      </c>
      <c r="L65" s="55">
        <f ca="1">IFERROR(__xludf.DUMMYFUNCTION("IMPORTRANGE(""https://docs.google.com/spreadsheets/d/1SX6NBoVAgQJ6U1MVXOaj8PK2l7WJ3RER9xtqwdhxkhw/edit?usp=sharing"",""ปราจีนบุรี!J180"")"),0)</f>
        <v>0</v>
      </c>
      <c r="M65" s="99">
        <f t="shared" ca="1" si="5"/>
        <v>0</v>
      </c>
      <c r="N65" s="55">
        <v>20</v>
      </c>
      <c r="O65" s="55">
        <f ca="1">IFERROR(__xludf.DUMMYFUNCTION("IMPORTRANGE(""https://docs.google.com/spreadsheets/d/1SX6NBoVAgQJ6U1MVXOaj8PK2l7WJ3RER9xtqwdhxkhw/edit?usp=sharing"",""ปราจีนบุรี!J181"")"),0)</f>
        <v>0</v>
      </c>
      <c r="P65" s="99">
        <f t="shared" ca="1" si="7"/>
        <v>0</v>
      </c>
      <c r="Q65" s="55">
        <v>1</v>
      </c>
      <c r="R65" s="55">
        <f ca="1">IFERROR(__xludf.DUMMYFUNCTION("IMPORTRANGE(""https://docs.google.com/spreadsheets/d/1SX6NBoVAgQJ6U1MVXOaj8PK2l7WJ3RER9xtqwdhxkhw/edit?usp=sharing"",""ปราจีนบุรี!J182"")"),0)</f>
        <v>0</v>
      </c>
      <c r="S65" s="99">
        <f t="shared" ca="1" si="9"/>
        <v>0</v>
      </c>
      <c r="T65" s="54">
        <f t="shared" si="53"/>
        <v>0</v>
      </c>
      <c r="U65" s="55">
        <v>0</v>
      </c>
      <c r="V65" s="55">
        <v>0</v>
      </c>
      <c r="W65" s="55">
        <f ca="1">IFERROR(__xludf.DUMMYFUNCTION("IMPORTRANGE(""https://docs.google.com/spreadsheets/d/1SX6NBoVAgQJ6U1MVXOaj8PK2l7WJ3RER9xtqwdhxkhw/edit?usp=sharing"",""ปราจีนบุรี!M185"")"),0)</f>
        <v>0</v>
      </c>
      <c r="X65" s="99">
        <f t="shared" si="11"/>
        <v>0</v>
      </c>
      <c r="Y65" s="55">
        <v>0</v>
      </c>
      <c r="Z65" s="55">
        <f ca="1">IFERROR(__xludf.DUMMYFUNCTION("IMPORTRANGE(""https://docs.google.com/spreadsheets/d/1SX6NBoVAgQJ6U1MVXOaj8PK2l7WJ3RER9xtqwdhxkhw/edit?usp=sharing"",""ปราจีนบุรี!J195"")"),0)</f>
        <v>0</v>
      </c>
      <c r="AA65" s="99">
        <f t="shared" si="13"/>
        <v>0</v>
      </c>
    </row>
    <row r="66" spans="1:27" ht="24" customHeight="1" x14ac:dyDescent="0.5">
      <c r="A66" s="52">
        <v>12</v>
      </c>
      <c r="B66" s="53" t="s">
        <v>81</v>
      </c>
      <c r="C66" s="54">
        <f t="shared" si="52"/>
        <v>0</v>
      </c>
      <c r="D66" s="55">
        <v>0</v>
      </c>
      <c r="E66" s="55">
        <v>0</v>
      </c>
      <c r="F66" s="55">
        <f ca="1">IFERROR(__xludf.DUMMYFUNCTION("IMPORTRANGE(""https://docs.google.com/spreadsheets/d/1SX6NBoVAgQJ6U1MVXOaj8PK2l7WJ3RER9xtqwdhxkhw/edit?usp=sharing"",""พระนครศรีอยุธยา!M169"")"),0)</f>
        <v>0</v>
      </c>
      <c r="G66" s="99">
        <f t="shared" si="1"/>
        <v>0</v>
      </c>
      <c r="H66" s="55">
        <v>0</v>
      </c>
      <c r="I66" s="55">
        <f ca="1">IFERROR(__xludf.DUMMYFUNCTION("IMPORTRANGE(""https://docs.google.com/spreadsheets/d/1SX6NBoVAgQJ6U1MVXOaj8PK2l7WJ3RER9xtqwdhxkhw/edit?usp=sharing"",""พระนครศรีอยุธยา!J179"")"),0)</f>
        <v>0</v>
      </c>
      <c r="J66" s="99">
        <f t="shared" si="3"/>
        <v>0</v>
      </c>
      <c r="K66" s="55">
        <v>0</v>
      </c>
      <c r="L66" s="55">
        <f ca="1">IFERROR(__xludf.DUMMYFUNCTION("IMPORTRANGE(""https://docs.google.com/spreadsheets/d/1SX6NBoVAgQJ6U1MVXOaj8PK2l7WJ3RER9xtqwdhxkhw/edit?usp=sharing"",""พระนครศรีอยุธยา!J180"")"),0)</f>
        <v>0</v>
      </c>
      <c r="M66" s="99">
        <f t="shared" si="5"/>
        <v>0</v>
      </c>
      <c r="N66" s="55">
        <v>0</v>
      </c>
      <c r="O66" s="55">
        <f ca="1">IFERROR(__xludf.DUMMYFUNCTION("IMPORTRANGE(""https://docs.google.com/spreadsheets/d/1SX6NBoVAgQJ6U1MVXOaj8PK2l7WJ3RER9xtqwdhxkhw/edit?usp=sharing"",""พระนครศรีอยุธยา!J181"")"),0)</f>
        <v>0</v>
      </c>
      <c r="P66" s="99">
        <f t="shared" si="7"/>
        <v>0</v>
      </c>
      <c r="Q66" s="55">
        <v>0</v>
      </c>
      <c r="R66" s="55">
        <f ca="1">IFERROR(__xludf.DUMMYFUNCTION("IMPORTRANGE(""https://docs.google.com/spreadsheets/d/1SX6NBoVAgQJ6U1MVXOaj8PK2l7WJ3RER9xtqwdhxkhw/edit?usp=sharing"",""พระนครศรีอยุธยา!J182"")"),0)</f>
        <v>0</v>
      </c>
      <c r="S66" s="99">
        <f t="shared" si="9"/>
        <v>0</v>
      </c>
      <c r="T66" s="54">
        <f t="shared" si="53"/>
        <v>0</v>
      </c>
      <c r="U66" s="55">
        <v>0</v>
      </c>
      <c r="V66" s="55">
        <v>0</v>
      </c>
      <c r="W66" s="55">
        <f ca="1">IFERROR(__xludf.DUMMYFUNCTION("IMPORTRANGE(""https://docs.google.com/spreadsheets/d/1SX6NBoVAgQJ6U1MVXOaj8PK2l7WJ3RER9xtqwdhxkhw/edit?usp=sharing"",""พระนครศรีอยุธยา!M185"")"),0)</f>
        <v>0</v>
      </c>
      <c r="X66" s="99">
        <f t="shared" si="11"/>
        <v>0</v>
      </c>
      <c r="Y66" s="55">
        <v>0</v>
      </c>
      <c r="Z66" s="55">
        <f ca="1">IFERROR(__xludf.DUMMYFUNCTION("IMPORTRANGE(""https://docs.google.com/spreadsheets/d/1SX6NBoVAgQJ6U1MVXOaj8PK2l7WJ3RER9xtqwdhxkhw/edit?usp=sharing"",""พระนครศรีอยุธยา!J195"")"),0)</f>
        <v>0</v>
      </c>
      <c r="AA66" s="99">
        <f t="shared" si="13"/>
        <v>0</v>
      </c>
    </row>
    <row r="67" spans="1:27" ht="24" customHeight="1" x14ac:dyDescent="0.5">
      <c r="A67" s="52">
        <v>13</v>
      </c>
      <c r="B67" s="53" t="s">
        <v>82</v>
      </c>
      <c r="C67" s="54">
        <f t="shared" si="52"/>
        <v>0</v>
      </c>
      <c r="D67" s="55">
        <v>0</v>
      </c>
      <c r="E67" s="55">
        <v>0</v>
      </c>
      <c r="F67" s="55">
        <f ca="1">IFERROR(__xludf.DUMMYFUNCTION("IMPORTRANGE(""https://docs.google.com/spreadsheets/d/1SX6NBoVAgQJ6U1MVXOaj8PK2l7WJ3RER9xtqwdhxkhw/edit?usp=sharing"",""เพชรบุรี!M169"")"),0)</f>
        <v>0</v>
      </c>
      <c r="G67" s="99">
        <f t="shared" si="1"/>
        <v>0</v>
      </c>
      <c r="H67" s="55">
        <v>0</v>
      </c>
      <c r="I67" s="55">
        <f ca="1">IFERROR(__xludf.DUMMYFUNCTION("IMPORTRANGE(""https://docs.google.com/spreadsheets/d/1SX6NBoVAgQJ6U1MVXOaj8PK2l7WJ3RER9xtqwdhxkhw/edit?usp=sharing"",""เพชรบุรี!J179"")"),0)</f>
        <v>0</v>
      </c>
      <c r="J67" s="99">
        <f t="shared" si="3"/>
        <v>0</v>
      </c>
      <c r="K67" s="55">
        <v>0</v>
      </c>
      <c r="L67" s="55">
        <f ca="1">IFERROR(__xludf.DUMMYFUNCTION("IMPORTRANGE(""https://docs.google.com/spreadsheets/d/1SX6NBoVAgQJ6U1MVXOaj8PK2l7WJ3RER9xtqwdhxkhw/edit?usp=sharing"",""เพชรบุรี!J180"")"),0)</f>
        <v>0</v>
      </c>
      <c r="M67" s="99">
        <f t="shared" si="5"/>
        <v>0</v>
      </c>
      <c r="N67" s="55">
        <v>0</v>
      </c>
      <c r="O67" s="55">
        <f ca="1">IFERROR(__xludf.DUMMYFUNCTION("IMPORTRANGE(""https://docs.google.com/spreadsheets/d/1SX6NBoVAgQJ6U1MVXOaj8PK2l7WJ3RER9xtqwdhxkhw/edit?usp=sharing"",""เพชรบุรี!J181"")"),0)</f>
        <v>0</v>
      </c>
      <c r="P67" s="99">
        <f t="shared" si="7"/>
        <v>0</v>
      </c>
      <c r="Q67" s="55">
        <v>0</v>
      </c>
      <c r="R67" s="55">
        <f ca="1">IFERROR(__xludf.DUMMYFUNCTION("IMPORTRANGE(""https://docs.google.com/spreadsheets/d/1SX6NBoVAgQJ6U1MVXOaj8PK2l7WJ3RER9xtqwdhxkhw/edit?usp=sharing"",""เพชรบุรี!J182"")"),0)</f>
        <v>0</v>
      </c>
      <c r="S67" s="99">
        <f t="shared" si="9"/>
        <v>0</v>
      </c>
      <c r="T67" s="54">
        <f t="shared" si="53"/>
        <v>0</v>
      </c>
      <c r="U67" s="55">
        <v>0</v>
      </c>
      <c r="V67" s="55">
        <v>0</v>
      </c>
      <c r="W67" s="55">
        <f ca="1">IFERROR(__xludf.DUMMYFUNCTION("IMPORTRANGE(""https://docs.google.com/spreadsheets/d/1SX6NBoVAgQJ6U1MVXOaj8PK2l7WJ3RER9xtqwdhxkhw/edit?usp=sharing"",""เพชรบุรี!M185"")"),0)</f>
        <v>0</v>
      </c>
      <c r="X67" s="99">
        <f t="shared" si="11"/>
        <v>0</v>
      </c>
      <c r="Y67" s="55">
        <v>0</v>
      </c>
      <c r="Z67" s="55">
        <f ca="1">IFERROR(__xludf.DUMMYFUNCTION("IMPORTRANGE(""https://docs.google.com/spreadsheets/d/1SX6NBoVAgQJ6U1MVXOaj8PK2l7WJ3RER9xtqwdhxkhw/edit?usp=sharing"",""เพชรบุรี!J195"")"),0)</f>
        <v>0</v>
      </c>
      <c r="AA67" s="99">
        <f t="shared" si="13"/>
        <v>0</v>
      </c>
    </row>
    <row r="68" spans="1:27" ht="24" customHeight="1" x14ac:dyDescent="0.5">
      <c r="A68" s="52">
        <v>14</v>
      </c>
      <c r="B68" s="53" t="s">
        <v>83</v>
      </c>
      <c r="C68" s="54">
        <f t="shared" si="52"/>
        <v>199000</v>
      </c>
      <c r="D68" s="55">
        <v>0</v>
      </c>
      <c r="E68" s="55">
        <v>199000</v>
      </c>
      <c r="F68" s="55">
        <f ca="1">IFERROR(__xludf.DUMMYFUNCTION("IMPORTRANGE(""https://docs.google.com/spreadsheets/d/1SX6NBoVAgQJ6U1MVXOaj8PK2l7WJ3RER9xtqwdhxkhw/edit?usp=sharing"",""ระยอง!M169"")"),0)</f>
        <v>0</v>
      </c>
      <c r="G68" s="99">
        <f t="shared" ca="1" si="1"/>
        <v>0</v>
      </c>
      <c r="H68" s="55">
        <v>1</v>
      </c>
      <c r="I68" s="55">
        <f ca="1">IFERROR(__xludf.DUMMYFUNCTION("IMPORTRANGE(""https://docs.google.com/spreadsheets/d/1SX6NBoVAgQJ6U1MVXOaj8PK2l7WJ3RER9xtqwdhxkhw/edit?usp=sharing"",""ระยอง!J179"")"),0)</f>
        <v>0</v>
      </c>
      <c r="J68" s="99">
        <f t="shared" ca="1" si="3"/>
        <v>0</v>
      </c>
      <c r="K68" s="55">
        <v>25</v>
      </c>
      <c r="L68" s="55">
        <f ca="1">IFERROR(__xludf.DUMMYFUNCTION("IMPORTRANGE(""https://docs.google.com/spreadsheets/d/1SX6NBoVAgQJ6U1MVXOaj8PK2l7WJ3RER9xtqwdhxkhw/edit?usp=sharing"",""ระยอง!J180"")"),0)</f>
        <v>0</v>
      </c>
      <c r="M68" s="99">
        <f t="shared" ca="1" si="5"/>
        <v>0</v>
      </c>
      <c r="N68" s="55">
        <v>25</v>
      </c>
      <c r="O68" s="55">
        <f ca="1">IFERROR(__xludf.DUMMYFUNCTION("IMPORTRANGE(""https://docs.google.com/spreadsheets/d/1SX6NBoVAgQJ6U1MVXOaj8PK2l7WJ3RER9xtqwdhxkhw/edit?usp=sharing"",""ระยอง!J181"")"),0)</f>
        <v>0</v>
      </c>
      <c r="P68" s="99">
        <f t="shared" ca="1" si="7"/>
        <v>0</v>
      </c>
      <c r="Q68" s="55">
        <v>1</v>
      </c>
      <c r="R68" s="55">
        <f ca="1">IFERROR(__xludf.DUMMYFUNCTION("IMPORTRANGE(""https://docs.google.com/spreadsheets/d/1SX6NBoVAgQJ6U1MVXOaj8PK2l7WJ3RER9xtqwdhxkhw/edit?usp=sharing"",""ระยอง!J182"")"),0)</f>
        <v>0</v>
      </c>
      <c r="S68" s="99">
        <f t="shared" ca="1" si="9"/>
        <v>0</v>
      </c>
      <c r="T68" s="54">
        <f t="shared" si="53"/>
        <v>55200</v>
      </c>
      <c r="U68" s="55">
        <v>0</v>
      </c>
      <c r="V68" s="55">
        <v>55200</v>
      </c>
      <c r="W68" s="55">
        <f ca="1">IFERROR(__xludf.DUMMYFUNCTION("IMPORTRANGE(""https://docs.google.com/spreadsheets/d/1SX6NBoVAgQJ6U1MVXOaj8PK2l7WJ3RER9xtqwdhxkhw/edit?usp=sharing"",""ระยอง!M185"")"),0)</f>
        <v>0</v>
      </c>
      <c r="X68" s="99">
        <f t="shared" ca="1" si="11"/>
        <v>0</v>
      </c>
      <c r="Y68" s="55">
        <v>15</v>
      </c>
      <c r="Z68" s="55">
        <f ca="1">IFERROR(__xludf.DUMMYFUNCTION("IMPORTRANGE(""https://docs.google.com/spreadsheets/d/1SX6NBoVAgQJ6U1MVXOaj8PK2l7WJ3RER9xtqwdhxkhw/edit?usp=sharing"",""ระยอง!J195"")"),0)</f>
        <v>0</v>
      </c>
      <c r="AA68" s="99">
        <f t="shared" ca="1" si="13"/>
        <v>0</v>
      </c>
    </row>
    <row r="69" spans="1:27" ht="24" customHeight="1" x14ac:dyDescent="0.5">
      <c r="A69" s="52">
        <v>15</v>
      </c>
      <c r="B69" s="53" t="s">
        <v>84</v>
      </c>
      <c r="C69" s="54">
        <f t="shared" si="52"/>
        <v>0</v>
      </c>
      <c r="D69" s="55">
        <v>0</v>
      </c>
      <c r="E69" s="55">
        <v>0</v>
      </c>
      <c r="F69" s="55">
        <f ca="1">IFERROR(__xludf.DUMMYFUNCTION("IMPORTRANGE(""https://docs.google.com/spreadsheets/d/1SX6NBoVAgQJ6U1MVXOaj8PK2l7WJ3RER9xtqwdhxkhw/edit?usp=sharing"",""ราชบุรี!M169"")"),0)</f>
        <v>0</v>
      </c>
      <c r="G69" s="99">
        <f t="shared" si="1"/>
        <v>0</v>
      </c>
      <c r="H69" s="55">
        <v>0</v>
      </c>
      <c r="I69" s="55">
        <f ca="1">IFERROR(__xludf.DUMMYFUNCTION("IMPORTRANGE(""https://docs.google.com/spreadsheets/d/1SX6NBoVAgQJ6U1MVXOaj8PK2l7WJ3RER9xtqwdhxkhw/edit?usp=sharing"",""ราชบุรี!J179"")"),0)</f>
        <v>0</v>
      </c>
      <c r="J69" s="99">
        <f t="shared" si="3"/>
        <v>0</v>
      </c>
      <c r="K69" s="55">
        <v>0</v>
      </c>
      <c r="L69" s="55">
        <f ca="1">IFERROR(__xludf.DUMMYFUNCTION("IMPORTRANGE(""https://docs.google.com/spreadsheets/d/1SX6NBoVAgQJ6U1MVXOaj8PK2l7WJ3RER9xtqwdhxkhw/edit?usp=sharing"",""ราชบุรี!J180"")"),0)</f>
        <v>0</v>
      </c>
      <c r="M69" s="99">
        <f t="shared" si="5"/>
        <v>0</v>
      </c>
      <c r="N69" s="55">
        <v>0</v>
      </c>
      <c r="O69" s="55">
        <f ca="1">IFERROR(__xludf.DUMMYFUNCTION("IMPORTRANGE(""https://docs.google.com/spreadsheets/d/1SX6NBoVAgQJ6U1MVXOaj8PK2l7WJ3RER9xtqwdhxkhw/edit?usp=sharing"",""ราชบุรี!J181"")"),0)</f>
        <v>0</v>
      </c>
      <c r="P69" s="99">
        <f t="shared" si="7"/>
        <v>0</v>
      </c>
      <c r="Q69" s="55">
        <v>0</v>
      </c>
      <c r="R69" s="55">
        <f ca="1">IFERROR(__xludf.DUMMYFUNCTION("IMPORTRANGE(""https://docs.google.com/spreadsheets/d/1SX6NBoVAgQJ6U1MVXOaj8PK2l7WJ3RER9xtqwdhxkhw/edit?usp=sharing"",""ราชบุรี!J182"")"),0)</f>
        <v>0</v>
      </c>
      <c r="S69" s="99">
        <f t="shared" si="9"/>
        <v>0</v>
      </c>
      <c r="T69" s="54">
        <f t="shared" si="53"/>
        <v>187200</v>
      </c>
      <c r="U69" s="55">
        <v>132000</v>
      </c>
      <c r="V69" s="55">
        <v>55200</v>
      </c>
      <c r="W69" s="55">
        <f ca="1">IFERROR(__xludf.DUMMYFUNCTION("IMPORTRANGE(""https://docs.google.com/spreadsheets/d/1SX6NBoVAgQJ6U1MVXOaj8PK2l7WJ3RER9xtqwdhxkhw/edit?usp=sharing"",""ราชบุรี!M185"")"),10500)</f>
        <v>10500</v>
      </c>
      <c r="X69" s="99">
        <f t="shared" ca="1" si="11"/>
        <v>5.6089743589743586</v>
      </c>
      <c r="Y69" s="55">
        <v>15</v>
      </c>
      <c r="Z69" s="55">
        <f ca="1">IFERROR(__xludf.DUMMYFUNCTION("IMPORTRANGE(""https://docs.google.com/spreadsheets/d/1SX6NBoVAgQJ6U1MVXOaj8PK2l7WJ3RER9xtqwdhxkhw/edit?usp=sharing"",""ราชบุรี!J195"")"),0)</f>
        <v>0</v>
      </c>
      <c r="AA69" s="99">
        <f t="shared" ca="1" si="13"/>
        <v>0</v>
      </c>
    </row>
    <row r="70" spans="1:27" ht="24" customHeight="1" x14ac:dyDescent="0.5">
      <c r="A70" s="52">
        <v>16</v>
      </c>
      <c r="B70" s="53" t="s">
        <v>85</v>
      </c>
      <c r="C70" s="54">
        <f t="shared" si="52"/>
        <v>199500</v>
      </c>
      <c r="D70" s="55">
        <v>0</v>
      </c>
      <c r="E70" s="55">
        <v>199500</v>
      </c>
      <c r="F70" s="55">
        <f ca="1">IFERROR(__xludf.DUMMYFUNCTION("IMPORTRANGE(""https://docs.google.com/spreadsheets/d/1SX6NBoVAgQJ6U1MVXOaj8PK2l7WJ3RER9xtqwdhxkhw/edit?usp=sharing"",""ลพบุรี!M169"")"),0)</f>
        <v>0</v>
      </c>
      <c r="G70" s="99">
        <f t="shared" ca="1" si="1"/>
        <v>0</v>
      </c>
      <c r="H70" s="55">
        <v>1</v>
      </c>
      <c r="I70" s="55">
        <f ca="1">IFERROR(__xludf.DUMMYFUNCTION("IMPORTRANGE(""https://docs.google.com/spreadsheets/d/1SX6NBoVAgQJ6U1MVXOaj8PK2l7WJ3RER9xtqwdhxkhw/edit?usp=sharing"",""ลพบุรี!J179"")"),0)</f>
        <v>0</v>
      </c>
      <c r="J70" s="99">
        <f t="shared" ca="1" si="3"/>
        <v>0</v>
      </c>
      <c r="K70" s="55">
        <v>25</v>
      </c>
      <c r="L70" s="55">
        <f ca="1">IFERROR(__xludf.DUMMYFUNCTION("IMPORTRANGE(""https://docs.google.com/spreadsheets/d/1SX6NBoVAgQJ6U1MVXOaj8PK2l7WJ3RER9xtqwdhxkhw/edit?usp=sharing"",""ลพบุรี!J180"")"),0)</f>
        <v>0</v>
      </c>
      <c r="M70" s="99">
        <f t="shared" ca="1" si="5"/>
        <v>0</v>
      </c>
      <c r="N70" s="55">
        <v>25</v>
      </c>
      <c r="O70" s="55">
        <f ca="1">IFERROR(__xludf.DUMMYFUNCTION("IMPORTRANGE(""https://docs.google.com/spreadsheets/d/1SX6NBoVAgQJ6U1MVXOaj8PK2l7WJ3RER9xtqwdhxkhw/edit?usp=sharing"",""ลพบุรี!J181"")"),0)</f>
        <v>0</v>
      </c>
      <c r="P70" s="99">
        <f t="shared" ca="1" si="7"/>
        <v>0</v>
      </c>
      <c r="Q70" s="55">
        <v>1</v>
      </c>
      <c r="R70" s="55">
        <f ca="1">IFERROR(__xludf.DUMMYFUNCTION("IMPORTRANGE(""https://docs.google.com/spreadsheets/d/1SX6NBoVAgQJ6U1MVXOaj8PK2l7WJ3RER9xtqwdhxkhw/edit?usp=sharing"",""ลพบุรี!J182"")"),0)</f>
        <v>0</v>
      </c>
      <c r="S70" s="99">
        <f t="shared" ca="1" si="9"/>
        <v>0</v>
      </c>
      <c r="T70" s="54">
        <f t="shared" si="53"/>
        <v>55200</v>
      </c>
      <c r="U70" s="55">
        <v>0</v>
      </c>
      <c r="V70" s="55">
        <v>55200</v>
      </c>
      <c r="W70" s="55">
        <f ca="1">IFERROR(__xludf.DUMMYFUNCTION("IMPORTRANGE(""https://docs.google.com/spreadsheets/d/1SX6NBoVAgQJ6U1MVXOaj8PK2l7WJ3RER9xtqwdhxkhw/edit?usp=sharing"",""ลพบุรี!M185"")"),0)</f>
        <v>0</v>
      </c>
      <c r="X70" s="99">
        <f t="shared" ca="1" si="11"/>
        <v>0</v>
      </c>
      <c r="Y70" s="55">
        <v>15</v>
      </c>
      <c r="Z70" s="55">
        <f ca="1">IFERROR(__xludf.DUMMYFUNCTION("IMPORTRANGE(""https://docs.google.com/spreadsheets/d/1SX6NBoVAgQJ6U1MVXOaj8PK2l7WJ3RER9xtqwdhxkhw/edit?usp=sharing"",""ลพบุรี!J195"")"),0)</f>
        <v>0</v>
      </c>
      <c r="AA70" s="99">
        <f t="shared" ca="1" si="13"/>
        <v>0</v>
      </c>
    </row>
    <row r="71" spans="1:27" ht="24" customHeight="1" x14ac:dyDescent="0.5">
      <c r="A71" s="52">
        <v>17</v>
      </c>
      <c r="B71" s="53" t="s">
        <v>86</v>
      </c>
      <c r="C71" s="54">
        <f t="shared" si="52"/>
        <v>0</v>
      </c>
      <c r="D71" s="55">
        <v>0</v>
      </c>
      <c r="E71" s="55">
        <v>0</v>
      </c>
      <c r="F71" s="55">
        <f ca="1">IFERROR(__xludf.DUMMYFUNCTION("IMPORTRANGE(""https://docs.google.com/spreadsheets/d/1SX6NBoVAgQJ6U1MVXOaj8PK2l7WJ3RER9xtqwdhxkhw/edit?usp=sharing"",""สระแก้ว!M169"")"),0)</f>
        <v>0</v>
      </c>
      <c r="G71" s="99">
        <f t="shared" si="1"/>
        <v>0</v>
      </c>
      <c r="H71" s="55">
        <v>0</v>
      </c>
      <c r="I71" s="55">
        <f ca="1">IFERROR(__xludf.DUMMYFUNCTION("IMPORTRANGE(""https://docs.google.com/spreadsheets/d/1SX6NBoVAgQJ6U1MVXOaj8PK2l7WJ3RER9xtqwdhxkhw/edit?usp=sharing"",""สระแก้ว!J179"")"),0)</f>
        <v>0</v>
      </c>
      <c r="J71" s="99">
        <f t="shared" si="3"/>
        <v>0</v>
      </c>
      <c r="K71" s="55">
        <v>0</v>
      </c>
      <c r="L71" s="55">
        <f ca="1">IFERROR(__xludf.DUMMYFUNCTION("IMPORTRANGE(""https://docs.google.com/spreadsheets/d/1SX6NBoVAgQJ6U1MVXOaj8PK2l7WJ3RER9xtqwdhxkhw/edit?usp=sharing"",""สระแก้ว!J180"")"),0)</f>
        <v>0</v>
      </c>
      <c r="M71" s="99">
        <f t="shared" si="5"/>
        <v>0</v>
      </c>
      <c r="N71" s="55">
        <v>0</v>
      </c>
      <c r="O71" s="55">
        <f ca="1">IFERROR(__xludf.DUMMYFUNCTION("IMPORTRANGE(""https://docs.google.com/spreadsheets/d/1SX6NBoVAgQJ6U1MVXOaj8PK2l7WJ3RER9xtqwdhxkhw/edit?usp=sharing"",""สระแก้ว!J181"")"),0)</f>
        <v>0</v>
      </c>
      <c r="P71" s="99">
        <f t="shared" si="7"/>
        <v>0</v>
      </c>
      <c r="Q71" s="55">
        <v>0</v>
      </c>
      <c r="R71" s="55">
        <f ca="1">IFERROR(__xludf.DUMMYFUNCTION("IMPORTRANGE(""https://docs.google.com/spreadsheets/d/1SX6NBoVAgQJ6U1MVXOaj8PK2l7WJ3RER9xtqwdhxkhw/edit?usp=sharing"",""สระแก้ว!J182"")"),0)</f>
        <v>0</v>
      </c>
      <c r="S71" s="99">
        <f t="shared" si="9"/>
        <v>0</v>
      </c>
      <c r="T71" s="54">
        <f t="shared" si="53"/>
        <v>55200</v>
      </c>
      <c r="U71" s="55">
        <v>0</v>
      </c>
      <c r="V71" s="55">
        <v>55200</v>
      </c>
      <c r="W71" s="55">
        <f ca="1">IFERROR(__xludf.DUMMYFUNCTION("IMPORTRANGE(""https://docs.google.com/spreadsheets/d/1SX6NBoVAgQJ6U1MVXOaj8PK2l7WJ3RER9xtqwdhxkhw/edit?usp=sharing"",""สระแก้ว!M185"")"),0)</f>
        <v>0</v>
      </c>
      <c r="X71" s="99">
        <f t="shared" ca="1" si="11"/>
        <v>0</v>
      </c>
      <c r="Y71" s="55">
        <v>15</v>
      </c>
      <c r="Z71" s="55">
        <f ca="1">IFERROR(__xludf.DUMMYFUNCTION("IMPORTRANGE(""https://docs.google.com/spreadsheets/d/1SX6NBoVAgQJ6U1MVXOaj8PK2l7WJ3RER9xtqwdhxkhw/edit?usp=sharing"",""สระแก้ว!J195"")"),0)</f>
        <v>0</v>
      </c>
      <c r="AA71" s="99">
        <f t="shared" ca="1" si="13"/>
        <v>0</v>
      </c>
    </row>
    <row r="72" spans="1:27" ht="24" customHeight="1" x14ac:dyDescent="0.5">
      <c r="A72" s="52">
        <v>18</v>
      </c>
      <c r="B72" s="53" t="s">
        <v>87</v>
      </c>
      <c r="C72" s="54">
        <f t="shared" si="52"/>
        <v>181400</v>
      </c>
      <c r="D72" s="55">
        <v>0</v>
      </c>
      <c r="E72" s="55">
        <v>181400</v>
      </c>
      <c r="F72" s="55">
        <f ca="1">IFERROR(__xludf.DUMMYFUNCTION("IMPORTRANGE(""https://docs.google.com/spreadsheets/d/1SX6NBoVAgQJ6U1MVXOaj8PK2l7WJ3RER9xtqwdhxkhw/edit?usp=sharing"",""สระบุรี!M169"")"),0)</f>
        <v>0</v>
      </c>
      <c r="G72" s="99">
        <f t="shared" ca="1" si="1"/>
        <v>0</v>
      </c>
      <c r="H72" s="55">
        <v>1</v>
      </c>
      <c r="I72" s="55">
        <f ca="1">IFERROR(__xludf.DUMMYFUNCTION("IMPORTRANGE(""https://docs.google.com/spreadsheets/d/1SX6NBoVAgQJ6U1MVXOaj8PK2l7WJ3RER9xtqwdhxkhw/edit?usp=sharing"",""สระบุรี!J179"")"),0)</f>
        <v>0</v>
      </c>
      <c r="J72" s="99">
        <f t="shared" ca="1" si="3"/>
        <v>0</v>
      </c>
      <c r="K72" s="55">
        <v>20</v>
      </c>
      <c r="L72" s="55">
        <f ca="1">IFERROR(__xludf.DUMMYFUNCTION("IMPORTRANGE(""https://docs.google.com/spreadsheets/d/1SX6NBoVAgQJ6U1MVXOaj8PK2l7WJ3RER9xtqwdhxkhw/edit?usp=sharing"",""สระบุรี!J180"")"),0)</f>
        <v>0</v>
      </c>
      <c r="M72" s="99">
        <f t="shared" ca="1" si="5"/>
        <v>0</v>
      </c>
      <c r="N72" s="55">
        <v>20</v>
      </c>
      <c r="O72" s="55">
        <f ca="1">IFERROR(__xludf.DUMMYFUNCTION("IMPORTRANGE(""https://docs.google.com/spreadsheets/d/1SX6NBoVAgQJ6U1MVXOaj8PK2l7WJ3RER9xtqwdhxkhw/edit?usp=sharing"",""สระบุรี!J181"")"),0)</f>
        <v>0</v>
      </c>
      <c r="P72" s="99">
        <f t="shared" ca="1" si="7"/>
        <v>0</v>
      </c>
      <c r="Q72" s="55">
        <v>1</v>
      </c>
      <c r="R72" s="55">
        <f ca="1">IFERROR(__xludf.DUMMYFUNCTION("IMPORTRANGE(""https://docs.google.com/spreadsheets/d/1SX6NBoVAgQJ6U1MVXOaj8PK2l7WJ3RER9xtqwdhxkhw/edit?usp=sharing"",""สระบุรี!J182"")"),0)</f>
        <v>0</v>
      </c>
      <c r="S72" s="99">
        <f t="shared" ca="1" si="9"/>
        <v>0</v>
      </c>
      <c r="T72" s="54">
        <f t="shared" si="53"/>
        <v>55200</v>
      </c>
      <c r="U72" s="55">
        <v>0</v>
      </c>
      <c r="V72" s="55">
        <v>55200</v>
      </c>
      <c r="W72" s="55">
        <f ca="1">IFERROR(__xludf.DUMMYFUNCTION("IMPORTRANGE(""https://docs.google.com/spreadsheets/d/1SX6NBoVAgQJ6U1MVXOaj8PK2l7WJ3RER9xtqwdhxkhw/edit?usp=sharing"",""สระบุรี!M185"")"),0)</f>
        <v>0</v>
      </c>
      <c r="X72" s="99">
        <f t="shared" ca="1" si="11"/>
        <v>0</v>
      </c>
      <c r="Y72" s="55">
        <v>15</v>
      </c>
      <c r="Z72" s="55">
        <f ca="1">IFERROR(__xludf.DUMMYFUNCTION("IMPORTRANGE(""https://docs.google.com/spreadsheets/d/1SX6NBoVAgQJ6U1MVXOaj8PK2l7WJ3RER9xtqwdhxkhw/edit?usp=sharing"",""สระบุรี!J195"")"),0)</f>
        <v>0</v>
      </c>
      <c r="AA72" s="99">
        <f t="shared" ca="1" si="13"/>
        <v>0</v>
      </c>
    </row>
    <row r="73" spans="1:27" ht="24" customHeight="1" x14ac:dyDescent="0.5">
      <c r="A73" s="52">
        <v>19</v>
      </c>
      <c r="B73" s="53" t="s">
        <v>88</v>
      </c>
      <c r="C73" s="54">
        <f t="shared" si="52"/>
        <v>0</v>
      </c>
      <c r="D73" s="55">
        <v>0</v>
      </c>
      <c r="E73" s="55">
        <v>0</v>
      </c>
      <c r="F73" s="55">
        <f ca="1">IFERROR(__xludf.DUMMYFUNCTION("IMPORTRANGE(""https://docs.google.com/spreadsheets/d/1SX6NBoVAgQJ6U1MVXOaj8PK2l7WJ3RER9xtqwdhxkhw/edit?usp=sharing"",""สิงห์บุรี!M169"")"),0)</f>
        <v>0</v>
      </c>
      <c r="G73" s="99">
        <f t="shared" si="1"/>
        <v>0</v>
      </c>
      <c r="H73" s="55">
        <v>0</v>
      </c>
      <c r="I73" s="55">
        <f ca="1">IFERROR(__xludf.DUMMYFUNCTION("IMPORTRANGE(""https://docs.google.com/spreadsheets/d/1SX6NBoVAgQJ6U1MVXOaj8PK2l7WJ3RER9xtqwdhxkhw/edit?usp=sharing"",""สิงห์บุรี!J179"")"),0)</f>
        <v>0</v>
      </c>
      <c r="J73" s="99">
        <f t="shared" si="3"/>
        <v>0</v>
      </c>
      <c r="K73" s="55">
        <v>0</v>
      </c>
      <c r="L73" s="55">
        <f ca="1">IFERROR(__xludf.DUMMYFUNCTION("IMPORTRANGE(""https://docs.google.com/spreadsheets/d/1SX6NBoVAgQJ6U1MVXOaj8PK2l7WJ3RER9xtqwdhxkhw/edit?usp=sharing"",""สิงห์บุรี!J180"")"),0)</f>
        <v>0</v>
      </c>
      <c r="M73" s="99">
        <f t="shared" si="5"/>
        <v>0</v>
      </c>
      <c r="N73" s="55">
        <v>0</v>
      </c>
      <c r="O73" s="55">
        <f ca="1">IFERROR(__xludf.DUMMYFUNCTION("IMPORTRANGE(""https://docs.google.com/spreadsheets/d/1SX6NBoVAgQJ6U1MVXOaj8PK2l7WJ3RER9xtqwdhxkhw/edit?usp=sharing"",""สิงห์บุรี!J181"")"),0)</f>
        <v>0</v>
      </c>
      <c r="P73" s="99">
        <f t="shared" si="7"/>
        <v>0</v>
      </c>
      <c r="Q73" s="55">
        <v>0</v>
      </c>
      <c r="R73" s="55">
        <f ca="1">IFERROR(__xludf.DUMMYFUNCTION("IMPORTRANGE(""https://docs.google.com/spreadsheets/d/1SX6NBoVAgQJ6U1MVXOaj8PK2l7WJ3RER9xtqwdhxkhw/edit?usp=sharing"",""สิงห์บุรี!J182"")"),0)</f>
        <v>0</v>
      </c>
      <c r="S73" s="99">
        <f t="shared" si="9"/>
        <v>0</v>
      </c>
      <c r="T73" s="54">
        <f t="shared" si="53"/>
        <v>0</v>
      </c>
      <c r="U73" s="55">
        <v>0</v>
      </c>
      <c r="V73" s="55">
        <v>0</v>
      </c>
      <c r="W73" s="55">
        <f ca="1">IFERROR(__xludf.DUMMYFUNCTION("IMPORTRANGE(""https://docs.google.com/spreadsheets/d/1SX6NBoVAgQJ6U1MVXOaj8PK2l7WJ3RER9xtqwdhxkhw/edit?usp=sharing"",""สิงห์บุรี!M185"")"),0)</f>
        <v>0</v>
      </c>
      <c r="X73" s="99">
        <f t="shared" si="11"/>
        <v>0</v>
      </c>
      <c r="Y73" s="55">
        <v>0</v>
      </c>
      <c r="Z73" s="55">
        <f ca="1">IFERROR(__xludf.DUMMYFUNCTION("IMPORTRANGE(""https://docs.google.com/spreadsheets/d/1SX6NBoVAgQJ6U1MVXOaj8PK2l7WJ3RER9xtqwdhxkhw/edit?usp=sharing"",""สิงห์บุรี!J195"")"),0)</f>
        <v>0</v>
      </c>
      <c r="AA73" s="99">
        <f t="shared" si="13"/>
        <v>0</v>
      </c>
    </row>
    <row r="74" spans="1:27" ht="24" customHeight="1" x14ac:dyDescent="0.5">
      <c r="A74" s="52">
        <v>20</v>
      </c>
      <c r="B74" s="53" t="s">
        <v>89</v>
      </c>
      <c r="C74" s="54">
        <f t="shared" si="52"/>
        <v>71400</v>
      </c>
      <c r="D74" s="55">
        <v>0</v>
      </c>
      <c r="E74" s="55">
        <v>71400</v>
      </c>
      <c r="F74" s="55">
        <f ca="1">IFERROR(__xludf.DUMMYFUNCTION("IMPORTRANGE(""https://docs.google.com/spreadsheets/d/1SX6NBoVAgQJ6U1MVXOaj8PK2l7WJ3RER9xtqwdhxkhw/edit?usp=sharing"",""สุพรรณบุรี!M169"")"),0)</f>
        <v>0</v>
      </c>
      <c r="G74" s="99">
        <f t="shared" ca="1" si="1"/>
        <v>0</v>
      </c>
      <c r="H74" s="55">
        <v>1</v>
      </c>
      <c r="I74" s="55">
        <f ca="1">IFERROR(__xludf.DUMMYFUNCTION("IMPORTRANGE(""https://docs.google.com/spreadsheets/d/1SX6NBoVAgQJ6U1MVXOaj8PK2l7WJ3RER9xtqwdhxkhw/edit?usp=sharing"",""สุพรรณบุรี!J179"")"),0)</f>
        <v>0</v>
      </c>
      <c r="J74" s="99">
        <f t="shared" ca="1" si="3"/>
        <v>0</v>
      </c>
      <c r="K74" s="55">
        <v>20</v>
      </c>
      <c r="L74" s="55">
        <f ca="1">IFERROR(__xludf.DUMMYFUNCTION("IMPORTRANGE(""https://docs.google.com/spreadsheets/d/1SX6NBoVAgQJ6U1MVXOaj8PK2l7WJ3RER9xtqwdhxkhw/edit?usp=sharing"",""สุพรรณบุรี!J180"")"),0)</f>
        <v>0</v>
      </c>
      <c r="M74" s="99">
        <f t="shared" ca="1" si="5"/>
        <v>0</v>
      </c>
      <c r="N74" s="55">
        <v>20</v>
      </c>
      <c r="O74" s="55">
        <f ca="1">IFERROR(__xludf.DUMMYFUNCTION("IMPORTRANGE(""https://docs.google.com/spreadsheets/d/1SX6NBoVAgQJ6U1MVXOaj8PK2l7WJ3RER9xtqwdhxkhw/edit?usp=sharing"",""สุพรรณบุรี!J181"")"),0)</f>
        <v>0</v>
      </c>
      <c r="P74" s="99">
        <f t="shared" ca="1" si="7"/>
        <v>0</v>
      </c>
      <c r="Q74" s="55">
        <v>1</v>
      </c>
      <c r="R74" s="55">
        <f ca="1">IFERROR(__xludf.DUMMYFUNCTION("IMPORTRANGE(""https://docs.google.com/spreadsheets/d/1SX6NBoVAgQJ6U1MVXOaj8PK2l7WJ3RER9xtqwdhxkhw/edit?usp=sharing"",""สุพรรณบุรี!J182"")"),0)</f>
        <v>0</v>
      </c>
      <c r="S74" s="99">
        <f t="shared" ca="1" si="9"/>
        <v>0</v>
      </c>
      <c r="T74" s="54">
        <f t="shared" si="53"/>
        <v>105700</v>
      </c>
      <c r="U74" s="55">
        <v>0</v>
      </c>
      <c r="V74" s="55">
        <v>105700</v>
      </c>
      <c r="W74" s="55">
        <f ca="1">IFERROR(__xludf.DUMMYFUNCTION("IMPORTRANGE(""https://docs.google.com/spreadsheets/d/1SX6NBoVAgQJ6U1MVXOaj8PK2l7WJ3RER9xtqwdhxkhw/edit?usp=sharing"",""สุพรรณบุรี!M185"")"),0)</f>
        <v>0</v>
      </c>
      <c r="X74" s="99">
        <f t="shared" ca="1" si="11"/>
        <v>0</v>
      </c>
      <c r="Y74" s="55">
        <v>15</v>
      </c>
      <c r="Z74" s="55">
        <f ca="1">IFERROR(__xludf.DUMMYFUNCTION("IMPORTRANGE(""https://docs.google.com/spreadsheets/d/1SX6NBoVAgQJ6U1MVXOaj8PK2l7WJ3RER9xtqwdhxkhw/edit?usp=sharing"",""สุพรรณบุรี!J195"")"),0)</f>
        <v>0</v>
      </c>
      <c r="AA74" s="99">
        <f t="shared" ca="1" si="13"/>
        <v>0</v>
      </c>
    </row>
    <row r="75" spans="1:27" ht="24" customHeight="1" x14ac:dyDescent="0.5">
      <c r="A75" s="59">
        <v>21</v>
      </c>
      <c r="B75" s="60" t="s">
        <v>90</v>
      </c>
      <c r="C75" s="61">
        <f t="shared" si="52"/>
        <v>0</v>
      </c>
      <c r="D75" s="62">
        <v>0</v>
      </c>
      <c r="E75" s="62">
        <v>0</v>
      </c>
      <c r="F75" s="62">
        <f ca="1">IFERROR(__xludf.DUMMYFUNCTION("IMPORTRANGE(""https://docs.google.com/spreadsheets/d/1SX6NBoVAgQJ6U1MVXOaj8PK2l7WJ3RER9xtqwdhxkhw/edit?usp=sharing"",""อ่างทอง!M169"")"),0)</f>
        <v>0</v>
      </c>
      <c r="G75" s="100">
        <f t="shared" si="1"/>
        <v>0</v>
      </c>
      <c r="H75" s="62">
        <v>0</v>
      </c>
      <c r="I75" s="62">
        <f ca="1">IFERROR(__xludf.DUMMYFUNCTION("IMPORTRANGE(""https://docs.google.com/spreadsheets/d/1SX6NBoVAgQJ6U1MVXOaj8PK2l7WJ3RER9xtqwdhxkhw/edit?usp=sharing"",""อ่างทอง!J179"")"),0)</f>
        <v>0</v>
      </c>
      <c r="J75" s="100">
        <f t="shared" si="3"/>
        <v>0</v>
      </c>
      <c r="K75" s="62">
        <v>0</v>
      </c>
      <c r="L75" s="62">
        <f ca="1">IFERROR(__xludf.DUMMYFUNCTION("IMPORTRANGE(""https://docs.google.com/spreadsheets/d/1SX6NBoVAgQJ6U1MVXOaj8PK2l7WJ3RER9xtqwdhxkhw/edit?usp=sharing"",""อ่างทอง!J180"")"),0)</f>
        <v>0</v>
      </c>
      <c r="M75" s="100">
        <f t="shared" si="5"/>
        <v>0</v>
      </c>
      <c r="N75" s="62">
        <v>0</v>
      </c>
      <c r="O75" s="62">
        <f ca="1">IFERROR(__xludf.DUMMYFUNCTION("IMPORTRANGE(""https://docs.google.com/spreadsheets/d/1SX6NBoVAgQJ6U1MVXOaj8PK2l7WJ3RER9xtqwdhxkhw/edit?usp=sharing"",""อ่างทอง!J181"")"),0)</f>
        <v>0</v>
      </c>
      <c r="P75" s="100">
        <f t="shared" si="7"/>
        <v>0</v>
      </c>
      <c r="Q75" s="62">
        <v>0</v>
      </c>
      <c r="R75" s="62">
        <f ca="1">IFERROR(__xludf.DUMMYFUNCTION("IMPORTRANGE(""https://docs.google.com/spreadsheets/d/1SX6NBoVAgQJ6U1MVXOaj8PK2l7WJ3RER9xtqwdhxkhw/edit?usp=sharing"",""อ่างทอง!J182"")"),0)</f>
        <v>0</v>
      </c>
      <c r="S75" s="100">
        <f t="shared" si="9"/>
        <v>0</v>
      </c>
      <c r="T75" s="61">
        <f t="shared" si="53"/>
        <v>0</v>
      </c>
      <c r="U75" s="62">
        <v>0</v>
      </c>
      <c r="V75" s="62">
        <v>0</v>
      </c>
      <c r="W75" s="62">
        <f ca="1">IFERROR(__xludf.DUMMYFUNCTION("IMPORTRANGE(""https://docs.google.com/spreadsheets/d/1SX6NBoVAgQJ6U1MVXOaj8PK2l7WJ3RER9xtqwdhxkhw/edit?usp=sharing"",""อ่างทอง!M185"")"),0)</f>
        <v>0</v>
      </c>
      <c r="X75" s="100">
        <f t="shared" si="11"/>
        <v>0</v>
      </c>
      <c r="Y75" s="62">
        <v>0</v>
      </c>
      <c r="Z75" s="62">
        <f ca="1">IFERROR(__xludf.DUMMYFUNCTION("IMPORTRANGE(""https://docs.google.com/spreadsheets/d/1SX6NBoVAgQJ6U1MVXOaj8PK2l7WJ3RER9xtqwdhxkhw/edit?usp=sharing"",""อ่างทอง!J195"")"),0)</f>
        <v>0</v>
      </c>
      <c r="AA75" s="100">
        <f t="shared" si="13"/>
        <v>0</v>
      </c>
    </row>
    <row r="76" spans="1:27" ht="24" customHeight="1" x14ac:dyDescent="0.5">
      <c r="A76" s="566" t="s">
        <v>91</v>
      </c>
      <c r="B76" s="571"/>
      <c r="C76" s="66">
        <f t="shared" ref="C76:F76" si="54">SUM(C77:C90)</f>
        <v>435200</v>
      </c>
      <c r="D76" s="66">
        <f t="shared" si="54"/>
        <v>132000</v>
      </c>
      <c r="E76" s="66">
        <f t="shared" si="54"/>
        <v>303200</v>
      </c>
      <c r="F76" s="66">
        <f t="shared" ca="1" si="54"/>
        <v>11000</v>
      </c>
      <c r="G76" s="101">
        <f t="shared" ca="1" si="1"/>
        <v>2.5275735294117645</v>
      </c>
      <c r="H76" s="66">
        <f t="shared" ref="H76:I76" si="55">SUM(H77:H90)</f>
        <v>4</v>
      </c>
      <c r="I76" s="66">
        <f t="shared" ca="1" si="55"/>
        <v>0</v>
      </c>
      <c r="J76" s="101">
        <f t="shared" ca="1" si="3"/>
        <v>0</v>
      </c>
      <c r="K76" s="66">
        <f t="shared" ref="K76:L76" si="56">SUM(K77:K90)</f>
        <v>85</v>
      </c>
      <c r="L76" s="66">
        <f t="shared" ca="1" si="56"/>
        <v>0</v>
      </c>
      <c r="M76" s="101">
        <f t="shared" ca="1" si="5"/>
        <v>0</v>
      </c>
      <c r="N76" s="66">
        <f t="shared" ref="N76:O76" si="57">SUM(N77:N90)</f>
        <v>85</v>
      </c>
      <c r="O76" s="66">
        <f t="shared" ca="1" si="57"/>
        <v>0</v>
      </c>
      <c r="P76" s="101">
        <f t="shared" ca="1" si="7"/>
        <v>0</v>
      </c>
      <c r="Q76" s="66">
        <f t="shared" ref="Q76:R76" si="58">SUM(Q77:Q90)</f>
        <v>4</v>
      </c>
      <c r="R76" s="66">
        <f t="shared" ca="1" si="58"/>
        <v>0</v>
      </c>
      <c r="S76" s="101">
        <f t="shared" ca="1" si="9"/>
        <v>0</v>
      </c>
      <c r="T76" s="66">
        <f t="shared" ref="T76:W76" si="59">SUM(T77:T90)</f>
        <v>1192800</v>
      </c>
      <c r="U76" s="66">
        <f t="shared" si="59"/>
        <v>660000</v>
      </c>
      <c r="V76" s="66">
        <f t="shared" si="59"/>
        <v>532800</v>
      </c>
      <c r="W76" s="66">
        <f t="shared" ca="1" si="59"/>
        <v>11480</v>
      </c>
      <c r="X76" s="101">
        <f t="shared" ca="1" si="11"/>
        <v>0.96244131455399062</v>
      </c>
      <c r="Y76" s="66">
        <f>SUM(Y77:Y105)</f>
        <v>85</v>
      </c>
      <c r="Z76" s="66">
        <f ca="1">SUM(Z77:Z90)</f>
        <v>0</v>
      </c>
      <c r="AA76" s="101">
        <f t="shared" ca="1" si="13"/>
        <v>0</v>
      </c>
    </row>
    <row r="77" spans="1:27" ht="24" customHeight="1" x14ac:dyDescent="0.5">
      <c r="A77" s="45">
        <v>1</v>
      </c>
      <c r="B77" s="46" t="s">
        <v>92</v>
      </c>
      <c r="C77" s="47">
        <f t="shared" ref="C77:C90" si="60">+D77+E77</f>
        <v>0</v>
      </c>
      <c r="D77" s="48">
        <v>0</v>
      </c>
      <c r="E77" s="48">
        <v>0</v>
      </c>
      <c r="F77" s="48">
        <f ca="1">IFERROR(__xludf.DUMMYFUNCTION("IMPORTRANGE(""https://docs.google.com/spreadsheets/d/1IYY_tgx_IHuhSq3AJ5eI5OnqOPBNLWSHKh2a30DoXe8/edit?usp=sharing"",""กระบี่!M169"")"),0)</f>
        <v>0</v>
      </c>
      <c r="G77" s="98">
        <f t="shared" si="1"/>
        <v>0</v>
      </c>
      <c r="H77" s="48">
        <v>0</v>
      </c>
      <c r="I77" s="48">
        <f ca="1">IFERROR(__xludf.DUMMYFUNCTION("IMPORTRANGE(""https://docs.google.com/spreadsheets/d/1IYY_tgx_IHuhSq3AJ5eI5OnqOPBNLWSHKh2a30DoXe8/edit?usp=sharing"",""กระบี่!J179"")"),0)</f>
        <v>0</v>
      </c>
      <c r="J77" s="98">
        <f t="shared" si="3"/>
        <v>0</v>
      </c>
      <c r="K77" s="48">
        <v>0</v>
      </c>
      <c r="L77" s="48">
        <f ca="1">IFERROR(__xludf.DUMMYFUNCTION("IMPORTRANGE(""https://docs.google.com/spreadsheets/d/1IYY_tgx_IHuhSq3AJ5eI5OnqOPBNLWSHKh2a30DoXe8/edit?usp=sharing"",""กระบี่!J180"")"),0)</f>
        <v>0</v>
      </c>
      <c r="M77" s="98">
        <f t="shared" si="5"/>
        <v>0</v>
      </c>
      <c r="N77" s="48">
        <v>0</v>
      </c>
      <c r="O77" s="48">
        <f ca="1">IFERROR(__xludf.DUMMYFUNCTION("IMPORTRANGE(""https://docs.google.com/spreadsheets/d/1IYY_tgx_IHuhSq3AJ5eI5OnqOPBNLWSHKh2a30DoXe8/edit?usp=sharing"",""กระบี่!J181"")"),0)</f>
        <v>0</v>
      </c>
      <c r="P77" s="98">
        <f t="shared" si="7"/>
        <v>0</v>
      </c>
      <c r="Q77" s="48">
        <v>0</v>
      </c>
      <c r="R77" s="48">
        <f ca="1">IFERROR(__xludf.DUMMYFUNCTION("IMPORTRANGE(""https://docs.google.com/spreadsheets/d/1IYY_tgx_IHuhSq3AJ5eI5OnqOPBNLWSHKh2a30DoXe8/edit?usp=sharing"",""กระบี่!J182"")"),0)</f>
        <v>0</v>
      </c>
      <c r="S77" s="98">
        <f t="shared" si="9"/>
        <v>0</v>
      </c>
      <c r="T77" s="47">
        <f t="shared" ref="T77:T90" si="61">+U77+V77</f>
        <v>0</v>
      </c>
      <c r="U77" s="48">
        <v>0</v>
      </c>
      <c r="V77" s="48">
        <v>0</v>
      </c>
      <c r="W77" s="48">
        <f ca="1">IFERROR(__xludf.DUMMYFUNCTION("IMPORTRANGE(""https://docs.google.com/spreadsheets/d/1IYY_tgx_IHuhSq3AJ5eI5OnqOPBNLWSHKh2a30DoXe8/edit?usp=sharing"",""กระบี่!M185"")"),0)</f>
        <v>0</v>
      </c>
      <c r="X77" s="98">
        <f t="shared" si="11"/>
        <v>0</v>
      </c>
      <c r="Y77" s="48">
        <v>0</v>
      </c>
      <c r="Z77" s="48">
        <f ca="1">IFERROR(__xludf.DUMMYFUNCTION("IMPORTRANGE(""https://docs.google.com/spreadsheets/d/1IYY_tgx_IHuhSq3AJ5eI5OnqOPBNLWSHKh2a30DoXe8/edit?usp=sharing"",""กระบี่!J195"")"),0)</f>
        <v>0</v>
      </c>
      <c r="AA77" s="98">
        <f t="shared" si="13"/>
        <v>0</v>
      </c>
    </row>
    <row r="78" spans="1:27" ht="24" customHeight="1" x14ac:dyDescent="0.5">
      <c r="A78" s="52">
        <v>2</v>
      </c>
      <c r="B78" s="53" t="s">
        <v>93</v>
      </c>
      <c r="C78" s="54">
        <f t="shared" si="60"/>
        <v>71400</v>
      </c>
      <c r="D78" s="55">
        <v>0</v>
      </c>
      <c r="E78" s="55">
        <v>71400</v>
      </c>
      <c r="F78" s="55">
        <f ca="1">IFERROR(__xludf.DUMMYFUNCTION("IMPORTRANGE(""https://docs.google.com/spreadsheets/d/1IYY_tgx_IHuhSq3AJ5eI5OnqOPBNLWSHKh2a30DoXe8/edit?usp=sharing"",""ชุมพร!M169"")"),0)</f>
        <v>0</v>
      </c>
      <c r="G78" s="99">
        <f t="shared" ca="1" si="1"/>
        <v>0</v>
      </c>
      <c r="H78" s="55">
        <v>1</v>
      </c>
      <c r="I78" s="55">
        <f ca="1">IFERROR(__xludf.DUMMYFUNCTION("IMPORTRANGE(""https://docs.google.com/spreadsheets/d/1IYY_tgx_IHuhSq3AJ5eI5OnqOPBNLWSHKh2a30DoXe8/edit?usp=sharing"",""ชุมพร!J179"")"),0)</f>
        <v>0</v>
      </c>
      <c r="J78" s="99">
        <f t="shared" ca="1" si="3"/>
        <v>0</v>
      </c>
      <c r="K78" s="55">
        <v>20</v>
      </c>
      <c r="L78" s="55">
        <f ca="1">IFERROR(__xludf.DUMMYFUNCTION("IMPORTRANGE(""https://docs.google.com/spreadsheets/d/1IYY_tgx_IHuhSq3AJ5eI5OnqOPBNLWSHKh2a30DoXe8/edit?usp=sharing"",""ชุมพร!J180"")"),0)</f>
        <v>0</v>
      </c>
      <c r="M78" s="99">
        <f t="shared" ca="1" si="5"/>
        <v>0</v>
      </c>
      <c r="N78" s="55">
        <v>20</v>
      </c>
      <c r="O78" s="55">
        <f ca="1">IFERROR(__xludf.DUMMYFUNCTION("IMPORTRANGE(""https://docs.google.com/spreadsheets/d/1IYY_tgx_IHuhSq3AJ5eI5OnqOPBNLWSHKh2a30DoXe8/edit?usp=sharing"",""ชุมพร!J181"")"),0)</f>
        <v>0</v>
      </c>
      <c r="P78" s="99">
        <f t="shared" ca="1" si="7"/>
        <v>0</v>
      </c>
      <c r="Q78" s="55">
        <v>1</v>
      </c>
      <c r="R78" s="55">
        <f ca="1">IFERROR(__xludf.DUMMYFUNCTION("IMPORTRANGE(""https://docs.google.com/spreadsheets/d/1IYY_tgx_IHuhSq3AJ5eI5OnqOPBNLWSHKh2a30DoXe8/edit?usp=sharing"",""ชุมพร!J182"")"),0)</f>
        <v>0</v>
      </c>
      <c r="S78" s="99">
        <f t="shared" ca="1" si="9"/>
        <v>0</v>
      </c>
      <c r="T78" s="54">
        <f t="shared" si="61"/>
        <v>183600</v>
      </c>
      <c r="U78" s="55">
        <v>0</v>
      </c>
      <c r="V78" s="55">
        <v>183600</v>
      </c>
      <c r="W78" s="55">
        <f ca="1">IFERROR(__xludf.DUMMYFUNCTION("IMPORTRANGE(""https://docs.google.com/spreadsheets/d/1IYY_tgx_IHuhSq3AJ5eI5OnqOPBNLWSHKh2a30DoXe8/edit?usp=sharing"",""ชุมพร!M185"")"),0)</f>
        <v>0</v>
      </c>
      <c r="X78" s="99">
        <f t="shared" ca="1" si="11"/>
        <v>0</v>
      </c>
      <c r="Y78" s="55">
        <v>20</v>
      </c>
      <c r="Z78" s="55">
        <f ca="1">IFERROR(__xludf.DUMMYFUNCTION("IMPORTRANGE(""https://docs.google.com/spreadsheets/d/1IYY_tgx_IHuhSq3AJ5eI5OnqOPBNLWSHKh2a30DoXe8/edit?usp=sharing"",""ชุมพร!J195"")"),0)</f>
        <v>0</v>
      </c>
      <c r="AA78" s="99">
        <f t="shared" ca="1" si="13"/>
        <v>0</v>
      </c>
    </row>
    <row r="79" spans="1:27" ht="24" customHeight="1" x14ac:dyDescent="0.5">
      <c r="A79" s="52">
        <v>3</v>
      </c>
      <c r="B79" s="53" t="s">
        <v>94</v>
      </c>
      <c r="C79" s="54">
        <f t="shared" si="60"/>
        <v>71400</v>
      </c>
      <c r="D79" s="55">
        <v>0</v>
      </c>
      <c r="E79" s="55">
        <v>71400</v>
      </c>
      <c r="F79" s="55">
        <f ca="1">IFERROR(__xludf.DUMMYFUNCTION("IMPORTRANGE(""https://docs.google.com/spreadsheets/d/1IYY_tgx_IHuhSq3AJ5eI5OnqOPBNLWSHKh2a30DoXe8/edit?usp=sharing"",""ตรัง!M169"")"),0)</f>
        <v>0</v>
      </c>
      <c r="G79" s="99">
        <f t="shared" ca="1" si="1"/>
        <v>0</v>
      </c>
      <c r="H79" s="55">
        <v>1</v>
      </c>
      <c r="I79" s="55">
        <f ca="1">IFERROR(__xludf.DUMMYFUNCTION("IMPORTRANGE(""https://docs.google.com/spreadsheets/d/1IYY_tgx_IHuhSq3AJ5eI5OnqOPBNLWSHKh2a30DoXe8/edit?usp=sharing"",""ตรัง!J179"")"),0)</f>
        <v>0</v>
      </c>
      <c r="J79" s="99">
        <f t="shared" ca="1" si="3"/>
        <v>0</v>
      </c>
      <c r="K79" s="55">
        <v>20</v>
      </c>
      <c r="L79" s="55">
        <f ca="1">IFERROR(__xludf.DUMMYFUNCTION("IMPORTRANGE(""https://docs.google.com/spreadsheets/d/1IYY_tgx_IHuhSq3AJ5eI5OnqOPBNLWSHKh2a30DoXe8/edit?usp=sharing"",""ตรัง!J180"")"),0)</f>
        <v>0</v>
      </c>
      <c r="M79" s="99">
        <f t="shared" ca="1" si="5"/>
        <v>0</v>
      </c>
      <c r="N79" s="55">
        <v>20</v>
      </c>
      <c r="O79" s="55">
        <f ca="1">IFERROR(__xludf.DUMMYFUNCTION("IMPORTRANGE(""https://docs.google.com/spreadsheets/d/1IYY_tgx_IHuhSq3AJ5eI5OnqOPBNLWSHKh2a30DoXe8/edit?usp=sharing"",""ตรัง!J181"")"),0)</f>
        <v>0</v>
      </c>
      <c r="P79" s="99">
        <f t="shared" ca="1" si="7"/>
        <v>0</v>
      </c>
      <c r="Q79" s="55">
        <v>1</v>
      </c>
      <c r="R79" s="55">
        <f ca="1">IFERROR(__xludf.DUMMYFUNCTION("IMPORTRANGE(""https://docs.google.com/spreadsheets/d/1IYY_tgx_IHuhSq3AJ5eI5OnqOPBNLWSHKh2a30DoXe8/edit?usp=sharing"",""ตรัง!J182"")"),0)</f>
        <v>0</v>
      </c>
      <c r="S79" s="99">
        <f t="shared" ca="1" si="9"/>
        <v>0</v>
      </c>
      <c r="T79" s="54">
        <f t="shared" si="61"/>
        <v>0</v>
      </c>
      <c r="U79" s="55">
        <v>0</v>
      </c>
      <c r="V79" s="55">
        <v>0</v>
      </c>
      <c r="W79" s="55">
        <f ca="1">IFERROR(__xludf.DUMMYFUNCTION("IMPORTRANGE(""https://docs.google.com/spreadsheets/d/1IYY_tgx_IHuhSq3AJ5eI5OnqOPBNLWSHKh2a30DoXe8/edit?usp=sharing"",""ตรัง!M185"")"),0)</f>
        <v>0</v>
      </c>
      <c r="X79" s="99">
        <f t="shared" si="11"/>
        <v>0</v>
      </c>
      <c r="Y79" s="55">
        <v>0</v>
      </c>
      <c r="Z79" s="55">
        <f ca="1">IFERROR(__xludf.DUMMYFUNCTION("IMPORTRANGE(""https://docs.google.com/spreadsheets/d/1IYY_tgx_IHuhSq3AJ5eI5OnqOPBNLWSHKh2a30DoXe8/edit?usp=sharing"",""ตรัง!J195"")"),0)</f>
        <v>0</v>
      </c>
      <c r="AA79" s="99">
        <f t="shared" si="13"/>
        <v>0</v>
      </c>
    </row>
    <row r="80" spans="1:27" ht="24" customHeight="1" x14ac:dyDescent="0.5">
      <c r="A80" s="52">
        <v>4</v>
      </c>
      <c r="B80" s="53" t="s">
        <v>95</v>
      </c>
      <c r="C80" s="54">
        <f t="shared" si="60"/>
        <v>0</v>
      </c>
      <c r="D80" s="55">
        <v>0</v>
      </c>
      <c r="E80" s="55">
        <v>0</v>
      </c>
      <c r="F80" s="55">
        <f ca="1">IFERROR(__xludf.DUMMYFUNCTION("IMPORTRANGE(""https://docs.google.com/spreadsheets/d/1IYY_tgx_IHuhSq3AJ5eI5OnqOPBNLWSHKh2a30DoXe8/edit?usp=sharing"",""นครศรีธรรมราช!M169"")"),0)</f>
        <v>0</v>
      </c>
      <c r="G80" s="99">
        <f t="shared" si="1"/>
        <v>0</v>
      </c>
      <c r="H80" s="55">
        <v>0</v>
      </c>
      <c r="I80" s="55">
        <f ca="1">IFERROR(__xludf.DUMMYFUNCTION("IMPORTRANGE(""https://docs.google.com/spreadsheets/d/1IYY_tgx_IHuhSq3AJ5eI5OnqOPBNLWSHKh2a30DoXe8/edit?usp=sharing"",""นครศรีธรรมราช!J179"")"),0)</f>
        <v>0</v>
      </c>
      <c r="J80" s="99">
        <f t="shared" si="3"/>
        <v>0</v>
      </c>
      <c r="K80" s="55">
        <v>0</v>
      </c>
      <c r="L80" s="55">
        <f ca="1">IFERROR(__xludf.DUMMYFUNCTION("IMPORTRANGE(""https://docs.google.com/spreadsheets/d/1IYY_tgx_IHuhSq3AJ5eI5OnqOPBNLWSHKh2a30DoXe8/edit?usp=sharing"",""นครศรีธรรมราช!J180"")"),0)</f>
        <v>0</v>
      </c>
      <c r="M80" s="99">
        <f t="shared" si="5"/>
        <v>0</v>
      </c>
      <c r="N80" s="55">
        <v>0</v>
      </c>
      <c r="O80" s="55">
        <f ca="1">IFERROR(__xludf.DUMMYFUNCTION("IMPORTRANGE(""https://docs.google.com/spreadsheets/d/1IYY_tgx_IHuhSq3AJ5eI5OnqOPBNLWSHKh2a30DoXe8/edit?usp=sharing"",""นครศรีธรรมราช!J181"")"),0)</f>
        <v>0</v>
      </c>
      <c r="P80" s="99">
        <f t="shared" si="7"/>
        <v>0</v>
      </c>
      <c r="Q80" s="55">
        <v>0</v>
      </c>
      <c r="R80" s="55">
        <f ca="1">IFERROR(__xludf.DUMMYFUNCTION("IMPORTRANGE(""https://docs.google.com/spreadsheets/d/1IYY_tgx_IHuhSq3AJ5eI5OnqOPBNLWSHKh2a30DoXe8/edit?usp=sharing"",""นครศรีธรรมราช!J182"")"),0)</f>
        <v>0</v>
      </c>
      <c r="S80" s="99">
        <f t="shared" si="9"/>
        <v>0</v>
      </c>
      <c r="T80" s="54">
        <f t="shared" si="61"/>
        <v>0</v>
      </c>
      <c r="U80" s="55">
        <v>0</v>
      </c>
      <c r="V80" s="55">
        <v>0</v>
      </c>
      <c r="W80" s="55">
        <f ca="1">IFERROR(__xludf.DUMMYFUNCTION("IMPORTRANGE(""https://docs.google.com/spreadsheets/d/1IYY_tgx_IHuhSq3AJ5eI5OnqOPBNLWSHKh2a30DoXe8/edit?usp=sharing"",""นครศรีธรรมราช!M185"")"),0)</f>
        <v>0</v>
      </c>
      <c r="X80" s="99">
        <f t="shared" si="11"/>
        <v>0</v>
      </c>
      <c r="Y80" s="55">
        <v>0</v>
      </c>
      <c r="Z80" s="55">
        <f ca="1">IFERROR(__xludf.DUMMYFUNCTION("IMPORTRANGE(""https://docs.google.com/spreadsheets/d/1IYY_tgx_IHuhSq3AJ5eI5OnqOPBNLWSHKh2a30DoXe8/edit?usp=sharing"",""นครศรีธรรมราช!J195"")"),0)</f>
        <v>0</v>
      </c>
      <c r="AA80" s="99">
        <f t="shared" si="13"/>
        <v>0</v>
      </c>
    </row>
    <row r="81" spans="1:27" ht="24" customHeight="1" x14ac:dyDescent="0.5">
      <c r="A81" s="52">
        <v>5</v>
      </c>
      <c r="B81" s="53" t="s">
        <v>96</v>
      </c>
      <c r="C81" s="54">
        <f t="shared" si="60"/>
        <v>0</v>
      </c>
      <c r="D81" s="55">
        <v>0</v>
      </c>
      <c r="E81" s="55">
        <v>0</v>
      </c>
      <c r="F81" s="55">
        <f ca="1">IFERROR(__xludf.DUMMYFUNCTION("IMPORTRANGE(""https://docs.google.com/spreadsheets/d/1IYY_tgx_IHuhSq3AJ5eI5OnqOPBNLWSHKh2a30DoXe8/edit?usp=sharing"",""นราธิวาส!M169"")"),0)</f>
        <v>0</v>
      </c>
      <c r="G81" s="99">
        <f t="shared" si="1"/>
        <v>0</v>
      </c>
      <c r="H81" s="55">
        <v>0</v>
      </c>
      <c r="I81" s="55">
        <f ca="1">IFERROR(__xludf.DUMMYFUNCTION("IMPORTRANGE(""https://docs.google.com/spreadsheets/d/1IYY_tgx_IHuhSq3AJ5eI5OnqOPBNLWSHKh2a30DoXe8/edit?usp=sharing"",""นราธิวาส!J179"")"),0)</f>
        <v>0</v>
      </c>
      <c r="J81" s="99">
        <f t="shared" si="3"/>
        <v>0</v>
      </c>
      <c r="K81" s="55">
        <v>0</v>
      </c>
      <c r="L81" s="55">
        <f ca="1">IFERROR(__xludf.DUMMYFUNCTION("IMPORTRANGE(""https://docs.google.com/spreadsheets/d/1IYY_tgx_IHuhSq3AJ5eI5OnqOPBNLWSHKh2a30DoXe8/edit?usp=sharing"",""นราธิวาส!J180"")"),0)</f>
        <v>0</v>
      </c>
      <c r="M81" s="99">
        <f t="shared" si="5"/>
        <v>0</v>
      </c>
      <c r="N81" s="55">
        <v>0</v>
      </c>
      <c r="O81" s="55">
        <f ca="1">IFERROR(__xludf.DUMMYFUNCTION("IMPORTRANGE(""https://docs.google.com/spreadsheets/d/1IYY_tgx_IHuhSq3AJ5eI5OnqOPBNLWSHKh2a30DoXe8/edit?usp=sharing"",""นราธิวาส!J181"")"),0)</f>
        <v>0</v>
      </c>
      <c r="P81" s="99">
        <f t="shared" si="7"/>
        <v>0</v>
      </c>
      <c r="Q81" s="55">
        <v>0</v>
      </c>
      <c r="R81" s="55">
        <f ca="1">IFERROR(__xludf.DUMMYFUNCTION("IMPORTRANGE(""https://docs.google.com/spreadsheets/d/1IYY_tgx_IHuhSq3AJ5eI5OnqOPBNLWSHKh2a30DoXe8/edit?usp=sharing"",""นราธิวาส!J182"")"),0)</f>
        <v>0</v>
      </c>
      <c r="S81" s="99">
        <f t="shared" si="9"/>
        <v>0</v>
      </c>
      <c r="T81" s="54">
        <f t="shared" si="61"/>
        <v>0</v>
      </c>
      <c r="U81" s="55">
        <v>0</v>
      </c>
      <c r="V81" s="55">
        <v>0</v>
      </c>
      <c r="W81" s="55">
        <f ca="1">IFERROR(__xludf.DUMMYFUNCTION("IMPORTRANGE(""https://docs.google.com/spreadsheets/d/1IYY_tgx_IHuhSq3AJ5eI5OnqOPBNLWSHKh2a30DoXe8/edit?usp=sharing"",""นราธิวาส!M185"")"),0)</f>
        <v>0</v>
      </c>
      <c r="X81" s="99">
        <f t="shared" si="11"/>
        <v>0</v>
      </c>
      <c r="Y81" s="55">
        <v>0</v>
      </c>
      <c r="Z81" s="55">
        <f ca="1">IFERROR(__xludf.DUMMYFUNCTION("IMPORTRANGE(""https://docs.google.com/spreadsheets/d/1IYY_tgx_IHuhSq3AJ5eI5OnqOPBNLWSHKh2a30DoXe8/edit?usp=sharing"",""นราธิวาส!J195"")"),0)</f>
        <v>0</v>
      </c>
      <c r="AA81" s="99">
        <f t="shared" si="13"/>
        <v>0</v>
      </c>
    </row>
    <row r="82" spans="1:27" ht="24" customHeight="1" x14ac:dyDescent="0.5">
      <c r="A82" s="52">
        <v>6</v>
      </c>
      <c r="B82" s="53" t="s">
        <v>97</v>
      </c>
      <c r="C82" s="54">
        <f t="shared" si="60"/>
        <v>0</v>
      </c>
      <c r="D82" s="55">
        <v>0</v>
      </c>
      <c r="E82" s="55">
        <v>0</v>
      </c>
      <c r="F82" s="55">
        <f ca="1">IFERROR(__xludf.DUMMYFUNCTION("IMPORTRANGE(""https://docs.google.com/spreadsheets/d/1IYY_tgx_IHuhSq3AJ5eI5OnqOPBNLWSHKh2a30DoXe8/edit?usp=sharing"",""ปัตตานี!M169"")"),0)</f>
        <v>0</v>
      </c>
      <c r="G82" s="99">
        <f t="shared" si="1"/>
        <v>0</v>
      </c>
      <c r="H82" s="55">
        <v>0</v>
      </c>
      <c r="I82" s="55">
        <f ca="1">IFERROR(__xludf.DUMMYFUNCTION("IMPORTRANGE(""https://docs.google.com/spreadsheets/d/1IYY_tgx_IHuhSq3AJ5eI5OnqOPBNLWSHKh2a30DoXe8/edit?usp=sharing"",""ปัตตานี!J179"")"),0)</f>
        <v>0</v>
      </c>
      <c r="J82" s="99">
        <f t="shared" si="3"/>
        <v>0</v>
      </c>
      <c r="K82" s="55">
        <v>0</v>
      </c>
      <c r="L82" s="55">
        <f ca="1">IFERROR(__xludf.DUMMYFUNCTION("IMPORTRANGE(""https://docs.google.com/spreadsheets/d/1IYY_tgx_IHuhSq3AJ5eI5OnqOPBNLWSHKh2a30DoXe8/edit?usp=sharing"",""ปัตตานี!J180"")"),0)</f>
        <v>0</v>
      </c>
      <c r="M82" s="99">
        <f t="shared" si="5"/>
        <v>0</v>
      </c>
      <c r="N82" s="55">
        <v>0</v>
      </c>
      <c r="O82" s="55">
        <f ca="1">IFERROR(__xludf.DUMMYFUNCTION("IMPORTRANGE(""https://docs.google.com/spreadsheets/d/1IYY_tgx_IHuhSq3AJ5eI5OnqOPBNLWSHKh2a30DoXe8/edit?usp=sharing"",""ปัตตานี!J181"")"),0)</f>
        <v>0</v>
      </c>
      <c r="P82" s="99">
        <f t="shared" si="7"/>
        <v>0</v>
      </c>
      <c r="Q82" s="55">
        <v>0</v>
      </c>
      <c r="R82" s="55">
        <f ca="1">IFERROR(__xludf.DUMMYFUNCTION("IMPORTRANGE(""https://docs.google.com/spreadsheets/d/1IYY_tgx_IHuhSq3AJ5eI5OnqOPBNLWSHKh2a30DoXe8/edit?usp=sharing"",""ปัตตานี!J182"")"),0)</f>
        <v>0</v>
      </c>
      <c r="S82" s="99">
        <f t="shared" si="9"/>
        <v>0</v>
      </c>
      <c r="T82" s="54">
        <f t="shared" si="61"/>
        <v>0</v>
      </c>
      <c r="U82" s="55">
        <v>0</v>
      </c>
      <c r="V82" s="55">
        <v>0</v>
      </c>
      <c r="W82" s="55">
        <f ca="1">IFERROR(__xludf.DUMMYFUNCTION("IMPORTRANGE(""https://docs.google.com/spreadsheets/d/1IYY_tgx_IHuhSq3AJ5eI5OnqOPBNLWSHKh2a30DoXe8/edit?usp=sharing"",""ปัตตานี!M185"")"),0)</f>
        <v>0</v>
      </c>
      <c r="X82" s="99">
        <f t="shared" si="11"/>
        <v>0</v>
      </c>
      <c r="Y82" s="55">
        <v>0</v>
      </c>
      <c r="Z82" s="55">
        <f ca="1">IFERROR(__xludf.DUMMYFUNCTION("IMPORTRANGE(""https://docs.google.com/spreadsheets/d/1IYY_tgx_IHuhSq3AJ5eI5OnqOPBNLWSHKh2a30DoXe8/edit?usp=sharing"",""ปัตตานี!J195"")"),0)</f>
        <v>0</v>
      </c>
      <c r="AA82" s="99">
        <f t="shared" si="13"/>
        <v>0</v>
      </c>
    </row>
    <row r="83" spans="1:27" ht="24" customHeight="1" x14ac:dyDescent="0.5">
      <c r="A83" s="52">
        <v>7</v>
      </c>
      <c r="B83" s="53" t="s">
        <v>98</v>
      </c>
      <c r="C83" s="54">
        <f t="shared" si="60"/>
        <v>0</v>
      </c>
      <c r="D83" s="55">
        <v>0</v>
      </c>
      <c r="E83" s="55">
        <v>0</v>
      </c>
      <c r="F83" s="55">
        <f ca="1">IFERROR(__xludf.DUMMYFUNCTION("IMPORTRANGE(""https://docs.google.com/spreadsheets/d/1IYY_tgx_IHuhSq3AJ5eI5OnqOPBNLWSHKh2a30DoXe8/edit?usp=sharing"",""พังงา!M169"")"),0)</f>
        <v>0</v>
      </c>
      <c r="G83" s="99">
        <f t="shared" si="1"/>
        <v>0</v>
      </c>
      <c r="H83" s="55">
        <v>0</v>
      </c>
      <c r="I83" s="55">
        <f ca="1">IFERROR(__xludf.DUMMYFUNCTION("IMPORTRANGE(""https://docs.google.com/spreadsheets/d/1IYY_tgx_IHuhSq3AJ5eI5OnqOPBNLWSHKh2a30DoXe8/edit?usp=sharing"",""พังงา!J179"")"),0)</f>
        <v>0</v>
      </c>
      <c r="J83" s="99">
        <f t="shared" si="3"/>
        <v>0</v>
      </c>
      <c r="K83" s="55">
        <v>0</v>
      </c>
      <c r="L83" s="55">
        <f ca="1">IFERROR(__xludf.DUMMYFUNCTION("IMPORTRANGE(""https://docs.google.com/spreadsheets/d/1IYY_tgx_IHuhSq3AJ5eI5OnqOPBNLWSHKh2a30DoXe8/edit?usp=sharing"",""พังงา!J180"")"),0)</f>
        <v>0</v>
      </c>
      <c r="M83" s="99">
        <f t="shared" si="5"/>
        <v>0</v>
      </c>
      <c r="N83" s="55">
        <v>0</v>
      </c>
      <c r="O83" s="55">
        <f ca="1">IFERROR(__xludf.DUMMYFUNCTION("IMPORTRANGE(""https://docs.google.com/spreadsheets/d/1IYY_tgx_IHuhSq3AJ5eI5OnqOPBNLWSHKh2a30DoXe8/edit?usp=sharing"",""พังงา!J181"")"),0)</f>
        <v>0</v>
      </c>
      <c r="P83" s="99">
        <f t="shared" si="7"/>
        <v>0</v>
      </c>
      <c r="Q83" s="55">
        <v>0</v>
      </c>
      <c r="R83" s="55">
        <f ca="1">IFERROR(__xludf.DUMMYFUNCTION("IMPORTRANGE(""https://docs.google.com/spreadsheets/d/1IYY_tgx_IHuhSq3AJ5eI5OnqOPBNLWSHKh2a30DoXe8/edit?usp=sharing"",""พังงา!J182"")"),0)</f>
        <v>0</v>
      </c>
      <c r="S83" s="99">
        <f t="shared" si="9"/>
        <v>0</v>
      </c>
      <c r="T83" s="54">
        <f t="shared" si="61"/>
        <v>187200</v>
      </c>
      <c r="U83" s="55">
        <v>132000</v>
      </c>
      <c r="V83" s="55">
        <v>55200</v>
      </c>
      <c r="W83" s="55">
        <f ca="1">IFERROR(__xludf.DUMMYFUNCTION("IMPORTRANGE(""https://docs.google.com/spreadsheets/d/1IYY_tgx_IHuhSq3AJ5eI5OnqOPBNLWSHKh2a30DoXe8/edit?usp=sharing"",""พังงา!M185"")"),480)</f>
        <v>480</v>
      </c>
      <c r="X83" s="99">
        <f t="shared" ca="1" si="11"/>
        <v>0.25641025641025639</v>
      </c>
      <c r="Y83" s="55">
        <v>15</v>
      </c>
      <c r="Z83" s="55">
        <f ca="1">IFERROR(__xludf.DUMMYFUNCTION("IMPORTRANGE(""https://docs.google.com/spreadsheets/d/1IYY_tgx_IHuhSq3AJ5eI5OnqOPBNLWSHKh2a30DoXe8/edit?usp=sharing"",""พังงา!J195"")"),0)</f>
        <v>0</v>
      </c>
      <c r="AA83" s="99">
        <f t="shared" ca="1" si="13"/>
        <v>0</v>
      </c>
    </row>
    <row r="84" spans="1:27" ht="24" customHeight="1" x14ac:dyDescent="0.5">
      <c r="A84" s="52">
        <v>8</v>
      </c>
      <c r="B84" s="53" t="s">
        <v>99</v>
      </c>
      <c r="C84" s="54">
        <f t="shared" si="60"/>
        <v>203400</v>
      </c>
      <c r="D84" s="55">
        <v>132000</v>
      </c>
      <c r="E84" s="55">
        <v>71400</v>
      </c>
      <c r="F84" s="55">
        <f ca="1">IFERROR(__xludf.DUMMYFUNCTION("IMPORTRANGE(""https://docs.google.com/spreadsheets/d/1IYY_tgx_IHuhSq3AJ5eI5OnqOPBNLWSHKh2a30DoXe8/edit?usp=sharing"",""พัทลุง!M169"")"),11000)</f>
        <v>11000</v>
      </c>
      <c r="G84" s="99">
        <f t="shared" ca="1" si="1"/>
        <v>5.4080629301868237</v>
      </c>
      <c r="H84" s="55">
        <v>1</v>
      </c>
      <c r="I84" s="55">
        <f ca="1">IFERROR(__xludf.DUMMYFUNCTION("IMPORTRANGE(""https://docs.google.com/spreadsheets/d/1IYY_tgx_IHuhSq3AJ5eI5OnqOPBNLWSHKh2a30DoXe8/edit?usp=sharing"",""พัทลุง!J179"")"),0)</f>
        <v>0</v>
      </c>
      <c r="J84" s="99">
        <f t="shared" ca="1" si="3"/>
        <v>0</v>
      </c>
      <c r="K84" s="55">
        <v>20</v>
      </c>
      <c r="L84" s="55">
        <f ca="1">IFERROR(__xludf.DUMMYFUNCTION("IMPORTRANGE(""https://docs.google.com/spreadsheets/d/1IYY_tgx_IHuhSq3AJ5eI5OnqOPBNLWSHKh2a30DoXe8/edit?usp=sharing"",""พัทลุง!J180"")"),0)</f>
        <v>0</v>
      </c>
      <c r="M84" s="99">
        <f t="shared" ca="1" si="5"/>
        <v>0</v>
      </c>
      <c r="N84" s="55">
        <v>20</v>
      </c>
      <c r="O84" s="55">
        <f ca="1">IFERROR(__xludf.DUMMYFUNCTION("IMPORTRANGE(""https://docs.google.com/spreadsheets/d/1IYY_tgx_IHuhSq3AJ5eI5OnqOPBNLWSHKh2a30DoXe8/edit?usp=sharing"",""พัทลุง!J181"")"),0)</f>
        <v>0</v>
      </c>
      <c r="P84" s="99">
        <f t="shared" ca="1" si="7"/>
        <v>0</v>
      </c>
      <c r="Q84" s="55">
        <v>1</v>
      </c>
      <c r="R84" s="55">
        <f ca="1">IFERROR(__xludf.DUMMYFUNCTION("IMPORTRANGE(""https://docs.google.com/spreadsheets/d/1IYY_tgx_IHuhSq3AJ5eI5OnqOPBNLWSHKh2a30DoXe8/edit?usp=sharing"",""พัทลุง!J182"")"),0)</f>
        <v>0</v>
      </c>
      <c r="S84" s="99">
        <f t="shared" ca="1" si="9"/>
        <v>0</v>
      </c>
      <c r="T84" s="54">
        <f t="shared" si="61"/>
        <v>0</v>
      </c>
      <c r="U84" s="55">
        <v>0</v>
      </c>
      <c r="V84" s="55">
        <v>0</v>
      </c>
      <c r="W84" s="55">
        <f ca="1">IFERROR(__xludf.DUMMYFUNCTION("IMPORTRANGE(""https://docs.google.com/spreadsheets/d/1IYY_tgx_IHuhSq3AJ5eI5OnqOPBNLWSHKh2a30DoXe8/edit?usp=sharing"",""พัทลุง!M185"")"),0)</f>
        <v>0</v>
      </c>
      <c r="X84" s="99">
        <f t="shared" si="11"/>
        <v>0</v>
      </c>
      <c r="Y84" s="55">
        <v>0</v>
      </c>
      <c r="Z84" s="55">
        <f ca="1">IFERROR(__xludf.DUMMYFUNCTION("IMPORTRANGE(""https://docs.google.com/spreadsheets/d/1IYY_tgx_IHuhSq3AJ5eI5OnqOPBNLWSHKh2a30DoXe8/edit?usp=sharing"",""พัทลุง!J195"")"),0)</f>
        <v>0</v>
      </c>
      <c r="AA84" s="99">
        <f t="shared" si="13"/>
        <v>0</v>
      </c>
    </row>
    <row r="85" spans="1:27" ht="24" customHeight="1" x14ac:dyDescent="0.5">
      <c r="A85" s="52">
        <v>9</v>
      </c>
      <c r="B85" s="53" t="s">
        <v>100</v>
      </c>
      <c r="C85" s="54">
        <f t="shared" si="60"/>
        <v>0</v>
      </c>
      <c r="D85" s="55">
        <v>0</v>
      </c>
      <c r="E85" s="55">
        <v>0</v>
      </c>
      <c r="F85" s="55">
        <f ca="1">IFERROR(__xludf.DUMMYFUNCTION("IMPORTRANGE(""https://docs.google.com/spreadsheets/d/1IYY_tgx_IHuhSq3AJ5eI5OnqOPBNLWSHKh2a30DoXe8/edit?usp=sharing"",""ภูเก็ต!M169"")"),0)</f>
        <v>0</v>
      </c>
      <c r="G85" s="99">
        <f t="shared" si="1"/>
        <v>0</v>
      </c>
      <c r="H85" s="55">
        <v>0</v>
      </c>
      <c r="I85" s="55">
        <f ca="1">IFERROR(__xludf.DUMMYFUNCTION("IMPORTRANGE(""https://docs.google.com/spreadsheets/d/1IYY_tgx_IHuhSq3AJ5eI5OnqOPBNLWSHKh2a30DoXe8/edit?usp=sharing"",""ภูเก็ต!J179"")"),0)</f>
        <v>0</v>
      </c>
      <c r="J85" s="99">
        <f t="shared" si="3"/>
        <v>0</v>
      </c>
      <c r="K85" s="55">
        <v>0</v>
      </c>
      <c r="L85" s="55">
        <f ca="1">IFERROR(__xludf.DUMMYFUNCTION("IMPORTRANGE(""https://docs.google.com/spreadsheets/d/1IYY_tgx_IHuhSq3AJ5eI5OnqOPBNLWSHKh2a30DoXe8/edit?usp=sharing"",""ภูเก็ต!J180"")"),0)</f>
        <v>0</v>
      </c>
      <c r="M85" s="99">
        <f t="shared" si="5"/>
        <v>0</v>
      </c>
      <c r="N85" s="55">
        <v>0</v>
      </c>
      <c r="O85" s="55">
        <f ca="1">IFERROR(__xludf.DUMMYFUNCTION("IMPORTRANGE(""https://docs.google.com/spreadsheets/d/1IYY_tgx_IHuhSq3AJ5eI5OnqOPBNLWSHKh2a30DoXe8/edit?usp=sharing"",""ภูเก็ต!J181"")"),0)</f>
        <v>0</v>
      </c>
      <c r="P85" s="99">
        <f t="shared" si="7"/>
        <v>0</v>
      </c>
      <c r="Q85" s="55">
        <v>0</v>
      </c>
      <c r="R85" s="55">
        <f ca="1">IFERROR(__xludf.DUMMYFUNCTION("IMPORTRANGE(""https://docs.google.com/spreadsheets/d/1IYY_tgx_IHuhSq3AJ5eI5OnqOPBNLWSHKh2a30DoXe8/edit?usp=sharing"",""ภูเก็ต!J182"")"),0)</f>
        <v>0</v>
      </c>
      <c r="S85" s="99">
        <f t="shared" si="9"/>
        <v>0</v>
      </c>
      <c r="T85" s="54">
        <f t="shared" si="61"/>
        <v>0</v>
      </c>
      <c r="U85" s="55">
        <v>0</v>
      </c>
      <c r="V85" s="55">
        <v>0</v>
      </c>
      <c r="W85" s="55">
        <f ca="1">IFERROR(__xludf.DUMMYFUNCTION("IMPORTRANGE(""https://docs.google.com/spreadsheets/d/1IYY_tgx_IHuhSq3AJ5eI5OnqOPBNLWSHKh2a30DoXe8/edit?usp=sharing"",""ภูเก็ต!M185"")"),0)</f>
        <v>0</v>
      </c>
      <c r="X85" s="99">
        <f t="shared" si="11"/>
        <v>0</v>
      </c>
      <c r="Y85" s="55">
        <v>0</v>
      </c>
      <c r="Z85" s="55">
        <f ca="1">IFERROR(__xludf.DUMMYFUNCTION("IMPORTRANGE(""https://docs.google.com/spreadsheets/d/1IYY_tgx_IHuhSq3AJ5eI5OnqOPBNLWSHKh2a30DoXe8/edit?usp=sharing"",""ภูเก็ต!J195"")"),0)</f>
        <v>0</v>
      </c>
      <c r="AA85" s="99">
        <f t="shared" si="13"/>
        <v>0</v>
      </c>
    </row>
    <row r="86" spans="1:27" ht="24" customHeight="1" x14ac:dyDescent="0.5">
      <c r="A86" s="52">
        <v>10</v>
      </c>
      <c r="B86" s="53" t="s">
        <v>101</v>
      </c>
      <c r="C86" s="54">
        <f t="shared" si="60"/>
        <v>0</v>
      </c>
      <c r="D86" s="55">
        <v>0</v>
      </c>
      <c r="E86" s="55">
        <v>0</v>
      </c>
      <c r="F86" s="55">
        <f ca="1">IFERROR(__xludf.DUMMYFUNCTION("IMPORTRANGE(""https://docs.google.com/spreadsheets/d/1IYY_tgx_IHuhSq3AJ5eI5OnqOPBNLWSHKh2a30DoXe8/edit?usp=sharing"",""ยะลา!M169"")"),0)</f>
        <v>0</v>
      </c>
      <c r="G86" s="99">
        <f t="shared" si="1"/>
        <v>0</v>
      </c>
      <c r="H86" s="55">
        <v>0</v>
      </c>
      <c r="I86" s="55">
        <f ca="1">IFERROR(__xludf.DUMMYFUNCTION("IMPORTRANGE(""https://docs.google.com/spreadsheets/d/1IYY_tgx_IHuhSq3AJ5eI5OnqOPBNLWSHKh2a30DoXe8/edit?usp=sharing"",""ยะลา!J179"")"),0)</f>
        <v>0</v>
      </c>
      <c r="J86" s="99">
        <f t="shared" si="3"/>
        <v>0</v>
      </c>
      <c r="K86" s="55">
        <v>0</v>
      </c>
      <c r="L86" s="55">
        <f ca="1">IFERROR(__xludf.DUMMYFUNCTION("IMPORTRANGE(""https://docs.google.com/spreadsheets/d/1IYY_tgx_IHuhSq3AJ5eI5OnqOPBNLWSHKh2a30DoXe8/edit?usp=sharing"",""ยะลา!J180"")"),0)</f>
        <v>0</v>
      </c>
      <c r="M86" s="99">
        <f t="shared" si="5"/>
        <v>0</v>
      </c>
      <c r="N86" s="55">
        <v>0</v>
      </c>
      <c r="O86" s="55">
        <f ca="1">IFERROR(__xludf.DUMMYFUNCTION("IMPORTRANGE(""https://docs.google.com/spreadsheets/d/1IYY_tgx_IHuhSq3AJ5eI5OnqOPBNLWSHKh2a30DoXe8/edit?usp=sharing"",""ยะลา!J181"")"),0)</f>
        <v>0</v>
      </c>
      <c r="P86" s="99">
        <f t="shared" si="7"/>
        <v>0</v>
      </c>
      <c r="Q86" s="55">
        <v>0</v>
      </c>
      <c r="R86" s="55">
        <f ca="1">IFERROR(__xludf.DUMMYFUNCTION("IMPORTRANGE(""https://docs.google.com/spreadsheets/d/1IYY_tgx_IHuhSq3AJ5eI5OnqOPBNLWSHKh2a30DoXe8/edit?usp=sharing"",""ยะลา!J182"")"),0)</f>
        <v>0</v>
      </c>
      <c r="S86" s="99">
        <f t="shared" si="9"/>
        <v>0</v>
      </c>
      <c r="T86" s="54">
        <f t="shared" si="61"/>
        <v>0</v>
      </c>
      <c r="U86" s="55">
        <v>0</v>
      </c>
      <c r="V86" s="55">
        <v>0</v>
      </c>
      <c r="W86" s="55">
        <f ca="1">IFERROR(__xludf.DUMMYFUNCTION("IMPORTRANGE(""https://docs.google.com/spreadsheets/d/1IYY_tgx_IHuhSq3AJ5eI5OnqOPBNLWSHKh2a30DoXe8/edit?usp=sharing"",""ยะลา!M185"")"),0)</f>
        <v>0</v>
      </c>
      <c r="X86" s="99">
        <f t="shared" si="11"/>
        <v>0</v>
      </c>
      <c r="Y86" s="55">
        <v>0</v>
      </c>
      <c r="Z86" s="55">
        <f ca="1">IFERROR(__xludf.DUMMYFUNCTION("IMPORTRANGE(""https://docs.google.com/spreadsheets/d/1IYY_tgx_IHuhSq3AJ5eI5OnqOPBNLWSHKh2a30DoXe8/edit?usp=sharing"",""ยะลา!J195"")"),0)</f>
        <v>0</v>
      </c>
      <c r="AA86" s="99">
        <f t="shared" si="13"/>
        <v>0</v>
      </c>
    </row>
    <row r="87" spans="1:27" ht="24" customHeight="1" x14ac:dyDescent="0.5">
      <c r="A87" s="52">
        <v>11</v>
      </c>
      <c r="B87" s="53" t="s">
        <v>102</v>
      </c>
      <c r="C87" s="54">
        <f t="shared" si="60"/>
        <v>0</v>
      </c>
      <c r="D87" s="55">
        <v>0</v>
      </c>
      <c r="E87" s="55">
        <v>0</v>
      </c>
      <c r="F87" s="55">
        <f ca="1">IFERROR(__xludf.DUMMYFUNCTION("IMPORTRANGE(""https://docs.google.com/spreadsheets/d/1IYY_tgx_IHuhSq3AJ5eI5OnqOPBNLWSHKh2a30DoXe8/edit?usp=sharing"",""ระนอง!M169"")"),0)</f>
        <v>0</v>
      </c>
      <c r="G87" s="99">
        <f t="shared" si="1"/>
        <v>0</v>
      </c>
      <c r="H87" s="55">
        <v>0</v>
      </c>
      <c r="I87" s="55">
        <f ca="1">IFERROR(__xludf.DUMMYFUNCTION("IMPORTRANGE(""https://docs.google.com/spreadsheets/d/1IYY_tgx_IHuhSq3AJ5eI5OnqOPBNLWSHKh2a30DoXe8/edit?usp=sharing"",""ระนอง!J179"")"),0)</f>
        <v>0</v>
      </c>
      <c r="J87" s="99">
        <f t="shared" si="3"/>
        <v>0</v>
      </c>
      <c r="K87" s="55">
        <v>0</v>
      </c>
      <c r="L87" s="55">
        <f ca="1">IFERROR(__xludf.DUMMYFUNCTION("IMPORTRANGE(""https://docs.google.com/spreadsheets/d/1IYY_tgx_IHuhSq3AJ5eI5OnqOPBNLWSHKh2a30DoXe8/edit?usp=sharing"",""ระนอง!J180"")"),0)</f>
        <v>0</v>
      </c>
      <c r="M87" s="99">
        <f t="shared" si="5"/>
        <v>0</v>
      </c>
      <c r="N87" s="55">
        <v>0</v>
      </c>
      <c r="O87" s="55">
        <f ca="1">IFERROR(__xludf.DUMMYFUNCTION("IMPORTRANGE(""https://docs.google.com/spreadsheets/d/1IYY_tgx_IHuhSq3AJ5eI5OnqOPBNLWSHKh2a30DoXe8/edit?usp=sharing"",""ระนอง!J181"")"),0)</f>
        <v>0</v>
      </c>
      <c r="P87" s="99">
        <f t="shared" si="7"/>
        <v>0</v>
      </c>
      <c r="Q87" s="55">
        <v>0</v>
      </c>
      <c r="R87" s="55">
        <f ca="1">IFERROR(__xludf.DUMMYFUNCTION("IMPORTRANGE(""https://docs.google.com/spreadsheets/d/1IYY_tgx_IHuhSq3AJ5eI5OnqOPBNLWSHKh2a30DoXe8/edit?usp=sharing"",""ระนอง!J182"")"),0)</f>
        <v>0</v>
      </c>
      <c r="S87" s="99">
        <f t="shared" si="9"/>
        <v>0</v>
      </c>
      <c r="T87" s="54">
        <f t="shared" si="61"/>
        <v>0</v>
      </c>
      <c r="U87" s="55">
        <v>0</v>
      </c>
      <c r="V87" s="55">
        <v>0</v>
      </c>
      <c r="W87" s="55">
        <f ca="1">IFERROR(__xludf.DUMMYFUNCTION("IMPORTRANGE(""https://docs.google.com/spreadsheets/d/1IYY_tgx_IHuhSq3AJ5eI5OnqOPBNLWSHKh2a30DoXe8/edit?usp=sharing"",""ระนอง!M185"")"),0)</f>
        <v>0</v>
      </c>
      <c r="X87" s="99">
        <f t="shared" si="11"/>
        <v>0</v>
      </c>
      <c r="Y87" s="55">
        <v>0</v>
      </c>
      <c r="Z87" s="55">
        <f ca="1">IFERROR(__xludf.DUMMYFUNCTION("IMPORTRANGE(""https://docs.google.com/spreadsheets/d/1IYY_tgx_IHuhSq3AJ5eI5OnqOPBNLWSHKh2a30DoXe8/edit?usp=sharing"",""ระนอง!J195"")"),0)</f>
        <v>0</v>
      </c>
      <c r="AA87" s="99">
        <f t="shared" si="13"/>
        <v>0</v>
      </c>
    </row>
    <row r="88" spans="1:27" ht="24" customHeight="1" x14ac:dyDescent="0.5">
      <c r="A88" s="52">
        <v>12</v>
      </c>
      <c r="B88" s="53" t="s">
        <v>103</v>
      </c>
      <c r="C88" s="54">
        <f t="shared" si="60"/>
        <v>0</v>
      </c>
      <c r="D88" s="55">
        <v>0</v>
      </c>
      <c r="E88" s="55">
        <v>0</v>
      </c>
      <c r="F88" s="55">
        <f ca="1">IFERROR(__xludf.DUMMYFUNCTION("IMPORTRANGE(""https://docs.google.com/spreadsheets/d/1IYY_tgx_IHuhSq3AJ5eI5OnqOPBNLWSHKh2a30DoXe8/edit?usp=sharing"",""สงขลา!M169"")"),0)</f>
        <v>0</v>
      </c>
      <c r="G88" s="99">
        <f t="shared" si="1"/>
        <v>0</v>
      </c>
      <c r="H88" s="55">
        <v>0</v>
      </c>
      <c r="I88" s="55">
        <f ca="1">IFERROR(__xludf.DUMMYFUNCTION("IMPORTRANGE(""https://docs.google.com/spreadsheets/d/1IYY_tgx_IHuhSq3AJ5eI5OnqOPBNLWSHKh2a30DoXe8/edit?usp=sharing"",""สงขลา!J179"")"),0)</f>
        <v>0</v>
      </c>
      <c r="J88" s="99">
        <f t="shared" si="3"/>
        <v>0</v>
      </c>
      <c r="K88" s="55">
        <v>0</v>
      </c>
      <c r="L88" s="55">
        <f ca="1">IFERROR(__xludf.DUMMYFUNCTION("IMPORTRANGE(""https://docs.google.com/spreadsheets/d/1IYY_tgx_IHuhSq3AJ5eI5OnqOPBNLWSHKh2a30DoXe8/edit?usp=sharing"",""สงขลา!J180"")"),0)</f>
        <v>0</v>
      </c>
      <c r="M88" s="99">
        <f t="shared" si="5"/>
        <v>0</v>
      </c>
      <c r="N88" s="55">
        <v>0</v>
      </c>
      <c r="O88" s="55">
        <f ca="1">IFERROR(__xludf.DUMMYFUNCTION("IMPORTRANGE(""https://docs.google.com/spreadsheets/d/1IYY_tgx_IHuhSq3AJ5eI5OnqOPBNLWSHKh2a30DoXe8/edit?usp=sharing"",""สงขลา!J181"")"),0)</f>
        <v>0</v>
      </c>
      <c r="P88" s="99">
        <f t="shared" si="7"/>
        <v>0</v>
      </c>
      <c r="Q88" s="55">
        <v>0</v>
      </c>
      <c r="R88" s="55">
        <f ca="1">IFERROR(__xludf.DUMMYFUNCTION("IMPORTRANGE(""https://docs.google.com/spreadsheets/d/1IYY_tgx_IHuhSq3AJ5eI5OnqOPBNLWSHKh2a30DoXe8/edit?usp=sharing"",""สงขลา!J182"")"),0)</f>
        <v>0</v>
      </c>
      <c r="S88" s="99">
        <f t="shared" si="9"/>
        <v>0</v>
      </c>
      <c r="T88" s="54">
        <f t="shared" si="61"/>
        <v>187200</v>
      </c>
      <c r="U88" s="55">
        <v>132000</v>
      </c>
      <c r="V88" s="55">
        <v>55200</v>
      </c>
      <c r="W88" s="55">
        <f ca="1">IFERROR(__xludf.DUMMYFUNCTION("IMPORTRANGE(""https://docs.google.com/spreadsheets/d/1IYY_tgx_IHuhSq3AJ5eI5OnqOPBNLWSHKh2a30DoXe8/edit?usp=sharing"",""สงขลา!M185"")"),11000)</f>
        <v>11000</v>
      </c>
      <c r="X88" s="99">
        <f t="shared" ca="1" si="11"/>
        <v>5.8760683760683765</v>
      </c>
      <c r="Y88" s="55">
        <v>15</v>
      </c>
      <c r="Z88" s="55">
        <f ca="1">IFERROR(__xludf.DUMMYFUNCTION("IMPORTRANGE(""https://docs.google.com/spreadsheets/d/1IYY_tgx_IHuhSq3AJ5eI5OnqOPBNLWSHKh2a30DoXe8/edit?usp=sharing"",""สงขลา!J195"")"),0)</f>
        <v>0</v>
      </c>
      <c r="AA88" s="99">
        <f t="shared" ca="1" si="13"/>
        <v>0</v>
      </c>
    </row>
    <row r="89" spans="1:27" ht="24" customHeight="1" x14ac:dyDescent="0.5">
      <c r="A89" s="52">
        <v>13</v>
      </c>
      <c r="B89" s="53" t="s">
        <v>104</v>
      </c>
      <c r="C89" s="54">
        <f t="shared" si="60"/>
        <v>0</v>
      </c>
      <c r="D89" s="55">
        <v>0</v>
      </c>
      <c r="E89" s="55">
        <v>0</v>
      </c>
      <c r="F89" s="55">
        <f ca="1">IFERROR(__xludf.DUMMYFUNCTION("IMPORTRANGE(""https://docs.google.com/spreadsheets/d/1IYY_tgx_IHuhSq3AJ5eI5OnqOPBNLWSHKh2a30DoXe8/edit?usp=sharing"",""สตูล!M169"")"),0)</f>
        <v>0</v>
      </c>
      <c r="G89" s="99">
        <f t="shared" si="1"/>
        <v>0</v>
      </c>
      <c r="H89" s="55">
        <v>0</v>
      </c>
      <c r="I89" s="55">
        <f ca="1">IFERROR(__xludf.DUMMYFUNCTION("IMPORTRANGE(""https://docs.google.com/spreadsheets/d/1IYY_tgx_IHuhSq3AJ5eI5OnqOPBNLWSHKh2a30DoXe8/edit?usp=sharing"",""สตูล!J179"")"),0)</f>
        <v>0</v>
      </c>
      <c r="J89" s="99">
        <f t="shared" si="3"/>
        <v>0</v>
      </c>
      <c r="K89" s="55">
        <v>0</v>
      </c>
      <c r="L89" s="55">
        <f ca="1">IFERROR(__xludf.DUMMYFUNCTION("IMPORTRANGE(""https://docs.google.com/spreadsheets/d/1IYY_tgx_IHuhSq3AJ5eI5OnqOPBNLWSHKh2a30DoXe8/edit?usp=sharing"",""สตูล!J180"")"),0)</f>
        <v>0</v>
      </c>
      <c r="M89" s="99">
        <f t="shared" si="5"/>
        <v>0</v>
      </c>
      <c r="N89" s="55">
        <v>0</v>
      </c>
      <c r="O89" s="55">
        <f ca="1">IFERROR(__xludf.DUMMYFUNCTION("IMPORTRANGE(""https://docs.google.com/spreadsheets/d/1IYY_tgx_IHuhSq3AJ5eI5OnqOPBNLWSHKh2a30DoXe8/edit?usp=sharing"",""สตูล!J181"")"),0)</f>
        <v>0</v>
      </c>
      <c r="P89" s="99">
        <f t="shared" si="7"/>
        <v>0</v>
      </c>
      <c r="Q89" s="55">
        <v>0</v>
      </c>
      <c r="R89" s="55">
        <f ca="1">IFERROR(__xludf.DUMMYFUNCTION("IMPORTRANGE(""https://docs.google.com/spreadsheets/d/1IYY_tgx_IHuhSq3AJ5eI5OnqOPBNLWSHKh2a30DoXe8/edit?usp=sharing"",""สตูล!J182"")"),0)</f>
        <v>0</v>
      </c>
      <c r="S89" s="99">
        <f t="shared" si="9"/>
        <v>0</v>
      </c>
      <c r="T89" s="54">
        <f t="shared" si="61"/>
        <v>187200</v>
      </c>
      <c r="U89" s="55">
        <v>132000</v>
      </c>
      <c r="V89" s="55">
        <v>55200</v>
      </c>
      <c r="W89" s="55">
        <f ca="1">IFERROR(__xludf.DUMMYFUNCTION("IMPORTRANGE(""https://docs.google.com/spreadsheets/d/1IYY_tgx_IHuhSq3AJ5eI5OnqOPBNLWSHKh2a30DoXe8/edit?usp=sharing"",""สตูล!M185"")"),0)</f>
        <v>0</v>
      </c>
      <c r="X89" s="99">
        <f t="shared" ca="1" si="11"/>
        <v>0</v>
      </c>
      <c r="Y89" s="55">
        <v>15</v>
      </c>
      <c r="Z89" s="55">
        <f ca="1">IFERROR(__xludf.DUMMYFUNCTION("IMPORTRANGE(""https://docs.google.com/spreadsheets/d/1IYY_tgx_IHuhSq3AJ5eI5OnqOPBNLWSHKh2a30DoXe8/edit?usp=sharing"",""สตูล!J195"")"),0)</f>
        <v>0</v>
      </c>
      <c r="AA89" s="99">
        <f t="shared" ca="1" si="13"/>
        <v>0</v>
      </c>
    </row>
    <row r="90" spans="1:27" ht="24" customHeight="1" x14ac:dyDescent="0.5">
      <c r="A90" s="59">
        <v>14</v>
      </c>
      <c r="B90" s="60" t="s">
        <v>105</v>
      </c>
      <c r="C90" s="61">
        <f t="shared" si="60"/>
        <v>89000</v>
      </c>
      <c r="D90" s="62">
        <v>0</v>
      </c>
      <c r="E90" s="62">
        <v>89000</v>
      </c>
      <c r="F90" s="62">
        <f ca="1">IFERROR(__xludf.DUMMYFUNCTION("IMPORTRANGE(""https://docs.google.com/spreadsheets/d/1IYY_tgx_IHuhSq3AJ5eI5OnqOPBNLWSHKh2a30DoXe8/edit?usp=sharing"",""สุราษฎร์ธานี!M169"")"),0)</f>
        <v>0</v>
      </c>
      <c r="G90" s="100">
        <f t="shared" ca="1" si="1"/>
        <v>0</v>
      </c>
      <c r="H90" s="62">
        <v>1</v>
      </c>
      <c r="I90" s="62">
        <f ca="1">IFERROR(__xludf.DUMMYFUNCTION("IMPORTRANGE(""https://docs.google.com/spreadsheets/d/1IYY_tgx_IHuhSq3AJ5eI5OnqOPBNLWSHKh2a30DoXe8/edit?usp=sharing"",""สุราษฎร์ธานี!J179"")"),0)</f>
        <v>0</v>
      </c>
      <c r="J90" s="100">
        <f t="shared" ca="1" si="3"/>
        <v>0</v>
      </c>
      <c r="K90" s="62">
        <v>25</v>
      </c>
      <c r="L90" s="62">
        <f ca="1">IFERROR(__xludf.DUMMYFUNCTION("IMPORTRANGE(""https://docs.google.com/spreadsheets/d/1IYY_tgx_IHuhSq3AJ5eI5OnqOPBNLWSHKh2a30DoXe8/edit?usp=sharing"",""สุราษฎร์ธานี!J180"")"),0)</f>
        <v>0</v>
      </c>
      <c r="M90" s="100">
        <f t="shared" ca="1" si="5"/>
        <v>0</v>
      </c>
      <c r="N90" s="62">
        <v>25</v>
      </c>
      <c r="O90" s="62">
        <f ca="1">IFERROR(__xludf.DUMMYFUNCTION("IMPORTRANGE(""https://docs.google.com/spreadsheets/d/1IYY_tgx_IHuhSq3AJ5eI5OnqOPBNLWSHKh2a30DoXe8/edit?usp=sharing"",""สุราษฎร์ธานี!J181"")"),0)</f>
        <v>0</v>
      </c>
      <c r="P90" s="100">
        <f t="shared" ca="1" si="7"/>
        <v>0</v>
      </c>
      <c r="Q90" s="62">
        <v>1</v>
      </c>
      <c r="R90" s="62">
        <f ca="1">IFERROR(__xludf.DUMMYFUNCTION("IMPORTRANGE(""https://docs.google.com/spreadsheets/d/1IYY_tgx_IHuhSq3AJ5eI5OnqOPBNLWSHKh2a30DoXe8/edit?usp=sharing"",""สุราษฎร์ธานี!J182"")"),0)</f>
        <v>0</v>
      </c>
      <c r="S90" s="100">
        <f t="shared" ca="1" si="9"/>
        <v>0</v>
      </c>
      <c r="T90" s="61">
        <f t="shared" si="61"/>
        <v>447600</v>
      </c>
      <c r="U90" s="62">
        <v>264000</v>
      </c>
      <c r="V90" s="62">
        <v>183600</v>
      </c>
      <c r="W90" s="62">
        <f ca="1">IFERROR(__xludf.DUMMYFUNCTION("IMPORTRANGE(""https://docs.google.com/spreadsheets/d/1IYY_tgx_IHuhSq3AJ5eI5OnqOPBNLWSHKh2a30DoXe8/edit?usp=sharing"",""สุราษฎร์ธานี!M185"")"),0)</f>
        <v>0</v>
      </c>
      <c r="X90" s="100">
        <f t="shared" ca="1" si="11"/>
        <v>0</v>
      </c>
      <c r="Y90" s="62">
        <v>20</v>
      </c>
      <c r="Z90" s="62">
        <f ca="1">IFERROR(__xludf.DUMMYFUNCTION("IMPORTRANGE(""https://docs.google.com/spreadsheets/d/1IYY_tgx_IHuhSq3AJ5eI5OnqOPBNLWSHKh2a30DoXe8/edit?usp=sharing"",""สุราษฎร์ธานี!J195"")"),0)</f>
        <v>0</v>
      </c>
      <c r="AA90" s="100">
        <f t="shared" ca="1" si="13"/>
        <v>0</v>
      </c>
    </row>
    <row r="91" spans="1:27" ht="24" customHeight="1" x14ac:dyDescent="0.5">
      <c r="A91" s="572" t="s">
        <v>106</v>
      </c>
      <c r="B91" s="571"/>
      <c r="C91" s="35">
        <f t="shared" ref="C91:F91" si="62">+C92+C93+C94+C95+C96+C97+C98+C99+C100+C101+C102+C103+C104+C105</f>
        <v>922100</v>
      </c>
      <c r="D91" s="35">
        <f t="shared" si="62"/>
        <v>509300</v>
      </c>
      <c r="E91" s="35">
        <f t="shared" si="62"/>
        <v>412800</v>
      </c>
      <c r="F91" s="35">
        <f t="shared" ca="1" si="62"/>
        <v>158366</v>
      </c>
      <c r="G91" s="92">
        <f t="shared" ca="1" si="1"/>
        <v>17.174493005097062</v>
      </c>
      <c r="H91" s="35">
        <f t="shared" ref="H91:I91" si="63">+H92+H93+H94+H95+H96+H97+H98+H99+H100+H101+H102+H103+H104+H105</f>
        <v>0</v>
      </c>
      <c r="I91" s="35">
        <f t="shared" si="63"/>
        <v>0</v>
      </c>
      <c r="J91" s="92">
        <f t="shared" si="3"/>
        <v>0</v>
      </c>
      <c r="K91" s="35">
        <f t="shared" ref="K91:L91" si="64">+K92+K93+K94+K95+K96+K97+K98+K99+K100+K101+K102+K103+K104+K105</f>
        <v>0</v>
      </c>
      <c r="L91" s="35">
        <f t="shared" si="64"/>
        <v>0</v>
      </c>
      <c r="M91" s="92">
        <f t="shared" si="5"/>
        <v>0</v>
      </c>
      <c r="N91" s="35">
        <f t="shared" ref="N91:O91" si="65">+N92+N93+N94+N95+N96+N97+N98+N99+N100+N101+N102+N103+N104+N105</f>
        <v>0</v>
      </c>
      <c r="O91" s="35">
        <f t="shared" si="65"/>
        <v>0</v>
      </c>
      <c r="P91" s="92">
        <f t="shared" si="7"/>
        <v>0</v>
      </c>
      <c r="Q91" s="35">
        <f t="shared" ref="Q91:R91" si="66">+Q92+Q93+Q94+Q95+Q96+Q97+Q98+Q99+Q100+Q101+Q102+Q103+Q104+Q105</f>
        <v>0</v>
      </c>
      <c r="R91" s="35">
        <f t="shared" si="66"/>
        <v>0</v>
      </c>
      <c r="S91" s="92">
        <f t="shared" si="9"/>
        <v>0</v>
      </c>
      <c r="T91" s="35">
        <f t="shared" ref="T91:W91" si="67">+T92+T93+T94+T95+T96+T97+T98+T99+T100+T101+T102+T103+T104+T105</f>
        <v>1207900</v>
      </c>
      <c r="U91" s="35">
        <f t="shared" si="67"/>
        <v>264000</v>
      </c>
      <c r="V91" s="35">
        <f t="shared" si="67"/>
        <v>943900</v>
      </c>
      <c r="W91" s="35">
        <f t="shared" ca="1" si="67"/>
        <v>98000</v>
      </c>
      <c r="X91" s="92">
        <f t="shared" ca="1" si="11"/>
        <v>8.1132544084775233</v>
      </c>
      <c r="Y91" s="35">
        <f t="shared" ref="Y91:Z91" si="68">+Y92+Y93+Y94+Y95+Y96+Y97+Y98+Y99+Y100+Y101+Y102+Y103+Y104+Y105</f>
        <v>0</v>
      </c>
      <c r="Z91" s="35">
        <f t="shared" si="68"/>
        <v>0</v>
      </c>
      <c r="AA91" s="92">
        <f t="shared" si="13"/>
        <v>0</v>
      </c>
    </row>
    <row r="92" spans="1:27" ht="24" customHeight="1" x14ac:dyDescent="0.5">
      <c r="A92" s="68">
        <v>1</v>
      </c>
      <c r="B92" s="69" t="s">
        <v>107</v>
      </c>
      <c r="C92" s="47">
        <f t="shared" ref="C92:C105" si="69">+D92+E92</f>
        <v>0</v>
      </c>
      <c r="D92" s="48">
        <v>0</v>
      </c>
      <c r="E92" s="48">
        <v>0</v>
      </c>
      <c r="F92" s="48">
        <f ca="1">IFERROR(__xludf.DUMMYFUNCTION("IMPORTRANGE(""https://docs.google.com/spreadsheets/d/1Yj_ptqi66GCucihVvJfMjLAmec39IyEx_6qawtMGysU/edit?usp=sharing"",""สบก!CC96"")"),0)</f>
        <v>0</v>
      </c>
      <c r="G92" s="98">
        <f t="shared" si="1"/>
        <v>0</v>
      </c>
      <c r="H92" s="48">
        <v>0</v>
      </c>
      <c r="I92" s="48">
        <v>0</v>
      </c>
      <c r="J92" s="98">
        <f t="shared" si="3"/>
        <v>0</v>
      </c>
      <c r="K92" s="48">
        <v>0</v>
      </c>
      <c r="L92" s="48">
        <v>0</v>
      </c>
      <c r="M92" s="98">
        <f t="shared" si="5"/>
        <v>0</v>
      </c>
      <c r="N92" s="48">
        <v>0</v>
      </c>
      <c r="O92" s="48">
        <v>0</v>
      </c>
      <c r="P92" s="98">
        <f t="shared" si="7"/>
        <v>0</v>
      </c>
      <c r="Q92" s="48">
        <v>0</v>
      </c>
      <c r="R92" s="48">
        <v>0</v>
      </c>
      <c r="S92" s="98">
        <f t="shared" si="9"/>
        <v>0</v>
      </c>
      <c r="T92" s="47">
        <f t="shared" ref="T92:T105" si="70">+U92+V92</f>
        <v>0</v>
      </c>
      <c r="U92" s="48">
        <v>0</v>
      </c>
      <c r="V92" s="48">
        <v>0</v>
      </c>
      <c r="W92" s="48">
        <f ca="1">IFERROR(__xludf.DUMMYFUNCTION("IMPORTRANGE(""https://docs.google.com/spreadsheets/d/1Yj_ptqi66GCucihVvJfMjLAmec39IyEx_6qawtMGysU/edit?usp=sharing"",""สบก!CL96"")"),0)</f>
        <v>0</v>
      </c>
      <c r="X92" s="98">
        <f t="shared" si="11"/>
        <v>0</v>
      </c>
      <c r="Y92" s="48">
        <v>0</v>
      </c>
      <c r="Z92" s="48">
        <v>0</v>
      </c>
      <c r="AA92" s="98">
        <f t="shared" si="13"/>
        <v>0</v>
      </c>
    </row>
    <row r="93" spans="1:27" ht="24" customHeight="1" x14ac:dyDescent="0.5">
      <c r="A93" s="70">
        <v>2</v>
      </c>
      <c r="B93" s="71" t="s">
        <v>108</v>
      </c>
      <c r="C93" s="54">
        <f t="shared" si="69"/>
        <v>0</v>
      </c>
      <c r="D93" s="55">
        <v>0</v>
      </c>
      <c r="E93" s="55">
        <v>0</v>
      </c>
      <c r="F93" s="55">
        <f ca="1">IFERROR(__xludf.DUMMYFUNCTION("IMPORTRANGE(""https://docs.google.com/spreadsheets/d/1Yj_ptqi66GCucihVvJfMjLAmec39IyEx_6qawtMGysU/edit?usp=sharing"",""สบก!CC97"")"),0)</f>
        <v>0</v>
      </c>
      <c r="G93" s="99">
        <f t="shared" si="1"/>
        <v>0</v>
      </c>
      <c r="H93" s="55">
        <v>0</v>
      </c>
      <c r="I93" s="55">
        <v>0</v>
      </c>
      <c r="J93" s="99">
        <f t="shared" si="3"/>
        <v>0</v>
      </c>
      <c r="K93" s="55">
        <v>0</v>
      </c>
      <c r="L93" s="55">
        <v>0</v>
      </c>
      <c r="M93" s="99">
        <f t="shared" si="5"/>
        <v>0</v>
      </c>
      <c r="N93" s="55">
        <v>0</v>
      </c>
      <c r="O93" s="55">
        <v>0</v>
      </c>
      <c r="P93" s="99">
        <f t="shared" si="7"/>
        <v>0</v>
      </c>
      <c r="Q93" s="55">
        <v>0</v>
      </c>
      <c r="R93" s="55">
        <v>0</v>
      </c>
      <c r="S93" s="99">
        <f t="shared" si="9"/>
        <v>0</v>
      </c>
      <c r="T93" s="54">
        <f t="shared" si="70"/>
        <v>0</v>
      </c>
      <c r="U93" s="55">
        <v>0</v>
      </c>
      <c r="V93" s="55">
        <v>0</v>
      </c>
      <c r="W93" s="55">
        <f ca="1">IFERROR(__xludf.DUMMYFUNCTION("IMPORTRANGE(""https://docs.google.com/spreadsheets/d/1Yj_ptqi66GCucihVvJfMjLAmec39IyEx_6qawtMGysU/edit?usp=sharing"",""สบก!CL97"")"),0)</f>
        <v>0</v>
      </c>
      <c r="X93" s="99">
        <f t="shared" si="11"/>
        <v>0</v>
      </c>
      <c r="Y93" s="55">
        <v>0</v>
      </c>
      <c r="Z93" s="55">
        <v>0</v>
      </c>
      <c r="AA93" s="99">
        <f t="shared" si="13"/>
        <v>0</v>
      </c>
    </row>
    <row r="94" spans="1:27" ht="24" customHeight="1" x14ac:dyDescent="0.5">
      <c r="A94" s="70">
        <v>3</v>
      </c>
      <c r="B94" s="71" t="s">
        <v>109</v>
      </c>
      <c r="C94" s="54">
        <f t="shared" si="69"/>
        <v>0</v>
      </c>
      <c r="D94" s="55">
        <v>0</v>
      </c>
      <c r="E94" s="55">
        <v>0</v>
      </c>
      <c r="F94" s="55">
        <f ca="1">IFERROR(__xludf.DUMMYFUNCTION("IMPORTRANGE(""https://docs.google.com/spreadsheets/d/1Yj_ptqi66GCucihVvJfMjLAmec39IyEx_6qawtMGysU/edit?usp=sharing"",""สบก!CC98"")"),0)</f>
        <v>0</v>
      </c>
      <c r="G94" s="99">
        <f t="shared" si="1"/>
        <v>0</v>
      </c>
      <c r="H94" s="55">
        <v>0</v>
      </c>
      <c r="I94" s="55">
        <v>0</v>
      </c>
      <c r="J94" s="99">
        <f t="shared" si="3"/>
        <v>0</v>
      </c>
      <c r="K94" s="55">
        <v>0</v>
      </c>
      <c r="L94" s="55">
        <v>0</v>
      </c>
      <c r="M94" s="99">
        <f t="shared" si="5"/>
        <v>0</v>
      </c>
      <c r="N94" s="55">
        <v>0</v>
      </c>
      <c r="O94" s="55">
        <v>0</v>
      </c>
      <c r="P94" s="99">
        <f t="shared" si="7"/>
        <v>0</v>
      </c>
      <c r="Q94" s="55">
        <v>0</v>
      </c>
      <c r="R94" s="55">
        <v>0</v>
      </c>
      <c r="S94" s="99">
        <f t="shared" si="9"/>
        <v>0</v>
      </c>
      <c r="T94" s="54">
        <f t="shared" si="70"/>
        <v>0</v>
      </c>
      <c r="U94" s="55">
        <v>0</v>
      </c>
      <c r="V94" s="55">
        <v>0</v>
      </c>
      <c r="W94" s="55">
        <f ca="1">IFERROR(__xludf.DUMMYFUNCTION("IMPORTRANGE(""https://docs.google.com/spreadsheets/d/1Yj_ptqi66GCucihVvJfMjLAmec39IyEx_6qawtMGysU/edit?usp=sharing"",""สบก!CL98"")"),0)</f>
        <v>0</v>
      </c>
      <c r="X94" s="99">
        <f t="shared" si="11"/>
        <v>0</v>
      </c>
      <c r="Y94" s="55">
        <v>0</v>
      </c>
      <c r="Z94" s="55">
        <v>0</v>
      </c>
      <c r="AA94" s="99">
        <f t="shared" si="13"/>
        <v>0</v>
      </c>
    </row>
    <row r="95" spans="1:27" ht="24" customHeight="1" x14ac:dyDescent="0.5">
      <c r="A95" s="70">
        <f t="shared" ref="A95:A105" si="71">+A94+1</f>
        <v>4</v>
      </c>
      <c r="B95" s="71" t="s">
        <v>110</v>
      </c>
      <c r="C95" s="54">
        <f t="shared" si="69"/>
        <v>91500</v>
      </c>
      <c r="D95" s="55">
        <v>91500</v>
      </c>
      <c r="E95" s="55">
        <v>0</v>
      </c>
      <c r="F95" s="55">
        <f ca="1">IFERROR(__xludf.DUMMYFUNCTION("IMPORTRANGE(""https://docs.google.com/spreadsheets/d/1Yj_ptqi66GCucihVvJfMjLAmec39IyEx_6qawtMGysU/edit?usp=sharing"",""สบก!CC99"")"),37100)</f>
        <v>37100</v>
      </c>
      <c r="G95" s="99">
        <f t="shared" ca="1" si="1"/>
        <v>40.546448087431692</v>
      </c>
      <c r="H95" s="55">
        <v>0</v>
      </c>
      <c r="I95" s="55">
        <v>0</v>
      </c>
      <c r="J95" s="99">
        <f t="shared" si="3"/>
        <v>0</v>
      </c>
      <c r="K95" s="55">
        <v>0</v>
      </c>
      <c r="L95" s="55">
        <v>0</v>
      </c>
      <c r="M95" s="99">
        <f t="shared" si="5"/>
        <v>0</v>
      </c>
      <c r="N95" s="55">
        <v>0</v>
      </c>
      <c r="O95" s="55">
        <v>0</v>
      </c>
      <c r="P95" s="99">
        <f t="shared" si="7"/>
        <v>0</v>
      </c>
      <c r="Q95" s="55">
        <v>0</v>
      </c>
      <c r="R95" s="55">
        <v>0</v>
      </c>
      <c r="S95" s="99">
        <f t="shared" si="9"/>
        <v>0</v>
      </c>
      <c r="T95" s="54">
        <f t="shared" si="70"/>
        <v>0</v>
      </c>
      <c r="U95" s="55">
        <v>0</v>
      </c>
      <c r="V95" s="55">
        <v>0</v>
      </c>
      <c r="W95" s="55">
        <f ca="1">IFERROR(__xludf.DUMMYFUNCTION("IMPORTRANGE(""https://docs.google.com/spreadsheets/d/1Yj_ptqi66GCucihVvJfMjLAmec39IyEx_6qawtMGysU/edit?usp=sharing"",""สบก!CL99"")"),0)</f>
        <v>0</v>
      </c>
      <c r="X95" s="99">
        <f t="shared" si="11"/>
        <v>0</v>
      </c>
      <c r="Y95" s="55">
        <v>0</v>
      </c>
      <c r="Z95" s="55">
        <v>0</v>
      </c>
      <c r="AA95" s="99">
        <f t="shared" si="13"/>
        <v>0</v>
      </c>
    </row>
    <row r="96" spans="1:27" ht="24" customHeight="1" x14ac:dyDescent="0.5">
      <c r="A96" s="70">
        <f t="shared" si="71"/>
        <v>5</v>
      </c>
      <c r="B96" s="71" t="s">
        <v>111</v>
      </c>
      <c r="C96" s="54">
        <f t="shared" si="69"/>
        <v>0</v>
      </c>
      <c r="D96" s="55">
        <v>0</v>
      </c>
      <c r="E96" s="55">
        <v>0</v>
      </c>
      <c r="F96" s="55">
        <f ca="1">IFERROR(__xludf.DUMMYFUNCTION("IMPORTRANGE(""https://docs.google.com/spreadsheets/d/1Yj_ptqi66GCucihVvJfMjLAmec39IyEx_6qawtMGysU/edit?usp=sharing"",""สบก!CC100"")"),0)</f>
        <v>0</v>
      </c>
      <c r="G96" s="99">
        <f t="shared" si="1"/>
        <v>0</v>
      </c>
      <c r="H96" s="55">
        <v>0</v>
      </c>
      <c r="I96" s="55">
        <v>0</v>
      </c>
      <c r="J96" s="99">
        <f t="shared" si="3"/>
        <v>0</v>
      </c>
      <c r="K96" s="55">
        <v>0</v>
      </c>
      <c r="L96" s="55">
        <v>0</v>
      </c>
      <c r="M96" s="99">
        <f t="shared" si="5"/>
        <v>0</v>
      </c>
      <c r="N96" s="55">
        <v>0</v>
      </c>
      <c r="O96" s="55">
        <v>0</v>
      </c>
      <c r="P96" s="99">
        <f t="shared" si="7"/>
        <v>0</v>
      </c>
      <c r="Q96" s="55">
        <v>0</v>
      </c>
      <c r="R96" s="55">
        <v>0</v>
      </c>
      <c r="S96" s="99">
        <f t="shared" si="9"/>
        <v>0</v>
      </c>
      <c r="T96" s="54">
        <f t="shared" si="70"/>
        <v>0</v>
      </c>
      <c r="U96" s="55">
        <v>0</v>
      </c>
      <c r="V96" s="55">
        <v>0</v>
      </c>
      <c r="W96" s="55">
        <f ca="1">IFERROR(__xludf.DUMMYFUNCTION("IMPORTRANGE(""https://docs.google.com/spreadsheets/d/1Yj_ptqi66GCucihVvJfMjLAmec39IyEx_6qawtMGysU/edit?usp=sharing"",""สบก!CL100"")"),0)</f>
        <v>0</v>
      </c>
      <c r="X96" s="99">
        <f t="shared" si="11"/>
        <v>0</v>
      </c>
      <c r="Y96" s="55">
        <v>0</v>
      </c>
      <c r="Z96" s="55">
        <v>0</v>
      </c>
      <c r="AA96" s="99">
        <f t="shared" si="13"/>
        <v>0</v>
      </c>
    </row>
    <row r="97" spans="1:27" ht="24" customHeight="1" x14ac:dyDescent="0.5">
      <c r="A97" s="70">
        <f t="shared" si="71"/>
        <v>6</v>
      </c>
      <c r="B97" s="71" t="s">
        <v>112</v>
      </c>
      <c r="C97" s="54">
        <f t="shared" si="69"/>
        <v>0</v>
      </c>
      <c r="D97" s="55">
        <v>0</v>
      </c>
      <c r="E97" s="55">
        <v>0</v>
      </c>
      <c r="F97" s="55">
        <f ca="1">IFERROR(__xludf.DUMMYFUNCTION("IMPORTRANGE(""https://docs.google.com/spreadsheets/d/1Yj_ptqi66GCucihVvJfMjLAmec39IyEx_6qawtMGysU/edit?usp=sharing"",""สบก!CC101"")"),0)</f>
        <v>0</v>
      </c>
      <c r="G97" s="99">
        <f t="shared" si="1"/>
        <v>0</v>
      </c>
      <c r="H97" s="55">
        <v>0</v>
      </c>
      <c r="I97" s="55">
        <v>0</v>
      </c>
      <c r="J97" s="99">
        <f t="shared" si="3"/>
        <v>0</v>
      </c>
      <c r="K97" s="55">
        <v>0</v>
      </c>
      <c r="L97" s="55">
        <v>0</v>
      </c>
      <c r="M97" s="99">
        <f t="shared" si="5"/>
        <v>0</v>
      </c>
      <c r="N97" s="55">
        <v>0</v>
      </c>
      <c r="O97" s="55">
        <v>0</v>
      </c>
      <c r="P97" s="99">
        <f t="shared" si="7"/>
        <v>0</v>
      </c>
      <c r="Q97" s="55">
        <v>0</v>
      </c>
      <c r="R97" s="55">
        <v>0</v>
      </c>
      <c r="S97" s="99">
        <f t="shared" si="9"/>
        <v>0</v>
      </c>
      <c r="T97" s="54">
        <f t="shared" si="70"/>
        <v>0</v>
      </c>
      <c r="U97" s="55">
        <v>0</v>
      </c>
      <c r="V97" s="55">
        <v>0</v>
      </c>
      <c r="W97" s="55">
        <f ca="1">IFERROR(__xludf.DUMMYFUNCTION("IMPORTRANGE(""https://docs.google.com/spreadsheets/d/1Yj_ptqi66GCucihVvJfMjLAmec39IyEx_6qawtMGysU/edit?usp=sharing"",""สบก!CL101"")"),0)</f>
        <v>0</v>
      </c>
      <c r="X97" s="99">
        <f t="shared" si="11"/>
        <v>0</v>
      </c>
      <c r="Y97" s="55">
        <v>0</v>
      </c>
      <c r="Z97" s="55">
        <v>0</v>
      </c>
      <c r="AA97" s="99">
        <f t="shared" si="13"/>
        <v>0</v>
      </c>
    </row>
    <row r="98" spans="1:27" ht="24" customHeight="1" x14ac:dyDescent="0.5">
      <c r="A98" s="70">
        <f t="shared" si="71"/>
        <v>7</v>
      </c>
      <c r="B98" s="71" t="s">
        <v>113</v>
      </c>
      <c r="C98" s="54">
        <f t="shared" si="69"/>
        <v>830600</v>
      </c>
      <c r="D98" s="55">
        <v>417800</v>
      </c>
      <c r="E98" s="55">
        <v>412800</v>
      </c>
      <c r="F98" s="55">
        <f ca="1">IFERROR(__xludf.DUMMYFUNCTION("IMPORTRANGE(""https://docs.google.com/spreadsheets/d/1Yj_ptqi66GCucihVvJfMjLAmec39IyEx_6qawtMGysU/edit?usp=sharing"",""สบก!CC102"")"),121266)</f>
        <v>121266</v>
      </c>
      <c r="G98" s="99">
        <f t="shared" ca="1" si="1"/>
        <v>14.599807368167589</v>
      </c>
      <c r="H98" s="55">
        <v>0</v>
      </c>
      <c r="I98" s="55">
        <v>0</v>
      </c>
      <c r="J98" s="99">
        <f t="shared" si="3"/>
        <v>0</v>
      </c>
      <c r="K98" s="55">
        <v>0</v>
      </c>
      <c r="L98" s="55">
        <v>0</v>
      </c>
      <c r="M98" s="99">
        <f t="shared" si="5"/>
        <v>0</v>
      </c>
      <c r="N98" s="55">
        <v>0</v>
      </c>
      <c r="O98" s="55">
        <v>0</v>
      </c>
      <c r="P98" s="99">
        <f t="shared" si="7"/>
        <v>0</v>
      </c>
      <c r="Q98" s="55">
        <v>0</v>
      </c>
      <c r="R98" s="55">
        <v>0</v>
      </c>
      <c r="S98" s="99">
        <f t="shared" si="9"/>
        <v>0</v>
      </c>
      <c r="T98" s="54">
        <f t="shared" si="70"/>
        <v>1207900</v>
      </c>
      <c r="U98" s="55">
        <v>264000</v>
      </c>
      <c r="V98" s="55">
        <v>943900</v>
      </c>
      <c r="W98" s="55">
        <f ca="1">IFERROR(__xludf.DUMMYFUNCTION("IMPORTRANGE(""https://docs.google.com/spreadsheets/d/1Yj_ptqi66GCucihVvJfMjLAmec39IyEx_6qawtMGysU/edit?usp=sharing"",""สบก!CL102"")"),98000)</f>
        <v>98000</v>
      </c>
      <c r="X98" s="99">
        <f t="shared" ca="1" si="11"/>
        <v>8.1132544084775233</v>
      </c>
      <c r="Y98" s="55">
        <v>0</v>
      </c>
      <c r="Z98" s="55">
        <v>0</v>
      </c>
      <c r="AA98" s="99">
        <f t="shared" si="13"/>
        <v>0</v>
      </c>
    </row>
    <row r="99" spans="1:27" ht="24" customHeight="1" x14ac:dyDescent="0.5">
      <c r="A99" s="70">
        <f t="shared" si="71"/>
        <v>8</v>
      </c>
      <c r="B99" s="71" t="s">
        <v>114</v>
      </c>
      <c r="C99" s="54">
        <f t="shared" si="69"/>
        <v>0</v>
      </c>
      <c r="D99" s="55">
        <v>0</v>
      </c>
      <c r="E99" s="55">
        <v>0</v>
      </c>
      <c r="F99" s="55">
        <f ca="1">IFERROR(__xludf.DUMMYFUNCTION("IMPORTRANGE(""https://docs.google.com/spreadsheets/d/1Yj_ptqi66GCucihVvJfMjLAmec39IyEx_6qawtMGysU/edit?usp=sharing"",""สบก!CC103"")"),0)</f>
        <v>0</v>
      </c>
      <c r="G99" s="99">
        <f t="shared" si="1"/>
        <v>0</v>
      </c>
      <c r="H99" s="55">
        <v>0</v>
      </c>
      <c r="I99" s="55">
        <v>0</v>
      </c>
      <c r="J99" s="99">
        <f t="shared" si="3"/>
        <v>0</v>
      </c>
      <c r="K99" s="55">
        <v>0</v>
      </c>
      <c r="L99" s="55">
        <v>0</v>
      </c>
      <c r="M99" s="99">
        <f t="shared" si="5"/>
        <v>0</v>
      </c>
      <c r="N99" s="55">
        <v>0</v>
      </c>
      <c r="O99" s="55">
        <v>0</v>
      </c>
      <c r="P99" s="99">
        <f t="shared" si="7"/>
        <v>0</v>
      </c>
      <c r="Q99" s="55">
        <v>0</v>
      </c>
      <c r="R99" s="55">
        <v>0</v>
      </c>
      <c r="S99" s="99">
        <f t="shared" si="9"/>
        <v>0</v>
      </c>
      <c r="T99" s="54">
        <f t="shared" si="70"/>
        <v>0</v>
      </c>
      <c r="U99" s="55">
        <v>0</v>
      </c>
      <c r="V99" s="55">
        <v>0</v>
      </c>
      <c r="W99" s="55">
        <f ca="1">IFERROR(__xludf.DUMMYFUNCTION("IMPORTRANGE(""https://docs.google.com/spreadsheets/d/1Yj_ptqi66GCucihVvJfMjLAmec39IyEx_6qawtMGysU/edit?usp=sharing"",""สบก!CL103"")"),0)</f>
        <v>0</v>
      </c>
      <c r="X99" s="99">
        <f t="shared" si="11"/>
        <v>0</v>
      </c>
      <c r="Y99" s="55">
        <v>0</v>
      </c>
      <c r="Z99" s="55">
        <v>0</v>
      </c>
      <c r="AA99" s="99">
        <f t="shared" si="13"/>
        <v>0</v>
      </c>
    </row>
    <row r="100" spans="1:27" ht="24" customHeight="1" x14ac:dyDescent="0.5">
      <c r="A100" s="70">
        <f t="shared" si="71"/>
        <v>9</v>
      </c>
      <c r="B100" s="71" t="s">
        <v>115</v>
      </c>
      <c r="C100" s="54">
        <f t="shared" si="69"/>
        <v>0</v>
      </c>
      <c r="D100" s="55">
        <v>0</v>
      </c>
      <c r="E100" s="55">
        <v>0</v>
      </c>
      <c r="F100" s="55">
        <f ca="1">IFERROR(__xludf.DUMMYFUNCTION("IMPORTRANGE(""https://docs.google.com/spreadsheets/d/1Yj_ptqi66GCucihVvJfMjLAmec39IyEx_6qawtMGysU/edit?usp=sharing"",""สบก!CC104"")"),0)</f>
        <v>0</v>
      </c>
      <c r="G100" s="99">
        <f t="shared" si="1"/>
        <v>0</v>
      </c>
      <c r="H100" s="55">
        <v>0</v>
      </c>
      <c r="I100" s="55">
        <v>0</v>
      </c>
      <c r="J100" s="99">
        <f t="shared" si="3"/>
        <v>0</v>
      </c>
      <c r="K100" s="55">
        <v>0</v>
      </c>
      <c r="L100" s="55">
        <v>0</v>
      </c>
      <c r="M100" s="99">
        <f t="shared" si="5"/>
        <v>0</v>
      </c>
      <c r="N100" s="55">
        <v>0</v>
      </c>
      <c r="O100" s="55">
        <v>0</v>
      </c>
      <c r="P100" s="99">
        <f t="shared" si="7"/>
        <v>0</v>
      </c>
      <c r="Q100" s="55">
        <v>0</v>
      </c>
      <c r="R100" s="55">
        <v>0</v>
      </c>
      <c r="S100" s="99">
        <f t="shared" si="9"/>
        <v>0</v>
      </c>
      <c r="T100" s="54">
        <f t="shared" si="70"/>
        <v>0</v>
      </c>
      <c r="U100" s="55">
        <v>0</v>
      </c>
      <c r="V100" s="55">
        <v>0</v>
      </c>
      <c r="W100" s="55">
        <f ca="1">IFERROR(__xludf.DUMMYFUNCTION("IMPORTRANGE(""https://docs.google.com/spreadsheets/d/1Yj_ptqi66GCucihVvJfMjLAmec39IyEx_6qawtMGysU/edit?usp=sharing"",""สบก!CL104"")"),0)</f>
        <v>0</v>
      </c>
      <c r="X100" s="99">
        <f t="shared" si="11"/>
        <v>0</v>
      </c>
      <c r="Y100" s="55">
        <v>0</v>
      </c>
      <c r="Z100" s="55">
        <v>0</v>
      </c>
      <c r="AA100" s="99">
        <f t="shared" si="13"/>
        <v>0</v>
      </c>
    </row>
    <row r="101" spans="1:27" ht="24" customHeight="1" x14ac:dyDescent="0.5">
      <c r="A101" s="70">
        <f t="shared" si="71"/>
        <v>10</v>
      </c>
      <c r="B101" s="71" t="s">
        <v>116</v>
      </c>
      <c r="C101" s="54">
        <f t="shared" si="69"/>
        <v>0</v>
      </c>
      <c r="D101" s="55">
        <v>0</v>
      </c>
      <c r="E101" s="55">
        <v>0</v>
      </c>
      <c r="F101" s="55">
        <f ca="1">IFERROR(__xludf.DUMMYFUNCTION("IMPORTRANGE(""https://docs.google.com/spreadsheets/d/1Yj_ptqi66GCucihVvJfMjLAmec39IyEx_6qawtMGysU/edit?usp=sharing"",""สบก!CC105"")"),0)</f>
        <v>0</v>
      </c>
      <c r="G101" s="99">
        <f t="shared" si="1"/>
        <v>0</v>
      </c>
      <c r="H101" s="55">
        <v>0</v>
      </c>
      <c r="I101" s="55">
        <v>0</v>
      </c>
      <c r="J101" s="99">
        <f t="shared" si="3"/>
        <v>0</v>
      </c>
      <c r="K101" s="55">
        <v>0</v>
      </c>
      <c r="L101" s="55">
        <v>0</v>
      </c>
      <c r="M101" s="99">
        <f t="shared" si="5"/>
        <v>0</v>
      </c>
      <c r="N101" s="55">
        <v>0</v>
      </c>
      <c r="O101" s="55">
        <v>0</v>
      </c>
      <c r="P101" s="99">
        <f t="shared" si="7"/>
        <v>0</v>
      </c>
      <c r="Q101" s="55">
        <v>0</v>
      </c>
      <c r="R101" s="55">
        <v>0</v>
      </c>
      <c r="S101" s="99">
        <f t="shared" si="9"/>
        <v>0</v>
      </c>
      <c r="T101" s="54">
        <f t="shared" si="70"/>
        <v>0</v>
      </c>
      <c r="U101" s="55">
        <v>0</v>
      </c>
      <c r="V101" s="55">
        <v>0</v>
      </c>
      <c r="W101" s="55">
        <f ca="1">IFERROR(__xludf.DUMMYFUNCTION("IMPORTRANGE(""https://docs.google.com/spreadsheets/d/1Yj_ptqi66GCucihVvJfMjLAmec39IyEx_6qawtMGysU/edit?usp=sharing"",""สบก!CL105"")"),0)</f>
        <v>0</v>
      </c>
      <c r="X101" s="99">
        <f t="shared" si="11"/>
        <v>0</v>
      </c>
      <c r="Y101" s="55">
        <v>0</v>
      </c>
      <c r="Z101" s="55">
        <v>0</v>
      </c>
      <c r="AA101" s="99">
        <f t="shared" si="13"/>
        <v>0</v>
      </c>
    </row>
    <row r="102" spans="1:27" ht="24" customHeight="1" x14ac:dyDescent="0.5">
      <c r="A102" s="70">
        <f t="shared" si="71"/>
        <v>11</v>
      </c>
      <c r="B102" s="71" t="s">
        <v>117</v>
      </c>
      <c r="C102" s="54">
        <f t="shared" si="69"/>
        <v>0</v>
      </c>
      <c r="D102" s="55">
        <v>0</v>
      </c>
      <c r="E102" s="55">
        <v>0</v>
      </c>
      <c r="F102" s="55">
        <f ca="1">IFERROR(__xludf.DUMMYFUNCTION("IMPORTRANGE(""https://docs.google.com/spreadsheets/d/1Yj_ptqi66GCucihVvJfMjLAmec39IyEx_6qawtMGysU/edit?usp=sharing"",""สบก!CC106"")"),0)</f>
        <v>0</v>
      </c>
      <c r="G102" s="99">
        <f t="shared" si="1"/>
        <v>0</v>
      </c>
      <c r="H102" s="55">
        <v>0</v>
      </c>
      <c r="I102" s="55">
        <v>0</v>
      </c>
      <c r="J102" s="99">
        <f t="shared" si="3"/>
        <v>0</v>
      </c>
      <c r="K102" s="55">
        <v>0</v>
      </c>
      <c r="L102" s="55">
        <v>0</v>
      </c>
      <c r="M102" s="99">
        <f t="shared" si="5"/>
        <v>0</v>
      </c>
      <c r="N102" s="55">
        <v>0</v>
      </c>
      <c r="O102" s="55">
        <v>0</v>
      </c>
      <c r="P102" s="99">
        <f t="shared" si="7"/>
        <v>0</v>
      </c>
      <c r="Q102" s="55">
        <v>0</v>
      </c>
      <c r="R102" s="55">
        <v>0</v>
      </c>
      <c r="S102" s="99">
        <f t="shared" si="9"/>
        <v>0</v>
      </c>
      <c r="T102" s="54">
        <f t="shared" si="70"/>
        <v>0</v>
      </c>
      <c r="U102" s="55">
        <v>0</v>
      </c>
      <c r="V102" s="55">
        <v>0</v>
      </c>
      <c r="W102" s="55">
        <f ca="1">IFERROR(__xludf.DUMMYFUNCTION("IMPORTRANGE(""https://docs.google.com/spreadsheets/d/1Yj_ptqi66GCucihVvJfMjLAmec39IyEx_6qawtMGysU/edit?usp=sharing"",""สบก!CL106"")"),0)</f>
        <v>0</v>
      </c>
      <c r="X102" s="99">
        <f t="shared" si="11"/>
        <v>0</v>
      </c>
      <c r="Y102" s="55">
        <v>0</v>
      </c>
      <c r="Z102" s="55">
        <v>0</v>
      </c>
      <c r="AA102" s="99">
        <f t="shared" si="13"/>
        <v>0</v>
      </c>
    </row>
    <row r="103" spans="1:27" ht="24" customHeight="1" x14ac:dyDescent="0.5">
      <c r="A103" s="70">
        <f t="shared" si="71"/>
        <v>12</v>
      </c>
      <c r="B103" s="71" t="s">
        <v>118</v>
      </c>
      <c r="C103" s="54">
        <f t="shared" si="69"/>
        <v>0</v>
      </c>
      <c r="D103" s="55">
        <v>0</v>
      </c>
      <c r="E103" s="55">
        <v>0</v>
      </c>
      <c r="F103" s="55">
        <f ca="1">IFERROR(__xludf.DUMMYFUNCTION("IMPORTRANGE(""https://docs.google.com/spreadsheets/d/1Yj_ptqi66GCucihVvJfMjLAmec39IyEx_6qawtMGysU/edit?usp=sharing"",""สบก!CC107"")"),0)</f>
        <v>0</v>
      </c>
      <c r="G103" s="99">
        <f t="shared" si="1"/>
        <v>0</v>
      </c>
      <c r="H103" s="55">
        <v>0</v>
      </c>
      <c r="I103" s="55">
        <v>0</v>
      </c>
      <c r="J103" s="99">
        <f t="shared" si="3"/>
        <v>0</v>
      </c>
      <c r="K103" s="55">
        <v>0</v>
      </c>
      <c r="L103" s="55">
        <v>0</v>
      </c>
      <c r="M103" s="99">
        <f t="shared" si="5"/>
        <v>0</v>
      </c>
      <c r="N103" s="55">
        <v>0</v>
      </c>
      <c r="O103" s="55">
        <v>0</v>
      </c>
      <c r="P103" s="99">
        <f t="shared" si="7"/>
        <v>0</v>
      </c>
      <c r="Q103" s="55">
        <v>0</v>
      </c>
      <c r="R103" s="55">
        <v>0</v>
      </c>
      <c r="S103" s="99">
        <f t="shared" si="9"/>
        <v>0</v>
      </c>
      <c r="T103" s="54">
        <f t="shared" si="70"/>
        <v>0</v>
      </c>
      <c r="U103" s="55">
        <v>0</v>
      </c>
      <c r="V103" s="55">
        <v>0</v>
      </c>
      <c r="W103" s="55">
        <f ca="1">IFERROR(__xludf.DUMMYFUNCTION("IMPORTRANGE(""https://docs.google.com/spreadsheets/d/1Yj_ptqi66GCucihVvJfMjLAmec39IyEx_6qawtMGysU/edit?usp=sharing"",""สบก!CL107"")"),0)</f>
        <v>0</v>
      </c>
      <c r="X103" s="99">
        <f t="shared" si="11"/>
        <v>0</v>
      </c>
      <c r="Y103" s="55">
        <v>0</v>
      </c>
      <c r="Z103" s="55">
        <v>0</v>
      </c>
      <c r="AA103" s="99">
        <f t="shared" si="13"/>
        <v>0</v>
      </c>
    </row>
    <row r="104" spans="1:27" ht="24" customHeight="1" x14ac:dyDescent="0.5">
      <c r="A104" s="70">
        <f t="shared" si="71"/>
        <v>13</v>
      </c>
      <c r="B104" s="71" t="s">
        <v>119</v>
      </c>
      <c r="C104" s="54">
        <f t="shared" si="69"/>
        <v>0</v>
      </c>
      <c r="D104" s="55">
        <v>0</v>
      </c>
      <c r="E104" s="55">
        <v>0</v>
      </c>
      <c r="F104" s="55">
        <f ca="1">IFERROR(__xludf.DUMMYFUNCTION("IMPORTRANGE(""https://docs.google.com/spreadsheets/d/1Yj_ptqi66GCucihVvJfMjLAmec39IyEx_6qawtMGysU/edit?usp=sharing"",""สบก!CC108"")"),0)</f>
        <v>0</v>
      </c>
      <c r="G104" s="99">
        <f t="shared" si="1"/>
        <v>0</v>
      </c>
      <c r="H104" s="55">
        <v>0</v>
      </c>
      <c r="I104" s="55">
        <v>0</v>
      </c>
      <c r="J104" s="99">
        <f t="shared" si="3"/>
        <v>0</v>
      </c>
      <c r="K104" s="55">
        <v>0</v>
      </c>
      <c r="L104" s="55">
        <v>0</v>
      </c>
      <c r="M104" s="99">
        <f t="shared" si="5"/>
        <v>0</v>
      </c>
      <c r="N104" s="55">
        <v>0</v>
      </c>
      <c r="O104" s="55">
        <v>0</v>
      </c>
      <c r="P104" s="99">
        <f t="shared" si="7"/>
        <v>0</v>
      </c>
      <c r="Q104" s="55">
        <v>0</v>
      </c>
      <c r="R104" s="55">
        <v>0</v>
      </c>
      <c r="S104" s="99">
        <f t="shared" si="9"/>
        <v>0</v>
      </c>
      <c r="T104" s="54">
        <f t="shared" si="70"/>
        <v>0</v>
      </c>
      <c r="U104" s="55">
        <v>0</v>
      </c>
      <c r="V104" s="55">
        <v>0</v>
      </c>
      <c r="W104" s="55">
        <f ca="1">IFERROR(__xludf.DUMMYFUNCTION("IMPORTRANGE(""https://docs.google.com/spreadsheets/d/1Yj_ptqi66GCucihVvJfMjLAmec39IyEx_6qawtMGysU/edit?usp=sharing"",""สบก!CL108"")"),0)</f>
        <v>0</v>
      </c>
      <c r="X104" s="99">
        <f t="shared" si="11"/>
        <v>0</v>
      </c>
      <c r="Y104" s="55">
        <v>0</v>
      </c>
      <c r="Z104" s="55">
        <v>0</v>
      </c>
      <c r="AA104" s="99">
        <f t="shared" si="13"/>
        <v>0</v>
      </c>
    </row>
    <row r="105" spans="1:27" ht="24" customHeight="1" x14ac:dyDescent="0.5">
      <c r="A105" s="72">
        <f t="shared" si="71"/>
        <v>14</v>
      </c>
      <c r="B105" s="73" t="s">
        <v>120</v>
      </c>
      <c r="C105" s="61">
        <f t="shared" si="69"/>
        <v>0</v>
      </c>
      <c r="D105" s="62">
        <v>0</v>
      </c>
      <c r="E105" s="62">
        <v>0</v>
      </c>
      <c r="F105" s="62">
        <f ca="1">IFERROR(__xludf.DUMMYFUNCTION("IMPORTRANGE(""https://docs.google.com/spreadsheets/d/1Yj_ptqi66GCucihVvJfMjLAmec39IyEx_6qawtMGysU/edit?usp=sharing"",""สบก!CC109"")"),0)</f>
        <v>0</v>
      </c>
      <c r="G105" s="100">
        <f t="shared" si="1"/>
        <v>0</v>
      </c>
      <c r="H105" s="62">
        <v>0</v>
      </c>
      <c r="I105" s="62">
        <v>0</v>
      </c>
      <c r="J105" s="100">
        <f t="shared" si="3"/>
        <v>0</v>
      </c>
      <c r="K105" s="62">
        <v>0</v>
      </c>
      <c r="L105" s="62">
        <v>0</v>
      </c>
      <c r="M105" s="100">
        <f t="shared" si="5"/>
        <v>0</v>
      </c>
      <c r="N105" s="62">
        <v>0</v>
      </c>
      <c r="O105" s="62">
        <v>0</v>
      </c>
      <c r="P105" s="100">
        <f t="shared" si="7"/>
        <v>0</v>
      </c>
      <c r="Q105" s="62">
        <v>0</v>
      </c>
      <c r="R105" s="62">
        <v>0</v>
      </c>
      <c r="S105" s="100">
        <f t="shared" si="9"/>
        <v>0</v>
      </c>
      <c r="T105" s="61">
        <f t="shared" si="70"/>
        <v>0</v>
      </c>
      <c r="U105" s="62">
        <v>0</v>
      </c>
      <c r="V105" s="62">
        <v>0</v>
      </c>
      <c r="W105" s="62">
        <f ca="1">IFERROR(__xludf.DUMMYFUNCTION("IMPORTRANGE(""https://docs.google.com/spreadsheets/d/1Yj_ptqi66GCucihVvJfMjLAmec39IyEx_6qawtMGysU/edit?usp=sharing"",""สบก!CL109"")"),0)</f>
        <v>0</v>
      </c>
      <c r="X105" s="100">
        <f t="shared" si="11"/>
        <v>0</v>
      </c>
      <c r="Y105" s="62">
        <v>0</v>
      </c>
      <c r="Z105" s="62">
        <v>0</v>
      </c>
      <c r="AA105" s="100">
        <f t="shared" si="13"/>
        <v>0</v>
      </c>
    </row>
    <row r="106" spans="1:27" ht="24" customHeight="1" x14ac:dyDescent="0.5">
      <c r="A106" s="572" t="s">
        <v>121</v>
      </c>
      <c r="B106" s="571"/>
      <c r="C106" s="35">
        <f t="shared" ref="C106:F106" si="72">+C107+C108+C109+C110+C111+C112+C113+C114</f>
        <v>118000</v>
      </c>
      <c r="D106" s="35">
        <f t="shared" si="72"/>
        <v>118000</v>
      </c>
      <c r="E106" s="35">
        <f t="shared" si="72"/>
        <v>0</v>
      </c>
      <c r="F106" s="35">
        <f t="shared" si="72"/>
        <v>0</v>
      </c>
      <c r="G106" s="92">
        <f t="shared" si="1"/>
        <v>0</v>
      </c>
      <c r="H106" s="35">
        <f t="shared" ref="H106:I106" si="73">+H107+H108+H109+H110+H111+H112+H113+H114</f>
        <v>0</v>
      </c>
      <c r="I106" s="35">
        <f t="shared" si="73"/>
        <v>0</v>
      </c>
      <c r="J106" s="92">
        <f t="shared" si="3"/>
        <v>0</v>
      </c>
      <c r="K106" s="35">
        <f t="shared" ref="K106:L106" si="74">+K107+K108+K109+K110+K111+K112+K113+K114</f>
        <v>0</v>
      </c>
      <c r="L106" s="35">
        <f t="shared" si="74"/>
        <v>0</v>
      </c>
      <c r="M106" s="92">
        <f t="shared" si="5"/>
        <v>0</v>
      </c>
      <c r="N106" s="35">
        <f t="shared" ref="N106:O106" si="75">+N107+N108+N109+N110+N111+N112+N113+N114</f>
        <v>0</v>
      </c>
      <c r="O106" s="35">
        <f t="shared" si="75"/>
        <v>0</v>
      </c>
      <c r="P106" s="92">
        <f t="shared" si="7"/>
        <v>0</v>
      </c>
      <c r="Q106" s="35">
        <f t="shared" ref="Q106:R106" si="76">+Q107+Q108+Q109+Q110+Q111+Q112+Q113+Q114</f>
        <v>0</v>
      </c>
      <c r="R106" s="35">
        <f t="shared" si="76"/>
        <v>0</v>
      </c>
      <c r="S106" s="92">
        <f t="shared" si="9"/>
        <v>0</v>
      </c>
      <c r="T106" s="35">
        <f t="shared" ref="T106:W106" si="77">+T107+T108+T109+T110+T111+T112+T113+T114</f>
        <v>176000</v>
      </c>
      <c r="U106" s="35">
        <f t="shared" si="77"/>
        <v>176000</v>
      </c>
      <c r="V106" s="35">
        <f t="shared" si="77"/>
        <v>0</v>
      </c>
      <c r="W106" s="35">
        <f t="shared" si="77"/>
        <v>0</v>
      </c>
      <c r="X106" s="92">
        <f t="shared" si="11"/>
        <v>0</v>
      </c>
      <c r="Y106" s="35">
        <f t="shared" ref="Y106:Z106" si="78">+Y107+Y108+Y109+Y110+Y111+Y112+Y113+Y114</f>
        <v>0</v>
      </c>
      <c r="Z106" s="35">
        <f t="shared" si="78"/>
        <v>0</v>
      </c>
      <c r="AA106" s="92">
        <f t="shared" si="13"/>
        <v>0</v>
      </c>
    </row>
    <row r="107" spans="1:27" ht="24" customHeight="1" x14ac:dyDescent="0.5">
      <c r="A107" s="68">
        <v>1</v>
      </c>
      <c r="B107" s="74" t="s">
        <v>122</v>
      </c>
      <c r="C107" s="47">
        <f t="shared" ref="C107:C114" si="79">+D107+E107</f>
        <v>118000</v>
      </c>
      <c r="D107" s="48">
        <v>118000</v>
      </c>
      <c r="E107" s="48">
        <v>0</v>
      </c>
      <c r="F107" s="48">
        <v>0</v>
      </c>
      <c r="G107" s="98">
        <f t="shared" si="1"/>
        <v>0</v>
      </c>
      <c r="H107" s="48">
        <v>0</v>
      </c>
      <c r="I107" s="48">
        <v>0</v>
      </c>
      <c r="J107" s="98">
        <f t="shared" si="3"/>
        <v>0</v>
      </c>
      <c r="K107" s="48">
        <v>0</v>
      </c>
      <c r="L107" s="48">
        <v>0</v>
      </c>
      <c r="M107" s="98">
        <f t="shared" si="5"/>
        <v>0</v>
      </c>
      <c r="N107" s="48">
        <v>0</v>
      </c>
      <c r="O107" s="48">
        <v>0</v>
      </c>
      <c r="P107" s="98">
        <f t="shared" si="7"/>
        <v>0</v>
      </c>
      <c r="Q107" s="48">
        <v>0</v>
      </c>
      <c r="R107" s="48">
        <v>0</v>
      </c>
      <c r="S107" s="98">
        <f t="shared" si="9"/>
        <v>0</v>
      </c>
      <c r="T107" s="47">
        <f t="shared" ref="T107:T114" si="80">+U107+V107</f>
        <v>176000</v>
      </c>
      <c r="U107" s="48">
        <v>176000</v>
      </c>
      <c r="V107" s="48">
        <v>0</v>
      </c>
      <c r="W107" s="48">
        <v>0</v>
      </c>
      <c r="X107" s="98">
        <f t="shared" si="11"/>
        <v>0</v>
      </c>
      <c r="Y107" s="48">
        <v>0</v>
      </c>
      <c r="Z107" s="48">
        <v>0</v>
      </c>
      <c r="AA107" s="98">
        <f t="shared" si="13"/>
        <v>0</v>
      </c>
    </row>
    <row r="108" spans="1:27" ht="24" customHeight="1" x14ac:dyDescent="0.5">
      <c r="A108" s="70">
        <v>2</v>
      </c>
      <c r="B108" s="75" t="s">
        <v>123</v>
      </c>
      <c r="C108" s="54">
        <f t="shared" si="79"/>
        <v>0</v>
      </c>
      <c r="D108" s="55">
        <v>0</v>
      </c>
      <c r="E108" s="55">
        <v>0</v>
      </c>
      <c r="F108" s="55">
        <v>0</v>
      </c>
      <c r="G108" s="99">
        <f t="shared" si="1"/>
        <v>0</v>
      </c>
      <c r="H108" s="55">
        <v>0</v>
      </c>
      <c r="I108" s="55">
        <v>0</v>
      </c>
      <c r="J108" s="99">
        <f t="shared" si="3"/>
        <v>0</v>
      </c>
      <c r="K108" s="55">
        <v>0</v>
      </c>
      <c r="L108" s="55">
        <v>0</v>
      </c>
      <c r="M108" s="99">
        <f t="shared" si="5"/>
        <v>0</v>
      </c>
      <c r="N108" s="55">
        <v>0</v>
      </c>
      <c r="O108" s="55">
        <v>0</v>
      </c>
      <c r="P108" s="99">
        <f t="shared" si="7"/>
        <v>0</v>
      </c>
      <c r="Q108" s="55">
        <v>0</v>
      </c>
      <c r="R108" s="55">
        <v>0</v>
      </c>
      <c r="S108" s="99">
        <f t="shared" si="9"/>
        <v>0</v>
      </c>
      <c r="T108" s="54">
        <f t="shared" si="80"/>
        <v>0</v>
      </c>
      <c r="U108" s="55">
        <v>0</v>
      </c>
      <c r="V108" s="55">
        <v>0</v>
      </c>
      <c r="W108" s="55">
        <v>0</v>
      </c>
      <c r="X108" s="99">
        <f t="shared" si="11"/>
        <v>0</v>
      </c>
      <c r="Y108" s="55">
        <v>0</v>
      </c>
      <c r="Z108" s="55">
        <v>0</v>
      </c>
      <c r="AA108" s="99">
        <f t="shared" si="13"/>
        <v>0</v>
      </c>
    </row>
    <row r="109" spans="1:27" ht="24" customHeight="1" x14ac:dyDescent="0.5">
      <c r="A109" s="70">
        <v>3</v>
      </c>
      <c r="B109" s="75" t="s">
        <v>124</v>
      </c>
      <c r="C109" s="54">
        <f t="shared" si="79"/>
        <v>0</v>
      </c>
      <c r="D109" s="55">
        <v>0</v>
      </c>
      <c r="E109" s="55">
        <v>0</v>
      </c>
      <c r="F109" s="55">
        <v>0</v>
      </c>
      <c r="G109" s="99">
        <f t="shared" si="1"/>
        <v>0</v>
      </c>
      <c r="H109" s="55">
        <v>0</v>
      </c>
      <c r="I109" s="55">
        <v>0</v>
      </c>
      <c r="J109" s="99">
        <f t="shared" si="3"/>
        <v>0</v>
      </c>
      <c r="K109" s="55">
        <v>0</v>
      </c>
      <c r="L109" s="55">
        <v>0</v>
      </c>
      <c r="M109" s="99">
        <f t="shared" si="5"/>
        <v>0</v>
      </c>
      <c r="N109" s="55">
        <v>0</v>
      </c>
      <c r="O109" s="55">
        <v>0</v>
      </c>
      <c r="P109" s="99">
        <f t="shared" si="7"/>
        <v>0</v>
      </c>
      <c r="Q109" s="55">
        <v>0</v>
      </c>
      <c r="R109" s="55">
        <v>0</v>
      </c>
      <c r="S109" s="99">
        <f t="shared" si="9"/>
        <v>0</v>
      </c>
      <c r="T109" s="54">
        <f t="shared" si="80"/>
        <v>0</v>
      </c>
      <c r="U109" s="55">
        <v>0</v>
      </c>
      <c r="V109" s="55">
        <v>0</v>
      </c>
      <c r="W109" s="55">
        <v>0</v>
      </c>
      <c r="X109" s="99">
        <f t="shared" si="11"/>
        <v>0</v>
      </c>
      <c r="Y109" s="55">
        <v>0</v>
      </c>
      <c r="Z109" s="55">
        <v>0</v>
      </c>
      <c r="AA109" s="99">
        <f t="shared" si="13"/>
        <v>0</v>
      </c>
    </row>
    <row r="110" spans="1:27" ht="24" customHeight="1" x14ac:dyDescent="0.5">
      <c r="A110" s="70">
        <f t="shared" ref="A110:A112" si="81">+A109+1</f>
        <v>4</v>
      </c>
      <c r="B110" s="75" t="s">
        <v>125</v>
      </c>
      <c r="C110" s="54">
        <f t="shared" si="79"/>
        <v>0</v>
      </c>
      <c r="D110" s="55">
        <v>0</v>
      </c>
      <c r="E110" s="55">
        <v>0</v>
      </c>
      <c r="F110" s="55">
        <v>0</v>
      </c>
      <c r="G110" s="99">
        <f t="shared" si="1"/>
        <v>0</v>
      </c>
      <c r="H110" s="55">
        <v>0</v>
      </c>
      <c r="I110" s="55">
        <v>0</v>
      </c>
      <c r="J110" s="99">
        <f t="shared" si="3"/>
        <v>0</v>
      </c>
      <c r="K110" s="55">
        <v>0</v>
      </c>
      <c r="L110" s="55">
        <v>0</v>
      </c>
      <c r="M110" s="99">
        <f t="shared" si="5"/>
        <v>0</v>
      </c>
      <c r="N110" s="55">
        <v>0</v>
      </c>
      <c r="O110" s="55">
        <v>0</v>
      </c>
      <c r="P110" s="99">
        <f t="shared" si="7"/>
        <v>0</v>
      </c>
      <c r="Q110" s="55">
        <v>0</v>
      </c>
      <c r="R110" s="55">
        <v>0</v>
      </c>
      <c r="S110" s="99">
        <f t="shared" si="9"/>
        <v>0</v>
      </c>
      <c r="T110" s="54">
        <f t="shared" si="80"/>
        <v>0</v>
      </c>
      <c r="U110" s="55">
        <v>0</v>
      </c>
      <c r="V110" s="55">
        <v>0</v>
      </c>
      <c r="W110" s="55">
        <v>0</v>
      </c>
      <c r="X110" s="99">
        <f t="shared" si="11"/>
        <v>0</v>
      </c>
      <c r="Y110" s="55">
        <v>0</v>
      </c>
      <c r="Z110" s="55">
        <v>0</v>
      </c>
      <c r="AA110" s="99">
        <f t="shared" si="13"/>
        <v>0</v>
      </c>
    </row>
    <row r="111" spans="1:27" ht="24" customHeight="1" x14ac:dyDescent="0.5">
      <c r="A111" s="70">
        <f t="shared" si="81"/>
        <v>5</v>
      </c>
      <c r="B111" s="75" t="s">
        <v>126</v>
      </c>
      <c r="C111" s="54">
        <f t="shared" si="79"/>
        <v>0</v>
      </c>
      <c r="D111" s="55">
        <v>0</v>
      </c>
      <c r="E111" s="55">
        <v>0</v>
      </c>
      <c r="F111" s="55">
        <v>0</v>
      </c>
      <c r="G111" s="99">
        <f t="shared" si="1"/>
        <v>0</v>
      </c>
      <c r="H111" s="55">
        <v>0</v>
      </c>
      <c r="I111" s="55">
        <v>0</v>
      </c>
      <c r="J111" s="99">
        <f t="shared" si="3"/>
        <v>0</v>
      </c>
      <c r="K111" s="55">
        <v>0</v>
      </c>
      <c r="L111" s="55">
        <v>0</v>
      </c>
      <c r="M111" s="99">
        <f t="shared" si="5"/>
        <v>0</v>
      </c>
      <c r="N111" s="55">
        <v>0</v>
      </c>
      <c r="O111" s="55">
        <v>0</v>
      </c>
      <c r="P111" s="99">
        <f t="shared" si="7"/>
        <v>0</v>
      </c>
      <c r="Q111" s="55">
        <v>0</v>
      </c>
      <c r="R111" s="55">
        <v>0</v>
      </c>
      <c r="S111" s="99">
        <f t="shared" si="9"/>
        <v>0</v>
      </c>
      <c r="T111" s="54">
        <f t="shared" si="80"/>
        <v>0</v>
      </c>
      <c r="U111" s="55">
        <v>0</v>
      </c>
      <c r="V111" s="55">
        <v>0</v>
      </c>
      <c r="W111" s="55">
        <v>0</v>
      </c>
      <c r="X111" s="99">
        <f t="shared" si="11"/>
        <v>0</v>
      </c>
      <c r="Y111" s="55">
        <v>0</v>
      </c>
      <c r="Z111" s="55">
        <v>0</v>
      </c>
      <c r="AA111" s="99">
        <f t="shared" si="13"/>
        <v>0</v>
      </c>
    </row>
    <row r="112" spans="1:27" ht="24" customHeight="1" x14ac:dyDescent="0.5">
      <c r="A112" s="70">
        <f t="shared" si="81"/>
        <v>6</v>
      </c>
      <c r="B112" s="75" t="s">
        <v>127</v>
      </c>
      <c r="C112" s="54">
        <f t="shared" si="79"/>
        <v>0</v>
      </c>
      <c r="D112" s="55">
        <v>0</v>
      </c>
      <c r="E112" s="55">
        <v>0</v>
      </c>
      <c r="F112" s="55">
        <v>0</v>
      </c>
      <c r="G112" s="99">
        <f t="shared" si="1"/>
        <v>0</v>
      </c>
      <c r="H112" s="55">
        <v>0</v>
      </c>
      <c r="I112" s="55">
        <v>0</v>
      </c>
      <c r="J112" s="99">
        <f t="shared" si="3"/>
        <v>0</v>
      </c>
      <c r="K112" s="55">
        <v>0</v>
      </c>
      <c r="L112" s="55">
        <v>0</v>
      </c>
      <c r="M112" s="99">
        <f t="shared" si="5"/>
        <v>0</v>
      </c>
      <c r="N112" s="55">
        <v>0</v>
      </c>
      <c r="O112" s="55">
        <v>0</v>
      </c>
      <c r="P112" s="99">
        <f t="shared" si="7"/>
        <v>0</v>
      </c>
      <c r="Q112" s="55">
        <v>0</v>
      </c>
      <c r="R112" s="55">
        <v>0</v>
      </c>
      <c r="S112" s="99">
        <f t="shared" si="9"/>
        <v>0</v>
      </c>
      <c r="T112" s="54">
        <f t="shared" si="80"/>
        <v>0</v>
      </c>
      <c r="U112" s="55">
        <v>0</v>
      </c>
      <c r="V112" s="55">
        <v>0</v>
      </c>
      <c r="W112" s="55">
        <v>0</v>
      </c>
      <c r="X112" s="99">
        <f t="shared" si="11"/>
        <v>0</v>
      </c>
      <c r="Y112" s="55">
        <v>0</v>
      </c>
      <c r="Z112" s="55">
        <v>0</v>
      </c>
      <c r="AA112" s="99">
        <f t="shared" si="13"/>
        <v>0</v>
      </c>
    </row>
    <row r="113" spans="1:27" ht="24" customHeight="1" x14ac:dyDescent="0.5">
      <c r="A113" s="70">
        <v>7</v>
      </c>
      <c r="B113" s="75" t="s">
        <v>128</v>
      </c>
      <c r="C113" s="54">
        <f t="shared" si="79"/>
        <v>0</v>
      </c>
      <c r="D113" s="55">
        <v>0</v>
      </c>
      <c r="E113" s="55">
        <v>0</v>
      </c>
      <c r="F113" s="55">
        <v>0</v>
      </c>
      <c r="G113" s="99">
        <f t="shared" si="1"/>
        <v>0</v>
      </c>
      <c r="H113" s="55">
        <v>0</v>
      </c>
      <c r="I113" s="55">
        <v>0</v>
      </c>
      <c r="J113" s="99">
        <f t="shared" si="3"/>
        <v>0</v>
      </c>
      <c r="K113" s="55">
        <v>0</v>
      </c>
      <c r="L113" s="55">
        <v>0</v>
      </c>
      <c r="M113" s="99">
        <f t="shared" si="5"/>
        <v>0</v>
      </c>
      <c r="N113" s="55">
        <v>0</v>
      </c>
      <c r="O113" s="55">
        <v>0</v>
      </c>
      <c r="P113" s="99">
        <f t="shared" si="7"/>
        <v>0</v>
      </c>
      <c r="Q113" s="55">
        <v>0</v>
      </c>
      <c r="R113" s="55">
        <v>0</v>
      </c>
      <c r="S113" s="99">
        <f t="shared" si="9"/>
        <v>0</v>
      </c>
      <c r="T113" s="54">
        <f t="shared" si="80"/>
        <v>0</v>
      </c>
      <c r="U113" s="55">
        <v>0</v>
      </c>
      <c r="V113" s="55">
        <v>0</v>
      </c>
      <c r="W113" s="55">
        <v>0</v>
      </c>
      <c r="X113" s="99">
        <f t="shared" si="11"/>
        <v>0</v>
      </c>
      <c r="Y113" s="55">
        <v>0</v>
      </c>
      <c r="Z113" s="55">
        <v>0</v>
      </c>
      <c r="AA113" s="99">
        <f t="shared" si="13"/>
        <v>0</v>
      </c>
    </row>
    <row r="114" spans="1:27" ht="24" customHeight="1" x14ac:dyDescent="0.5">
      <c r="A114" s="76">
        <v>8</v>
      </c>
      <c r="B114" s="77" t="s">
        <v>129</v>
      </c>
      <c r="C114" s="78">
        <f t="shared" si="79"/>
        <v>0</v>
      </c>
      <c r="D114" s="79">
        <v>0</v>
      </c>
      <c r="E114" s="79">
        <v>0</v>
      </c>
      <c r="F114" s="79">
        <v>0</v>
      </c>
      <c r="G114" s="104">
        <f t="shared" si="1"/>
        <v>0</v>
      </c>
      <c r="H114" s="79">
        <v>0</v>
      </c>
      <c r="I114" s="79">
        <v>0</v>
      </c>
      <c r="J114" s="104">
        <f t="shared" si="3"/>
        <v>0</v>
      </c>
      <c r="K114" s="79">
        <v>0</v>
      </c>
      <c r="L114" s="79">
        <v>0</v>
      </c>
      <c r="M114" s="104">
        <f t="shared" si="5"/>
        <v>0</v>
      </c>
      <c r="N114" s="79">
        <v>0</v>
      </c>
      <c r="O114" s="79">
        <v>0</v>
      </c>
      <c r="P114" s="104">
        <f t="shared" si="7"/>
        <v>0</v>
      </c>
      <c r="Q114" s="79">
        <v>0</v>
      </c>
      <c r="R114" s="79">
        <v>0</v>
      </c>
      <c r="S114" s="104">
        <f t="shared" si="9"/>
        <v>0</v>
      </c>
      <c r="T114" s="78">
        <f t="shared" si="80"/>
        <v>0</v>
      </c>
      <c r="U114" s="79">
        <v>0</v>
      </c>
      <c r="V114" s="79">
        <v>0</v>
      </c>
      <c r="W114" s="79">
        <v>0</v>
      </c>
      <c r="X114" s="104">
        <f t="shared" si="11"/>
        <v>0</v>
      </c>
      <c r="Y114" s="79">
        <v>0</v>
      </c>
      <c r="Z114" s="79">
        <v>0</v>
      </c>
      <c r="AA114" s="104">
        <f t="shared" si="13"/>
        <v>0</v>
      </c>
    </row>
    <row r="115" spans="1:27" ht="24" customHeight="1" x14ac:dyDescent="0.55000000000000004">
      <c r="A115" s="467" t="s">
        <v>321</v>
      </c>
      <c r="B115" s="3"/>
      <c r="C115" s="3"/>
      <c r="D115" s="3"/>
      <c r="E115" s="3"/>
      <c r="F115" s="3"/>
      <c r="G115" s="3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3"/>
      <c r="U115" s="3"/>
      <c r="V115" s="3"/>
      <c r="W115" s="3"/>
      <c r="X115" s="3"/>
      <c r="Y115" s="3"/>
      <c r="Z115" s="3"/>
      <c r="AA115" s="3"/>
    </row>
    <row r="116" spans="1:27" ht="24" customHeight="1" x14ac:dyDescent="0.5">
      <c r="A116" s="3"/>
      <c r="B116" s="3"/>
      <c r="C116" s="3"/>
      <c r="D116" s="3"/>
      <c r="E116" s="3"/>
      <c r="F116" s="3"/>
      <c r="G116" s="3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3"/>
      <c r="U116" s="3"/>
      <c r="V116" s="3"/>
      <c r="W116" s="3"/>
      <c r="X116" s="3"/>
      <c r="Y116" s="3"/>
      <c r="Z116" s="3"/>
      <c r="AA116" s="3"/>
    </row>
    <row r="117" spans="1:27" ht="24" customHeight="1" x14ac:dyDescent="0.5">
      <c r="A117" s="3"/>
      <c r="B117" s="3"/>
      <c r="C117" s="3"/>
      <c r="D117" s="3"/>
      <c r="E117" s="3"/>
      <c r="F117" s="3"/>
      <c r="G117" s="3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3"/>
      <c r="U117" s="3"/>
      <c r="V117" s="3"/>
      <c r="W117" s="3"/>
      <c r="X117" s="3"/>
      <c r="Y117" s="3"/>
      <c r="Z117" s="3"/>
      <c r="AA117" s="3"/>
    </row>
    <row r="118" spans="1:27" ht="24" customHeight="1" x14ac:dyDescent="0.5">
      <c r="A118" s="3"/>
      <c r="B118" s="3"/>
      <c r="C118" s="3"/>
      <c r="D118" s="3"/>
      <c r="E118" s="3"/>
      <c r="F118" s="3"/>
      <c r="G118" s="3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3"/>
      <c r="U118" s="3"/>
      <c r="V118" s="3"/>
      <c r="W118" s="3"/>
      <c r="X118" s="3"/>
      <c r="Y118" s="3"/>
      <c r="Z118" s="3"/>
      <c r="AA118" s="3"/>
    </row>
    <row r="119" spans="1:27" ht="24" customHeight="1" x14ac:dyDescent="0.5">
      <c r="A119" s="3"/>
      <c r="B119" s="3"/>
      <c r="C119" s="3"/>
      <c r="D119" s="3"/>
      <c r="E119" s="3"/>
      <c r="F119" s="3"/>
      <c r="G119" s="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3"/>
      <c r="U119" s="3"/>
      <c r="V119" s="3"/>
      <c r="W119" s="3"/>
      <c r="X119" s="3"/>
      <c r="Y119" s="3"/>
      <c r="Z119" s="3"/>
      <c r="AA119" s="3"/>
    </row>
    <row r="120" spans="1:27" ht="24" customHeight="1" x14ac:dyDescent="0.5">
      <c r="A120" s="3"/>
      <c r="B120" s="3"/>
      <c r="C120" s="3"/>
      <c r="D120" s="3"/>
      <c r="E120" s="3"/>
      <c r="F120" s="3"/>
      <c r="G120" s="3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3"/>
      <c r="U120" s="3"/>
      <c r="V120" s="3"/>
      <c r="W120" s="3"/>
      <c r="X120" s="3"/>
      <c r="Y120" s="3"/>
      <c r="Z120" s="3"/>
      <c r="AA120" s="3"/>
    </row>
    <row r="121" spans="1:27" ht="24" customHeight="1" x14ac:dyDescent="0.5">
      <c r="A121" s="3"/>
      <c r="B121" s="3"/>
      <c r="C121" s="3"/>
      <c r="D121" s="3"/>
      <c r="E121" s="3"/>
      <c r="F121" s="3"/>
      <c r="G121" s="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3"/>
      <c r="U121" s="3"/>
      <c r="V121" s="3"/>
      <c r="W121" s="3"/>
      <c r="X121" s="3"/>
      <c r="Y121" s="3"/>
      <c r="Z121" s="3"/>
      <c r="AA121" s="3"/>
    </row>
    <row r="122" spans="1:27" ht="24" customHeight="1" x14ac:dyDescent="0.5">
      <c r="A122" s="3"/>
      <c r="B122" s="3"/>
      <c r="C122" s="3"/>
      <c r="D122" s="3"/>
      <c r="E122" s="3"/>
      <c r="F122" s="3"/>
      <c r="G122" s="3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3"/>
      <c r="U122" s="3"/>
      <c r="V122" s="3"/>
      <c r="W122" s="3"/>
      <c r="X122" s="3"/>
      <c r="Y122" s="3"/>
      <c r="Z122" s="3"/>
      <c r="AA122" s="3"/>
    </row>
    <row r="123" spans="1:27" ht="24" customHeight="1" x14ac:dyDescent="0.5">
      <c r="A123" s="3"/>
      <c r="B123" s="3"/>
      <c r="C123" s="3"/>
      <c r="D123" s="3"/>
      <c r="E123" s="3"/>
      <c r="F123" s="3"/>
      <c r="G123" s="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3"/>
      <c r="U123" s="3"/>
      <c r="V123" s="3"/>
      <c r="W123" s="3"/>
      <c r="X123" s="3"/>
      <c r="Y123" s="3"/>
      <c r="Z123" s="3"/>
      <c r="AA123" s="3"/>
    </row>
    <row r="124" spans="1:27" ht="24" customHeight="1" x14ac:dyDescent="0.5">
      <c r="A124" s="3"/>
      <c r="B124" s="3"/>
      <c r="C124" s="3"/>
      <c r="D124" s="3"/>
      <c r="E124" s="3"/>
      <c r="F124" s="3"/>
      <c r="G124" s="3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3"/>
      <c r="U124" s="3"/>
      <c r="V124" s="3"/>
      <c r="W124" s="3"/>
      <c r="X124" s="3"/>
      <c r="Y124" s="3"/>
      <c r="Z124" s="3"/>
      <c r="AA124" s="3"/>
    </row>
    <row r="125" spans="1:27" ht="24" customHeight="1" x14ac:dyDescent="0.5">
      <c r="A125" s="3"/>
      <c r="B125" s="3"/>
      <c r="C125" s="3"/>
      <c r="D125" s="3"/>
      <c r="E125" s="3"/>
      <c r="F125" s="3"/>
      <c r="G125" s="3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3"/>
      <c r="U125" s="3"/>
      <c r="V125" s="3"/>
      <c r="W125" s="3"/>
      <c r="X125" s="3"/>
      <c r="Y125" s="3"/>
      <c r="Z125" s="3"/>
      <c r="AA125" s="3"/>
    </row>
    <row r="126" spans="1:27" ht="24" customHeight="1" x14ac:dyDescent="0.5">
      <c r="A126" s="3"/>
      <c r="B126" s="3"/>
      <c r="C126" s="3"/>
      <c r="D126" s="3"/>
      <c r="E126" s="3"/>
      <c r="F126" s="3"/>
      <c r="G126" s="3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3"/>
      <c r="U126" s="3"/>
      <c r="V126" s="3"/>
      <c r="W126" s="3"/>
      <c r="X126" s="3"/>
      <c r="Y126" s="3"/>
      <c r="Z126" s="3"/>
      <c r="AA126" s="3"/>
    </row>
    <row r="127" spans="1:27" ht="24" customHeight="1" x14ac:dyDescent="0.5">
      <c r="A127" s="3"/>
      <c r="B127" s="3"/>
      <c r="C127" s="3"/>
      <c r="D127" s="3"/>
      <c r="E127" s="3"/>
      <c r="F127" s="3"/>
      <c r="G127" s="3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3"/>
      <c r="U127" s="3"/>
      <c r="V127" s="3"/>
      <c r="W127" s="3"/>
      <c r="X127" s="3"/>
      <c r="Y127" s="3"/>
      <c r="Z127" s="3"/>
      <c r="AA127" s="3"/>
    </row>
    <row r="128" spans="1:27" ht="24" customHeight="1" x14ac:dyDescent="0.5">
      <c r="A128" s="3"/>
      <c r="B128" s="3"/>
      <c r="C128" s="3"/>
      <c r="D128" s="3"/>
      <c r="E128" s="3"/>
      <c r="F128" s="3"/>
      <c r="G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3"/>
      <c r="U128" s="3"/>
      <c r="V128" s="3"/>
      <c r="W128" s="3"/>
      <c r="X128" s="3"/>
      <c r="Y128" s="3"/>
      <c r="Z128" s="3"/>
      <c r="AA128" s="3"/>
    </row>
    <row r="129" spans="1:27" ht="24" customHeight="1" x14ac:dyDescent="0.5">
      <c r="A129" s="3"/>
      <c r="B129" s="3"/>
      <c r="C129" s="3"/>
      <c r="D129" s="3"/>
      <c r="E129" s="3"/>
      <c r="F129" s="3"/>
      <c r="G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3"/>
      <c r="U129" s="3"/>
      <c r="V129" s="3"/>
      <c r="W129" s="3"/>
      <c r="X129" s="3"/>
      <c r="Y129" s="3"/>
      <c r="Z129" s="3"/>
      <c r="AA129" s="3"/>
    </row>
    <row r="130" spans="1:27" ht="24" customHeight="1" x14ac:dyDescent="0.5">
      <c r="A130" s="3"/>
      <c r="B130" s="3"/>
      <c r="C130" s="3"/>
      <c r="D130" s="3"/>
      <c r="E130" s="3"/>
      <c r="F130" s="3"/>
      <c r="G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3"/>
      <c r="U130" s="3"/>
      <c r="V130" s="3"/>
      <c r="W130" s="3"/>
      <c r="X130" s="3"/>
      <c r="Y130" s="3"/>
      <c r="Z130" s="3"/>
      <c r="AA130" s="3"/>
    </row>
    <row r="131" spans="1:27" ht="24" customHeight="1" x14ac:dyDescent="0.5">
      <c r="A131" s="3"/>
      <c r="B131" s="3"/>
      <c r="C131" s="3"/>
      <c r="D131" s="3"/>
      <c r="E131" s="3"/>
      <c r="F131" s="3"/>
      <c r="G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3"/>
      <c r="U131" s="3"/>
      <c r="V131" s="3"/>
      <c r="W131" s="3"/>
      <c r="X131" s="3"/>
      <c r="Y131" s="3"/>
      <c r="Z131" s="3"/>
      <c r="AA131" s="3"/>
    </row>
    <row r="132" spans="1:27" ht="24" customHeight="1" x14ac:dyDescent="0.5">
      <c r="A132" s="3"/>
      <c r="B132" s="3"/>
      <c r="C132" s="3"/>
      <c r="D132" s="3"/>
      <c r="E132" s="3"/>
      <c r="F132" s="3"/>
      <c r="G132" s="3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3"/>
      <c r="U132" s="3"/>
      <c r="V132" s="3"/>
      <c r="W132" s="3"/>
      <c r="X132" s="3"/>
      <c r="Y132" s="3"/>
      <c r="Z132" s="3"/>
      <c r="AA132" s="3"/>
    </row>
    <row r="133" spans="1:27" ht="24" customHeight="1" x14ac:dyDescent="0.5">
      <c r="A133" s="3"/>
      <c r="B133" s="3"/>
      <c r="C133" s="3"/>
      <c r="D133" s="3"/>
      <c r="E133" s="3"/>
      <c r="F133" s="3"/>
      <c r="G133" s="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3"/>
      <c r="U133" s="3"/>
      <c r="V133" s="3"/>
      <c r="W133" s="3"/>
      <c r="X133" s="3"/>
      <c r="Y133" s="3"/>
      <c r="Z133" s="3"/>
      <c r="AA133" s="3"/>
    </row>
    <row r="134" spans="1:27" ht="24" customHeight="1" x14ac:dyDescent="0.5">
      <c r="A134" s="3"/>
      <c r="B134" s="3"/>
      <c r="C134" s="3"/>
      <c r="D134" s="3"/>
      <c r="E134" s="3"/>
      <c r="F134" s="3"/>
      <c r="G134" s="3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3"/>
      <c r="U134" s="3"/>
      <c r="V134" s="3"/>
      <c r="W134" s="3"/>
      <c r="X134" s="3"/>
      <c r="Y134" s="3"/>
      <c r="Z134" s="3"/>
      <c r="AA134" s="3"/>
    </row>
    <row r="135" spans="1:27" ht="24" customHeight="1" x14ac:dyDescent="0.5">
      <c r="A135" s="3"/>
      <c r="B135" s="3"/>
      <c r="C135" s="3"/>
      <c r="D135" s="3"/>
      <c r="E135" s="3"/>
      <c r="F135" s="3"/>
      <c r="G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3"/>
      <c r="U135" s="3"/>
      <c r="V135" s="3"/>
      <c r="W135" s="3"/>
      <c r="X135" s="3"/>
      <c r="Y135" s="3"/>
      <c r="Z135" s="3"/>
      <c r="AA135" s="3"/>
    </row>
    <row r="136" spans="1:27" ht="24" customHeight="1" x14ac:dyDescent="0.5">
      <c r="A136" s="3"/>
      <c r="B136" s="3"/>
      <c r="C136" s="3"/>
      <c r="D136" s="3"/>
      <c r="E136" s="3"/>
      <c r="F136" s="3"/>
      <c r="G136" s="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3"/>
      <c r="U136" s="3"/>
      <c r="V136" s="3"/>
      <c r="W136" s="3"/>
      <c r="X136" s="3"/>
      <c r="Y136" s="3"/>
      <c r="Z136" s="3"/>
      <c r="AA136" s="3"/>
    </row>
    <row r="137" spans="1:27" ht="24" customHeight="1" x14ac:dyDescent="0.5">
      <c r="A137" s="3"/>
      <c r="B137" s="3"/>
      <c r="C137" s="3"/>
      <c r="D137" s="3"/>
      <c r="E137" s="3"/>
      <c r="F137" s="3"/>
      <c r="G137" s="3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3"/>
      <c r="U137" s="3"/>
      <c r="V137" s="3"/>
      <c r="W137" s="3"/>
      <c r="X137" s="3"/>
      <c r="Y137" s="3"/>
      <c r="Z137" s="3"/>
      <c r="AA137" s="3"/>
    </row>
    <row r="138" spans="1:27" ht="24" customHeight="1" x14ac:dyDescent="0.5">
      <c r="A138" s="3"/>
      <c r="B138" s="3"/>
      <c r="C138" s="3"/>
      <c r="D138" s="3"/>
      <c r="E138" s="3"/>
      <c r="F138" s="3"/>
      <c r="G138" s="3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3"/>
      <c r="U138" s="3"/>
      <c r="V138" s="3"/>
      <c r="W138" s="3"/>
      <c r="X138" s="3"/>
      <c r="Y138" s="3"/>
      <c r="Z138" s="3"/>
      <c r="AA138" s="3"/>
    </row>
    <row r="139" spans="1:27" ht="24" customHeight="1" x14ac:dyDescent="0.5">
      <c r="A139" s="3"/>
      <c r="B139" s="3"/>
      <c r="C139" s="3"/>
      <c r="D139" s="3"/>
      <c r="E139" s="3"/>
      <c r="F139" s="3"/>
      <c r="G139" s="3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3"/>
      <c r="U139" s="3"/>
      <c r="V139" s="3"/>
      <c r="W139" s="3"/>
      <c r="X139" s="3"/>
      <c r="Y139" s="3"/>
      <c r="Z139" s="3"/>
      <c r="AA139" s="3"/>
    </row>
    <row r="140" spans="1:27" ht="24" customHeight="1" x14ac:dyDescent="0.5">
      <c r="A140" s="3"/>
      <c r="B140" s="3"/>
      <c r="C140" s="3"/>
      <c r="D140" s="3"/>
      <c r="E140" s="3"/>
      <c r="F140" s="3"/>
      <c r="G140" s="3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3"/>
      <c r="U140" s="3"/>
      <c r="V140" s="3"/>
      <c r="W140" s="3"/>
      <c r="X140" s="3"/>
      <c r="Y140" s="3"/>
      <c r="Z140" s="3"/>
      <c r="AA140" s="3"/>
    </row>
    <row r="141" spans="1:27" ht="24" customHeight="1" x14ac:dyDescent="0.5">
      <c r="A141" s="3"/>
      <c r="B141" s="3"/>
      <c r="C141" s="3"/>
      <c r="D141" s="3"/>
      <c r="E141" s="3"/>
      <c r="F141" s="3"/>
      <c r="G141" s="3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3"/>
      <c r="U141" s="3"/>
      <c r="V141" s="3"/>
      <c r="W141" s="3"/>
      <c r="X141" s="3"/>
      <c r="Y141" s="3"/>
      <c r="Z141" s="3"/>
      <c r="AA141" s="3"/>
    </row>
    <row r="142" spans="1:27" ht="24" customHeight="1" x14ac:dyDescent="0.5">
      <c r="A142" s="3"/>
      <c r="B142" s="3"/>
      <c r="C142" s="3"/>
      <c r="D142" s="3"/>
      <c r="E142" s="3"/>
      <c r="F142" s="3"/>
      <c r="G142" s="3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3"/>
      <c r="U142" s="3"/>
      <c r="V142" s="3"/>
      <c r="W142" s="3"/>
      <c r="X142" s="3"/>
      <c r="Y142" s="3"/>
      <c r="Z142" s="3"/>
      <c r="AA142" s="3"/>
    </row>
    <row r="143" spans="1:27" ht="24" customHeight="1" x14ac:dyDescent="0.5">
      <c r="A143" s="3"/>
      <c r="B143" s="3"/>
      <c r="C143" s="3"/>
      <c r="D143" s="3"/>
      <c r="E143" s="3"/>
      <c r="F143" s="3"/>
      <c r="G143" s="3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3"/>
      <c r="U143" s="3"/>
      <c r="V143" s="3"/>
      <c r="W143" s="3"/>
      <c r="X143" s="3"/>
      <c r="Y143" s="3"/>
      <c r="Z143" s="3"/>
      <c r="AA143" s="3"/>
    </row>
    <row r="144" spans="1:27" ht="24" customHeight="1" x14ac:dyDescent="0.5">
      <c r="A144" s="3"/>
      <c r="B144" s="3"/>
      <c r="C144" s="3"/>
      <c r="D144" s="3"/>
      <c r="E144" s="3"/>
      <c r="F144" s="3"/>
      <c r="G144" s="3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3"/>
      <c r="U144" s="3"/>
      <c r="V144" s="3"/>
      <c r="W144" s="3"/>
      <c r="X144" s="3"/>
      <c r="Y144" s="3"/>
      <c r="Z144" s="3"/>
      <c r="AA144" s="3"/>
    </row>
    <row r="145" spans="1:27" ht="24" customHeight="1" x14ac:dyDescent="0.5">
      <c r="A145" s="3"/>
      <c r="B145" s="3"/>
      <c r="C145" s="3"/>
      <c r="D145" s="3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3"/>
      <c r="U145" s="3"/>
      <c r="V145" s="3"/>
      <c r="W145" s="3"/>
      <c r="X145" s="3"/>
      <c r="Y145" s="3"/>
      <c r="Z145" s="3"/>
      <c r="AA145" s="3"/>
    </row>
    <row r="146" spans="1:27" ht="24" customHeight="1" x14ac:dyDescent="0.5">
      <c r="A146" s="3"/>
      <c r="B146" s="3"/>
      <c r="C146" s="3"/>
      <c r="D146" s="3"/>
      <c r="E146" s="3"/>
      <c r="F146" s="3"/>
      <c r="G146" s="3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3"/>
      <c r="U146" s="3"/>
      <c r="V146" s="3"/>
      <c r="W146" s="3"/>
      <c r="X146" s="3"/>
      <c r="Y146" s="3"/>
      <c r="Z146" s="3"/>
      <c r="AA146" s="3"/>
    </row>
    <row r="147" spans="1:27" ht="24" customHeight="1" x14ac:dyDescent="0.5">
      <c r="A147" s="3"/>
      <c r="B147" s="3"/>
      <c r="C147" s="3"/>
      <c r="D147" s="3"/>
      <c r="E147" s="3"/>
      <c r="F147" s="3"/>
      <c r="G147" s="3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3"/>
      <c r="U147" s="3"/>
      <c r="V147" s="3"/>
      <c r="W147" s="3"/>
      <c r="X147" s="3"/>
      <c r="Y147" s="3"/>
      <c r="Z147" s="3"/>
      <c r="AA147" s="3"/>
    </row>
    <row r="148" spans="1:27" ht="24" customHeight="1" x14ac:dyDescent="0.5">
      <c r="A148" s="3"/>
      <c r="B148" s="3"/>
      <c r="C148" s="3"/>
      <c r="D148" s="3"/>
      <c r="E148" s="3"/>
      <c r="F148" s="3"/>
      <c r="G148" s="3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3"/>
      <c r="U148" s="3"/>
      <c r="V148" s="3"/>
      <c r="W148" s="3"/>
      <c r="X148" s="3"/>
      <c r="Y148" s="3"/>
      <c r="Z148" s="3"/>
      <c r="AA148" s="3"/>
    </row>
    <row r="149" spans="1:27" ht="24" customHeight="1" x14ac:dyDescent="0.5">
      <c r="A149" s="3"/>
      <c r="B149" s="3"/>
      <c r="C149" s="3"/>
      <c r="D149" s="3"/>
      <c r="E149" s="3"/>
      <c r="F149" s="3"/>
      <c r="G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3"/>
      <c r="U149" s="3"/>
      <c r="V149" s="3"/>
      <c r="W149" s="3"/>
      <c r="X149" s="3"/>
      <c r="Y149" s="3"/>
      <c r="Z149" s="3"/>
      <c r="AA149" s="3"/>
    </row>
    <row r="150" spans="1:27" ht="24" customHeight="1" x14ac:dyDescent="0.5">
      <c r="A150" s="3"/>
      <c r="B150" s="3"/>
      <c r="C150" s="3"/>
      <c r="D150" s="3"/>
      <c r="E150" s="3"/>
      <c r="F150" s="3"/>
      <c r="G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3"/>
      <c r="U150" s="3"/>
      <c r="V150" s="3"/>
      <c r="W150" s="3"/>
      <c r="X150" s="3"/>
      <c r="Y150" s="3"/>
      <c r="Z150" s="3"/>
      <c r="AA150" s="3"/>
    </row>
    <row r="151" spans="1:27" ht="24" customHeight="1" x14ac:dyDescent="0.5">
      <c r="A151" s="3"/>
      <c r="B151" s="3"/>
      <c r="C151" s="3"/>
      <c r="D151" s="3"/>
      <c r="E151" s="3"/>
      <c r="F151" s="3"/>
      <c r="G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3"/>
      <c r="U151" s="3"/>
      <c r="V151" s="3"/>
      <c r="W151" s="3"/>
      <c r="X151" s="3"/>
      <c r="Y151" s="3"/>
      <c r="Z151" s="3"/>
      <c r="AA151" s="3"/>
    </row>
    <row r="152" spans="1:27" ht="24" customHeight="1" x14ac:dyDescent="0.5">
      <c r="A152" s="3"/>
      <c r="B152" s="3"/>
      <c r="C152" s="3"/>
      <c r="D152" s="3"/>
      <c r="E152" s="3"/>
      <c r="F152" s="3"/>
      <c r="G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3"/>
      <c r="U152" s="3"/>
      <c r="V152" s="3"/>
      <c r="W152" s="3"/>
      <c r="X152" s="3"/>
      <c r="Y152" s="3"/>
      <c r="Z152" s="3"/>
      <c r="AA152" s="3"/>
    </row>
    <row r="153" spans="1:27" ht="24" customHeight="1" x14ac:dyDescent="0.5">
      <c r="A153" s="3"/>
      <c r="B153" s="3"/>
      <c r="C153" s="3"/>
      <c r="D153" s="3"/>
      <c r="E153" s="3"/>
      <c r="F153" s="3"/>
      <c r="G153" s="3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3"/>
      <c r="U153" s="3"/>
      <c r="V153" s="3"/>
      <c r="W153" s="3"/>
      <c r="X153" s="3"/>
      <c r="Y153" s="3"/>
      <c r="Z153" s="3"/>
      <c r="AA153" s="3"/>
    </row>
    <row r="154" spans="1:27" ht="24" customHeight="1" x14ac:dyDescent="0.5">
      <c r="A154" s="3"/>
      <c r="B154" s="3"/>
      <c r="C154" s="3"/>
      <c r="D154" s="3"/>
      <c r="E154" s="3"/>
      <c r="F154" s="3"/>
      <c r="G154" s="3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3"/>
      <c r="U154" s="3"/>
      <c r="V154" s="3"/>
      <c r="W154" s="3"/>
      <c r="X154" s="3"/>
      <c r="Y154" s="3"/>
      <c r="Z154" s="3"/>
      <c r="AA154" s="3"/>
    </row>
    <row r="155" spans="1:27" ht="24" customHeight="1" x14ac:dyDescent="0.5">
      <c r="A155" s="3"/>
      <c r="B155" s="3"/>
      <c r="C155" s="3"/>
      <c r="D155" s="3"/>
      <c r="E155" s="3"/>
      <c r="F155" s="3"/>
      <c r="G155" s="3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3"/>
      <c r="U155" s="3"/>
      <c r="V155" s="3"/>
      <c r="W155" s="3"/>
      <c r="X155" s="3"/>
      <c r="Y155" s="3"/>
      <c r="Z155" s="3"/>
      <c r="AA155" s="3"/>
    </row>
    <row r="156" spans="1:27" ht="24" customHeight="1" x14ac:dyDescent="0.5">
      <c r="A156" s="3"/>
      <c r="B156" s="3"/>
      <c r="C156" s="3"/>
      <c r="D156" s="3"/>
      <c r="E156" s="3"/>
      <c r="F156" s="3"/>
      <c r="G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3"/>
      <c r="U156" s="3"/>
      <c r="V156" s="3"/>
      <c r="W156" s="3"/>
      <c r="X156" s="3"/>
      <c r="Y156" s="3"/>
      <c r="Z156" s="3"/>
      <c r="AA156" s="3"/>
    </row>
    <row r="157" spans="1:27" ht="24" customHeight="1" x14ac:dyDescent="0.5">
      <c r="A157" s="3"/>
      <c r="B157" s="3"/>
      <c r="C157" s="3"/>
      <c r="D157" s="3"/>
      <c r="E157" s="3"/>
      <c r="F157" s="3"/>
      <c r="G157" s="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3"/>
      <c r="U157" s="3"/>
      <c r="V157" s="3"/>
      <c r="W157" s="3"/>
      <c r="X157" s="3"/>
      <c r="Y157" s="3"/>
      <c r="Z157" s="3"/>
      <c r="AA157" s="3"/>
    </row>
    <row r="158" spans="1:27" ht="24" customHeight="1" x14ac:dyDescent="0.5">
      <c r="A158" s="3"/>
      <c r="B158" s="3"/>
      <c r="C158" s="3"/>
      <c r="D158" s="3"/>
      <c r="E158" s="3"/>
      <c r="F158" s="3"/>
      <c r="G158" s="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3"/>
      <c r="U158" s="3"/>
      <c r="V158" s="3"/>
      <c r="W158" s="3"/>
      <c r="X158" s="3"/>
      <c r="Y158" s="3"/>
      <c r="Z158" s="3"/>
      <c r="AA158" s="3"/>
    </row>
    <row r="159" spans="1:27" ht="24" customHeight="1" x14ac:dyDescent="0.5">
      <c r="A159" s="3"/>
      <c r="B159" s="3"/>
      <c r="C159" s="3"/>
      <c r="D159" s="3"/>
      <c r="E159" s="3"/>
      <c r="F159" s="3"/>
      <c r="G159" s="3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3"/>
      <c r="U159" s="3"/>
      <c r="V159" s="3"/>
      <c r="W159" s="3"/>
      <c r="X159" s="3"/>
      <c r="Y159" s="3"/>
      <c r="Z159" s="3"/>
      <c r="AA159" s="3"/>
    </row>
    <row r="160" spans="1:27" ht="24" customHeight="1" x14ac:dyDescent="0.5">
      <c r="A160" s="3"/>
      <c r="B160" s="3"/>
      <c r="C160" s="3"/>
      <c r="D160" s="3"/>
      <c r="E160" s="3"/>
      <c r="F160" s="3"/>
      <c r="G160" s="3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3"/>
      <c r="U160" s="3"/>
      <c r="V160" s="3"/>
      <c r="W160" s="3"/>
      <c r="X160" s="3"/>
      <c r="Y160" s="3"/>
      <c r="Z160" s="3"/>
      <c r="AA160" s="3"/>
    </row>
    <row r="161" spans="1:27" ht="24" customHeight="1" x14ac:dyDescent="0.5">
      <c r="A161" s="3"/>
      <c r="B161" s="3"/>
      <c r="C161" s="3"/>
      <c r="D161" s="3"/>
      <c r="E161" s="3"/>
      <c r="F161" s="3"/>
      <c r="G161" s="3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3"/>
      <c r="U161" s="3"/>
      <c r="V161" s="3"/>
      <c r="W161" s="3"/>
      <c r="X161" s="3"/>
      <c r="Y161" s="3"/>
      <c r="Z161" s="3"/>
      <c r="AA161" s="3"/>
    </row>
    <row r="162" spans="1:27" ht="24" customHeight="1" x14ac:dyDescent="0.5">
      <c r="A162" s="3"/>
      <c r="B162" s="3"/>
      <c r="C162" s="3"/>
      <c r="D162" s="3"/>
      <c r="E162" s="3"/>
      <c r="F162" s="3"/>
      <c r="G162" s="3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3"/>
      <c r="U162" s="3"/>
      <c r="V162" s="3"/>
      <c r="W162" s="3"/>
      <c r="X162" s="3"/>
      <c r="Y162" s="3"/>
      <c r="Z162" s="3"/>
      <c r="AA162" s="3"/>
    </row>
    <row r="163" spans="1:27" ht="24" customHeight="1" x14ac:dyDescent="0.5">
      <c r="A163" s="3"/>
      <c r="B163" s="3"/>
      <c r="C163" s="3"/>
      <c r="D163" s="3"/>
      <c r="E163" s="3"/>
      <c r="F163" s="3"/>
      <c r="G163" s="3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3"/>
      <c r="U163" s="3"/>
      <c r="V163" s="3"/>
      <c r="W163" s="3"/>
      <c r="X163" s="3"/>
      <c r="Y163" s="3"/>
      <c r="Z163" s="3"/>
      <c r="AA163" s="3"/>
    </row>
    <row r="164" spans="1:27" ht="24" customHeight="1" x14ac:dyDescent="0.5">
      <c r="A164" s="3"/>
      <c r="B164" s="3"/>
      <c r="C164" s="3"/>
      <c r="D164" s="3"/>
      <c r="E164" s="3"/>
      <c r="F164" s="3"/>
      <c r="G164" s="3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3"/>
      <c r="U164" s="3"/>
      <c r="V164" s="3"/>
      <c r="W164" s="3"/>
      <c r="X164" s="3"/>
      <c r="Y164" s="3"/>
      <c r="Z164" s="3"/>
      <c r="AA164" s="3"/>
    </row>
    <row r="165" spans="1:27" ht="24" customHeight="1" x14ac:dyDescent="0.5">
      <c r="A165" s="3"/>
      <c r="B165" s="3"/>
      <c r="C165" s="3"/>
      <c r="D165" s="3"/>
      <c r="E165" s="3"/>
      <c r="F165" s="3"/>
      <c r="G165" s="3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3"/>
      <c r="U165" s="3"/>
      <c r="V165" s="3"/>
      <c r="W165" s="3"/>
      <c r="X165" s="3"/>
      <c r="Y165" s="3"/>
      <c r="Z165" s="3"/>
      <c r="AA165" s="3"/>
    </row>
    <row r="166" spans="1:27" ht="24" customHeight="1" x14ac:dyDescent="0.5">
      <c r="A166" s="3"/>
      <c r="B166" s="3"/>
      <c r="C166" s="3"/>
      <c r="D166" s="3"/>
      <c r="E166" s="3"/>
      <c r="F166" s="3"/>
      <c r="G166" s="3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3"/>
      <c r="U166" s="3"/>
      <c r="V166" s="3"/>
      <c r="W166" s="3"/>
      <c r="X166" s="3"/>
      <c r="Y166" s="3"/>
      <c r="Z166" s="3"/>
      <c r="AA166" s="3"/>
    </row>
    <row r="167" spans="1:27" ht="24" customHeight="1" x14ac:dyDescent="0.5">
      <c r="A167" s="3"/>
      <c r="B167" s="3"/>
      <c r="C167" s="3"/>
      <c r="D167" s="3"/>
      <c r="E167" s="3"/>
      <c r="F167" s="3"/>
      <c r="G167" s="3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3"/>
      <c r="U167" s="3"/>
      <c r="V167" s="3"/>
      <c r="W167" s="3"/>
      <c r="X167" s="3"/>
      <c r="Y167" s="3"/>
      <c r="Z167" s="3"/>
      <c r="AA167" s="3"/>
    </row>
    <row r="168" spans="1:27" ht="24" customHeight="1" x14ac:dyDescent="0.5">
      <c r="A168" s="3"/>
      <c r="B168" s="3"/>
      <c r="C168" s="3"/>
      <c r="D168" s="3"/>
      <c r="E168" s="3"/>
      <c r="F168" s="3"/>
      <c r="G168" s="3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3"/>
      <c r="U168" s="3"/>
      <c r="V168" s="3"/>
      <c r="W168" s="3"/>
      <c r="X168" s="3"/>
      <c r="Y168" s="3"/>
      <c r="Z168" s="3"/>
      <c r="AA168" s="3"/>
    </row>
    <row r="169" spans="1:27" ht="24" customHeight="1" x14ac:dyDescent="0.5">
      <c r="A169" s="3"/>
      <c r="B169" s="3"/>
      <c r="C169" s="3"/>
      <c r="D169" s="3"/>
      <c r="E169" s="3"/>
      <c r="F169" s="3"/>
      <c r="G169" s="3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3"/>
      <c r="U169" s="3"/>
      <c r="V169" s="3"/>
      <c r="W169" s="3"/>
      <c r="X169" s="3"/>
      <c r="Y169" s="3"/>
      <c r="Z169" s="3"/>
      <c r="AA169" s="3"/>
    </row>
    <row r="170" spans="1:27" ht="24" customHeight="1" x14ac:dyDescent="0.5">
      <c r="A170" s="3"/>
      <c r="B170" s="3"/>
      <c r="C170" s="3"/>
      <c r="D170" s="3"/>
      <c r="E170" s="3"/>
      <c r="F170" s="3"/>
      <c r="G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3"/>
      <c r="U170" s="3"/>
      <c r="V170" s="3"/>
      <c r="W170" s="3"/>
      <c r="X170" s="3"/>
      <c r="Y170" s="3"/>
      <c r="Z170" s="3"/>
      <c r="AA170" s="3"/>
    </row>
    <row r="171" spans="1:27" ht="24" customHeight="1" x14ac:dyDescent="0.5">
      <c r="A171" s="3"/>
      <c r="B171" s="3"/>
      <c r="C171" s="3"/>
      <c r="D171" s="3"/>
      <c r="E171" s="3"/>
      <c r="F171" s="3"/>
      <c r="G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3"/>
      <c r="U171" s="3"/>
      <c r="V171" s="3"/>
      <c r="W171" s="3"/>
      <c r="X171" s="3"/>
      <c r="Y171" s="3"/>
      <c r="Z171" s="3"/>
      <c r="AA171" s="3"/>
    </row>
    <row r="172" spans="1:27" ht="24" customHeight="1" x14ac:dyDescent="0.5">
      <c r="A172" s="3"/>
      <c r="B172" s="3"/>
      <c r="C172" s="3"/>
      <c r="D172" s="3"/>
      <c r="E172" s="3"/>
      <c r="F172" s="3"/>
      <c r="G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3"/>
      <c r="U172" s="3"/>
      <c r="V172" s="3"/>
      <c r="W172" s="3"/>
      <c r="X172" s="3"/>
      <c r="Y172" s="3"/>
      <c r="Z172" s="3"/>
      <c r="AA172" s="3"/>
    </row>
    <row r="173" spans="1:27" ht="24" customHeight="1" x14ac:dyDescent="0.5">
      <c r="A173" s="3"/>
      <c r="B173" s="3"/>
      <c r="C173" s="3"/>
      <c r="D173" s="3"/>
      <c r="E173" s="3"/>
      <c r="F173" s="3"/>
      <c r="G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3"/>
      <c r="U173" s="3"/>
      <c r="V173" s="3"/>
      <c r="W173" s="3"/>
      <c r="X173" s="3"/>
      <c r="Y173" s="3"/>
      <c r="Z173" s="3"/>
      <c r="AA173" s="3"/>
    </row>
    <row r="174" spans="1:27" ht="24" customHeight="1" x14ac:dyDescent="0.5">
      <c r="A174" s="3"/>
      <c r="B174" s="3"/>
      <c r="C174" s="3"/>
      <c r="D174" s="3"/>
      <c r="E174" s="3"/>
      <c r="F174" s="3"/>
      <c r="G174" s="3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3"/>
      <c r="U174" s="3"/>
      <c r="V174" s="3"/>
      <c r="W174" s="3"/>
      <c r="X174" s="3"/>
      <c r="Y174" s="3"/>
      <c r="Z174" s="3"/>
      <c r="AA174" s="3"/>
    </row>
    <row r="175" spans="1:27" ht="24" customHeight="1" x14ac:dyDescent="0.5">
      <c r="A175" s="3"/>
      <c r="B175" s="3"/>
      <c r="C175" s="3"/>
      <c r="D175" s="3"/>
      <c r="E175" s="3"/>
      <c r="F175" s="3"/>
      <c r="G175" s="3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3"/>
      <c r="U175" s="3"/>
      <c r="V175" s="3"/>
      <c r="W175" s="3"/>
      <c r="X175" s="3"/>
      <c r="Y175" s="3"/>
      <c r="Z175" s="3"/>
      <c r="AA175" s="3"/>
    </row>
    <row r="176" spans="1:27" ht="24" customHeight="1" x14ac:dyDescent="0.5">
      <c r="A176" s="3"/>
      <c r="B176" s="3"/>
      <c r="C176" s="3"/>
      <c r="D176" s="3"/>
      <c r="E176" s="3"/>
      <c r="F176" s="3"/>
      <c r="G176" s="3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3"/>
      <c r="U176" s="3"/>
      <c r="V176" s="3"/>
      <c r="W176" s="3"/>
      <c r="X176" s="3"/>
      <c r="Y176" s="3"/>
      <c r="Z176" s="3"/>
      <c r="AA176" s="3"/>
    </row>
    <row r="177" spans="1:27" ht="24" customHeight="1" x14ac:dyDescent="0.5">
      <c r="A177" s="3"/>
      <c r="B177" s="3"/>
      <c r="C177" s="3"/>
      <c r="D177" s="3"/>
      <c r="E177" s="3"/>
      <c r="F177" s="3"/>
      <c r="G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3"/>
      <c r="U177" s="3"/>
      <c r="V177" s="3"/>
      <c r="W177" s="3"/>
      <c r="X177" s="3"/>
      <c r="Y177" s="3"/>
      <c r="Z177" s="3"/>
      <c r="AA177" s="3"/>
    </row>
    <row r="178" spans="1:27" ht="24" customHeight="1" x14ac:dyDescent="0.5">
      <c r="A178" s="3"/>
      <c r="B178" s="3"/>
      <c r="C178" s="3"/>
      <c r="D178" s="3"/>
      <c r="E178" s="3"/>
      <c r="F178" s="3"/>
      <c r="G178" s="3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3"/>
      <c r="U178" s="3"/>
      <c r="V178" s="3"/>
      <c r="W178" s="3"/>
      <c r="X178" s="3"/>
      <c r="Y178" s="3"/>
      <c r="Z178" s="3"/>
      <c r="AA178" s="3"/>
    </row>
    <row r="179" spans="1:27" ht="24" customHeight="1" x14ac:dyDescent="0.5">
      <c r="A179" s="3"/>
      <c r="B179" s="3"/>
      <c r="C179" s="3"/>
      <c r="D179" s="3"/>
      <c r="E179" s="3"/>
      <c r="F179" s="3"/>
      <c r="G179" s="3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3"/>
      <c r="U179" s="3"/>
      <c r="V179" s="3"/>
      <c r="W179" s="3"/>
      <c r="X179" s="3"/>
      <c r="Y179" s="3"/>
      <c r="Z179" s="3"/>
      <c r="AA179" s="3"/>
    </row>
    <row r="180" spans="1:27" ht="24" customHeight="1" x14ac:dyDescent="0.5">
      <c r="A180" s="3"/>
      <c r="B180" s="3"/>
      <c r="C180" s="3"/>
      <c r="D180" s="3"/>
      <c r="E180" s="3"/>
      <c r="F180" s="3"/>
      <c r="G180" s="3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3"/>
      <c r="U180" s="3"/>
      <c r="V180" s="3"/>
      <c r="W180" s="3"/>
      <c r="X180" s="3"/>
      <c r="Y180" s="3"/>
      <c r="Z180" s="3"/>
      <c r="AA180" s="3"/>
    </row>
    <row r="181" spans="1:27" ht="24" customHeight="1" x14ac:dyDescent="0.5">
      <c r="A181" s="3"/>
      <c r="B181" s="3"/>
      <c r="C181" s="3"/>
      <c r="D181" s="3"/>
      <c r="E181" s="3"/>
      <c r="F181" s="3"/>
      <c r="G181" s="3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3"/>
      <c r="U181" s="3"/>
      <c r="V181" s="3"/>
      <c r="W181" s="3"/>
      <c r="X181" s="3"/>
      <c r="Y181" s="3"/>
      <c r="Z181" s="3"/>
      <c r="AA181" s="3"/>
    </row>
    <row r="182" spans="1:27" ht="24" customHeight="1" x14ac:dyDescent="0.5">
      <c r="A182" s="3"/>
      <c r="B182" s="3"/>
      <c r="C182" s="3"/>
      <c r="D182" s="3"/>
      <c r="E182" s="3"/>
      <c r="F182" s="3"/>
      <c r="G182" s="3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3"/>
      <c r="U182" s="3"/>
      <c r="V182" s="3"/>
      <c r="W182" s="3"/>
      <c r="X182" s="3"/>
      <c r="Y182" s="3"/>
      <c r="Z182" s="3"/>
      <c r="AA182" s="3"/>
    </row>
    <row r="183" spans="1:27" ht="24" customHeight="1" x14ac:dyDescent="0.5">
      <c r="A183" s="3"/>
      <c r="B183" s="3"/>
      <c r="C183" s="3"/>
      <c r="D183" s="3"/>
      <c r="E183" s="3"/>
      <c r="F183" s="3"/>
      <c r="G183" s="3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3"/>
      <c r="U183" s="3"/>
      <c r="V183" s="3"/>
      <c r="W183" s="3"/>
      <c r="X183" s="3"/>
      <c r="Y183" s="3"/>
      <c r="Z183" s="3"/>
      <c r="AA183" s="3"/>
    </row>
    <row r="184" spans="1:27" ht="24" customHeight="1" x14ac:dyDescent="0.5">
      <c r="A184" s="3"/>
      <c r="B184" s="3"/>
      <c r="C184" s="3"/>
      <c r="D184" s="3"/>
      <c r="E184" s="3"/>
      <c r="F184" s="3"/>
      <c r="G184" s="3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3"/>
      <c r="U184" s="3"/>
      <c r="V184" s="3"/>
      <c r="W184" s="3"/>
      <c r="X184" s="3"/>
      <c r="Y184" s="3"/>
      <c r="Z184" s="3"/>
      <c r="AA184" s="3"/>
    </row>
    <row r="185" spans="1:27" ht="24" customHeight="1" x14ac:dyDescent="0.5">
      <c r="A185" s="3"/>
      <c r="B185" s="3"/>
      <c r="C185" s="3"/>
      <c r="D185" s="3"/>
      <c r="E185" s="3"/>
      <c r="F185" s="3"/>
      <c r="G185" s="3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3"/>
      <c r="U185" s="3"/>
      <c r="V185" s="3"/>
      <c r="W185" s="3"/>
      <c r="X185" s="3"/>
      <c r="Y185" s="3"/>
      <c r="Z185" s="3"/>
      <c r="AA185" s="3"/>
    </row>
    <row r="186" spans="1:27" ht="24" customHeight="1" x14ac:dyDescent="0.5">
      <c r="A186" s="3"/>
      <c r="B186" s="3"/>
      <c r="C186" s="3"/>
      <c r="D186" s="3"/>
      <c r="E186" s="3"/>
      <c r="F186" s="3"/>
      <c r="G186" s="3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3"/>
      <c r="U186" s="3"/>
      <c r="V186" s="3"/>
      <c r="W186" s="3"/>
      <c r="X186" s="3"/>
      <c r="Y186" s="3"/>
      <c r="Z186" s="3"/>
      <c r="AA186" s="3"/>
    </row>
    <row r="187" spans="1:27" ht="24" customHeight="1" x14ac:dyDescent="0.5">
      <c r="A187" s="3"/>
      <c r="B187" s="3"/>
      <c r="C187" s="3"/>
      <c r="D187" s="3"/>
      <c r="E187" s="3"/>
      <c r="F187" s="3"/>
      <c r="G187" s="3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3"/>
      <c r="U187" s="3"/>
      <c r="V187" s="3"/>
      <c r="W187" s="3"/>
      <c r="X187" s="3"/>
      <c r="Y187" s="3"/>
      <c r="Z187" s="3"/>
      <c r="AA187" s="3"/>
    </row>
    <row r="188" spans="1:27" ht="24" customHeight="1" x14ac:dyDescent="0.5">
      <c r="A188" s="3"/>
      <c r="B188" s="3"/>
      <c r="C188" s="3"/>
      <c r="D188" s="3"/>
      <c r="E188" s="3"/>
      <c r="F188" s="3"/>
      <c r="G188" s="3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3"/>
      <c r="U188" s="3"/>
      <c r="V188" s="3"/>
      <c r="W188" s="3"/>
      <c r="X188" s="3"/>
      <c r="Y188" s="3"/>
      <c r="Z188" s="3"/>
      <c r="AA188" s="3"/>
    </row>
    <row r="189" spans="1:27" ht="24" customHeight="1" x14ac:dyDescent="0.5">
      <c r="A189" s="3"/>
      <c r="B189" s="3"/>
      <c r="C189" s="3"/>
      <c r="D189" s="3"/>
      <c r="E189" s="3"/>
      <c r="F189" s="3"/>
      <c r="G189" s="3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3"/>
      <c r="U189" s="3"/>
      <c r="V189" s="3"/>
      <c r="W189" s="3"/>
      <c r="X189" s="3"/>
      <c r="Y189" s="3"/>
      <c r="Z189" s="3"/>
      <c r="AA189" s="3"/>
    </row>
    <row r="190" spans="1:27" ht="24" customHeight="1" x14ac:dyDescent="0.5">
      <c r="A190" s="3"/>
      <c r="B190" s="3"/>
      <c r="C190" s="3"/>
      <c r="D190" s="3"/>
      <c r="E190" s="3"/>
      <c r="F190" s="3"/>
      <c r="G190" s="3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3"/>
      <c r="U190" s="3"/>
      <c r="V190" s="3"/>
      <c r="W190" s="3"/>
      <c r="X190" s="3"/>
      <c r="Y190" s="3"/>
      <c r="Z190" s="3"/>
      <c r="AA190" s="3"/>
    </row>
    <row r="191" spans="1:27" ht="24" customHeight="1" x14ac:dyDescent="0.5">
      <c r="A191" s="3"/>
      <c r="B191" s="3"/>
      <c r="C191" s="3"/>
      <c r="D191" s="3"/>
      <c r="E191" s="3"/>
      <c r="F191" s="3"/>
      <c r="G191" s="3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3"/>
      <c r="U191" s="3"/>
      <c r="V191" s="3"/>
      <c r="W191" s="3"/>
      <c r="X191" s="3"/>
      <c r="Y191" s="3"/>
      <c r="Z191" s="3"/>
      <c r="AA191" s="3"/>
    </row>
    <row r="192" spans="1:27" ht="24" customHeight="1" x14ac:dyDescent="0.5">
      <c r="A192" s="3"/>
      <c r="B192" s="3"/>
      <c r="C192" s="3"/>
      <c r="D192" s="3"/>
      <c r="E192" s="3"/>
      <c r="F192" s="3"/>
      <c r="G192" s="3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3"/>
      <c r="U192" s="3"/>
      <c r="V192" s="3"/>
      <c r="W192" s="3"/>
      <c r="X192" s="3"/>
      <c r="Y192" s="3"/>
      <c r="Z192" s="3"/>
      <c r="AA192" s="3"/>
    </row>
    <row r="193" spans="1:27" ht="24" customHeight="1" x14ac:dyDescent="0.5">
      <c r="A193" s="3"/>
      <c r="B193" s="3"/>
      <c r="C193" s="3"/>
      <c r="D193" s="3"/>
      <c r="E193" s="3"/>
      <c r="F193" s="3"/>
      <c r="G193" s="3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3"/>
      <c r="U193" s="3"/>
      <c r="V193" s="3"/>
      <c r="W193" s="3"/>
      <c r="X193" s="3"/>
      <c r="Y193" s="3"/>
      <c r="Z193" s="3"/>
      <c r="AA193" s="3"/>
    </row>
    <row r="194" spans="1:27" ht="24" customHeight="1" x14ac:dyDescent="0.5">
      <c r="A194" s="3"/>
      <c r="B194" s="3"/>
      <c r="C194" s="3"/>
      <c r="D194" s="3"/>
      <c r="E194" s="3"/>
      <c r="F194" s="3"/>
      <c r="G194" s="3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3"/>
      <c r="U194" s="3"/>
      <c r="V194" s="3"/>
      <c r="W194" s="3"/>
      <c r="X194" s="3"/>
      <c r="Y194" s="3"/>
      <c r="Z194" s="3"/>
      <c r="AA194" s="3"/>
    </row>
    <row r="195" spans="1:27" ht="24" customHeight="1" x14ac:dyDescent="0.5">
      <c r="A195" s="3"/>
      <c r="B195" s="3"/>
      <c r="C195" s="3"/>
      <c r="D195" s="3"/>
      <c r="E195" s="3"/>
      <c r="F195" s="3"/>
      <c r="G195" s="3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3"/>
      <c r="U195" s="3"/>
      <c r="V195" s="3"/>
      <c r="W195" s="3"/>
      <c r="X195" s="3"/>
      <c r="Y195" s="3"/>
      <c r="Z195" s="3"/>
      <c r="AA195" s="3"/>
    </row>
    <row r="196" spans="1:27" ht="24" customHeight="1" x14ac:dyDescent="0.5">
      <c r="A196" s="3"/>
      <c r="B196" s="3"/>
      <c r="C196" s="3"/>
      <c r="D196" s="3"/>
      <c r="E196" s="3"/>
      <c r="F196" s="3"/>
      <c r="G196" s="3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3"/>
      <c r="U196" s="3"/>
      <c r="V196" s="3"/>
      <c r="W196" s="3"/>
      <c r="X196" s="3"/>
      <c r="Y196" s="3"/>
      <c r="Z196" s="3"/>
      <c r="AA196" s="3"/>
    </row>
    <row r="197" spans="1:27" ht="24" customHeight="1" x14ac:dyDescent="0.5">
      <c r="A197" s="3"/>
      <c r="B197" s="3"/>
      <c r="C197" s="3"/>
      <c r="D197" s="3"/>
      <c r="E197" s="3"/>
      <c r="F197" s="3"/>
      <c r="G197" s="3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3"/>
      <c r="U197" s="3"/>
      <c r="V197" s="3"/>
      <c r="W197" s="3"/>
      <c r="X197" s="3"/>
      <c r="Y197" s="3"/>
      <c r="Z197" s="3"/>
      <c r="AA197" s="3"/>
    </row>
    <row r="198" spans="1:27" ht="24" customHeight="1" x14ac:dyDescent="0.5">
      <c r="A198" s="3"/>
      <c r="B198" s="3"/>
      <c r="C198" s="3"/>
      <c r="D198" s="3"/>
      <c r="E198" s="3"/>
      <c r="F198" s="3"/>
      <c r="G198" s="3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3"/>
      <c r="U198" s="3"/>
      <c r="V198" s="3"/>
      <c r="W198" s="3"/>
      <c r="X198" s="3"/>
      <c r="Y198" s="3"/>
      <c r="Z198" s="3"/>
      <c r="AA198" s="3"/>
    </row>
    <row r="199" spans="1:27" ht="24" customHeight="1" x14ac:dyDescent="0.5">
      <c r="A199" s="3"/>
      <c r="B199" s="3"/>
      <c r="C199" s="3"/>
      <c r="D199" s="3"/>
      <c r="E199" s="3"/>
      <c r="F199" s="3"/>
      <c r="G199" s="3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3"/>
      <c r="U199" s="3"/>
      <c r="V199" s="3"/>
      <c r="W199" s="3"/>
      <c r="X199" s="3"/>
      <c r="Y199" s="3"/>
      <c r="Z199" s="3"/>
      <c r="AA199" s="3"/>
    </row>
    <row r="200" spans="1:27" ht="24" customHeight="1" x14ac:dyDescent="0.5">
      <c r="A200" s="3"/>
      <c r="B200" s="3"/>
      <c r="C200" s="3"/>
      <c r="D200" s="3"/>
      <c r="E200" s="3"/>
      <c r="F200" s="3"/>
      <c r="G200" s="3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3"/>
      <c r="U200" s="3"/>
      <c r="V200" s="3"/>
      <c r="W200" s="3"/>
      <c r="X200" s="3"/>
      <c r="Y200" s="3"/>
      <c r="Z200" s="3"/>
      <c r="AA200" s="3"/>
    </row>
    <row r="201" spans="1:27" ht="24" customHeight="1" x14ac:dyDescent="0.5">
      <c r="A201" s="3"/>
      <c r="B201" s="3"/>
      <c r="C201" s="3"/>
      <c r="D201" s="3"/>
      <c r="E201" s="3"/>
      <c r="F201" s="3"/>
      <c r="G201" s="3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3"/>
      <c r="U201" s="3"/>
      <c r="V201" s="3"/>
      <c r="W201" s="3"/>
      <c r="X201" s="3"/>
      <c r="Y201" s="3"/>
      <c r="Z201" s="3"/>
      <c r="AA201" s="3"/>
    </row>
    <row r="202" spans="1:27" ht="24" customHeight="1" x14ac:dyDescent="0.5">
      <c r="A202" s="3"/>
      <c r="B202" s="3"/>
      <c r="C202" s="3"/>
      <c r="D202" s="3"/>
      <c r="E202" s="3"/>
      <c r="F202" s="3"/>
      <c r="G202" s="3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3"/>
      <c r="U202" s="3"/>
      <c r="V202" s="3"/>
      <c r="W202" s="3"/>
      <c r="X202" s="3"/>
      <c r="Y202" s="3"/>
      <c r="Z202" s="3"/>
      <c r="AA202" s="3"/>
    </row>
    <row r="203" spans="1:27" ht="24" customHeight="1" x14ac:dyDescent="0.5">
      <c r="A203" s="3"/>
      <c r="B203" s="3"/>
      <c r="C203" s="3"/>
      <c r="D203" s="3"/>
      <c r="E203" s="3"/>
      <c r="F203" s="3"/>
      <c r="G203" s="3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3"/>
      <c r="U203" s="3"/>
      <c r="V203" s="3"/>
      <c r="W203" s="3"/>
      <c r="X203" s="3"/>
      <c r="Y203" s="3"/>
      <c r="Z203" s="3"/>
      <c r="AA203" s="3"/>
    </row>
    <row r="204" spans="1:27" ht="24" customHeight="1" x14ac:dyDescent="0.5">
      <c r="A204" s="3"/>
      <c r="B204" s="3"/>
      <c r="C204" s="3"/>
      <c r="D204" s="3"/>
      <c r="E204" s="3"/>
      <c r="F204" s="3"/>
      <c r="G204" s="3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3"/>
      <c r="U204" s="3"/>
      <c r="V204" s="3"/>
      <c r="W204" s="3"/>
      <c r="X204" s="3"/>
      <c r="Y204" s="3"/>
      <c r="Z204" s="3"/>
      <c r="AA204" s="3"/>
    </row>
    <row r="205" spans="1:27" ht="24" customHeight="1" x14ac:dyDescent="0.5">
      <c r="A205" s="3"/>
      <c r="B205" s="3"/>
      <c r="C205" s="3"/>
      <c r="D205" s="3"/>
      <c r="E205" s="3"/>
      <c r="F205" s="3"/>
      <c r="G205" s="3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3"/>
      <c r="U205" s="3"/>
      <c r="V205" s="3"/>
      <c r="W205" s="3"/>
      <c r="X205" s="3"/>
      <c r="Y205" s="3"/>
      <c r="Z205" s="3"/>
      <c r="AA205" s="3"/>
    </row>
    <row r="206" spans="1:27" ht="24" customHeight="1" x14ac:dyDescent="0.5">
      <c r="A206" s="3"/>
      <c r="B206" s="3"/>
      <c r="C206" s="3"/>
      <c r="D206" s="3"/>
      <c r="E206" s="3"/>
      <c r="F206" s="3"/>
      <c r="G206" s="3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3"/>
      <c r="U206" s="3"/>
      <c r="V206" s="3"/>
      <c r="W206" s="3"/>
      <c r="X206" s="3"/>
      <c r="Y206" s="3"/>
      <c r="Z206" s="3"/>
      <c r="AA206" s="3"/>
    </row>
    <row r="207" spans="1:27" ht="24" customHeight="1" x14ac:dyDescent="0.5">
      <c r="A207" s="3"/>
      <c r="B207" s="3"/>
      <c r="C207" s="3"/>
      <c r="D207" s="3"/>
      <c r="E207" s="3"/>
      <c r="F207" s="3"/>
      <c r="G207" s="3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3"/>
      <c r="U207" s="3"/>
      <c r="V207" s="3"/>
      <c r="W207" s="3"/>
      <c r="X207" s="3"/>
      <c r="Y207" s="3"/>
      <c r="Z207" s="3"/>
      <c r="AA207" s="3"/>
    </row>
    <row r="208" spans="1:27" ht="24" customHeight="1" x14ac:dyDescent="0.5">
      <c r="A208" s="3"/>
      <c r="B208" s="3"/>
      <c r="C208" s="3"/>
      <c r="D208" s="3"/>
      <c r="E208" s="3"/>
      <c r="F208" s="3"/>
      <c r="G208" s="3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3"/>
      <c r="U208" s="3"/>
      <c r="V208" s="3"/>
      <c r="W208" s="3"/>
      <c r="X208" s="3"/>
      <c r="Y208" s="3"/>
      <c r="Z208" s="3"/>
      <c r="AA208" s="3"/>
    </row>
    <row r="209" spans="1:27" ht="24" customHeight="1" x14ac:dyDescent="0.5">
      <c r="A209" s="3"/>
      <c r="B209" s="3"/>
      <c r="C209" s="3"/>
      <c r="D209" s="3"/>
      <c r="E209" s="3"/>
      <c r="F209" s="3"/>
      <c r="G209" s="3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3"/>
      <c r="U209" s="3"/>
      <c r="V209" s="3"/>
      <c r="W209" s="3"/>
      <c r="X209" s="3"/>
      <c r="Y209" s="3"/>
      <c r="Z209" s="3"/>
      <c r="AA209" s="3"/>
    </row>
    <row r="210" spans="1:27" ht="24" customHeight="1" x14ac:dyDescent="0.5">
      <c r="A210" s="3"/>
      <c r="B210" s="3"/>
      <c r="C210" s="3"/>
      <c r="D210" s="3"/>
      <c r="E210" s="3"/>
      <c r="F210" s="3"/>
      <c r="G210" s="3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3"/>
      <c r="U210" s="3"/>
      <c r="V210" s="3"/>
      <c r="W210" s="3"/>
      <c r="X210" s="3"/>
      <c r="Y210" s="3"/>
      <c r="Z210" s="3"/>
      <c r="AA210" s="3"/>
    </row>
    <row r="211" spans="1:27" ht="24" customHeight="1" x14ac:dyDescent="0.5">
      <c r="A211" s="3"/>
      <c r="B211" s="3"/>
      <c r="C211" s="3"/>
      <c r="D211" s="3"/>
      <c r="E211" s="3"/>
      <c r="F211" s="3"/>
      <c r="G211" s="3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3"/>
      <c r="U211" s="3"/>
      <c r="V211" s="3"/>
      <c r="W211" s="3"/>
      <c r="X211" s="3"/>
      <c r="Y211" s="3"/>
      <c r="Z211" s="3"/>
      <c r="AA211" s="3"/>
    </row>
    <row r="212" spans="1:27" ht="24" customHeight="1" x14ac:dyDescent="0.5">
      <c r="A212" s="3"/>
      <c r="B212" s="3"/>
      <c r="C212" s="3"/>
      <c r="D212" s="3"/>
      <c r="E212" s="3"/>
      <c r="F212" s="3"/>
      <c r="G212" s="3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3"/>
      <c r="U212" s="3"/>
      <c r="V212" s="3"/>
      <c r="W212" s="3"/>
      <c r="X212" s="3"/>
      <c r="Y212" s="3"/>
      <c r="Z212" s="3"/>
      <c r="AA212" s="3"/>
    </row>
    <row r="213" spans="1:27" ht="24" customHeight="1" x14ac:dyDescent="0.5">
      <c r="A213" s="3"/>
      <c r="B213" s="3"/>
      <c r="C213" s="3"/>
      <c r="D213" s="3"/>
      <c r="E213" s="3"/>
      <c r="F213" s="3"/>
      <c r="G213" s="3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3"/>
      <c r="U213" s="3"/>
      <c r="V213" s="3"/>
      <c r="W213" s="3"/>
      <c r="X213" s="3"/>
      <c r="Y213" s="3"/>
      <c r="Z213" s="3"/>
      <c r="AA213" s="3"/>
    </row>
    <row r="214" spans="1:27" ht="24" customHeight="1" x14ac:dyDescent="0.5">
      <c r="A214" s="3"/>
      <c r="B214" s="3"/>
      <c r="C214" s="3"/>
      <c r="D214" s="3"/>
      <c r="E214" s="3"/>
      <c r="F214" s="3"/>
      <c r="G214" s="3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3"/>
      <c r="U214" s="3"/>
      <c r="V214" s="3"/>
      <c r="W214" s="3"/>
      <c r="X214" s="3"/>
      <c r="Y214" s="3"/>
      <c r="Z214" s="3"/>
      <c r="AA214" s="3"/>
    </row>
    <row r="215" spans="1:27" ht="24" customHeight="1" x14ac:dyDescent="0.5">
      <c r="A215" s="3"/>
      <c r="B215" s="3"/>
      <c r="C215" s="3"/>
      <c r="D215" s="3"/>
      <c r="E215" s="3"/>
      <c r="F215" s="3"/>
      <c r="G215" s="3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3"/>
      <c r="U215" s="3"/>
      <c r="V215" s="3"/>
      <c r="W215" s="3"/>
      <c r="X215" s="3"/>
      <c r="Y215" s="3"/>
      <c r="Z215" s="3"/>
      <c r="AA215" s="3"/>
    </row>
    <row r="216" spans="1:27" ht="24" customHeight="1" x14ac:dyDescent="0.5">
      <c r="A216" s="3"/>
      <c r="B216" s="3"/>
      <c r="C216" s="3"/>
      <c r="D216" s="3"/>
      <c r="E216" s="3"/>
      <c r="F216" s="3"/>
      <c r="G216" s="3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3"/>
      <c r="U216" s="3"/>
      <c r="V216" s="3"/>
      <c r="W216" s="3"/>
      <c r="X216" s="3"/>
      <c r="Y216" s="3"/>
      <c r="Z216" s="3"/>
      <c r="AA216" s="3"/>
    </row>
    <row r="217" spans="1:27" ht="24" customHeight="1" x14ac:dyDescent="0.5">
      <c r="A217" s="3"/>
      <c r="B217" s="3"/>
      <c r="C217" s="3"/>
      <c r="D217" s="3"/>
      <c r="E217" s="3"/>
      <c r="F217" s="3"/>
      <c r="G217" s="3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3"/>
      <c r="U217" s="3"/>
      <c r="V217" s="3"/>
      <c r="W217" s="3"/>
      <c r="X217" s="3"/>
      <c r="Y217" s="3"/>
      <c r="Z217" s="3"/>
      <c r="AA217" s="3"/>
    </row>
    <row r="218" spans="1:27" ht="24" customHeight="1" x14ac:dyDescent="0.5">
      <c r="A218" s="3"/>
      <c r="B218" s="3"/>
      <c r="C218" s="3"/>
      <c r="D218" s="3"/>
      <c r="E218" s="3"/>
      <c r="F218" s="3"/>
      <c r="G218" s="3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3"/>
      <c r="U218" s="3"/>
      <c r="V218" s="3"/>
      <c r="W218" s="3"/>
      <c r="X218" s="3"/>
      <c r="Y218" s="3"/>
      <c r="Z218" s="3"/>
      <c r="AA218" s="3"/>
    </row>
    <row r="219" spans="1:27" ht="24" customHeight="1" x14ac:dyDescent="0.5">
      <c r="A219" s="3"/>
      <c r="B219" s="3"/>
      <c r="C219" s="3"/>
      <c r="D219" s="3"/>
      <c r="E219" s="3"/>
      <c r="F219" s="3"/>
      <c r="G219" s="3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3"/>
      <c r="U219" s="3"/>
      <c r="V219" s="3"/>
      <c r="W219" s="3"/>
      <c r="X219" s="3"/>
      <c r="Y219" s="3"/>
      <c r="Z219" s="3"/>
      <c r="AA219" s="3"/>
    </row>
    <row r="220" spans="1:27" ht="24" customHeight="1" x14ac:dyDescent="0.5">
      <c r="A220" s="3"/>
      <c r="B220" s="3"/>
      <c r="C220" s="3"/>
      <c r="D220" s="3"/>
      <c r="E220" s="3"/>
      <c r="F220" s="3"/>
      <c r="G220" s="3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3"/>
      <c r="U220" s="3"/>
      <c r="V220" s="3"/>
      <c r="W220" s="3"/>
      <c r="X220" s="3"/>
      <c r="Y220" s="3"/>
      <c r="Z220" s="3"/>
      <c r="AA220" s="3"/>
    </row>
    <row r="221" spans="1:27" ht="24" customHeight="1" x14ac:dyDescent="0.5">
      <c r="A221" s="3"/>
      <c r="B221" s="3"/>
      <c r="C221" s="3"/>
      <c r="D221" s="3"/>
      <c r="E221" s="3"/>
      <c r="F221" s="3"/>
      <c r="G221" s="3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3"/>
      <c r="U221" s="3"/>
      <c r="V221" s="3"/>
      <c r="W221" s="3"/>
      <c r="X221" s="3"/>
      <c r="Y221" s="3"/>
      <c r="Z221" s="3"/>
      <c r="AA221" s="3"/>
    </row>
    <row r="222" spans="1:27" ht="24" customHeight="1" x14ac:dyDescent="0.5">
      <c r="A222" s="3"/>
      <c r="B222" s="3"/>
      <c r="C222" s="3"/>
      <c r="D222" s="3"/>
      <c r="E222" s="3"/>
      <c r="F222" s="3"/>
      <c r="G222" s="3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3"/>
      <c r="U222" s="3"/>
      <c r="V222" s="3"/>
      <c r="W222" s="3"/>
      <c r="X222" s="3"/>
      <c r="Y222" s="3"/>
      <c r="Z222" s="3"/>
      <c r="AA222" s="3"/>
    </row>
    <row r="223" spans="1:27" ht="24" customHeight="1" x14ac:dyDescent="0.5">
      <c r="A223" s="3"/>
      <c r="B223" s="3"/>
      <c r="C223" s="3"/>
      <c r="D223" s="3"/>
      <c r="E223" s="3"/>
      <c r="F223" s="3"/>
      <c r="G223" s="3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3"/>
      <c r="U223" s="3"/>
      <c r="V223" s="3"/>
      <c r="W223" s="3"/>
      <c r="X223" s="3"/>
      <c r="Y223" s="3"/>
      <c r="Z223" s="3"/>
      <c r="AA223" s="3"/>
    </row>
    <row r="224" spans="1:27" ht="24" customHeight="1" x14ac:dyDescent="0.5">
      <c r="A224" s="3"/>
      <c r="B224" s="3"/>
      <c r="C224" s="3"/>
      <c r="D224" s="3"/>
      <c r="E224" s="3"/>
      <c r="F224" s="3"/>
      <c r="G224" s="3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3"/>
      <c r="U224" s="3"/>
      <c r="V224" s="3"/>
      <c r="W224" s="3"/>
      <c r="X224" s="3"/>
      <c r="Y224" s="3"/>
      <c r="Z224" s="3"/>
      <c r="AA224" s="3"/>
    </row>
    <row r="225" spans="1:27" ht="24" customHeight="1" x14ac:dyDescent="0.5">
      <c r="A225" s="3"/>
      <c r="B225" s="3"/>
      <c r="C225" s="3"/>
      <c r="D225" s="3"/>
      <c r="E225" s="3"/>
      <c r="F225" s="3"/>
      <c r="G225" s="3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3"/>
      <c r="U225" s="3"/>
      <c r="V225" s="3"/>
      <c r="W225" s="3"/>
      <c r="X225" s="3"/>
      <c r="Y225" s="3"/>
      <c r="Z225" s="3"/>
      <c r="AA225" s="3"/>
    </row>
    <row r="226" spans="1:27" ht="24" customHeight="1" x14ac:dyDescent="0.5">
      <c r="A226" s="3"/>
      <c r="B226" s="3"/>
      <c r="C226" s="3"/>
      <c r="D226" s="3"/>
      <c r="E226" s="3"/>
      <c r="F226" s="3"/>
      <c r="G226" s="3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3"/>
      <c r="U226" s="3"/>
      <c r="V226" s="3"/>
      <c r="W226" s="3"/>
      <c r="X226" s="3"/>
      <c r="Y226" s="3"/>
      <c r="Z226" s="3"/>
      <c r="AA226" s="3"/>
    </row>
    <row r="227" spans="1:27" ht="24" customHeight="1" x14ac:dyDescent="0.5">
      <c r="A227" s="3"/>
      <c r="B227" s="3"/>
      <c r="C227" s="3"/>
      <c r="D227" s="3"/>
      <c r="E227" s="3"/>
      <c r="F227" s="3"/>
      <c r="G227" s="3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3"/>
      <c r="U227" s="3"/>
      <c r="V227" s="3"/>
      <c r="W227" s="3"/>
      <c r="X227" s="3"/>
      <c r="Y227" s="3"/>
      <c r="Z227" s="3"/>
      <c r="AA227" s="3"/>
    </row>
    <row r="228" spans="1:27" ht="24" customHeight="1" x14ac:dyDescent="0.5">
      <c r="A228" s="3"/>
      <c r="B228" s="3"/>
      <c r="C228" s="3"/>
      <c r="D228" s="3"/>
      <c r="E228" s="3"/>
      <c r="F228" s="3"/>
      <c r="G228" s="3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3"/>
      <c r="U228" s="3"/>
      <c r="V228" s="3"/>
      <c r="W228" s="3"/>
      <c r="X228" s="3"/>
      <c r="Y228" s="3"/>
      <c r="Z228" s="3"/>
      <c r="AA228" s="3"/>
    </row>
    <row r="229" spans="1:27" ht="24" customHeight="1" x14ac:dyDescent="0.5">
      <c r="A229" s="3"/>
      <c r="B229" s="3"/>
      <c r="C229" s="3"/>
      <c r="D229" s="3"/>
      <c r="E229" s="3"/>
      <c r="F229" s="3"/>
      <c r="G229" s="3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3"/>
      <c r="U229" s="3"/>
      <c r="V229" s="3"/>
      <c r="W229" s="3"/>
      <c r="X229" s="3"/>
      <c r="Y229" s="3"/>
      <c r="Z229" s="3"/>
      <c r="AA229" s="3"/>
    </row>
    <row r="230" spans="1:27" ht="24" customHeight="1" x14ac:dyDescent="0.5">
      <c r="A230" s="3"/>
      <c r="B230" s="3"/>
      <c r="C230" s="3"/>
      <c r="D230" s="3"/>
      <c r="E230" s="3"/>
      <c r="F230" s="3"/>
      <c r="G230" s="3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3"/>
      <c r="U230" s="3"/>
      <c r="V230" s="3"/>
      <c r="W230" s="3"/>
      <c r="X230" s="3"/>
      <c r="Y230" s="3"/>
      <c r="Z230" s="3"/>
      <c r="AA230" s="3"/>
    </row>
    <row r="231" spans="1:27" ht="24" customHeight="1" x14ac:dyDescent="0.5">
      <c r="A231" s="3"/>
      <c r="B231" s="3"/>
      <c r="C231" s="3"/>
      <c r="D231" s="3"/>
      <c r="E231" s="3"/>
      <c r="F231" s="3"/>
      <c r="G231" s="3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3"/>
      <c r="U231" s="3"/>
      <c r="V231" s="3"/>
      <c r="W231" s="3"/>
      <c r="X231" s="3"/>
      <c r="Y231" s="3"/>
      <c r="Z231" s="3"/>
      <c r="AA231" s="3"/>
    </row>
    <row r="232" spans="1:27" ht="24" customHeight="1" x14ac:dyDescent="0.5">
      <c r="A232" s="3"/>
      <c r="B232" s="3"/>
      <c r="C232" s="3"/>
      <c r="D232" s="3"/>
      <c r="E232" s="3"/>
      <c r="F232" s="3"/>
      <c r="G232" s="3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3"/>
      <c r="U232" s="3"/>
      <c r="V232" s="3"/>
      <c r="W232" s="3"/>
      <c r="X232" s="3"/>
      <c r="Y232" s="3"/>
      <c r="Z232" s="3"/>
      <c r="AA232" s="3"/>
    </row>
    <row r="233" spans="1:27" ht="24" customHeight="1" x14ac:dyDescent="0.5">
      <c r="A233" s="3"/>
      <c r="B233" s="3"/>
      <c r="C233" s="3"/>
      <c r="D233" s="3"/>
      <c r="E233" s="3"/>
      <c r="F233" s="3"/>
      <c r="G233" s="3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3"/>
      <c r="U233" s="3"/>
      <c r="V233" s="3"/>
      <c r="W233" s="3"/>
      <c r="X233" s="3"/>
      <c r="Y233" s="3"/>
      <c r="Z233" s="3"/>
      <c r="AA233" s="3"/>
    </row>
    <row r="234" spans="1:27" ht="24" customHeight="1" x14ac:dyDescent="0.5">
      <c r="A234" s="3"/>
      <c r="B234" s="3"/>
      <c r="C234" s="3"/>
      <c r="D234" s="3"/>
      <c r="E234" s="3"/>
      <c r="F234" s="3"/>
      <c r="G234" s="3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3"/>
      <c r="U234" s="3"/>
      <c r="V234" s="3"/>
      <c r="W234" s="3"/>
      <c r="X234" s="3"/>
      <c r="Y234" s="3"/>
      <c r="Z234" s="3"/>
      <c r="AA234" s="3"/>
    </row>
    <row r="235" spans="1:27" ht="24" customHeight="1" x14ac:dyDescent="0.5">
      <c r="A235" s="3"/>
      <c r="B235" s="3"/>
      <c r="C235" s="3"/>
      <c r="D235" s="3"/>
      <c r="E235" s="3"/>
      <c r="F235" s="3"/>
      <c r="G235" s="3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3"/>
      <c r="U235" s="3"/>
      <c r="V235" s="3"/>
      <c r="W235" s="3"/>
      <c r="X235" s="3"/>
      <c r="Y235" s="3"/>
      <c r="Z235" s="3"/>
      <c r="AA235" s="3"/>
    </row>
    <row r="236" spans="1:27" ht="24" customHeight="1" x14ac:dyDescent="0.5">
      <c r="A236" s="3"/>
      <c r="B236" s="3"/>
      <c r="C236" s="3"/>
      <c r="D236" s="3"/>
      <c r="E236" s="3"/>
      <c r="F236" s="3"/>
      <c r="G236" s="3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3"/>
      <c r="U236" s="3"/>
      <c r="V236" s="3"/>
      <c r="W236" s="3"/>
      <c r="X236" s="3"/>
      <c r="Y236" s="3"/>
      <c r="Z236" s="3"/>
      <c r="AA236" s="3"/>
    </row>
    <row r="237" spans="1:27" ht="24" customHeight="1" x14ac:dyDescent="0.5">
      <c r="A237" s="3"/>
      <c r="B237" s="3"/>
      <c r="C237" s="3"/>
      <c r="D237" s="3"/>
      <c r="E237" s="3"/>
      <c r="F237" s="3"/>
      <c r="G237" s="3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3"/>
      <c r="U237" s="3"/>
      <c r="V237" s="3"/>
      <c r="W237" s="3"/>
      <c r="X237" s="3"/>
      <c r="Y237" s="3"/>
      <c r="Z237" s="3"/>
      <c r="AA237" s="3"/>
    </row>
    <row r="238" spans="1:27" ht="24" customHeight="1" x14ac:dyDescent="0.5">
      <c r="A238" s="3"/>
      <c r="B238" s="3"/>
      <c r="C238" s="3"/>
      <c r="D238" s="3"/>
      <c r="E238" s="3"/>
      <c r="F238" s="3"/>
      <c r="G238" s="3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3"/>
      <c r="U238" s="3"/>
      <c r="V238" s="3"/>
      <c r="W238" s="3"/>
      <c r="X238" s="3"/>
      <c r="Y238" s="3"/>
      <c r="Z238" s="3"/>
      <c r="AA238" s="3"/>
    </row>
    <row r="239" spans="1:27" ht="24" customHeight="1" x14ac:dyDescent="0.5">
      <c r="A239" s="3"/>
      <c r="B239" s="3"/>
      <c r="C239" s="3"/>
      <c r="D239" s="3"/>
      <c r="E239" s="3"/>
      <c r="F239" s="3"/>
      <c r="G239" s="3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3"/>
      <c r="U239" s="3"/>
      <c r="V239" s="3"/>
      <c r="W239" s="3"/>
      <c r="X239" s="3"/>
      <c r="Y239" s="3"/>
      <c r="Z239" s="3"/>
      <c r="AA239" s="3"/>
    </row>
    <row r="240" spans="1:27" ht="24" customHeight="1" x14ac:dyDescent="0.5">
      <c r="A240" s="3"/>
      <c r="B240" s="3"/>
      <c r="C240" s="3"/>
      <c r="D240" s="3"/>
      <c r="E240" s="3"/>
      <c r="F240" s="3"/>
      <c r="G240" s="3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3"/>
      <c r="U240" s="3"/>
      <c r="V240" s="3"/>
      <c r="W240" s="3"/>
      <c r="X240" s="3"/>
      <c r="Y240" s="3"/>
      <c r="Z240" s="3"/>
      <c r="AA240" s="3"/>
    </row>
    <row r="241" spans="1:27" ht="24" customHeight="1" x14ac:dyDescent="0.5">
      <c r="A241" s="3"/>
      <c r="B241" s="3"/>
      <c r="C241" s="3"/>
      <c r="D241" s="3"/>
      <c r="E241" s="3"/>
      <c r="F241" s="3"/>
      <c r="G241" s="3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3"/>
      <c r="U241" s="3"/>
      <c r="V241" s="3"/>
      <c r="W241" s="3"/>
      <c r="X241" s="3"/>
      <c r="Y241" s="3"/>
      <c r="Z241" s="3"/>
      <c r="AA241" s="3"/>
    </row>
    <row r="242" spans="1:27" ht="24" customHeight="1" x14ac:dyDescent="0.5">
      <c r="A242" s="3"/>
      <c r="B242" s="3"/>
      <c r="C242" s="3"/>
      <c r="D242" s="3"/>
      <c r="E242" s="3"/>
      <c r="F242" s="3"/>
      <c r="G242" s="3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3"/>
      <c r="U242" s="3"/>
      <c r="V242" s="3"/>
      <c r="W242" s="3"/>
      <c r="X242" s="3"/>
      <c r="Y242" s="3"/>
      <c r="Z242" s="3"/>
      <c r="AA242" s="3"/>
    </row>
    <row r="243" spans="1:27" ht="24" customHeight="1" x14ac:dyDescent="0.5">
      <c r="A243" s="3"/>
      <c r="B243" s="3"/>
      <c r="C243" s="3"/>
      <c r="D243" s="3"/>
      <c r="E243" s="3"/>
      <c r="F243" s="3"/>
      <c r="G243" s="3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3"/>
      <c r="U243" s="3"/>
      <c r="V243" s="3"/>
      <c r="W243" s="3"/>
      <c r="X243" s="3"/>
      <c r="Y243" s="3"/>
      <c r="Z243" s="3"/>
      <c r="AA243" s="3"/>
    </row>
    <row r="244" spans="1:27" ht="24" customHeight="1" x14ac:dyDescent="0.5">
      <c r="A244" s="3"/>
      <c r="B244" s="3"/>
      <c r="C244" s="3"/>
      <c r="D244" s="3"/>
      <c r="E244" s="3"/>
      <c r="F244" s="3"/>
      <c r="G244" s="3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3"/>
      <c r="U244" s="3"/>
      <c r="V244" s="3"/>
      <c r="W244" s="3"/>
      <c r="X244" s="3"/>
      <c r="Y244" s="3"/>
      <c r="Z244" s="3"/>
      <c r="AA244" s="3"/>
    </row>
    <row r="245" spans="1:27" ht="24" customHeight="1" x14ac:dyDescent="0.5">
      <c r="A245" s="3"/>
      <c r="B245" s="3"/>
      <c r="C245" s="3"/>
      <c r="D245" s="3"/>
      <c r="E245" s="3"/>
      <c r="F245" s="3"/>
      <c r="G245" s="3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3"/>
      <c r="U245" s="3"/>
      <c r="V245" s="3"/>
      <c r="W245" s="3"/>
      <c r="X245" s="3"/>
      <c r="Y245" s="3"/>
      <c r="Z245" s="3"/>
      <c r="AA245" s="3"/>
    </row>
    <row r="246" spans="1:27" ht="24" customHeight="1" x14ac:dyDescent="0.5">
      <c r="A246" s="3"/>
      <c r="B246" s="3"/>
      <c r="C246" s="3"/>
      <c r="D246" s="3"/>
      <c r="E246" s="3"/>
      <c r="F246" s="3"/>
      <c r="G246" s="3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3"/>
      <c r="U246" s="3"/>
      <c r="V246" s="3"/>
      <c r="W246" s="3"/>
      <c r="X246" s="3"/>
      <c r="Y246" s="3"/>
      <c r="Z246" s="3"/>
      <c r="AA246" s="3"/>
    </row>
    <row r="247" spans="1:27" ht="24" customHeight="1" x14ac:dyDescent="0.5">
      <c r="A247" s="3"/>
      <c r="B247" s="3"/>
      <c r="C247" s="3"/>
      <c r="D247" s="3"/>
      <c r="E247" s="3"/>
      <c r="F247" s="3"/>
      <c r="G247" s="3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3"/>
      <c r="U247" s="3"/>
      <c r="V247" s="3"/>
      <c r="W247" s="3"/>
      <c r="X247" s="3"/>
      <c r="Y247" s="3"/>
      <c r="Z247" s="3"/>
      <c r="AA247" s="3"/>
    </row>
    <row r="248" spans="1:27" ht="24" customHeight="1" x14ac:dyDescent="0.5">
      <c r="A248" s="3"/>
      <c r="B248" s="3"/>
      <c r="C248" s="3"/>
      <c r="D248" s="3"/>
      <c r="E248" s="3"/>
      <c r="F248" s="3"/>
      <c r="G248" s="3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3"/>
      <c r="U248" s="3"/>
      <c r="V248" s="3"/>
      <c r="W248" s="3"/>
      <c r="X248" s="3"/>
      <c r="Y248" s="3"/>
      <c r="Z248" s="3"/>
      <c r="AA248" s="3"/>
    </row>
    <row r="249" spans="1:27" ht="24" customHeight="1" x14ac:dyDescent="0.5">
      <c r="A249" s="3"/>
      <c r="B249" s="3"/>
      <c r="C249" s="3"/>
      <c r="D249" s="3"/>
      <c r="E249" s="3"/>
      <c r="F249" s="3"/>
      <c r="G249" s="3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3"/>
      <c r="U249" s="3"/>
      <c r="V249" s="3"/>
      <c r="W249" s="3"/>
      <c r="X249" s="3"/>
      <c r="Y249" s="3"/>
      <c r="Z249" s="3"/>
      <c r="AA249" s="3"/>
    </row>
    <row r="250" spans="1:27" ht="24" customHeight="1" x14ac:dyDescent="0.5">
      <c r="A250" s="3"/>
      <c r="B250" s="3"/>
      <c r="C250" s="3"/>
      <c r="D250" s="3"/>
      <c r="E250" s="3"/>
      <c r="F250" s="3"/>
      <c r="G250" s="3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3"/>
      <c r="U250" s="3"/>
      <c r="V250" s="3"/>
      <c r="W250" s="3"/>
      <c r="X250" s="3"/>
      <c r="Y250" s="3"/>
      <c r="Z250" s="3"/>
      <c r="AA250" s="3"/>
    </row>
    <row r="251" spans="1:27" ht="24" customHeight="1" x14ac:dyDescent="0.5">
      <c r="A251" s="3"/>
      <c r="B251" s="3"/>
      <c r="C251" s="3"/>
      <c r="D251" s="3"/>
      <c r="E251" s="3"/>
      <c r="F251" s="3"/>
      <c r="G251" s="3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3"/>
      <c r="U251" s="3"/>
      <c r="V251" s="3"/>
      <c r="W251" s="3"/>
      <c r="X251" s="3"/>
      <c r="Y251" s="3"/>
      <c r="Z251" s="3"/>
      <c r="AA251" s="3"/>
    </row>
    <row r="252" spans="1:27" ht="24" customHeight="1" x14ac:dyDescent="0.5">
      <c r="A252" s="3"/>
      <c r="B252" s="3"/>
      <c r="C252" s="3"/>
      <c r="D252" s="3"/>
      <c r="E252" s="3"/>
      <c r="F252" s="3"/>
      <c r="G252" s="3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3"/>
      <c r="U252" s="3"/>
      <c r="V252" s="3"/>
      <c r="W252" s="3"/>
      <c r="X252" s="3"/>
      <c r="Y252" s="3"/>
      <c r="Z252" s="3"/>
      <c r="AA252" s="3"/>
    </row>
    <row r="253" spans="1:27" ht="24" customHeight="1" x14ac:dyDescent="0.5">
      <c r="A253" s="3"/>
      <c r="B253" s="3"/>
      <c r="C253" s="3"/>
      <c r="D253" s="3"/>
      <c r="E253" s="3"/>
      <c r="F253" s="3"/>
      <c r="G253" s="3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3"/>
      <c r="U253" s="3"/>
      <c r="V253" s="3"/>
      <c r="W253" s="3"/>
      <c r="X253" s="3"/>
      <c r="Y253" s="3"/>
      <c r="Z253" s="3"/>
      <c r="AA253" s="3"/>
    </row>
    <row r="254" spans="1:27" ht="24" customHeight="1" x14ac:dyDescent="0.5">
      <c r="A254" s="3"/>
      <c r="B254" s="3"/>
      <c r="C254" s="3"/>
      <c r="D254" s="3"/>
      <c r="E254" s="3"/>
      <c r="F254" s="3"/>
      <c r="G254" s="3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3"/>
      <c r="U254" s="3"/>
      <c r="V254" s="3"/>
      <c r="W254" s="3"/>
      <c r="X254" s="3"/>
      <c r="Y254" s="3"/>
      <c r="Z254" s="3"/>
      <c r="AA254" s="3"/>
    </row>
    <row r="255" spans="1:27" ht="24" customHeight="1" x14ac:dyDescent="0.5">
      <c r="A255" s="3"/>
      <c r="B255" s="3"/>
      <c r="C255" s="3"/>
      <c r="D255" s="3"/>
      <c r="E255" s="3"/>
      <c r="F255" s="3"/>
      <c r="G255" s="3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3"/>
      <c r="U255" s="3"/>
      <c r="V255" s="3"/>
      <c r="W255" s="3"/>
      <c r="X255" s="3"/>
      <c r="Y255" s="3"/>
      <c r="Z255" s="3"/>
      <c r="AA255" s="3"/>
    </row>
    <row r="256" spans="1:27" ht="24" customHeight="1" x14ac:dyDescent="0.5">
      <c r="A256" s="3"/>
      <c r="B256" s="3"/>
      <c r="C256" s="3"/>
      <c r="D256" s="3"/>
      <c r="E256" s="3"/>
      <c r="F256" s="3"/>
      <c r="G256" s="3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3"/>
      <c r="U256" s="3"/>
      <c r="V256" s="3"/>
      <c r="W256" s="3"/>
      <c r="X256" s="3"/>
      <c r="Y256" s="3"/>
      <c r="Z256" s="3"/>
      <c r="AA256" s="3"/>
    </row>
    <row r="257" spans="1:27" ht="24" customHeight="1" x14ac:dyDescent="0.5">
      <c r="A257" s="3"/>
      <c r="B257" s="3"/>
      <c r="C257" s="3"/>
      <c r="D257" s="3"/>
      <c r="E257" s="3"/>
      <c r="F257" s="3"/>
      <c r="G257" s="3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3"/>
      <c r="U257" s="3"/>
      <c r="V257" s="3"/>
      <c r="W257" s="3"/>
      <c r="X257" s="3"/>
      <c r="Y257" s="3"/>
      <c r="Z257" s="3"/>
      <c r="AA257" s="3"/>
    </row>
    <row r="258" spans="1:27" ht="24" customHeight="1" x14ac:dyDescent="0.5">
      <c r="A258" s="3"/>
      <c r="B258" s="3"/>
      <c r="C258" s="3"/>
      <c r="D258" s="3"/>
      <c r="E258" s="3"/>
      <c r="F258" s="3"/>
      <c r="G258" s="3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3"/>
      <c r="U258" s="3"/>
      <c r="V258" s="3"/>
      <c r="W258" s="3"/>
      <c r="X258" s="3"/>
      <c r="Y258" s="3"/>
      <c r="Z258" s="3"/>
      <c r="AA258" s="3"/>
    </row>
    <row r="259" spans="1:27" ht="24" customHeight="1" x14ac:dyDescent="0.5">
      <c r="A259" s="3"/>
      <c r="B259" s="3"/>
      <c r="C259" s="3"/>
      <c r="D259" s="3"/>
      <c r="E259" s="3"/>
      <c r="F259" s="3"/>
      <c r="G259" s="3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3"/>
      <c r="U259" s="3"/>
      <c r="V259" s="3"/>
      <c r="W259" s="3"/>
      <c r="X259" s="3"/>
      <c r="Y259" s="3"/>
      <c r="Z259" s="3"/>
      <c r="AA259" s="3"/>
    </row>
    <row r="260" spans="1:27" ht="24" customHeight="1" x14ac:dyDescent="0.5">
      <c r="A260" s="3"/>
      <c r="B260" s="3"/>
      <c r="C260" s="3"/>
      <c r="D260" s="3"/>
      <c r="E260" s="3"/>
      <c r="F260" s="3"/>
      <c r="G260" s="3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3"/>
      <c r="U260" s="3"/>
      <c r="V260" s="3"/>
      <c r="W260" s="3"/>
      <c r="X260" s="3"/>
      <c r="Y260" s="3"/>
      <c r="Z260" s="3"/>
      <c r="AA260" s="3"/>
    </row>
    <row r="261" spans="1:27" ht="24" customHeight="1" x14ac:dyDescent="0.5">
      <c r="A261" s="3"/>
      <c r="B261" s="3"/>
      <c r="C261" s="3"/>
      <c r="D261" s="3"/>
      <c r="E261" s="3"/>
      <c r="F261" s="3"/>
      <c r="G261" s="3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3"/>
      <c r="U261" s="3"/>
      <c r="V261" s="3"/>
      <c r="W261" s="3"/>
      <c r="X261" s="3"/>
      <c r="Y261" s="3"/>
      <c r="Z261" s="3"/>
      <c r="AA261" s="3"/>
    </row>
    <row r="262" spans="1:27" ht="24" customHeight="1" x14ac:dyDescent="0.5">
      <c r="A262" s="3"/>
      <c r="B262" s="3"/>
      <c r="C262" s="3"/>
      <c r="D262" s="3"/>
      <c r="E262" s="3"/>
      <c r="F262" s="3"/>
      <c r="G262" s="3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3"/>
      <c r="U262" s="3"/>
      <c r="V262" s="3"/>
      <c r="W262" s="3"/>
      <c r="X262" s="3"/>
      <c r="Y262" s="3"/>
      <c r="Z262" s="3"/>
      <c r="AA262" s="3"/>
    </row>
    <row r="263" spans="1:27" ht="24" customHeight="1" x14ac:dyDescent="0.5">
      <c r="A263" s="3"/>
      <c r="B263" s="3"/>
      <c r="C263" s="3"/>
      <c r="D263" s="3"/>
      <c r="E263" s="3"/>
      <c r="F263" s="3"/>
      <c r="G263" s="3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3"/>
      <c r="U263" s="3"/>
      <c r="V263" s="3"/>
      <c r="W263" s="3"/>
      <c r="X263" s="3"/>
      <c r="Y263" s="3"/>
      <c r="Z263" s="3"/>
      <c r="AA263" s="3"/>
    </row>
    <row r="264" spans="1:27" ht="24" customHeight="1" x14ac:dyDescent="0.5">
      <c r="A264" s="3"/>
      <c r="B264" s="3"/>
      <c r="C264" s="3"/>
      <c r="D264" s="3"/>
      <c r="E264" s="3"/>
      <c r="F264" s="3"/>
      <c r="G264" s="3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3"/>
      <c r="U264" s="3"/>
      <c r="V264" s="3"/>
      <c r="W264" s="3"/>
      <c r="X264" s="3"/>
      <c r="Y264" s="3"/>
      <c r="Z264" s="3"/>
      <c r="AA264" s="3"/>
    </row>
    <row r="265" spans="1:27" ht="24" customHeight="1" x14ac:dyDescent="0.5">
      <c r="A265" s="3"/>
      <c r="B265" s="3"/>
      <c r="C265" s="3"/>
      <c r="D265" s="3"/>
      <c r="E265" s="3"/>
      <c r="F265" s="3"/>
      <c r="G265" s="3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3"/>
      <c r="U265" s="3"/>
      <c r="V265" s="3"/>
      <c r="W265" s="3"/>
      <c r="X265" s="3"/>
      <c r="Y265" s="3"/>
      <c r="Z265" s="3"/>
      <c r="AA265" s="3"/>
    </row>
    <row r="266" spans="1:27" ht="24" customHeight="1" x14ac:dyDescent="0.5">
      <c r="A266" s="3"/>
      <c r="B266" s="3"/>
      <c r="C266" s="3"/>
      <c r="D266" s="3"/>
      <c r="E266" s="3"/>
      <c r="F266" s="3"/>
      <c r="G266" s="3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3"/>
      <c r="U266" s="3"/>
      <c r="V266" s="3"/>
      <c r="W266" s="3"/>
      <c r="X266" s="3"/>
      <c r="Y266" s="3"/>
      <c r="Z266" s="3"/>
      <c r="AA266" s="3"/>
    </row>
    <row r="267" spans="1:27" ht="24" customHeight="1" x14ac:dyDescent="0.5">
      <c r="A267" s="3"/>
      <c r="B267" s="3"/>
      <c r="C267" s="3"/>
      <c r="D267" s="3"/>
      <c r="E267" s="3"/>
      <c r="F267" s="3"/>
      <c r="G267" s="3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3"/>
      <c r="U267" s="3"/>
      <c r="V267" s="3"/>
      <c r="W267" s="3"/>
      <c r="X267" s="3"/>
      <c r="Y267" s="3"/>
      <c r="Z267" s="3"/>
      <c r="AA267" s="3"/>
    </row>
    <row r="268" spans="1:27" ht="24" customHeight="1" x14ac:dyDescent="0.5">
      <c r="A268" s="3"/>
      <c r="B268" s="3"/>
      <c r="C268" s="3"/>
      <c r="D268" s="3"/>
      <c r="E268" s="3"/>
      <c r="F268" s="3"/>
      <c r="G268" s="3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3"/>
      <c r="U268" s="3"/>
      <c r="V268" s="3"/>
      <c r="W268" s="3"/>
      <c r="X268" s="3"/>
      <c r="Y268" s="3"/>
      <c r="Z268" s="3"/>
      <c r="AA268" s="3"/>
    </row>
    <row r="269" spans="1:27" ht="24" customHeight="1" x14ac:dyDescent="0.5">
      <c r="A269" s="3"/>
      <c r="B269" s="3"/>
      <c r="C269" s="3"/>
      <c r="D269" s="3"/>
      <c r="E269" s="3"/>
      <c r="F269" s="3"/>
      <c r="G269" s="3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3"/>
      <c r="U269" s="3"/>
      <c r="V269" s="3"/>
      <c r="W269" s="3"/>
      <c r="X269" s="3"/>
      <c r="Y269" s="3"/>
      <c r="Z269" s="3"/>
      <c r="AA269" s="3"/>
    </row>
    <row r="270" spans="1:27" ht="24" customHeight="1" x14ac:dyDescent="0.5">
      <c r="A270" s="3"/>
      <c r="B270" s="3"/>
      <c r="C270" s="3"/>
      <c r="D270" s="3"/>
      <c r="E270" s="3"/>
      <c r="F270" s="3"/>
      <c r="G270" s="3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3"/>
      <c r="U270" s="3"/>
      <c r="V270" s="3"/>
      <c r="W270" s="3"/>
      <c r="X270" s="3"/>
      <c r="Y270" s="3"/>
      <c r="Z270" s="3"/>
      <c r="AA270" s="3"/>
    </row>
    <row r="271" spans="1:27" ht="24" customHeight="1" x14ac:dyDescent="0.5">
      <c r="A271" s="3"/>
      <c r="B271" s="3"/>
      <c r="C271" s="3"/>
      <c r="D271" s="3"/>
      <c r="E271" s="3"/>
      <c r="F271" s="3"/>
      <c r="G271" s="3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3"/>
      <c r="U271" s="3"/>
      <c r="V271" s="3"/>
      <c r="W271" s="3"/>
      <c r="X271" s="3"/>
      <c r="Y271" s="3"/>
      <c r="Z271" s="3"/>
      <c r="AA271" s="3"/>
    </row>
    <row r="272" spans="1:27" ht="24" customHeight="1" x14ac:dyDescent="0.5">
      <c r="A272" s="3"/>
      <c r="B272" s="3"/>
      <c r="C272" s="3"/>
      <c r="D272" s="3"/>
      <c r="E272" s="3"/>
      <c r="F272" s="3"/>
      <c r="G272" s="3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3"/>
      <c r="U272" s="3"/>
      <c r="V272" s="3"/>
      <c r="W272" s="3"/>
      <c r="X272" s="3"/>
      <c r="Y272" s="3"/>
      <c r="Z272" s="3"/>
      <c r="AA272" s="3"/>
    </row>
    <row r="273" spans="1:27" ht="24" customHeight="1" x14ac:dyDescent="0.5">
      <c r="A273" s="3"/>
      <c r="B273" s="3"/>
      <c r="C273" s="3"/>
      <c r="D273" s="3"/>
      <c r="E273" s="3"/>
      <c r="F273" s="3"/>
      <c r="G273" s="3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3"/>
      <c r="U273" s="3"/>
      <c r="V273" s="3"/>
      <c r="W273" s="3"/>
      <c r="X273" s="3"/>
      <c r="Y273" s="3"/>
      <c r="Z273" s="3"/>
      <c r="AA273" s="3"/>
    </row>
    <row r="274" spans="1:27" ht="24" customHeight="1" x14ac:dyDescent="0.5">
      <c r="A274" s="3"/>
      <c r="B274" s="3"/>
      <c r="C274" s="3"/>
      <c r="D274" s="3"/>
      <c r="E274" s="3"/>
      <c r="F274" s="3"/>
      <c r="G274" s="3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3"/>
      <c r="U274" s="3"/>
      <c r="V274" s="3"/>
      <c r="W274" s="3"/>
      <c r="X274" s="3"/>
      <c r="Y274" s="3"/>
      <c r="Z274" s="3"/>
      <c r="AA274" s="3"/>
    </row>
    <row r="275" spans="1:27" ht="24" customHeight="1" x14ac:dyDescent="0.5">
      <c r="A275" s="3"/>
      <c r="B275" s="3"/>
      <c r="C275" s="3"/>
      <c r="D275" s="3"/>
      <c r="E275" s="3"/>
      <c r="F275" s="3"/>
      <c r="G275" s="3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3"/>
      <c r="U275" s="3"/>
      <c r="V275" s="3"/>
      <c r="W275" s="3"/>
      <c r="X275" s="3"/>
      <c r="Y275" s="3"/>
      <c r="Z275" s="3"/>
      <c r="AA275" s="3"/>
    </row>
    <row r="276" spans="1:27" ht="24" customHeight="1" x14ac:dyDescent="0.5">
      <c r="A276" s="3"/>
      <c r="B276" s="3"/>
      <c r="C276" s="3"/>
      <c r="D276" s="3"/>
      <c r="E276" s="3"/>
      <c r="F276" s="3"/>
      <c r="G276" s="3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3"/>
      <c r="U276" s="3"/>
      <c r="V276" s="3"/>
      <c r="W276" s="3"/>
      <c r="X276" s="3"/>
      <c r="Y276" s="3"/>
      <c r="Z276" s="3"/>
      <c r="AA276" s="3"/>
    </row>
    <row r="277" spans="1:27" ht="24" customHeight="1" x14ac:dyDescent="0.5">
      <c r="A277" s="3"/>
      <c r="B277" s="3"/>
      <c r="C277" s="3"/>
      <c r="D277" s="3"/>
      <c r="E277" s="3"/>
      <c r="F277" s="3"/>
      <c r="G277" s="3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3"/>
      <c r="U277" s="3"/>
      <c r="V277" s="3"/>
      <c r="W277" s="3"/>
      <c r="X277" s="3"/>
      <c r="Y277" s="3"/>
      <c r="Z277" s="3"/>
      <c r="AA277" s="3"/>
    </row>
    <row r="278" spans="1:27" ht="24" customHeight="1" x14ac:dyDescent="0.5">
      <c r="A278" s="3"/>
      <c r="B278" s="3"/>
      <c r="C278" s="3"/>
      <c r="D278" s="3"/>
      <c r="E278" s="3"/>
      <c r="F278" s="3"/>
      <c r="G278" s="3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3"/>
      <c r="U278" s="3"/>
      <c r="V278" s="3"/>
      <c r="W278" s="3"/>
      <c r="X278" s="3"/>
      <c r="Y278" s="3"/>
      <c r="Z278" s="3"/>
      <c r="AA278" s="3"/>
    </row>
    <row r="279" spans="1:27" ht="24" customHeight="1" x14ac:dyDescent="0.5">
      <c r="A279" s="3"/>
      <c r="B279" s="3"/>
      <c r="C279" s="3"/>
      <c r="D279" s="3"/>
      <c r="E279" s="3"/>
      <c r="F279" s="3"/>
      <c r="G279" s="3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3"/>
      <c r="U279" s="3"/>
      <c r="V279" s="3"/>
      <c r="W279" s="3"/>
      <c r="X279" s="3"/>
      <c r="Y279" s="3"/>
      <c r="Z279" s="3"/>
      <c r="AA279" s="3"/>
    </row>
    <row r="280" spans="1:27" ht="24" customHeight="1" x14ac:dyDescent="0.5">
      <c r="A280" s="3"/>
      <c r="B280" s="3"/>
      <c r="C280" s="3"/>
      <c r="D280" s="3"/>
      <c r="E280" s="3"/>
      <c r="F280" s="3"/>
      <c r="G280" s="3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3"/>
      <c r="U280" s="3"/>
      <c r="V280" s="3"/>
      <c r="W280" s="3"/>
      <c r="X280" s="3"/>
      <c r="Y280" s="3"/>
      <c r="Z280" s="3"/>
      <c r="AA280" s="3"/>
    </row>
    <row r="281" spans="1:27" ht="24" customHeight="1" x14ac:dyDescent="0.5">
      <c r="A281" s="3"/>
      <c r="B281" s="3"/>
      <c r="C281" s="3"/>
      <c r="D281" s="3"/>
      <c r="E281" s="3"/>
      <c r="F281" s="3"/>
      <c r="G281" s="3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3"/>
      <c r="U281" s="3"/>
      <c r="V281" s="3"/>
      <c r="W281" s="3"/>
      <c r="X281" s="3"/>
      <c r="Y281" s="3"/>
      <c r="Z281" s="3"/>
      <c r="AA281" s="3"/>
    </row>
    <row r="282" spans="1:27" ht="24" customHeight="1" x14ac:dyDescent="0.5">
      <c r="A282" s="3"/>
      <c r="B282" s="3"/>
      <c r="C282" s="3"/>
      <c r="D282" s="3"/>
      <c r="E282" s="3"/>
      <c r="F282" s="3"/>
      <c r="G282" s="3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3"/>
      <c r="U282" s="3"/>
      <c r="V282" s="3"/>
      <c r="W282" s="3"/>
      <c r="X282" s="3"/>
      <c r="Y282" s="3"/>
      <c r="Z282" s="3"/>
      <c r="AA282" s="3"/>
    </row>
    <row r="283" spans="1:27" ht="24" customHeight="1" x14ac:dyDescent="0.5">
      <c r="A283" s="3"/>
      <c r="B283" s="3"/>
      <c r="C283" s="3"/>
      <c r="D283" s="3"/>
      <c r="E283" s="3"/>
      <c r="F283" s="3"/>
      <c r="G283" s="3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3"/>
      <c r="U283" s="3"/>
      <c r="V283" s="3"/>
      <c r="W283" s="3"/>
      <c r="X283" s="3"/>
      <c r="Y283" s="3"/>
      <c r="Z283" s="3"/>
      <c r="AA283" s="3"/>
    </row>
    <row r="284" spans="1:27" ht="24" customHeight="1" x14ac:dyDescent="0.5">
      <c r="A284" s="3"/>
      <c r="B284" s="3"/>
      <c r="C284" s="3"/>
      <c r="D284" s="3"/>
      <c r="E284" s="3"/>
      <c r="F284" s="3"/>
      <c r="G284" s="3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3"/>
      <c r="U284" s="3"/>
      <c r="V284" s="3"/>
      <c r="W284" s="3"/>
      <c r="X284" s="3"/>
      <c r="Y284" s="3"/>
      <c r="Z284" s="3"/>
      <c r="AA284" s="3"/>
    </row>
    <row r="285" spans="1:27" ht="24" customHeight="1" x14ac:dyDescent="0.5">
      <c r="A285" s="3"/>
      <c r="B285" s="3"/>
      <c r="C285" s="3"/>
      <c r="D285" s="3"/>
      <c r="E285" s="3"/>
      <c r="F285" s="3"/>
      <c r="G285" s="3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3"/>
      <c r="U285" s="3"/>
      <c r="V285" s="3"/>
      <c r="W285" s="3"/>
      <c r="X285" s="3"/>
      <c r="Y285" s="3"/>
      <c r="Z285" s="3"/>
      <c r="AA285" s="3"/>
    </row>
    <row r="286" spans="1:27" ht="24" customHeight="1" x14ac:dyDescent="0.5">
      <c r="A286" s="3"/>
      <c r="B286" s="3"/>
      <c r="C286" s="3"/>
      <c r="D286" s="3"/>
      <c r="E286" s="3"/>
      <c r="F286" s="3"/>
      <c r="G286" s="3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3"/>
      <c r="U286" s="3"/>
      <c r="V286" s="3"/>
      <c r="W286" s="3"/>
      <c r="X286" s="3"/>
      <c r="Y286" s="3"/>
      <c r="Z286" s="3"/>
      <c r="AA286" s="3"/>
    </row>
    <row r="287" spans="1:27" ht="24" customHeight="1" x14ac:dyDescent="0.5">
      <c r="A287" s="3"/>
      <c r="B287" s="3"/>
      <c r="C287" s="3"/>
      <c r="D287" s="3"/>
      <c r="E287" s="3"/>
      <c r="F287" s="3"/>
      <c r="G287" s="3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3"/>
      <c r="U287" s="3"/>
      <c r="V287" s="3"/>
      <c r="W287" s="3"/>
      <c r="X287" s="3"/>
      <c r="Y287" s="3"/>
      <c r="Z287" s="3"/>
      <c r="AA287" s="3"/>
    </row>
    <row r="288" spans="1:27" ht="24" customHeight="1" x14ac:dyDescent="0.5">
      <c r="A288" s="3"/>
      <c r="B288" s="3"/>
      <c r="C288" s="3"/>
      <c r="D288" s="3"/>
      <c r="E288" s="3"/>
      <c r="F288" s="3"/>
      <c r="G288" s="3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3"/>
      <c r="U288" s="3"/>
      <c r="V288" s="3"/>
      <c r="W288" s="3"/>
      <c r="X288" s="3"/>
      <c r="Y288" s="3"/>
      <c r="Z288" s="3"/>
      <c r="AA288" s="3"/>
    </row>
    <row r="289" spans="1:27" ht="24" customHeight="1" x14ac:dyDescent="0.5">
      <c r="A289" s="3"/>
      <c r="B289" s="3"/>
      <c r="C289" s="3"/>
      <c r="D289" s="3"/>
      <c r="E289" s="3"/>
      <c r="F289" s="3"/>
      <c r="G289" s="3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3"/>
      <c r="U289" s="3"/>
      <c r="V289" s="3"/>
      <c r="W289" s="3"/>
      <c r="X289" s="3"/>
      <c r="Y289" s="3"/>
      <c r="Z289" s="3"/>
      <c r="AA289" s="3"/>
    </row>
    <row r="290" spans="1:27" ht="24" customHeight="1" x14ac:dyDescent="0.5">
      <c r="A290" s="3"/>
      <c r="B290" s="3"/>
      <c r="C290" s="3"/>
      <c r="D290" s="3"/>
      <c r="E290" s="3"/>
      <c r="F290" s="3"/>
      <c r="G290" s="3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3"/>
      <c r="U290" s="3"/>
      <c r="V290" s="3"/>
      <c r="W290" s="3"/>
      <c r="X290" s="3"/>
      <c r="Y290" s="3"/>
      <c r="Z290" s="3"/>
      <c r="AA290" s="3"/>
    </row>
    <row r="291" spans="1:27" ht="24" customHeight="1" x14ac:dyDescent="0.5">
      <c r="A291" s="3"/>
      <c r="B291" s="3"/>
      <c r="C291" s="3"/>
      <c r="D291" s="3"/>
      <c r="E291" s="3"/>
      <c r="F291" s="3"/>
      <c r="G291" s="3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3"/>
      <c r="U291" s="3"/>
      <c r="V291" s="3"/>
      <c r="W291" s="3"/>
      <c r="X291" s="3"/>
      <c r="Y291" s="3"/>
      <c r="Z291" s="3"/>
      <c r="AA291" s="3"/>
    </row>
    <row r="292" spans="1:27" ht="24" customHeight="1" x14ac:dyDescent="0.5">
      <c r="A292" s="3"/>
      <c r="B292" s="3"/>
      <c r="C292" s="3"/>
      <c r="D292" s="3"/>
      <c r="E292" s="3"/>
      <c r="F292" s="3"/>
      <c r="G292" s="3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3"/>
      <c r="U292" s="3"/>
      <c r="V292" s="3"/>
      <c r="W292" s="3"/>
      <c r="X292" s="3"/>
      <c r="Y292" s="3"/>
      <c r="Z292" s="3"/>
      <c r="AA292" s="3"/>
    </row>
    <row r="293" spans="1:27" ht="24" customHeight="1" x14ac:dyDescent="0.5">
      <c r="A293" s="3"/>
      <c r="B293" s="3"/>
      <c r="C293" s="3"/>
      <c r="D293" s="3"/>
      <c r="E293" s="3"/>
      <c r="F293" s="3"/>
      <c r="G293" s="3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3"/>
      <c r="U293" s="3"/>
      <c r="V293" s="3"/>
      <c r="W293" s="3"/>
      <c r="X293" s="3"/>
      <c r="Y293" s="3"/>
      <c r="Z293" s="3"/>
      <c r="AA293" s="3"/>
    </row>
    <row r="294" spans="1:27" ht="24" customHeight="1" x14ac:dyDescent="0.5">
      <c r="A294" s="3"/>
      <c r="B294" s="3"/>
      <c r="C294" s="3"/>
      <c r="D294" s="3"/>
      <c r="E294" s="3"/>
      <c r="F294" s="3"/>
      <c r="G294" s="3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3"/>
      <c r="U294" s="3"/>
      <c r="V294" s="3"/>
      <c r="W294" s="3"/>
      <c r="X294" s="3"/>
      <c r="Y294" s="3"/>
      <c r="Z294" s="3"/>
      <c r="AA294" s="3"/>
    </row>
    <row r="295" spans="1:27" ht="24" customHeight="1" x14ac:dyDescent="0.5">
      <c r="A295" s="3"/>
      <c r="B295" s="3"/>
      <c r="C295" s="3"/>
      <c r="D295" s="3"/>
      <c r="E295" s="3"/>
      <c r="F295" s="3"/>
      <c r="G295" s="3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3"/>
      <c r="U295" s="3"/>
      <c r="V295" s="3"/>
      <c r="W295" s="3"/>
      <c r="X295" s="3"/>
      <c r="Y295" s="3"/>
      <c r="Z295" s="3"/>
      <c r="AA295" s="3"/>
    </row>
    <row r="296" spans="1:27" ht="24" customHeight="1" x14ac:dyDescent="0.5">
      <c r="A296" s="3"/>
      <c r="B296" s="3"/>
      <c r="C296" s="3"/>
      <c r="D296" s="3"/>
      <c r="E296" s="3"/>
      <c r="F296" s="3"/>
      <c r="G296" s="3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3"/>
      <c r="U296" s="3"/>
      <c r="V296" s="3"/>
      <c r="W296" s="3"/>
      <c r="X296" s="3"/>
      <c r="Y296" s="3"/>
      <c r="Z296" s="3"/>
      <c r="AA296" s="3"/>
    </row>
    <row r="297" spans="1:27" ht="24" customHeight="1" x14ac:dyDescent="0.5">
      <c r="A297" s="3"/>
      <c r="B297" s="3"/>
      <c r="C297" s="3"/>
      <c r="D297" s="3"/>
      <c r="E297" s="3"/>
      <c r="F297" s="3"/>
      <c r="G297" s="3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3"/>
      <c r="U297" s="3"/>
      <c r="V297" s="3"/>
      <c r="W297" s="3"/>
      <c r="X297" s="3"/>
      <c r="Y297" s="3"/>
      <c r="Z297" s="3"/>
      <c r="AA297" s="3"/>
    </row>
    <row r="298" spans="1:27" ht="24" customHeight="1" x14ac:dyDescent="0.5">
      <c r="A298" s="3"/>
      <c r="B298" s="3"/>
      <c r="C298" s="3"/>
      <c r="D298" s="3"/>
      <c r="E298" s="3"/>
      <c r="F298" s="3"/>
      <c r="G298" s="3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3"/>
      <c r="U298" s="3"/>
      <c r="V298" s="3"/>
      <c r="W298" s="3"/>
      <c r="X298" s="3"/>
      <c r="Y298" s="3"/>
      <c r="Z298" s="3"/>
      <c r="AA298" s="3"/>
    </row>
    <row r="299" spans="1:27" ht="24" customHeight="1" x14ac:dyDescent="0.5">
      <c r="A299" s="3"/>
      <c r="B299" s="3"/>
      <c r="C299" s="3"/>
      <c r="D299" s="3"/>
      <c r="E299" s="3"/>
      <c r="F299" s="3"/>
      <c r="G299" s="3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3"/>
      <c r="U299" s="3"/>
      <c r="V299" s="3"/>
      <c r="W299" s="3"/>
      <c r="X299" s="3"/>
      <c r="Y299" s="3"/>
      <c r="Z299" s="3"/>
      <c r="AA299" s="3"/>
    </row>
    <row r="300" spans="1:27" ht="24" customHeight="1" x14ac:dyDescent="0.5">
      <c r="A300" s="3"/>
      <c r="B300" s="3"/>
      <c r="C300" s="3"/>
      <c r="D300" s="3"/>
      <c r="E300" s="3"/>
      <c r="F300" s="3"/>
      <c r="G300" s="3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3"/>
      <c r="U300" s="3"/>
      <c r="V300" s="3"/>
      <c r="W300" s="3"/>
      <c r="X300" s="3"/>
      <c r="Y300" s="3"/>
      <c r="Z300" s="3"/>
      <c r="AA300" s="3"/>
    </row>
    <row r="301" spans="1:27" ht="24" customHeight="1" x14ac:dyDescent="0.5">
      <c r="A301" s="3"/>
      <c r="B301" s="3"/>
      <c r="C301" s="3"/>
      <c r="D301" s="3"/>
      <c r="E301" s="3"/>
      <c r="F301" s="3"/>
      <c r="G301" s="3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3"/>
      <c r="U301" s="3"/>
      <c r="V301" s="3"/>
      <c r="W301" s="3"/>
      <c r="X301" s="3"/>
      <c r="Y301" s="3"/>
      <c r="Z301" s="3"/>
      <c r="AA301" s="3"/>
    </row>
    <row r="302" spans="1:27" ht="24" customHeight="1" x14ac:dyDescent="0.5">
      <c r="A302" s="3"/>
      <c r="B302" s="3"/>
      <c r="C302" s="3"/>
      <c r="D302" s="3"/>
      <c r="E302" s="3"/>
      <c r="F302" s="3"/>
      <c r="G302" s="3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3"/>
      <c r="U302" s="3"/>
      <c r="V302" s="3"/>
      <c r="W302" s="3"/>
      <c r="X302" s="3"/>
      <c r="Y302" s="3"/>
      <c r="Z302" s="3"/>
      <c r="AA302" s="3"/>
    </row>
    <row r="303" spans="1:27" ht="24" customHeight="1" x14ac:dyDescent="0.5">
      <c r="A303" s="3"/>
      <c r="B303" s="3"/>
      <c r="C303" s="3"/>
      <c r="D303" s="3"/>
      <c r="E303" s="3"/>
      <c r="F303" s="3"/>
      <c r="G303" s="3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3"/>
      <c r="U303" s="3"/>
      <c r="V303" s="3"/>
      <c r="W303" s="3"/>
      <c r="X303" s="3"/>
      <c r="Y303" s="3"/>
      <c r="Z303" s="3"/>
      <c r="AA303" s="3"/>
    </row>
    <row r="304" spans="1:27" ht="24" customHeight="1" x14ac:dyDescent="0.5">
      <c r="A304" s="3"/>
      <c r="B304" s="3"/>
      <c r="C304" s="3"/>
      <c r="D304" s="3"/>
      <c r="E304" s="3"/>
      <c r="F304" s="3"/>
      <c r="G304" s="3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3"/>
      <c r="U304" s="3"/>
      <c r="V304" s="3"/>
      <c r="W304" s="3"/>
      <c r="X304" s="3"/>
      <c r="Y304" s="3"/>
      <c r="Z304" s="3"/>
      <c r="AA304" s="3"/>
    </row>
    <row r="305" spans="1:27" ht="24" customHeight="1" x14ac:dyDescent="0.5">
      <c r="A305" s="3"/>
      <c r="B305" s="3"/>
      <c r="C305" s="3"/>
      <c r="D305" s="3"/>
      <c r="E305" s="3"/>
      <c r="F305" s="3"/>
      <c r="G305" s="3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3"/>
      <c r="U305" s="3"/>
      <c r="V305" s="3"/>
      <c r="W305" s="3"/>
      <c r="X305" s="3"/>
      <c r="Y305" s="3"/>
      <c r="Z305" s="3"/>
      <c r="AA305" s="3"/>
    </row>
    <row r="306" spans="1:27" ht="24" customHeight="1" x14ac:dyDescent="0.5">
      <c r="A306" s="3"/>
      <c r="B306" s="3"/>
      <c r="C306" s="3"/>
      <c r="D306" s="3"/>
      <c r="E306" s="3"/>
      <c r="F306" s="3"/>
      <c r="G306" s="3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3"/>
      <c r="U306" s="3"/>
      <c r="V306" s="3"/>
      <c r="W306" s="3"/>
      <c r="X306" s="3"/>
      <c r="Y306" s="3"/>
      <c r="Z306" s="3"/>
      <c r="AA306" s="3"/>
    </row>
    <row r="307" spans="1:27" ht="24" customHeight="1" x14ac:dyDescent="0.5">
      <c r="A307" s="3"/>
      <c r="B307" s="3"/>
      <c r="C307" s="3"/>
      <c r="D307" s="3"/>
      <c r="E307" s="3"/>
      <c r="F307" s="3"/>
      <c r="G307" s="3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3"/>
      <c r="U307" s="3"/>
      <c r="V307" s="3"/>
      <c r="W307" s="3"/>
      <c r="X307" s="3"/>
      <c r="Y307" s="3"/>
      <c r="Z307" s="3"/>
      <c r="AA307" s="3"/>
    </row>
    <row r="308" spans="1:27" ht="24" customHeight="1" x14ac:dyDescent="0.5">
      <c r="A308" s="3"/>
      <c r="B308" s="3"/>
      <c r="C308" s="3"/>
      <c r="D308" s="3"/>
      <c r="E308" s="3"/>
      <c r="F308" s="3"/>
      <c r="G308" s="3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3"/>
      <c r="U308" s="3"/>
      <c r="V308" s="3"/>
      <c r="W308" s="3"/>
      <c r="X308" s="3"/>
      <c r="Y308" s="3"/>
      <c r="Z308" s="3"/>
      <c r="AA308" s="3"/>
    </row>
    <row r="309" spans="1:27" ht="24" customHeight="1" x14ac:dyDescent="0.5">
      <c r="A309" s="3"/>
      <c r="B309" s="3"/>
      <c r="C309" s="3"/>
      <c r="D309" s="3"/>
      <c r="E309" s="3"/>
      <c r="F309" s="3"/>
      <c r="G309" s="3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3"/>
      <c r="U309" s="3"/>
      <c r="V309" s="3"/>
      <c r="W309" s="3"/>
      <c r="X309" s="3"/>
      <c r="Y309" s="3"/>
      <c r="Z309" s="3"/>
      <c r="AA309" s="3"/>
    </row>
    <row r="310" spans="1:27" ht="24" customHeight="1" x14ac:dyDescent="0.5">
      <c r="A310" s="3"/>
      <c r="B310" s="3"/>
      <c r="C310" s="3"/>
      <c r="D310" s="3"/>
      <c r="E310" s="3"/>
      <c r="F310" s="3"/>
      <c r="G310" s="3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3"/>
      <c r="U310" s="3"/>
      <c r="V310" s="3"/>
      <c r="W310" s="3"/>
      <c r="X310" s="3"/>
      <c r="Y310" s="3"/>
      <c r="Z310" s="3"/>
      <c r="AA310" s="3"/>
    </row>
    <row r="311" spans="1:27" ht="24" customHeight="1" x14ac:dyDescent="0.5">
      <c r="A311" s="3"/>
      <c r="B311" s="3"/>
      <c r="C311" s="3"/>
      <c r="D311" s="3"/>
      <c r="E311" s="3"/>
      <c r="F311" s="3"/>
      <c r="G311" s="3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3"/>
      <c r="U311" s="3"/>
      <c r="V311" s="3"/>
      <c r="W311" s="3"/>
      <c r="X311" s="3"/>
      <c r="Y311" s="3"/>
      <c r="Z311" s="3"/>
      <c r="AA311" s="3"/>
    </row>
    <row r="312" spans="1:27" ht="24" customHeight="1" x14ac:dyDescent="0.5">
      <c r="A312" s="3"/>
      <c r="B312" s="3"/>
      <c r="C312" s="3"/>
      <c r="D312" s="3"/>
      <c r="E312" s="3"/>
      <c r="F312" s="3"/>
      <c r="G312" s="3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3"/>
      <c r="U312" s="3"/>
      <c r="V312" s="3"/>
      <c r="W312" s="3"/>
      <c r="X312" s="3"/>
      <c r="Y312" s="3"/>
      <c r="Z312" s="3"/>
      <c r="AA312" s="3"/>
    </row>
    <row r="313" spans="1:27" ht="24" customHeight="1" x14ac:dyDescent="0.5">
      <c r="A313" s="3"/>
      <c r="B313" s="3"/>
      <c r="C313" s="3"/>
      <c r="D313" s="3"/>
      <c r="E313" s="3"/>
      <c r="F313" s="3"/>
      <c r="G313" s="3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3"/>
      <c r="U313" s="3"/>
      <c r="V313" s="3"/>
      <c r="W313" s="3"/>
      <c r="X313" s="3"/>
      <c r="Y313" s="3"/>
      <c r="Z313" s="3"/>
      <c r="AA313" s="3"/>
    </row>
    <row r="314" spans="1:27" ht="24" customHeight="1" x14ac:dyDescent="0.5">
      <c r="A314" s="3"/>
      <c r="B314" s="3"/>
      <c r="C314" s="3"/>
      <c r="D314" s="3"/>
      <c r="E314" s="3"/>
      <c r="F314" s="3"/>
      <c r="G314" s="3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3"/>
      <c r="U314" s="3"/>
      <c r="V314" s="3"/>
      <c r="W314" s="3"/>
      <c r="X314" s="3"/>
      <c r="Y314" s="3"/>
      <c r="Z314" s="3"/>
      <c r="AA314" s="3"/>
    </row>
    <row r="315" spans="1:27" ht="24" customHeight="1" x14ac:dyDescent="0.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</row>
    <row r="316" spans="1:27" ht="24" customHeight="1" x14ac:dyDescent="0.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</row>
    <row r="317" spans="1:27" ht="24" customHeight="1" x14ac:dyDescent="0.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</row>
    <row r="318" spans="1:27" ht="24" customHeight="1" x14ac:dyDescent="0.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</row>
    <row r="319" spans="1:27" ht="24" customHeight="1" x14ac:dyDescent="0.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</row>
    <row r="320" spans="1:27" ht="24" customHeight="1" x14ac:dyDescent="0.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</row>
    <row r="321" spans="1:27" ht="24" customHeight="1" x14ac:dyDescent="0.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</row>
    <row r="322" spans="1:27" ht="24" customHeight="1" x14ac:dyDescent="0.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</row>
    <row r="323" spans="1:27" ht="24" customHeight="1" x14ac:dyDescent="0.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</row>
    <row r="324" spans="1:27" ht="24" customHeight="1" x14ac:dyDescent="0.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</row>
    <row r="325" spans="1:27" ht="24" customHeight="1" x14ac:dyDescent="0.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</row>
    <row r="326" spans="1:27" ht="24" customHeight="1" x14ac:dyDescent="0.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</row>
    <row r="327" spans="1:27" ht="24" customHeight="1" x14ac:dyDescent="0.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</row>
    <row r="328" spans="1:27" ht="24" customHeight="1" x14ac:dyDescent="0.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</row>
    <row r="329" spans="1:27" ht="24" customHeight="1" x14ac:dyDescent="0.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</row>
    <row r="330" spans="1:27" ht="24" customHeight="1" x14ac:dyDescent="0.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</row>
    <row r="331" spans="1:27" ht="24" customHeight="1" x14ac:dyDescent="0.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</row>
    <row r="332" spans="1:27" ht="24" customHeight="1" x14ac:dyDescent="0.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</row>
    <row r="333" spans="1:27" ht="24" customHeight="1" x14ac:dyDescent="0.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</row>
    <row r="334" spans="1:27" ht="24" customHeight="1" x14ac:dyDescent="0.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</row>
    <row r="335" spans="1:27" ht="24" customHeight="1" x14ac:dyDescent="0.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</row>
    <row r="336" spans="1:27" ht="24" customHeight="1" x14ac:dyDescent="0.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</row>
    <row r="337" spans="1:27" ht="24" customHeight="1" x14ac:dyDescent="0.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</row>
    <row r="338" spans="1:27" ht="24" customHeight="1" x14ac:dyDescent="0.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</row>
    <row r="339" spans="1:27" ht="24" customHeight="1" x14ac:dyDescent="0.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</row>
    <row r="340" spans="1:27" ht="24" customHeight="1" x14ac:dyDescent="0.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</row>
    <row r="341" spans="1:27" ht="24" customHeight="1" x14ac:dyDescent="0.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</row>
    <row r="342" spans="1:27" ht="24" customHeight="1" x14ac:dyDescent="0.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</row>
    <row r="343" spans="1:27" ht="24" customHeight="1" x14ac:dyDescent="0.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</row>
    <row r="344" spans="1:27" ht="24" customHeight="1" x14ac:dyDescent="0.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</row>
    <row r="345" spans="1:27" ht="24" customHeight="1" x14ac:dyDescent="0.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</row>
    <row r="346" spans="1:27" ht="24" customHeight="1" x14ac:dyDescent="0.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</row>
    <row r="347" spans="1:27" ht="24" customHeight="1" x14ac:dyDescent="0.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</row>
    <row r="348" spans="1:27" ht="24" customHeight="1" x14ac:dyDescent="0.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</row>
    <row r="349" spans="1:27" ht="24" customHeight="1" x14ac:dyDescent="0.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</row>
    <row r="350" spans="1:27" ht="24" customHeight="1" x14ac:dyDescent="0.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</row>
    <row r="351" spans="1:27" ht="24" customHeight="1" x14ac:dyDescent="0.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</row>
    <row r="352" spans="1:27" ht="24" customHeight="1" x14ac:dyDescent="0.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</row>
    <row r="353" spans="1:27" ht="24" customHeight="1" x14ac:dyDescent="0.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</row>
    <row r="354" spans="1:27" ht="24" customHeight="1" x14ac:dyDescent="0.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</row>
    <row r="355" spans="1:27" ht="24" customHeight="1" x14ac:dyDescent="0.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</row>
    <row r="356" spans="1:27" ht="24" customHeight="1" x14ac:dyDescent="0.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</row>
    <row r="357" spans="1:27" ht="24" customHeight="1" x14ac:dyDescent="0.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</row>
    <row r="358" spans="1:27" ht="24" customHeight="1" x14ac:dyDescent="0.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</row>
    <row r="359" spans="1:27" ht="24" customHeight="1" x14ac:dyDescent="0.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</row>
    <row r="360" spans="1:27" ht="24" customHeight="1" x14ac:dyDescent="0.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</row>
    <row r="361" spans="1:27" ht="24" customHeight="1" x14ac:dyDescent="0.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</row>
    <row r="362" spans="1:27" ht="24" customHeight="1" x14ac:dyDescent="0.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</row>
    <row r="363" spans="1:27" ht="24" customHeight="1" x14ac:dyDescent="0.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</row>
    <row r="364" spans="1:27" ht="24" customHeight="1" x14ac:dyDescent="0.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</row>
    <row r="365" spans="1:27" ht="24" customHeight="1" x14ac:dyDescent="0.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</row>
    <row r="366" spans="1:27" ht="24" customHeight="1" x14ac:dyDescent="0.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</row>
    <row r="367" spans="1:27" ht="24" customHeight="1" x14ac:dyDescent="0.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</row>
    <row r="368" spans="1:27" ht="24" customHeight="1" x14ac:dyDescent="0.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</row>
    <row r="369" spans="1:27" ht="24" customHeight="1" x14ac:dyDescent="0.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</row>
    <row r="370" spans="1:27" ht="24" customHeight="1" x14ac:dyDescent="0.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</row>
    <row r="371" spans="1:27" ht="24" customHeight="1" x14ac:dyDescent="0.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</row>
    <row r="372" spans="1:27" ht="24" customHeight="1" x14ac:dyDescent="0.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</row>
    <row r="373" spans="1:27" ht="24" customHeight="1" x14ac:dyDescent="0.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</row>
    <row r="374" spans="1:27" ht="24" customHeight="1" x14ac:dyDescent="0.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</row>
    <row r="375" spans="1:27" ht="24" customHeight="1" x14ac:dyDescent="0.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</row>
    <row r="376" spans="1:27" ht="24" customHeight="1" x14ac:dyDescent="0.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</row>
    <row r="377" spans="1:27" ht="24" customHeight="1" x14ac:dyDescent="0.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</row>
    <row r="378" spans="1:27" ht="24" customHeight="1" x14ac:dyDescent="0.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</row>
    <row r="379" spans="1:27" ht="24" customHeight="1" x14ac:dyDescent="0.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</row>
    <row r="380" spans="1:27" ht="24" customHeight="1" x14ac:dyDescent="0.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</row>
    <row r="381" spans="1:27" ht="24" customHeight="1" x14ac:dyDescent="0.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</row>
    <row r="382" spans="1:27" ht="24" customHeight="1" x14ac:dyDescent="0.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</row>
    <row r="383" spans="1:27" ht="24" customHeight="1" x14ac:dyDescent="0.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</row>
    <row r="384" spans="1:27" ht="24" customHeight="1" x14ac:dyDescent="0.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</row>
    <row r="385" spans="1:27" ht="24" customHeight="1" x14ac:dyDescent="0.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</row>
    <row r="386" spans="1:27" ht="24" customHeight="1" x14ac:dyDescent="0.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</row>
    <row r="387" spans="1:27" ht="24" customHeight="1" x14ac:dyDescent="0.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</row>
    <row r="388" spans="1:27" ht="24" customHeight="1" x14ac:dyDescent="0.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</row>
    <row r="389" spans="1:27" ht="24" customHeight="1" x14ac:dyDescent="0.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</row>
    <row r="390" spans="1:27" ht="24" customHeight="1" x14ac:dyDescent="0.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</row>
    <row r="391" spans="1:27" ht="24" customHeight="1" x14ac:dyDescent="0.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</row>
    <row r="392" spans="1:27" ht="24" customHeight="1" x14ac:dyDescent="0.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</row>
    <row r="393" spans="1:27" ht="24" customHeight="1" x14ac:dyDescent="0.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</row>
    <row r="394" spans="1:27" ht="24" customHeight="1" x14ac:dyDescent="0.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</row>
    <row r="395" spans="1:27" ht="24" customHeight="1" x14ac:dyDescent="0.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</row>
    <row r="396" spans="1:27" ht="24" customHeight="1" x14ac:dyDescent="0.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</row>
    <row r="397" spans="1:27" ht="24" customHeight="1" x14ac:dyDescent="0.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</row>
    <row r="398" spans="1:27" ht="24" customHeight="1" x14ac:dyDescent="0.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</row>
    <row r="399" spans="1:27" ht="24" customHeight="1" x14ac:dyDescent="0.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</row>
    <row r="400" spans="1:27" ht="24" customHeight="1" x14ac:dyDescent="0.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</row>
    <row r="401" spans="1:27" ht="24" customHeight="1" x14ac:dyDescent="0.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</row>
    <row r="402" spans="1:27" ht="24" customHeight="1" x14ac:dyDescent="0.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</row>
    <row r="403" spans="1:27" ht="24" customHeight="1" x14ac:dyDescent="0.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</row>
    <row r="404" spans="1:27" ht="24" customHeight="1" x14ac:dyDescent="0.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</row>
    <row r="405" spans="1:27" ht="24" customHeight="1" x14ac:dyDescent="0.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</row>
    <row r="406" spans="1:27" ht="24" customHeight="1" x14ac:dyDescent="0.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</row>
    <row r="407" spans="1:27" ht="24" customHeight="1" x14ac:dyDescent="0.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</row>
    <row r="408" spans="1:27" ht="24" customHeight="1" x14ac:dyDescent="0.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</row>
    <row r="409" spans="1:27" ht="24" customHeight="1" x14ac:dyDescent="0.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</row>
    <row r="410" spans="1:27" ht="24" customHeight="1" x14ac:dyDescent="0.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</row>
    <row r="411" spans="1:27" ht="24" customHeight="1" x14ac:dyDescent="0.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</row>
    <row r="412" spans="1:27" ht="24" customHeight="1" x14ac:dyDescent="0.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</row>
    <row r="413" spans="1:27" ht="24" customHeight="1" x14ac:dyDescent="0.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</row>
    <row r="414" spans="1:27" ht="24" customHeight="1" x14ac:dyDescent="0.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</row>
    <row r="415" spans="1:27" ht="24" customHeight="1" x14ac:dyDescent="0.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</row>
    <row r="416" spans="1:27" ht="24" customHeight="1" x14ac:dyDescent="0.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</row>
    <row r="417" spans="1:27" ht="24" customHeight="1" x14ac:dyDescent="0.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</row>
    <row r="418" spans="1:27" ht="24" customHeight="1" x14ac:dyDescent="0.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</row>
    <row r="419" spans="1:27" ht="24" customHeight="1" x14ac:dyDescent="0.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</row>
    <row r="420" spans="1:27" ht="24" customHeight="1" x14ac:dyDescent="0.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</row>
    <row r="421" spans="1:27" ht="24" customHeight="1" x14ac:dyDescent="0.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</row>
    <row r="422" spans="1:27" ht="24" customHeight="1" x14ac:dyDescent="0.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</row>
    <row r="423" spans="1:27" ht="24" customHeight="1" x14ac:dyDescent="0.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</row>
    <row r="424" spans="1:27" ht="24" customHeight="1" x14ac:dyDescent="0.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</row>
    <row r="425" spans="1:27" ht="24" customHeight="1" x14ac:dyDescent="0.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</row>
    <row r="426" spans="1:27" ht="24" customHeight="1" x14ac:dyDescent="0.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</row>
    <row r="427" spans="1:27" ht="24" customHeight="1" x14ac:dyDescent="0.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</row>
    <row r="428" spans="1:27" ht="24" customHeight="1" x14ac:dyDescent="0.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</row>
    <row r="429" spans="1:27" ht="24" customHeight="1" x14ac:dyDescent="0.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</row>
    <row r="430" spans="1:27" ht="24" customHeight="1" x14ac:dyDescent="0.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</row>
    <row r="431" spans="1:27" ht="24" customHeight="1" x14ac:dyDescent="0.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</row>
    <row r="432" spans="1:27" ht="24" customHeight="1" x14ac:dyDescent="0.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</row>
    <row r="433" spans="1:27" ht="24" customHeight="1" x14ac:dyDescent="0.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</row>
    <row r="434" spans="1:27" ht="24" customHeight="1" x14ac:dyDescent="0.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</row>
    <row r="435" spans="1:27" ht="24" customHeight="1" x14ac:dyDescent="0.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</row>
    <row r="436" spans="1:27" ht="24" customHeight="1" x14ac:dyDescent="0.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</row>
    <row r="437" spans="1:27" ht="24" customHeight="1" x14ac:dyDescent="0.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</row>
    <row r="438" spans="1:27" ht="24" customHeight="1" x14ac:dyDescent="0.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</row>
    <row r="439" spans="1:27" ht="24" customHeight="1" x14ac:dyDescent="0.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</row>
    <row r="440" spans="1:27" ht="24" customHeight="1" x14ac:dyDescent="0.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</row>
    <row r="441" spans="1:27" ht="24" customHeight="1" x14ac:dyDescent="0.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</row>
    <row r="442" spans="1:27" ht="24" customHeight="1" x14ac:dyDescent="0.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</row>
    <row r="443" spans="1:27" ht="24" customHeight="1" x14ac:dyDescent="0.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</row>
    <row r="444" spans="1:27" ht="24" customHeight="1" x14ac:dyDescent="0.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</row>
    <row r="445" spans="1:27" ht="24" customHeight="1" x14ac:dyDescent="0.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</row>
    <row r="446" spans="1:27" ht="24" customHeight="1" x14ac:dyDescent="0.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</row>
    <row r="447" spans="1:27" ht="24" customHeight="1" x14ac:dyDescent="0.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</row>
    <row r="448" spans="1:27" ht="24" customHeight="1" x14ac:dyDescent="0.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</row>
    <row r="449" spans="1:27" ht="24" customHeight="1" x14ac:dyDescent="0.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</row>
    <row r="450" spans="1:27" ht="24" customHeight="1" x14ac:dyDescent="0.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</row>
    <row r="451" spans="1:27" ht="24" customHeight="1" x14ac:dyDescent="0.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</row>
    <row r="452" spans="1:27" ht="24" customHeight="1" x14ac:dyDescent="0.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</row>
    <row r="453" spans="1:27" ht="24" customHeight="1" x14ac:dyDescent="0.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</row>
    <row r="454" spans="1:27" ht="24" customHeight="1" x14ac:dyDescent="0.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</row>
    <row r="455" spans="1:27" ht="24" customHeight="1" x14ac:dyDescent="0.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</row>
    <row r="456" spans="1:27" ht="24" customHeight="1" x14ac:dyDescent="0.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</row>
    <row r="457" spans="1:27" ht="24" customHeight="1" x14ac:dyDescent="0.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</row>
    <row r="458" spans="1:27" ht="24" customHeight="1" x14ac:dyDescent="0.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</row>
    <row r="459" spans="1:27" ht="24" customHeight="1" x14ac:dyDescent="0.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</row>
    <row r="460" spans="1:27" ht="24" customHeight="1" x14ac:dyDescent="0.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</row>
    <row r="461" spans="1:27" ht="24" customHeight="1" x14ac:dyDescent="0.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</row>
    <row r="462" spans="1:27" ht="24" customHeight="1" x14ac:dyDescent="0.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</row>
    <row r="463" spans="1:27" ht="24" customHeight="1" x14ac:dyDescent="0.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</row>
    <row r="464" spans="1:27" ht="24" customHeight="1" x14ac:dyDescent="0.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</row>
    <row r="465" spans="1:27" ht="24" customHeight="1" x14ac:dyDescent="0.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</row>
    <row r="466" spans="1:27" ht="24" customHeight="1" x14ac:dyDescent="0.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</row>
    <row r="467" spans="1:27" ht="24" customHeight="1" x14ac:dyDescent="0.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</row>
    <row r="468" spans="1:27" ht="24" customHeight="1" x14ac:dyDescent="0.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</row>
    <row r="469" spans="1:27" ht="24" customHeight="1" x14ac:dyDescent="0.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</row>
    <row r="470" spans="1:27" ht="24" customHeight="1" x14ac:dyDescent="0.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</row>
    <row r="471" spans="1:27" ht="24" customHeight="1" x14ac:dyDescent="0.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</row>
    <row r="472" spans="1:27" ht="24" customHeight="1" x14ac:dyDescent="0.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</row>
    <row r="473" spans="1:27" ht="24" customHeight="1" x14ac:dyDescent="0.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</row>
    <row r="474" spans="1:27" ht="24" customHeight="1" x14ac:dyDescent="0.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</row>
    <row r="475" spans="1:27" ht="24" customHeight="1" x14ac:dyDescent="0.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</row>
    <row r="476" spans="1:27" ht="24" customHeight="1" x14ac:dyDescent="0.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</row>
    <row r="477" spans="1:27" ht="24" customHeight="1" x14ac:dyDescent="0.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</row>
    <row r="478" spans="1:27" ht="24" customHeight="1" x14ac:dyDescent="0.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</row>
    <row r="479" spans="1:27" ht="24" customHeight="1" x14ac:dyDescent="0.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</row>
    <row r="480" spans="1:27" ht="24" customHeight="1" x14ac:dyDescent="0.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</row>
    <row r="481" spans="1:27" ht="24" customHeight="1" x14ac:dyDescent="0.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</row>
    <row r="482" spans="1:27" ht="24" customHeight="1" x14ac:dyDescent="0.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</row>
    <row r="483" spans="1:27" ht="24" customHeight="1" x14ac:dyDescent="0.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</row>
    <row r="484" spans="1:27" ht="24" customHeight="1" x14ac:dyDescent="0.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</row>
    <row r="485" spans="1:27" ht="24" customHeight="1" x14ac:dyDescent="0.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</row>
    <row r="486" spans="1:27" ht="24" customHeight="1" x14ac:dyDescent="0.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</row>
    <row r="487" spans="1:27" ht="24" customHeight="1" x14ac:dyDescent="0.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</row>
    <row r="488" spans="1:27" ht="24" customHeight="1" x14ac:dyDescent="0.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</row>
    <row r="489" spans="1:27" ht="24" customHeight="1" x14ac:dyDescent="0.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</row>
    <row r="490" spans="1:27" ht="24" customHeight="1" x14ac:dyDescent="0.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</row>
    <row r="491" spans="1:27" ht="24" customHeight="1" x14ac:dyDescent="0.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</row>
    <row r="492" spans="1:27" ht="24" customHeight="1" x14ac:dyDescent="0.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</row>
    <row r="493" spans="1:27" ht="24" customHeight="1" x14ac:dyDescent="0.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</row>
    <row r="494" spans="1:27" ht="24" customHeight="1" x14ac:dyDescent="0.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</row>
    <row r="495" spans="1:27" ht="24" customHeight="1" x14ac:dyDescent="0.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</row>
    <row r="496" spans="1:27" ht="24" customHeight="1" x14ac:dyDescent="0.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</row>
    <row r="497" spans="1:27" ht="24" customHeight="1" x14ac:dyDescent="0.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</row>
    <row r="498" spans="1:27" ht="24" customHeight="1" x14ac:dyDescent="0.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</row>
    <row r="499" spans="1:27" ht="24" customHeight="1" x14ac:dyDescent="0.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</row>
    <row r="500" spans="1:27" ht="24" customHeight="1" x14ac:dyDescent="0.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</row>
    <row r="501" spans="1:27" ht="24" customHeight="1" x14ac:dyDescent="0.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</row>
    <row r="502" spans="1:27" ht="24" customHeight="1" x14ac:dyDescent="0.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</row>
    <row r="503" spans="1:27" ht="24" customHeight="1" x14ac:dyDescent="0.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</row>
    <row r="504" spans="1:27" ht="24" customHeight="1" x14ac:dyDescent="0.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</row>
    <row r="505" spans="1:27" ht="24" customHeight="1" x14ac:dyDescent="0.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</row>
    <row r="506" spans="1:27" ht="24" customHeight="1" x14ac:dyDescent="0.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</row>
    <row r="507" spans="1:27" ht="24" customHeight="1" x14ac:dyDescent="0.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</row>
    <row r="508" spans="1:27" ht="24" customHeight="1" x14ac:dyDescent="0.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</row>
    <row r="509" spans="1:27" ht="24" customHeight="1" x14ac:dyDescent="0.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</row>
    <row r="510" spans="1:27" ht="24" customHeight="1" x14ac:dyDescent="0.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</row>
    <row r="511" spans="1:27" ht="24" customHeight="1" x14ac:dyDescent="0.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</row>
    <row r="512" spans="1:27" ht="24" customHeight="1" x14ac:dyDescent="0.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</row>
    <row r="513" spans="1:27" ht="24" customHeight="1" x14ac:dyDescent="0.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</row>
    <row r="514" spans="1:27" ht="24" customHeight="1" x14ac:dyDescent="0.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</row>
    <row r="515" spans="1:27" ht="24" customHeight="1" x14ac:dyDescent="0.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</row>
    <row r="516" spans="1:27" ht="24" customHeight="1" x14ac:dyDescent="0.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</row>
    <row r="517" spans="1:27" ht="24" customHeight="1" x14ac:dyDescent="0.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</row>
    <row r="518" spans="1:27" ht="24" customHeight="1" x14ac:dyDescent="0.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</row>
    <row r="519" spans="1:27" ht="24" customHeight="1" x14ac:dyDescent="0.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</row>
    <row r="520" spans="1:27" ht="24" customHeight="1" x14ac:dyDescent="0.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</row>
    <row r="521" spans="1:27" ht="24" customHeight="1" x14ac:dyDescent="0.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</row>
    <row r="522" spans="1:27" ht="24" customHeight="1" x14ac:dyDescent="0.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</row>
    <row r="523" spans="1:27" ht="24" customHeight="1" x14ac:dyDescent="0.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</row>
    <row r="524" spans="1:27" ht="24" customHeight="1" x14ac:dyDescent="0.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</row>
    <row r="525" spans="1:27" ht="24" customHeight="1" x14ac:dyDescent="0.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</row>
    <row r="526" spans="1:27" ht="24" customHeight="1" x14ac:dyDescent="0.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</row>
    <row r="527" spans="1:27" ht="24" customHeight="1" x14ac:dyDescent="0.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</row>
    <row r="528" spans="1:27" ht="24" customHeight="1" x14ac:dyDescent="0.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</row>
    <row r="529" spans="1:27" ht="24" customHeight="1" x14ac:dyDescent="0.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</row>
    <row r="530" spans="1:27" ht="24" customHeight="1" x14ac:dyDescent="0.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</row>
    <row r="531" spans="1:27" ht="24" customHeight="1" x14ac:dyDescent="0.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</row>
    <row r="532" spans="1:27" ht="24" customHeight="1" x14ac:dyDescent="0.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</row>
    <row r="533" spans="1:27" ht="24" customHeight="1" x14ac:dyDescent="0.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</row>
    <row r="534" spans="1:27" ht="24" customHeight="1" x14ac:dyDescent="0.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</row>
    <row r="535" spans="1:27" ht="24" customHeight="1" x14ac:dyDescent="0.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</row>
    <row r="536" spans="1:27" ht="24" customHeight="1" x14ac:dyDescent="0.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</row>
    <row r="537" spans="1:27" ht="24" customHeight="1" x14ac:dyDescent="0.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</row>
    <row r="538" spans="1:27" ht="24" customHeight="1" x14ac:dyDescent="0.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</row>
    <row r="539" spans="1:27" ht="24" customHeight="1" x14ac:dyDescent="0.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</row>
    <row r="540" spans="1:27" ht="24" customHeight="1" x14ac:dyDescent="0.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</row>
    <row r="541" spans="1:27" ht="24" customHeight="1" x14ac:dyDescent="0.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</row>
    <row r="542" spans="1:27" ht="24" customHeight="1" x14ac:dyDescent="0.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</row>
    <row r="543" spans="1:27" ht="24" customHeight="1" x14ac:dyDescent="0.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</row>
    <row r="544" spans="1:27" ht="24" customHeight="1" x14ac:dyDescent="0.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</row>
    <row r="545" spans="1:27" ht="24" customHeight="1" x14ac:dyDescent="0.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</row>
    <row r="546" spans="1:27" ht="24" customHeight="1" x14ac:dyDescent="0.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</row>
    <row r="547" spans="1:27" ht="24" customHeight="1" x14ac:dyDescent="0.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</row>
    <row r="548" spans="1:27" ht="24" customHeight="1" x14ac:dyDescent="0.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</row>
    <row r="549" spans="1:27" ht="24" customHeight="1" x14ac:dyDescent="0.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</row>
    <row r="550" spans="1:27" ht="24" customHeight="1" x14ac:dyDescent="0.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</row>
    <row r="551" spans="1:27" ht="24" customHeight="1" x14ac:dyDescent="0.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</row>
    <row r="552" spans="1:27" ht="24" customHeight="1" x14ac:dyDescent="0.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</row>
    <row r="553" spans="1:27" ht="24" customHeight="1" x14ac:dyDescent="0.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</row>
    <row r="554" spans="1:27" ht="24" customHeight="1" x14ac:dyDescent="0.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</row>
    <row r="555" spans="1:27" ht="24" customHeight="1" x14ac:dyDescent="0.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</row>
    <row r="556" spans="1:27" ht="24" customHeight="1" x14ac:dyDescent="0.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</row>
    <row r="557" spans="1:27" ht="24" customHeight="1" x14ac:dyDescent="0.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</row>
    <row r="558" spans="1:27" ht="24" customHeight="1" x14ac:dyDescent="0.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</row>
    <row r="559" spans="1:27" ht="24" customHeight="1" x14ac:dyDescent="0.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</row>
    <row r="560" spans="1:27" ht="24" customHeight="1" x14ac:dyDescent="0.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</row>
    <row r="561" spans="1:27" ht="24" customHeight="1" x14ac:dyDescent="0.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</row>
    <row r="562" spans="1:27" ht="24" customHeight="1" x14ac:dyDescent="0.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</row>
    <row r="563" spans="1:27" ht="24" customHeight="1" x14ac:dyDescent="0.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</row>
    <row r="564" spans="1:27" ht="24" customHeight="1" x14ac:dyDescent="0.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</row>
    <row r="565" spans="1:27" ht="24" customHeight="1" x14ac:dyDescent="0.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</row>
    <row r="566" spans="1:27" ht="24" customHeight="1" x14ac:dyDescent="0.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</row>
    <row r="567" spans="1:27" ht="24" customHeight="1" x14ac:dyDescent="0.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</row>
    <row r="568" spans="1:27" ht="24" customHeight="1" x14ac:dyDescent="0.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</row>
    <row r="569" spans="1:27" ht="24" customHeight="1" x14ac:dyDescent="0.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</row>
    <row r="570" spans="1:27" ht="24" customHeight="1" x14ac:dyDescent="0.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</row>
    <row r="571" spans="1:27" ht="24" customHeight="1" x14ac:dyDescent="0.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</row>
    <row r="572" spans="1:27" ht="24" customHeight="1" x14ac:dyDescent="0.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</row>
    <row r="573" spans="1:27" ht="24" customHeight="1" x14ac:dyDescent="0.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</row>
    <row r="574" spans="1:27" ht="24" customHeight="1" x14ac:dyDescent="0.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</row>
    <row r="575" spans="1:27" ht="24" customHeight="1" x14ac:dyDescent="0.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</row>
    <row r="576" spans="1:27" ht="24" customHeight="1" x14ac:dyDescent="0.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</row>
    <row r="577" spans="1:27" ht="24" customHeight="1" x14ac:dyDescent="0.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</row>
    <row r="578" spans="1:27" ht="24" customHeight="1" x14ac:dyDescent="0.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</row>
    <row r="579" spans="1:27" ht="24" customHeight="1" x14ac:dyDescent="0.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</row>
    <row r="580" spans="1:27" ht="24" customHeight="1" x14ac:dyDescent="0.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</row>
    <row r="581" spans="1:27" ht="24" customHeight="1" x14ac:dyDescent="0.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</row>
    <row r="582" spans="1:27" ht="24" customHeight="1" x14ac:dyDescent="0.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</row>
    <row r="583" spans="1:27" ht="24" customHeight="1" x14ac:dyDescent="0.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</row>
    <row r="584" spans="1:27" ht="24" customHeight="1" x14ac:dyDescent="0.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</row>
    <row r="585" spans="1:27" ht="24" customHeight="1" x14ac:dyDescent="0.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</row>
    <row r="586" spans="1:27" ht="24" customHeight="1" x14ac:dyDescent="0.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</row>
    <row r="587" spans="1:27" ht="24" customHeight="1" x14ac:dyDescent="0.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</row>
    <row r="588" spans="1:27" ht="24" customHeight="1" x14ac:dyDescent="0.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</row>
    <row r="589" spans="1:27" ht="24" customHeight="1" x14ac:dyDescent="0.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</row>
    <row r="590" spans="1:27" ht="24" customHeight="1" x14ac:dyDescent="0.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</row>
    <row r="591" spans="1:27" ht="24" customHeight="1" x14ac:dyDescent="0.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</row>
    <row r="592" spans="1:27" ht="24" customHeight="1" x14ac:dyDescent="0.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</row>
    <row r="593" spans="1:27" ht="24" customHeight="1" x14ac:dyDescent="0.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</row>
    <row r="594" spans="1:27" ht="24" customHeight="1" x14ac:dyDescent="0.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</row>
    <row r="595" spans="1:27" ht="24" customHeight="1" x14ac:dyDescent="0.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</row>
    <row r="596" spans="1:27" ht="24" customHeight="1" x14ac:dyDescent="0.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</row>
    <row r="597" spans="1:27" ht="24" customHeight="1" x14ac:dyDescent="0.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</row>
    <row r="598" spans="1:27" ht="24" customHeight="1" x14ac:dyDescent="0.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</row>
    <row r="599" spans="1:27" ht="24" customHeight="1" x14ac:dyDescent="0.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</row>
    <row r="600" spans="1:27" ht="24" customHeight="1" x14ac:dyDescent="0.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</row>
    <row r="601" spans="1:27" ht="24" customHeight="1" x14ac:dyDescent="0.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</row>
    <row r="602" spans="1:27" ht="24" customHeight="1" x14ac:dyDescent="0.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</row>
    <row r="603" spans="1:27" ht="24" customHeight="1" x14ac:dyDescent="0.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</row>
    <row r="604" spans="1:27" ht="24" customHeight="1" x14ac:dyDescent="0.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</row>
    <row r="605" spans="1:27" ht="24" customHeight="1" x14ac:dyDescent="0.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</row>
    <row r="606" spans="1:27" ht="24" customHeight="1" x14ac:dyDescent="0.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</row>
    <row r="607" spans="1:27" ht="24" customHeight="1" x14ac:dyDescent="0.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</row>
    <row r="608" spans="1:27" ht="24" customHeight="1" x14ac:dyDescent="0.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</row>
    <row r="609" spans="1:27" ht="24" customHeight="1" x14ac:dyDescent="0.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</row>
    <row r="610" spans="1:27" ht="24" customHeight="1" x14ac:dyDescent="0.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</row>
    <row r="611" spans="1:27" ht="24" customHeight="1" x14ac:dyDescent="0.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</row>
    <row r="612" spans="1:27" ht="24" customHeight="1" x14ac:dyDescent="0.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</row>
    <row r="613" spans="1:27" ht="24" customHeight="1" x14ac:dyDescent="0.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</row>
    <row r="614" spans="1:27" ht="24" customHeight="1" x14ac:dyDescent="0.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</row>
    <row r="615" spans="1:27" ht="24" customHeight="1" x14ac:dyDescent="0.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</row>
    <row r="616" spans="1:27" ht="24" customHeight="1" x14ac:dyDescent="0.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</row>
    <row r="617" spans="1:27" ht="24" customHeight="1" x14ac:dyDescent="0.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</row>
    <row r="618" spans="1:27" ht="24" customHeight="1" x14ac:dyDescent="0.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</row>
    <row r="619" spans="1:27" ht="24" customHeight="1" x14ac:dyDescent="0.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</row>
    <row r="620" spans="1:27" ht="24" customHeight="1" x14ac:dyDescent="0.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</row>
    <row r="621" spans="1:27" ht="24" customHeight="1" x14ac:dyDescent="0.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</row>
    <row r="622" spans="1:27" ht="24" customHeight="1" x14ac:dyDescent="0.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</row>
    <row r="623" spans="1:27" ht="24" customHeight="1" x14ac:dyDescent="0.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</row>
    <row r="624" spans="1:27" ht="24" customHeight="1" x14ac:dyDescent="0.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</row>
    <row r="625" spans="1:27" ht="24" customHeight="1" x14ac:dyDescent="0.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</row>
    <row r="626" spans="1:27" ht="24" customHeight="1" x14ac:dyDescent="0.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</row>
    <row r="627" spans="1:27" ht="24" customHeight="1" x14ac:dyDescent="0.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</row>
    <row r="628" spans="1:27" ht="24" customHeight="1" x14ac:dyDescent="0.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</row>
    <row r="629" spans="1:27" ht="24" customHeight="1" x14ac:dyDescent="0.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</row>
    <row r="630" spans="1:27" ht="24" customHeight="1" x14ac:dyDescent="0.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</row>
    <row r="631" spans="1:27" ht="24" customHeight="1" x14ac:dyDescent="0.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</row>
    <row r="632" spans="1:27" ht="24" customHeight="1" x14ac:dyDescent="0.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</row>
    <row r="633" spans="1:27" ht="24" customHeight="1" x14ac:dyDescent="0.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</row>
    <row r="634" spans="1:27" ht="24" customHeight="1" x14ac:dyDescent="0.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</row>
    <row r="635" spans="1:27" ht="24" customHeight="1" x14ac:dyDescent="0.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</row>
    <row r="636" spans="1:27" ht="24" customHeight="1" x14ac:dyDescent="0.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</row>
    <row r="637" spans="1:27" ht="24" customHeight="1" x14ac:dyDescent="0.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</row>
    <row r="638" spans="1:27" ht="24" customHeight="1" x14ac:dyDescent="0.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</row>
    <row r="639" spans="1:27" ht="24" customHeight="1" x14ac:dyDescent="0.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</row>
    <row r="640" spans="1:27" ht="24" customHeight="1" x14ac:dyDescent="0.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</row>
    <row r="641" spans="1:27" ht="24" customHeight="1" x14ac:dyDescent="0.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</row>
    <row r="642" spans="1:27" ht="24" customHeight="1" x14ac:dyDescent="0.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</row>
    <row r="643" spans="1:27" ht="24" customHeight="1" x14ac:dyDescent="0.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</row>
    <row r="644" spans="1:27" ht="24" customHeight="1" x14ac:dyDescent="0.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</row>
    <row r="645" spans="1:27" ht="24" customHeight="1" x14ac:dyDescent="0.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</row>
    <row r="646" spans="1:27" ht="24" customHeight="1" x14ac:dyDescent="0.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</row>
    <row r="647" spans="1:27" ht="24" customHeight="1" x14ac:dyDescent="0.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</row>
    <row r="648" spans="1:27" ht="24" customHeight="1" x14ac:dyDescent="0.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</row>
    <row r="649" spans="1:27" ht="24" customHeight="1" x14ac:dyDescent="0.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</row>
    <row r="650" spans="1:27" ht="24" customHeight="1" x14ac:dyDescent="0.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</row>
    <row r="651" spans="1:27" ht="24" customHeight="1" x14ac:dyDescent="0.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</row>
    <row r="652" spans="1:27" ht="24" customHeight="1" x14ac:dyDescent="0.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</row>
    <row r="653" spans="1:27" ht="24" customHeight="1" x14ac:dyDescent="0.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</row>
    <row r="654" spans="1:27" ht="24" customHeight="1" x14ac:dyDescent="0.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</row>
    <row r="655" spans="1:27" ht="24" customHeight="1" x14ac:dyDescent="0.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</row>
    <row r="656" spans="1:27" ht="24" customHeight="1" x14ac:dyDescent="0.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</row>
    <row r="657" spans="1:27" ht="24" customHeight="1" x14ac:dyDescent="0.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</row>
    <row r="658" spans="1:27" ht="24" customHeight="1" x14ac:dyDescent="0.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</row>
    <row r="659" spans="1:27" ht="24" customHeight="1" x14ac:dyDescent="0.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</row>
    <row r="660" spans="1:27" ht="24" customHeight="1" x14ac:dyDescent="0.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</row>
    <row r="661" spans="1:27" ht="24" customHeight="1" x14ac:dyDescent="0.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</row>
    <row r="662" spans="1:27" ht="24" customHeight="1" x14ac:dyDescent="0.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</row>
    <row r="663" spans="1:27" ht="24" customHeight="1" x14ac:dyDescent="0.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</row>
    <row r="664" spans="1:27" ht="24" customHeight="1" x14ac:dyDescent="0.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</row>
    <row r="665" spans="1:27" ht="24" customHeight="1" x14ac:dyDescent="0.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</row>
    <row r="666" spans="1:27" ht="24" customHeight="1" x14ac:dyDescent="0.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</row>
    <row r="667" spans="1:27" ht="24" customHeight="1" x14ac:dyDescent="0.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</row>
    <row r="668" spans="1:27" ht="24" customHeight="1" x14ac:dyDescent="0.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</row>
    <row r="669" spans="1:27" ht="24" customHeight="1" x14ac:dyDescent="0.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</row>
    <row r="670" spans="1:27" ht="24" customHeight="1" x14ac:dyDescent="0.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</row>
    <row r="671" spans="1:27" ht="24" customHeight="1" x14ac:dyDescent="0.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</row>
    <row r="672" spans="1:27" ht="24" customHeight="1" x14ac:dyDescent="0.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</row>
    <row r="673" spans="1:27" ht="24" customHeight="1" x14ac:dyDescent="0.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</row>
    <row r="674" spans="1:27" ht="24" customHeight="1" x14ac:dyDescent="0.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</row>
    <row r="675" spans="1:27" ht="24" customHeight="1" x14ac:dyDescent="0.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</row>
    <row r="676" spans="1:27" ht="24" customHeight="1" x14ac:dyDescent="0.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</row>
    <row r="677" spans="1:27" ht="24" customHeight="1" x14ac:dyDescent="0.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</row>
    <row r="678" spans="1:27" ht="24" customHeight="1" x14ac:dyDescent="0.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</row>
    <row r="679" spans="1:27" ht="24" customHeight="1" x14ac:dyDescent="0.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</row>
    <row r="680" spans="1:27" ht="24" customHeight="1" x14ac:dyDescent="0.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</row>
    <row r="681" spans="1:27" ht="24" customHeight="1" x14ac:dyDescent="0.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</row>
    <row r="682" spans="1:27" ht="24" customHeight="1" x14ac:dyDescent="0.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</row>
    <row r="683" spans="1:27" ht="24" customHeight="1" x14ac:dyDescent="0.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</row>
    <row r="684" spans="1:27" ht="24" customHeight="1" x14ac:dyDescent="0.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</row>
    <row r="685" spans="1:27" ht="24" customHeight="1" x14ac:dyDescent="0.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</row>
    <row r="686" spans="1:27" ht="24" customHeight="1" x14ac:dyDescent="0.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</row>
    <row r="687" spans="1:27" ht="24" customHeight="1" x14ac:dyDescent="0.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</row>
    <row r="688" spans="1:27" ht="24" customHeight="1" x14ac:dyDescent="0.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</row>
    <row r="689" spans="1:27" ht="24" customHeight="1" x14ac:dyDescent="0.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</row>
    <row r="690" spans="1:27" ht="24" customHeight="1" x14ac:dyDescent="0.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</row>
    <row r="691" spans="1:27" ht="24" customHeight="1" x14ac:dyDescent="0.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</row>
    <row r="692" spans="1:27" ht="24" customHeight="1" x14ac:dyDescent="0.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</row>
    <row r="693" spans="1:27" ht="24" customHeight="1" x14ac:dyDescent="0.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</row>
    <row r="694" spans="1:27" ht="24" customHeight="1" x14ac:dyDescent="0.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</row>
    <row r="695" spans="1:27" ht="24" customHeight="1" x14ac:dyDescent="0.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</row>
    <row r="696" spans="1:27" ht="24" customHeight="1" x14ac:dyDescent="0.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</row>
    <row r="697" spans="1:27" ht="24" customHeight="1" x14ac:dyDescent="0.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</row>
    <row r="698" spans="1:27" ht="24" customHeight="1" x14ac:dyDescent="0.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</row>
    <row r="699" spans="1:27" ht="24" customHeight="1" x14ac:dyDescent="0.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</row>
    <row r="700" spans="1:27" ht="24" customHeight="1" x14ac:dyDescent="0.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</row>
    <row r="701" spans="1:27" ht="24" customHeight="1" x14ac:dyDescent="0.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</row>
    <row r="702" spans="1:27" ht="24" customHeight="1" x14ac:dyDescent="0.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</row>
    <row r="703" spans="1:27" ht="24" customHeight="1" x14ac:dyDescent="0.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</row>
    <row r="704" spans="1:27" ht="24" customHeight="1" x14ac:dyDescent="0.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</row>
    <row r="705" spans="1:27" ht="24" customHeight="1" x14ac:dyDescent="0.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</row>
    <row r="706" spans="1:27" ht="24" customHeight="1" x14ac:dyDescent="0.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</row>
    <row r="707" spans="1:27" ht="24" customHeight="1" x14ac:dyDescent="0.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</row>
    <row r="708" spans="1:27" ht="24" customHeight="1" x14ac:dyDescent="0.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</row>
    <row r="709" spans="1:27" ht="24" customHeight="1" x14ac:dyDescent="0.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</row>
    <row r="710" spans="1:27" ht="24" customHeight="1" x14ac:dyDescent="0.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</row>
    <row r="711" spans="1:27" ht="24" customHeight="1" x14ac:dyDescent="0.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</row>
    <row r="712" spans="1:27" ht="24" customHeight="1" x14ac:dyDescent="0.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</row>
    <row r="713" spans="1:27" ht="24" customHeight="1" x14ac:dyDescent="0.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</row>
    <row r="714" spans="1:27" ht="24" customHeight="1" x14ac:dyDescent="0.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</row>
    <row r="715" spans="1:27" ht="24" customHeight="1" x14ac:dyDescent="0.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</row>
    <row r="716" spans="1:27" ht="24" customHeight="1" x14ac:dyDescent="0.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</row>
    <row r="717" spans="1:27" ht="24" customHeight="1" x14ac:dyDescent="0.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</row>
    <row r="718" spans="1:27" ht="24" customHeight="1" x14ac:dyDescent="0.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</row>
    <row r="719" spans="1:27" ht="24" customHeight="1" x14ac:dyDescent="0.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</row>
    <row r="720" spans="1:27" ht="24" customHeight="1" x14ac:dyDescent="0.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</row>
    <row r="721" spans="1:27" ht="24" customHeight="1" x14ac:dyDescent="0.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</row>
    <row r="722" spans="1:27" ht="24" customHeight="1" x14ac:dyDescent="0.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</row>
    <row r="723" spans="1:27" ht="24" customHeight="1" x14ac:dyDescent="0.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</row>
    <row r="724" spans="1:27" ht="24" customHeight="1" x14ac:dyDescent="0.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</row>
    <row r="725" spans="1:27" ht="24" customHeight="1" x14ac:dyDescent="0.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</row>
    <row r="726" spans="1:27" ht="24" customHeight="1" x14ac:dyDescent="0.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</row>
    <row r="727" spans="1:27" ht="24" customHeight="1" x14ac:dyDescent="0.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</row>
    <row r="728" spans="1:27" ht="24" customHeight="1" x14ac:dyDescent="0.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</row>
    <row r="729" spans="1:27" ht="24" customHeight="1" x14ac:dyDescent="0.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</row>
    <row r="730" spans="1:27" ht="24" customHeight="1" x14ac:dyDescent="0.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</row>
    <row r="731" spans="1:27" ht="24" customHeight="1" x14ac:dyDescent="0.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</row>
    <row r="732" spans="1:27" ht="24" customHeight="1" x14ac:dyDescent="0.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</row>
    <row r="733" spans="1:27" ht="24" customHeight="1" x14ac:dyDescent="0.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</row>
    <row r="734" spans="1:27" ht="24" customHeight="1" x14ac:dyDescent="0.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</row>
    <row r="735" spans="1:27" ht="24" customHeight="1" x14ac:dyDescent="0.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</row>
    <row r="736" spans="1:27" ht="24" customHeight="1" x14ac:dyDescent="0.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</row>
    <row r="737" spans="1:27" ht="24" customHeight="1" x14ac:dyDescent="0.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</row>
    <row r="738" spans="1:27" ht="24" customHeight="1" x14ac:dyDescent="0.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</row>
    <row r="739" spans="1:27" ht="24" customHeight="1" x14ac:dyDescent="0.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</row>
    <row r="740" spans="1:27" ht="24" customHeight="1" x14ac:dyDescent="0.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</row>
    <row r="741" spans="1:27" ht="24" customHeight="1" x14ac:dyDescent="0.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</row>
    <row r="742" spans="1:27" ht="24" customHeight="1" x14ac:dyDescent="0.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</row>
    <row r="743" spans="1:27" ht="24" customHeight="1" x14ac:dyDescent="0.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</row>
    <row r="744" spans="1:27" ht="24" customHeight="1" x14ac:dyDescent="0.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</row>
    <row r="745" spans="1:27" ht="24" customHeight="1" x14ac:dyDescent="0.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</row>
    <row r="746" spans="1:27" ht="24" customHeight="1" x14ac:dyDescent="0.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</row>
    <row r="747" spans="1:27" ht="24" customHeight="1" x14ac:dyDescent="0.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</row>
    <row r="748" spans="1:27" ht="24" customHeight="1" x14ac:dyDescent="0.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</row>
    <row r="749" spans="1:27" ht="24" customHeight="1" x14ac:dyDescent="0.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</row>
    <row r="750" spans="1:27" ht="24" customHeight="1" x14ac:dyDescent="0.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</row>
    <row r="751" spans="1:27" ht="24" customHeight="1" x14ac:dyDescent="0.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</row>
    <row r="752" spans="1:27" ht="24" customHeight="1" x14ac:dyDescent="0.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</row>
    <row r="753" spans="1:27" ht="24" customHeight="1" x14ac:dyDescent="0.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</row>
    <row r="754" spans="1:27" ht="24" customHeight="1" x14ac:dyDescent="0.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</row>
    <row r="755" spans="1:27" ht="24" customHeight="1" x14ac:dyDescent="0.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</row>
    <row r="756" spans="1:27" ht="24" customHeight="1" x14ac:dyDescent="0.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</row>
    <row r="757" spans="1:27" ht="24" customHeight="1" x14ac:dyDescent="0.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</row>
    <row r="758" spans="1:27" ht="24" customHeight="1" x14ac:dyDescent="0.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</row>
    <row r="759" spans="1:27" ht="24" customHeight="1" x14ac:dyDescent="0.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</row>
    <row r="760" spans="1:27" ht="24" customHeight="1" x14ac:dyDescent="0.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</row>
    <row r="761" spans="1:27" ht="24" customHeight="1" x14ac:dyDescent="0.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</row>
    <row r="762" spans="1:27" ht="24" customHeight="1" x14ac:dyDescent="0.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</row>
    <row r="763" spans="1:27" ht="24" customHeight="1" x14ac:dyDescent="0.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</row>
    <row r="764" spans="1:27" ht="24" customHeight="1" x14ac:dyDescent="0.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</row>
    <row r="765" spans="1:27" ht="24" customHeight="1" x14ac:dyDescent="0.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</row>
    <row r="766" spans="1:27" ht="24" customHeight="1" x14ac:dyDescent="0.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</row>
    <row r="767" spans="1:27" ht="24" customHeight="1" x14ac:dyDescent="0.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</row>
    <row r="768" spans="1:27" ht="24" customHeight="1" x14ac:dyDescent="0.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</row>
    <row r="769" spans="1:27" ht="24" customHeight="1" x14ac:dyDescent="0.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</row>
    <row r="770" spans="1:27" ht="24" customHeight="1" x14ac:dyDescent="0.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</row>
    <row r="771" spans="1:27" ht="24" customHeight="1" x14ac:dyDescent="0.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</row>
    <row r="772" spans="1:27" ht="24" customHeight="1" x14ac:dyDescent="0.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</row>
    <row r="773" spans="1:27" ht="24" customHeight="1" x14ac:dyDescent="0.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</row>
    <row r="774" spans="1:27" ht="24" customHeight="1" x14ac:dyDescent="0.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</row>
    <row r="775" spans="1:27" ht="24" customHeight="1" x14ac:dyDescent="0.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</row>
    <row r="776" spans="1:27" ht="24" customHeight="1" x14ac:dyDescent="0.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</row>
    <row r="777" spans="1:27" ht="24" customHeight="1" x14ac:dyDescent="0.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</row>
    <row r="778" spans="1:27" ht="24" customHeight="1" x14ac:dyDescent="0.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</row>
    <row r="779" spans="1:27" ht="24" customHeight="1" x14ac:dyDescent="0.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</row>
    <row r="780" spans="1:27" ht="24" customHeight="1" x14ac:dyDescent="0.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</row>
    <row r="781" spans="1:27" ht="24" customHeight="1" x14ac:dyDescent="0.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</row>
    <row r="782" spans="1:27" ht="24" customHeight="1" x14ac:dyDescent="0.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</row>
    <row r="783" spans="1:27" ht="24" customHeight="1" x14ac:dyDescent="0.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</row>
    <row r="784" spans="1:27" ht="24" customHeight="1" x14ac:dyDescent="0.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</row>
    <row r="785" spans="1:27" ht="24" customHeight="1" x14ac:dyDescent="0.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</row>
    <row r="786" spans="1:27" ht="24" customHeight="1" x14ac:dyDescent="0.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</row>
    <row r="787" spans="1:27" ht="24" customHeight="1" x14ac:dyDescent="0.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</row>
    <row r="788" spans="1:27" ht="24" customHeight="1" x14ac:dyDescent="0.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</row>
    <row r="789" spans="1:27" ht="24" customHeight="1" x14ac:dyDescent="0.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</row>
    <row r="790" spans="1:27" ht="24" customHeight="1" x14ac:dyDescent="0.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</row>
    <row r="791" spans="1:27" ht="24" customHeight="1" x14ac:dyDescent="0.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</row>
    <row r="792" spans="1:27" ht="24" customHeight="1" x14ac:dyDescent="0.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</row>
    <row r="793" spans="1:27" ht="24" customHeight="1" x14ac:dyDescent="0.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</row>
    <row r="794" spans="1:27" ht="24" customHeight="1" x14ac:dyDescent="0.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</row>
    <row r="795" spans="1:27" ht="24" customHeight="1" x14ac:dyDescent="0.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</row>
    <row r="796" spans="1:27" ht="24" customHeight="1" x14ac:dyDescent="0.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</row>
    <row r="797" spans="1:27" ht="24" customHeight="1" x14ac:dyDescent="0.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</row>
    <row r="798" spans="1:27" ht="24" customHeight="1" x14ac:dyDescent="0.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</row>
    <row r="799" spans="1:27" ht="24" customHeight="1" x14ac:dyDescent="0.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</row>
    <row r="800" spans="1:27" ht="24" customHeight="1" x14ac:dyDescent="0.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</row>
    <row r="801" spans="1:27" ht="24" customHeight="1" x14ac:dyDescent="0.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</row>
    <row r="802" spans="1:27" ht="24" customHeight="1" x14ac:dyDescent="0.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</row>
    <row r="803" spans="1:27" ht="24" customHeight="1" x14ac:dyDescent="0.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</row>
    <row r="804" spans="1:27" ht="24" customHeight="1" x14ac:dyDescent="0.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</row>
    <row r="805" spans="1:27" ht="24" customHeight="1" x14ac:dyDescent="0.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</row>
    <row r="806" spans="1:27" ht="24" customHeight="1" x14ac:dyDescent="0.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</row>
    <row r="807" spans="1:27" ht="24" customHeight="1" x14ac:dyDescent="0.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</row>
    <row r="808" spans="1:27" ht="24" customHeight="1" x14ac:dyDescent="0.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</row>
    <row r="809" spans="1:27" ht="24" customHeight="1" x14ac:dyDescent="0.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</row>
    <row r="810" spans="1:27" ht="24" customHeight="1" x14ac:dyDescent="0.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</row>
    <row r="811" spans="1:27" ht="24" customHeight="1" x14ac:dyDescent="0.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</row>
    <row r="812" spans="1:27" ht="24" customHeight="1" x14ac:dyDescent="0.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</row>
    <row r="813" spans="1:27" ht="24" customHeight="1" x14ac:dyDescent="0.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</row>
    <row r="814" spans="1:27" ht="24" customHeight="1" x14ac:dyDescent="0.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</row>
    <row r="815" spans="1:27" ht="24" customHeight="1" x14ac:dyDescent="0.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</row>
    <row r="816" spans="1:27" ht="24" customHeight="1" x14ac:dyDescent="0.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</row>
    <row r="817" spans="1:27" ht="24" customHeight="1" x14ac:dyDescent="0.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</row>
    <row r="818" spans="1:27" ht="24" customHeight="1" x14ac:dyDescent="0.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</row>
    <row r="819" spans="1:27" ht="24" customHeight="1" x14ac:dyDescent="0.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</row>
    <row r="820" spans="1:27" ht="24" customHeight="1" x14ac:dyDescent="0.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</row>
    <row r="821" spans="1:27" ht="24" customHeight="1" x14ac:dyDescent="0.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</row>
    <row r="822" spans="1:27" ht="24" customHeight="1" x14ac:dyDescent="0.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</row>
    <row r="823" spans="1:27" ht="24" customHeight="1" x14ac:dyDescent="0.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</row>
    <row r="824" spans="1:27" ht="24" customHeight="1" x14ac:dyDescent="0.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</row>
    <row r="825" spans="1:27" ht="24" customHeight="1" x14ac:dyDescent="0.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</row>
    <row r="826" spans="1:27" ht="24" customHeight="1" x14ac:dyDescent="0.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</row>
    <row r="827" spans="1:27" ht="24" customHeight="1" x14ac:dyDescent="0.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</row>
    <row r="828" spans="1:27" ht="24" customHeight="1" x14ac:dyDescent="0.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</row>
    <row r="829" spans="1:27" ht="24" customHeight="1" x14ac:dyDescent="0.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</row>
    <row r="830" spans="1:27" ht="24" customHeight="1" x14ac:dyDescent="0.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</row>
    <row r="831" spans="1:27" ht="24" customHeight="1" x14ac:dyDescent="0.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</row>
    <row r="832" spans="1:27" ht="24" customHeight="1" x14ac:dyDescent="0.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</row>
    <row r="833" spans="1:27" ht="24" customHeight="1" x14ac:dyDescent="0.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</row>
    <row r="834" spans="1:27" ht="24" customHeight="1" x14ac:dyDescent="0.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</row>
    <row r="835" spans="1:27" ht="24" customHeight="1" x14ac:dyDescent="0.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</row>
    <row r="836" spans="1:27" ht="24" customHeight="1" x14ac:dyDescent="0.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</row>
    <row r="837" spans="1:27" ht="24" customHeight="1" x14ac:dyDescent="0.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</row>
    <row r="838" spans="1:27" ht="24" customHeight="1" x14ac:dyDescent="0.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</row>
    <row r="839" spans="1:27" ht="24" customHeight="1" x14ac:dyDescent="0.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</row>
    <row r="840" spans="1:27" ht="24" customHeight="1" x14ac:dyDescent="0.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</row>
    <row r="841" spans="1:27" ht="24" customHeight="1" x14ac:dyDescent="0.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</row>
    <row r="842" spans="1:27" ht="24" customHeight="1" x14ac:dyDescent="0.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</row>
    <row r="843" spans="1:27" ht="24" customHeight="1" x14ac:dyDescent="0.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</row>
    <row r="844" spans="1:27" ht="24" customHeight="1" x14ac:dyDescent="0.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</row>
    <row r="845" spans="1:27" ht="24" customHeight="1" x14ac:dyDescent="0.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</row>
    <row r="846" spans="1:27" ht="24" customHeight="1" x14ac:dyDescent="0.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</row>
    <row r="847" spans="1:27" ht="24" customHeight="1" x14ac:dyDescent="0.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</row>
    <row r="848" spans="1:27" ht="24" customHeight="1" x14ac:dyDescent="0.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</row>
    <row r="849" spans="1:27" ht="24" customHeight="1" x14ac:dyDescent="0.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</row>
    <row r="850" spans="1:27" ht="24" customHeight="1" x14ac:dyDescent="0.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</row>
    <row r="851" spans="1:27" ht="24" customHeight="1" x14ac:dyDescent="0.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</row>
    <row r="852" spans="1:27" ht="24" customHeight="1" x14ac:dyDescent="0.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</row>
    <row r="853" spans="1:27" ht="24" customHeight="1" x14ac:dyDescent="0.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</row>
    <row r="854" spans="1:27" ht="24" customHeight="1" x14ac:dyDescent="0.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</row>
    <row r="855" spans="1:27" ht="24" customHeight="1" x14ac:dyDescent="0.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</row>
    <row r="856" spans="1:27" ht="24" customHeight="1" x14ac:dyDescent="0.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</row>
    <row r="857" spans="1:27" ht="24" customHeight="1" x14ac:dyDescent="0.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</row>
    <row r="858" spans="1:27" ht="24" customHeight="1" x14ac:dyDescent="0.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</row>
    <row r="859" spans="1:27" ht="24" customHeight="1" x14ac:dyDescent="0.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</row>
    <row r="860" spans="1:27" ht="24" customHeight="1" x14ac:dyDescent="0.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</row>
    <row r="861" spans="1:27" ht="24" customHeight="1" x14ac:dyDescent="0.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</row>
    <row r="862" spans="1:27" ht="24" customHeight="1" x14ac:dyDescent="0.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</row>
    <row r="863" spans="1:27" ht="24" customHeight="1" x14ac:dyDescent="0.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</row>
    <row r="864" spans="1:27" ht="24" customHeight="1" x14ac:dyDescent="0.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</row>
    <row r="865" spans="1:27" ht="24" customHeight="1" x14ac:dyDescent="0.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</row>
    <row r="866" spans="1:27" ht="24" customHeight="1" x14ac:dyDescent="0.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</row>
    <row r="867" spans="1:27" ht="24" customHeight="1" x14ac:dyDescent="0.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</row>
    <row r="868" spans="1:27" ht="24" customHeight="1" x14ac:dyDescent="0.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</row>
    <row r="869" spans="1:27" ht="24" customHeight="1" x14ac:dyDescent="0.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</row>
    <row r="870" spans="1:27" ht="24" customHeight="1" x14ac:dyDescent="0.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</row>
    <row r="871" spans="1:27" ht="24" customHeight="1" x14ac:dyDescent="0.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</row>
    <row r="872" spans="1:27" ht="24" customHeight="1" x14ac:dyDescent="0.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</row>
    <row r="873" spans="1:27" ht="24" customHeight="1" x14ac:dyDescent="0.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</row>
    <row r="874" spans="1:27" ht="24" customHeight="1" x14ac:dyDescent="0.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</row>
    <row r="875" spans="1:27" ht="24" customHeight="1" x14ac:dyDescent="0.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</row>
    <row r="876" spans="1:27" ht="24" customHeight="1" x14ac:dyDescent="0.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</row>
    <row r="877" spans="1:27" ht="24" customHeight="1" x14ac:dyDescent="0.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</row>
    <row r="878" spans="1:27" ht="24" customHeight="1" x14ac:dyDescent="0.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</row>
    <row r="879" spans="1:27" ht="24" customHeight="1" x14ac:dyDescent="0.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</row>
    <row r="880" spans="1:27" ht="24" customHeight="1" x14ac:dyDescent="0.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</row>
    <row r="881" spans="1:27" ht="24" customHeight="1" x14ac:dyDescent="0.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</row>
    <row r="882" spans="1:27" ht="24" customHeight="1" x14ac:dyDescent="0.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</row>
    <row r="883" spans="1:27" ht="24" customHeight="1" x14ac:dyDescent="0.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</row>
    <row r="884" spans="1:27" ht="24" customHeight="1" x14ac:dyDescent="0.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</row>
    <row r="885" spans="1:27" ht="24" customHeight="1" x14ac:dyDescent="0.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</row>
    <row r="886" spans="1:27" ht="24" customHeight="1" x14ac:dyDescent="0.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</row>
    <row r="887" spans="1:27" ht="24" customHeight="1" x14ac:dyDescent="0.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</row>
    <row r="888" spans="1:27" ht="24" customHeight="1" x14ac:dyDescent="0.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</row>
    <row r="889" spans="1:27" ht="24" customHeight="1" x14ac:dyDescent="0.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</row>
    <row r="890" spans="1:27" ht="24" customHeight="1" x14ac:dyDescent="0.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</row>
    <row r="891" spans="1:27" ht="24" customHeight="1" x14ac:dyDescent="0.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</row>
    <row r="892" spans="1:27" ht="24" customHeight="1" x14ac:dyDescent="0.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</row>
    <row r="893" spans="1:27" ht="24" customHeight="1" x14ac:dyDescent="0.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</row>
    <row r="894" spans="1:27" ht="24" customHeight="1" x14ac:dyDescent="0.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</row>
    <row r="895" spans="1:27" ht="24" customHeight="1" x14ac:dyDescent="0.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</row>
    <row r="896" spans="1:27" ht="24" customHeight="1" x14ac:dyDescent="0.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</row>
    <row r="897" spans="1:27" ht="24" customHeight="1" x14ac:dyDescent="0.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</row>
    <row r="898" spans="1:27" ht="24" customHeight="1" x14ac:dyDescent="0.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</row>
    <row r="899" spans="1:27" ht="24" customHeight="1" x14ac:dyDescent="0.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</row>
    <row r="900" spans="1:27" ht="24" customHeight="1" x14ac:dyDescent="0.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</row>
    <row r="901" spans="1:27" ht="24" customHeight="1" x14ac:dyDescent="0.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</row>
    <row r="902" spans="1:27" ht="24" customHeight="1" x14ac:dyDescent="0.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</row>
    <row r="903" spans="1:27" ht="24" customHeight="1" x14ac:dyDescent="0.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</row>
    <row r="904" spans="1:27" ht="24" customHeight="1" x14ac:dyDescent="0.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</row>
    <row r="905" spans="1:27" ht="24" customHeight="1" x14ac:dyDescent="0.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</row>
    <row r="906" spans="1:27" ht="24" customHeight="1" x14ac:dyDescent="0.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</row>
    <row r="907" spans="1:27" ht="24" customHeight="1" x14ac:dyDescent="0.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</row>
    <row r="908" spans="1:27" ht="24" customHeight="1" x14ac:dyDescent="0.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</row>
    <row r="909" spans="1:27" ht="24" customHeight="1" x14ac:dyDescent="0.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</row>
    <row r="910" spans="1:27" ht="24" customHeight="1" x14ac:dyDescent="0.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</row>
    <row r="911" spans="1:27" ht="24" customHeight="1" x14ac:dyDescent="0.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</row>
    <row r="912" spans="1:27" ht="24" customHeight="1" x14ac:dyDescent="0.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</row>
    <row r="913" spans="1:27" ht="24" customHeight="1" x14ac:dyDescent="0.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</row>
    <row r="914" spans="1:27" ht="24" customHeight="1" x14ac:dyDescent="0.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</row>
    <row r="915" spans="1:27" ht="24" customHeight="1" x14ac:dyDescent="0.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</row>
    <row r="916" spans="1:27" ht="24" customHeight="1" x14ac:dyDescent="0.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</row>
    <row r="917" spans="1:27" ht="24" customHeight="1" x14ac:dyDescent="0.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</row>
    <row r="918" spans="1:27" ht="24" customHeight="1" x14ac:dyDescent="0.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</row>
    <row r="919" spans="1:27" ht="24" customHeight="1" x14ac:dyDescent="0.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</row>
    <row r="920" spans="1:27" ht="24" customHeight="1" x14ac:dyDescent="0.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</row>
    <row r="921" spans="1:27" ht="24" customHeight="1" x14ac:dyDescent="0.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</row>
    <row r="922" spans="1:27" ht="24" customHeight="1" x14ac:dyDescent="0.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</row>
    <row r="923" spans="1:27" ht="24" customHeight="1" x14ac:dyDescent="0.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</row>
    <row r="924" spans="1:27" ht="24" customHeight="1" x14ac:dyDescent="0.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</row>
    <row r="925" spans="1:27" ht="24" customHeight="1" x14ac:dyDescent="0.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</row>
    <row r="926" spans="1:27" ht="24" customHeight="1" x14ac:dyDescent="0.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</row>
    <row r="927" spans="1:27" ht="24" customHeight="1" x14ac:dyDescent="0.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</row>
    <row r="928" spans="1:27" ht="24" customHeight="1" x14ac:dyDescent="0.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</row>
    <row r="929" spans="1:27" ht="24" customHeight="1" x14ac:dyDescent="0.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</row>
    <row r="930" spans="1:27" ht="24" customHeight="1" x14ac:dyDescent="0.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</row>
    <row r="931" spans="1:27" ht="24" customHeight="1" x14ac:dyDescent="0.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</row>
    <row r="932" spans="1:27" ht="24" customHeight="1" x14ac:dyDescent="0.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</row>
    <row r="933" spans="1:27" ht="24" customHeight="1" x14ac:dyDescent="0.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</row>
    <row r="934" spans="1:27" ht="24" customHeight="1" x14ac:dyDescent="0.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</row>
    <row r="935" spans="1:27" ht="24" customHeight="1" x14ac:dyDescent="0.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</row>
    <row r="936" spans="1:27" ht="24" customHeight="1" x14ac:dyDescent="0.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</row>
    <row r="937" spans="1:27" ht="24" customHeight="1" x14ac:dyDescent="0.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</row>
    <row r="938" spans="1:27" ht="24" customHeight="1" x14ac:dyDescent="0.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</row>
    <row r="939" spans="1:27" ht="24" customHeight="1" x14ac:dyDescent="0.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</row>
    <row r="940" spans="1:27" ht="24" customHeight="1" x14ac:dyDescent="0.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</row>
    <row r="941" spans="1:27" ht="24" customHeight="1" x14ac:dyDescent="0.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</row>
    <row r="942" spans="1:27" ht="24" customHeight="1" x14ac:dyDescent="0.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</row>
    <row r="943" spans="1:27" ht="24" customHeight="1" x14ac:dyDescent="0.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</row>
    <row r="944" spans="1:27" ht="24" customHeight="1" x14ac:dyDescent="0.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</row>
    <row r="945" spans="1:27" ht="24" customHeight="1" x14ac:dyDescent="0.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</row>
    <row r="946" spans="1:27" ht="24" customHeight="1" x14ac:dyDescent="0.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</row>
    <row r="947" spans="1:27" ht="24" customHeight="1" x14ac:dyDescent="0.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</row>
    <row r="948" spans="1:27" ht="24" customHeight="1" x14ac:dyDescent="0.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</row>
    <row r="949" spans="1:27" ht="24" customHeight="1" x14ac:dyDescent="0.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</row>
    <row r="950" spans="1:27" ht="24" customHeight="1" x14ac:dyDescent="0.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</row>
    <row r="951" spans="1:27" ht="24" customHeight="1" x14ac:dyDescent="0.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</row>
    <row r="952" spans="1:27" ht="24" customHeight="1" x14ac:dyDescent="0.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</row>
    <row r="953" spans="1:27" ht="24" customHeight="1" x14ac:dyDescent="0.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</row>
    <row r="954" spans="1:27" ht="24" customHeight="1" x14ac:dyDescent="0.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</row>
    <row r="955" spans="1:27" ht="24" customHeight="1" x14ac:dyDescent="0.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</row>
    <row r="956" spans="1:27" ht="24" customHeight="1" x14ac:dyDescent="0.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</row>
    <row r="957" spans="1:27" ht="24" customHeight="1" x14ac:dyDescent="0.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</row>
    <row r="958" spans="1:27" ht="24" customHeight="1" x14ac:dyDescent="0.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</row>
    <row r="959" spans="1:27" ht="24" customHeight="1" x14ac:dyDescent="0.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</row>
    <row r="960" spans="1:27" ht="24" customHeight="1" x14ac:dyDescent="0.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</row>
    <row r="961" spans="1:27" ht="24" customHeight="1" x14ac:dyDescent="0.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</row>
    <row r="962" spans="1:27" ht="24" customHeight="1" x14ac:dyDescent="0.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</row>
    <row r="963" spans="1:27" ht="24" customHeight="1" x14ac:dyDescent="0.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</row>
    <row r="964" spans="1:27" ht="24" customHeight="1" x14ac:dyDescent="0.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</row>
    <row r="965" spans="1:27" ht="24" customHeight="1" x14ac:dyDescent="0.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</row>
    <row r="966" spans="1:27" ht="24" customHeight="1" x14ac:dyDescent="0.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</row>
    <row r="967" spans="1:27" ht="24" customHeight="1" x14ac:dyDescent="0.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</row>
    <row r="968" spans="1:27" ht="24" customHeight="1" x14ac:dyDescent="0.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</row>
    <row r="969" spans="1:27" ht="24" customHeight="1" x14ac:dyDescent="0.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</row>
    <row r="970" spans="1:27" ht="24" customHeight="1" x14ac:dyDescent="0.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</row>
    <row r="971" spans="1:27" ht="24" customHeight="1" x14ac:dyDescent="0.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</row>
    <row r="972" spans="1:27" ht="24" customHeight="1" x14ac:dyDescent="0.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</row>
    <row r="973" spans="1:27" ht="24" customHeight="1" x14ac:dyDescent="0.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</row>
    <row r="974" spans="1:27" ht="24" customHeight="1" x14ac:dyDescent="0.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</row>
    <row r="975" spans="1:27" ht="24" customHeight="1" x14ac:dyDescent="0.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</row>
    <row r="976" spans="1:27" ht="24" customHeight="1" x14ac:dyDescent="0.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</row>
    <row r="977" spans="1:27" ht="24" customHeight="1" x14ac:dyDescent="0.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</row>
    <row r="978" spans="1:27" ht="24" customHeight="1" x14ac:dyDescent="0.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</row>
    <row r="979" spans="1:27" ht="24" customHeight="1" x14ac:dyDescent="0.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</row>
    <row r="980" spans="1:27" ht="24" customHeight="1" x14ac:dyDescent="0.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</row>
    <row r="981" spans="1:27" ht="24" customHeight="1" x14ac:dyDescent="0.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</row>
    <row r="982" spans="1:27" ht="24" customHeight="1" x14ac:dyDescent="0.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</row>
    <row r="983" spans="1:27" ht="24" customHeight="1" x14ac:dyDescent="0.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</row>
    <row r="984" spans="1:27" ht="24" customHeight="1" x14ac:dyDescent="0.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</row>
    <row r="985" spans="1:27" ht="24" customHeight="1" x14ac:dyDescent="0.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</row>
    <row r="986" spans="1:27" ht="24" customHeight="1" x14ac:dyDescent="0.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</row>
    <row r="987" spans="1:27" ht="24" customHeight="1" x14ac:dyDescent="0.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</row>
    <row r="988" spans="1:27" ht="24" customHeight="1" x14ac:dyDescent="0.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</row>
    <row r="989" spans="1:27" ht="24" customHeight="1" x14ac:dyDescent="0.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</row>
    <row r="990" spans="1:27" ht="24" customHeight="1" x14ac:dyDescent="0.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</row>
    <row r="991" spans="1:27" ht="24" customHeight="1" x14ac:dyDescent="0.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</row>
    <row r="992" spans="1:27" ht="24" customHeight="1" x14ac:dyDescent="0.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</row>
    <row r="993" spans="1:27" ht="24" customHeight="1" x14ac:dyDescent="0.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</row>
    <row r="994" spans="1:27" ht="24" customHeight="1" x14ac:dyDescent="0.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</row>
    <row r="995" spans="1:27" ht="24" customHeight="1" x14ac:dyDescent="0.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</row>
    <row r="996" spans="1:27" ht="24" customHeight="1" x14ac:dyDescent="0.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</row>
    <row r="997" spans="1:27" ht="24" customHeight="1" x14ac:dyDescent="0.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</row>
    <row r="998" spans="1:27" ht="24" customHeight="1" x14ac:dyDescent="0.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</row>
    <row r="999" spans="1:27" ht="24" customHeight="1" x14ac:dyDescent="0.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</row>
    <row r="1000" spans="1:27" ht="24" customHeight="1" x14ac:dyDescent="0.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</row>
  </sheetData>
  <mergeCells count="35">
    <mergeCell ref="A91:B91"/>
    <mergeCell ref="A106:B106"/>
    <mergeCell ref="T6:V6"/>
    <mergeCell ref="W6:X6"/>
    <mergeCell ref="I7:J7"/>
    <mergeCell ref="L7:M7"/>
    <mergeCell ref="O7:P7"/>
    <mergeCell ref="R7:S7"/>
    <mergeCell ref="U7:U8"/>
    <mergeCell ref="W7:X7"/>
    <mergeCell ref="H5:J6"/>
    <mergeCell ref="K5:M6"/>
    <mergeCell ref="N5:P6"/>
    <mergeCell ref="A54:B54"/>
    <mergeCell ref="A76:B76"/>
    <mergeCell ref="A9:B9"/>
    <mergeCell ref="Y5:AA6"/>
    <mergeCell ref="A6:B8"/>
    <mergeCell ref="D7:D8"/>
    <mergeCell ref="F7:G7"/>
    <mergeCell ref="Z7:AA7"/>
    <mergeCell ref="A2:B4"/>
    <mergeCell ref="C2:S2"/>
    <mergeCell ref="T2:AA2"/>
    <mergeCell ref="C3:S3"/>
    <mergeCell ref="T3:AA3"/>
    <mergeCell ref="C4:S4"/>
    <mergeCell ref="T4:AA4"/>
    <mergeCell ref="A15:B15"/>
    <mergeCell ref="A33:B33"/>
    <mergeCell ref="Q5:S6"/>
    <mergeCell ref="T5:X5"/>
    <mergeCell ref="C5:G5"/>
    <mergeCell ref="C6:E6"/>
    <mergeCell ref="F6:G6"/>
  </mergeCells>
  <printOptions horizontalCentered="1"/>
  <pageMargins left="0.25" right="0.25" top="0.75" bottom="0.25" header="0.3" footer="0.3"/>
  <pageSetup paperSize="9" scale="65" orientation="landscape" r:id="rId1"/>
  <rowBreaks count="5" manualBreakCount="5">
    <brk id="32" man="1"/>
    <brk id="53" man="1"/>
    <brk id="75" max="16383" man="1"/>
    <brk id="90" man="1"/>
    <brk id="75" man="1"/>
  </rowBreaks>
  <colBreaks count="1" manualBreakCount="1">
    <brk id="1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EAADB"/>
  </sheetPr>
  <dimension ref="A1:Z1000"/>
  <sheetViews>
    <sheetView view="pageBreakPreview" zoomScale="115" zoomScaleNormal="70" zoomScaleSheetLayoutView="115" workbookViewId="0">
      <pane xSplit="2" ySplit="9" topLeftCell="C13" activePane="bottomRight" state="frozen"/>
      <selection activeCell="Z5" sqref="Z5:AB6"/>
      <selection pane="topRight" activeCell="Z5" sqref="Z5:AB6"/>
      <selection pane="bottomLeft" activeCell="Z5" sqref="Z5:AB6"/>
      <selection pane="bottomRight" activeCell="Z5" sqref="Z5:AB6"/>
    </sheetView>
  </sheetViews>
  <sheetFormatPr defaultColWidth="12.625" defaultRowHeight="24" customHeight="1" x14ac:dyDescent="0.5"/>
  <cols>
    <col min="1" max="1" width="4.375" style="6" customWidth="1"/>
    <col min="2" max="2" width="27.75" style="6" customWidth="1"/>
    <col min="3" max="6" width="10.75" style="6" customWidth="1"/>
    <col min="7" max="7" width="8.75" style="6" customWidth="1"/>
    <col min="8" max="9" width="9.75" style="6" customWidth="1"/>
    <col min="10" max="10" width="8.75" style="6" customWidth="1"/>
    <col min="11" max="11" width="9.75" style="6" customWidth="1"/>
    <col min="12" max="12" width="8.75" style="6" customWidth="1"/>
    <col min="13" max="16" width="10.75" style="6" customWidth="1"/>
    <col min="17" max="17" width="8.75" style="6" customWidth="1"/>
    <col min="18" max="19" width="9.75" style="6" customWidth="1"/>
    <col min="20" max="20" width="8.75" style="6" customWidth="1"/>
    <col min="21" max="16384" width="12.625" style="6"/>
  </cols>
  <sheetData>
    <row r="1" spans="1:26" ht="24" customHeight="1" x14ac:dyDescent="0.5">
      <c r="A1" s="2" t="s">
        <v>323</v>
      </c>
      <c r="B1" s="3"/>
      <c r="C1" s="4"/>
      <c r="D1" s="4"/>
      <c r="E1" s="4"/>
      <c r="F1" s="4"/>
      <c r="G1" s="4"/>
      <c r="H1" s="145"/>
      <c r="I1" s="145"/>
      <c r="J1" s="145"/>
      <c r="K1" s="145"/>
      <c r="L1" s="145"/>
      <c r="M1" s="4"/>
      <c r="N1" s="4"/>
      <c r="O1" s="4"/>
      <c r="P1" s="4"/>
      <c r="Q1" s="4"/>
      <c r="R1" s="3"/>
      <c r="S1" s="3"/>
      <c r="T1" s="3"/>
      <c r="U1" s="81"/>
      <c r="V1" s="81"/>
      <c r="W1" s="81"/>
      <c r="X1" s="81"/>
      <c r="Y1" s="81"/>
      <c r="Z1" s="81"/>
    </row>
    <row r="2" spans="1:26" ht="24" customHeight="1" x14ac:dyDescent="0.5">
      <c r="A2" s="573" t="s">
        <v>0</v>
      </c>
      <c r="B2" s="627"/>
      <c r="C2" s="677" t="s">
        <v>183</v>
      </c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9"/>
      <c r="U2" s="81"/>
      <c r="V2" s="81"/>
      <c r="W2" s="81"/>
      <c r="X2" s="81"/>
      <c r="Y2" s="81"/>
      <c r="Z2" s="81"/>
    </row>
    <row r="3" spans="1:26" ht="24" customHeight="1" x14ac:dyDescent="0.5">
      <c r="A3" s="628"/>
      <c r="B3" s="629"/>
      <c r="C3" s="678" t="s">
        <v>184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67"/>
      <c r="U3" s="81"/>
      <c r="V3" s="81"/>
      <c r="W3" s="81"/>
      <c r="X3" s="81"/>
      <c r="Y3" s="81"/>
      <c r="Z3" s="81"/>
    </row>
    <row r="4" spans="1:26" ht="24" customHeight="1" x14ac:dyDescent="0.5">
      <c r="A4" s="630"/>
      <c r="B4" s="631"/>
      <c r="C4" s="688" t="s">
        <v>185</v>
      </c>
      <c r="D4" s="581"/>
      <c r="E4" s="581"/>
      <c r="F4" s="581"/>
      <c r="G4" s="581"/>
      <c r="H4" s="581"/>
      <c r="I4" s="581"/>
      <c r="J4" s="581"/>
      <c r="K4" s="581"/>
      <c r="L4" s="571"/>
      <c r="M4" s="688" t="s">
        <v>186</v>
      </c>
      <c r="N4" s="581"/>
      <c r="O4" s="581"/>
      <c r="P4" s="581"/>
      <c r="Q4" s="581"/>
      <c r="R4" s="581"/>
      <c r="S4" s="581"/>
      <c r="T4" s="567"/>
      <c r="U4" s="81"/>
      <c r="V4" s="81"/>
      <c r="W4" s="81"/>
      <c r="X4" s="81"/>
      <c r="Y4" s="81"/>
      <c r="Z4" s="81"/>
    </row>
    <row r="5" spans="1:26" ht="23.45" customHeight="1" x14ac:dyDescent="0.5">
      <c r="A5" s="7"/>
      <c r="B5" s="8"/>
      <c r="C5" s="600" t="s">
        <v>4</v>
      </c>
      <c r="D5" s="581"/>
      <c r="E5" s="581"/>
      <c r="F5" s="581"/>
      <c r="G5" s="571"/>
      <c r="H5" s="651" t="s">
        <v>313</v>
      </c>
      <c r="I5" s="581"/>
      <c r="J5" s="581"/>
      <c r="K5" s="581"/>
      <c r="L5" s="567"/>
      <c r="M5" s="684" t="s">
        <v>4</v>
      </c>
      <c r="N5" s="581"/>
      <c r="O5" s="581"/>
      <c r="P5" s="581"/>
      <c r="Q5" s="567"/>
      <c r="R5" s="685" t="s">
        <v>314</v>
      </c>
      <c r="S5" s="633"/>
      <c r="T5" s="634"/>
      <c r="U5" s="81"/>
      <c r="V5" s="81"/>
      <c r="W5" s="81"/>
      <c r="X5" s="81"/>
      <c r="Y5" s="81"/>
      <c r="Z5" s="81"/>
    </row>
    <row r="6" spans="1:26" ht="35.25" customHeight="1" x14ac:dyDescent="0.5">
      <c r="A6" s="595" t="s">
        <v>207</v>
      </c>
      <c r="B6" s="596"/>
      <c r="C6" s="601" t="s">
        <v>6</v>
      </c>
      <c r="D6" s="581"/>
      <c r="E6" s="567"/>
      <c r="F6" s="602" t="s">
        <v>7</v>
      </c>
      <c r="G6" s="584"/>
      <c r="H6" s="691" t="s">
        <v>16</v>
      </c>
      <c r="I6" s="693" t="s">
        <v>325</v>
      </c>
      <c r="J6" s="694"/>
      <c r="K6" s="689" t="s">
        <v>315</v>
      </c>
      <c r="L6" s="690"/>
      <c r="M6" s="686" t="s">
        <v>6</v>
      </c>
      <c r="N6" s="581"/>
      <c r="O6" s="567"/>
      <c r="P6" s="602" t="s">
        <v>7</v>
      </c>
      <c r="Q6" s="584"/>
      <c r="R6" s="639"/>
      <c r="S6" s="640"/>
      <c r="T6" s="641"/>
      <c r="U6" s="81"/>
      <c r="V6" s="81"/>
      <c r="W6" s="81"/>
      <c r="X6" s="81"/>
      <c r="Y6" s="81"/>
      <c r="Z6" s="81"/>
    </row>
    <row r="7" spans="1:26" ht="24" customHeight="1" x14ac:dyDescent="0.5">
      <c r="A7" s="595"/>
      <c r="B7" s="596"/>
      <c r="C7" s="9" t="s">
        <v>12</v>
      </c>
      <c r="D7" s="604" t="s">
        <v>13</v>
      </c>
      <c r="E7" s="10" t="s">
        <v>14</v>
      </c>
      <c r="F7" s="606" t="s">
        <v>15</v>
      </c>
      <c r="G7" s="594"/>
      <c r="H7" s="692"/>
      <c r="I7" s="687" t="s">
        <v>17</v>
      </c>
      <c r="J7" s="594"/>
      <c r="K7" s="687" t="s">
        <v>17</v>
      </c>
      <c r="L7" s="594"/>
      <c r="M7" s="9" t="s">
        <v>12</v>
      </c>
      <c r="N7" s="604" t="s">
        <v>13</v>
      </c>
      <c r="O7" s="10" t="s">
        <v>14</v>
      </c>
      <c r="P7" s="606" t="s">
        <v>15</v>
      </c>
      <c r="Q7" s="594"/>
      <c r="R7" s="84" t="s">
        <v>16</v>
      </c>
      <c r="S7" s="687" t="s">
        <v>17</v>
      </c>
      <c r="T7" s="594"/>
      <c r="U7" s="81"/>
      <c r="V7" s="81"/>
      <c r="W7" s="81"/>
      <c r="X7" s="81"/>
      <c r="Y7" s="81"/>
      <c r="Z7" s="81"/>
    </row>
    <row r="8" spans="1:26" ht="24" customHeight="1" x14ac:dyDescent="0.5">
      <c r="A8" s="597"/>
      <c r="B8" s="598"/>
      <c r="C8" s="12"/>
      <c r="D8" s="605"/>
      <c r="E8" s="13"/>
      <c r="F8" s="14" t="s">
        <v>18</v>
      </c>
      <c r="G8" s="14" t="s">
        <v>19</v>
      </c>
      <c r="H8" s="146" t="s">
        <v>22</v>
      </c>
      <c r="I8" s="85" t="s">
        <v>21</v>
      </c>
      <c r="J8" s="85" t="s">
        <v>19</v>
      </c>
      <c r="K8" s="85" t="s">
        <v>21</v>
      </c>
      <c r="L8" s="85" t="s">
        <v>19</v>
      </c>
      <c r="M8" s="12"/>
      <c r="N8" s="605"/>
      <c r="O8" s="13"/>
      <c r="P8" s="14" t="s">
        <v>18</v>
      </c>
      <c r="Q8" s="14" t="s">
        <v>19</v>
      </c>
      <c r="R8" s="16" t="s">
        <v>187</v>
      </c>
      <c r="S8" s="85" t="s">
        <v>188</v>
      </c>
      <c r="T8" s="85" t="s">
        <v>19</v>
      </c>
      <c r="U8" s="81"/>
      <c r="V8" s="81"/>
      <c r="W8" s="81"/>
      <c r="X8" s="81"/>
      <c r="Y8" s="81"/>
      <c r="Z8" s="81"/>
    </row>
    <row r="9" spans="1:26" ht="24" customHeight="1" x14ac:dyDescent="0.5">
      <c r="A9" s="564" t="s">
        <v>24</v>
      </c>
      <c r="B9" s="565"/>
      <c r="C9" s="19">
        <f t="shared" ref="C9:E9" si="0">C10+C11</f>
        <v>2119000</v>
      </c>
      <c r="D9" s="20">
        <f t="shared" si="0"/>
        <v>300500</v>
      </c>
      <c r="E9" s="21">
        <f t="shared" si="0"/>
        <v>1818500</v>
      </c>
      <c r="F9" s="22">
        <f ca="1">F10+F11+F14</f>
        <v>81314</v>
      </c>
      <c r="G9" s="88">
        <f t="shared" ref="G9:G114" ca="1" si="1">IF(C9&gt;0,F9*100/C9,0)</f>
        <v>3.8373761208117037</v>
      </c>
      <c r="H9" s="24">
        <f t="shared" ref="H9:I9" si="2">H10+H11</f>
        <v>300</v>
      </c>
      <c r="I9" s="25">
        <f t="shared" ca="1" si="2"/>
        <v>0</v>
      </c>
      <c r="J9" s="89">
        <f t="shared" ref="J9:J114" ca="1" si="3">IF(H9&gt;0,I9*100/H9,0)</f>
        <v>0</v>
      </c>
      <c r="K9" s="25">
        <f ca="1">K10+K11</f>
        <v>0</v>
      </c>
      <c r="L9" s="89">
        <f t="shared" ref="L9:L114" ca="1" si="4">IF(H9&gt;0,K9*100/H9,0)</f>
        <v>0</v>
      </c>
      <c r="M9" s="19">
        <f t="shared" ref="M9:O9" si="5">M10+M11</f>
        <v>7151500</v>
      </c>
      <c r="N9" s="20">
        <f t="shared" si="5"/>
        <v>1787900</v>
      </c>
      <c r="O9" s="21">
        <f t="shared" si="5"/>
        <v>5363600</v>
      </c>
      <c r="P9" s="22">
        <f ca="1">P10+P11+P14</f>
        <v>585212.75</v>
      </c>
      <c r="Q9" s="88">
        <f t="shared" ref="Q9:Q114" ca="1" si="6">IF(M9&gt;0,P9*100/M9,0)</f>
        <v>8.1830769768580023</v>
      </c>
      <c r="R9" s="24">
        <f t="shared" ref="R9:S9" si="7">R10+R11</f>
        <v>31</v>
      </c>
      <c r="S9" s="25">
        <f t="shared" ca="1" si="7"/>
        <v>0</v>
      </c>
      <c r="T9" s="89">
        <f t="shared" ref="T9:T114" ca="1" si="8">IF(R9&gt;0,S9*100/R9,0)</f>
        <v>0</v>
      </c>
      <c r="U9" s="90"/>
      <c r="V9" s="90"/>
      <c r="W9" s="90"/>
      <c r="X9" s="90"/>
      <c r="Y9" s="90"/>
      <c r="Z9" s="90"/>
    </row>
    <row r="10" spans="1:26" ht="24" customHeight="1" x14ac:dyDescent="0.5">
      <c r="A10" s="27" t="s">
        <v>25</v>
      </c>
      <c r="B10" s="28"/>
      <c r="C10" s="29">
        <f t="shared" ref="C10:F10" si="9">+C15+C33+C54+C76</f>
        <v>1028440</v>
      </c>
      <c r="D10" s="29">
        <f t="shared" si="9"/>
        <v>0</v>
      </c>
      <c r="E10" s="29">
        <f t="shared" si="9"/>
        <v>1028440</v>
      </c>
      <c r="F10" s="29">
        <f t="shared" ca="1" si="9"/>
        <v>0</v>
      </c>
      <c r="G10" s="91">
        <f t="shared" ca="1" si="1"/>
        <v>0</v>
      </c>
      <c r="H10" s="29">
        <f t="shared" ref="H10:I10" si="10">+H15+H33+H54+H76</f>
        <v>300</v>
      </c>
      <c r="I10" s="29">
        <f t="shared" ca="1" si="10"/>
        <v>0</v>
      </c>
      <c r="J10" s="91">
        <f t="shared" ca="1" si="3"/>
        <v>0</v>
      </c>
      <c r="K10" s="29">
        <f ca="1">+K15+K33+K54+K76</f>
        <v>0</v>
      </c>
      <c r="L10" s="91">
        <f t="shared" ca="1" si="4"/>
        <v>0</v>
      </c>
      <c r="M10" s="29">
        <f t="shared" ref="M10:P10" si="11">+M15+M33+M54+M76</f>
        <v>3429200</v>
      </c>
      <c r="N10" s="29">
        <f t="shared" si="11"/>
        <v>0</v>
      </c>
      <c r="O10" s="29">
        <f t="shared" si="11"/>
        <v>3429200</v>
      </c>
      <c r="P10" s="29">
        <f t="shared" ca="1" si="11"/>
        <v>212757.75</v>
      </c>
      <c r="Q10" s="91">
        <f t="shared" ca="1" si="6"/>
        <v>6.2042969205645635</v>
      </c>
      <c r="R10" s="29">
        <f t="shared" ref="R10:S10" si="12">+R15+R33+R54+R76</f>
        <v>31</v>
      </c>
      <c r="S10" s="29">
        <f t="shared" ca="1" si="12"/>
        <v>0</v>
      </c>
      <c r="T10" s="91">
        <f t="shared" ca="1" si="8"/>
        <v>0</v>
      </c>
      <c r="U10" s="90"/>
      <c r="V10" s="90"/>
      <c r="W10" s="90"/>
      <c r="X10" s="90"/>
      <c r="Y10" s="90"/>
      <c r="Z10" s="90"/>
    </row>
    <row r="11" spans="1:26" ht="24" customHeight="1" x14ac:dyDescent="0.5">
      <c r="A11" s="33" t="s">
        <v>26</v>
      </c>
      <c r="B11" s="34"/>
      <c r="C11" s="35">
        <f t="shared" ref="C11:F11" si="13">+C12+C13</f>
        <v>1090560</v>
      </c>
      <c r="D11" s="35">
        <f t="shared" si="13"/>
        <v>300500</v>
      </c>
      <c r="E11" s="35">
        <f t="shared" si="13"/>
        <v>790060</v>
      </c>
      <c r="F11" s="35">
        <f t="shared" ca="1" si="13"/>
        <v>81314</v>
      </c>
      <c r="G11" s="92">
        <f t="shared" ca="1" si="1"/>
        <v>7.456169307511737</v>
      </c>
      <c r="H11" s="35">
        <f t="shared" ref="H11:I11" si="14">+H12+H13</f>
        <v>0</v>
      </c>
      <c r="I11" s="35">
        <f t="shared" si="14"/>
        <v>0</v>
      </c>
      <c r="J11" s="92">
        <f t="shared" si="3"/>
        <v>0</v>
      </c>
      <c r="K11" s="35">
        <f>+K12+K13</f>
        <v>0</v>
      </c>
      <c r="L11" s="92">
        <f t="shared" si="4"/>
        <v>0</v>
      </c>
      <c r="M11" s="35">
        <f t="shared" ref="M11:P11" si="15">+M12+M13</f>
        <v>3722300</v>
      </c>
      <c r="N11" s="35">
        <f t="shared" si="15"/>
        <v>1787900</v>
      </c>
      <c r="O11" s="35">
        <f t="shared" si="15"/>
        <v>1934400</v>
      </c>
      <c r="P11" s="35">
        <f t="shared" ca="1" si="15"/>
        <v>372455</v>
      </c>
      <c r="Q11" s="92">
        <f t="shared" ca="1" si="6"/>
        <v>10.006044649813287</v>
      </c>
      <c r="R11" s="35">
        <f t="shared" ref="R11:S11" si="16">+R12+R13</f>
        <v>0</v>
      </c>
      <c r="S11" s="35">
        <f t="shared" si="16"/>
        <v>0</v>
      </c>
      <c r="T11" s="92">
        <f t="shared" si="8"/>
        <v>0</v>
      </c>
      <c r="U11" s="90"/>
      <c r="V11" s="90"/>
      <c r="W11" s="90"/>
      <c r="X11" s="90"/>
      <c r="Y11" s="90"/>
      <c r="Z11" s="90"/>
    </row>
    <row r="12" spans="1:26" ht="24" customHeight="1" x14ac:dyDescent="0.5">
      <c r="A12" s="33" t="s">
        <v>27</v>
      </c>
      <c r="B12" s="34"/>
      <c r="C12" s="35">
        <f t="shared" ref="C12:F12" si="17">+C91</f>
        <v>999960</v>
      </c>
      <c r="D12" s="35">
        <f t="shared" si="17"/>
        <v>209900</v>
      </c>
      <c r="E12" s="35">
        <f t="shared" si="17"/>
        <v>790060</v>
      </c>
      <c r="F12" s="35">
        <f t="shared" ca="1" si="17"/>
        <v>81314</v>
      </c>
      <c r="G12" s="92">
        <f t="shared" ca="1" si="1"/>
        <v>8.1317252690107598</v>
      </c>
      <c r="H12" s="35">
        <f t="shared" ref="H12:I12" si="18">+H91</f>
        <v>0</v>
      </c>
      <c r="I12" s="35">
        <f t="shared" si="18"/>
        <v>0</v>
      </c>
      <c r="J12" s="92">
        <f t="shared" si="3"/>
        <v>0</v>
      </c>
      <c r="K12" s="35">
        <f>+K91</f>
        <v>0</v>
      </c>
      <c r="L12" s="92">
        <f t="shared" si="4"/>
        <v>0</v>
      </c>
      <c r="M12" s="35">
        <f t="shared" ref="M12:P12" si="19">+M91</f>
        <v>3034400</v>
      </c>
      <c r="N12" s="35">
        <f t="shared" si="19"/>
        <v>1100000</v>
      </c>
      <c r="O12" s="35">
        <f t="shared" si="19"/>
        <v>1934400</v>
      </c>
      <c r="P12" s="35">
        <f t="shared" ca="1" si="19"/>
        <v>372455</v>
      </c>
      <c r="Q12" s="92">
        <f t="shared" ca="1" si="6"/>
        <v>12.274419984181387</v>
      </c>
      <c r="R12" s="35">
        <f t="shared" ref="R12:S12" si="20">+R91</f>
        <v>0</v>
      </c>
      <c r="S12" s="35">
        <f t="shared" si="20"/>
        <v>0</v>
      </c>
      <c r="T12" s="92">
        <f t="shared" si="8"/>
        <v>0</v>
      </c>
      <c r="U12" s="90"/>
      <c r="V12" s="90"/>
      <c r="W12" s="90"/>
      <c r="X12" s="90"/>
      <c r="Y12" s="90"/>
      <c r="Z12" s="90"/>
    </row>
    <row r="13" spans="1:26" ht="24" customHeight="1" x14ac:dyDescent="0.5">
      <c r="A13" s="33" t="s">
        <v>28</v>
      </c>
      <c r="B13" s="34"/>
      <c r="C13" s="35">
        <f t="shared" ref="C13:F13" si="21">+C106</f>
        <v>90600</v>
      </c>
      <c r="D13" s="35">
        <f t="shared" si="21"/>
        <v>90600</v>
      </c>
      <c r="E13" s="35">
        <f t="shared" si="21"/>
        <v>0</v>
      </c>
      <c r="F13" s="35">
        <f t="shared" si="21"/>
        <v>0</v>
      </c>
      <c r="G13" s="92">
        <f t="shared" si="1"/>
        <v>0</v>
      </c>
      <c r="H13" s="35">
        <f t="shared" ref="H13:I13" si="22">+H106</f>
        <v>0</v>
      </c>
      <c r="I13" s="35">
        <f t="shared" si="22"/>
        <v>0</v>
      </c>
      <c r="J13" s="92">
        <f t="shared" si="3"/>
        <v>0</v>
      </c>
      <c r="K13" s="35">
        <f>+K106</f>
        <v>0</v>
      </c>
      <c r="L13" s="92">
        <f t="shared" si="4"/>
        <v>0</v>
      </c>
      <c r="M13" s="35">
        <f t="shared" ref="M13:P13" si="23">+M106</f>
        <v>687900</v>
      </c>
      <c r="N13" s="35">
        <f t="shared" si="23"/>
        <v>687900</v>
      </c>
      <c r="O13" s="35">
        <f t="shared" si="23"/>
        <v>0</v>
      </c>
      <c r="P13" s="35">
        <f t="shared" si="23"/>
        <v>0</v>
      </c>
      <c r="Q13" s="92">
        <f t="shared" si="6"/>
        <v>0</v>
      </c>
      <c r="R13" s="35">
        <f t="shared" ref="R13:S13" si="24">+R106</f>
        <v>0</v>
      </c>
      <c r="S13" s="35">
        <f t="shared" si="24"/>
        <v>0</v>
      </c>
      <c r="T13" s="92">
        <f t="shared" si="8"/>
        <v>0</v>
      </c>
      <c r="U13" s="90"/>
      <c r="V13" s="90"/>
      <c r="W13" s="90"/>
      <c r="X13" s="90"/>
      <c r="Y13" s="90"/>
      <c r="Z13" s="90"/>
    </row>
    <row r="14" spans="1:26" ht="24" customHeight="1" x14ac:dyDescent="0.5">
      <c r="A14" s="39" t="s">
        <v>29</v>
      </c>
      <c r="B14" s="40"/>
      <c r="C14" s="93">
        <v>0</v>
      </c>
      <c r="D14" s="93">
        <v>0</v>
      </c>
      <c r="E14" s="93">
        <v>0</v>
      </c>
      <c r="F14" s="41">
        <v>0</v>
      </c>
      <c r="G14" s="94">
        <f t="shared" si="1"/>
        <v>0</v>
      </c>
      <c r="H14" s="93">
        <v>0</v>
      </c>
      <c r="I14" s="93">
        <v>0</v>
      </c>
      <c r="J14" s="96">
        <f t="shared" si="3"/>
        <v>0</v>
      </c>
      <c r="K14" s="93">
        <v>0</v>
      </c>
      <c r="L14" s="96">
        <f t="shared" si="4"/>
        <v>0</v>
      </c>
      <c r="M14" s="93">
        <v>0</v>
      </c>
      <c r="N14" s="93">
        <v>0</v>
      </c>
      <c r="O14" s="93">
        <v>0</v>
      </c>
      <c r="P14" s="41">
        <v>0</v>
      </c>
      <c r="Q14" s="94">
        <f t="shared" si="6"/>
        <v>0</v>
      </c>
      <c r="R14" s="93">
        <v>0</v>
      </c>
      <c r="S14" s="93">
        <v>0</v>
      </c>
      <c r="T14" s="96">
        <f t="shared" si="8"/>
        <v>0</v>
      </c>
      <c r="U14" s="90"/>
      <c r="V14" s="90"/>
      <c r="W14" s="90"/>
      <c r="X14" s="90"/>
      <c r="Y14" s="90"/>
      <c r="Z14" s="90"/>
    </row>
    <row r="15" spans="1:26" ht="24" customHeight="1" x14ac:dyDescent="0.5">
      <c r="A15" s="566" t="s">
        <v>30</v>
      </c>
      <c r="B15" s="567"/>
      <c r="C15" s="43">
        <f t="shared" ref="C15:F15" si="25">SUM(C16:C32)</f>
        <v>120760</v>
      </c>
      <c r="D15" s="43">
        <f t="shared" si="25"/>
        <v>0</v>
      </c>
      <c r="E15" s="43">
        <f t="shared" si="25"/>
        <v>120760</v>
      </c>
      <c r="F15" s="43">
        <f t="shared" ca="1" si="25"/>
        <v>0</v>
      </c>
      <c r="G15" s="97">
        <f t="shared" ca="1" si="1"/>
        <v>0</v>
      </c>
      <c r="H15" s="43">
        <f t="shared" ref="H15:I15" si="26">SUM(H16:H32)</f>
        <v>40</v>
      </c>
      <c r="I15" s="43">
        <f t="shared" ca="1" si="26"/>
        <v>0</v>
      </c>
      <c r="J15" s="97">
        <f t="shared" ca="1" si="3"/>
        <v>0</v>
      </c>
      <c r="K15" s="43">
        <f ca="1">SUM(K16:K32)</f>
        <v>0</v>
      </c>
      <c r="L15" s="97">
        <f t="shared" ca="1" si="4"/>
        <v>0</v>
      </c>
      <c r="M15" s="43">
        <f t="shared" ref="M15:P15" si="27">SUM(M16:M32)</f>
        <v>772800</v>
      </c>
      <c r="N15" s="43">
        <f t="shared" si="27"/>
        <v>0</v>
      </c>
      <c r="O15" s="43">
        <f t="shared" si="27"/>
        <v>772800</v>
      </c>
      <c r="P15" s="43">
        <f t="shared" ca="1" si="27"/>
        <v>21590.75</v>
      </c>
      <c r="Q15" s="97">
        <f t="shared" ca="1" si="6"/>
        <v>2.7938341097308488</v>
      </c>
      <c r="R15" s="43">
        <f t="shared" ref="R15:S15" si="28">SUM(R16:R32)</f>
        <v>8</v>
      </c>
      <c r="S15" s="43">
        <f t="shared" ca="1" si="28"/>
        <v>0</v>
      </c>
      <c r="T15" s="97">
        <f t="shared" ca="1" si="8"/>
        <v>0</v>
      </c>
      <c r="U15" s="90"/>
      <c r="V15" s="90"/>
      <c r="W15" s="90"/>
      <c r="X15" s="90"/>
      <c r="Y15" s="90"/>
      <c r="Z15" s="90"/>
    </row>
    <row r="16" spans="1:26" ht="24" customHeight="1" x14ac:dyDescent="0.5">
      <c r="A16" s="45">
        <v>1</v>
      </c>
      <c r="B16" s="46" t="s">
        <v>31</v>
      </c>
      <c r="C16" s="47">
        <f t="shared" ref="C16:C32" si="29">+D16+E16</f>
        <v>0</v>
      </c>
      <c r="D16" s="48">
        <v>0</v>
      </c>
      <c r="E16" s="48">
        <v>0</v>
      </c>
      <c r="F16" s="48">
        <f ca="1">IFERROR(__xludf.DUMMYFUNCTION("IMPORTRANGE(""https://docs.google.com/spreadsheets/d/11923uPwbBZFjjGgGUA6NLw09EwE0CqkOc4q9oUmW1yo/edit?usp=sharing"",""กำแพงเพชร!M199"")"),0)</f>
        <v>0</v>
      </c>
      <c r="G16" s="98">
        <f t="shared" si="1"/>
        <v>0</v>
      </c>
      <c r="H16" s="48">
        <v>0</v>
      </c>
      <c r="I16" s="48">
        <f ca="1">IFERROR(__xludf.DUMMYFUNCTION("IMPORTRANGE(""https://docs.google.com/spreadsheets/d/11923uPwbBZFjjGgGUA6NLw09EwE0CqkOc4q9oUmW1yo/edit?usp=sharing"",""กำแพงเพชร!j209"")"),0)</f>
        <v>0</v>
      </c>
      <c r="J16" s="98">
        <f t="shared" si="3"/>
        <v>0</v>
      </c>
      <c r="K16" s="48">
        <f ca="1">IFERROR(__xludf.DUMMYFUNCTION("IMPORTRANGE(""https://docs.google.com/spreadsheets/d/11923uPwbBZFjjGgGUA6NLw09EwE0CqkOc4q9oUmW1yo/edit?usp=sharing"",""กำแพงเพชร!j211"")"),0)</f>
        <v>0</v>
      </c>
      <c r="L16" s="98">
        <f t="shared" si="4"/>
        <v>0</v>
      </c>
      <c r="M16" s="47">
        <f t="shared" ref="M16:M32" si="30">+N16+O16</f>
        <v>194600</v>
      </c>
      <c r="N16" s="48">
        <v>0</v>
      </c>
      <c r="O16" s="48">
        <v>194600</v>
      </c>
      <c r="P16" s="48">
        <f ca="1">IFERROR(__xludf.DUMMYFUNCTION("IMPORTRANGE(""https://docs.google.com/spreadsheets/d/11923uPwbBZFjjGgGUA6NLw09EwE0CqkOc4q9oUmW1yo/edit?usp=sharing"",""กำแพงเพชร!M214"")"),0)</f>
        <v>0</v>
      </c>
      <c r="Q16" s="98">
        <f t="shared" ca="1" si="6"/>
        <v>0</v>
      </c>
      <c r="R16" s="48">
        <v>1</v>
      </c>
      <c r="S16" s="48">
        <f ca="1">IFERROR(__xludf.DUMMYFUNCTION("IMPORTRANGE(""https://docs.google.com/spreadsheets/d/11923uPwbBZFjjGgGUA6NLw09EwE0CqkOc4q9oUmW1yo/edit?usp=sharing"",""กำแพงเพชร!j224"")"),0)</f>
        <v>0</v>
      </c>
      <c r="T16" s="98">
        <f t="shared" ca="1" si="8"/>
        <v>0</v>
      </c>
      <c r="U16" s="81"/>
      <c r="V16" s="81"/>
      <c r="W16" s="81"/>
      <c r="X16" s="81"/>
      <c r="Y16" s="81"/>
      <c r="Z16" s="81"/>
    </row>
    <row r="17" spans="1:26" ht="24" customHeight="1" x14ac:dyDescent="0.5">
      <c r="A17" s="52">
        <v>2</v>
      </c>
      <c r="B17" s="53" t="s">
        <v>32</v>
      </c>
      <c r="C17" s="54">
        <f t="shared" si="29"/>
        <v>0</v>
      </c>
      <c r="D17" s="55">
        <v>0</v>
      </c>
      <c r="E17" s="55">
        <v>0</v>
      </c>
      <c r="F17" s="55">
        <f ca="1">IFERROR(__xludf.DUMMYFUNCTION("IMPORTRANGE(""https://docs.google.com/spreadsheets/d/11923uPwbBZFjjGgGUA6NLw09EwE0CqkOc4q9oUmW1yo/edit?usp=sharing"",""เชียงราย!M199"")"),0)</f>
        <v>0</v>
      </c>
      <c r="G17" s="99">
        <f t="shared" si="1"/>
        <v>0</v>
      </c>
      <c r="H17" s="55">
        <v>0</v>
      </c>
      <c r="I17" s="55">
        <f ca="1">IFERROR(__xludf.DUMMYFUNCTION("IMPORTRANGE(""https://docs.google.com/spreadsheets/d/11923uPwbBZFjjGgGUA6NLw09EwE0CqkOc4q9oUmW1yo/edit?usp=sharing"",""เชียงราย!j209"")"),0)</f>
        <v>0</v>
      </c>
      <c r="J17" s="99">
        <f t="shared" si="3"/>
        <v>0</v>
      </c>
      <c r="K17" s="55">
        <f ca="1">IFERROR(__xludf.DUMMYFUNCTION("IMPORTRANGE(""https://docs.google.com/spreadsheets/d/11923uPwbBZFjjGgGUA6NLw09EwE0CqkOc4q9oUmW1yo/edit?usp=sharing"",""เชียงราย!j211"")"),0)</f>
        <v>0</v>
      </c>
      <c r="L17" s="99">
        <f t="shared" si="4"/>
        <v>0</v>
      </c>
      <c r="M17" s="54">
        <f t="shared" si="30"/>
        <v>0</v>
      </c>
      <c r="N17" s="55">
        <v>0</v>
      </c>
      <c r="O17" s="55">
        <v>0</v>
      </c>
      <c r="P17" s="55">
        <f ca="1">IFERROR(__xludf.DUMMYFUNCTION("IMPORTRANGE(""https://docs.google.com/spreadsheets/d/11923uPwbBZFjjGgGUA6NLw09EwE0CqkOc4q9oUmW1yo/edit?usp=sharing"",""เชียงราย!M214"")"),0)</f>
        <v>0</v>
      </c>
      <c r="Q17" s="99">
        <f t="shared" si="6"/>
        <v>0</v>
      </c>
      <c r="R17" s="55">
        <v>0</v>
      </c>
      <c r="S17" s="55">
        <f ca="1">IFERROR(__xludf.DUMMYFUNCTION("IMPORTRANGE(""https://docs.google.com/spreadsheets/d/11923uPwbBZFjjGgGUA6NLw09EwE0CqkOc4q9oUmW1yo/edit?usp=sharing"",""เชียงราย!j224"")"),0)</f>
        <v>0</v>
      </c>
      <c r="T17" s="99">
        <f t="shared" si="8"/>
        <v>0</v>
      </c>
      <c r="U17" s="81"/>
      <c r="V17" s="81"/>
      <c r="W17" s="81"/>
      <c r="X17" s="81"/>
      <c r="Y17" s="81"/>
      <c r="Z17" s="81"/>
    </row>
    <row r="18" spans="1:26" ht="24" customHeight="1" x14ac:dyDescent="0.5">
      <c r="A18" s="52">
        <v>3</v>
      </c>
      <c r="B18" s="53" t="s">
        <v>33</v>
      </c>
      <c r="C18" s="54">
        <f t="shared" si="29"/>
        <v>0</v>
      </c>
      <c r="D18" s="55">
        <v>0</v>
      </c>
      <c r="E18" s="55">
        <v>0</v>
      </c>
      <c r="F18" s="55">
        <f ca="1">IFERROR(__xludf.DUMMYFUNCTION("IMPORTRANGE(""https://docs.google.com/spreadsheets/d/11923uPwbBZFjjGgGUA6NLw09EwE0CqkOc4q9oUmW1yo/edit?usp=sharing"",""เชียงใหม่!M199"")"),0)</f>
        <v>0</v>
      </c>
      <c r="G18" s="99">
        <f t="shared" si="1"/>
        <v>0</v>
      </c>
      <c r="H18" s="55">
        <v>0</v>
      </c>
      <c r="I18" s="55">
        <f ca="1">IFERROR(__xludf.DUMMYFUNCTION("IMPORTRANGE(""https://docs.google.com/spreadsheets/d/11923uPwbBZFjjGgGUA6NLw09EwE0CqkOc4q9oUmW1yo/edit?usp=sharing"",""เชียงใหม่!j209"")"),0)</f>
        <v>0</v>
      </c>
      <c r="J18" s="99">
        <f t="shared" si="3"/>
        <v>0</v>
      </c>
      <c r="K18" s="55">
        <f ca="1">IFERROR(__xludf.DUMMYFUNCTION("IMPORTRANGE(""https://docs.google.com/spreadsheets/d/11923uPwbBZFjjGgGUA6NLw09EwE0CqkOc4q9oUmW1yo/edit?usp=sharing"",""เชียงใหม่!j211"")"),0)</f>
        <v>0</v>
      </c>
      <c r="L18" s="99">
        <f t="shared" si="4"/>
        <v>0</v>
      </c>
      <c r="M18" s="54">
        <f t="shared" si="30"/>
        <v>315600</v>
      </c>
      <c r="N18" s="55">
        <v>0</v>
      </c>
      <c r="O18" s="55">
        <v>315600</v>
      </c>
      <c r="P18" s="55">
        <f ca="1">IFERROR(__xludf.DUMMYFUNCTION("IMPORTRANGE(""https://docs.google.com/spreadsheets/d/11923uPwbBZFjjGgGUA6NLw09EwE0CqkOc4q9oUmW1yo/edit?usp=sharing"",""เชียงใหม่!M214"")"),10350.75)</f>
        <v>10350.75</v>
      </c>
      <c r="Q18" s="99">
        <f t="shared" ca="1" si="6"/>
        <v>3.2797053231939164</v>
      </c>
      <c r="R18" s="55">
        <v>6</v>
      </c>
      <c r="S18" s="55">
        <f ca="1">IFERROR(__xludf.DUMMYFUNCTION("IMPORTRANGE(""https://docs.google.com/spreadsheets/d/11923uPwbBZFjjGgGUA6NLw09EwE0CqkOc4q9oUmW1yo/edit?usp=sharing"",""เชียงใหม่!j224"")"),0)</f>
        <v>0</v>
      </c>
      <c r="T18" s="99">
        <f t="shared" ca="1" si="8"/>
        <v>0</v>
      </c>
      <c r="U18" s="81"/>
      <c r="V18" s="81"/>
      <c r="W18" s="81"/>
      <c r="X18" s="81"/>
      <c r="Y18" s="81"/>
      <c r="Z18" s="81"/>
    </row>
    <row r="19" spans="1:26" ht="24" customHeight="1" x14ac:dyDescent="0.5">
      <c r="A19" s="52">
        <v>4</v>
      </c>
      <c r="B19" s="53" t="s">
        <v>34</v>
      </c>
      <c r="C19" s="54">
        <f t="shared" si="29"/>
        <v>0</v>
      </c>
      <c r="D19" s="55">
        <v>0</v>
      </c>
      <c r="E19" s="55">
        <v>0</v>
      </c>
      <c r="F19" s="55">
        <f ca="1">IFERROR(__xludf.DUMMYFUNCTION("IMPORTRANGE(""https://docs.google.com/spreadsheets/d/11923uPwbBZFjjGgGUA6NLw09EwE0CqkOc4q9oUmW1yo/edit?usp=sharing"",""ตาก!M199"")"),0)</f>
        <v>0</v>
      </c>
      <c r="G19" s="99">
        <f t="shared" si="1"/>
        <v>0</v>
      </c>
      <c r="H19" s="55">
        <v>0</v>
      </c>
      <c r="I19" s="55">
        <f ca="1">IFERROR(__xludf.DUMMYFUNCTION("IMPORTRANGE(""https://docs.google.com/spreadsheets/d/11923uPwbBZFjjGgGUA6NLw09EwE0CqkOc4q9oUmW1yo/edit?usp=sharing"",""ตาก!j209"")"),0)</f>
        <v>0</v>
      </c>
      <c r="J19" s="99">
        <f t="shared" si="3"/>
        <v>0</v>
      </c>
      <c r="K19" s="55">
        <f ca="1">IFERROR(__xludf.DUMMYFUNCTION("IMPORTRANGE(""https://docs.google.com/spreadsheets/d/11923uPwbBZFjjGgGUA6NLw09EwE0CqkOc4q9oUmW1yo/edit?usp=sharing"",""ตาก!j211"")"),0)</f>
        <v>0</v>
      </c>
      <c r="L19" s="99">
        <f t="shared" si="4"/>
        <v>0</v>
      </c>
      <c r="M19" s="54">
        <f t="shared" si="30"/>
        <v>0</v>
      </c>
      <c r="N19" s="55">
        <v>0</v>
      </c>
      <c r="O19" s="55">
        <v>0</v>
      </c>
      <c r="P19" s="55">
        <f ca="1">IFERROR(__xludf.DUMMYFUNCTION("IMPORTRANGE(""https://docs.google.com/spreadsheets/d/11923uPwbBZFjjGgGUA6NLw09EwE0CqkOc4q9oUmW1yo/edit?usp=sharing"",""ตาก!M214"")"),0)</f>
        <v>0</v>
      </c>
      <c r="Q19" s="99">
        <f t="shared" si="6"/>
        <v>0</v>
      </c>
      <c r="R19" s="55">
        <v>0</v>
      </c>
      <c r="S19" s="55">
        <f ca="1">IFERROR(__xludf.DUMMYFUNCTION("IMPORTRANGE(""https://docs.google.com/spreadsheets/d/11923uPwbBZFjjGgGUA6NLw09EwE0CqkOc4q9oUmW1yo/edit?usp=sharing"",""ตาก!j224"")"),0)</f>
        <v>0</v>
      </c>
      <c r="T19" s="99">
        <f t="shared" si="8"/>
        <v>0</v>
      </c>
      <c r="U19" s="81"/>
      <c r="V19" s="81"/>
      <c r="W19" s="81"/>
      <c r="X19" s="81"/>
      <c r="Y19" s="81"/>
      <c r="Z19" s="81"/>
    </row>
    <row r="20" spans="1:26" ht="24" customHeight="1" x14ac:dyDescent="0.5">
      <c r="A20" s="52">
        <v>5</v>
      </c>
      <c r="B20" s="53" t="s">
        <v>35</v>
      </c>
      <c r="C20" s="54">
        <f t="shared" si="29"/>
        <v>0</v>
      </c>
      <c r="D20" s="55">
        <v>0</v>
      </c>
      <c r="E20" s="55">
        <v>0</v>
      </c>
      <c r="F20" s="55">
        <f ca="1">IFERROR(__xludf.DUMMYFUNCTION("IMPORTRANGE(""https://docs.google.com/spreadsheets/d/11923uPwbBZFjjGgGUA6NLw09EwE0CqkOc4q9oUmW1yo/edit?usp=sharing"",""นครสวรรค์!M199"")"),0)</f>
        <v>0</v>
      </c>
      <c r="G20" s="99">
        <f t="shared" si="1"/>
        <v>0</v>
      </c>
      <c r="H20" s="55">
        <v>0</v>
      </c>
      <c r="I20" s="55">
        <f ca="1">IFERROR(__xludf.DUMMYFUNCTION("IMPORTRANGE(""https://docs.google.com/spreadsheets/d/11923uPwbBZFjjGgGUA6NLw09EwE0CqkOc4q9oUmW1yo/edit?usp=sharing"",""นครสวรรค์!j209"")"),0)</f>
        <v>0</v>
      </c>
      <c r="J20" s="99">
        <f t="shared" si="3"/>
        <v>0</v>
      </c>
      <c r="K20" s="55">
        <f ca="1">IFERROR(__xludf.DUMMYFUNCTION("IMPORTRANGE(""https://docs.google.com/spreadsheets/d/11923uPwbBZFjjGgGUA6NLw09EwE0CqkOc4q9oUmW1yo/edit?usp=sharing"",""นครสวรรค์!j211"")"),0)</f>
        <v>0</v>
      </c>
      <c r="L20" s="99">
        <f t="shared" si="4"/>
        <v>0</v>
      </c>
      <c r="M20" s="54">
        <f t="shared" si="30"/>
        <v>0</v>
      </c>
      <c r="N20" s="55">
        <v>0</v>
      </c>
      <c r="O20" s="55">
        <v>0</v>
      </c>
      <c r="P20" s="55">
        <f ca="1">IFERROR(__xludf.DUMMYFUNCTION("IMPORTRANGE(""https://docs.google.com/spreadsheets/d/11923uPwbBZFjjGgGUA6NLw09EwE0CqkOc4q9oUmW1yo/edit?usp=sharing"",""นครสวรรค์!M214"")"),0)</f>
        <v>0</v>
      </c>
      <c r="Q20" s="99">
        <f t="shared" si="6"/>
        <v>0</v>
      </c>
      <c r="R20" s="55">
        <v>0</v>
      </c>
      <c r="S20" s="55">
        <f ca="1">IFERROR(__xludf.DUMMYFUNCTION("IMPORTRANGE(""https://docs.google.com/spreadsheets/d/11923uPwbBZFjjGgGUA6NLw09EwE0CqkOc4q9oUmW1yo/edit?usp=sharing"",""นครสวรรค์!j224"")"),0)</f>
        <v>0</v>
      </c>
      <c r="T20" s="99">
        <f t="shared" si="8"/>
        <v>0</v>
      </c>
      <c r="U20" s="81"/>
      <c r="V20" s="81"/>
      <c r="W20" s="81"/>
      <c r="X20" s="81"/>
      <c r="Y20" s="81"/>
      <c r="Z20" s="81"/>
    </row>
    <row r="21" spans="1:26" ht="24" customHeight="1" x14ac:dyDescent="0.5">
      <c r="A21" s="52">
        <v>6</v>
      </c>
      <c r="B21" s="53" t="s">
        <v>36</v>
      </c>
      <c r="C21" s="54">
        <f t="shared" si="29"/>
        <v>0</v>
      </c>
      <c r="D21" s="55">
        <v>0</v>
      </c>
      <c r="E21" s="55">
        <v>0</v>
      </c>
      <c r="F21" s="55">
        <f ca="1">IFERROR(__xludf.DUMMYFUNCTION("IMPORTRANGE(""https://docs.google.com/spreadsheets/d/11923uPwbBZFjjGgGUA6NLw09EwE0CqkOc4q9oUmW1yo/edit?usp=sharing"",""น่าน!M199"")"),0)</f>
        <v>0</v>
      </c>
      <c r="G21" s="99">
        <f t="shared" si="1"/>
        <v>0</v>
      </c>
      <c r="H21" s="55">
        <v>0</v>
      </c>
      <c r="I21" s="55">
        <f ca="1">IFERROR(__xludf.DUMMYFUNCTION("IMPORTRANGE(""https://docs.google.com/spreadsheets/d/11923uPwbBZFjjGgGUA6NLw09EwE0CqkOc4q9oUmW1yo/edit?usp=sharing"",""น่าน!j209"")"),0)</f>
        <v>0</v>
      </c>
      <c r="J21" s="99">
        <f t="shared" si="3"/>
        <v>0</v>
      </c>
      <c r="K21" s="55">
        <f ca="1">IFERROR(__xludf.DUMMYFUNCTION("IMPORTRANGE(""https://docs.google.com/spreadsheets/d/11923uPwbBZFjjGgGUA6NLw09EwE0CqkOc4q9oUmW1yo/edit?usp=sharing"",""น่าน!j211"")"),0)</f>
        <v>0</v>
      </c>
      <c r="L21" s="99">
        <f t="shared" si="4"/>
        <v>0</v>
      </c>
      <c r="M21" s="54">
        <f t="shared" si="30"/>
        <v>0</v>
      </c>
      <c r="N21" s="55">
        <v>0</v>
      </c>
      <c r="O21" s="55">
        <v>0</v>
      </c>
      <c r="P21" s="55">
        <f ca="1">IFERROR(__xludf.DUMMYFUNCTION("IMPORTRANGE(""https://docs.google.com/spreadsheets/d/11923uPwbBZFjjGgGUA6NLw09EwE0CqkOc4q9oUmW1yo/edit?usp=sharing"",""น่าน!M214"")"),0)</f>
        <v>0</v>
      </c>
      <c r="Q21" s="99">
        <f t="shared" si="6"/>
        <v>0</v>
      </c>
      <c r="R21" s="55">
        <v>0</v>
      </c>
      <c r="S21" s="55">
        <f ca="1">IFERROR(__xludf.DUMMYFUNCTION("IMPORTRANGE(""https://docs.google.com/spreadsheets/d/11923uPwbBZFjjGgGUA6NLw09EwE0CqkOc4q9oUmW1yo/edit?usp=sharing"",""น่าน!j224"")"),0)</f>
        <v>0</v>
      </c>
      <c r="T21" s="99">
        <f t="shared" si="8"/>
        <v>0</v>
      </c>
      <c r="U21" s="81"/>
      <c r="V21" s="81"/>
      <c r="W21" s="81"/>
      <c r="X21" s="81"/>
      <c r="Y21" s="81"/>
      <c r="Z21" s="81"/>
    </row>
    <row r="22" spans="1:26" ht="24" customHeight="1" x14ac:dyDescent="0.5">
      <c r="A22" s="52">
        <v>7</v>
      </c>
      <c r="B22" s="53" t="s">
        <v>37</v>
      </c>
      <c r="C22" s="54">
        <f t="shared" si="29"/>
        <v>0</v>
      </c>
      <c r="D22" s="55">
        <v>0</v>
      </c>
      <c r="E22" s="55">
        <v>0</v>
      </c>
      <c r="F22" s="55">
        <f ca="1">IFERROR(__xludf.DUMMYFUNCTION("IMPORTRANGE(""https://docs.google.com/spreadsheets/d/11923uPwbBZFjjGgGUA6NLw09EwE0CqkOc4q9oUmW1yo/edit?usp=sharing"",""พะเยา!M199"")"),0)</f>
        <v>0</v>
      </c>
      <c r="G22" s="99">
        <f t="shared" si="1"/>
        <v>0</v>
      </c>
      <c r="H22" s="55">
        <v>0</v>
      </c>
      <c r="I22" s="55">
        <f ca="1">IFERROR(__xludf.DUMMYFUNCTION("IMPORTRANGE(""https://docs.google.com/spreadsheets/d/11923uPwbBZFjjGgGUA6NLw09EwE0CqkOc4q9oUmW1yo/edit?usp=sharing"",""พะเยา!j209"")"),0)</f>
        <v>0</v>
      </c>
      <c r="J22" s="99">
        <f t="shared" si="3"/>
        <v>0</v>
      </c>
      <c r="K22" s="55">
        <f ca="1">IFERROR(__xludf.DUMMYFUNCTION("IMPORTRANGE(""https://docs.google.com/spreadsheets/d/11923uPwbBZFjjGgGUA6NLw09EwE0CqkOc4q9oUmW1yo/edit?usp=sharing"",""พะเยา!j211"")"),0)</f>
        <v>0</v>
      </c>
      <c r="L22" s="99">
        <f t="shared" si="4"/>
        <v>0</v>
      </c>
      <c r="M22" s="54">
        <f t="shared" si="30"/>
        <v>0</v>
      </c>
      <c r="N22" s="55">
        <v>0</v>
      </c>
      <c r="O22" s="55">
        <v>0</v>
      </c>
      <c r="P22" s="55">
        <f ca="1">IFERROR(__xludf.DUMMYFUNCTION("IMPORTRANGE(""https://docs.google.com/spreadsheets/d/11923uPwbBZFjjGgGUA6NLw09EwE0CqkOc4q9oUmW1yo/edit?usp=sharing"",""พะเยา!M214"")"),0)</f>
        <v>0</v>
      </c>
      <c r="Q22" s="99">
        <f t="shared" si="6"/>
        <v>0</v>
      </c>
      <c r="R22" s="55">
        <v>0</v>
      </c>
      <c r="S22" s="55">
        <f ca="1">IFERROR(__xludf.DUMMYFUNCTION("IMPORTRANGE(""https://docs.google.com/spreadsheets/d/11923uPwbBZFjjGgGUA6NLw09EwE0CqkOc4q9oUmW1yo/edit?usp=sharing"",""พะเยา!j224"")"),0)</f>
        <v>0</v>
      </c>
      <c r="T22" s="99">
        <f t="shared" si="8"/>
        <v>0</v>
      </c>
      <c r="U22" s="81"/>
      <c r="V22" s="81"/>
      <c r="W22" s="81"/>
      <c r="X22" s="81"/>
      <c r="Y22" s="81"/>
      <c r="Z22" s="81"/>
    </row>
    <row r="23" spans="1:26" ht="24" customHeight="1" x14ac:dyDescent="0.5">
      <c r="A23" s="52">
        <v>8</v>
      </c>
      <c r="B23" s="53" t="s">
        <v>38</v>
      </c>
      <c r="C23" s="54">
        <f t="shared" si="29"/>
        <v>0</v>
      </c>
      <c r="D23" s="55">
        <v>0</v>
      </c>
      <c r="E23" s="55">
        <v>0</v>
      </c>
      <c r="F23" s="55">
        <f ca="1">IFERROR(__xludf.DUMMYFUNCTION("IMPORTRANGE(""https://docs.google.com/spreadsheets/d/11923uPwbBZFjjGgGUA6NLw09EwE0CqkOc4q9oUmW1yo/edit?usp=sharing"",""พิจิตร!M199"")"),0)</f>
        <v>0</v>
      </c>
      <c r="G23" s="99">
        <f t="shared" si="1"/>
        <v>0</v>
      </c>
      <c r="H23" s="55">
        <v>0</v>
      </c>
      <c r="I23" s="55">
        <f ca="1">IFERROR(__xludf.DUMMYFUNCTION("IMPORTRANGE(""https://docs.google.com/spreadsheets/d/11923uPwbBZFjjGgGUA6NLw09EwE0CqkOc4q9oUmW1yo/edit?usp=sharing"",""พิจิตร!j209"")"),0)</f>
        <v>0</v>
      </c>
      <c r="J23" s="99">
        <f t="shared" si="3"/>
        <v>0</v>
      </c>
      <c r="K23" s="55">
        <f ca="1">IFERROR(__xludf.DUMMYFUNCTION("IMPORTRANGE(""https://docs.google.com/spreadsheets/d/11923uPwbBZFjjGgGUA6NLw09EwE0CqkOc4q9oUmW1yo/edit?usp=sharing"",""พิจิตร!j211"")"),0)</f>
        <v>0</v>
      </c>
      <c r="L23" s="99">
        <f t="shared" si="4"/>
        <v>0</v>
      </c>
      <c r="M23" s="54">
        <f t="shared" si="30"/>
        <v>0</v>
      </c>
      <c r="N23" s="55">
        <v>0</v>
      </c>
      <c r="O23" s="55">
        <v>0</v>
      </c>
      <c r="P23" s="55">
        <f ca="1">IFERROR(__xludf.DUMMYFUNCTION("IMPORTRANGE(""https://docs.google.com/spreadsheets/d/11923uPwbBZFjjGgGUA6NLw09EwE0CqkOc4q9oUmW1yo/edit?usp=sharing"",""พิจิตร!M214"")"),0)</f>
        <v>0</v>
      </c>
      <c r="Q23" s="99">
        <f t="shared" si="6"/>
        <v>0</v>
      </c>
      <c r="R23" s="55">
        <v>0</v>
      </c>
      <c r="S23" s="55">
        <f ca="1">IFERROR(__xludf.DUMMYFUNCTION("IMPORTRANGE(""https://docs.google.com/spreadsheets/d/11923uPwbBZFjjGgGUA6NLw09EwE0CqkOc4q9oUmW1yo/edit?usp=sharing"",""พิจิตร!j224"")"),0)</f>
        <v>0</v>
      </c>
      <c r="T23" s="99">
        <f t="shared" si="8"/>
        <v>0</v>
      </c>
      <c r="U23" s="81"/>
      <c r="V23" s="81"/>
      <c r="W23" s="81"/>
      <c r="X23" s="81"/>
      <c r="Y23" s="81"/>
      <c r="Z23" s="81"/>
    </row>
    <row r="24" spans="1:26" ht="24" customHeight="1" x14ac:dyDescent="0.5">
      <c r="A24" s="52">
        <v>9</v>
      </c>
      <c r="B24" s="53" t="s">
        <v>39</v>
      </c>
      <c r="C24" s="54">
        <f t="shared" si="29"/>
        <v>0</v>
      </c>
      <c r="D24" s="55">
        <v>0</v>
      </c>
      <c r="E24" s="55">
        <v>0</v>
      </c>
      <c r="F24" s="55">
        <f ca="1">IFERROR(__xludf.DUMMYFUNCTION("IMPORTRANGE(""https://docs.google.com/spreadsheets/d/11923uPwbBZFjjGgGUA6NLw09EwE0CqkOc4q9oUmW1yo/edit?usp=sharing"",""พิษณุโลก!M199"")"),0)</f>
        <v>0</v>
      </c>
      <c r="G24" s="99">
        <f t="shared" si="1"/>
        <v>0</v>
      </c>
      <c r="H24" s="55">
        <v>0</v>
      </c>
      <c r="I24" s="55">
        <f ca="1">IFERROR(__xludf.DUMMYFUNCTION("IMPORTRANGE(""https://docs.google.com/spreadsheets/d/11923uPwbBZFjjGgGUA6NLw09EwE0CqkOc4q9oUmW1yo/edit?usp=sharing"",""พิษณุโลก!j209"")"),0)</f>
        <v>0</v>
      </c>
      <c r="J24" s="99">
        <f t="shared" si="3"/>
        <v>0</v>
      </c>
      <c r="K24" s="55">
        <f ca="1">IFERROR(__xludf.DUMMYFUNCTION("IMPORTRANGE(""https://docs.google.com/spreadsheets/d/11923uPwbBZFjjGgGUA6NLw09EwE0CqkOc4q9oUmW1yo/edit?usp=sharing"",""พิษณุโลก!j211"")"),0)</f>
        <v>0</v>
      </c>
      <c r="L24" s="99">
        <f t="shared" si="4"/>
        <v>0</v>
      </c>
      <c r="M24" s="54">
        <f t="shared" si="30"/>
        <v>0</v>
      </c>
      <c r="N24" s="55">
        <v>0</v>
      </c>
      <c r="O24" s="55">
        <v>0</v>
      </c>
      <c r="P24" s="55">
        <f ca="1">IFERROR(__xludf.DUMMYFUNCTION("IMPORTRANGE(""https://docs.google.com/spreadsheets/d/11923uPwbBZFjjGgGUA6NLw09EwE0CqkOc4q9oUmW1yo/edit?usp=sharing"",""พิษณุโลก!M214"")"),0)</f>
        <v>0</v>
      </c>
      <c r="Q24" s="99">
        <f t="shared" si="6"/>
        <v>0</v>
      </c>
      <c r="R24" s="55">
        <v>0</v>
      </c>
      <c r="S24" s="55">
        <f ca="1">IFERROR(__xludf.DUMMYFUNCTION("IMPORTRANGE(""https://docs.google.com/spreadsheets/d/11923uPwbBZFjjGgGUA6NLw09EwE0CqkOc4q9oUmW1yo/edit?usp=sharing"",""พิษณุโลก!j224"")"),0)</f>
        <v>0</v>
      </c>
      <c r="T24" s="99">
        <f t="shared" si="8"/>
        <v>0</v>
      </c>
      <c r="U24" s="81"/>
      <c r="V24" s="81"/>
      <c r="W24" s="81"/>
      <c r="X24" s="81"/>
      <c r="Y24" s="81"/>
      <c r="Z24" s="81"/>
    </row>
    <row r="25" spans="1:26" ht="24" customHeight="1" x14ac:dyDescent="0.5">
      <c r="A25" s="52">
        <v>10</v>
      </c>
      <c r="B25" s="53" t="s">
        <v>40</v>
      </c>
      <c r="C25" s="54">
        <f t="shared" si="29"/>
        <v>0</v>
      </c>
      <c r="D25" s="55">
        <v>0</v>
      </c>
      <c r="E25" s="55">
        <v>0</v>
      </c>
      <c r="F25" s="55">
        <f ca="1">IFERROR(__xludf.DUMMYFUNCTION("IMPORTRANGE(""https://docs.google.com/spreadsheets/d/11923uPwbBZFjjGgGUA6NLw09EwE0CqkOc4q9oUmW1yo/edit?usp=sharing"",""เพชรบูรณ์!M199"")"),0)</f>
        <v>0</v>
      </c>
      <c r="G25" s="99">
        <f t="shared" si="1"/>
        <v>0</v>
      </c>
      <c r="H25" s="55">
        <v>0</v>
      </c>
      <c r="I25" s="55">
        <f ca="1">IFERROR(__xludf.DUMMYFUNCTION("IMPORTRANGE(""https://docs.google.com/spreadsheets/d/11923uPwbBZFjjGgGUA6NLw09EwE0CqkOc4q9oUmW1yo/edit?usp=sharing"",""เพชรบูรณ์!j209"")"),0)</f>
        <v>0</v>
      </c>
      <c r="J25" s="99">
        <f t="shared" si="3"/>
        <v>0</v>
      </c>
      <c r="K25" s="55">
        <f ca="1">IFERROR(__xludf.DUMMYFUNCTION("IMPORTRANGE(""https://docs.google.com/spreadsheets/d/11923uPwbBZFjjGgGUA6NLw09EwE0CqkOc4q9oUmW1yo/edit?usp=sharing"",""เพชรบูรณ์!j211"")"),0)</f>
        <v>0</v>
      </c>
      <c r="L25" s="99">
        <f t="shared" si="4"/>
        <v>0</v>
      </c>
      <c r="M25" s="54">
        <f t="shared" si="30"/>
        <v>0</v>
      </c>
      <c r="N25" s="55">
        <v>0</v>
      </c>
      <c r="O25" s="55">
        <v>0</v>
      </c>
      <c r="P25" s="55">
        <f ca="1">IFERROR(__xludf.DUMMYFUNCTION("IMPORTRANGE(""https://docs.google.com/spreadsheets/d/11923uPwbBZFjjGgGUA6NLw09EwE0CqkOc4q9oUmW1yo/edit?usp=sharing"",""เพชรบูรณ์!M214"")"),0)</f>
        <v>0</v>
      </c>
      <c r="Q25" s="99">
        <f t="shared" si="6"/>
        <v>0</v>
      </c>
      <c r="R25" s="55">
        <v>0</v>
      </c>
      <c r="S25" s="55">
        <f ca="1">IFERROR(__xludf.DUMMYFUNCTION("IMPORTRANGE(""https://docs.google.com/spreadsheets/d/11923uPwbBZFjjGgGUA6NLw09EwE0CqkOc4q9oUmW1yo/edit?usp=sharing"",""เพชรบูรณ์!j224"")"),0)</f>
        <v>0</v>
      </c>
      <c r="T25" s="99">
        <f t="shared" si="8"/>
        <v>0</v>
      </c>
      <c r="U25" s="81"/>
      <c r="V25" s="81"/>
      <c r="W25" s="81"/>
      <c r="X25" s="81"/>
      <c r="Y25" s="81"/>
      <c r="Z25" s="81"/>
    </row>
    <row r="26" spans="1:26" ht="24" customHeight="1" x14ac:dyDescent="0.5">
      <c r="A26" s="52">
        <v>11</v>
      </c>
      <c r="B26" s="53" t="s">
        <v>41</v>
      </c>
      <c r="C26" s="54">
        <f t="shared" si="29"/>
        <v>0</v>
      </c>
      <c r="D26" s="55">
        <v>0</v>
      </c>
      <c r="E26" s="55">
        <v>0</v>
      </c>
      <c r="F26" s="55">
        <f ca="1">IFERROR(__xludf.DUMMYFUNCTION("IMPORTRANGE(""https://docs.google.com/spreadsheets/d/11923uPwbBZFjjGgGUA6NLw09EwE0CqkOc4q9oUmW1yo/edit?usp=sharing"",""แพร่!M199"")"),0)</f>
        <v>0</v>
      </c>
      <c r="G26" s="99">
        <f t="shared" si="1"/>
        <v>0</v>
      </c>
      <c r="H26" s="55">
        <v>0</v>
      </c>
      <c r="I26" s="55">
        <f ca="1">IFERROR(__xludf.DUMMYFUNCTION("IMPORTRANGE(""https://docs.google.com/spreadsheets/d/11923uPwbBZFjjGgGUA6NLw09EwE0CqkOc4q9oUmW1yo/edit?usp=sharing"",""แพร่!j209"")"),0)</f>
        <v>0</v>
      </c>
      <c r="J26" s="99">
        <f t="shared" si="3"/>
        <v>0</v>
      </c>
      <c r="K26" s="55">
        <f ca="1">IFERROR(__xludf.DUMMYFUNCTION("IMPORTRANGE(""https://docs.google.com/spreadsheets/d/11923uPwbBZFjjGgGUA6NLw09EwE0CqkOc4q9oUmW1yo/edit?usp=sharing"",""แพร่!j211"")"),0)</f>
        <v>0</v>
      </c>
      <c r="L26" s="99">
        <f t="shared" si="4"/>
        <v>0</v>
      </c>
      <c r="M26" s="54">
        <f t="shared" si="30"/>
        <v>0</v>
      </c>
      <c r="N26" s="55">
        <v>0</v>
      </c>
      <c r="O26" s="55">
        <v>0</v>
      </c>
      <c r="P26" s="55">
        <f ca="1">IFERROR(__xludf.DUMMYFUNCTION("IMPORTRANGE(""https://docs.google.com/spreadsheets/d/11923uPwbBZFjjGgGUA6NLw09EwE0CqkOc4q9oUmW1yo/edit?usp=sharing"",""แพร่!M214"")"),0)</f>
        <v>0</v>
      </c>
      <c r="Q26" s="99">
        <f t="shared" si="6"/>
        <v>0</v>
      </c>
      <c r="R26" s="55">
        <v>0</v>
      </c>
      <c r="S26" s="55">
        <f ca="1">IFERROR(__xludf.DUMMYFUNCTION("IMPORTRANGE(""https://docs.google.com/spreadsheets/d/11923uPwbBZFjjGgGUA6NLw09EwE0CqkOc4q9oUmW1yo/edit?usp=sharing"",""แพร่!j224"")"),0)</f>
        <v>0</v>
      </c>
      <c r="T26" s="99">
        <f t="shared" si="8"/>
        <v>0</v>
      </c>
      <c r="U26" s="81"/>
      <c r="V26" s="81"/>
      <c r="W26" s="81"/>
      <c r="X26" s="81"/>
      <c r="Y26" s="81"/>
      <c r="Z26" s="81"/>
    </row>
    <row r="27" spans="1:26" ht="24" customHeight="1" x14ac:dyDescent="0.5">
      <c r="A27" s="52">
        <v>12</v>
      </c>
      <c r="B27" s="53" t="s">
        <v>42</v>
      </c>
      <c r="C27" s="54">
        <f t="shared" si="29"/>
        <v>0</v>
      </c>
      <c r="D27" s="55">
        <v>0</v>
      </c>
      <c r="E27" s="55">
        <v>0</v>
      </c>
      <c r="F27" s="55">
        <f ca="1">IFERROR(__xludf.DUMMYFUNCTION("IMPORTRANGE(""https://docs.google.com/spreadsheets/d/11923uPwbBZFjjGgGUA6NLw09EwE0CqkOc4q9oUmW1yo/edit?usp=sharing"",""แม่ฮ่องสอน!M199"")"),0)</f>
        <v>0</v>
      </c>
      <c r="G27" s="99">
        <f t="shared" si="1"/>
        <v>0</v>
      </c>
      <c r="H27" s="55">
        <v>0</v>
      </c>
      <c r="I27" s="55">
        <f ca="1">IFERROR(__xludf.DUMMYFUNCTION("IMPORTRANGE(""https://docs.google.com/spreadsheets/d/11923uPwbBZFjjGgGUA6NLw09EwE0CqkOc4q9oUmW1yo/edit?usp=sharing"",""แม่ฮ่องสอน!j209"")"),0)</f>
        <v>0</v>
      </c>
      <c r="J27" s="99">
        <f t="shared" si="3"/>
        <v>0</v>
      </c>
      <c r="K27" s="55">
        <f ca="1">IFERROR(__xludf.DUMMYFUNCTION("IMPORTRANGE(""https://docs.google.com/spreadsheets/d/11923uPwbBZFjjGgGUA6NLw09EwE0CqkOc4q9oUmW1yo/edit?usp=sharing"",""แม่ฮ่องสอน!j211"")"),0)</f>
        <v>0</v>
      </c>
      <c r="L27" s="99">
        <f t="shared" si="4"/>
        <v>0</v>
      </c>
      <c r="M27" s="54">
        <f t="shared" si="30"/>
        <v>0</v>
      </c>
      <c r="N27" s="55">
        <v>0</v>
      </c>
      <c r="O27" s="55">
        <v>0</v>
      </c>
      <c r="P27" s="55">
        <f ca="1">IFERROR(__xludf.DUMMYFUNCTION("IMPORTRANGE(""https://docs.google.com/spreadsheets/d/11923uPwbBZFjjGgGUA6NLw09EwE0CqkOc4q9oUmW1yo/edit?usp=sharing"",""แม่ฮ่องสอน!M214"")"),0)</f>
        <v>0</v>
      </c>
      <c r="Q27" s="99">
        <f t="shared" si="6"/>
        <v>0</v>
      </c>
      <c r="R27" s="55">
        <v>0</v>
      </c>
      <c r="S27" s="55">
        <f ca="1">IFERROR(__xludf.DUMMYFUNCTION("IMPORTRANGE(""https://docs.google.com/spreadsheets/d/11923uPwbBZFjjGgGUA6NLw09EwE0CqkOc4q9oUmW1yo/edit?usp=sharing"",""แม่ฮ่องสอน!j224"")"),0)</f>
        <v>0</v>
      </c>
      <c r="T27" s="99">
        <f t="shared" si="8"/>
        <v>0</v>
      </c>
      <c r="U27" s="81"/>
      <c r="V27" s="81"/>
      <c r="W27" s="81"/>
      <c r="X27" s="81"/>
      <c r="Y27" s="81"/>
      <c r="Z27" s="81"/>
    </row>
    <row r="28" spans="1:26" ht="24" customHeight="1" x14ac:dyDescent="0.5">
      <c r="A28" s="52">
        <v>13</v>
      </c>
      <c r="B28" s="53" t="s">
        <v>43</v>
      </c>
      <c r="C28" s="54">
        <f t="shared" si="29"/>
        <v>0</v>
      </c>
      <c r="D28" s="55">
        <v>0</v>
      </c>
      <c r="E28" s="55">
        <v>0</v>
      </c>
      <c r="F28" s="55">
        <f ca="1">IFERROR(__xludf.DUMMYFUNCTION("IMPORTRANGE(""https://docs.google.com/spreadsheets/d/11923uPwbBZFjjGgGUA6NLw09EwE0CqkOc4q9oUmW1yo/edit?usp=sharing"",""ลำปาง!M199"")"),0)</f>
        <v>0</v>
      </c>
      <c r="G28" s="99">
        <f t="shared" si="1"/>
        <v>0</v>
      </c>
      <c r="H28" s="55">
        <v>0</v>
      </c>
      <c r="I28" s="55">
        <f ca="1">IFERROR(__xludf.DUMMYFUNCTION("IMPORTRANGE(""https://docs.google.com/spreadsheets/d/11923uPwbBZFjjGgGUA6NLw09EwE0CqkOc4q9oUmW1yo/edit?usp=sharing"",""ลำปาง!j209"")"),0)</f>
        <v>0</v>
      </c>
      <c r="J28" s="99">
        <f t="shared" si="3"/>
        <v>0</v>
      </c>
      <c r="K28" s="55">
        <f ca="1">IFERROR(__xludf.DUMMYFUNCTION("IMPORTRANGE(""https://docs.google.com/spreadsheets/d/11923uPwbBZFjjGgGUA6NLw09EwE0CqkOc4q9oUmW1yo/edit?usp=sharing"",""ลำปาง!j211"")"),0)</f>
        <v>0</v>
      </c>
      <c r="L28" s="99">
        <f t="shared" si="4"/>
        <v>0</v>
      </c>
      <c r="M28" s="54">
        <f t="shared" si="30"/>
        <v>0</v>
      </c>
      <c r="N28" s="55">
        <v>0</v>
      </c>
      <c r="O28" s="55">
        <v>0</v>
      </c>
      <c r="P28" s="55">
        <f ca="1">IFERROR(__xludf.DUMMYFUNCTION("IMPORTRANGE(""https://docs.google.com/spreadsheets/d/11923uPwbBZFjjGgGUA6NLw09EwE0CqkOc4q9oUmW1yo/edit?usp=sharing"",""ลำปาง!M214"")"),0)</f>
        <v>0</v>
      </c>
      <c r="Q28" s="99">
        <f t="shared" si="6"/>
        <v>0</v>
      </c>
      <c r="R28" s="55">
        <v>0</v>
      </c>
      <c r="S28" s="55">
        <f ca="1">IFERROR(__xludf.DUMMYFUNCTION("IMPORTRANGE(""https://docs.google.com/spreadsheets/d/11923uPwbBZFjjGgGUA6NLw09EwE0CqkOc4q9oUmW1yo/edit?usp=sharing"",""ลำปาง!j224"")"),0)</f>
        <v>0</v>
      </c>
      <c r="T28" s="99">
        <f t="shared" si="8"/>
        <v>0</v>
      </c>
      <c r="U28" s="81"/>
      <c r="V28" s="81"/>
      <c r="W28" s="81"/>
      <c r="X28" s="81"/>
      <c r="Y28" s="81"/>
      <c r="Z28" s="81"/>
    </row>
    <row r="29" spans="1:26" ht="24" customHeight="1" x14ac:dyDescent="0.5">
      <c r="A29" s="52">
        <v>14</v>
      </c>
      <c r="B29" s="53" t="s">
        <v>44</v>
      </c>
      <c r="C29" s="54">
        <f t="shared" si="29"/>
        <v>0</v>
      </c>
      <c r="D29" s="55">
        <v>0</v>
      </c>
      <c r="E29" s="55">
        <v>0</v>
      </c>
      <c r="F29" s="55">
        <f ca="1">IFERROR(__xludf.DUMMYFUNCTION("IMPORTRANGE(""https://docs.google.com/spreadsheets/d/11923uPwbBZFjjGgGUA6NLw09EwE0CqkOc4q9oUmW1yo/edit?usp=sharing"",""ลำพูน!M199"")"),0)</f>
        <v>0</v>
      </c>
      <c r="G29" s="99">
        <f t="shared" si="1"/>
        <v>0</v>
      </c>
      <c r="H29" s="55">
        <v>0</v>
      </c>
      <c r="I29" s="55">
        <f ca="1">IFERROR(__xludf.DUMMYFUNCTION("IMPORTRANGE(""https://docs.google.com/spreadsheets/d/11923uPwbBZFjjGgGUA6NLw09EwE0CqkOc4q9oUmW1yo/edit?usp=sharing"",""ลำพูน!j209"")"),0)</f>
        <v>0</v>
      </c>
      <c r="J29" s="99">
        <f t="shared" si="3"/>
        <v>0</v>
      </c>
      <c r="K29" s="55">
        <f ca="1">IFERROR(__xludf.DUMMYFUNCTION("IMPORTRANGE(""https://docs.google.com/spreadsheets/d/11923uPwbBZFjjGgGUA6NLw09EwE0CqkOc4q9oUmW1yo/edit?usp=sharing"",""ลำพูน!j211"")"),0)</f>
        <v>0</v>
      </c>
      <c r="L29" s="99">
        <f t="shared" si="4"/>
        <v>0</v>
      </c>
      <c r="M29" s="54">
        <f t="shared" si="30"/>
        <v>0</v>
      </c>
      <c r="N29" s="55">
        <v>0</v>
      </c>
      <c r="O29" s="55">
        <v>0</v>
      </c>
      <c r="P29" s="55">
        <f ca="1">IFERROR(__xludf.DUMMYFUNCTION("IMPORTRANGE(""https://docs.google.com/spreadsheets/d/11923uPwbBZFjjGgGUA6NLw09EwE0CqkOc4q9oUmW1yo/edit?usp=sharing"",""ลำพูน!M214"")"),0)</f>
        <v>0</v>
      </c>
      <c r="Q29" s="99">
        <f t="shared" si="6"/>
        <v>0</v>
      </c>
      <c r="R29" s="55">
        <v>0</v>
      </c>
      <c r="S29" s="55">
        <f ca="1">IFERROR(__xludf.DUMMYFUNCTION("IMPORTRANGE(""https://docs.google.com/spreadsheets/d/11923uPwbBZFjjGgGUA6NLw09EwE0CqkOc4q9oUmW1yo/edit?usp=sharing"",""ลำพูน!j224"")"),0)</f>
        <v>0</v>
      </c>
      <c r="T29" s="99">
        <f t="shared" si="8"/>
        <v>0</v>
      </c>
      <c r="U29" s="81"/>
      <c r="V29" s="81"/>
      <c r="W29" s="81"/>
      <c r="X29" s="81"/>
      <c r="Y29" s="81"/>
      <c r="Z29" s="81"/>
    </row>
    <row r="30" spans="1:26" ht="24" customHeight="1" x14ac:dyDescent="0.5">
      <c r="A30" s="52">
        <v>15</v>
      </c>
      <c r="B30" s="53" t="s">
        <v>45</v>
      </c>
      <c r="C30" s="54">
        <f t="shared" si="29"/>
        <v>0</v>
      </c>
      <c r="D30" s="55">
        <v>0</v>
      </c>
      <c r="E30" s="55">
        <v>0</v>
      </c>
      <c r="F30" s="55">
        <f ca="1">IFERROR(__xludf.DUMMYFUNCTION("IMPORTRANGE(""https://docs.google.com/spreadsheets/d/11923uPwbBZFjjGgGUA6NLw09EwE0CqkOc4q9oUmW1yo/edit?usp=sharing"",""สุโขทัย!M199"")"),0)</f>
        <v>0</v>
      </c>
      <c r="G30" s="99">
        <f t="shared" si="1"/>
        <v>0</v>
      </c>
      <c r="H30" s="55">
        <v>0</v>
      </c>
      <c r="I30" s="55">
        <f ca="1">IFERROR(__xludf.DUMMYFUNCTION("IMPORTRANGE(""https://docs.google.com/spreadsheets/d/11923uPwbBZFjjGgGUA6NLw09EwE0CqkOc4q9oUmW1yo/edit?usp=sharing"",""สุโขทัย!j209"")"),0)</f>
        <v>0</v>
      </c>
      <c r="J30" s="99">
        <f t="shared" si="3"/>
        <v>0</v>
      </c>
      <c r="K30" s="55">
        <f ca="1">IFERROR(__xludf.DUMMYFUNCTION("IMPORTRANGE(""https://docs.google.com/spreadsheets/d/11923uPwbBZFjjGgGUA6NLw09EwE0CqkOc4q9oUmW1yo/edit?usp=sharing"",""สุโขทัย!j211"")"),0)</f>
        <v>0</v>
      </c>
      <c r="L30" s="99">
        <f t="shared" si="4"/>
        <v>0</v>
      </c>
      <c r="M30" s="54">
        <f t="shared" si="30"/>
        <v>0</v>
      </c>
      <c r="N30" s="55">
        <v>0</v>
      </c>
      <c r="O30" s="55">
        <v>0</v>
      </c>
      <c r="P30" s="55">
        <f ca="1">IFERROR(__xludf.DUMMYFUNCTION("IMPORTRANGE(""https://docs.google.com/spreadsheets/d/11923uPwbBZFjjGgGUA6NLw09EwE0CqkOc4q9oUmW1yo/edit?usp=sharing"",""สุโขทัย!M214"")"),0)</f>
        <v>0</v>
      </c>
      <c r="Q30" s="99">
        <f t="shared" si="6"/>
        <v>0</v>
      </c>
      <c r="R30" s="55">
        <v>0</v>
      </c>
      <c r="S30" s="55">
        <f ca="1">IFERROR(__xludf.DUMMYFUNCTION("IMPORTRANGE(""https://docs.google.com/spreadsheets/d/11923uPwbBZFjjGgGUA6NLw09EwE0CqkOc4q9oUmW1yo/edit?usp=sharing"",""สุโขทัย!j224"")"),0)</f>
        <v>0</v>
      </c>
      <c r="T30" s="99">
        <f t="shared" si="8"/>
        <v>0</v>
      </c>
      <c r="U30" s="81"/>
      <c r="V30" s="81"/>
      <c r="W30" s="81"/>
      <c r="X30" s="81"/>
      <c r="Y30" s="81"/>
      <c r="Z30" s="81"/>
    </row>
    <row r="31" spans="1:26" ht="24" customHeight="1" x14ac:dyDescent="0.5">
      <c r="A31" s="52">
        <v>16</v>
      </c>
      <c r="B31" s="53" t="s">
        <v>46</v>
      </c>
      <c r="C31" s="54">
        <f t="shared" si="29"/>
        <v>0</v>
      </c>
      <c r="D31" s="55">
        <v>0</v>
      </c>
      <c r="E31" s="55">
        <v>0</v>
      </c>
      <c r="F31" s="55">
        <f ca="1">IFERROR(__xludf.DUMMYFUNCTION("IMPORTRANGE(""https://docs.google.com/spreadsheets/d/11923uPwbBZFjjGgGUA6NLw09EwE0CqkOc4q9oUmW1yo/edit?usp=sharing"",""อุตรดิตถ์!M199"")"),0)</f>
        <v>0</v>
      </c>
      <c r="G31" s="99">
        <f t="shared" si="1"/>
        <v>0</v>
      </c>
      <c r="H31" s="55">
        <v>0</v>
      </c>
      <c r="I31" s="55">
        <f ca="1">IFERROR(__xludf.DUMMYFUNCTION("IMPORTRANGE(""https://docs.google.com/spreadsheets/d/11923uPwbBZFjjGgGUA6NLw09EwE0CqkOc4q9oUmW1yo/edit?usp=sharing"",""อุตรดิตถ์!j209"")"),0)</f>
        <v>0</v>
      </c>
      <c r="J31" s="99">
        <f t="shared" si="3"/>
        <v>0</v>
      </c>
      <c r="K31" s="55">
        <f ca="1">IFERROR(__xludf.DUMMYFUNCTION("IMPORTRANGE(""https://docs.google.com/spreadsheets/d/11923uPwbBZFjjGgGUA6NLw09EwE0CqkOc4q9oUmW1yo/edit?usp=sharing"",""อุตรดิตถ์!j211"")"),0)</f>
        <v>0</v>
      </c>
      <c r="L31" s="99">
        <f t="shared" si="4"/>
        <v>0</v>
      </c>
      <c r="M31" s="54">
        <f t="shared" si="30"/>
        <v>0</v>
      </c>
      <c r="N31" s="55">
        <v>0</v>
      </c>
      <c r="O31" s="55">
        <v>0</v>
      </c>
      <c r="P31" s="55">
        <f ca="1">IFERROR(__xludf.DUMMYFUNCTION("IMPORTRANGE(""https://docs.google.com/spreadsheets/d/11923uPwbBZFjjGgGUA6NLw09EwE0CqkOc4q9oUmW1yo/edit?usp=sharing"",""อุตรดิตถ์!M214"")"),0)</f>
        <v>0</v>
      </c>
      <c r="Q31" s="99">
        <f t="shared" si="6"/>
        <v>0</v>
      </c>
      <c r="R31" s="55">
        <v>0</v>
      </c>
      <c r="S31" s="55">
        <f ca="1">IFERROR(__xludf.DUMMYFUNCTION("IMPORTRANGE(""https://docs.google.com/spreadsheets/d/11923uPwbBZFjjGgGUA6NLw09EwE0CqkOc4q9oUmW1yo/edit?usp=sharing"",""อุตรดิตถ์!j224"")"),0)</f>
        <v>0</v>
      </c>
      <c r="T31" s="99">
        <f t="shared" si="8"/>
        <v>0</v>
      </c>
      <c r="U31" s="81"/>
      <c r="V31" s="81"/>
      <c r="W31" s="81"/>
      <c r="X31" s="81"/>
      <c r="Y31" s="81"/>
      <c r="Z31" s="81"/>
    </row>
    <row r="32" spans="1:26" ht="24" customHeight="1" x14ac:dyDescent="0.5">
      <c r="A32" s="59">
        <v>17</v>
      </c>
      <c r="B32" s="60" t="s">
        <v>47</v>
      </c>
      <c r="C32" s="61">
        <f t="shared" si="29"/>
        <v>120760</v>
      </c>
      <c r="D32" s="62">
        <v>0</v>
      </c>
      <c r="E32" s="62">
        <v>120760</v>
      </c>
      <c r="F32" s="62">
        <f ca="1">IFERROR(__xludf.DUMMYFUNCTION("IMPORTRANGE(""https://docs.google.com/spreadsheets/d/11923uPwbBZFjjGgGUA6NLw09EwE0CqkOc4q9oUmW1yo/edit?usp=sharing"",""อุทัยธานี!M199"")"),0)</f>
        <v>0</v>
      </c>
      <c r="G32" s="100">
        <f t="shared" ca="1" si="1"/>
        <v>0</v>
      </c>
      <c r="H32" s="62">
        <v>40</v>
      </c>
      <c r="I32" s="62">
        <f ca="1">IFERROR(__xludf.DUMMYFUNCTION("IMPORTRANGE(""https://docs.google.com/spreadsheets/d/11923uPwbBZFjjGgGUA6NLw09EwE0CqkOc4q9oUmW1yo/edit?usp=sharing"",""อุทัยธานี!j209"")"),0)</f>
        <v>0</v>
      </c>
      <c r="J32" s="100">
        <f t="shared" ca="1" si="3"/>
        <v>0</v>
      </c>
      <c r="K32" s="62">
        <f ca="1">IFERROR(__xludf.DUMMYFUNCTION("IMPORTRANGE(""https://docs.google.com/spreadsheets/d/11923uPwbBZFjjGgGUA6NLw09EwE0CqkOc4q9oUmW1yo/edit?usp=sharing"",""อุทัยธานี!j211"")"),0)</f>
        <v>0</v>
      </c>
      <c r="L32" s="100">
        <f t="shared" ca="1" si="4"/>
        <v>0</v>
      </c>
      <c r="M32" s="61">
        <f t="shared" si="30"/>
        <v>262600</v>
      </c>
      <c r="N32" s="62">
        <v>0</v>
      </c>
      <c r="O32" s="62">
        <v>262600</v>
      </c>
      <c r="P32" s="62">
        <f ca="1">IFERROR(__xludf.DUMMYFUNCTION("IMPORTRANGE(""https://docs.google.com/spreadsheets/d/11923uPwbBZFjjGgGUA6NLw09EwE0CqkOc4q9oUmW1yo/edit?usp=sharing"",""อุทัยธานี!M214"")"),11240)</f>
        <v>11240</v>
      </c>
      <c r="Q32" s="100">
        <f t="shared" ca="1" si="6"/>
        <v>4.2802741812642804</v>
      </c>
      <c r="R32" s="62">
        <v>1</v>
      </c>
      <c r="S32" s="62">
        <f ca="1">IFERROR(__xludf.DUMMYFUNCTION("IMPORTRANGE(""https://docs.google.com/spreadsheets/d/11923uPwbBZFjjGgGUA6NLw09EwE0CqkOc4q9oUmW1yo/edit?usp=sharing"",""อุทัยธานี!j224"")"),0)</f>
        <v>0</v>
      </c>
      <c r="T32" s="100">
        <f t="shared" ca="1" si="8"/>
        <v>0</v>
      </c>
      <c r="U32" s="81"/>
      <c r="V32" s="81"/>
      <c r="W32" s="81"/>
      <c r="X32" s="81"/>
      <c r="Y32" s="81"/>
      <c r="Z32" s="81"/>
    </row>
    <row r="33" spans="1:26" ht="24" customHeight="1" x14ac:dyDescent="0.5">
      <c r="A33" s="568" t="s">
        <v>48</v>
      </c>
      <c r="B33" s="569"/>
      <c r="C33" s="66">
        <f t="shared" ref="C33:F33" si="31">SUM(C34:C53)</f>
        <v>147180</v>
      </c>
      <c r="D33" s="66">
        <f t="shared" si="31"/>
        <v>0</v>
      </c>
      <c r="E33" s="66">
        <f t="shared" si="31"/>
        <v>147180</v>
      </c>
      <c r="F33" s="66">
        <f t="shared" ca="1" si="31"/>
        <v>0</v>
      </c>
      <c r="G33" s="101">
        <f t="shared" ca="1" si="1"/>
        <v>0</v>
      </c>
      <c r="H33" s="66">
        <f t="shared" ref="H33:I33" si="32">SUM(H34:H53)</f>
        <v>35</v>
      </c>
      <c r="I33" s="66">
        <f t="shared" ca="1" si="32"/>
        <v>0</v>
      </c>
      <c r="J33" s="101">
        <f t="shared" ca="1" si="3"/>
        <v>0</v>
      </c>
      <c r="K33" s="66">
        <f ca="1">SUM(K34:K53)</f>
        <v>0</v>
      </c>
      <c r="L33" s="101">
        <f t="shared" ca="1" si="4"/>
        <v>0</v>
      </c>
      <c r="M33" s="66">
        <f t="shared" ref="M33:P33" si="33">SUM(M34:M53)</f>
        <v>665200</v>
      </c>
      <c r="N33" s="66">
        <f t="shared" si="33"/>
        <v>0</v>
      </c>
      <c r="O33" s="66">
        <f t="shared" si="33"/>
        <v>665200</v>
      </c>
      <c r="P33" s="66">
        <f t="shared" ca="1" si="33"/>
        <v>0</v>
      </c>
      <c r="Q33" s="101">
        <f t="shared" ca="1" si="6"/>
        <v>0</v>
      </c>
      <c r="R33" s="66">
        <f t="shared" ref="R33:S33" si="34">SUM(R34:R53)</f>
        <v>3</v>
      </c>
      <c r="S33" s="66">
        <f t="shared" ca="1" si="34"/>
        <v>0</v>
      </c>
      <c r="T33" s="101">
        <f t="shared" ca="1" si="8"/>
        <v>0</v>
      </c>
      <c r="U33" s="81"/>
      <c r="V33" s="81"/>
      <c r="W33" s="81"/>
      <c r="X33" s="81"/>
      <c r="Y33" s="81"/>
      <c r="Z33" s="81"/>
    </row>
    <row r="34" spans="1:26" ht="24" customHeight="1" x14ac:dyDescent="0.5">
      <c r="A34" s="45">
        <v>1</v>
      </c>
      <c r="B34" s="46" t="s">
        <v>49</v>
      </c>
      <c r="C34" s="47">
        <f t="shared" ref="C34:C53" si="35">+D34+E34</f>
        <v>72260</v>
      </c>
      <c r="D34" s="48">
        <v>0</v>
      </c>
      <c r="E34" s="48">
        <v>72260</v>
      </c>
      <c r="F34" s="48">
        <f ca="1">IFERROR(__xludf.DUMMYFUNCTION("IMPORTRANGE(""https://docs.google.com/spreadsheets/d/1XL5vhW3sbDhbH9Cz0tuDiY8C3ctxq1tqvaCgkFb8cCA/edit?usp=sharing"",""กาฬสินธุ์!M199"")"),0)</f>
        <v>0</v>
      </c>
      <c r="G34" s="98">
        <f t="shared" ca="1" si="1"/>
        <v>0</v>
      </c>
      <c r="H34" s="48">
        <v>15</v>
      </c>
      <c r="I34" s="48">
        <f ca="1">IFERROR(__xludf.DUMMYFUNCTION("IMPORTRANGE(""https://docs.google.com/spreadsheets/d/1XL5vhW3sbDhbH9Cz0tuDiY8C3ctxq1tqvaCgkFb8cCA/edit?usp=sharing"",""กาฬสินธุ์!j209"")"),0)</f>
        <v>0</v>
      </c>
      <c r="J34" s="98">
        <f t="shared" ca="1" si="3"/>
        <v>0</v>
      </c>
      <c r="K34" s="48">
        <f ca="1">IFERROR(__xludf.DUMMYFUNCTION("IMPORTRANGE(""https://docs.google.com/spreadsheets/d/1XL5vhW3sbDhbH9Cz0tuDiY8C3ctxq1tqvaCgkFb8cCA/edit?usp=sharing"",""กาฬสินธุ์!j211"")"),0)</f>
        <v>0</v>
      </c>
      <c r="L34" s="98">
        <f t="shared" ca="1" si="4"/>
        <v>0</v>
      </c>
      <c r="M34" s="47">
        <f t="shared" ref="M34:M53" si="36">+N34+O34</f>
        <v>217600</v>
      </c>
      <c r="N34" s="48">
        <v>0</v>
      </c>
      <c r="O34" s="48">
        <v>217600</v>
      </c>
      <c r="P34" s="48">
        <f ca="1">IFERROR(__xludf.DUMMYFUNCTION("IMPORTRANGE(""https://docs.google.com/spreadsheets/d/1XL5vhW3sbDhbH9Cz0tuDiY8C3ctxq1tqvaCgkFb8cCA/edit?usp=sharing"",""กาฬสินธุ์!M214"")"),0)</f>
        <v>0</v>
      </c>
      <c r="Q34" s="98">
        <f t="shared" ca="1" si="6"/>
        <v>0</v>
      </c>
      <c r="R34" s="48">
        <v>1</v>
      </c>
      <c r="S34" s="48">
        <f ca="1">IFERROR(__xludf.DUMMYFUNCTION("IMPORTRANGE(""https://docs.google.com/spreadsheets/d/1XL5vhW3sbDhbH9Cz0tuDiY8C3ctxq1tqvaCgkFb8cCA/edit?usp=sharing"",""กาฬสินธุ์!j224"")"),0)</f>
        <v>0</v>
      </c>
      <c r="T34" s="98">
        <f t="shared" ca="1" si="8"/>
        <v>0</v>
      </c>
      <c r="U34" s="81"/>
      <c r="V34" s="81"/>
      <c r="W34" s="81"/>
      <c r="X34" s="81"/>
      <c r="Y34" s="81"/>
      <c r="Z34" s="81"/>
    </row>
    <row r="35" spans="1:26" ht="24" customHeight="1" x14ac:dyDescent="0.5">
      <c r="A35" s="52">
        <v>2</v>
      </c>
      <c r="B35" s="53" t="s">
        <v>50</v>
      </c>
      <c r="C35" s="54">
        <f t="shared" si="35"/>
        <v>0</v>
      </c>
      <c r="D35" s="55">
        <v>0</v>
      </c>
      <c r="E35" s="55">
        <v>0</v>
      </c>
      <c r="F35" s="55">
        <f ca="1">IFERROR(__xludf.DUMMYFUNCTION("IMPORTRANGE(""https://docs.google.com/spreadsheets/d/1XL5vhW3sbDhbH9Cz0tuDiY8C3ctxq1tqvaCgkFb8cCA/edit?usp=sharing"",""ขอนแก่น!M199"")"),0)</f>
        <v>0</v>
      </c>
      <c r="G35" s="99">
        <f t="shared" si="1"/>
        <v>0</v>
      </c>
      <c r="H35" s="55">
        <v>0</v>
      </c>
      <c r="I35" s="55">
        <f ca="1">IFERROR(__xludf.DUMMYFUNCTION("IMPORTRANGE(""https://docs.google.com/spreadsheets/d/1XL5vhW3sbDhbH9Cz0tuDiY8C3ctxq1tqvaCgkFb8cCA/edit?usp=sharing"",""ขอนแก่น!j209"")"),0)</f>
        <v>0</v>
      </c>
      <c r="J35" s="99">
        <f t="shared" si="3"/>
        <v>0</v>
      </c>
      <c r="K35" s="55">
        <f ca="1">IFERROR(__xludf.DUMMYFUNCTION("IMPORTRANGE(""https://docs.google.com/spreadsheets/d/1XL5vhW3sbDhbH9Cz0tuDiY8C3ctxq1tqvaCgkFb8cCA/edit?usp=sharing"",""ขอนแก่น!j211"")"),0)</f>
        <v>0</v>
      </c>
      <c r="L35" s="99">
        <f t="shared" si="4"/>
        <v>0</v>
      </c>
      <c r="M35" s="54">
        <f t="shared" si="36"/>
        <v>0</v>
      </c>
      <c r="N35" s="55">
        <v>0</v>
      </c>
      <c r="O35" s="55">
        <v>0</v>
      </c>
      <c r="P35" s="55">
        <f ca="1">IFERROR(__xludf.DUMMYFUNCTION("IMPORTRANGE(""https://docs.google.com/spreadsheets/d/1XL5vhW3sbDhbH9Cz0tuDiY8C3ctxq1tqvaCgkFb8cCA/edit?usp=sharing"",""ขอนแก่น!M214"")"),0)</f>
        <v>0</v>
      </c>
      <c r="Q35" s="99">
        <f t="shared" si="6"/>
        <v>0</v>
      </c>
      <c r="R35" s="55">
        <v>0</v>
      </c>
      <c r="S35" s="55">
        <f ca="1">IFERROR(__xludf.DUMMYFUNCTION("IMPORTRANGE(""https://docs.google.com/spreadsheets/d/1XL5vhW3sbDhbH9Cz0tuDiY8C3ctxq1tqvaCgkFb8cCA/edit?usp=sharing"",""ขอนแก่น!j224"")"),0)</f>
        <v>0</v>
      </c>
      <c r="T35" s="99">
        <f t="shared" si="8"/>
        <v>0</v>
      </c>
      <c r="U35" s="81"/>
      <c r="V35" s="81"/>
      <c r="W35" s="81"/>
      <c r="X35" s="81"/>
      <c r="Y35" s="81"/>
      <c r="Z35" s="81"/>
    </row>
    <row r="36" spans="1:26" ht="24" customHeight="1" x14ac:dyDescent="0.5">
      <c r="A36" s="52">
        <v>3</v>
      </c>
      <c r="B36" s="53" t="s">
        <v>51</v>
      </c>
      <c r="C36" s="54">
        <f t="shared" si="35"/>
        <v>0</v>
      </c>
      <c r="D36" s="55">
        <v>0</v>
      </c>
      <c r="E36" s="55">
        <v>0</v>
      </c>
      <c r="F36" s="55">
        <f ca="1">IFERROR(__xludf.DUMMYFUNCTION("IMPORTRANGE(""https://docs.google.com/spreadsheets/d/1XL5vhW3sbDhbH9Cz0tuDiY8C3ctxq1tqvaCgkFb8cCA/edit?usp=sharing"",""ชัยภูมิ!M199"")"),0)</f>
        <v>0</v>
      </c>
      <c r="G36" s="99">
        <f t="shared" si="1"/>
        <v>0</v>
      </c>
      <c r="H36" s="55">
        <v>0</v>
      </c>
      <c r="I36" s="55">
        <f ca="1">IFERROR(__xludf.DUMMYFUNCTION("IMPORTRANGE(""https://docs.google.com/spreadsheets/d/1XL5vhW3sbDhbH9Cz0tuDiY8C3ctxq1tqvaCgkFb8cCA/edit?usp=sharing"",""ชัยภูมิ!j209"")"),0)</f>
        <v>0</v>
      </c>
      <c r="J36" s="99">
        <f t="shared" si="3"/>
        <v>0</v>
      </c>
      <c r="K36" s="55">
        <f ca="1">IFERROR(__xludf.DUMMYFUNCTION("IMPORTRANGE(""https://docs.google.com/spreadsheets/d/1XL5vhW3sbDhbH9Cz0tuDiY8C3ctxq1tqvaCgkFb8cCA/edit?usp=sharing"",""ชัยภูมิ!j211"")"),0)</f>
        <v>0</v>
      </c>
      <c r="L36" s="99">
        <f t="shared" si="4"/>
        <v>0</v>
      </c>
      <c r="M36" s="54">
        <f t="shared" si="36"/>
        <v>0</v>
      </c>
      <c r="N36" s="55">
        <v>0</v>
      </c>
      <c r="O36" s="55">
        <v>0</v>
      </c>
      <c r="P36" s="55">
        <f ca="1">IFERROR(__xludf.DUMMYFUNCTION("IMPORTRANGE(""https://docs.google.com/spreadsheets/d/1XL5vhW3sbDhbH9Cz0tuDiY8C3ctxq1tqvaCgkFb8cCA/edit?usp=sharing"",""ชัยภูมิ!M214"")"),0)</f>
        <v>0</v>
      </c>
      <c r="Q36" s="99">
        <f t="shared" si="6"/>
        <v>0</v>
      </c>
      <c r="R36" s="55">
        <v>0</v>
      </c>
      <c r="S36" s="55">
        <f ca="1">IFERROR(__xludf.DUMMYFUNCTION("IMPORTRANGE(""https://docs.google.com/spreadsheets/d/1XL5vhW3sbDhbH9Cz0tuDiY8C3ctxq1tqvaCgkFb8cCA/edit?usp=sharing"",""ชัยภูมิ!j224"")"),0)</f>
        <v>0</v>
      </c>
      <c r="T36" s="99">
        <f t="shared" si="8"/>
        <v>0</v>
      </c>
      <c r="U36" s="81"/>
      <c r="V36" s="81"/>
      <c r="W36" s="81"/>
      <c r="X36" s="81"/>
      <c r="Y36" s="81"/>
      <c r="Z36" s="81"/>
    </row>
    <row r="37" spans="1:26" ht="24" customHeight="1" x14ac:dyDescent="0.5">
      <c r="A37" s="52">
        <v>4</v>
      </c>
      <c r="B37" s="53" t="s">
        <v>52</v>
      </c>
      <c r="C37" s="54">
        <f t="shared" si="35"/>
        <v>0</v>
      </c>
      <c r="D37" s="55">
        <v>0</v>
      </c>
      <c r="E37" s="55">
        <v>0</v>
      </c>
      <c r="F37" s="55">
        <f ca="1">IFERROR(__xludf.DUMMYFUNCTION("IMPORTRANGE(""https://docs.google.com/spreadsheets/d/1XL5vhW3sbDhbH9Cz0tuDiY8C3ctxq1tqvaCgkFb8cCA/edit?usp=sharing"",""นครพนม!M199"")"),0)</f>
        <v>0</v>
      </c>
      <c r="G37" s="99">
        <f t="shared" si="1"/>
        <v>0</v>
      </c>
      <c r="H37" s="55">
        <v>0</v>
      </c>
      <c r="I37" s="55">
        <f ca="1">IFERROR(__xludf.DUMMYFUNCTION("IMPORTRANGE(""https://docs.google.com/spreadsheets/d/1XL5vhW3sbDhbH9Cz0tuDiY8C3ctxq1tqvaCgkFb8cCA/edit?usp=sharing"",""นครพนม!j209"")"),0)</f>
        <v>0</v>
      </c>
      <c r="J37" s="99">
        <f t="shared" si="3"/>
        <v>0</v>
      </c>
      <c r="K37" s="55">
        <f ca="1">IFERROR(__xludf.DUMMYFUNCTION("IMPORTRANGE(""https://docs.google.com/spreadsheets/d/1XL5vhW3sbDhbH9Cz0tuDiY8C3ctxq1tqvaCgkFb8cCA/edit?usp=sharing"",""นครพนม!j211"")"),0)</f>
        <v>0</v>
      </c>
      <c r="L37" s="99">
        <f t="shared" si="4"/>
        <v>0</v>
      </c>
      <c r="M37" s="54">
        <f t="shared" si="36"/>
        <v>0</v>
      </c>
      <c r="N37" s="55">
        <v>0</v>
      </c>
      <c r="O37" s="55">
        <v>0</v>
      </c>
      <c r="P37" s="55">
        <f ca="1">IFERROR(__xludf.DUMMYFUNCTION("IMPORTRANGE(""https://docs.google.com/spreadsheets/d/1XL5vhW3sbDhbH9Cz0tuDiY8C3ctxq1tqvaCgkFb8cCA/edit?usp=sharing"",""นครพนม!M214"")"),0)</f>
        <v>0</v>
      </c>
      <c r="Q37" s="99">
        <f t="shared" si="6"/>
        <v>0</v>
      </c>
      <c r="R37" s="55">
        <v>0</v>
      </c>
      <c r="S37" s="55">
        <f ca="1">IFERROR(__xludf.DUMMYFUNCTION("IMPORTRANGE(""https://docs.google.com/spreadsheets/d/1XL5vhW3sbDhbH9Cz0tuDiY8C3ctxq1tqvaCgkFb8cCA/edit?usp=sharing"",""นครพนม!j224"")"),0)</f>
        <v>0</v>
      </c>
      <c r="T37" s="99">
        <f t="shared" si="8"/>
        <v>0</v>
      </c>
      <c r="U37" s="81"/>
      <c r="V37" s="81"/>
      <c r="W37" s="81"/>
      <c r="X37" s="81"/>
      <c r="Y37" s="81"/>
      <c r="Z37" s="81"/>
    </row>
    <row r="38" spans="1:26" ht="24" customHeight="1" x14ac:dyDescent="0.5">
      <c r="A38" s="52">
        <v>5</v>
      </c>
      <c r="B38" s="53" t="s">
        <v>53</v>
      </c>
      <c r="C38" s="54">
        <f t="shared" si="35"/>
        <v>74920</v>
      </c>
      <c r="D38" s="55">
        <v>0</v>
      </c>
      <c r="E38" s="55">
        <v>74920</v>
      </c>
      <c r="F38" s="55">
        <f ca="1">IFERROR(__xludf.DUMMYFUNCTION("IMPORTRANGE(""https://docs.google.com/spreadsheets/d/1XL5vhW3sbDhbH9Cz0tuDiY8C3ctxq1tqvaCgkFb8cCA/edit?usp=sharing"",""นครราชสีมา!M199"")"),0)</f>
        <v>0</v>
      </c>
      <c r="G38" s="99">
        <f t="shared" ca="1" si="1"/>
        <v>0</v>
      </c>
      <c r="H38" s="55">
        <v>20</v>
      </c>
      <c r="I38" s="55">
        <f ca="1">IFERROR(__xludf.DUMMYFUNCTION("IMPORTRANGE(""https://docs.google.com/spreadsheets/d/1XL5vhW3sbDhbH9Cz0tuDiY8C3ctxq1tqvaCgkFb8cCA/edit?usp=sharing"",""นครราชสีมา!j209"")"),0)</f>
        <v>0</v>
      </c>
      <c r="J38" s="99">
        <f t="shared" ca="1" si="3"/>
        <v>0</v>
      </c>
      <c r="K38" s="55">
        <f ca="1">IFERROR(__xludf.DUMMYFUNCTION("IMPORTRANGE(""https://docs.google.com/spreadsheets/d/1XL5vhW3sbDhbH9Cz0tuDiY8C3ctxq1tqvaCgkFb8cCA/edit?usp=sharing"",""นครราชสีมา!j211"")"),0)</f>
        <v>0</v>
      </c>
      <c r="L38" s="99">
        <f t="shared" ca="1" si="4"/>
        <v>0</v>
      </c>
      <c r="M38" s="54">
        <f t="shared" si="36"/>
        <v>447600</v>
      </c>
      <c r="N38" s="55">
        <v>0</v>
      </c>
      <c r="O38" s="55">
        <v>447600</v>
      </c>
      <c r="P38" s="55">
        <f ca="1">IFERROR(__xludf.DUMMYFUNCTION("IMPORTRANGE(""https://docs.google.com/spreadsheets/d/1XL5vhW3sbDhbH9Cz0tuDiY8C3ctxq1tqvaCgkFb8cCA/edit?usp=sharing"",""นครราชสีมา!M214"")"),0)</f>
        <v>0</v>
      </c>
      <c r="Q38" s="99">
        <f t="shared" ca="1" si="6"/>
        <v>0</v>
      </c>
      <c r="R38" s="55">
        <v>2</v>
      </c>
      <c r="S38" s="55">
        <f ca="1">IFERROR(__xludf.DUMMYFUNCTION("IMPORTRANGE(""https://docs.google.com/spreadsheets/d/1XL5vhW3sbDhbH9Cz0tuDiY8C3ctxq1tqvaCgkFb8cCA/edit?usp=sharing"",""นครราชสีมา!j224"")"),0)</f>
        <v>0</v>
      </c>
      <c r="T38" s="99">
        <f t="shared" ca="1" si="8"/>
        <v>0</v>
      </c>
      <c r="U38" s="81"/>
      <c r="V38" s="81"/>
      <c r="W38" s="81"/>
      <c r="X38" s="81"/>
      <c r="Y38" s="81"/>
      <c r="Z38" s="81"/>
    </row>
    <row r="39" spans="1:26" ht="24" customHeight="1" x14ac:dyDescent="0.5">
      <c r="A39" s="52">
        <v>6</v>
      </c>
      <c r="B39" s="53" t="s">
        <v>54</v>
      </c>
      <c r="C39" s="54">
        <f t="shared" si="35"/>
        <v>0</v>
      </c>
      <c r="D39" s="55">
        <v>0</v>
      </c>
      <c r="E39" s="55">
        <v>0</v>
      </c>
      <c r="F39" s="55">
        <f ca="1">IFERROR(__xludf.DUMMYFUNCTION("IMPORTRANGE(""https://docs.google.com/spreadsheets/d/1XL5vhW3sbDhbH9Cz0tuDiY8C3ctxq1tqvaCgkFb8cCA/edit?usp=sharing"",""บึงกาฬ!M199"")"),0)</f>
        <v>0</v>
      </c>
      <c r="G39" s="99">
        <f t="shared" si="1"/>
        <v>0</v>
      </c>
      <c r="H39" s="55">
        <v>0</v>
      </c>
      <c r="I39" s="55">
        <f ca="1">IFERROR(__xludf.DUMMYFUNCTION("IMPORTRANGE(""https://docs.google.com/spreadsheets/d/1XL5vhW3sbDhbH9Cz0tuDiY8C3ctxq1tqvaCgkFb8cCA/edit?usp=sharing"",""บึงกาฬ!j209"")"),0)</f>
        <v>0</v>
      </c>
      <c r="J39" s="99">
        <f t="shared" si="3"/>
        <v>0</v>
      </c>
      <c r="K39" s="55">
        <f ca="1">IFERROR(__xludf.DUMMYFUNCTION("IMPORTRANGE(""https://docs.google.com/spreadsheets/d/1XL5vhW3sbDhbH9Cz0tuDiY8C3ctxq1tqvaCgkFb8cCA/edit?usp=sharing"",""บึงกาฬ!j211"")"),0)</f>
        <v>0</v>
      </c>
      <c r="L39" s="99">
        <f t="shared" si="4"/>
        <v>0</v>
      </c>
      <c r="M39" s="54">
        <f t="shared" si="36"/>
        <v>0</v>
      </c>
      <c r="N39" s="55">
        <v>0</v>
      </c>
      <c r="O39" s="55">
        <v>0</v>
      </c>
      <c r="P39" s="55">
        <f ca="1">IFERROR(__xludf.DUMMYFUNCTION("IMPORTRANGE(""https://docs.google.com/spreadsheets/d/1XL5vhW3sbDhbH9Cz0tuDiY8C3ctxq1tqvaCgkFb8cCA/edit?usp=sharing"",""บึงกาฬ!M214"")"),0)</f>
        <v>0</v>
      </c>
      <c r="Q39" s="99">
        <f t="shared" si="6"/>
        <v>0</v>
      </c>
      <c r="R39" s="55">
        <v>0</v>
      </c>
      <c r="S39" s="55">
        <f ca="1">IFERROR(__xludf.DUMMYFUNCTION("IMPORTRANGE(""https://docs.google.com/spreadsheets/d/1XL5vhW3sbDhbH9Cz0tuDiY8C3ctxq1tqvaCgkFb8cCA/edit?usp=sharing"",""บึงกาฬ!j224"")"),0)</f>
        <v>0</v>
      </c>
      <c r="T39" s="99">
        <f t="shared" si="8"/>
        <v>0</v>
      </c>
      <c r="U39" s="81"/>
      <c r="V39" s="81"/>
      <c r="W39" s="81"/>
      <c r="X39" s="81"/>
      <c r="Y39" s="81"/>
      <c r="Z39" s="81"/>
    </row>
    <row r="40" spans="1:26" ht="24" customHeight="1" x14ac:dyDescent="0.5">
      <c r="A40" s="52">
        <v>7</v>
      </c>
      <c r="B40" s="53" t="s">
        <v>55</v>
      </c>
      <c r="C40" s="54">
        <f t="shared" si="35"/>
        <v>0</v>
      </c>
      <c r="D40" s="55">
        <v>0</v>
      </c>
      <c r="E40" s="55">
        <v>0</v>
      </c>
      <c r="F40" s="55">
        <f ca="1">IFERROR(__xludf.DUMMYFUNCTION("IMPORTRANGE(""https://docs.google.com/spreadsheets/d/1XL5vhW3sbDhbH9Cz0tuDiY8C3ctxq1tqvaCgkFb8cCA/edit?usp=sharing"",""บุรีรัมย์!M199"")"),0)</f>
        <v>0</v>
      </c>
      <c r="G40" s="99">
        <f t="shared" si="1"/>
        <v>0</v>
      </c>
      <c r="H40" s="55">
        <v>0</v>
      </c>
      <c r="I40" s="55">
        <f ca="1">IFERROR(__xludf.DUMMYFUNCTION("IMPORTRANGE(""https://docs.google.com/spreadsheets/d/1XL5vhW3sbDhbH9Cz0tuDiY8C3ctxq1tqvaCgkFb8cCA/edit?usp=sharing"",""บุรีรัมย์!j209"")"),0)</f>
        <v>0</v>
      </c>
      <c r="J40" s="99">
        <f t="shared" si="3"/>
        <v>0</v>
      </c>
      <c r="K40" s="55">
        <f ca="1">IFERROR(__xludf.DUMMYFUNCTION("IMPORTRANGE(""https://docs.google.com/spreadsheets/d/1XL5vhW3sbDhbH9Cz0tuDiY8C3ctxq1tqvaCgkFb8cCA/edit?usp=sharing"",""บุรีรัมย์!j211"")"),0)</f>
        <v>0</v>
      </c>
      <c r="L40" s="99">
        <f t="shared" si="4"/>
        <v>0</v>
      </c>
      <c r="M40" s="54">
        <f t="shared" si="36"/>
        <v>0</v>
      </c>
      <c r="N40" s="55">
        <v>0</v>
      </c>
      <c r="O40" s="55">
        <v>0</v>
      </c>
      <c r="P40" s="55">
        <f ca="1">IFERROR(__xludf.DUMMYFUNCTION("IMPORTRANGE(""https://docs.google.com/spreadsheets/d/1XL5vhW3sbDhbH9Cz0tuDiY8C3ctxq1tqvaCgkFb8cCA/edit?usp=sharing"",""บุรีรัมย์!M214"")"),0)</f>
        <v>0</v>
      </c>
      <c r="Q40" s="99">
        <f t="shared" si="6"/>
        <v>0</v>
      </c>
      <c r="R40" s="55">
        <v>0</v>
      </c>
      <c r="S40" s="55">
        <f ca="1">IFERROR(__xludf.DUMMYFUNCTION("IMPORTRANGE(""https://docs.google.com/spreadsheets/d/1XL5vhW3sbDhbH9Cz0tuDiY8C3ctxq1tqvaCgkFb8cCA/edit?usp=sharing"",""บุรีรัมย์!j224"")"),0)</f>
        <v>0</v>
      </c>
      <c r="T40" s="99">
        <f t="shared" si="8"/>
        <v>0</v>
      </c>
      <c r="U40" s="81"/>
      <c r="V40" s="81"/>
      <c r="W40" s="81"/>
      <c r="X40" s="81"/>
      <c r="Y40" s="81"/>
      <c r="Z40" s="81"/>
    </row>
    <row r="41" spans="1:26" ht="24" customHeight="1" x14ac:dyDescent="0.5">
      <c r="A41" s="52">
        <v>8</v>
      </c>
      <c r="B41" s="53" t="s">
        <v>56</v>
      </c>
      <c r="C41" s="54">
        <f t="shared" si="35"/>
        <v>0</v>
      </c>
      <c r="D41" s="55">
        <v>0</v>
      </c>
      <c r="E41" s="55">
        <v>0</v>
      </c>
      <c r="F41" s="55">
        <f ca="1">IFERROR(__xludf.DUMMYFUNCTION("IMPORTRANGE(""https://docs.google.com/spreadsheets/d/1XL5vhW3sbDhbH9Cz0tuDiY8C3ctxq1tqvaCgkFb8cCA/edit?usp=sharing"",""มหาสารคาม!M199"")"),0)</f>
        <v>0</v>
      </c>
      <c r="G41" s="99">
        <f t="shared" si="1"/>
        <v>0</v>
      </c>
      <c r="H41" s="55">
        <v>0</v>
      </c>
      <c r="I41" s="55">
        <f ca="1">IFERROR(__xludf.DUMMYFUNCTION("IMPORTRANGE(""https://docs.google.com/spreadsheets/d/1XL5vhW3sbDhbH9Cz0tuDiY8C3ctxq1tqvaCgkFb8cCA/edit?usp=sharing"",""มหาสารคาม!j209"")"),0)</f>
        <v>0</v>
      </c>
      <c r="J41" s="99">
        <f t="shared" si="3"/>
        <v>0</v>
      </c>
      <c r="K41" s="55">
        <f ca="1">IFERROR(__xludf.DUMMYFUNCTION("IMPORTRANGE(""https://docs.google.com/spreadsheets/d/1XL5vhW3sbDhbH9Cz0tuDiY8C3ctxq1tqvaCgkFb8cCA/edit?usp=sharing"",""มหาสารคาม!j211"")"),0)</f>
        <v>0</v>
      </c>
      <c r="L41" s="99">
        <f t="shared" si="4"/>
        <v>0</v>
      </c>
      <c r="M41" s="54">
        <f t="shared" si="36"/>
        <v>0</v>
      </c>
      <c r="N41" s="55">
        <v>0</v>
      </c>
      <c r="O41" s="55">
        <v>0</v>
      </c>
      <c r="P41" s="55">
        <f ca="1">IFERROR(__xludf.DUMMYFUNCTION("IMPORTRANGE(""https://docs.google.com/spreadsheets/d/1XL5vhW3sbDhbH9Cz0tuDiY8C3ctxq1tqvaCgkFb8cCA/edit?usp=sharing"",""มหาสารคาม!M214"")"),0)</f>
        <v>0</v>
      </c>
      <c r="Q41" s="99">
        <f t="shared" si="6"/>
        <v>0</v>
      </c>
      <c r="R41" s="55">
        <v>0</v>
      </c>
      <c r="S41" s="55">
        <f ca="1">IFERROR(__xludf.DUMMYFUNCTION("IMPORTRANGE(""https://docs.google.com/spreadsheets/d/1XL5vhW3sbDhbH9Cz0tuDiY8C3ctxq1tqvaCgkFb8cCA/edit?usp=sharing"",""มหาสารคาม!j224"")"),0)</f>
        <v>0</v>
      </c>
      <c r="T41" s="99">
        <f t="shared" si="8"/>
        <v>0</v>
      </c>
      <c r="U41" s="81"/>
      <c r="V41" s="81"/>
      <c r="W41" s="81"/>
      <c r="X41" s="81"/>
      <c r="Y41" s="81"/>
      <c r="Z41" s="81"/>
    </row>
    <row r="42" spans="1:26" ht="24" customHeight="1" x14ac:dyDescent="0.5">
      <c r="A42" s="52">
        <v>9</v>
      </c>
      <c r="B42" s="53" t="s">
        <v>57</v>
      </c>
      <c r="C42" s="54">
        <f t="shared" si="35"/>
        <v>0</v>
      </c>
      <c r="D42" s="55">
        <v>0</v>
      </c>
      <c r="E42" s="55">
        <v>0</v>
      </c>
      <c r="F42" s="55">
        <f ca="1">IFERROR(__xludf.DUMMYFUNCTION("IMPORTRANGE(""https://docs.google.com/spreadsheets/d/1XL5vhW3sbDhbH9Cz0tuDiY8C3ctxq1tqvaCgkFb8cCA/edit?usp=sharing"",""มุกดาหาร!M199"")"),0)</f>
        <v>0</v>
      </c>
      <c r="G42" s="99">
        <f t="shared" si="1"/>
        <v>0</v>
      </c>
      <c r="H42" s="55">
        <v>0</v>
      </c>
      <c r="I42" s="55">
        <f ca="1">IFERROR(__xludf.DUMMYFUNCTION("IMPORTRANGE(""https://docs.google.com/spreadsheets/d/1XL5vhW3sbDhbH9Cz0tuDiY8C3ctxq1tqvaCgkFb8cCA/edit?usp=sharing"",""มุกดาหาร!j209"")"),0)</f>
        <v>0</v>
      </c>
      <c r="J42" s="99">
        <f t="shared" si="3"/>
        <v>0</v>
      </c>
      <c r="K42" s="55">
        <f ca="1">IFERROR(__xludf.DUMMYFUNCTION("IMPORTRANGE(""https://docs.google.com/spreadsheets/d/1XL5vhW3sbDhbH9Cz0tuDiY8C3ctxq1tqvaCgkFb8cCA/edit?usp=sharing"",""มุกดาหาร!j211"")"),0)</f>
        <v>0</v>
      </c>
      <c r="L42" s="99">
        <f t="shared" si="4"/>
        <v>0</v>
      </c>
      <c r="M42" s="54">
        <f t="shared" si="36"/>
        <v>0</v>
      </c>
      <c r="N42" s="55">
        <v>0</v>
      </c>
      <c r="O42" s="55">
        <v>0</v>
      </c>
      <c r="P42" s="55">
        <f ca="1">IFERROR(__xludf.DUMMYFUNCTION("IMPORTRANGE(""https://docs.google.com/spreadsheets/d/1XL5vhW3sbDhbH9Cz0tuDiY8C3ctxq1tqvaCgkFb8cCA/edit?usp=sharing"",""มุกดาหาร!M214"")"),0)</f>
        <v>0</v>
      </c>
      <c r="Q42" s="99">
        <f t="shared" si="6"/>
        <v>0</v>
      </c>
      <c r="R42" s="55">
        <v>0</v>
      </c>
      <c r="S42" s="55">
        <f ca="1">IFERROR(__xludf.DUMMYFUNCTION("IMPORTRANGE(""https://docs.google.com/spreadsheets/d/1XL5vhW3sbDhbH9Cz0tuDiY8C3ctxq1tqvaCgkFb8cCA/edit?usp=sharing"",""มุกดาหาร!j224"")"),0)</f>
        <v>0</v>
      </c>
      <c r="T42" s="99">
        <f t="shared" si="8"/>
        <v>0</v>
      </c>
      <c r="U42" s="81"/>
      <c r="V42" s="81"/>
      <c r="W42" s="81"/>
      <c r="X42" s="81"/>
      <c r="Y42" s="81"/>
      <c r="Z42" s="81"/>
    </row>
    <row r="43" spans="1:26" ht="24" customHeight="1" x14ac:dyDescent="0.5">
      <c r="A43" s="52">
        <v>10</v>
      </c>
      <c r="B43" s="53" t="s">
        <v>58</v>
      </c>
      <c r="C43" s="54">
        <f t="shared" si="35"/>
        <v>0</v>
      </c>
      <c r="D43" s="55">
        <v>0</v>
      </c>
      <c r="E43" s="55">
        <v>0</v>
      </c>
      <c r="F43" s="55">
        <f ca="1">IFERROR(__xludf.DUMMYFUNCTION("IMPORTRANGE(""https://docs.google.com/spreadsheets/d/1XL5vhW3sbDhbH9Cz0tuDiY8C3ctxq1tqvaCgkFb8cCA/edit?usp=sharing"",""ยโสธร!M199"")"),0)</f>
        <v>0</v>
      </c>
      <c r="G43" s="99">
        <f t="shared" si="1"/>
        <v>0</v>
      </c>
      <c r="H43" s="55">
        <v>0</v>
      </c>
      <c r="I43" s="55">
        <f ca="1">IFERROR(__xludf.DUMMYFUNCTION("IMPORTRANGE(""https://docs.google.com/spreadsheets/d/1XL5vhW3sbDhbH9Cz0tuDiY8C3ctxq1tqvaCgkFb8cCA/edit?usp=sharing"",""ยโสธร!j209"")"),0)</f>
        <v>0</v>
      </c>
      <c r="J43" s="99">
        <f t="shared" si="3"/>
        <v>0</v>
      </c>
      <c r="K43" s="55">
        <f ca="1">IFERROR(__xludf.DUMMYFUNCTION("IMPORTRANGE(""https://docs.google.com/spreadsheets/d/1XL5vhW3sbDhbH9Cz0tuDiY8C3ctxq1tqvaCgkFb8cCA/edit?usp=sharing"",""ยโสธร!j211"")"),0)</f>
        <v>0</v>
      </c>
      <c r="L43" s="99">
        <f t="shared" si="4"/>
        <v>0</v>
      </c>
      <c r="M43" s="54">
        <f t="shared" si="36"/>
        <v>0</v>
      </c>
      <c r="N43" s="55">
        <v>0</v>
      </c>
      <c r="O43" s="55">
        <v>0</v>
      </c>
      <c r="P43" s="55">
        <f ca="1">IFERROR(__xludf.DUMMYFUNCTION("IMPORTRANGE(""https://docs.google.com/spreadsheets/d/1XL5vhW3sbDhbH9Cz0tuDiY8C3ctxq1tqvaCgkFb8cCA/edit?usp=sharing"",""ยโสธร!M214"")"),0)</f>
        <v>0</v>
      </c>
      <c r="Q43" s="99">
        <f t="shared" si="6"/>
        <v>0</v>
      </c>
      <c r="R43" s="55">
        <v>0</v>
      </c>
      <c r="S43" s="55">
        <f ca="1">IFERROR(__xludf.DUMMYFUNCTION("IMPORTRANGE(""https://docs.google.com/spreadsheets/d/1XL5vhW3sbDhbH9Cz0tuDiY8C3ctxq1tqvaCgkFb8cCA/edit?usp=sharing"",""ยโสธร!j224"")"),0)</f>
        <v>0</v>
      </c>
      <c r="T43" s="99">
        <f t="shared" si="8"/>
        <v>0</v>
      </c>
      <c r="U43" s="81"/>
      <c r="V43" s="81"/>
      <c r="W43" s="81"/>
      <c r="X43" s="81"/>
      <c r="Y43" s="81"/>
      <c r="Z43" s="81"/>
    </row>
    <row r="44" spans="1:26" ht="24" customHeight="1" x14ac:dyDescent="0.5">
      <c r="A44" s="52">
        <v>11</v>
      </c>
      <c r="B44" s="53" t="s">
        <v>59</v>
      </c>
      <c r="C44" s="54">
        <f t="shared" si="35"/>
        <v>0</v>
      </c>
      <c r="D44" s="55">
        <v>0</v>
      </c>
      <c r="E44" s="55">
        <v>0</v>
      </c>
      <c r="F44" s="55">
        <f ca="1">IFERROR(__xludf.DUMMYFUNCTION("IMPORTRANGE(""https://docs.google.com/spreadsheets/d/1XL5vhW3sbDhbH9Cz0tuDiY8C3ctxq1tqvaCgkFb8cCA/edit?usp=sharing"",""ร้อยเอ็ด!M199"")"),0)</f>
        <v>0</v>
      </c>
      <c r="G44" s="99">
        <f t="shared" si="1"/>
        <v>0</v>
      </c>
      <c r="H44" s="55">
        <v>0</v>
      </c>
      <c r="I44" s="55">
        <f ca="1">IFERROR(__xludf.DUMMYFUNCTION("IMPORTRANGE(""https://docs.google.com/spreadsheets/d/1XL5vhW3sbDhbH9Cz0tuDiY8C3ctxq1tqvaCgkFb8cCA/edit?usp=sharing"",""ร้อยเอ็ด!j209"")"),0)</f>
        <v>0</v>
      </c>
      <c r="J44" s="99">
        <f t="shared" si="3"/>
        <v>0</v>
      </c>
      <c r="K44" s="55">
        <f ca="1">IFERROR(__xludf.DUMMYFUNCTION("IMPORTRANGE(""https://docs.google.com/spreadsheets/d/1XL5vhW3sbDhbH9Cz0tuDiY8C3ctxq1tqvaCgkFb8cCA/edit?usp=sharing"",""ร้อยเอ็ด!j211"")"),0)</f>
        <v>0</v>
      </c>
      <c r="L44" s="99">
        <f t="shared" si="4"/>
        <v>0</v>
      </c>
      <c r="M44" s="54">
        <f t="shared" si="36"/>
        <v>0</v>
      </c>
      <c r="N44" s="55">
        <v>0</v>
      </c>
      <c r="O44" s="55">
        <v>0</v>
      </c>
      <c r="P44" s="55">
        <f ca="1">IFERROR(__xludf.DUMMYFUNCTION("IMPORTRANGE(""https://docs.google.com/spreadsheets/d/1XL5vhW3sbDhbH9Cz0tuDiY8C3ctxq1tqvaCgkFb8cCA/edit?usp=sharing"",""ร้อยเอ็ด!M214"")"),0)</f>
        <v>0</v>
      </c>
      <c r="Q44" s="99">
        <f t="shared" si="6"/>
        <v>0</v>
      </c>
      <c r="R44" s="55">
        <v>0</v>
      </c>
      <c r="S44" s="55">
        <f ca="1">IFERROR(__xludf.DUMMYFUNCTION("IMPORTRANGE(""https://docs.google.com/spreadsheets/d/1XL5vhW3sbDhbH9Cz0tuDiY8C3ctxq1tqvaCgkFb8cCA/edit?usp=sharing"",""ร้อยเอ็ด!j224"")"),0)</f>
        <v>0</v>
      </c>
      <c r="T44" s="99">
        <f t="shared" si="8"/>
        <v>0</v>
      </c>
      <c r="U44" s="81"/>
      <c r="V44" s="81"/>
      <c r="W44" s="81"/>
      <c r="X44" s="81"/>
      <c r="Y44" s="81"/>
      <c r="Z44" s="81"/>
    </row>
    <row r="45" spans="1:26" ht="24" customHeight="1" x14ac:dyDescent="0.5">
      <c r="A45" s="52">
        <v>12</v>
      </c>
      <c r="B45" s="53" t="s">
        <v>60</v>
      </c>
      <c r="C45" s="54">
        <f t="shared" si="35"/>
        <v>0</v>
      </c>
      <c r="D45" s="55">
        <v>0</v>
      </c>
      <c r="E45" s="55">
        <v>0</v>
      </c>
      <c r="F45" s="55">
        <f ca="1">IFERROR(__xludf.DUMMYFUNCTION("IMPORTRANGE(""https://docs.google.com/spreadsheets/d/1XL5vhW3sbDhbH9Cz0tuDiY8C3ctxq1tqvaCgkFb8cCA/edit?usp=sharing"",""เลย!M199"")"),0)</f>
        <v>0</v>
      </c>
      <c r="G45" s="99">
        <f t="shared" si="1"/>
        <v>0</v>
      </c>
      <c r="H45" s="55">
        <v>0</v>
      </c>
      <c r="I45" s="55">
        <f ca="1">IFERROR(__xludf.DUMMYFUNCTION("IMPORTRANGE(""https://docs.google.com/spreadsheets/d/1XL5vhW3sbDhbH9Cz0tuDiY8C3ctxq1tqvaCgkFb8cCA/edit?usp=sharing"",""เลย!j209"")"),0)</f>
        <v>0</v>
      </c>
      <c r="J45" s="99">
        <f t="shared" si="3"/>
        <v>0</v>
      </c>
      <c r="K45" s="55">
        <f ca="1">IFERROR(__xludf.DUMMYFUNCTION("IMPORTRANGE(""https://docs.google.com/spreadsheets/d/1XL5vhW3sbDhbH9Cz0tuDiY8C3ctxq1tqvaCgkFb8cCA/edit?usp=sharing"",""เลย!j211"")"),0)</f>
        <v>0</v>
      </c>
      <c r="L45" s="99">
        <f t="shared" si="4"/>
        <v>0</v>
      </c>
      <c r="M45" s="54">
        <f t="shared" si="36"/>
        <v>0</v>
      </c>
      <c r="N45" s="55">
        <v>0</v>
      </c>
      <c r="O45" s="55">
        <v>0</v>
      </c>
      <c r="P45" s="55">
        <f ca="1">IFERROR(__xludf.DUMMYFUNCTION("IMPORTRANGE(""https://docs.google.com/spreadsheets/d/1XL5vhW3sbDhbH9Cz0tuDiY8C3ctxq1tqvaCgkFb8cCA/edit?usp=sharing"",""เลย!M214"")"),0)</f>
        <v>0</v>
      </c>
      <c r="Q45" s="99">
        <f t="shared" si="6"/>
        <v>0</v>
      </c>
      <c r="R45" s="55">
        <v>0</v>
      </c>
      <c r="S45" s="55">
        <f ca="1">IFERROR(__xludf.DUMMYFUNCTION("IMPORTRANGE(""https://docs.google.com/spreadsheets/d/1XL5vhW3sbDhbH9Cz0tuDiY8C3ctxq1tqvaCgkFb8cCA/edit?usp=sharing"",""เลย!j224"")"),0)</f>
        <v>0</v>
      </c>
      <c r="T45" s="99">
        <f t="shared" si="8"/>
        <v>0</v>
      </c>
      <c r="U45" s="81"/>
      <c r="V45" s="81"/>
      <c r="W45" s="81"/>
      <c r="X45" s="81"/>
      <c r="Y45" s="81"/>
      <c r="Z45" s="81"/>
    </row>
    <row r="46" spans="1:26" ht="24" customHeight="1" x14ac:dyDescent="0.5">
      <c r="A46" s="52">
        <v>13</v>
      </c>
      <c r="B46" s="53" t="s">
        <v>61</v>
      </c>
      <c r="C46" s="54">
        <f t="shared" si="35"/>
        <v>0</v>
      </c>
      <c r="D46" s="55">
        <v>0</v>
      </c>
      <c r="E46" s="55">
        <v>0</v>
      </c>
      <c r="F46" s="55">
        <f ca="1">IFERROR(__xludf.DUMMYFUNCTION("IMPORTRANGE(""https://docs.google.com/spreadsheets/d/1XL5vhW3sbDhbH9Cz0tuDiY8C3ctxq1tqvaCgkFb8cCA/edit?usp=sharing"",""ศรีสะเกษ!M199"")"),0)</f>
        <v>0</v>
      </c>
      <c r="G46" s="99">
        <f t="shared" si="1"/>
        <v>0</v>
      </c>
      <c r="H46" s="55">
        <v>0</v>
      </c>
      <c r="I46" s="55">
        <f ca="1">IFERROR(__xludf.DUMMYFUNCTION("IMPORTRANGE(""https://docs.google.com/spreadsheets/d/1XL5vhW3sbDhbH9Cz0tuDiY8C3ctxq1tqvaCgkFb8cCA/edit?usp=sharing"",""ศรีสะเกษ!j209"")"),0)</f>
        <v>0</v>
      </c>
      <c r="J46" s="99">
        <f t="shared" si="3"/>
        <v>0</v>
      </c>
      <c r="K46" s="55">
        <f ca="1">IFERROR(__xludf.DUMMYFUNCTION("IMPORTRANGE(""https://docs.google.com/spreadsheets/d/1XL5vhW3sbDhbH9Cz0tuDiY8C3ctxq1tqvaCgkFb8cCA/edit?usp=sharing"",""ศรีสะเกษ!j211"")"),0)</f>
        <v>0</v>
      </c>
      <c r="L46" s="99">
        <f t="shared" si="4"/>
        <v>0</v>
      </c>
      <c r="M46" s="54">
        <f t="shared" si="36"/>
        <v>0</v>
      </c>
      <c r="N46" s="55">
        <v>0</v>
      </c>
      <c r="O46" s="55">
        <v>0</v>
      </c>
      <c r="P46" s="55">
        <f ca="1">IFERROR(__xludf.DUMMYFUNCTION("IMPORTRANGE(""https://docs.google.com/spreadsheets/d/1XL5vhW3sbDhbH9Cz0tuDiY8C3ctxq1tqvaCgkFb8cCA/edit?usp=sharing"",""ศรีสะเกษ!M214"")"),0)</f>
        <v>0</v>
      </c>
      <c r="Q46" s="99">
        <f t="shared" si="6"/>
        <v>0</v>
      </c>
      <c r="R46" s="55">
        <v>0</v>
      </c>
      <c r="S46" s="55">
        <f ca="1">IFERROR(__xludf.DUMMYFUNCTION("IMPORTRANGE(""https://docs.google.com/spreadsheets/d/1XL5vhW3sbDhbH9Cz0tuDiY8C3ctxq1tqvaCgkFb8cCA/edit?usp=sharing"",""ศรีสะเกษ!j224"")"),0)</f>
        <v>0</v>
      </c>
      <c r="T46" s="99">
        <f t="shared" si="8"/>
        <v>0</v>
      </c>
      <c r="U46" s="81"/>
      <c r="V46" s="81"/>
      <c r="W46" s="81"/>
      <c r="X46" s="81"/>
      <c r="Y46" s="81"/>
      <c r="Z46" s="81"/>
    </row>
    <row r="47" spans="1:26" ht="24" customHeight="1" x14ac:dyDescent="0.5">
      <c r="A47" s="52">
        <v>14</v>
      </c>
      <c r="B47" s="53" t="s">
        <v>62</v>
      </c>
      <c r="C47" s="54">
        <f t="shared" si="35"/>
        <v>0</v>
      </c>
      <c r="D47" s="55">
        <v>0</v>
      </c>
      <c r="E47" s="55">
        <v>0</v>
      </c>
      <c r="F47" s="55">
        <f ca="1">IFERROR(__xludf.DUMMYFUNCTION("IMPORTRANGE(""https://docs.google.com/spreadsheets/d/1XL5vhW3sbDhbH9Cz0tuDiY8C3ctxq1tqvaCgkFb8cCA/edit?usp=sharing"",""สกลนคร!M199"")"),0)</f>
        <v>0</v>
      </c>
      <c r="G47" s="99">
        <f t="shared" si="1"/>
        <v>0</v>
      </c>
      <c r="H47" s="55">
        <v>0</v>
      </c>
      <c r="I47" s="55">
        <f ca="1">IFERROR(__xludf.DUMMYFUNCTION("IMPORTRANGE(""https://docs.google.com/spreadsheets/d/1XL5vhW3sbDhbH9Cz0tuDiY8C3ctxq1tqvaCgkFb8cCA/edit?usp=sharing"",""สกลนคร!j209"")"),0)</f>
        <v>0</v>
      </c>
      <c r="J47" s="99">
        <f t="shared" si="3"/>
        <v>0</v>
      </c>
      <c r="K47" s="55">
        <f ca="1">IFERROR(__xludf.DUMMYFUNCTION("IMPORTRANGE(""https://docs.google.com/spreadsheets/d/1XL5vhW3sbDhbH9Cz0tuDiY8C3ctxq1tqvaCgkFb8cCA/edit?usp=sharing"",""สกลนคร!j211"")"),0)</f>
        <v>0</v>
      </c>
      <c r="L47" s="99">
        <f t="shared" si="4"/>
        <v>0</v>
      </c>
      <c r="M47" s="54">
        <f t="shared" si="36"/>
        <v>0</v>
      </c>
      <c r="N47" s="55">
        <v>0</v>
      </c>
      <c r="O47" s="55">
        <v>0</v>
      </c>
      <c r="P47" s="55">
        <f ca="1">IFERROR(__xludf.DUMMYFUNCTION("IMPORTRANGE(""https://docs.google.com/spreadsheets/d/1XL5vhW3sbDhbH9Cz0tuDiY8C3ctxq1tqvaCgkFb8cCA/edit?usp=sharing"",""สกลนคร!M214"")"),0)</f>
        <v>0</v>
      </c>
      <c r="Q47" s="99">
        <f t="shared" si="6"/>
        <v>0</v>
      </c>
      <c r="R47" s="55">
        <v>0</v>
      </c>
      <c r="S47" s="55">
        <f ca="1">IFERROR(__xludf.DUMMYFUNCTION("IMPORTRANGE(""https://docs.google.com/spreadsheets/d/1XL5vhW3sbDhbH9Cz0tuDiY8C3ctxq1tqvaCgkFb8cCA/edit?usp=sharing"",""สกลนคร!j224"")"),0)</f>
        <v>0</v>
      </c>
      <c r="T47" s="99">
        <f t="shared" si="8"/>
        <v>0</v>
      </c>
      <c r="U47" s="81"/>
      <c r="V47" s="81"/>
      <c r="W47" s="81"/>
      <c r="X47" s="81"/>
      <c r="Y47" s="81"/>
      <c r="Z47" s="81"/>
    </row>
    <row r="48" spans="1:26" ht="24" customHeight="1" x14ac:dyDescent="0.5">
      <c r="A48" s="52">
        <v>15</v>
      </c>
      <c r="B48" s="53" t="s">
        <v>63</v>
      </c>
      <c r="C48" s="54">
        <f t="shared" si="35"/>
        <v>0</v>
      </c>
      <c r="D48" s="55">
        <v>0</v>
      </c>
      <c r="E48" s="55">
        <v>0</v>
      </c>
      <c r="F48" s="55">
        <f ca="1">IFERROR(__xludf.DUMMYFUNCTION("IMPORTRANGE(""https://docs.google.com/spreadsheets/d/1XL5vhW3sbDhbH9Cz0tuDiY8C3ctxq1tqvaCgkFb8cCA/edit?usp=sharing"",""สุรินทร์!M199"")"),0)</f>
        <v>0</v>
      </c>
      <c r="G48" s="99">
        <f t="shared" si="1"/>
        <v>0</v>
      </c>
      <c r="H48" s="55">
        <v>0</v>
      </c>
      <c r="I48" s="55">
        <f ca="1">IFERROR(__xludf.DUMMYFUNCTION("IMPORTRANGE(""https://docs.google.com/spreadsheets/d/1XL5vhW3sbDhbH9Cz0tuDiY8C3ctxq1tqvaCgkFb8cCA/edit?usp=sharing"",""สุรินทร์!j209"")"),0)</f>
        <v>0</v>
      </c>
      <c r="J48" s="99">
        <f t="shared" si="3"/>
        <v>0</v>
      </c>
      <c r="K48" s="55">
        <f ca="1">IFERROR(__xludf.DUMMYFUNCTION("IMPORTRANGE(""https://docs.google.com/spreadsheets/d/1XL5vhW3sbDhbH9Cz0tuDiY8C3ctxq1tqvaCgkFb8cCA/edit?usp=sharing"",""สุรินทร์!j211"")"),0)</f>
        <v>0</v>
      </c>
      <c r="L48" s="99">
        <f t="shared" si="4"/>
        <v>0</v>
      </c>
      <c r="M48" s="54">
        <f t="shared" si="36"/>
        <v>0</v>
      </c>
      <c r="N48" s="55">
        <v>0</v>
      </c>
      <c r="O48" s="55">
        <v>0</v>
      </c>
      <c r="P48" s="55">
        <f ca="1">IFERROR(__xludf.DUMMYFUNCTION("IMPORTRANGE(""https://docs.google.com/spreadsheets/d/1XL5vhW3sbDhbH9Cz0tuDiY8C3ctxq1tqvaCgkFb8cCA/edit?usp=sharing"",""สุรินทร์!M214"")"),0)</f>
        <v>0</v>
      </c>
      <c r="Q48" s="99">
        <f t="shared" si="6"/>
        <v>0</v>
      </c>
      <c r="R48" s="55">
        <v>0</v>
      </c>
      <c r="S48" s="55">
        <f ca="1">IFERROR(__xludf.DUMMYFUNCTION("IMPORTRANGE(""https://docs.google.com/spreadsheets/d/1XL5vhW3sbDhbH9Cz0tuDiY8C3ctxq1tqvaCgkFb8cCA/edit?usp=sharing"",""สุรินทร์!j224"")"),0)</f>
        <v>0</v>
      </c>
      <c r="T48" s="99">
        <f t="shared" si="8"/>
        <v>0</v>
      </c>
      <c r="U48" s="81"/>
      <c r="V48" s="81"/>
      <c r="W48" s="81"/>
      <c r="X48" s="81"/>
      <c r="Y48" s="81"/>
      <c r="Z48" s="81"/>
    </row>
    <row r="49" spans="1:26" ht="24" customHeight="1" x14ac:dyDescent="0.5">
      <c r="A49" s="52">
        <v>16</v>
      </c>
      <c r="B49" s="53" t="s">
        <v>64</v>
      </c>
      <c r="C49" s="54">
        <f t="shared" si="35"/>
        <v>0</v>
      </c>
      <c r="D49" s="55">
        <v>0</v>
      </c>
      <c r="E49" s="55">
        <v>0</v>
      </c>
      <c r="F49" s="55">
        <f ca="1">IFERROR(__xludf.DUMMYFUNCTION("IMPORTRANGE(""https://docs.google.com/spreadsheets/d/1XL5vhW3sbDhbH9Cz0tuDiY8C3ctxq1tqvaCgkFb8cCA/edit?usp=sharing"",""หนองคาย!M199"")"),0)</f>
        <v>0</v>
      </c>
      <c r="G49" s="99">
        <f t="shared" si="1"/>
        <v>0</v>
      </c>
      <c r="H49" s="55">
        <v>0</v>
      </c>
      <c r="I49" s="55">
        <f ca="1">IFERROR(__xludf.DUMMYFUNCTION("IMPORTRANGE(""https://docs.google.com/spreadsheets/d/1XL5vhW3sbDhbH9Cz0tuDiY8C3ctxq1tqvaCgkFb8cCA/edit?usp=sharing"",""หนองคาย!j209"")"),0)</f>
        <v>0</v>
      </c>
      <c r="J49" s="99">
        <f t="shared" si="3"/>
        <v>0</v>
      </c>
      <c r="K49" s="55">
        <f ca="1">IFERROR(__xludf.DUMMYFUNCTION("IMPORTRANGE(""https://docs.google.com/spreadsheets/d/1XL5vhW3sbDhbH9Cz0tuDiY8C3ctxq1tqvaCgkFb8cCA/edit?usp=sharing"",""หนองคาย!j211"")"),0)</f>
        <v>0</v>
      </c>
      <c r="L49" s="99">
        <f t="shared" si="4"/>
        <v>0</v>
      </c>
      <c r="M49" s="54">
        <f t="shared" si="36"/>
        <v>0</v>
      </c>
      <c r="N49" s="55">
        <v>0</v>
      </c>
      <c r="O49" s="55">
        <v>0</v>
      </c>
      <c r="P49" s="55">
        <f ca="1">IFERROR(__xludf.DUMMYFUNCTION("IMPORTRANGE(""https://docs.google.com/spreadsheets/d/1XL5vhW3sbDhbH9Cz0tuDiY8C3ctxq1tqvaCgkFb8cCA/edit?usp=sharing"",""หนองคาย!M214"")"),0)</f>
        <v>0</v>
      </c>
      <c r="Q49" s="99">
        <f t="shared" si="6"/>
        <v>0</v>
      </c>
      <c r="R49" s="55">
        <v>0</v>
      </c>
      <c r="S49" s="55">
        <f ca="1">IFERROR(__xludf.DUMMYFUNCTION("IMPORTRANGE(""https://docs.google.com/spreadsheets/d/1XL5vhW3sbDhbH9Cz0tuDiY8C3ctxq1tqvaCgkFb8cCA/edit?usp=sharing"",""หนองคาย!j224"")"),0)</f>
        <v>0</v>
      </c>
      <c r="T49" s="99">
        <f t="shared" si="8"/>
        <v>0</v>
      </c>
      <c r="U49" s="81"/>
      <c r="V49" s="81"/>
      <c r="W49" s="81"/>
      <c r="X49" s="81"/>
      <c r="Y49" s="81"/>
      <c r="Z49" s="81"/>
    </row>
    <row r="50" spans="1:26" ht="24" customHeight="1" x14ac:dyDescent="0.5">
      <c r="A50" s="52">
        <v>17</v>
      </c>
      <c r="B50" s="53" t="s">
        <v>65</v>
      </c>
      <c r="C50" s="54">
        <f t="shared" si="35"/>
        <v>0</v>
      </c>
      <c r="D50" s="55">
        <v>0</v>
      </c>
      <c r="E50" s="55">
        <v>0</v>
      </c>
      <c r="F50" s="55">
        <f ca="1">IFERROR(__xludf.DUMMYFUNCTION("IMPORTRANGE(""https://docs.google.com/spreadsheets/d/1XL5vhW3sbDhbH9Cz0tuDiY8C3ctxq1tqvaCgkFb8cCA/edit?usp=sharing"",""หนองบัวลำภู!M199"")"),0)</f>
        <v>0</v>
      </c>
      <c r="G50" s="99">
        <f t="shared" si="1"/>
        <v>0</v>
      </c>
      <c r="H50" s="55">
        <v>0</v>
      </c>
      <c r="I50" s="55">
        <f ca="1">IFERROR(__xludf.DUMMYFUNCTION("IMPORTRANGE(""https://docs.google.com/spreadsheets/d/1XL5vhW3sbDhbH9Cz0tuDiY8C3ctxq1tqvaCgkFb8cCA/edit?usp=sharing"",""หนองบัวลำภู!j209"")"),0)</f>
        <v>0</v>
      </c>
      <c r="J50" s="99">
        <f t="shared" si="3"/>
        <v>0</v>
      </c>
      <c r="K50" s="55">
        <f ca="1">IFERROR(__xludf.DUMMYFUNCTION("IMPORTRANGE(""https://docs.google.com/spreadsheets/d/1XL5vhW3sbDhbH9Cz0tuDiY8C3ctxq1tqvaCgkFb8cCA/edit?usp=sharing"",""หนองบัวลำภู!j211"")"),0)</f>
        <v>0</v>
      </c>
      <c r="L50" s="99">
        <f t="shared" si="4"/>
        <v>0</v>
      </c>
      <c r="M50" s="54">
        <f t="shared" si="36"/>
        <v>0</v>
      </c>
      <c r="N50" s="55">
        <v>0</v>
      </c>
      <c r="O50" s="55">
        <v>0</v>
      </c>
      <c r="P50" s="55">
        <f ca="1">IFERROR(__xludf.DUMMYFUNCTION("IMPORTRANGE(""https://docs.google.com/spreadsheets/d/1XL5vhW3sbDhbH9Cz0tuDiY8C3ctxq1tqvaCgkFb8cCA/edit?usp=sharing"",""หนองบัวลำภู!M214"")"),0)</f>
        <v>0</v>
      </c>
      <c r="Q50" s="99">
        <f t="shared" si="6"/>
        <v>0</v>
      </c>
      <c r="R50" s="55">
        <v>0</v>
      </c>
      <c r="S50" s="55">
        <f ca="1">IFERROR(__xludf.DUMMYFUNCTION("IMPORTRANGE(""https://docs.google.com/spreadsheets/d/1XL5vhW3sbDhbH9Cz0tuDiY8C3ctxq1tqvaCgkFb8cCA/edit?usp=sharing"",""หนองบัวลำภู!j224"")"),0)</f>
        <v>0</v>
      </c>
      <c r="T50" s="99">
        <f t="shared" si="8"/>
        <v>0</v>
      </c>
      <c r="U50" s="81"/>
      <c r="V50" s="81"/>
      <c r="W50" s="81"/>
      <c r="X50" s="81"/>
      <c r="Y50" s="81"/>
      <c r="Z50" s="81"/>
    </row>
    <row r="51" spans="1:26" ht="24" customHeight="1" x14ac:dyDescent="0.5">
      <c r="A51" s="52">
        <v>18</v>
      </c>
      <c r="B51" s="53" t="s">
        <v>66</v>
      </c>
      <c r="C51" s="54">
        <f t="shared" si="35"/>
        <v>0</v>
      </c>
      <c r="D51" s="55">
        <v>0</v>
      </c>
      <c r="E51" s="55">
        <v>0</v>
      </c>
      <c r="F51" s="55">
        <f ca="1">IFERROR(__xludf.DUMMYFUNCTION("IMPORTRANGE(""https://docs.google.com/spreadsheets/d/1XL5vhW3sbDhbH9Cz0tuDiY8C3ctxq1tqvaCgkFb8cCA/edit?usp=sharing"",""อำนาจเจริญ!M199"")"),0)</f>
        <v>0</v>
      </c>
      <c r="G51" s="99">
        <f t="shared" si="1"/>
        <v>0</v>
      </c>
      <c r="H51" s="55">
        <v>0</v>
      </c>
      <c r="I51" s="55">
        <f ca="1">IFERROR(__xludf.DUMMYFUNCTION("IMPORTRANGE(""https://docs.google.com/spreadsheets/d/1XL5vhW3sbDhbH9Cz0tuDiY8C3ctxq1tqvaCgkFb8cCA/edit?usp=sharing"",""อำนาจเจริญ!j209"")"),0)</f>
        <v>0</v>
      </c>
      <c r="J51" s="99">
        <f t="shared" si="3"/>
        <v>0</v>
      </c>
      <c r="K51" s="55">
        <f ca="1">IFERROR(__xludf.DUMMYFUNCTION("IMPORTRANGE(""https://docs.google.com/spreadsheets/d/1XL5vhW3sbDhbH9Cz0tuDiY8C3ctxq1tqvaCgkFb8cCA/edit?usp=sharing"",""อำนาจเจริญ!j211"")"),0)</f>
        <v>0</v>
      </c>
      <c r="L51" s="99">
        <f t="shared" si="4"/>
        <v>0</v>
      </c>
      <c r="M51" s="54">
        <f t="shared" si="36"/>
        <v>0</v>
      </c>
      <c r="N51" s="55">
        <v>0</v>
      </c>
      <c r="O51" s="55">
        <v>0</v>
      </c>
      <c r="P51" s="55">
        <f ca="1">IFERROR(__xludf.DUMMYFUNCTION("IMPORTRANGE(""https://docs.google.com/spreadsheets/d/1XL5vhW3sbDhbH9Cz0tuDiY8C3ctxq1tqvaCgkFb8cCA/edit?usp=sharing"",""อำนาจเจริญ!M214"")"),0)</f>
        <v>0</v>
      </c>
      <c r="Q51" s="99">
        <f t="shared" si="6"/>
        <v>0</v>
      </c>
      <c r="R51" s="55">
        <v>0</v>
      </c>
      <c r="S51" s="55">
        <f ca="1">IFERROR(__xludf.DUMMYFUNCTION("IMPORTRANGE(""https://docs.google.com/spreadsheets/d/1XL5vhW3sbDhbH9Cz0tuDiY8C3ctxq1tqvaCgkFb8cCA/edit?usp=sharing"",""อำนาจเจริญ!j224"")"),0)</f>
        <v>0</v>
      </c>
      <c r="T51" s="99">
        <f t="shared" si="8"/>
        <v>0</v>
      </c>
      <c r="U51" s="81"/>
      <c r="V51" s="81"/>
      <c r="W51" s="81"/>
      <c r="X51" s="81"/>
      <c r="Y51" s="81"/>
      <c r="Z51" s="81"/>
    </row>
    <row r="52" spans="1:26" ht="24" customHeight="1" x14ac:dyDescent="0.5">
      <c r="A52" s="52">
        <v>19</v>
      </c>
      <c r="B52" s="53" t="s">
        <v>67</v>
      </c>
      <c r="C52" s="54">
        <f t="shared" si="35"/>
        <v>0</v>
      </c>
      <c r="D52" s="55">
        <v>0</v>
      </c>
      <c r="E52" s="55">
        <v>0</v>
      </c>
      <c r="F52" s="55">
        <f ca="1">IFERROR(__xludf.DUMMYFUNCTION("IMPORTRANGE(""https://docs.google.com/spreadsheets/d/1XL5vhW3sbDhbH9Cz0tuDiY8C3ctxq1tqvaCgkFb8cCA/edit?usp=sharing"",""อุดรธานี!M199"")"),0)</f>
        <v>0</v>
      </c>
      <c r="G52" s="99">
        <f t="shared" si="1"/>
        <v>0</v>
      </c>
      <c r="H52" s="55">
        <v>0</v>
      </c>
      <c r="I52" s="55">
        <f ca="1">IFERROR(__xludf.DUMMYFUNCTION("IMPORTRANGE(""https://docs.google.com/spreadsheets/d/1XL5vhW3sbDhbH9Cz0tuDiY8C3ctxq1tqvaCgkFb8cCA/edit?usp=sharing"",""อุดรธานี!j209"")"),0)</f>
        <v>0</v>
      </c>
      <c r="J52" s="99">
        <f t="shared" si="3"/>
        <v>0</v>
      </c>
      <c r="K52" s="55">
        <f ca="1">IFERROR(__xludf.DUMMYFUNCTION("IMPORTRANGE(""https://docs.google.com/spreadsheets/d/1XL5vhW3sbDhbH9Cz0tuDiY8C3ctxq1tqvaCgkFb8cCA/edit?usp=sharing"",""อุดรธานี!j211"")"),0)</f>
        <v>0</v>
      </c>
      <c r="L52" s="99">
        <f t="shared" si="4"/>
        <v>0</v>
      </c>
      <c r="M52" s="54">
        <f t="shared" si="36"/>
        <v>0</v>
      </c>
      <c r="N52" s="55">
        <v>0</v>
      </c>
      <c r="O52" s="55">
        <v>0</v>
      </c>
      <c r="P52" s="55">
        <f ca="1">IFERROR(__xludf.DUMMYFUNCTION("IMPORTRANGE(""https://docs.google.com/spreadsheets/d/1XL5vhW3sbDhbH9Cz0tuDiY8C3ctxq1tqvaCgkFb8cCA/edit?usp=sharing"",""อุดรธานี!M214"")"),0)</f>
        <v>0</v>
      </c>
      <c r="Q52" s="99">
        <f t="shared" si="6"/>
        <v>0</v>
      </c>
      <c r="R52" s="55">
        <v>0</v>
      </c>
      <c r="S52" s="55">
        <f ca="1">IFERROR(__xludf.DUMMYFUNCTION("IMPORTRANGE(""https://docs.google.com/spreadsheets/d/1XL5vhW3sbDhbH9Cz0tuDiY8C3ctxq1tqvaCgkFb8cCA/edit?usp=sharing"",""อุดรธานี!j224"")"),0)</f>
        <v>0</v>
      </c>
      <c r="T52" s="99">
        <f t="shared" si="8"/>
        <v>0</v>
      </c>
      <c r="U52" s="81"/>
      <c r="V52" s="81"/>
      <c r="W52" s="81"/>
      <c r="X52" s="81"/>
      <c r="Y52" s="81"/>
      <c r="Z52" s="81"/>
    </row>
    <row r="53" spans="1:26" ht="24" customHeight="1" x14ac:dyDescent="0.5">
      <c r="A53" s="59">
        <v>20</v>
      </c>
      <c r="B53" s="60" t="s">
        <v>68</v>
      </c>
      <c r="C53" s="61">
        <f t="shared" si="35"/>
        <v>0</v>
      </c>
      <c r="D53" s="62">
        <v>0</v>
      </c>
      <c r="E53" s="62">
        <v>0</v>
      </c>
      <c r="F53" s="62">
        <f ca="1">IFERROR(__xludf.DUMMYFUNCTION("IMPORTRANGE(""https://docs.google.com/spreadsheets/d/1XL5vhW3sbDhbH9Cz0tuDiY8C3ctxq1tqvaCgkFb8cCA/edit?usp=sharing"",""อุบลราชธานี!M199"")"),0)</f>
        <v>0</v>
      </c>
      <c r="G53" s="100">
        <f t="shared" si="1"/>
        <v>0</v>
      </c>
      <c r="H53" s="62">
        <v>0</v>
      </c>
      <c r="I53" s="62">
        <f ca="1">IFERROR(__xludf.DUMMYFUNCTION("IMPORTRANGE(""https://docs.google.com/spreadsheets/d/1XL5vhW3sbDhbH9Cz0tuDiY8C3ctxq1tqvaCgkFb8cCA/edit?usp=sharing"",""อุบลราชธานี!j209"")"),0)</f>
        <v>0</v>
      </c>
      <c r="J53" s="100">
        <f t="shared" si="3"/>
        <v>0</v>
      </c>
      <c r="K53" s="62">
        <f ca="1">IFERROR(__xludf.DUMMYFUNCTION("IMPORTRANGE(""https://docs.google.com/spreadsheets/d/1XL5vhW3sbDhbH9Cz0tuDiY8C3ctxq1tqvaCgkFb8cCA/edit?usp=sharing"",""อุบลราชธานี!j211"")"),0)</f>
        <v>0</v>
      </c>
      <c r="L53" s="100">
        <f t="shared" si="4"/>
        <v>0</v>
      </c>
      <c r="M53" s="61">
        <f t="shared" si="36"/>
        <v>0</v>
      </c>
      <c r="N53" s="62">
        <v>0</v>
      </c>
      <c r="O53" s="62">
        <v>0</v>
      </c>
      <c r="P53" s="62">
        <f ca="1">IFERROR(__xludf.DUMMYFUNCTION("IMPORTRANGE(""https://docs.google.com/spreadsheets/d/1XL5vhW3sbDhbH9Cz0tuDiY8C3ctxq1tqvaCgkFb8cCA/edit?usp=sharing"",""อุบลราชธานี!M214"")"),0)</f>
        <v>0</v>
      </c>
      <c r="Q53" s="100">
        <f t="shared" si="6"/>
        <v>0</v>
      </c>
      <c r="R53" s="62">
        <v>0</v>
      </c>
      <c r="S53" s="62">
        <f ca="1">IFERROR(__xludf.DUMMYFUNCTION("IMPORTRANGE(""https://docs.google.com/spreadsheets/d/1XL5vhW3sbDhbH9Cz0tuDiY8C3ctxq1tqvaCgkFb8cCA/edit?usp=sharing"",""อุบลราชธานี!j224"")"),0)</f>
        <v>0</v>
      </c>
      <c r="T53" s="100">
        <f t="shared" si="8"/>
        <v>0</v>
      </c>
      <c r="U53" s="81"/>
      <c r="V53" s="81"/>
      <c r="W53" s="81"/>
      <c r="X53" s="81"/>
      <c r="Y53" s="81"/>
      <c r="Z53" s="81"/>
    </row>
    <row r="54" spans="1:26" ht="24" customHeight="1" x14ac:dyDescent="0.5">
      <c r="A54" s="570" t="s">
        <v>69</v>
      </c>
      <c r="B54" s="569"/>
      <c r="C54" s="66">
        <f t="shared" ref="C54:F54" si="37">SUM(C55:C75)</f>
        <v>315320</v>
      </c>
      <c r="D54" s="66">
        <f t="shared" si="37"/>
        <v>0</v>
      </c>
      <c r="E54" s="66">
        <f t="shared" si="37"/>
        <v>315320</v>
      </c>
      <c r="F54" s="66">
        <f t="shared" ca="1" si="37"/>
        <v>0</v>
      </c>
      <c r="G54" s="101">
        <f t="shared" ca="1" si="1"/>
        <v>0</v>
      </c>
      <c r="H54" s="66">
        <f t="shared" ref="H54:I54" si="38">SUM(H55:H75)</f>
        <v>100</v>
      </c>
      <c r="I54" s="66">
        <f t="shared" ca="1" si="38"/>
        <v>0</v>
      </c>
      <c r="J54" s="101">
        <f t="shared" ca="1" si="3"/>
        <v>0</v>
      </c>
      <c r="K54" s="66">
        <f ca="1">SUM(K55:K75)</f>
        <v>0</v>
      </c>
      <c r="L54" s="101">
        <f t="shared" ca="1" si="4"/>
        <v>0</v>
      </c>
      <c r="M54" s="66">
        <f t="shared" ref="M54:P54" si="39">SUM(M55:M75)</f>
        <v>1019800</v>
      </c>
      <c r="N54" s="66">
        <f t="shared" si="39"/>
        <v>0</v>
      </c>
      <c r="O54" s="66">
        <f t="shared" si="39"/>
        <v>1019800</v>
      </c>
      <c r="P54" s="66">
        <f t="shared" ca="1" si="39"/>
        <v>27520</v>
      </c>
      <c r="Q54" s="101">
        <f t="shared" ca="1" si="6"/>
        <v>2.6985683467346537</v>
      </c>
      <c r="R54" s="66">
        <f t="shared" ref="R54:S54" si="40">SUM(R55:R75)</f>
        <v>15</v>
      </c>
      <c r="S54" s="66">
        <f t="shared" ca="1" si="40"/>
        <v>0</v>
      </c>
      <c r="T54" s="101">
        <f t="shared" ca="1" si="8"/>
        <v>0</v>
      </c>
      <c r="U54" s="81"/>
      <c r="V54" s="81"/>
      <c r="W54" s="81"/>
      <c r="X54" s="81"/>
      <c r="Y54" s="81"/>
      <c r="Z54" s="81"/>
    </row>
    <row r="55" spans="1:26" ht="24" customHeight="1" x14ac:dyDescent="0.5">
      <c r="A55" s="45">
        <v>1</v>
      </c>
      <c r="B55" s="46" t="s">
        <v>70</v>
      </c>
      <c r="C55" s="47">
        <f t="shared" ref="C55:C75" si="41">+D55+E55</f>
        <v>95360</v>
      </c>
      <c r="D55" s="48">
        <v>0</v>
      </c>
      <c r="E55" s="48">
        <v>95360</v>
      </c>
      <c r="F55" s="48">
        <f ca="1">IFERROR(__xludf.DUMMYFUNCTION("IMPORTRANGE(""https://docs.google.com/spreadsheets/d/1SX6NBoVAgQJ6U1MVXOaj8PK2l7WJ3RER9xtqwdhxkhw/edit?usp=sharing"",""กาญจนบุรี!M199"")"),0)</f>
        <v>0</v>
      </c>
      <c r="G55" s="98">
        <f t="shared" ca="1" si="1"/>
        <v>0</v>
      </c>
      <c r="H55" s="48">
        <v>30</v>
      </c>
      <c r="I55" s="48">
        <f ca="1">IFERROR(__xludf.DUMMYFUNCTION("IMPORTRANGE(""https://docs.google.com/spreadsheets/d/1SX6NBoVAgQJ6U1MVXOaj8PK2l7WJ3RER9xtqwdhxkhw/edit?usp=sharing"",""กาญจนบุรี!J209"")"),0)</f>
        <v>0</v>
      </c>
      <c r="J55" s="98">
        <f t="shared" ca="1" si="3"/>
        <v>0</v>
      </c>
      <c r="K55" s="48">
        <f ca="1">IFERROR(__xludf.DUMMYFUNCTION("IMPORTRANGE(""https://docs.google.com/spreadsheets/d/1SX6NBoVAgQJ6U1MVXOaj8PK2l7WJ3RER9xtqwdhxkhw/edit?usp=sharing"",""กาญจนบุรี!J211"")"),0)</f>
        <v>0</v>
      </c>
      <c r="L55" s="98">
        <f t="shared" ca="1" si="4"/>
        <v>0</v>
      </c>
      <c r="M55" s="47">
        <f t="shared" ref="M55:M75" si="42">+N55+O55</f>
        <v>264600</v>
      </c>
      <c r="N55" s="48">
        <v>0</v>
      </c>
      <c r="O55" s="48">
        <v>264600</v>
      </c>
      <c r="P55" s="48">
        <f ca="1">IFERROR(__xludf.DUMMYFUNCTION("IMPORTRANGE(""https://docs.google.com/spreadsheets/d/1SX6NBoVAgQJ6U1MVXOaj8PK2l7WJ3RER9xtqwdhxkhw/edit?usp=sharing"",""กาญจนบุรี!M214"")"),0)</f>
        <v>0</v>
      </c>
      <c r="Q55" s="98">
        <f t="shared" ca="1" si="6"/>
        <v>0</v>
      </c>
      <c r="R55" s="48">
        <v>3</v>
      </c>
      <c r="S55" s="48">
        <f ca="1">IFERROR(__xludf.DUMMYFUNCTION("IMPORTRANGE(""https://docs.google.com/spreadsheets/d/1SX6NBoVAgQJ6U1MVXOaj8PK2l7WJ3RER9xtqwdhxkhw/edit?usp=sharing"",""กาญจนบุรี!J224"")"),0)</f>
        <v>0</v>
      </c>
      <c r="T55" s="98">
        <f t="shared" ca="1" si="8"/>
        <v>0</v>
      </c>
      <c r="U55" s="81"/>
      <c r="V55" s="81"/>
      <c r="W55" s="81"/>
      <c r="X55" s="81"/>
      <c r="Y55" s="81"/>
      <c r="Z55" s="81"/>
    </row>
    <row r="56" spans="1:26" ht="24" customHeight="1" x14ac:dyDescent="0.5">
      <c r="A56" s="52">
        <v>2</v>
      </c>
      <c r="B56" s="53" t="s">
        <v>71</v>
      </c>
      <c r="C56" s="54">
        <f t="shared" si="41"/>
        <v>0</v>
      </c>
      <c r="D56" s="55">
        <v>0</v>
      </c>
      <c r="E56" s="55">
        <v>0</v>
      </c>
      <c r="F56" s="55">
        <f ca="1">IFERROR(__xludf.DUMMYFUNCTION("IMPORTRANGE(""https://docs.google.com/spreadsheets/d/1SX6NBoVAgQJ6U1MVXOaj8PK2l7WJ3RER9xtqwdhxkhw/edit?usp=sharing"",""จันทบุรี!M199"")"),0)</f>
        <v>0</v>
      </c>
      <c r="G56" s="99">
        <f t="shared" si="1"/>
        <v>0</v>
      </c>
      <c r="H56" s="55">
        <v>0</v>
      </c>
      <c r="I56" s="55">
        <f ca="1">IFERROR(__xludf.DUMMYFUNCTION("IMPORTRANGE(""https://docs.google.com/spreadsheets/d/1SX6NBoVAgQJ6U1MVXOaj8PK2l7WJ3RER9xtqwdhxkhw/edit?usp=sharing"",""จันทบุรี!J209"")"),0)</f>
        <v>0</v>
      </c>
      <c r="J56" s="99">
        <f t="shared" si="3"/>
        <v>0</v>
      </c>
      <c r="K56" s="55">
        <f ca="1">IFERROR(__xludf.DUMMYFUNCTION("IMPORTRANGE(""https://docs.google.com/spreadsheets/d/1SX6NBoVAgQJ6U1MVXOaj8PK2l7WJ3RER9xtqwdhxkhw/edit?usp=sharing"",""จันทบุรี!J211"")"),0)</f>
        <v>0</v>
      </c>
      <c r="L56" s="99">
        <f t="shared" si="4"/>
        <v>0</v>
      </c>
      <c r="M56" s="54">
        <f t="shared" si="42"/>
        <v>0</v>
      </c>
      <c r="N56" s="55">
        <v>0</v>
      </c>
      <c r="O56" s="55">
        <v>0</v>
      </c>
      <c r="P56" s="55">
        <f ca="1">IFERROR(__xludf.DUMMYFUNCTION("IMPORTRANGE(""https://docs.google.com/spreadsheets/d/1SX6NBoVAgQJ6U1MVXOaj8PK2l7WJ3RER9xtqwdhxkhw/edit?usp=sharing"",""จันทบุรี!M214"")"),0)</f>
        <v>0</v>
      </c>
      <c r="Q56" s="99">
        <f t="shared" si="6"/>
        <v>0</v>
      </c>
      <c r="R56" s="55">
        <v>0</v>
      </c>
      <c r="S56" s="55">
        <f ca="1">IFERROR(__xludf.DUMMYFUNCTION("IMPORTRANGE(""https://docs.google.com/spreadsheets/d/1SX6NBoVAgQJ6U1MVXOaj8PK2l7WJ3RER9xtqwdhxkhw/edit?usp=sharing"",""จันทบุรี!J224"")"),0)</f>
        <v>0</v>
      </c>
      <c r="T56" s="99">
        <f t="shared" si="8"/>
        <v>0</v>
      </c>
      <c r="U56" s="81"/>
      <c r="V56" s="81"/>
      <c r="W56" s="81"/>
      <c r="X56" s="81"/>
      <c r="Y56" s="81"/>
      <c r="Z56" s="81"/>
    </row>
    <row r="57" spans="1:26" ht="24" customHeight="1" x14ac:dyDescent="0.5">
      <c r="A57" s="52">
        <v>3</v>
      </c>
      <c r="B57" s="53" t="s">
        <v>72</v>
      </c>
      <c r="C57" s="54">
        <f t="shared" si="41"/>
        <v>0</v>
      </c>
      <c r="D57" s="55">
        <v>0</v>
      </c>
      <c r="E57" s="55">
        <v>0</v>
      </c>
      <c r="F57" s="55">
        <f ca="1">IFERROR(__xludf.DUMMYFUNCTION("IMPORTRANGE(""https://docs.google.com/spreadsheets/d/1SX6NBoVAgQJ6U1MVXOaj8PK2l7WJ3RER9xtqwdhxkhw/edit?usp=sharing"",""ฉะเชิงเทรา!M199"")"),0)</f>
        <v>0</v>
      </c>
      <c r="G57" s="99">
        <f t="shared" si="1"/>
        <v>0</v>
      </c>
      <c r="H57" s="55">
        <v>0</v>
      </c>
      <c r="I57" s="55">
        <f ca="1">IFERROR(__xludf.DUMMYFUNCTION("IMPORTRANGE(""https://docs.google.com/spreadsheets/d/1SX6NBoVAgQJ6U1MVXOaj8PK2l7WJ3RER9xtqwdhxkhw/edit?usp=sharing"",""ฉะเชิงเทรา!J209"")"),0)</f>
        <v>0</v>
      </c>
      <c r="J57" s="99">
        <f t="shared" si="3"/>
        <v>0</v>
      </c>
      <c r="K57" s="55">
        <f ca="1">IFERROR(__xludf.DUMMYFUNCTION("IMPORTRANGE(""https://docs.google.com/spreadsheets/d/1SX6NBoVAgQJ6U1MVXOaj8PK2l7WJ3RER9xtqwdhxkhw/edit?usp=sharing"",""ฉะเชิงเทรา!J211"")"),0)</f>
        <v>0</v>
      </c>
      <c r="L57" s="99">
        <f t="shared" si="4"/>
        <v>0</v>
      </c>
      <c r="M57" s="54">
        <f t="shared" si="42"/>
        <v>0</v>
      </c>
      <c r="N57" s="55">
        <v>0</v>
      </c>
      <c r="O57" s="55">
        <v>0</v>
      </c>
      <c r="P57" s="55">
        <f ca="1">IFERROR(__xludf.DUMMYFUNCTION("IMPORTRANGE(""https://docs.google.com/spreadsheets/d/1SX6NBoVAgQJ6U1MVXOaj8PK2l7WJ3RER9xtqwdhxkhw/edit?usp=sharing"",""ฉะเชิงเทรา!M214"")"),0)</f>
        <v>0</v>
      </c>
      <c r="Q57" s="99">
        <f t="shared" si="6"/>
        <v>0</v>
      </c>
      <c r="R57" s="55">
        <v>0</v>
      </c>
      <c r="S57" s="55">
        <f ca="1">IFERROR(__xludf.DUMMYFUNCTION("IMPORTRANGE(""https://docs.google.com/spreadsheets/d/1SX6NBoVAgQJ6U1MVXOaj8PK2l7WJ3RER9xtqwdhxkhw/edit?usp=sharing"",""ฉะเชิงเทรา!J224"")"),0)</f>
        <v>0</v>
      </c>
      <c r="T57" s="99">
        <f t="shared" si="8"/>
        <v>0</v>
      </c>
      <c r="U57" s="81"/>
      <c r="V57" s="81"/>
      <c r="W57" s="81"/>
      <c r="X57" s="81"/>
      <c r="Y57" s="81"/>
      <c r="Z57" s="81"/>
    </row>
    <row r="58" spans="1:26" ht="24" customHeight="1" x14ac:dyDescent="0.5">
      <c r="A58" s="52">
        <v>4</v>
      </c>
      <c r="B58" s="53" t="s">
        <v>73</v>
      </c>
      <c r="C58" s="54">
        <f t="shared" si="41"/>
        <v>96320</v>
      </c>
      <c r="D58" s="55">
        <v>0</v>
      </c>
      <c r="E58" s="55">
        <v>96320</v>
      </c>
      <c r="F58" s="55">
        <f ca="1">IFERROR(__xludf.DUMMYFUNCTION("IMPORTRANGE(""https://docs.google.com/spreadsheets/d/1SX6NBoVAgQJ6U1MVXOaj8PK2l7WJ3RER9xtqwdhxkhw/edit?usp=sharing"",""ชลบุรี!M199"")"),0)</f>
        <v>0</v>
      </c>
      <c r="G58" s="99">
        <f t="shared" ca="1" si="1"/>
        <v>0</v>
      </c>
      <c r="H58" s="55">
        <v>30</v>
      </c>
      <c r="I58" s="55">
        <f ca="1">IFERROR(__xludf.DUMMYFUNCTION("IMPORTRANGE(""https://docs.google.com/spreadsheets/d/1SX6NBoVAgQJ6U1MVXOaj8PK2l7WJ3RER9xtqwdhxkhw/edit?usp=sharing"",""ชลบุรี!J209"")"),0)</f>
        <v>0</v>
      </c>
      <c r="J58" s="99">
        <f t="shared" ca="1" si="3"/>
        <v>0</v>
      </c>
      <c r="K58" s="55">
        <f ca="1">IFERROR(__xludf.DUMMYFUNCTION("IMPORTRANGE(""https://docs.google.com/spreadsheets/d/1SX6NBoVAgQJ6U1MVXOaj8PK2l7WJ3RER9xtqwdhxkhw/edit?usp=sharing"",""ชลบุรี!J211"")"),0)</f>
        <v>0</v>
      </c>
      <c r="L58" s="99">
        <f t="shared" ca="1" si="4"/>
        <v>0</v>
      </c>
      <c r="M58" s="54">
        <f t="shared" si="42"/>
        <v>359600</v>
      </c>
      <c r="N58" s="55">
        <v>0</v>
      </c>
      <c r="O58" s="55">
        <v>359600</v>
      </c>
      <c r="P58" s="55">
        <f ca="1">IFERROR(__xludf.DUMMYFUNCTION("IMPORTRANGE(""https://docs.google.com/spreadsheets/d/1SX6NBoVAgQJ6U1MVXOaj8PK2l7WJ3RER9xtqwdhxkhw/edit?usp=sharing"",""ชลบุรี!M214"")"),27520)</f>
        <v>27520</v>
      </c>
      <c r="Q58" s="99">
        <f t="shared" ca="1" si="6"/>
        <v>7.6529477196885427</v>
      </c>
      <c r="R58" s="55">
        <v>2</v>
      </c>
      <c r="S58" s="55">
        <f ca="1">IFERROR(__xludf.DUMMYFUNCTION("IMPORTRANGE(""https://docs.google.com/spreadsheets/d/1SX6NBoVAgQJ6U1MVXOaj8PK2l7WJ3RER9xtqwdhxkhw/edit?usp=sharing"",""ชลบุรี!J224"")"),0)</f>
        <v>0</v>
      </c>
      <c r="T58" s="99">
        <f t="shared" ca="1" si="8"/>
        <v>0</v>
      </c>
      <c r="U58" s="81"/>
      <c r="V58" s="81"/>
      <c r="W58" s="81"/>
      <c r="X58" s="81"/>
      <c r="Y58" s="81"/>
      <c r="Z58" s="81"/>
    </row>
    <row r="59" spans="1:26" ht="24" customHeight="1" x14ac:dyDescent="0.5">
      <c r="A59" s="52">
        <v>5</v>
      </c>
      <c r="B59" s="53" t="s">
        <v>74</v>
      </c>
      <c r="C59" s="54">
        <f t="shared" si="41"/>
        <v>0</v>
      </c>
      <c r="D59" s="55">
        <v>0</v>
      </c>
      <c r="E59" s="55">
        <v>0</v>
      </c>
      <c r="F59" s="55">
        <f ca="1">IFERROR(__xludf.DUMMYFUNCTION("IMPORTRANGE(""https://docs.google.com/spreadsheets/d/1SX6NBoVAgQJ6U1MVXOaj8PK2l7WJ3RER9xtqwdhxkhw/edit?usp=sharing"",""ชัยนาท!M199"")"),0)</f>
        <v>0</v>
      </c>
      <c r="G59" s="99">
        <f t="shared" si="1"/>
        <v>0</v>
      </c>
      <c r="H59" s="55">
        <v>0</v>
      </c>
      <c r="I59" s="55">
        <f ca="1">IFERROR(__xludf.DUMMYFUNCTION("IMPORTRANGE(""https://docs.google.com/spreadsheets/d/1SX6NBoVAgQJ6U1MVXOaj8PK2l7WJ3RER9xtqwdhxkhw/edit?usp=sharing"",""ชัยนาท!J209"")"),0)</f>
        <v>0</v>
      </c>
      <c r="J59" s="99">
        <f t="shared" si="3"/>
        <v>0</v>
      </c>
      <c r="K59" s="55">
        <f ca="1">IFERROR(__xludf.DUMMYFUNCTION("IMPORTRANGE(""https://docs.google.com/spreadsheets/d/1SX6NBoVAgQJ6U1MVXOaj8PK2l7WJ3RER9xtqwdhxkhw/edit?usp=sharing"",""ชัยนาท!J211"")"),0)</f>
        <v>0</v>
      </c>
      <c r="L59" s="99">
        <f t="shared" si="4"/>
        <v>0</v>
      </c>
      <c r="M59" s="54">
        <f t="shared" si="42"/>
        <v>0</v>
      </c>
      <c r="N59" s="55">
        <v>0</v>
      </c>
      <c r="O59" s="55">
        <v>0</v>
      </c>
      <c r="P59" s="55">
        <f ca="1">IFERROR(__xludf.DUMMYFUNCTION("IMPORTRANGE(""https://docs.google.com/spreadsheets/d/1SX6NBoVAgQJ6U1MVXOaj8PK2l7WJ3RER9xtqwdhxkhw/edit?usp=sharing"",""ชัยนาท!M214"")"),0)</f>
        <v>0</v>
      </c>
      <c r="Q59" s="99">
        <f t="shared" si="6"/>
        <v>0</v>
      </c>
      <c r="R59" s="55">
        <v>0</v>
      </c>
      <c r="S59" s="55">
        <f ca="1">IFERROR(__xludf.DUMMYFUNCTION("IMPORTRANGE(""https://docs.google.com/spreadsheets/d/1SX6NBoVAgQJ6U1MVXOaj8PK2l7WJ3RER9xtqwdhxkhw/edit?usp=sharing"",""ชัยนาท!J224"")"),0)</f>
        <v>0</v>
      </c>
      <c r="T59" s="99">
        <f t="shared" si="8"/>
        <v>0</v>
      </c>
      <c r="U59" s="81"/>
      <c r="V59" s="81"/>
      <c r="W59" s="81"/>
      <c r="X59" s="81"/>
      <c r="Y59" s="81"/>
      <c r="Z59" s="81"/>
    </row>
    <row r="60" spans="1:26" ht="24" customHeight="1" x14ac:dyDescent="0.5">
      <c r="A60" s="52">
        <v>6</v>
      </c>
      <c r="B60" s="53" t="s">
        <v>75</v>
      </c>
      <c r="C60" s="54">
        <f t="shared" si="41"/>
        <v>0</v>
      </c>
      <c r="D60" s="55">
        <v>0</v>
      </c>
      <c r="E60" s="55">
        <v>0</v>
      </c>
      <c r="F60" s="55">
        <f ca="1">IFERROR(__xludf.DUMMYFUNCTION("IMPORTRANGE(""https://docs.google.com/spreadsheets/d/1SX6NBoVAgQJ6U1MVXOaj8PK2l7WJ3RER9xtqwdhxkhw/edit?usp=sharing"",""ตราด!M199"")"),0)</f>
        <v>0</v>
      </c>
      <c r="G60" s="99">
        <f t="shared" si="1"/>
        <v>0</v>
      </c>
      <c r="H60" s="55">
        <v>0</v>
      </c>
      <c r="I60" s="55">
        <f ca="1">IFERROR(__xludf.DUMMYFUNCTION("IMPORTRANGE(""https://docs.google.com/spreadsheets/d/1SX6NBoVAgQJ6U1MVXOaj8PK2l7WJ3RER9xtqwdhxkhw/edit?usp=sharing"",""ตราด!J209"")"),0)</f>
        <v>0</v>
      </c>
      <c r="J60" s="99">
        <f t="shared" si="3"/>
        <v>0</v>
      </c>
      <c r="K60" s="55">
        <f ca="1">IFERROR(__xludf.DUMMYFUNCTION("IMPORTRANGE(""https://docs.google.com/spreadsheets/d/1SX6NBoVAgQJ6U1MVXOaj8PK2l7WJ3RER9xtqwdhxkhw/edit?usp=sharing"",""ตราด!J211"")"),0)</f>
        <v>0</v>
      </c>
      <c r="L60" s="99">
        <f t="shared" si="4"/>
        <v>0</v>
      </c>
      <c r="M60" s="54">
        <f t="shared" si="42"/>
        <v>0</v>
      </c>
      <c r="N60" s="55">
        <v>0</v>
      </c>
      <c r="O60" s="55">
        <v>0</v>
      </c>
      <c r="P60" s="55">
        <f ca="1">IFERROR(__xludf.DUMMYFUNCTION("IMPORTRANGE(""https://docs.google.com/spreadsheets/d/1SX6NBoVAgQJ6U1MVXOaj8PK2l7WJ3RER9xtqwdhxkhw/edit?usp=sharing"",""ตราด!M214"")"),0)</f>
        <v>0</v>
      </c>
      <c r="Q60" s="99">
        <f t="shared" si="6"/>
        <v>0</v>
      </c>
      <c r="R60" s="55">
        <v>0</v>
      </c>
      <c r="S60" s="55">
        <f ca="1">IFERROR(__xludf.DUMMYFUNCTION("IMPORTRANGE(""https://docs.google.com/spreadsheets/d/1SX6NBoVAgQJ6U1MVXOaj8PK2l7WJ3RER9xtqwdhxkhw/edit?usp=sharing"",""ตราด!J224"")"),0)</f>
        <v>0</v>
      </c>
      <c r="T60" s="99">
        <f t="shared" si="8"/>
        <v>0</v>
      </c>
      <c r="U60" s="81"/>
      <c r="V60" s="81"/>
      <c r="W60" s="81"/>
      <c r="X60" s="81"/>
      <c r="Y60" s="81"/>
      <c r="Z60" s="81"/>
    </row>
    <row r="61" spans="1:26" ht="24" customHeight="1" x14ac:dyDescent="0.5">
      <c r="A61" s="52">
        <v>7</v>
      </c>
      <c r="B61" s="53" t="s">
        <v>76</v>
      </c>
      <c r="C61" s="54">
        <f t="shared" si="41"/>
        <v>0</v>
      </c>
      <c r="D61" s="55">
        <v>0</v>
      </c>
      <c r="E61" s="55">
        <v>0</v>
      </c>
      <c r="F61" s="55">
        <f ca="1">IFERROR(__xludf.DUMMYFUNCTION("IMPORTRANGE(""https://docs.google.com/spreadsheets/d/1SX6NBoVAgQJ6U1MVXOaj8PK2l7WJ3RER9xtqwdhxkhw/edit?usp=sharing"",""นครนายก!M199"")"),0)</f>
        <v>0</v>
      </c>
      <c r="G61" s="99">
        <f t="shared" si="1"/>
        <v>0</v>
      </c>
      <c r="H61" s="55">
        <v>0</v>
      </c>
      <c r="I61" s="55">
        <f ca="1">IFERROR(__xludf.DUMMYFUNCTION("IMPORTRANGE(""https://docs.google.com/spreadsheets/d/1SX6NBoVAgQJ6U1MVXOaj8PK2l7WJ3RER9xtqwdhxkhw/edit?usp=sharing"",""นครนายก!J209"")"),0)</f>
        <v>0</v>
      </c>
      <c r="J61" s="99">
        <f t="shared" si="3"/>
        <v>0</v>
      </c>
      <c r="K61" s="55">
        <f ca="1">IFERROR(__xludf.DUMMYFUNCTION("IMPORTRANGE(""https://docs.google.com/spreadsheets/d/1SX6NBoVAgQJ6U1MVXOaj8PK2l7WJ3RER9xtqwdhxkhw/edit?usp=sharing"",""นครนายก!J211"")"),0)</f>
        <v>0</v>
      </c>
      <c r="L61" s="99">
        <f t="shared" si="4"/>
        <v>0</v>
      </c>
      <c r="M61" s="54">
        <f t="shared" si="42"/>
        <v>0</v>
      </c>
      <c r="N61" s="55">
        <v>0</v>
      </c>
      <c r="O61" s="55">
        <v>0</v>
      </c>
      <c r="P61" s="55">
        <f ca="1">IFERROR(__xludf.DUMMYFUNCTION("IMPORTRANGE(""https://docs.google.com/spreadsheets/d/1SX6NBoVAgQJ6U1MVXOaj8PK2l7WJ3RER9xtqwdhxkhw/edit?usp=sharing"",""นครนายก!M214"")"),0)</f>
        <v>0</v>
      </c>
      <c r="Q61" s="99">
        <f t="shared" si="6"/>
        <v>0</v>
      </c>
      <c r="R61" s="55">
        <v>0</v>
      </c>
      <c r="S61" s="55">
        <f ca="1">IFERROR(__xludf.DUMMYFUNCTION("IMPORTRANGE(""https://docs.google.com/spreadsheets/d/1SX6NBoVAgQJ6U1MVXOaj8PK2l7WJ3RER9xtqwdhxkhw/edit?usp=sharing"",""นครนายก!J224"")"),0)</f>
        <v>0</v>
      </c>
      <c r="T61" s="99">
        <f t="shared" si="8"/>
        <v>0</v>
      </c>
      <c r="U61" s="81"/>
      <c r="V61" s="81"/>
      <c r="W61" s="81"/>
      <c r="X61" s="81"/>
      <c r="Y61" s="81"/>
      <c r="Z61" s="81"/>
    </row>
    <row r="62" spans="1:26" ht="24" customHeight="1" x14ac:dyDescent="0.5">
      <c r="A62" s="52">
        <v>8</v>
      </c>
      <c r="B62" s="53" t="s">
        <v>77</v>
      </c>
      <c r="C62" s="54">
        <f t="shared" si="41"/>
        <v>0</v>
      </c>
      <c r="D62" s="55">
        <v>0</v>
      </c>
      <c r="E62" s="55">
        <v>0</v>
      </c>
      <c r="F62" s="55">
        <f ca="1">IFERROR(__xludf.DUMMYFUNCTION("IMPORTRANGE(""https://docs.google.com/spreadsheets/d/1SX6NBoVAgQJ6U1MVXOaj8PK2l7WJ3RER9xtqwdhxkhw/edit?usp=sharing"",""นครปฐม!M199"")"),0)</f>
        <v>0</v>
      </c>
      <c r="G62" s="99">
        <f t="shared" si="1"/>
        <v>0</v>
      </c>
      <c r="H62" s="55">
        <v>0</v>
      </c>
      <c r="I62" s="55">
        <f ca="1">IFERROR(__xludf.DUMMYFUNCTION("IMPORTRANGE(""https://docs.google.com/spreadsheets/d/1SX6NBoVAgQJ6U1MVXOaj8PK2l7WJ3RER9xtqwdhxkhw/edit?usp=sharing"",""นครปฐม!J209"")"),0)</f>
        <v>0</v>
      </c>
      <c r="J62" s="99">
        <f t="shared" si="3"/>
        <v>0</v>
      </c>
      <c r="K62" s="55">
        <f ca="1">IFERROR(__xludf.DUMMYFUNCTION("IMPORTRANGE(""https://docs.google.com/spreadsheets/d/1SX6NBoVAgQJ6U1MVXOaj8PK2l7WJ3RER9xtqwdhxkhw/edit?usp=sharing"",""นครปฐม!J211"")"),0)</f>
        <v>0</v>
      </c>
      <c r="L62" s="99">
        <f t="shared" si="4"/>
        <v>0</v>
      </c>
      <c r="M62" s="54">
        <f t="shared" si="42"/>
        <v>0</v>
      </c>
      <c r="N62" s="55">
        <v>0</v>
      </c>
      <c r="O62" s="55">
        <v>0</v>
      </c>
      <c r="P62" s="55">
        <f ca="1">IFERROR(__xludf.DUMMYFUNCTION("IMPORTRANGE(""https://docs.google.com/spreadsheets/d/1SX6NBoVAgQJ6U1MVXOaj8PK2l7WJ3RER9xtqwdhxkhw/edit?usp=sharing"",""นครปฐม!M214"")"),0)</f>
        <v>0</v>
      </c>
      <c r="Q62" s="99">
        <f t="shared" si="6"/>
        <v>0</v>
      </c>
      <c r="R62" s="55">
        <v>0</v>
      </c>
      <c r="S62" s="55">
        <f ca="1">IFERROR(__xludf.DUMMYFUNCTION("IMPORTRANGE(""https://docs.google.com/spreadsheets/d/1SX6NBoVAgQJ6U1MVXOaj8PK2l7WJ3RER9xtqwdhxkhw/edit?usp=sharing"",""นครปฐม!J224"")"),0)</f>
        <v>0</v>
      </c>
      <c r="T62" s="99">
        <f t="shared" si="8"/>
        <v>0</v>
      </c>
      <c r="U62" s="81"/>
      <c r="V62" s="81"/>
      <c r="W62" s="81"/>
      <c r="X62" s="81"/>
      <c r="Y62" s="81"/>
      <c r="Z62" s="81"/>
    </row>
    <row r="63" spans="1:26" ht="24" customHeight="1" x14ac:dyDescent="0.5">
      <c r="A63" s="52">
        <v>9</v>
      </c>
      <c r="B63" s="53" t="s">
        <v>78</v>
      </c>
      <c r="C63" s="54">
        <f t="shared" si="41"/>
        <v>0</v>
      </c>
      <c r="D63" s="55">
        <v>0</v>
      </c>
      <c r="E63" s="55">
        <v>0</v>
      </c>
      <c r="F63" s="55">
        <f ca="1">IFERROR(__xludf.DUMMYFUNCTION("IMPORTRANGE(""https://docs.google.com/spreadsheets/d/1SX6NBoVAgQJ6U1MVXOaj8PK2l7WJ3RER9xtqwdhxkhw/edit?usp=sharing"",""ปทุมธานี!M199"")"),0)</f>
        <v>0</v>
      </c>
      <c r="G63" s="99">
        <f t="shared" si="1"/>
        <v>0</v>
      </c>
      <c r="H63" s="55">
        <v>0</v>
      </c>
      <c r="I63" s="55">
        <f ca="1">IFERROR(__xludf.DUMMYFUNCTION("IMPORTRANGE(""https://docs.google.com/spreadsheets/d/1SX6NBoVAgQJ6U1MVXOaj8PK2l7WJ3RER9xtqwdhxkhw/edit?usp=sharing"",""ปทุมธานี!J209"")"),0)</f>
        <v>0</v>
      </c>
      <c r="J63" s="99">
        <f t="shared" si="3"/>
        <v>0</v>
      </c>
      <c r="K63" s="55">
        <f ca="1">IFERROR(__xludf.DUMMYFUNCTION("IMPORTRANGE(""https://docs.google.com/spreadsheets/d/1SX6NBoVAgQJ6U1MVXOaj8PK2l7WJ3RER9xtqwdhxkhw/edit?usp=sharing"",""ปทุมธานี!J211"")"),0)</f>
        <v>0</v>
      </c>
      <c r="L63" s="99">
        <f t="shared" si="4"/>
        <v>0</v>
      </c>
      <c r="M63" s="54">
        <f t="shared" si="42"/>
        <v>0</v>
      </c>
      <c r="N63" s="55">
        <v>0</v>
      </c>
      <c r="O63" s="55">
        <v>0</v>
      </c>
      <c r="P63" s="55">
        <f ca="1">IFERROR(__xludf.DUMMYFUNCTION("IMPORTRANGE(""https://docs.google.com/spreadsheets/d/1SX6NBoVAgQJ6U1MVXOaj8PK2l7WJ3RER9xtqwdhxkhw/edit?usp=sharing"",""ปทุมธานี!M214"")"),0)</f>
        <v>0</v>
      </c>
      <c r="Q63" s="99">
        <f t="shared" si="6"/>
        <v>0</v>
      </c>
      <c r="R63" s="55">
        <v>0</v>
      </c>
      <c r="S63" s="55">
        <f ca="1">IFERROR(__xludf.DUMMYFUNCTION("IMPORTRANGE(""https://docs.google.com/spreadsheets/d/1SX6NBoVAgQJ6U1MVXOaj8PK2l7WJ3RER9xtqwdhxkhw/edit?usp=sharing"",""ปทุมธานี!J224"")"),0)</f>
        <v>0</v>
      </c>
      <c r="T63" s="99">
        <f t="shared" si="8"/>
        <v>0</v>
      </c>
      <c r="U63" s="81"/>
      <c r="V63" s="81"/>
      <c r="W63" s="81"/>
      <c r="X63" s="81"/>
      <c r="Y63" s="81"/>
      <c r="Z63" s="81"/>
    </row>
    <row r="64" spans="1:26" ht="24" customHeight="1" x14ac:dyDescent="0.5">
      <c r="A64" s="52">
        <v>10</v>
      </c>
      <c r="B64" s="53" t="s">
        <v>79</v>
      </c>
      <c r="C64" s="54">
        <f t="shared" si="41"/>
        <v>0</v>
      </c>
      <c r="D64" s="55">
        <v>0</v>
      </c>
      <c r="E64" s="55">
        <v>0</v>
      </c>
      <c r="F64" s="55">
        <f ca="1">IFERROR(__xludf.DUMMYFUNCTION("IMPORTRANGE(""https://docs.google.com/spreadsheets/d/1SX6NBoVAgQJ6U1MVXOaj8PK2l7WJ3RER9xtqwdhxkhw/edit?usp=sharing"",""ประจวบคีรีขันธ์!M199"")"),0)</f>
        <v>0</v>
      </c>
      <c r="G64" s="99">
        <f t="shared" si="1"/>
        <v>0</v>
      </c>
      <c r="H64" s="55">
        <v>0</v>
      </c>
      <c r="I64" s="55">
        <f ca="1">IFERROR(__xludf.DUMMYFUNCTION("IMPORTRANGE(""https://docs.google.com/spreadsheets/d/1SX6NBoVAgQJ6U1MVXOaj8PK2l7WJ3RER9xtqwdhxkhw/edit?usp=sharing"",""ประจวบคีรีขันธ์!J209"")"),0)</f>
        <v>0</v>
      </c>
      <c r="J64" s="99">
        <f t="shared" si="3"/>
        <v>0</v>
      </c>
      <c r="K64" s="55">
        <f ca="1">IFERROR(__xludf.DUMMYFUNCTION("IMPORTRANGE(""https://docs.google.com/spreadsheets/d/1SX6NBoVAgQJ6U1MVXOaj8PK2l7WJ3RER9xtqwdhxkhw/edit?usp=sharing"",""ประจวบคีรีขันธ์!J211"")"),0)</f>
        <v>0</v>
      </c>
      <c r="L64" s="99">
        <f t="shared" si="4"/>
        <v>0</v>
      </c>
      <c r="M64" s="54">
        <f t="shared" si="42"/>
        <v>0</v>
      </c>
      <c r="N64" s="55">
        <v>0</v>
      </c>
      <c r="O64" s="55">
        <v>0</v>
      </c>
      <c r="P64" s="55">
        <f ca="1">IFERROR(__xludf.DUMMYFUNCTION("IMPORTRANGE(""https://docs.google.com/spreadsheets/d/1SX6NBoVAgQJ6U1MVXOaj8PK2l7WJ3RER9xtqwdhxkhw/edit?usp=sharing"",""ประจวบคีรีขันธ์!M214"")"),0)</f>
        <v>0</v>
      </c>
      <c r="Q64" s="99">
        <f t="shared" si="6"/>
        <v>0</v>
      </c>
      <c r="R64" s="55">
        <v>0</v>
      </c>
      <c r="S64" s="55">
        <f ca="1">IFERROR(__xludf.DUMMYFUNCTION("IMPORTRANGE(""https://docs.google.com/spreadsheets/d/1SX6NBoVAgQJ6U1MVXOaj8PK2l7WJ3RER9xtqwdhxkhw/edit?usp=sharing"",""ประจวบคีรีขันธ์!J224"")"),0)</f>
        <v>0</v>
      </c>
      <c r="T64" s="99">
        <f t="shared" si="8"/>
        <v>0</v>
      </c>
      <c r="U64" s="81"/>
      <c r="V64" s="81"/>
      <c r="W64" s="81"/>
      <c r="X64" s="81"/>
      <c r="Y64" s="81"/>
      <c r="Z64" s="81"/>
    </row>
    <row r="65" spans="1:26" ht="24" customHeight="1" x14ac:dyDescent="0.5">
      <c r="A65" s="52">
        <v>11</v>
      </c>
      <c r="B65" s="53" t="s">
        <v>80</v>
      </c>
      <c r="C65" s="54">
        <f t="shared" si="41"/>
        <v>0</v>
      </c>
      <c r="D65" s="55">
        <v>0</v>
      </c>
      <c r="E65" s="55">
        <v>0</v>
      </c>
      <c r="F65" s="55">
        <f ca="1">IFERROR(__xludf.DUMMYFUNCTION("IMPORTRANGE(""https://docs.google.com/spreadsheets/d/1SX6NBoVAgQJ6U1MVXOaj8PK2l7WJ3RER9xtqwdhxkhw/edit?usp=sharing"",""ปราจีนบุรี!M199"")"),0)</f>
        <v>0</v>
      </c>
      <c r="G65" s="99">
        <f t="shared" si="1"/>
        <v>0</v>
      </c>
      <c r="H65" s="55">
        <v>0</v>
      </c>
      <c r="I65" s="55">
        <f ca="1">IFERROR(__xludf.DUMMYFUNCTION("IMPORTRANGE(""https://docs.google.com/spreadsheets/d/1SX6NBoVAgQJ6U1MVXOaj8PK2l7WJ3RER9xtqwdhxkhw/edit?usp=sharing"",""ปราจีนบุรี!J209"")"),0)</f>
        <v>0</v>
      </c>
      <c r="J65" s="99">
        <f t="shared" si="3"/>
        <v>0</v>
      </c>
      <c r="K65" s="55">
        <f ca="1">IFERROR(__xludf.DUMMYFUNCTION("IMPORTRANGE(""https://docs.google.com/spreadsheets/d/1SX6NBoVAgQJ6U1MVXOaj8PK2l7WJ3RER9xtqwdhxkhw/edit?usp=sharing"",""ปราจีนบุรี!J211"")"),0)</f>
        <v>0</v>
      </c>
      <c r="L65" s="99">
        <f t="shared" si="4"/>
        <v>0</v>
      </c>
      <c r="M65" s="54">
        <f t="shared" si="42"/>
        <v>0</v>
      </c>
      <c r="N65" s="55">
        <v>0</v>
      </c>
      <c r="O65" s="55">
        <v>0</v>
      </c>
      <c r="P65" s="55">
        <f ca="1">IFERROR(__xludf.DUMMYFUNCTION("IMPORTRANGE(""https://docs.google.com/spreadsheets/d/1SX6NBoVAgQJ6U1MVXOaj8PK2l7WJ3RER9xtqwdhxkhw/edit?usp=sharing"",""ปราจีนบุรี!M214"")"),0)</f>
        <v>0</v>
      </c>
      <c r="Q65" s="99">
        <f t="shared" si="6"/>
        <v>0</v>
      </c>
      <c r="R65" s="55">
        <v>0</v>
      </c>
      <c r="S65" s="55">
        <f ca="1">IFERROR(__xludf.DUMMYFUNCTION("IMPORTRANGE(""https://docs.google.com/spreadsheets/d/1SX6NBoVAgQJ6U1MVXOaj8PK2l7WJ3RER9xtqwdhxkhw/edit?usp=sharing"",""ปราจีนบุรี!J224"")"),0)</f>
        <v>0</v>
      </c>
      <c r="T65" s="99">
        <f t="shared" si="8"/>
        <v>0</v>
      </c>
      <c r="U65" s="81"/>
      <c r="V65" s="81"/>
      <c r="W65" s="81"/>
      <c r="X65" s="81"/>
      <c r="Y65" s="81"/>
      <c r="Z65" s="81"/>
    </row>
    <row r="66" spans="1:26" ht="24" customHeight="1" x14ac:dyDescent="0.5">
      <c r="A66" s="52">
        <v>12</v>
      </c>
      <c r="B66" s="53" t="s">
        <v>81</v>
      </c>
      <c r="C66" s="54">
        <f t="shared" si="41"/>
        <v>0</v>
      </c>
      <c r="D66" s="55">
        <v>0</v>
      </c>
      <c r="E66" s="55">
        <v>0</v>
      </c>
      <c r="F66" s="55">
        <f ca="1">IFERROR(__xludf.DUMMYFUNCTION("IMPORTRANGE(""https://docs.google.com/spreadsheets/d/1SX6NBoVAgQJ6U1MVXOaj8PK2l7WJ3RER9xtqwdhxkhw/edit?usp=sharing"",""พระนครศรีอยุธยา!M199"")"),0)</f>
        <v>0</v>
      </c>
      <c r="G66" s="99">
        <f t="shared" si="1"/>
        <v>0</v>
      </c>
      <c r="H66" s="55">
        <v>0</v>
      </c>
      <c r="I66" s="55">
        <f ca="1">IFERROR(__xludf.DUMMYFUNCTION("IMPORTRANGE(""https://docs.google.com/spreadsheets/d/1SX6NBoVAgQJ6U1MVXOaj8PK2l7WJ3RER9xtqwdhxkhw/edit?usp=sharing"",""พระนครศรีอยุธยา!J209"")"),0)</f>
        <v>0</v>
      </c>
      <c r="J66" s="99">
        <f t="shared" si="3"/>
        <v>0</v>
      </c>
      <c r="K66" s="55">
        <f ca="1">IFERROR(__xludf.DUMMYFUNCTION("IMPORTRANGE(""https://docs.google.com/spreadsheets/d/1SX6NBoVAgQJ6U1MVXOaj8PK2l7WJ3RER9xtqwdhxkhw/edit?usp=sharing"",""พระนครศรีอยุธยา!J211"")"),0)</f>
        <v>0</v>
      </c>
      <c r="L66" s="99">
        <f t="shared" si="4"/>
        <v>0</v>
      </c>
      <c r="M66" s="54">
        <f t="shared" si="42"/>
        <v>0</v>
      </c>
      <c r="N66" s="55">
        <v>0</v>
      </c>
      <c r="O66" s="55">
        <v>0</v>
      </c>
      <c r="P66" s="55">
        <f ca="1">IFERROR(__xludf.DUMMYFUNCTION("IMPORTRANGE(""https://docs.google.com/spreadsheets/d/1SX6NBoVAgQJ6U1MVXOaj8PK2l7WJ3RER9xtqwdhxkhw/edit?usp=sharing"",""พระนครศรีอยุธยา!M214"")"),0)</f>
        <v>0</v>
      </c>
      <c r="Q66" s="99">
        <f t="shared" si="6"/>
        <v>0</v>
      </c>
      <c r="R66" s="55">
        <v>0</v>
      </c>
      <c r="S66" s="55">
        <f ca="1">IFERROR(__xludf.DUMMYFUNCTION("IMPORTRANGE(""https://docs.google.com/spreadsheets/d/1SX6NBoVAgQJ6U1MVXOaj8PK2l7WJ3RER9xtqwdhxkhw/edit?usp=sharing"",""พระนครศรีอยุธยา!J224"")"),0)</f>
        <v>0</v>
      </c>
      <c r="T66" s="99">
        <f t="shared" si="8"/>
        <v>0</v>
      </c>
      <c r="U66" s="81"/>
      <c r="V66" s="81"/>
      <c r="W66" s="81"/>
      <c r="X66" s="81"/>
      <c r="Y66" s="81"/>
      <c r="Z66" s="81"/>
    </row>
    <row r="67" spans="1:26" ht="24" customHeight="1" x14ac:dyDescent="0.5">
      <c r="A67" s="52">
        <v>13</v>
      </c>
      <c r="B67" s="53" t="s">
        <v>82</v>
      </c>
      <c r="C67" s="54">
        <f t="shared" si="41"/>
        <v>0</v>
      </c>
      <c r="D67" s="55">
        <v>0</v>
      </c>
      <c r="E67" s="55">
        <v>0</v>
      </c>
      <c r="F67" s="55">
        <f ca="1">IFERROR(__xludf.DUMMYFUNCTION("IMPORTRANGE(""https://docs.google.com/spreadsheets/d/1SX6NBoVAgQJ6U1MVXOaj8PK2l7WJ3RER9xtqwdhxkhw/edit?usp=sharing"",""เพชรบุรี!M199"")"),0)</f>
        <v>0</v>
      </c>
      <c r="G67" s="99">
        <f t="shared" si="1"/>
        <v>0</v>
      </c>
      <c r="H67" s="55">
        <v>0</v>
      </c>
      <c r="I67" s="55">
        <f ca="1">IFERROR(__xludf.DUMMYFUNCTION("IMPORTRANGE(""https://docs.google.com/spreadsheets/d/1SX6NBoVAgQJ6U1MVXOaj8PK2l7WJ3RER9xtqwdhxkhw/edit?usp=sharing"",""เพชรบุรี!J209"")"),0)</f>
        <v>0</v>
      </c>
      <c r="J67" s="99">
        <f t="shared" si="3"/>
        <v>0</v>
      </c>
      <c r="K67" s="55">
        <f ca="1">IFERROR(__xludf.DUMMYFUNCTION("IMPORTRANGE(""https://docs.google.com/spreadsheets/d/1SX6NBoVAgQJ6U1MVXOaj8PK2l7WJ3RER9xtqwdhxkhw/edit?usp=sharing"",""เพชรบุรี!J211"")"),0)</f>
        <v>0</v>
      </c>
      <c r="L67" s="99">
        <f t="shared" si="4"/>
        <v>0</v>
      </c>
      <c r="M67" s="54">
        <f t="shared" si="42"/>
        <v>0</v>
      </c>
      <c r="N67" s="55">
        <v>0</v>
      </c>
      <c r="O67" s="55">
        <v>0</v>
      </c>
      <c r="P67" s="55">
        <f ca="1">IFERROR(__xludf.DUMMYFUNCTION("IMPORTRANGE(""https://docs.google.com/spreadsheets/d/1SX6NBoVAgQJ6U1MVXOaj8PK2l7WJ3RER9xtqwdhxkhw/edit?usp=sharing"",""เพชรบุรี!M214"")"),0)</f>
        <v>0</v>
      </c>
      <c r="Q67" s="99">
        <f t="shared" si="6"/>
        <v>0</v>
      </c>
      <c r="R67" s="55">
        <v>0</v>
      </c>
      <c r="S67" s="55">
        <f ca="1">IFERROR(__xludf.DUMMYFUNCTION("IMPORTRANGE(""https://docs.google.com/spreadsheets/d/1SX6NBoVAgQJ6U1MVXOaj8PK2l7WJ3RER9xtqwdhxkhw/edit?usp=sharing"",""เพชรบุรี!J224"")"),0)</f>
        <v>0</v>
      </c>
      <c r="T67" s="99">
        <f t="shared" si="8"/>
        <v>0</v>
      </c>
      <c r="U67" s="81"/>
      <c r="V67" s="81"/>
      <c r="W67" s="81"/>
      <c r="X67" s="81"/>
      <c r="Y67" s="81"/>
      <c r="Z67" s="81"/>
    </row>
    <row r="68" spans="1:26" ht="24" customHeight="1" x14ac:dyDescent="0.5">
      <c r="A68" s="52">
        <v>14</v>
      </c>
      <c r="B68" s="53" t="s">
        <v>83</v>
      </c>
      <c r="C68" s="54">
        <f t="shared" si="41"/>
        <v>0</v>
      </c>
      <c r="D68" s="55">
        <v>0</v>
      </c>
      <c r="E68" s="55">
        <v>0</v>
      </c>
      <c r="F68" s="55">
        <f ca="1">IFERROR(__xludf.DUMMYFUNCTION("IMPORTRANGE(""https://docs.google.com/spreadsheets/d/1SX6NBoVAgQJ6U1MVXOaj8PK2l7WJ3RER9xtqwdhxkhw/edit?usp=sharing"",""ระยอง!M199"")"),0)</f>
        <v>0</v>
      </c>
      <c r="G68" s="99">
        <f t="shared" si="1"/>
        <v>0</v>
      </c>
      <c r="H68" s="55">
        <v>0</v>
      </c>
      <c r="I68" s="55">
        <f ca="1">IFERROR(__xludf.DUMMYFUNCTION("IMPORTRANGE(""https://docs.google.com/spreadsheets/d/1SX6NBoVAgQJ6U1MVXOaj8PK2l7WJ3RER9xtqwdhxkhw/edit?usp=sharing"",""ระยอง!J209"")"),0)</f>
        <v>0</v>
      </c>
      <c r="J68" s="99">
        <f t="shared" si="3"/>
        <v>0</v>
      </c>
      <c r="K68" s="55">
        <f ca="1">IFERROR(__xludf.DUMMYFUNCTION("IMPORTRANGE(""https://docs.google.com/spreadsheets/d/1SX6NBoVAgQJ6U1MVXOaj8PK2l7WJ3RER9xtqwdhxkhw/edit?usp=sharing"",""ระยอง!J211"")"),0)</f>
        <v>0</v>
      </c>
      <c r="L68" s="99">
        <f t="shared" si="4"/>
        <v>0</v>
      </c>
      <c r="M68" s="54">
        <f t="shared" si="42"/>
        <v>0</v>
      </c>
      <c r="N68" s="55">
        <v>0</v>
      </c>
      <c r="O68" s="55">
        <v>0</v>
      </c>
      <c r="P68" s="55">
        <f ca="1">IFERROR(__xludf.DUMMYFUNCTION("IMPORTRANGE(""https://docs.google.com/spreadsheets/d/1SX6NBoVAgQJ6U1MVXOaj8PK2l7WJ3RER9xtqwdhxkhw/edit?usp=sharing"",""ระยอง!M214"")"),0)</f>
        <v>0</v>
      </c>
      <c r="Q68" s="99">
        <f t="shared" si="6"/>
        <v>0</v>
      </c>
      <c r="R68" s="55">
        <v>0</v>
      </c>
      <c r="S68" s="55">
        <f ca="1">IFERROR(__xludf.DUMMYFUNCTION("IMPORTRANGE(""https://docs.google.com/spreadsheets/d/1SX6NBoVAgQJ6U1MVXOaj8PK2l7WJ3RER9xtqwdhxkhw/edit?usp=sharing"",""ระยอง!J224"")"),0)</f>
        <v>0</v>
      </c>
      <c r="T68" s="99">
        <f t="shared" si="8"/>
        <v>0</v>
      </c>
      <c r="U68" s="81"/>
      <c r="V68" s="81"/>
      <c r="W68" s="81"/>
      <c r="X68" s="81"/>
      <c r="Y68" s="81"/>
      <c r="Z68" s="81"/>
    </row>
    <row r="69" spans="1:26" ht="24" customHeight="1" x14ac:dyDescent="0.5">
      <c r="A69" s="52">
        <v>15</v>
      </c>
      <c r="B69" s="53" t="s">
        <v>84</v>
      </c>
      <c r="C69" s="54">
        <f t="shared" si="41"/>
        <v>0</v>
      </c>
      <c r="D69" s="55">
        <v>0</v>
      </c>
      <c r="E69" s="55">
        <v>0</v>
      </c>
      <c r="F69" s="55">
        <f ca="1">IFERROR(__xludf.DUMMYFUNCTION("IMPORTRANGE(""https://docs.google.com/spreadsheets/d/1SX6NBoVAgQJ6U1MVXOaj8PK2l7WJ3RER9xtqwdhxkhw/edit?usp=sharing"",""ราชบุรี!M199"")"),0)</f>
        <v>0</v>
      </c>
      <c r="G69" s="99">
        <f t="shared" si="1"/>
        <v>0</v>
      </c>
      <c r="H69" s="55">
        <v>0</v>
      </c>
      <c r="I69" s="55">
        <f ca="1">IFERROR(__xludf.DUMMYFUNCTION("IMPORTRANGE(""https://docs.google.com/spreadsheets/d/1SX6NBoVAgQJ6U1MVXOaj8PK2l7WJ3RER9xtqwdhxkhw/edit?usp=sharing"",""ราชบุรี!J209"")"),0)</f>
        <v>0</v>
      </c>
      <c r="J69" s="99">
        <f t="shared" si="3"/>
        <v>0</v>
      </c>
      <c r="K69" s="55">
        <f ca="1">IFERROR(__xludf.DUMMYFUNCTION("IMPORTRANGE(""https://docs.google.com/spreadsheets/d/1SX6NBoVAgQJ6U1MVXOaj8PK2l7WJ3RER9xtqwdhxkhw/edit?usp=sharing"",""ราชบุรี!J211"")"),0)</f>
        <v>0</v>
      </c>
      <c r="L69" s="99">
        <f t="shared" si="4"/>
        <v>0</v>
      </c>
      <c r="M69" s="54">
        <f t="shared" si="42"/>
        <v>0</v>
      </c>
      <c r="N69" s="55">
        <v>0</v>
      </c>
      <c r="O69" s="55">
        <v>0</v>
      </c>
      <c r="P69" s="55">
        <f ca="1">IFERROR(__xludf.DUMMYFUNCTION("IMPORTRANGE(""https://docs.google.com/spreadsheets/d/1SX6NBoVAgQJ6U1MVXOaj8PK2l7WJ3RER9xtqwdhxkhw/edit?usp=sharing"",""ราชบุรี!M214"")"),0)</f>
        <v>0</v>
      </c>
      <c r="Q69" s="99">
        <f t="shared" si="6"/>
        <v>0</v>
      </c>
      <c r="R69" s="55">
        <v>0</v>
      </c>
      <c r="S69" s="55">
        <f ca="1">IFERROR(__xludf.DUMMYFUNCTION("IMPORTRANGE(""https://docs.google.com/spreadsheets/d/1SX6NBoVAgQJ6U1MVXOaj8PK2l7WJ3RER9xtqwdhxkhw/edit?usp=sharing"",""ราชบุรี!J224"")"),0)</f>
        <v>0</v>
      </c>
      <c r="T69" s="99">
        <f t="shared" si="8"/>
        <v>0</v>
      </c>
      <c r="U69" s="81"/>
      <c r="V69" s="81"/>
      <c r="W69" s="81"/>
      <c r="X69" s="81"/>
      <c r="Y69" s="81"/>
      <c r="Z69" s="81"/>
    </row>
    <row r="70" spans="1:26" ht="24" customHeight="1" x14ac:dyDescent="0.5">
      <c r="A70" s="52">
        <v>16</v>
      </c>
      <c r="B70" s="53" t="s">
        <v>85</v>
      </c>
      <c r="C70" s="54">
        <f t="shared" si="41"/>
        <v>0</v>
      </c>
      <c r="D70" s="55">
        <v>0</v>
      </c>
      <c r="E70" s="55">
        <v>0</v>
      </c>
      <c r="F70" s="55">
        <f ca="1">IFERROR(__xludf.DUMMYFUNCTION("IMPORTRANGE(""https://docs.google.com/spreadsheets/d/1SX6NBoVAgQJ6U1MVXOaj8PK2l7WJ3RER9xtqwdhxkhw/edit?usp=sharing"",""ลพบุรี!M199"")"),0)</f>
        <v>0</v>
      </c>
      <c r="G70" s="99">
        <f t="shared" si="1"/>
        <v>0</v>
      </c>
      <c r="H70" s="55">
        <v>0</v>
      </c>
      <c r="I70" s="55">
        <f ca="1">IFERROR(__xludf.DUMMYFUNCTION("IMPORTRANGE(""https://docs.google.com/spreadsheets/d/1SX6NBoVAgQJ6U1MVXOaj8PK2l7WJ3RER9xtqwdhxkhw/edit?usp=sharing"",""ลพบุรี!J209"")"),0)</f>
        <v>0</v>
      </c>
      <c r="J70" s="99">
        <f t="shared" si="3"/>
        <v>0</v>
      </c>
      <c r="K70" s="55">
        <f ca="1">IFERROR(__xludf.DUMMYFUNCTION("IMPORTRANGE(""https://docs.google.com/spreadsheets/d/1SX6NBoVAgQJ6U1MVXOaj8PK2l7WJ3RER9xtqwdhxkhw/edit?usp=sharing"",""ลพบุรี!J211"")"),0)</f>
        <v>0</v>
      </c>
      <c r="L70" s="99">
        <f t="shared" si="4"/>
        <v>0</v>
      </c>
      <c r="M70" s="54">
        <f t="shared" si="42"/>
        <v>0</v>
      </c>
      <c r="N70" s="55">
        <v>0</v>
      </c>
      <c r="O70" s="55">
        <v>0</v>
      </c>
      <c r="P70" s="55">
        <f ca="1">IFERROR(__xludf.DUMMYFUNCTION("IMPORTRANGE(""https://docs.google.com/spreadsheets/d/1SX6NBoVAgQJ6U1MVXOaj8PK2l7WJ3RER9xtqwdhxkhw/edit?usp=sharing"",""ลพบุรี!M214"")"),0)</f>
        <v>0</v>
      </c>
      <c r="Q70" s="99">
        <f t="shared" si="6"/>
        <v>0</v>
      </c>
      <c r="R70" s="55">
        <v>0</v>
      </c>
      <c r="S70" s="55">
        <f ca="1">IFERROR(__xludf.DUMMYFUNCTION("IMPORTRANGE(""https://docs.google.com/spreadsheets/d/1SX6NBoVAgQJ6U1MVXOaj8PK2l7WJ3RER9xtqwdhxkhw/edit?usp=sharing"",""ลพบุรี!J224"")"),0)</f>
        <v>0</v>
      </c>
      <c r="T70" s="99">
        <f t="shared" si="8"/>
        <v>0</v>
      </c>
      <c r="U70" s="81"/>
      <c r="V70" s="81"/>
      <c r="W70" s="81"/>
      <c r="X70" s="81"/>
      <c r="Y70" s="81"/>
      <c r="Z70" s="81"/>
    </row>
    <row r="71" spans="1:26" ht="24" customHeight="1" x14ac:dyDescent="0.5">
      <c r="A71" s="52">
        <v>17</v>
      </c>
      <c r="B71" s="53" t="s">
        <v>86</v>
      </c>
      <c r="C71" s="54">
        <f t="shared" si="41"/>
        <v>123640</v>
      </c>
      <c r="D71" s="55">
        <v>0</v>
      </c>
      <c r="E71" s="55">
        <v>123640</v>
      </c>
      <c r="F71" s="55">
        <f ca="1">IFERROR(__xludf.DUMMYFUNCTION("IMPORTRANGE(""https://docs.google.com/spreadsheets/d/1SX6NBoVAgQJ6U1MVXOaj8PK2l7WJ3RER9xtqwdhxkhw/edit?usp=sharing"",""สระแก้ว!M199"")"),0)</f>
        <v>0</v>
      </c>
      <c r="G71" s="99">
        <f t="shared" ca="1" si="1"/>
        <v>0</v>
      </c>
      <c r="H71" s="55">
        <v>40</v>
      </c>
      <c r="I71" s="55">
        <f ca="1">IFERROR(__xludf.DUMMYFUNCTION("IMPORTRANGE(""https://docs.google.com/spreadsheets/d/1SX6NBoVAgQJ6U1MVXOaj8PK2l7WJ3RER9xtqwdhxkhw/edit?usp=sharing"",""สระแก้ว!J209"")"),0)</f>
        <v>0</v>
      </c>
      <c r="J71" s="99">
        <f t="shared" ca="1" si="3"/>
        <v>0</v>
      </c>
      <c r="K71" s="55">
        <f ca="1">IFERROR(__xludf.DUMMYFUNCTION("IMPORTRANGE(""https://docs.google.com/spreadsheets/d/1SX6NBoVAgQJ6U1MVXOaj8PK2l7WJ3RER9xtqwdhxkhw/edit?usp=sharing"",""สระแก้ว!J211"")"),0)</f>
        <v>0</v>
      </c>
      <c r="L71" s="99">
        <f t="shared" ca="1" si="4"/>
        <v>0</v>
      </c>
      <c r="M71" s="54">
        <f t="shared" si="42"/>
        <v>395600</v>
      </c>
      <c r="N71" s="55">
        <v>0</v>
      </c>
      <c r="O71" s="55">
        <v>395600</v>
      </c>
      <c r="P71" s="55">
        <f ca="1">IFERROR(__xludf.DUMMYFUNCTION("IMPORTRANGE(""https://docs.google.com/spreadsheets/d/1SX6NBoVAgQJ6U1MVXOaj8PK2l7WJ3RER9xtqwdhxkhw/edit?usp=sharing"",""สระแก้ว!M214"")"),0)</f>
        <v>0</v>
      </c>
      <c r="Q71" s="99">
        <f t="shared" ca="1" si="6"/>
        <v>0</v>
      </c>
      <c r="R71" s="55">
        <v>10</v>
      </c>
      <c r="S71" s="55">
        <f ca="1">IFERROR(__xludf.DUMMYFUNCTION("IMPORTRANGE(""https://docs.google.com/spreadsheets/d/1SX6NBoVAgQJ6U1MVXOaj8PK2l7WJ3RER9xtqwdhxkhw/edit?usp=sharing"",""สระแก้ว!J224"")"),0)</f>
        <v>0</v>
      </c>
      <c r="T71" s="99">
        <f t="shared" ca="1" si="8"/>
        <v>0</v>
      </c>
      <c r="U71" s="81"/>
      <c r="V71" s="81"/>
      <c r="W71" s="81"/>
      <c r="X71" s="81"/>
      <c r="Y71" s="81"/>
      <c r="Z71" s="81"/>
    </row>
    <row r="72" spans="1:26" ht="24" customHeight="1" x14ac:dyDescent="0.5">
      <c r="A72" s="52">
        <v>18</v>
      </c>
      <c r="B72" s="53" t="s">
        <v>87</v>
      </c>
      <c r="C72" s="54">
        <f t="shared" si="41"/>
        <v>0</v>
      </c>
      <c r="D72" s="55">
        <v>0</v>
      </c>
      <c r="E72" s="55">
        <v>0</v>
      </c>
      <c r="F72" s="55">
        <f ca="1">IFERROR(__xludf.DUMMYFUNCTION("IMPORTRANGE(""https://docs.google.com/spreadsheets/d/1SX6NBoVAgQJ6U1MVXOaj8PK2l7WJ3RER9xtqwdhxkhw/edit?usp=sharing"",""สระบุรี!M199"")"),0)</f>
        <v>0</v>
      </c>
      <c r="G72" s="99">
        <f t="shared" si="1"/>
        <v>0</v>
      </c>
      <c r="H72" s="55">
        <v>0</v>
      </c>
      <c r="I72" s="55">
        <f ca="1">IFERROR(__xludf.DUMMYFUNCTION("IMPORTRANGE(""https://docs.google.com/spreadsheets/d/1SX6NBoVAgQJ6U1MVXOaj8PK2l7WJ3RER9xtqwdhxkhw/edit?usp=sharing"",""สระบุรี!J209"")"),0)</f>
        <v>0</v>
      </c>
      <c r="J72" s="99">
        <f t="shared" si="3"/>
        <v>0</v>
      </c>
      <c r="K72" s="55">
        <f ca="1">IFERROR(__xludf.DUMMYFUNCTION("IMPORTRANGE(""https://docs.google.com/spreadsheets/d/1SX6NBoVAgQJ6U1MVXOaj8PK2l7WJ3RER9xtqwdhxkhw/edit?usp=sharing"",""สระบุรี!J211"")"),0)</f>
        <v>0</v>
      </c>
      <c r="L72" s="99">
        <f t="shared" si="4"/>
        <v>0</v>
      </c>
      <c r="M72" s="54">
        <f t="shared" si="42"/>
        <v>0</v>
      </c>
      <c r="N72" s="55">
        <v>0</v>
      </c>
      <c r="O72" s="55">
        <v>0</v>
      </c>
      <c r="P72" s="55">
        <f ca="1">IFERROR(__xludf.DUMMYFUNCTION("IMPORTRANGE(""https://docs.google.com/spreadsheets/d/1SX6NBoVAgQJ6U1MVXOaj8PK2l7WJ3RER9xtqwdhxkhw/edit?usp=sharing"",""สระบุรี!M214"")"),0)</f>
        <v>0</v>
      </c>
      <c r="Q72" s="99">
        <f t="shared" si="6"/>
        <v>0</v>
      </c>
      <c r="R72" s="55">
        <v>0</v>
      </c>
      <c r="S72" s="55">
        <f ca="1">IFERROR(__xludf.DUMMYFUNCTION("IMPORTRANGE(""https://docs.google.com/spreadsheets/d/1SX6NBoVAgQJ6U1MVXOaj8PK2l7WJ3RER9xtqwdhxkhw/edit?usp=sharing"",""สระบุรี!J224"")"),0)</f>
        <v>0</v>
      </c>
      <c r="T72" s="99">
        <f t="shared" si="8"/>
        <v>0</v>
      </c>
      <c r="U72" s="81"/>
      <c r="V72" s="81"/>
      <c r="W72" s="81"/>
      <c r="X72" s="81"/>
      <c r="Y72" s="81"/>
      <c r="Z72" s="81"/>
    </row>
    <row r="73" spans="1:26" ht="24" customHeight="1" x14ac:dyDescent="0.5">
      <c r="A73" s="52">
        <v>19</v>
      </c>
      <c r="B73" s="53" t="s">
        <v>88</v>
      </c>
      <c r="C73" s="54">
        <f t="shared" si="41"/>
        <v>0</v>
      </c>
      <c r="D73" s="55">
        <v>0</v>
      </c>
      <c r="E73" s="55">
        <v>0</v>
      </c>
      <c r="F73" s="55">
        <f ca="1">IFERROR(__xludf.DUMMYFUNCTION("IMPORTRANGE(""https://docs.google.com/spreadsheets/d/1SX6NBoVAgQJ6U1MVXOaj8PK2l7WJ3RER9xtqwdhxkhw/edit?usp=sharing"",""สิงห์บุรี!M199"")"),0)</f>
        <v>0</v>
      </c>
      <c r="G73" s="99">
        <f t="shared" si="1"/>
        <v>0</v>
      </c>
      <c r="H73" s="55">
        <v>0</v>
      </c>
      <c r="I73" s="55">
        <f ca="1">IFERROR(__xludf.DUMMYFUNCTION("IMPORTRANGE(""https://docs.google.com/spreadsheets/d/1SX6NBoVAgQJ6U1MVXOaj8PK2l7WJ3RER9xtqwdhxkhw/edit?usp=sharing"",""สิงห์บุรี!J209"")"),0)</f>
        <v>0</v>
      </c>
      <c r="J73" s="99">
        <f t="shared" si="3"/>
        <v>0</v>
      </c>
      <c r="K73" s="55">
        <f ca="1">IFERROR(__xludf.DUMMYFUNCTION("IMPORTRANGE(""https://docs.google.com/spreadsheets/d/1SX6NBoVAgQJ6U1MVXOaj8PK2l7WJ3RER9xtqwdhxkhw/edit?usp=sharing"",""สิงห์บุรี!J211"")"),0)</f>
        <v>0</v>
      </c>
      <c r="L73" s="99">
        <f t="shared" si="4"/>
        <v>0</v>
      </c>
      <c r="M73" s="54">
        <f t="shared" si="42"/>
        <v>0</v>
      </c>
      <c r="N73" s="55">
        <v>0</v>
      </c>
      <c r="O73" s="55">
        <v>0</v>
      </c>
      <c r="P73" s="55">
        <f ca="1">IFERROR(__xludf.DUMMYFUNCTION("IMPORTRANGE(""https://docs.google.com/spreadsheets/d/1SX6NBoVAgQJ6U1MVXOaj8PK2l7WJ3RER9xtqwdhxkhw/edit?usp=sharing"",""สิงห์บุรี!M214"")"),0)</f>
        <v>0</v>
      </c>
      <c r="Q73" s="99">
        <f t="shared" si="6"/>
        <v>0</v>
      </c>
      <c r="R73" s="55">
        <v>0</v>
      </c>
      <c r="S73" s="55">
        <f ca="1">IFERROR(__xludf.DUMMYFUNCTION("IMPORTRANGE(""https://docs.google.com/spreadsheets/d/1SX6NBoVAgQJ6U1MVXOaj8PK2l7WJ3RER9xtqwdhxkhw/edit?usp=sharing"",""สิงห์บุรี!J224"")"),0)</f>
        <v>0</v>
      </c>
      <c r="T73" s="99">
        <f t="shared" si="8"/>
        <v>0</v>
      </c>
      <c r="U73" s="81"/>
      <c r="V73" s="81"/>
      <c r="W73" s="81"/>
      <c r="X73" s="81"/>
      <c r="Y73" s="81"/>
      <c r="Z73" s="81"/>
    </row>
    <row r="74" spans="1:26" ht="24" customHeight="1" x14ac:dyDescent="0.5">
      <c r="A74" s="52">
        <v>20</v>
      </c>
      <c r="B74" s="53" t="s">
        <v>89</v>
      </c>
      <c r="C74" s="54">
        <f t="shared" si="41"/>
        <v>0</v>
      </c>
      <c r="D74" s="55">
        <v>0</v>
      </c>
      <c r="E74" s="55">
        <v>0</v>
      </c>
      <c r="F74" s="55">
        <f ca="1">IFERROR(__xludf.DUMMYFUNCTION("IMPORTRANGE(""https://docs.google.com/spreadsheets/d/1SX6NBoVAgQJ6U1MVXOaj8PK2l7WJ3RER9xtqwdhxkhw/edit?usp=sharing"",""สุพรรณบุรี!M199"")"),0)</f>
        <v>0</v>
      </c>
      <c r="G74" s="99">
        <f t="shared" si="1"/>
        <v>0</v>
      </c>
      <c r="H74" s="55">
        <v>0</v>
      </c>
      <c r="I74" s="55">
        <f ca="1">IFERROR(__xludf.DUMMYFUNCTION("IMPORTRANGE(""https://docs.google.com/spreadsheets/d/1SX6NBoVAgQJ6U1MVXOaj8PK2l7WJ3RER9xtqwdhxkhw/edit?usp=sharing"",""สุพรรณบุรี!J209"")"),0)</f>
        <v>0</v>
      </c>
      <c r="J74" s="99">
        <f t="shared" si="3"/>
        <v>0</v>
      </c>
      <c r="K74" s="55">
        <f ca="1">IFERROR(__xludf.DUMMYFUNCTION("IMPORTRANGE(""https://docs.google.com/spreadsheets/d/1SX6NBoVAgQJ6U1MVXOaj8PK2l7WJ3RER9xtqwdhxkhw/edit?usp=sharing"",""สุพรรณบุรี!J211"")"),0)</f>
        <v>0</v>
      </c>
      <c r="L74" s="99">
        <f t="shared" si="4"/>
        <v>0</v>
      </c>
      <c r="M74" s="54">
        <f t="shared" si="42"/>
        <v>0</v>
      </c>
      <c r="N74" s="55">
        <v>0</v>
      </c>
      <c r="O74" s="55">
        <v>0</v>
      </c>
      <c r="P74" s="55">
        <f ca="1">IFERROR(__xludf.DUMMYFUNCTION("IMPORTRANGE(""https://docs.google.com/spreadsheets/d/1SX6NBoVAgQJ6U1MVXOaj8PK2l7WJ3RER9xtqwdhxkhw/edit?usp=sharing"",""สุพรรณบุรี!M214"")"),0)</f>
        <v>0</v>
      </c>
      <c r="Q74" s="99">
        <f t="shared" si="6"/>
        <v>0</v>
      </c>
      <c r="R74" s="55">
        <v>0</v>
      </c>
      <c r="S74" s="55">
        <f ca="1">IFERROR(__xludf.DUMMYFUNCTION("IMPORTRANGE(""https://docs.google.com/spreadsheets/d/1SX6NBoVAgQJ6U1MVXOaj8PK2l7WJ3RER9xtqwdhxkhw/edit?usp=sharing"",""สุพรรณบุรี!J224"")"),0)</f>
        <v>0</v>
      </c>
      <c r="T74" s="99">
        <f t="shared" si="8"/>
        <v>0</v>
      </c>
      <c r="U74" s="81"/>
      <c r="V74" s="81"/>
      <c r="W74" s="81"/>
      <c r="X74" s="81"/>
      <c r="Y74" s="81"/>
      <c r="Z74" s="81"/>
    </row>
    <row r="75" spans="1:26" ht="24" customHeight="1" x14ac:dyDescent="0.5">
      <c r="A75" s="59">
        <v>21</v>
      </c>
      <c r="B75" s="60" t="s">
        <v>90</v>
      </c>
      <c r="C75" s="61">
        <f t="shared" si="41"/>
        <v>0</v>
      </c>
      <c r="D75" s="62">
        <v>0</v>
      </c>
      <c r="E75" s="62">
        <v>0</v>
      </c>
      <c r="F75" s="62">
        <f ca="1">IFERROR(__xludf.DUMMYFUNCTION("IMPORTRANGE(""https://docs.google.com/spreadsheets/d/1SX6NBoVAgQJ6U1MVXOaj8PK2l7WJ3RER9xtqwdhxkhw/edit?usp=sharing"",""อ่างทอง!M199"")"),0)</f>
        <v>0</v>
      </c>
      <c r="G75" s="100">
        <f t="shared" si="1"/>
        <v>0</v>
      </c>
      <c r="H75" s="62">
        <v>0</v>
      </c>
      <c r="I75" s="62">
        <f ca="1">IFERROR(__xludf.DUMMYFUNCTION("IMPORTRANGE(""https://docs.google.com/spreadsheets/d/1SX6NBoVAgQJ6U1MVXOaj8PK2l7WJ3RER9xtqwdhxkhw/edit?usp=sharing"",""อ่างทอง!J209"")"),0)</f>
        <v>0</v>
      </c>
      <c r="J75" s="100">
        <f t="shared" si="3"/>
        <v>0</v>
      </c>
      <c r="K75" s="62">
        <f ca="1">IFERROR(__xludf.DUMMYFUNCTION("IMPORTRANGE(""https://docs.google.com/spreadsheets/d/1SX6NBoVAgQJ6U1MVXOaj8PK2l7WJ3RER9xtqwdhxkhw/edit?usp=sharing"",""อ่างทอง!J211"")"),0)</f>
        <v>0</v>
      </c>
      <c r="L75" s="100">
        <f t="shared" si="4"/>
        <v>0</v>
      </c>
      <c r="M75" s="61">
        <f t="shared" si="42"/>
        <v>0</v>
      </c>
      <c r="N75" s="62">
        <v>0</v>
      </c>
      <c r="O75" s="62">
        <v>0</v>
      </c>
      <c r="P75" s="62">
        <f ca="1">IFERROR(__xludf.DUMMYFUNCTION("IMPORTRANGE(""https://docs.google.com/spreadsheets/d/1SX6NBoVAgQJ6U1MVXOaj8PK2l7WJ3RER9xtqwdhxkhw/edit?usp=sharing"",""อ่างทอง!M214"")"),0)</f>
        <v>0</v>
      </c>
      <c r="Q75" s="100">
        <f t="shared" si="6"/>
        <v>0</v>
      </c>
      <c r="R75" s="62">
        <v>0</v>
      </c>
      <c r="S75" s="62">
        <f ca="1">IFERROR(__xludf.DUMMYFUNCTION("IMPORTRANGE(""https://docs.google.com/spreadsheets/d/1SX6NBoVAgQJ6U1MVXOaj8PK2l7WJ3RER9xtqwdhxkhw/edit?usp=sharing"",""อ่างทอง!J224"")"),0)</f>
        <v>0</v>
      </c>
      <c r="T75" s="100">
        <f t="shared" si="8"/>
        <v>0</v>
      </c>
      <c r="U75" s="81"/>
      <c r="V75" s="81"/>
      <c r="W75" s="81"/>
      <c r="X75" s="81"/>
      <c r="Y75" s="81"/>
      <c r="Z75" s="81"/>
    </row>
    <row r="76" spans="1:26" ht="24" customHeight="1" x14ac:dyDescent="0.5">
      <c r="A76" s="566" t="s">
        <v>91</v>
      </c>
      <c r="B76" s="571"/>
      <c r="C76" s="66">
        <f t="shared" ref="C76:F76" si="43">SUM(C77:C90)</f>
        <v>445180</v>
      </c>
      <c r="D76" s="66">
        <f t="shared" si="43"/>
        <v>0</v>
      </c>
      <c r="E76" s="66">
        <f t="shared" si="43"/>
        <v>445180</v>
      </c>
      <c r="F76" s="66">
        <f t="shared" ca="1" si="43"/>
        <v>0</v>
      </c>
      <c r="G76" s="101">
        <f t="shared" ca="1" si="1"/>
        <v>0</v>
      </c>
      <c r="H76" s="66">
        <f t="shared" ref="H76:I76" si="44">SUM(H77:H90)</f>
        <v>125</v>
      </c>
      <c r="I76" s="66">
        <f t="shared" ca="1" si="44"/>
        <v>0</v>
      </c>
      <c r="J76" s="101">
        <f t="shared" ca="1" si="3"/>
        <v>0</v>
      </c>
      <c r="K76" s="66">
        <f ca="1">SUM(K77:K90)</f>
        <v>0</v>
      </c>
      <c r="L76" s="101">
        <f t="shared" ca="1" si="4"/>
        <v>0</v>
      </c>
      <c r="M76" s="66">
        <f t="shared" ref="M76:P76" si="45">SUM(M77:M90)</f>
        <v>971400</v>
      </c>
      <c r="N76" s="66">
        <f t="shared" si="45"/>
        <v>0</v>
      </c>
      <c r="O76" s="66">
        <f t="shared" si="45"/>
        <v>971400</v>
      </c>
      <c r="P76" s="66">
        <f t="shared" ca="1" si="45"/>
        <v>163647</v>
      </c>
      <c r="Q76" s="101">
        <f t="shared" ca="1" si="6"/>
        <v>16.84651019147622</v>
      </c>
      <c r="R76" s="66">
        <f t="shared" ref="R76:S76" si="46">SUM(R77:R90)</f>
        <v>5</v>
      </c>
      <c r="S76" s="66">
        <f t="shared" ca="1" si="46"/>
        <v>0</v>
      </c>
      <c r="T76" s="101">
        <f t="shared" ca="1" si="8"/>
        <v>0</v>
      </c>
      <c r="U76" s="81"/>
      <c r="V76" s="81"/>
      <c r="W76" s="81"/>
      <c r="X76" s="81"/>
      <c r="Y76" s="81"/>
      <c r="Z76" s="81"/>
    </row>
    <row r="77" spans="1:26" ht="24" customHeight="1" x14ac:dyDescent="0.5">
      <c r="A77" s="45">
        <v>1</v>
      </c>
      <c r="B77" s="46" t="s">
        <v>92</v>
      </c>
      <c r="C77" s="47">
        <f t="shared" ref="C77:C90" si="47">+D77+E77</f>
        <v>195740</v>
      </c>
      <c r="D77" s="48">
        <v>0</v>
      </c>
      <c r="E77" s="48">
        <v>195740</v>
      </c>
      <c r="F77" s="48">
        <f ca="1">IFERROR(__xludf.DUMMYFUNCTION("IMPORTRANGE(""https://docs.google.com/spreadsheets/d/1IYY_tgx_IHuhSq3AJ5eI5OnqOPBNLWSHKh2a30DoXe8/edit?usp=sharing"",""กระบี่!M199"")"),0)</f>
        <v>0</v>
      </c>
      <c r="G77" s="98">
        <f t="shared" ca="1" si="1"/>
        <v>0</v>
      </c>
      <c r="H77" s="48">
        <v>65</v>
      </c>
      <c r="I77" s="48">
        <f ca="1">IFERROR(__xludf.DUMMYFUNCTION("IMPORTRANGE(""https://docs.google.com/spreadsheets/d/1IYY_tgx_IHuhSq3AJ5eI5OnqOPBNLWSHKh2a30DoXe8/edit?usp=sharing"",""กระบี่!J209"")"),0)</f>
        <v>0</v>
      </c>
      <c r="J77" s="98">
        <f t="shared" ca="1" si="3"/>
        <v>0</v>
      </c>
      <c r="K77" s="48">
        <f ca="1">IFERROR(__xludf.DUMMYFUNCTION("IMPORTRANGE(""https://docs.google.com/spreadsheets/d/1IYY_tgx_IHuhSq3AJ5eI5OnqOPBNLWSHKh2a30DoXe8/edit?usp=sharing"",""กระบี่!J211"")"),0)</f>
        <v>0</v>
      </c>
      <c r="L77" s="98">
        <f t="shared" ca="1" si="4"/>
        <v>0</v>
      </c>
      <c r="M77" s="47">
        <f t="shared" ref="M77:M90" si="48">+N77+O77</f>
        <v>243600</v>
      </c>
      <c r="N77" s="48">
        <v>0</v>
      </c>
      <c r="O77" s="48">
        <v>243600</v>
      </c>
      <c r="P77" s="48">
        <f ca="1">IFERROR(__xludf.DUMMYFUNCTION("IMPORTRANGE(""https://docs.google.com/spreadsheets/d/1IYY_tgx_IHuhSq3AJ5eI5OnqOPBNLWSHKh2a30DoXe8/edit?usp=sharing"",""กระบี่!M214"")"),116377)</f>
        <v>116377</v>
      </c>
      <c r="Q77" s="98">
        <f t="shared" ca="1" si="6"/>
        <v>47.773809523809526</v>
      </c>
      <c r="R77" s="48">
        <v>2</v>
      </c>
      <c r="S77" s="48">
        <f ca="1">IFERROR(__xludf.DUMMYFUNCTION("IMPORTRANGE(""https://docs.google.com/spreadsheets/d/1IYY_tgx_IHuhSq3AJ5eI5OnqOPBNLWSHKh2a30DoXe8/edit?usp=sharing"",""กระบี่!J224"")"),0)</f>
        <v>0</v>
      </c>
      <c r="T77" s="98">
        <f t="shared" ca="1" si="8"/>
        <v>0</v>
      </c>
      <c r="U77" s="81"/>
      <c r="V77" s="81"/>
      <c r="W77" s="81"/>
      <c r="X77" s="81"/>
      <c r="Y77" s="81"/>
      <c r="Z77" s="81"/>
    </row>
    <row r="78" spans="1:26" ht="24" customHeight="1" x14ac:dyDescent="0.5">
      <c r="A78" s="52">
        <v>2</v>
      </c>
      <c r="B78" s="53" t="s">
        <v>93</v>
      </c>
      <c r="C78" s="54">
        <f t="shared" si="47"/>
        <v>95360</v>
      </c>
      <c r="D78" s="55">
        <v>0</v>
      </c>
      <c r="E78" s="55">
        <v>95360</v>
      </c>
      <c r="F78" s="55">
        <f ca="1">IFERROR(__xludf.DUMMYFUNCTION("IMPORTRANGE(""https://docs.google.com/spreadsheets/d/1IYY_tgx_IHuhSq3AJ5eI5OnqOPBNLWSHKh2a30DoXe8/edit?usp=sharing"",""ชุมพร!M199"")"),0)</f>
        <v>0</v>
      </c>
      <c r="G78" s="99">
        <f t="shared" ca="1" si="1"/>
        <v>0</v>
      </c>
      <c r="H78" s="55">
        <v>30</v>
      </c>
      <c r="I78" s="55">
        <f ca="1">IFERROR(__xludf.DUMMYFUNCTION("IMPORTRANGE(""https://docs.google.com/spreadsheets/d/1IYY_tgx_IHuhSq3AJ5eI5OnqOPBNLWSHKh2a30DoXe8/edit?usp=sharing"",""ชุมพร!J209"")"),0)</f>
        <v>0</v>
      </c>
      <c r="J78" s="99">
        <f t="shared" ca="1" si="3"/>
        <v>0</v>
      </c>
      <c r="K78" s="55">
        <f ca="1">IFERROR(__xludf.DUMMYFUNCTION("IMPORTRANGE(""https://docs.google.com/spreadsheets/d/1IYY_tgx_IHuhSq3AJ5eI5OnqOPBNLWSHKh2a30DoXe8/edit?usp=sharing"",""ชุมพร!J211"")"),0)</f>
        <v>0</v>
      </c>
      <c r="L78" s="99">
        <f t="shared" ca="1" si="4"/>
        <v>0</v>
      </c>
      <c r="M78" s="54">
        <f t="shared" si="48"/>
        <v>231600</v>
      </c>
      <c r="N78" s="55">
        <v>0</v>
      </c>
      <c r="O78" s="55">
        <v>231600</v>
      </c>
      <c r="P78" s="55">
        <f ca="1">IFERROR(__xludf.DUMMYFUNCTION("IMPORTRANGE(""https://docs.google.com/spreadsheets/d/1IYY_tgx_IHuhSq3AJ5eI5OnqOPBNLWSHKh2a30DoXe8/edit?usp=sharing"",""ชุมพร!M214"")"),8760)</f>
        <v>8760</v>
      </c>
      <c r="Q78" s="99">
        <f t="shared" ca="1" si="6"/>
        <v>3.7823834196891193</v>
      </c>
      <c r="R78" s="55">
        <v>1</v>
      </c>
      <c r="S78" s="55">
        <f ca="1">IFERROR(__xludf.DUMMYFUNCTION("IMPORTRANGE(""https://docs.google.com/spreadsheets/d/1IYY_tgx_IHuhSq3AJ5eI5OnqOPBNLWSHKh2a30DoXe8/edit?usp=sharing"",""ชุมพร!J224"")"),0)</f>
        <v>0</v>
      </c>
      <c r="T78" s="99">
        <f t="shared" ca="1" si="8"/>
        <v>0</v>
      </c>
      <c r="U78" s="81"/>
      <c r="V78" s="81"/>
      <c r="W78" s="81"/>
      <c r="X78" s="81"/>
      <c r="Y78" s="81"/>
      <c r="Z78" s="81"/>
    </row>
    <row r="79" spans="1:26" ht="24" customHeight="1" x14ac:dyDescent="0.5">
      <c r="A79" s="52">
        <v>3</v>
      </c>
      <c r="B79" s="53" t="s">
        <v>94</v>
      </c>
      <c r="C79" s="54">
        <f t="shared" si="47"/>
        <v>0</v>
      </c>
      <c r="D79" s="55">
        <v>0</v>
      </c>
      <c r="E79" s="55">
        <v>0</v>
      </c>
      <c r="F79" s="55">
        <f ca="1">IFERROR(__xludf.DUMMYFUNCTION("IMPORTRANGE(""https://docs.google.com/spreadsheets/d/1IYY_tgx_IHuhSq3AJ5eI5OnqOPBNLWSHKh2a30DoXe8/edit?usp=sharing"",""ตรัง!M199"")"),0)</f>
        <v>0</v>
      </c>
      <c r="G79" s="99">
        <f t="shared" si="1"/>
        <v>0</v>
      </c>
      <c r="H79" s="55">
        <v>0</v>
      </c>
      <c r="I79" s="55">
        <f ca="1">IFERROR(__xludf.DUMMYFUNCTION("IMPORTRANGE(""https://docs.google.com/spreadsheets/d/1IYY_tgx_IHuhSq3AJ5eI5OnqOPBNLWSHKh2a30DoXe8/edit?usp=sharing"",""ตรัง!J209"")"),0)</f>
        <v>0</v>
      </c>
      <c r="J79" s="99">
        <f t="shared" si="3"/>
        <v>0</v>
      </c>
      <c r="K79" s="55">
        <f ca="1">IFERROR(__xludf.DUMMYFUNCTION("IMPORTRANGE(""https://docs.google.com/spreadsheets/d/1IYY_tgx_IHuhSq3AJ5eI5OnqOPBNLWSHKh2a30DoXe8/edit?usp=sharing"",""ตรัง!J211"")"),0)</f>
        <v>0</v>
      </c>
      <c r="L79" s="99">
        <f t="shared" si="4"/>
        <v>0</v>
      </c>
      <c r="M79" s="54">
        <f t="shared" si="48"/>
        <v>0</v>
      </c>
      <c r="N79" s="55">
        <v>0</v>
      </c>
      <c r="O79" s="55">
        <v>0</v>
      </c>
      <c r="P79" s="55">
        <f ca="1">IFERROR(__xludf.DUMMYFUNCTION("IMPORTRANGE(""https://docs.google.com/spreadsheets/d/1IYY_tgx_IHuhSq3AJ5eI5OnqOPBNLWSHKh2a30DoXe8/edit?usp=sharing"",""ตรัง!M214"")"),0)</f>
        <v>0</v>
      </c>
      <c r="Q79" s="99">
        <f t="shared" si="6"/>
        <v>0</v>
      </c>
      <c r="R79" s="55">
        <v>0</v>
      </c>
      <c r="S79" s="55">
        <f ca="1">IFERROR(__xludf.DUMMYFUNCTION("IMPORTRANGE(""https://docs.google.com/spreadsheets/d/1IYY_tgx_IHuhSq3AJ5eI5OnqOPBNLWSHKh2a30DoXe8/edit?usp=sharing"",""ตรัง!J224"")"),0)</f>
        <v>0</v>
      </c>
      <c r="T79" s="99">
        <f t="shared" si="8"/>
        <v>0</v>
      </c>
      <c r="U79" s="81"/>
      <c r="V79" s="81"/>
      <c r="W79" s="81"/>
      <c r="X79" s="81"/>
      <c r="Y79" s="81"/>
      <c r="Z79" s="81"/>
    </row>
    <row r="80" spans="1:26" ht="24" customHeight="1" x14ac:dyDescent="0.5">
      <c r="A80" s="52">
        <v>4</v>
      </c>
      <c r="B80" s="53" t="s">
        <v>95</v>
      </c>
      <c r="C80" s="54">
        <f t="shared" si="47"/>
        <v>0</v>
      </c>
      <c r="D80" s="55">
        <v>0</v>
      </c>
      <c r="E80" s="55">
        <v>0</v>
      </c>
      <c r="F80" s="55">
        <f ca="1">IFERROR(__xludf.DUMMYFUNCTION("IMPORTRANGE(""https://docs.google.com/spreadsheets/d/1IYY_tgx_IHuhSq3AJ5eI5OnqOPBNLWSHKh2a30DoXe8/edit?usp=sharing"",""นครศรีธรรมราช!M199"")"),0)</f>
        <v>0</v>
      </c>
      <c r="G80" s="99">
        <f t="shared" si="1"/>
        <v>0</v>
      </c>
      <c r="H80" s="55">
        <v>0</v>
      </c>
      <c r="I80" s="55">
        <f ca="1">IFERROR(__xludf.DUMMYFUNCTION("IMPORTRANGE(""https://docs.google.com/spreadsheets/d/1IYY_tgx_IHuhSq3AJ5eI5OnqOPBNLWSHKh2a30DoXe8/edit?usp=sharing"",""นครศรีธรรมราช!J209"")"),0)</f>
        <v>0</v>
      </c>
      <c r="J80" s="99">
        <f t="shared" si="3"/>
        <v>0</v>
      </c>
      <c r="K80" s="55">
        <f ca="1">IFERROR(__xludf.DUMMYFUNCTION("IMPORTRANGE(""https://docs.google.com/spreadsheets/d/1IYY_tgx_IHuhSq3AJ5eI5OnqOPBNLWSHKh2a30DoXe8/edit?usp=sharing"",""นครศรีธรรมราช!J211"")"),0)</f>
        <v>0</v>
      </c>
      <c r="L80" s="99">
        <f t="shared" si="4"/>
        <v>0</v>
      </c>
      <c r="M80" s="54">
        <f t="shared" si="48"/>
        <v>0</v>
      </c>
      <c r="N80" s="55">
        <v>0</v>
      </c>
      <c r="O80" s="55">
        <v>0</v>
      </c>
      <c r="P80" s="55">
        <f ca="1">IFERROR(__xludf.DUMMYFUNCTION("IMPORTRANGE(""https://docs.google.com/spreadsheets/d/1IYY_tgx_IHuhSq3AJ5eI5OnqOPBNLWSHKh2a30DoXe8/edit?usp=sharing"",""นครศรีธรรมราช!M214"")"),0)</f>
        <v>0</v>
      </c>
      <c r="Q80" s="99">
        <f t="shared" si="6"/>
        <v>0</v>
      </c>
      <c r="R80" s="55">
        <v>0</v>
      </c>
      <c r="S80" s="55">
        <f ca="1">IFERROR(__xludf.DUMMYFUNCTION("IMPORTRANGE(""https://docs.google.com/spreadsheets/d/1IYY_tgx_IHuhSq3AJ5eI5OnqOPBNLWSHKh2a30DoXe8/edit?usp=sharing"",""นครศรีธรรมราช!J224"")"),0)</f>
        <v>0</v>
      </c>
      <c r="T80" s="99">
        <f t="shared" si="8"/>
        <v>0</v>
      </c>
      <c r="U80" s="81"/>
      <c r="V80" s="81"/>
      <c r="W80" s="81"/>
      <c r="X80" s="81"/>
      <c r="Y80" s="81"/>
      <c r="Z80" s="81"/>
    </row>
    <row r="81" spans="1:26" ht="24" customHeight="1" x14ac:dyDescent="0.5">
      <c r="A81" s="52">
        <v>5</v>
      </c>
      <c r="B81" s="53" t="s">
        <v>96</v>
      </c>
      <c r="C81" s="54">
        <f t="shared" si="47"/>
        <v>0</v>
      </c>
      <c r="D81" s="55">
        <v>0</v>
      </c>
      <c r="E81" s="55">
        <v>0</v>
      </c>
      <c r="F81" s="55">
        <f ca="1">IFERROR(__xludf.DUMMYFUNCTION("IMPORTRANGE(""https://docs.google.com/spreadsheets/d/1IYY_tgx_IHuhSq3AJ5eI5OnqOPBNLWSHKh2a30DoXe8/edit?usp=sharing"",""นราธิวาส!M199"")"),0)</f>
        <v>0</v>
      </c>
      <c r="G81" s="99">
        <f t="shared" si="1"/>
        <v>0</v>
      </c>
      <c r="H81" s="55">
        <v>0</v>
      </c>
      <c r="I81" s="55">
        <f ca="1">IFERROR(__xludf.DUMMYFUNCTION("IMPORTRANGE(""https://docs.google.com/spreadsheets/d/1IYY_tgx_IHuhSq3AJ5eI5OnqOPBNLWSHKh2a30DoXe8/edit?usp=sharing"",""นราธิวาส!J209"")"),0)</f>
        <v>0</v>
      </c>
      <c r="J81" s="99">
        <f t="shared" si="3"/>
        <v>0</v>
      </c>
      <c r="K81" s="55">
        <f ca="1">IFERROR(__xludf.DUMMYFUNCTION("IMPORTRANGE(""https://docs.google.com/spreadsheets/d/1IYY_tgx_IHuhSq3AJ5eI5OnqOPBNLWSHKh2a30DoXe8/edit?usp=sharing"",""นราธิวาส!J211"")"),0)</f>
        <v>0</v>
      </c>
      <c r="L81" s="99">
        <f t="shared" si="4"/>
        <v>0</v>
      </c>
      <c r="M81" s="54">
        <f t="shared" si="48"/>
        <v>0</v>
      </c>
      <c r="N81" s="55">
        <v>0</v>
      </c>
      <c r="O81" s="55">
        <v>0</v>
      </c>
      <c r="P81" s="55">
        <f ca="1">IFERROR(__xludf.DUMMYFUNCTION("IMPORTRANGE(""https://docs.google.com/spreadsheets/d/1IYY_tgx_IHuhSq3AJ5eI5OnqOPBNLWSHKh2a30DoXe8/edit?usp=sharing"",""นราธิวาส!M214"")"),0)</f>
        <v>0</v>
      </c>
      <c r="Q81" s="99">
        <f t="shared" si="6"/>
        <v>0</v>
      </c>
      <c r="R81" s="55">
        <v>0</v>
      </c>
      <c r="S81" s="55">
        <f ca="1">IFERROR(__xludf.DUMMYFUNCTION("IMPORTRANGE(""https://docs.google.com/spreadsheets/d/1IYY_tgx_IHuhSq3AJ5eI5OnqOPBNLWSHKh2a30DoXe8/edit?usp=sharing"",""นราธิวาส!J224"")"),0)</f>
        <v>0</v>
      </c>
      <c r="T81" s="99">
        <f t="shared" si="8"/>
        <v>0</v>
      </c>
      <c r="U81" s="81"/>
      <c r="V81" s="81"/>
      <c r="W81" s="81"/>
      <c r="X81" s="81"/>
      <c r="Y81" s="81"/>
      <c r="Z81" s="81"/>
    </row>
    <row r="82" spans="1:26" ht="24" customHeight="1" x14ac:dyDescent="0.5">
      <c r="A82" s="52">
        <v>6</v>
      </c>
      <c r="B82" s="53" t="s">
        <v>97</v>
      </c>
      <c r="C82" s="54">
        <f t="shared" si="47"/>
        <v>0</v>
      </c>
      <c r="D82" s="55">
        <v>0</v>
      </c>
      <c r="E82" s="55">
        <v>0</v>
      </c>
      <c r="F82" s="55">
        <f ca="1">IFERROR(__xludf.DUMMYFUNCTION("IMPORTRANGE(""https://docs.google.com/spreadsheets/d/1IYY_tgx_IHuhSq3AJ5eI5OnqOPBNLWSHKh2a30DoXe8/edit?usp=sharing"",""ปัตตานี!M199"")"),0)</f>
        <v>0</v>
      </c>
      <c r="G82" s="99">
        <f t="shared" si="1"/>
        <v>0</v>
      </c>
      <c r="H82" s="55">
        <v>0</v>
      </c>
      <c r="I82" s="55">
        <f ca="1">IFERROR(__xludf.DUMMYFUNCTION("IMPORTRANGE(""https://docs.google.com/spreadsheets/d/1IYY_tgx_IHuhSq3AJ5eI5OnqOPBNLWSHKh2a30DoXe8/edit?usp=sharing"",""ปัตตานี!J209"")"),0)</f>
        <v>0</v>
      </c>
      <c r="J82" s="99">
        <f t="shared" si="3"/>
        <v>0</v>
      </c>
      <c r="K82" s="55">
        <f ca="1">IFERROR(__xludf.DUMMYFUNCTION("IMPORTRANGE(""https://docs.google.com/spreadsheets/d/1IYY_tgx_IHuhSq3AJ5eI5OnqOPBNLWSHKh2a30DoXe8/edit?usp=sharing"",""ปัตตานี!J211"")"),0)</f>
        <v>0</v>
      </c>
      <c r="L82" s="99">
        <f t="shared" si="4"/>
        <v>0</v>
      </c>
      <c r="M82" s="54">
        <f t="shared" si="48"/>
        <v>0</v>
      </c>
      <c r="N82" s="55">
        <v>0</v>
      </c>
      <c r="O82" s="55">
        <v>0</v>
      </c>
      <c r="P82" s="55">
        <f ca="1">IFERROR(__xludf.DUMMYFUNCTION("IMPORTRANGE(""https://docs.google.com/spreadsheets/d/1IYY_tgx_IHuhSq3AJ5eI5OnqOPBNLWSHKh2a30DoXe8/edit?usp=sharing"",""ปัตตานี!M214"")"),0)</f>
        <v>0</v>
      </c>
      <c r="Q82" s="99">
        <f t="shared" si="6"/>
        <v>0</v>
      </c>
      <c r="R82" s="55">
        <v>0</v>
      </c>
      <c r="S82" s="55">
        <f ca="1">IFERROR(__xludf.DUMMYFUNCTION("IMPORTRANGE(""https://docs.google.com/spreadsheets/d/1IYY_tgx_IHuhSq3AJ5eI5OnqOPBNLWSHKh2a30DoXe8/edit?usp=sharing"",""ปัตตานี!J224"")"),0)</f>
        <v>0</v>
      </c>
      <c r="T82" s="99">
        <f t="shared" si="8"/>
        <v>0</v>
      </c>
      <c r="U82" s="81"/>
      <c r="V82" s="81"/>
      <c r="W82" s="81"/>
      <c r="X82" s="81"/>
      <c r="Y82" s="81"/>
      <c r="Z82" s="81"/>
    </row>
    <row r="83" spans="1:26" ht="24" customHeight="1" x14ac:dyDescent="0.5">
      <c r="A83" s="52">
        <v>7</v>
      </c>
      <c r="B83" s="53" t="s">
        <v>98</v>
      </c>
      <c r="C83" s="54">
        <f t="shared" si="47"/>
        <v>0</v>
      </c>
      <c r="D83" s="55">
        <v>0</v>
      </c>
      <c r="E83" s="55">
        <v>0</v>
      </c>
      <c r="F83" s="55">
        <f ca="1">IFERROR(__xludf.DUMMYFUNCTION("IMPORTRANGE(""https://docs.google.com/spreadsheets/d/1IYY_tgx_IHuhSq3AJ5eI5OnqOPBNLWSHKh2a30DoXe8/edit?usp=sharing"",""พังงา!M199"")"),0)</f>
        <v>0</v>
      </c>
      <c r="G83" s="99">
        <f t="shared" si="1"/>
        <v>0</v>
      </c>
      <c r="H83" s="55">
        <v>0</v>
      </c>
      <c r="I83" s="55">
        <f ca="1">IFERROR(__xludf.DUMMYFUNCTION("IMPORTRANGE(""https://docs.google.com/spreadsheets/d/1IYY_tgx_IHuhSq3AJ5eI5OnqOPBNLWSHKh2a30DoXe8/edit?usp=sharing"",""พังงา!J209"")"),0)</f>
        <v>0</v>
      </c>
      <c r="J83" s="99">
        <f t="shared" si="3"/>
        <v>0</v>
      </c>
      <c r="K83" s="55">
        <f ca="1">IFERROR(__xludf.DUMMYFUNCTION("IMPORTRANGE(""https://docs.google.com/spreadsheets/d/1IYY_tgx_IHuhSq3AJ5eI5OnqOPBNLWSHKh2a30DoXe8/edit?usp=sharing"",""พังงา!J211"")"),0)</f>
        <v>0</v>
      </c>
      <c r="L83" s="99">
        <f t="shared" si="4"/>
        <v>0</v>
      </c>
      <c r="M83" s="54">
        <f t="shared" si="48"/>
        <v>0</v>
      </c>
      <c r="N83" s="55">
        <v>0</v>
      </c>
      <c r="O83" s="55">
        <v>0</v>
      </c>
      <c r="P83" s="55">
        <f ca="1">IFERROR(__xludf.DUMMYFUNCTION("IMPORTRANGE(""https://docs.google.com/spreadsheets/d/1IYY_tgx_IHuhSq3AJ5eI5OnqOPBNLWSHKh2a30DoXe8/edit?usp=sharing"",""พังงา!M214"")"),0)</f>
        <v>0</v>
      </c>
      <c r="Q83" s="99">
        <f t="shared" si="6"/>
        <v>0</v>
      </c>
      <c r="R83" s="55">
        <v>0</v>
      </c>
      <c r="S83" s="55">
        <f ca="1">IFERROR(__xludf.DUMMYFUNCTION("IMPORTRANGE(""https://docs.google.com/spreadsheets/d/1IYY_tgx_IHuhSq3AJ5eI5OnqOPBNLWSHKh2a30DoXe8/edit?usp=sharing"",""พังงา!J224"")"),0)</f>
        <v>0</v>
      </c>
      <c r="T83" s="99">
        <f t="shared" si="8"/>
        <v>0</v>
      </c>
      <c r="U83" s="81"/>
      <c r="V83" s="81"/>
      <c r="W83" s="81"/>
      <c r="X83" s="81"/>
      <c r="Y83" s="81"/>
      <c r="Z83" s="81"/>
    </row>
    <row r="84" spans="1:26" ht="24" customHeight="1" x14ac:dyDescent="0.5">
      <c r="A84" s="52">
        <v>8</v>
      </c>
      <c r="B84" s="53" t="s">
        <v>99</v>
      </c>
      <c r="C84" s="54">
        <f t="shared" si="47"/>
        <v>0</v>
      </c>
      <c r="D84" s="55">
        <v>0</v>
      </c>
      <c r="E84" s="55">
        <v>0</v>
      </c>
      <c r="F84" s="55">
        <f ca="1">IFERROR(__xludf.DUMMYFUNCTION("IMPORTRANGE(""https://docs.google.com/spreadsheets/d/1IYY_tgx_IHuhSq3AJ5eI5OnqOPBNLWSHKh2a30DoXe8/edit?usp=sharing"",""พัทลุง!M199"")"),0)</f>
        <v>0</v>
      </c>
      <c r="G84" s="99">
        <f t="shared" si="1"/>
        <v>0</v>
      </c>
      <c r="H84" s="55">
        <v>0</v>
      </c>
      <c r="I84" s="55">
        <f ca="1">IFERROR(__xludf.DUMMYFUNCTION("IMPORTRANGE(""https://docs.google.com/spreadsheets/d/1IYY_tgx_IHuhSq3AJ5eI5OnqOPBNLWSHKh2a30DoXe8/edit?usp=sharing"",""พัทลุง!J209"")"),0)</f>
        <v>0</v>
      </c>
      <c r="J84" s="99">
        <f t="shared" si="3"/>
        <v>0</v>
      </c>
      <c r="K84" s="55">
        <f ca="1">IFERROR(__xludf.DUMMYFUNCTION("IMPORTRANGE(""https://docs.google.com/spreadsheets/d/1IYY_tgx_IHuhSq3AJ5eI5OnqOPBNLWSHKh2a30DoXe8/edit?usp=sharing"",""พัทลุง!J211"")"),0)</f>
        <v>0</v>
      </c>
      <c r="L84" s="99">
        <f t="shared" si="4"/>
        <v>0</v>
      </c>
      <c r="M84" s="54">
        <f t="shared" si="48"/>
        <v>0</v>
      </c>
      <c r="N84" s="55">
        <v>0</v>
      </c>
      <c r="O84" s="55">
        <v>0</v>
      </c>
      <c r="P84" s="55">
        <f ca="1">IFERROR(__xludf.DUMMYFUNCTION("IMPORTRANGE(""https://docs.google.com/spreadsheets/d/1IYY_tgx_IHuhSq3AJ5eI5OnqOPBNLWSHKh2a30DoXe8/edit?usp=sharing"",""พัทลุง!M214"")"),0)</f>
        <v>0</v>
      </c>
      <c r="Q84" s="99">
        <f t="shared" si="6"/>
        <v>0</v>
      </c>
      <c r="R84" s="55">
        <v>0</v>
      </c>
      <c r="S84" s="55">
        <f ca="1">IFERROR(__xludf.DUMMYFUNCTION("IMPORTRANGE(""https://docs.google.com/spreadsheets/d/1IYY_tgx_IHuhSq3AJ5eI5OnqOPBNLWSHKh2a30DoXe8/edit?usp=sharing"",""พัทลุง!J224"")"),0)</f>
        <v>0</v>
      </c>
      <c r="T84" s="99">
        <f t="shared" si="8"/>
        <v>0</v>
      </c>
      <c r="U84" s="81"/>
      <c r="V84" s="81"/>
      <c r="W84" s="81"/>
      <c r="X84" s="81"/>
      <c r="Y84" s="81"/>
      <c r="Z84" s="81"/>
    </row>
    <row r="85" spans="1:26" ht="24" customHeight="1" x14ac:dyDescent="0.5">
      <c r="A85" s="52">
        <v>9</v>
      </c>
      <c r="B85" s="53" t="s">
        <v>100</v>
      </c>
      <c r="C85" s="54">
        <f t="shared" si="47"/>
        <v>0</v>
      </c>
      <c r="D85" s="55">
        <v>0</v>
      </c>
      <c r="E85" s="55">
        <v>0</v>
      </c>
      <c r="F85" s="55">
        <f ca="1">IFERROR(__xludf.DUMMYFUNCTION("IMPORTRANGE(""https://docs.google.com/spreadsheets/d/1IYY_tgx_IHuhSq3AJ5eI5OnqOPBNLWSHKh2a30DoXe8/edit?usp=sharing"",""ภูเก็ต!M199"")"),0)</f>
        <v>0</v>
      </c>
      <c r="G85" s="99">
        <f t="shared" si="1"/>
        <v>0</v>
      </c>
      <c r="H85" s="55">
        <v>0</v>
      </c>
      <c r="I85" s="55">
        <f ca="1">IFERROR(__xludf.DUMMYFUNCTION("IMPORTRANGE(""https://docs.google.com/spreadsheets/d/1IYY_tgx_IHuhSq3AJ5eI5OnqOPBNLWSHKh2a30DoXe8/edit?usp=sharing"",""ภูเก็ต!J209"")"),0)</f>
        <v>0</v>
      </c>
      <c r="J85" s="99">
        <f t="shared" si="3"/>
        <v>0</v>
      </c>
      <c r="K85" s="55">
        <f ca="1">IFERROR(__xludf.DUMMYFUNCTION("IMPORTRANGE(""https://docs.google.com/spreadsheets/d/1IYY_tgx_IHuhSq3AJ5eI5OnqOPBNLWSHKh2a30DoXe8/edit?usp=sharing"",""ภูเก็ต!J211"")"),0)</f>
        <v>0</v>
      </c>
      <c r="L85" s="99">
        <f t="shared" si="4"/>
        <v>0</v>
      </c>
      <c r="M85" s="54">
        <f t="shared" si="48"/>
        <v>0</v>
      </c>
      <c r="N85" s="55">
        <v>0</v>
      </c>
      <c r="O85" s="55">
        <v>0</v>
      </c>
      <c r="P85" s="55">
        <f ca="1">IFERROR(__xludf.DUMMYFUNCTION("IMPORTRANGE(""https://docs.google.com/spreadsheets/d/1IYY_tgx_IHuhSq3AJ5eI5OnqOPBNLWSHKh2a30DoXe8/edit?usp=sharing"",""ภูเก็ต!M214"")"),0)</f>
        <v>0</v>
      </c>
      <c r="Q85" s="99">
        <f t="shared" si="6"/>
        <v>0</v>
      </c>
      <c r="R85" s="55">
        <v>0</v>
      </c>
      <c r="S85" s="55">
        <f ca="1">IFERROR(__xludf.DUMMYFUNCTION("IMPORTRANGE(""https://docs.google.com/spreadsheets/d/1IYY_tgx_IHuhSq3AJ5eI5OnqOPBNLWSHKh2a30DoXe8/edit?usp=sharing"",""ภูเก็ต!J224"")"),0)</f>
        <v>0</v>
      </c>
      <c r="T85" s="99">
        <f t="shared" si="8"/>
        <v>0</v>
      </c>
      <c r="U85" s="81"/>
      <c r="V85" s="81"/>
      <c r="W85" s="81"/>
      <c r="X85" s="81"/>
      <c r="Y85" s="81"/>
      <c r="Z85" s="81"/>
    </row>
    <row r="86" spans="1:26" ht="24" customHeight="1" x14ac:dyDescent="0.5">
      <c r="A86" s="52">
        <v>10</v>
      </c>
      <c r="B86" s="53" t="s">
        <v>101</v>
      </c>
      <c r="C86" s="54">
        <f t="shared" si="47"/>
        <v>0</v>
      </c>
      <c r="D86" s="55">
        <v>0</v>
      </c>
      <c r="E86" s="55">
        <v>0</v>
      </c>
      <c r="F86" s="55">
        <f ca="1">IFERROR(__xludf.DUMMYFUNCTION("IMPORTRANGE(""https://docs.google.com/spreadsheets/d/1IYY_tgx_IHuhSq3AJ5eI5OnqOPBNLWSHKh2a30DoXe8/edit?usp=sharing"",""ยะลา!M199"")"),0)</f>
        <v>0</v>
      </c>
      <c r="G86" s="99">
        <f t="shared" si="1"/>
        <v>0</v>
      </c>
      <c r="H86" s="55">
        <v>0</v>
      </c>
      <c r="I86" s="55">
        <f ca="1">IFERROR(__xludf.DUMMYFUNCTION("IMPORTRANGE(""https://docs.google.com/spreadsheets/d/1IYY_tgx_IHuhSq3AJ5eI5OnqOPBNLWSHKh2a30DoXe8/edit?usp=sharing"",""ยะลา!J209"")"),0)</f>
        <v>0</v>
      </c>
      <c r="J86" s="99">
        <f t="shared" si="3"/>
        <v>0</v>
      </c>
      <c r="K86" s="55">
        <f ca="1">IFERROR(__xludf.DUMMYFUNCTION("IMPORTRANGE(""https://docs.google.com/spreadsheets/d/1IYY_tgx_IHuhSq3AJ5eI5OnqOPBNLWSHKh2a30DoXe8/edit?usp=sharing"",""ยะลา!J211"")"),0)</f>
        <v>0</v>
      </c>
      <c r="L86" s="99">
        <f t="shared" si="4"/>
        <v>0</v>
      </c>
      <c r="M86" s="54">
        <f t="shared" si="48"/>
        <v>0</v>
      </c>
      <c r="N86" s="55">
        <v>0</v>
      </c>
      <c r="O86" s="55">
        <v>0</v>
      </c>
      <c r="P86" s="55">
        <f ca="1">IFERROR(__xludf.DUMMYFUNCTION("IMPORTRANGE(""https://docs.google.com/spreadsheets/d/1IYY_tgx_IHuhSq3AJ5eI5OnqOPBNLWSHKh2a30DoXe8/edit?usp=sharing"",""ยะลา!M214"")"),0)</f>
        <v>0</v>
      </c>
      <c r="Q86" s="99">
        <f t="shared" si="6"/>
        <v>0</v>
      </c>
      <c r="R86" s="55">
        <v>0</v>
      </c>
      <c r="S86" s="55">
        <f ca="1">IFERROR(__xludf.DUMMYFUNCTION("IMPORTRANGE(""https://docs.google.com/spreadsheets/d/1IYY_tgx_IHuhSq3AJ5eI5OnqOPBNLWSHKh2a30DoXe8/edit?usp=sharing"",""ยะลา!J224"")"),0)</f>
        <v>0</v>
      </c>
      <c r="T86" s="99">
        <f t="shared" si="8"/>
        <v>0</v>
      </c>
      <c r="U86" s="81"/>
      <c r="V86" s="81"/>
      <c r="W86" s="81"/>
      <c r="X86" s="81"/>
      <c r="Y86" s="81"/>
      <c r="Z86" s="81"/>
    </row>
    <row r="87" spans="1:26" ht="24" customHeight="1" x14ac:dyDescent="0.5">
      <c r="A87" s="52">
        <v>11</v>
      </c>
      <c r="B87" s="53" t="s">
        <v>102</v>
      </c>
      <c r="C87" s="54">
        <f t="shared" si="47"/>
        <v>0</v>
      </c>
      <c r="D87" s="55">
        <v>0</v>
      </c>
      <c r="E87" s="55">
        <v>0</v>
      </c>
      <c r="F87" s="55">
        <f ca="1">IFERROR(__xludf.DUMMYFUNCTION("IMPORTRANGE(""https://docs.google.com/spreadsheets/d/1IYY_tgx_IHuhSq3AJ5eI5OnqOPBNLWSHKh2a30DoXe8/edit?usp=sharing"",""ระนอง!M199"")"),0)</f>
        <v>0</v>
      </c>
      <c r="G87" s="99">
        <f t="shared" si="1"/>
        <v>0</v>
      </c>
      <c r="H87" s="55">
        <v>0</v>
      </c>
      <c r="I87" s="55">
        <f ca="1">IFERROR(__xludf.DUMMYFUNCTION("IMPORTRANGE(""https://docs.google.com/spreadsheets/d/1IYY_tgx_IHuhSq3AJ5eI5OnqOPBNLWSHKh2a30DoXe8/edit?usp=sharing"",""ระนอง!J209"")"),0)</f>
        <v>0</v>
      </c>
      <c r="J87" s="99">
        <f t="shared" si="3"/>
        <v>0</v>
      </c>
      <c r="K87" s="55">
        <f ca="1">IFERROR(__xludf.DUMMYFUNCTION("IMPORTRANGE(""https://docs.google.com/spreadsheets/d/1IYY_tgx_IHuhSq3AJ5eI5OnqOPBNLWSHKh2a30DoXe8/edit?usp=sharing"",""ระนอง!J211"")"),0)</f>
        <v>0</v>
      </c>
      <c r="L87" s="99">
        <f t="shared" si="4"/>
        <v>0</v>
      </c>
      <c r="M87" s="54">
        <f t="shared" si="48"/>
        <v>0</v>
      </c>
      <c r="N87" s="55">
        <v>0</v>
      </c>
      <c r="O87" s="55">
        <v>0</v>
      </c>
      <c r="P87" s="55">
        <f ca="1">IFERROR(__xludf.DUMMYFUNCTION("IMPORTRANGE(""https://docs.google.com/spreadsheets/d/1IYY_tgx_IHuhSq3AJ5eI5OnqOPBNLWSHKh2a30DoXe8/edit?usp=sharing"",""ระนอง!M214"")"),0)</f>
        <v>0</v>
      </c>
      <c r="Q87" s="99">
        <f t="shared" si="6"/>
        <v>0</v>
      </c>
      <c r="R87" s="55">
        <v>0</v>
      </c>
      <c r="S87" s="55">
        <f ca="1">IFERROR(__xludf.DUMMYFUNCTION("IMPORTRANGE(""https://docs.google.com/spreadsheets/d/1IYY_tgx_IHuhSq3AJ5eI5OnqOPBNLWSHKh2a30DoXe8/edit?usp=sharing"",""ระนอง!J224"")"),0)</f>
        <v>0</v>
      </c>
      <c r="T87" s="99">
        <f t="shared" si="8"/>
        <v>0</v>
      </c>
      <c r="U87" s="81"/>
      <c r="V87" s="81"/>
      <c r="W87" s="81"/>
      <c r="X87" s="81"/>
      <c r="Y87" s="81"/>
      <c r="Z87" s="81"/>
    </row>
    <row r="88" spans="1:26" ht="24" customHeight="1" x14ac:dyDescent="0.5">
      <c r="A88" s="52">
        <v>12</v>
      </c>
      <c r="B88" s="53" t="s">
        <v>103</v>
      </c>
      <c r="C88" s="54">
        <f t="shared" si="47"/>
        <v>81820</v>
      </c>
      <c r="D88" s="55">
        <v>0</v>
      </c>
      <c r="E88" s="55">
        <v>81820</v>
      </c>
      <c r="F88" s="55">
        <f ca="1">IFERROR(__xludf.DUMMYFUNCTION("IMPORTRANGE(""https://docs.google.com/spreadsheets/d/1IYY_tgx_IHuhSq3AJ5eI5OnqOPBNLWSHKh2a30DoXe8/edit?usp=sharing"",""สงขลา!M199"")"),0)</f>
        <v>0</v>
      </c>
      <c r="G88" s="99">
        <f t="shared" ca="1" si="1"/>
        <v>0</v>
      </c>
      <c r="H88" s="55">
        <v>15</v>
      </c>
      <c r="I88" s="55">
        <f ca="1">IFERROR(__xludf.DUMMYFUNCTION("IMPORTRANGE(""https://docs.google.com/spreadsheets/d/1IYY_tgx_IHuhSq3AJ5eI5OnqOPBNLWSHKh2a30DoXe8/edit?usp=sharing"",""สงขลา!J209"")"),0)</f>
        <v>0</v>
      </c>
      <c r="J88" s="99">
        <f t="shared" ca="1" si="3"/>
        <v>0</v>
      </c>
      <c r="K88" s="55">
        <f ca="1">IFERROR(__xludf.DUMMYFUNCTION("IMPORTRANGE(""https://docs.google.com/spreadsheets/d/1IYY_tgx_IHuhSq3AJ5eI5OnqOPBNLWSHKh2a30DoXe8/edit?usp=sharing"",""สงขลา!J211"")"),0)</f>
        <v>0</v>
      </c>
      <c r="L88" s="99">
        <f t="shared" ca="1" si="4"/>
        <v>0</v>
      </c>
      <c r="M88" s="54">
        <f t="shared" si="48"/>
        <v>217600</v>
      </c>
      <c r="N88" s="55">
        <v>0</v>
      </c>
      <c r="O88" s="55">
        <v>217600</v>
      </c>
      <c r="P88" s="55">
        <f ca="1">IFERROR(__xludf.DUMMYFUNCTION("IMPORTRANGE(""https://docs.google.com/spreadsheets/d/1IYY_tgx_IHuhSq3AJ5eI5OnqOPBNLWSHKh2a30DoXe8/edit?usp=sharing"",""สงขลา!M214"")"),38510)</f>
        <v>38510</v>
      </c>
      <c r="Q88" s="99">
        <f t="shared" ca="1" si="6"/>
        <v>17.697610294117649</v>
      </c>
      <c r="R88" s="55">
        <v>1</v>
      </c>
      <c r="S88" s="55">
        <f ca="1">IFERROR(__xludf.DUMMYFUNCTION("IMPORTRANGE(""https://docs.google.com/spreadsheets/d/1IYY_tgx_IHuhSq3AJ5eI5OnqOPBNLWSHKh2a30DoXe8/edit?usp=sharing"",""สงขลา!J224"")"),0)</f>
        <v>0</v>
      </c>
      <c r="T88" s="99">
        <f t="shared" ca="1" si="8"/>
        <v>0</v>
      </c>
      <c r="U88" s="81"/>
      <c r="V88" s="81"/>
      <c r="W88" s="81"/>
      <c r="X88" s="81"/>
      <c r="Y88" s="81"/>
      <c r="Z88" s="81"/>
    </row>
    <row r="89" spans="1:26" ht="24" customHeight="1" x14ac:dyDescent="0.5">
      <c r="A89" s="52">
        <v>13</v>
      </c>
      <c r="B89" s="53" t="s">
        <v>104</v>
      </c>
      <c r="C89" s="54">
        <f t="shared" si="47"/>
        <v>0</v>
      </c>
      <c r="D89" s="55">
        <v>0</v>
      </c>
      <c r="E89" s="55">
        <v>0</v>
      </c>
      <c r="F89" s="55">
        <f ca="1">IFERROR(__xludf.DUMMYFUNCTION("IMPORTRANGE(""https://docs.google.com/spreadsheets/d/1IYY_tgx_IHuhSq3AJ5eI5OnqOPBNLWSHKh2a30DoXe8/edit?usp=sharing"",""สตูล!M199"")"),0)</f>
        <v>0</v>
      </c>
      <c r="G89" s="99">
        <f t="shared" si="1"/>
        <v>0</v>
      </c>
      <c r="H89" s="55">
        <v>0</v>
      </c>
      <c r="I89" s="55">
        <f ca="1">IFERROR(__xludf.DUMMYFUNCTION("IMPORTRANGE(""https://docs.google.com/spreadsheets/d/1IYY_tgx_IHuhSq3AJ5eI5OnqOPBNLWSHKh2a30DoXe8/edit?usp=sharing"",""สตูล!J209"")"),0)</f>
        <v>0</v>
      </c>
      <c r="J89" s="99">
        <f t="shared" si="3"/>
        <v>0</v>
      </c>
      <c r="K89" s="55">
        <f ca="1">IFERROR(__xludf.DUMMYFUNCTION("IMPORTRANGE(""https://docs.google.com/spreadsheets/d/1IYY_tgx_IHuhSq3AJ5eI5OnqOPBNLWSHKh2a30DoXe8/edit?usp=sharing"",""สตูล!J211"")"),0)</f>
        <v>0</v>
      </c>
      <c r="L89" s="99">
        <f t="shared" si="4"/>
        <v>0</v>
      </c>
      <c r="M89" s="54">
        <f t="shared" si="48"/>
        <v>0</v>
      </c>
      <c r="N89" s="55">
        <v>0</v>
      </c>
      <c r="O89" s="55">
        <v>0</v>
      </c>
      <c r="P89" s="55">
        <f ca="1">IFERROR(__xludf.DUMMYFUNCTION("IMPORTRANGE(""https://docs.google.com/spreadsheets/d/1IYY_tgx_IHuhSq3AJ5eI5OnqOPBNLWSHKh2a30DoXe8/edit?usp=sharing"",""สตูล!M214"")"),0)</f>
        <v>0</v>
      </c>
      <c r="Q89" s="99">
        <f t="shared" si="6"/>
        <v>0</v>
      </c>
      <c r="R89" s="55">
        <v>0</v>
      </c>
      <c r="S89" s="55">
        <f ca="1">IFERROR(__xludf.DUMMYFUNCTION("IMPORTRANGE(""https://docs.google.com/spreadsheets/d/1IYY_tgx_IHuhSq3AJ5eI5OnqOPBNLWSHKh2a30DoXe8/edit?usp=sharing"",""สตูล!J224"")"),0)</f>
        <v>0</v>
      </c>
      <c r="T89" s="99">
        <f t="shared" si="8"/>
        <v>0</v>
      </c>
      <c r="U89" s="81"/>
      <c r="V89" s="81"/>
      <c r="W89" s="81"/>
      <c r="X89" s="81"/>
      <c r="Y89" s="81"/>
      <c r="Z89" s="81"/>
    </row>
    <row r="90" spans="1:26" ht="24" customHeight="1" x14ac:dyDescent="0.5">
      <c r="A90" s="59">
        <v>14</v>
      </c>
      <c r="B90" s="60" t="s">
        <v>105</v>
      </c>
      <c r="C90" s="61">
        <f t="shared" si="47"/>
        <v>72260</v>
      </c>
      <c r="D90" s="62">
        <v>0</v>
      </c>
      <c r="E90" s="62">
        <v>72260</v>
      </c>
      <c r="F90" s="62">
        <f ca="1">IFERROR(__xludf.DUMMYFUNCTION("IMPORTRANGE(""https://docs.google.com/spreadsheets/d/1IYY_tgx_IHuhSq3AJ5eI5OnqOPBNLWSHKh2a30DoXe8/edit?usp=sharing"",""สุราษฎร์ธานี!M199"")"),0)</f>
        <v>0</v>
      </c>
      <c r="G90" s="100">
        <f t="shared" ca="1" si="1"/>
        <v>0</v>
      </c>
      <c r="H90" s="62">
        <v>15</v>
      </c>
      <c r="I90" s="62">
        <f ca="1">IFERROR(__xludf.DUMMYFUNCTION("IMPORTRANGE(""https://docs.google.com/spreadsheets/d/1IYY_tgx_IHuhSq3AJ5eI5OnqOPBNLWSHKh2a30DoXe8/edit?usp=sharing"",""สุราษฎร์ธานี!J209"")"),0)</f>
        <v>0</v>
      </c>
      <c r="J90" s="100">
        <f t="shared" ca="1" si="3"/>
        <v>0</v>
      </c>
      <c r="K90" s="62">
        <f ca="1">IFERROR(__xludf.DUMMYFUNCTION("IMPORTRANGE(""https://docs.google.com/spreadsheets/d/1IYY_tgx_IHuhSq3AJ5eI5OnqOPBNLWSHKh2a30DoXe8/edit?usp=sharing"",""สุราษฎร์ธานี!J211"")"),0)</f>
        <v>0</v>
      </c>
      <c r="L90" s="100">
        <f t="shared" ca="1" si="4"/>
        <v>0</v>
      </c>
      <c r="M90" s="61">
        <f t="shared" si="48"/>
        <v>278600</v>
      </c>
      <c r="N90" s="62">
        <v>0</v>
      </c>
      <c r="O90" s="62">
        <v>278600</v>
      </c>
      <c r="P90" s="62">
        <f ca="1">IFERROR(__xludf.DUMMYFUNCTION("IMPORTRANGE(""https://docs.google.com/spreadsheets/d/1IYY_tgx_IHuhSq3AJ5eI5OnqOPBNLWSHKh2a30DoXe8/edit?usp=sharing"",""สุราษฎร์ธานี!M214"")"),0)</f>
        <v>0</v>
      </c>
      <c r="Q90" s="100">
        <f t="shared" ca="1" si="6"/>
        <v>0</v>
      </c>
      <c r="R90" s="62">
        <v>1</v>
      </c>
      <c r="S90" s="62">
        <f ca="1">IFERROR(__xludf.DUMMYFUNCTION("IMPORTRANGE(""https://docs.google.com/spreadsheets/d/1IYY_tgx_IHuhSq3AJ5eI5OnqOPBNLWSHKh2a30DoXe8/edit?usp=sharing"",""สุราษฎร์ธานี!J224"")"),0)</f>
        <v>0</v>
      </c>
      <c r="T90" s="100">
        <f t="shared" ca="1" si="8"/>
        <v>0</v>
      </c>
      <c r="U90" s="81"/>
      <c r="V90" s="81"/>
      <c r="W90" s="81"/>
      <c r="X90" s="81"/>
      <c r="Y90" s="81"/>
      <c r="Z90" s="81"/>
    </row>
    <row r="91" spans="1:26" ht="24" customHeight="1" x14ac:dyDescent="0.5">
      <c r="A91" s="572" t="s">
        <v>106</v>
      </c>
      <c r="B91" s="571"/>
      <c r="C91" s="35">
        <f t="shared" ref="C91:F91" si="49">+C92+C93+C94+C95+C96+C97+C98+C99+C100+C101+C102+C103+C104+C105</f>
        <v>999960</v>
      </c>
      <c r="D91" s="35">
        <f t="shared" si="49"/>
        <v>209900</v>
      </c>
      <c r="E91" s="35">
        <f t="shared" si="49"/>
        <v>790060</v>
      </c>
      <c r="F91" s="35">
        <f t="shared" ca="1" si="49"/>
        <v>81314</v>
      </c>
      <c r="G91" s="92">
        <f t="shared" ca="1" si="1"/>
        <v>8.1317252690107598</v>
      </c>
      <c r="H91" s="35">
        <f>SUM(H92:H105)</f>
        <v>0</v>
      </c>
      <c r="I91" s="35">
        <f>+I92+I93+I94+I95+I96+I97+I98+I99+I100+I101+I102+I103+I104+I105</f>
        <v>0</v>
      </c>
      <c r="J91" s="92">
        <f t="shared" si="3"/>
        <v>0</v>
      </c>
      <c r="K91" s="35">
        <f>+K92+K93+K94+K95+K96+K97+K98+K99+K100+K101+K102+K103+K104+K105</f>
        <v>0</v>
      </c>
      <c r="L91" s="92">
        <f t="shared" si="4"/>
        <v>0</v>
      </c>
      <c r="M91" s="35">
        <f t="shared" ref="M91:P91" si="50">+M92+M93+M94+M95+M96+M97+M98+M99+M100+M101+M102+M103+M104+M105</f>
        <v>3034400</v>
      </c>
      <c r="N91" s="35">
        <f t="shared" si="50"/>
        <v>1100000</v>
      </c>
      <c r="O91" s="35">
        <f t="shared" si="50"/>
        <v>1934400</v>
      </c>
      <c r="P91" s="35">
        <f t="shared" ca="1" si="50"/>
        <v>372455</v>
      </c>
      <c r="Q91" s="92">
        <f t="shared" ca="1" si="6"/>
        <v>12.274419984181387</v>
      </c>
      <c r="R91" s="35">
        <f>SUM(R92:R105)</f>
        <v>0</v>
      </c>
      <c r="S91" s="35">
        <f>+S92+S93+S94+S95+S96+S97+S98+S99+S100+S101+S102+S103+S104+S105</f>
        <v>0</v>
      </c>
      <c r="T91" s="92">
        <f t="shared" si="8"/>
        <v>0</v>
      </c>
      <c r="U91" s="81"/>
      <c r="V91" s="81"/>
      <c r="W91" s="81"/>
      <c r="X91" s="81"/>
      <c r="Y91" s="81"/>
      <c r="Z91" s="81"/>
    </row>
    <row r="92" spans="1:26" ht="24" customHeight="1" x14ac:dyDescent="0.5">
      <c r="A92" s="68">
        <v>1</v>
      </c>
      <c r="B92" s="69" t="s">
        <v>107</v>
      </c>
      <c r="C92" s="47">
        <f t="shared" ref="C92:C105" si="51">+D92+E92</f>
        <v>0</v>
      </c>
      <c r="D92" s="48">
        <v>0</v>
      </c>
      <c r="E92" s="48">
        <v>0</v>
      </c>
      <c r="F92" s="48">
        <f ca="1">IFERROR(__xludf.DUMMYFUNCTION("IMPORTRANGE(""https://docs.google.com/spreadsheets/d/1Yj_ptqi66GCucihVvJfMjLAmec39IyEx_6qawtMGysU/edit?usp=sharing"",""สบก!CU96"")"),0)</f>
        <v>0</v>
      </c>
      <c r="G92" s="98">
        <f t="shared" si="1"/>
        <v>0</v>
      </c>
      <c r="H92" s="48">
        <v>0</v>
      </c>
      <c r="I92" s="48">
        <v>0</v>
      </c>
      <c r="J92" s="98">
        <f t="shared" si="3"/>
        <v>0</v>
      </c>
      <c r="K92" s="48">
        <v>0</v>
      </c>
      <c r="L92" s="98">
        <f t="shared" si="4"/>
        <v>0</v>
      </c>
      <c r="M92" s="47">
        <f t="shared" ref="M92:M105" si="52">+N92+O92</f>
        <v>0</v>
      </c>
      <c r="N92" s="48">
        <v>0</v>
      </c>
      <c r="O92" s="48">
        <v>0</v>
      </c>
      <c r="P92" s="48">
        <f ca="1">IFERROR(__xludf.DUMMYFUNCTION("IMPORTRANGE(""https://docs.google.com/spreadsheets/d/1Yj_ptqi66GCucihVvJfMjLAmec39IyEx_6qawtMGysU/edit?usp=sharing"",""สบก!DD96"")"),0)</f>
        <v>0</v>
      </c>
      <c r="Q92" s="98">
        <f t="shared" si="6"/>
        <v>0</v>
      </c>
      <c r="R92" s="48">
        <v>0</v>
      </c>
      <c r="S92" s="48">
        <v>0</v>
      </c>
      <c r="T92" s="98">
        <f t="shared" si="8"/>
        <v>0</v>
      </c>
      <c r="U92" s="81"/>
      <c r="V92" s="81"/>
      <c r="W92" s="81"/>
      <c r="X92" s="81"/>
      <c r="Y92" s="81"/>
      <c r="Z92" s="81"/>
    </row>
    <row r="93" spans="1:26" ht="24" customHeight="1" x14ac:dyDescent="0.5">
      <c r="A93" s="70">
        <v>2</v>
      </c>
      <c r="B93" s="71" t="s">
        <v>108</v>
      </c>
      <c r="C93" s="54">
        <f t="shared" si="51"/>
        <v>0</v>
      </c>
      <c r="D93" s="55">
        <v>0</v>
      </c>
      <c r="E93" s="55">
        <v>0</v>
      </c>
      <c r="F93" s="55">
        <f ca="1">IFERROR(__xludf.DUMMYFUNCTION("IMPORTRANGE(""https://docs.google.com/spreadsheets/d/1Yj_ptqi66GCucihVvJfMjLAmec39IyEx_6qawtMGysU/edit?usp=sharing"",""สบก!CU97"")"),0)</f>
        <v>0</v>
      </c>
      <c r="G93" s="99">
        <f t="shared" si="1"/>
        <v>0</v>
      </c>
      <c r="H93" s="55">
        <v>0</v>
      </c>
      <c r="I93" s="55">
        <v>0</v>
      </c>
      <c r="J93" s="99">
        <f t="shared" si="3"/>
        <v>0</v>
      </c>
      <c r="K93" s="55">
        <v>0</v>
      </c>
      <c r="L93" s="99">
        <f t="shared" si="4"/>
        <v>0</v>
      </c>
      <c r="M93" s="54">
        <f t="shared" si="52"/>
        <v>0</v>
      </c>
      <c r="N93" s="55">
        <v>0</v>
      </c>
      <c r="O93" s="55">
        <v>0</v>
      </c>
      <c r="P93" s="55">
        <f ca="1">IFERROR(__xludf.DUMMYFUNCTION("IMPORTRANGE(""https://docs.google.com/spreadsheets/d/1Yj_ptqi66GCucihVvJfMjLAmec39IyEx_6qawtMGysU/edit?usp=sharing"",""สบก!DD97"")"),0)</f>
        <v>0</v>
      </c>
      <c r="Q93" s="99">
        <f t="shared" si="6"/>
        <v>0</v>
      </c>
      <c r="R93" s="55">
        <v>0</v>
      </c>
      <c r="S93" s="55">
        <v>0</v>
      </c>
      <c r="T93" s="99">
        <f t="shared" si="8"/>
        <v>0</v>
      </c>
      <c r="U93" s="81"/>
      <c r="V93" s="81"/>
      <c r="W93" s="81"/>
      <c r="X93" s="81"/>
      <c r="Y93" s="81"/>
      <c r="Z93" s="81"/>
    </row>
    <row r="94" spans="1:26" ht="24" customHeight="1" x14ac:dyDescent="0.5">
      <c r="A94" s="70">
        <v>3</v>
      </c>
      <c r="B94" s="71" t="s">
        <v>109</v>
      </c>
      <c r="C94" s="54">
        <f t="shared" si="51"/>
        <v>0</v>
      </c>
      <c r="D94" s="55">
        <v>0</v>
      </c>
      <c r="E94" s="55">
        <v>0</v>
      </c>
      <c r="F94" s="55">
        <f ca="1">IFERROR(__xludf.DUMMYFUNCTION("IMPORTRANGE(""https://docs.google.com/spreadsheets/d/1Yj_ptqi66GCucihVvJfMjLAmec39IyEx_6qawtMGysU/edit?usp=sharing"",""สบก!CU98"")"),0)</f>
        <v>0</v>
      </c>
      <c r="G94" s="99">
        <f t="shared" si="1"/>
        <v>0</v>
      </c>
      <c r="H94" s="55">
        <v>0</v>
      </c>
      <c r="I94" s="55">
        <v>0</v>
      </c>
      <c r="J94" s="99">
        <f t="shared" si="3"/>
        <v>0</v>
      </c>
      <c r="K94" s="55">
        <v>0</v>
      </c>
      <c r="L94" s="99">
        <f t="shared" si="4"/>
        <v>0</v>
      </c>
      <c r="M94" s="54">
        <f t="shared" si="52"/>
        <v>0</v>
      </c>
      <c r="N94" s="55">
        <v>0</v>
      </c>
      <c r="O94" s="55">
        <v>0</v>
      </c>
      <c r="P94" s="55">
        <f ca="1">IFERROR(__xludf.DUMMYFUNCTION("IMPORTRANGE(""https://docs.google.com/spreadsheets/d/1Yj_ptqi66GCucihVvJfMjLAmec39IyEx_6qawtMGysU/edit?usp=sharing"",""สบก!DD98"")"),124869)</f>
        <v>124869</v>
      </c>
      <c r="Q94" s="99">
        <f t="shared" si="6"/>
        <v>0</v>
      </c>
      <c r="R94" s="55">
        <v>0</v>
      </c>
      <c r="S94" s="55">
        <v>0</v>
      </c>
      <c r="T94" s="99">
        <f t="shared" si="8"/>
        <v>0</v>
      </c>
      <c r="U94" s="81"/>
      <c r="V94" s="81"/>
      <c r="W94" s="81"/>
      <c r="X94" s="81"/>
      <c r="Y94" s="81"/>
      <c r="Z94" s="81"/>
    </row>
    <row r="95" spans="1:26" ht="24" customHeight="1" x14ac:dyDescent="0.5">
      <c r="A95" s="70">
        <f t="shared" ref="A95:A105" si="53">+A94+1</f>
        <v>4</v>
      </c>
      <c r="B95" s="71" t="s">
        <v>110</v>
      </c>
      <c r="C95" s="54">
        <f t="shared" si="51"/>
        <v>0</v>
      </c>
      <c r="D95" s="55">
        <v>0</v>
      </c>
      <c r="E95" s="55">
        <v>0</v>
      </c>
      <c r="F95" s="55">
        <f ca="1">IFERROR(__xludf.DUMMYFUNCTION("IMPORTRANGE(""https://docs.google.com/spreadsheets/d/1Yj_ptqi66GCucihVvJfMjLAmec39IyEx_6qawtMGysU/edit?usp=sharing"",""สบก!CU99"")"),0)</f>
        <v>0</v>
      </c>
      <c r="G95" s="99">
        <f t="shared" si="1"/>
        <v>0</v>
      </c>
      <c r="H95" s="55">
        <v>0</v>
      </c>
      <c r="I95" s="55">
        <v>0</v>
      </c>
      <c r="J95" s="99">
        <f t="shared" si="3"/>
        <v>0</v>
      </c>
      <c r="K95" s="55">
        <v>0</v>
      </c>
      <c r="L95" s="99">
        <f t="shared" si="4"/>
        <v>0</v>
      </c>
      <c r="M95" s="54">
        <f t="shared" si="52"/>
        <v>400000</v>
      </c>
      <c r="N95" s="55">
        <v>400000</v>
      </c>
      <c r="O95" s="55">
        <v>0</v>
      </c>
      <c r="P95" s="55">
        <f ca="1">IFERROR(__xludf.DUMMYFUNCTION("IMPORTRANGE(""https://docs.google.com/spreadsheets/d/1Yj_ptqi66GCucihVvJfMjLAmec39IyEx_6qawtMGysU/edit?usp=sharing"",""สบก!DD99"")"),0)</f>
        <v>0</v>
      </c>
      <c r="Q95" s="99">
        <f t="shared" ca="1" si="6"/>
        <v>0</v>
      </c>
      <c r="R95" s="55">
        <v>0</v>
      </c>
      <c r="S95" s="55">
        <v>0</v>
      </c>
      <c r="T95" s="99">
        <f t="shared" si="8"/>
        <v>0</v>
      </c>
      <c r="U95" s="81"/>
      <c r="V95" s="81"/>
      <c r="W95" s="81"/>
      <c r="X95" s="81"/>
      <c r="Y95" s="81"/>
      <c r="Z95" s="81"/>
    </row>
    <row r="96" spans="1:26" ht="24" customHeight="1" x14ac:dyDescent="0.5">
      <c r="A96" s="70">
        <f t="shared" si="53"/>
        <v>5</v>
      </c>
      <c r="B96" s="71" t="s">
        <v>111</v>
      </c>
      <c r="C96" s="54">
        <f t="shared" si="51"/>
        <v>0</v>
      </c>
      <c r="D96" s="55">
        <v>0</v>
      </c>
      <c r="E96" s="55">
        <v>0</v>
      </c>
      <c r="F96" s="55">
        <f ca="1">IFERROR(__xludf.DUMMYFUNCTION("IMPORTRANGE(""https://docs.google.com/spreadsheets/d/1Yj_ptqi66GCucihVvJfMjLAmec39IyEx_6qawtMGysU/edit?usp=sharing"",""สบก!CU100"")"),0)</f>
        <v>0</v>
      </c>
      <c r="G96" s="99">
        <f t="shared" si="1"/>
        <v>0</v>
      </c>
      <c r="H96" s="55">
        <v>0</v>
      </c>
      <c r="I96" s="55">
        <v>0</v>
      </c>
      <c r="J96" s="99">
        <f t="shared" si="3"/>
        <v>0</v>
      </c>
      <c r="K96" s="55">
        <v>0</v>
      </c>
      <c r="L96" s="99">
        <f t="shared" si="4"/>
        <v>0</v>
      </c>
      <c r="M96" s="54">
        <f t="shared" si="52"/>
        <v>0</v>
      </c>
      <c r="N96" s="55">
        <v>0</v>
      </c>
      <c r="O96" s="55">
        <v>0</v>
      </c>
      <c r="P96" s="55">
        <f ca="1">IFERROR(__xludf.DUMMYFUNCTION("IMPORTRANGE(""https://docs.google.com/spreadsheets/d/1Yj_ptqi66GCucihVvJfMjLAmec39IyEx_6qawtMGysU/edit?usp=sharing"",""สบก!DD100"")"),0)</f>
        <v>0</v>
      </c>
      <c r="Q96" s="99">
        <f t="shared" si="6"/>
        <v>0</v>
      </c>
      <c r="R96" s="55">
        <v>0</v>
      </c>
      <c r="S96" s="55">
        <v>0</v>
      </c>
      <c r="T96" s="99">
        <f t="shared" si="8"/>
        <v>0</v>
      </c>
      <c r="U96" s="81"/>
      <c r="V96" s="81"/>
      <c r="W96" s="81"/>
      <c r="X96" s="81"/>
      <c r="Y96" s="81"/>
      <c r="Z96" s="81"/>
    </row>
    <row r="97" spans="1:26" ht="24" customHeight="1" x14ac:dyDescent="0.5">
      <c r="A97" s="70">
        <f t="shared" si="53"/>
        <v>6</v>
      </c>
      <c r="B97" s="71" t="s">
        <v>112</v>
      </c>
      <c r="C97" s="54">
        <f t="shared" si="51"/>
        <v>0</v>
      </c>
      <c r="D97" s="55">
        <v>0</v>
      </c>
      <c r="E97" s="55">
        <v>0</v>
      </c>
      <c r="F97" s="55">
        <f ca="1">IFERROR(__xludf.DUMMYFUNCTION("IMPORTRANGE(""https://docs.google.com/spreadsheets/d/1Yj_ptqi66GCucihVvJfMjLAmec39IyEx_6qawtMGysU/edit?usp=sharing"",""สบก!CU101"")"),0)</f>
        <v>0</v>
      </c>
      <c r="G97" s="99">
        <f t="shared" si="1"/>
        <v>0</v>
      </c>
      <c r="H97" s="55">
        <v>0</v>
      </c>
      <c r="I97" s="55">
        <v>0</v>
      </c>
      <c r="J97" s="99">
        <f t="shared" si="3"/>
        <v>0</v>
      </c>
      <c r="K97" s="55">
        <v>0</v>
      </c>
      <c r="L97" s="99">
        <f t="shared" si="4"/>
        <v>0</v>
      </c>
      <c r="M97" s="54">
        <f t="shared" si="52"/>
        <v>1614400</v>
      </c>
      <c r="N97" s="55">
        <v>0</v>
      </c>
      <c r="O97" s="55">
        <v>1614400</v>
      </c>
      <c r="P97" s="55">
        <f ca="1">IFERROR(__xludf.DUMMYFUNCTION("IMPORTRANGE(""https://docs.google.com/spreadsheets/d/1Yj_ptqi66GCucihVvJfMjLAmec39IyEx_6qawtMGysU/edit?usp=sharing"",""สบก!DD101"")"),134050)</f>
        <v>134050</v>
      </c>
      <c r="Q97" s="99">
        <f t="shared" ca="1" si="6"/>
        <v>8.3033944499504457</v>
      </c>
      <c r="R97" s="55">
        <v>0</v>
      </c>
      <c r="S97" s="55">
        <v>0</v>
      </c>
      <c r="T97" s="99">
        <f t="shared" si="8"/>
        <v>0</v>
      </c>
      <c r="U97" s="81"/>
      <c r="V97" s="81"/>
      <c r="W97" s="81"/>
      <c r="X97" s="81"/>
      <c r="Y97" s="81"/>
      <c r="Z97" s="81"/>
    </row>
    <row r="98" spans="1:26" ht="24" customHeight="1" x14ac:dyDescent="0.5">
      <c r="A98" s="70">
        <f t="shared" si="53"/>
        <v>7</v>
      </c>
      <c r="B98" s="71" t="s">
        <v>113</v>
      </c>
      <c r="C98" s="54">
        <f t="shared" si="51"/>
        <v>999960</v>
      </c>
      <c r="D98" s="55">
        <v>209900</v>
      </c>
      <c r="E98" s="55">
        <v>790060</v>
      </c>
      <c r="F98" s="55">
        <f ca="1">IFERROR(__xludf.DUMMYFUNCTION("IMPORTRANGE(""https://docs.google.com/spreadsheets/d/1Yj_ptqi66GCucihVvJfMjLAmec39IyEx_6qawtMGysU/edit?usp=sharing"",""สบก!CU102"")"),81314)</f>
        <v>81314</v>
      </c>
      <c r="G98" s="99">
        <f t="shared" ca="1" si="1"/>
        <v>8.1317252690107598</v>
      </c>
      <c r="H98" s="55">
        <v>0</v>
      </c>
      <c r="I98" s="55">
        <v>0</v>
      </c>
      <c r="J98" s="99">
        <f t="shared" si="3"/>
        <v>0</v>
      </c>
      <c r="K98" s="55">
        <v>0</v>
      </c>
      <c r="L98" s="99">
        <f t="shared" si="4"/>
        <v>0</v>
      </c>
      <c r="M98" s="54">
        <f t="shared" si="52"/>
        <v>0</v>
      </c>
      <c r="N98" s="55">
        <v>0</v>
      </c>
      <c r="O98" s="55">
        <v>0</v>
      </c>
      <c r="P98" s="55">
        <f ca="1">IFERROR(__xludf.DUMMYFUNCTION("IMPORTRANGE(""https://docs.google.com/spreadsheets/d/1Yj_ptqi66GCucihVvJfMjLAmec39IyEx_6qawtMGysU/edit?usp=sharing"",""สบก!DD102"")"),0)</f>
        <v>0</v>
      </c>
      <c r="Q98" s="99">
        <f t="shared" si="6"/>
        <v>0</v>
      </c>
      <c r="R98" s="55">
        <v>0</v>
      </c>
      <c r="S98" s="55">
        <v>0</v>
      </c>
      <c r="T98" s="99">
        <f t="shared" si="8"/>
        <v>0</v>
      </c>
      <c r="U98" s="81"/>
      <c r="V98" s="81"/>
      <c r="W98" s="81"/>
      <c r="X98" s="81"/>
      <c r="Y98" s="81"/>
      <c r="Z98" s="81"/>
    </row>
    <row r="99" spans="1:26" ht="24" customHeight="1" x14ac:dyDescent="0.5">
      <c r="A99" s="70">
        <f t="shared" si="53"/>
        <v>8</v>
      </c>
      <c r="B99" s="71" t="s">
        <v>114</v>
      </c>
      <c r="C99" s="54">
        <f t="shared" si="51"/>
        <v>0</v>
      </c>
      <c r="D99" s="55">
        <v>0</v>
      </c>
      <c r="E99" s="55">
        <v>0</v>
      </c>
      <c r="F99" s="55">
        <f ca="1">IFERROR(__xludf.DUMMYFUNCTION("IMPORTRANGE(""https://docs.google.com/spreadsheets/d/1Yj_ptqi66GCucihVvJfMjLAmec39IyEx_6qawtMGysU/edit?usp=sharing"",""สบก!CU103"")"),0)</f>
        <v>0</v>
      </c>
      <c r="G99" s="99">
        <f t="shared" si="1"/>
        <v>0</v>
      </c>
      <c r="H99" s="55">
        <v>0</v>
      </c>
      <c r="I99" s="55">
        <v>0</v>
      </c>
      <c r="J99" s="99">
        <f t="shared" si="3"/>
        <v>0</v>
      </c>
      <c r="K99" s="55">
        <v>0</v>
      </c>
      <c r="L99" s="99">
        <f t="shared" si="4"/>
        <v>0</v>
      </c>
      <c r="M99" s="54">
        <f t="shared" si="52"/>
        <v>1020000</v>
      </c>
      <c r="N99" s="55">
        <v>700000</v>
      </c>
      <c r="O99" s="55">
        <v>320000</v>
      </c>
      <c r="P99" s="55">
        <f ca="1">IFERROR(__xludf.DUMMYFUNCTION("IMPORTRANGE(""https://docs.google.com/spreadsheets/d/1Yj_ptqi66GCucihVvJfMjLAmec39IyEx_6qawtMGysU/edit?usp=sharing"",""สบก!DD103"")"),113536)</f>
        <v>113536</v>
      </c>
      <c r="Q99" s="99">
        <f t="shared" ca="1" si="6"/>
        <v>11.130980392156863</v>
      </c>
      <c r="R99" s="55">
        <v>0</v>
      </c>
      <c r="S99" s="55">
        <v>0</v>
      </c>
      <c r="T99" s="99">
        <f t="shared" si="8"/>
        <v>0</v>
      </c>
      <c r="U99" s="81"/>
      <c r="V99" s="81"/>
      <c r="W99" s="81"/>
      <c r="X99" s="81"/>
      <c r="Y99" s="81"/>
      <c r="Z99" s="81"/>
    </row>
    <row r="100" spans="1:26" ht="24" customHeight="1" x14ac:dyDescent="0.5">
      <c r="A100" s="70">
        <f t="shared" si="53"/>
        <v>9</v>
      </c>
      <c r="B100" s="71" t="s">
        <v>115</v>
      </c>
      <c r="C100" s="54">
        <f t="shared" si="51"/>
        <v>0</v>
      </c>
      <c r="D100" s="55">
        <v>0</v>
      </c>
      <c r="E100" s="55">
        <v>0</v>
      </c>
      <c r="F100" s="55">
        <f ca="1">IFERROR(__xludf.DUMMYFUNCTION("IMPORTRANGE(""https://docs.google.com/spreadsheets/d/1Yj_ptqi66GCucihVvJfMjLAmec39IyEx_6qawtMGysU/edit?usp=sharing"",""สบก!CU104"")"),0)</f>
        <v>0</v>
      </c>
      <c r="G100" s="99">
        <f t="shared" si="1"/>
        <v>0</v>
      </c>
      <c r="H100" s="55">
        <v>0</v>
      </c>
      <c r="I100" s="55">
        <v>0</v>
      </c>
      <c r="J100" s="99">
        <f t="shared" si="3"/>
        <v>0</v>
      </c>
      <c r="K100" s="55">
        <v>0</v>
      </c>
      <c r="L100" s="99">
        <f t="shared" si="4"/>
        <v>0</v>
      </c>
      <c r="M100" s="54">
        <f t="shared" si="52"/>
        <v>0</v>
      </c>
      <c r="N100" s="55">
        <v>0</v>
      </c>
      <c r="O100" s="55">
        <v>0</v>
      </c>
      <c r="P100" s="55">
        <f ca="1">IFERROR(__xludf.DUMMYFUNCTION("IMPORTRANGE(""https://docs.google.com/spreadsheets/d/1Yj_ptqi66GCucihVvJfMjLAmec39IyEx_6qawtMGysU/edit?usp=sharing"",""สบก!DD104"")"),0)</f>
        <v>0</v>
      </c>
      <c r="Q100" s="99">
        <f t="shared" si="6"/>
        <v>0</v>
      </c>
      <c r="R100" s="55">
        <v>0</v>
      </c>
      <c r="S100" s="55">
        <v>0</v>
      </c>
      <c r="T100" s="99">
        <f t="shared" si="8"/>
        <v>0</v>
      </c>
      <c r="U100" s="81"/>
      <c r="V100" s="81"/>
      <c r="W100" s="81"/>
      <c r="X100" s="81"/>
      <c r="Y100" s="81"/>
      <c r="Z100" s="81"/>
    </row>
    <row r="101" spans="1:26" ht="24" customHeight="1" x14ac:dyDescent="0.5">
      <c r="A101" s="70">
        <f t="shared" si="53"/>
        <v>10</v>
      </c>
      <c r="B101" s="71" t="s">
        <v>116</v>
      </c>
      <c r="C101" s="54">
        <f t="shared" si="51"/>
        <v>0</v>
      </c>
      <c r="D101" s="55">
        <v>0</v>
      </c>
      <c r="E101" s="55">
        <v>0</v>
      </c>
      <c r="F101" s="55">
        <f ca="1">IFERROR(__xludf.DUMMYFUNCTION("IMPORTRANGE(""https://docs.google.com/spreadsheets/d/1Yj_ptqi66GCucihVvJfMjLAmec39IyEx_6qawtMGysU/edit?usp=sharing"",""สบก!CU105"")"),0)</f>
        <v>0</v>
      </c>
      <c r="G101" s="99">
        <f t="shared" si="1"/>
        <v>0</v>
      </c>
      <c r="H101" s="55">
        <v>0</v>
      </c>
      <c r="I101" s="55">
        <v>0</v>
      </c>
      <c r="J101" s="99">
        <f t="shared" si="3"/>
        <v>0</v>
      </c>
      <c r="K101" s="55">
        <v>0</v>
      </c>
      <c r="L101" s="99">
        <f t="shared" si="4"/>
        <v>0</v>
      </c>
      <c r="M101" s="54">
        <f t="shared" si="52"/>
        <v>0</v>
      </c>
      <c r="N101" s="55">
        <v>0</v>
      </c>
      <c r="O101" s="55">
        <v>0</v>
      </c>
      <c r="P101" s="55">
        <f ca="1">IFERROR(__xludf.DUMMYFUNCTION("IMPORTRANGE(""https://docs.google.com/spreadsheets/d/1Yj_ptqi66GCucihVvJfMjLAmec39IyEx_6qawtMGysU/edit?usp=sharing"",""สบก!DD105"")"),0)</f>
        <v>0</v>
      </c>
      <c r="Q101" s="99">
        <f t="shared" si="6"/>
        <v>0</v>
      </c>
      <c r="R101" s="55">
        <v>0</v>
      </c>
      <c r="S101" s="55">
        <v>0</v>
      </c>
      <c r="T101" s="99">
        <f t="shared" si="8"/>
        <v>0</v>
      </c>
      <c r="U101" s="81"/>
      <c r="V101" s="81"/>
      <c r="W101" s="81"/>
      <c r="X101" s="81"/>
      <c r="Y101" s="81"/>
      <c r="Z101" s="81"/>
    </row>
    <row r="102" spans="1:26" ht="24" customHeight="1" x14ac:dyDescent="0.5">
      <c r="A102" s="70">
        <f t="shared" si="53"/>
        <v>11</v>
      </c>
      <c r="B102" s="71" t="s">
        <v>117</v>
      </c>
      <c r="C102" s="54">
        <f t="shared" si="51"/>
        <v>0</v>
      </c>
      <c r="D102" s="55">
        <v>0</v>
      </c>
      <c r="E102" s="55">
        <v>0</v>
      </c>
      <c r="F102" s="55">
        <f ca="1">IFERROR(__xludf.DUMMYFUNCTION("IMPORTRANGE(""https://docs.google.com/spreadsheets/d/1Yj_ptqi66GCucihVvJfMjLAmec39IyEx_6qawtMGysU/edit?usp=sharing"",""สบก!CU106"")"),0)</f>
        <v>0</v>
      </c>
      <c r="G102" s="99">
        <f t="shared" si="1"/>
        <v>0</v>
      </c>
      <c r="H102" s="55">
        <v>0</v>
      </c>
      <c r="I102" s="55">
        <v>0</v>
      </c>
      <c r="J102" s="99">
        <f t="shared" si="3"/>
        <v>0</v>
      </c>
      <c r="K102" s="55">
        <v>0</v>
      </c>
      <c r="L102" s="99">
        <f t="shared" si="4"/>
        <v>0</v>
      </c>
      <c r="M102" s="54">
        <f t="shared" si="52"/>
        <v>0</v>
      </c>
      <c r="N102" s="55">
        <v>0</v>
      </c>
      <c r="O102" s="55">
        <v>0</v>
      </c>
      <c r="P102" s="55">
        <f ca="1">IFERROR(__xludf.DUMMYFUNCTION("IMPORTRANGE(""https://docs.google.com/spreadsheets/d/1Yj_ptqi66GCucihVvJfMjLAmec39IyEx_6qawtMGysU/edit?usp=sharing"",""สบก!DD106"")"),0)</f>
        <v>0</v>
      </c>
      <c r="Q102" s="99">
        <f t="shared" si="6"/>
        <v>0</v>
      </c>
      <c r="R102" s="55">
        <v>0</v>
      </c>
      <c r="S102" s="55">
        <v>0</v>
      </c>
      <c r="T102" s="99">
        <f t="shared" si="8"/>
        <v>0</v>
      </c>
      <c r="U102" s="81"/>
      <c r="V102" s="81"/>
      <c r="W102" s="81"/>
      <c r="X102" s="81"/>
      <c r="Y102" s="81"/>
      <c r="Z102" s="81"/>
    </row>
    <row r="103" spans="1:26" ht="24" customHeight="1" x14ac:dyDescent="0.5">
      <c r="A103" s="70">
        <f t="shared" si="53"/>
        <v>12</v>
      </c>
      <c r="B103" s="71" t="s">
        <v>118</v>
      </c>
      <c r="C103" s="54">
        <f t="shared" si="51"/>
        <v>0</v>
      </c>
      <c r="D103" s="55">
        <v>0</v>
      </c>
      <c r="E103" s="55">
        <v>0</v>
      </c>
      <c r="F103" s="55">
        <f ca="1">IFERROR(__xludf.DUMMYFUNCTION("IMPORTRANGE(""https://docs.google.com/spreadsheets/d/1Yj_ptqi66GCucihVvJfMjLAmec39IyEx_6qawtMGysU/edit?usp=sharing"",""สบก!CU107"")"),0)</f>
        <v>0</v>
      </c>
      <c r="G103" s="99">
        <f t="shared" si="1"/>
        <v>0</v>
      </c>
      <c r="H103" s="55">
        <v>0</v>
      </c>
      <c r="I103" s="55">
        <v>0</v>
      </c>
      <c r="J103" s="99">
        <f t="shared" si="3"/>
        <v>0</v>
      </c>
      <c r="K103" s="55">
        <v>0</v>
      </c>
      <c r="L103" s="99">
        <f t="shared" si="4"/>
        <v>0</v>
      </c>
      <c r="M103" s="54">
        <f t="shared" si="52"/>
        <v>0</v>
      </c>
      <c r="N103" s="55">
        <v>0</v>
      </c>
      <c r="O103" s="55">
        <v>0</v>
      </c>
      <c r="P103" s="55">
        <f ca="1">IFERROR(__xludf.DUMMYFUNCTION("IMPORTRANGE(""https://docs.google.com/spreadsheets/d/1Yj_ptqi66GCucihVvJfMjLAmec39IyEx_6qawtMGysU/edit?usp=sharing"",""สบก!DD107"")"),0)</f>
        <v>0</v>
      </c>
      <c r="Q103" s="99">
        <f t="shared" si="6"/>
        <v>0</v>
      </c>
      <c r="R103" s="55">
        <v>0</v>
      </c>
      <c r="S103" s="55">
        <v>0</v>
      </c>
      <c r="T103" s="99">
        <f t="shared" si="8"/>
        <v>0</v>
      </c>
      <c r="U103" s="81"/>
      <c r="V103" s="81"/>
      <c r="W103" s="81"/>
      <c r="X103" s="81"/>
      <c r="Y103" s="81"/>
      <c r="Z103" s="81"/>
    </row>
    <row r="104" spans="1:26" ht="24" customHeight="1" x14ac:dyDescent="0.5">
      <c r="A104" s="70">
        <f t="shared" si="53"/>
        <v>13</v>
      </c>
      <c r="B104" s="71" t="s">
        <v>119</v>
      </c>
      <c r="C104" s="54">
        <f t="shared" si="51"/>
        <v>0</v>
      </c>
      <c r="D104" s="55">
        <v>0</v>
      </c>
      <c r="E104" s="55">
        <v>0</v>
      </c>
      <c r="F104" s="55">
        <f ca="1">IFERROR(__xludf.DUMMYFUNCTION("IMPORTRANGE(""https://docs.google.com/spreadsheets/d/1Yj_ptqi66GCucihVvJfMjLAmec39IyEx_6qawtMGysU/edit?usp=sharing"",""สบก!CU108"")"),0)</f>
        <v>0</v>
      </c>
      <c r="G104" s="99">
        <f t="shared" si="1"/>
        <v>0</v>
      </c>
      <c r="H104" s="55">
        <v>0</v>
      </c>
      <c r="I104" s="55">
        <v>0</v>
      </c>
      <c r="J104" s="99">
        <f t="shared" si="3"/>
        <v>0</v>
      </c>
      <c r="K104" s="55">
        <v>0</v>
      </c>
      <c r="L104" s="99">
        <f t="shared" si="4"/>
        <v>0</v>
      </c>
      <c r="M104" s="54">
        <f t="shared" si="52"/>
        <v>0</v>
      </c>
      <c r="N104" s="55">
        <v>0</v>
      </c>
      <c r="O104" s="55">
        <v>0</v>
      </c>
      <c r="P104" s="55">
        <f ca="1">IFERROR(__xludf.DUMMYFUNCTION("IMPORTRANGE(""https://docs.google.com/spreadsheets/d/1Yj_ptqi66GCucihVvJfMjLAmec39IyEx_6qawtMGysU/edit?usp=sharing"",""สบก!DD108"")"),0)</f>
        <v>0</v>
      </c>
      <c r="Q104" s="99">
        <f t="shared" si="6"/>
        <v>0</v>
      </c>
      <c r="R104" s="55">
        <v>0</v>
      </c>
      <c r="S104" s="55">
        <v>0</v>
      </c>
      <c r="T104" s="99">
        <f t="shared" si="8"/>
        <v>0</v>
      </c>
      <c r="U104" s="81"/>
      <c r="V104" s="81"/>
      <c r="W104" s="81"/>
      <c r="X104" s="81"/>
      <c r="Y104" s="81"/>
      <c r="Z104" s="81"/>
    </row>
    <row r="105" spans="1:26" ht="24" customHeight="1" x14ac:dyDescent="0.5">
      <c r="A105" s="72">
        <f t="shared" si="53"/>
        <v>14</v>
      </c>
      <c r="B105" s="73" t="s">
        <v>120</v>
      </c>
      <c r="C105" s="61">
        <f t="shared" si="51"/>
        <v>0</v>
      </c>
      <c r="D105" s="62">
        <v>0</v>
      </c>
      <c r="E105" s="62">
        <v>0</v>
      </c>
      <c r="F105" s="62">
        <f ca="1">IFERROR(__xludf.DUMMYFUNCTION("IMPORTRANGE(""https://docs.google.com/spreadsheets/d/1Yj_ptqi66GCucihVvJfMjLAmec39IyEx_6qawtMGysU/edit?usp=sharing"",""สบก!CU109"")"),0)</f>
        <v>0</v>
      </c>
      <c r="G105" s="100">
        <f t="shared" si="1"/>
        <v>0</v>
      </c>
      <c r="H105" s="62">
        <v>0</v>
      </c>
      <c r="I105" s="62">
        <v>0</v>
      </c>
      <c r="J105" s="100">
        <f t="shared" si="3"/>
        <v>0</v>
      </c>
      <c r="K105" s="62">
        <v>0</v>
      </c>
      <c r="L105" s="100">
        <f t="shared" si="4"/>
        <v>0</v>
      </c>
      <c r="M105" s="61">
        <f t="shared" si="52"/>
        <v>0</v>
      </c>
      <c r="N105" s="62">
        <v>0</v>
      </c>
      <c r="O105" s="62">
        <v>0</v>
      </c>
      <c r="P105" s="62">
        <f ca="1">IFERROR(__xludf.DUMMYFUNCTION("IMPORTRANGE(""https://docs.google.com/spreadsheets/d/1Yj_ptqi66GCucihVvJfMjLAmec39IyEx_6qawtMGysU/edit?usp=sharing"",""สบก!DD109"")"),0)</f>
        <v>0</v>
      </c>
      <c r="Q105" s="100">
        <f t="shared" si="6"/>
        <v>0</v>
      </c>
      <c r="R105" s="62">
        <v>0</v>
      </c>
      <c r="S105" s="62">
        <v>0</v>
      </c>
      <c r="T105" s="100">
        <f t="shared" si="8"/>
        <v>0</v>
      </c>
      <c r="U105" s="81"/>
      <c r="V105" s="81"/>
      <c r="W105" s="81"/>
      <c r="X105" s="81"/>
      <c r="Y105" s="81"/>
      <c r="Z105" s="81"/>
    </row>
    <row r="106" spans="1:26" ht="24" customHeight="1" x14ac:dyDescent="0.5">
      <c r="A106" s="572" t="s">
        <v>121</v>
      </c>
      <c r="B106" s="571"/>
      <c r="C106" s="35">
        <f t="shared" ref="C106:F106" si="54">+C107+C108+C109+C110+C111+C112+C113+C114</f>
        <v>90600</v>
      </c>
      <c r="D106" s="35">
        <f t="shared" si="54"/>
        <v>90600</v>
      </c>
      <c r="E106" s="35">
        <f t="shared" si="54"/>
        <v>0</v>
      </c>
      <c r="F106" s="35">
        <f t="shared" si="54"/>
        <v>0</v>
      </c>
      <c r="G106" s="92">
        <f t="shared" si="1"/>
        <v>0</v>
      </c>
      <c r="H106" s="35">
        <f>SUM(H107:H114)</f>
        <v>0</v>
      </c>
      <c r="I106" s="35">
        <f>+I107+I108+I109+I110+I111+I112+I113+I114</f>
        <v>0</v>
      </c>
      <c r="J106" s="92">
        <f t="shared" si="3"/>
        <v>0</v>
      </c>
      <c r="K106" s="35">
        <f>+K107+K108+K109+K110+K111+K112+K113+K114</f>
        <v>0</v>
      </c>
      <c r="L106" s="92">
        <f t="shared" si="4"/>
        <v>0</v>
      </c>
      <c r="M106" s="35">
        <f t="shared" ref="M106:P106" si="55">+M107+M108+M109+M110+M111+M112+M113+M114</f>
        <v>687900</v>
      </c>
      <c r="N106" s="35">
        <f t="shared" si="55"/>
        <v>687900</v>
      </c>
      <c r="O106" s="35">
        <f t="shared" si="55"/>
        <v>0</v>
      </c>
      <c r="P106" s="35">
        <f t="shared" si="55"/>
        <v>0</v>
      </c>
      <c r="Q106" s="92">
        <f t="shared" si="6"/>
        <v>0</v>
      </c>
      <c r="R106" s="35">
        <f>SUM(R107:R114)</f>
        <v>0</v>
      </c>
      <c r="S106" s="35">
        <f>+S107+S108+S109+S110+S111+S112+S113+S114</f>
        <v>0</v>
      </c>
      <c r="T106" s="92">
        <f t="shared" si="8"/>
        <v>0</v>
      </c>
      <c r="U106" s="81"/>
      <c r="V106" s="81"/>
      <c r="W106" s="81"/>
      <c r="X106" s="81"/>
      <c r="Y106" s="81"/>
      <c r="Z106" s="81"/>
    </row>
    <row r="107" spans="1:26" ht="24" customHeight="1" x14ac:dyDescent="0.5">
      <c r="A107" s="68">
        <v>1</v>
      </c>
      <c r="B107" s="74" t="s">
        <v>122</v>
      </c>
      <c r="C107" s="47">
        <f t="shared" ref="C107:C114" si="56">+D107+E107</f>
        <v>90600</v>
      </c>
      <c r="D107" s="48">
        <v>90600</v>
      </c>
      <c r="E107" s="48">
        <v>0</v>
      </c>
      <c r="F107" s="48">
        <v>0</v>
      </c>
      <c r="G107" s="98">
        <f t="shared" si="1"/>
        <v>0</v>
      </c>
      <c r="H107" s="48">
        <v>0</v>
      </c>
      <c r="I107" s="48">
        <v>0</v>
      </c>
      <c r="J107" s="98">
        <f t="shared" si="3"/>
        <v>0</v>
      </c>
      <c r="K107" s="48">
        <v>0</v>
      </c>
      <c r="L107" s="98">
        <f t="shared" si="4"/>
        <v>0</v>
      </c>
      <c r="M107" s="47">
        <f t="shared" ref="M107:M114" si="57">+N107+O107</f>
        <v>187900</v>
      </c>
      <c r="N107" s="48">
        <v>187900</v>
      </c>
      <c r="O107" s="48">
        <v>0</v>
      </c>
      <c r="P107" s="48">
        <v>0</v>
      </c>
      <c r="Q107" s="98">
        <f t="shared" si="6"/>
        <v>0</v>
      </c>
      <c r="R107" s="48">
        <v>0</v>
      </c>
      <c r="S107" s="48">
        <v>0</v>
      </c>
      <c r="T107" s="98">
        <f t="shared" si="8"/>
        <v>0</v>
      </c>
      <c r="U107" s="81"/>
      <c r="V107" s="81"/>
      <c r="W107" s="81"/>
      <c r="X107" s="81"/>
      <c r="Y107" s="81"/>
      <c r="Z107" s="81"/>
    </row>
    <row r="108" spans="1:26" ht="24" customHeight="1" x14ac:dyDescent="0.5">
      <c r="A108" s="70">
        <v>2</v>
      </c>
      <c r="B108" s="75" t="s">
        <v>123</v>
      </c>
      <c r="C108" s="54">
        <f t="shared" si="56"/>
        <v>0</v>
      </c>
      <c r="D108" s="55">
        <v>0</v>
      </c>
      <c r="E108" s="55">
        <v>0</v>
      </c>
      <c r="F108" s="55">
        <v>0</v>
      </c>
      <c r="G108" s="99">
        <f t="shared" si="1"/>
        <v>0</v>
      </c>
      <c r="H108" s="55">
        <v>0</v>
      </c>
      <c r="I108" s="55">
        <v>0</v>
      </c>
      <c r="J108" s="99">
        <f t="shared" si="3"/>
        <v>0</v>
      </c>
      <c r="K108" s="55">
        <v>0</v>
      </c>
      <c r="L108" s="99">
        <f t="shared" si="4"/>
        <v>0</v>
      </c>
      <c r="M108" s="54">
        <f t="shared" si="57"/>
        <v>0</v>
      </c>
      <c r="N108" s="55">
        <v>0</v>
      </c>
      <c r="O108" s="55">
        <v>0</v>
      </c>
      <c r="P108" s="55">
        <v>0</v>
      </c>
      <c r="Q108" s="99">
        <f t="shared" si="6"/>
        <v>0</v>
      </c>
      <c r="R108" s="55">
        <v>0</v>
      </c>
      <c r="S108" s="55">
        <v>0</v>
      </c>
      <c r="T108" s="99">
        <f t="shared" si="8"/>
        <v>0</v>
      </c>
      <c r="U108" s="81"/>
      <c r="V108" s="81"/>
      <c r="W108" s="81"/>
      <c r="X108" s="81"/>
      <c r="Y108" s="81"/>
      <c r="Z108" s="81"/>
    </row>
    <row r="109" spans="1:26" ht="24" customHeight="1" x14ac:dyDescent="0.5">
      <c r="A109" s="70">
        <v>3</v>
      </c>
      <c r="B109" s="75" t="s">
        <v>124</v>
      </c>
      <c r="C109" s="54">
        <f t="shared" si="56"/>
        <v>0</v>
      </c>
      <c r="D109" s="55">
        <v>0</v>
      </c>
      <c r="E109" s="55">
        <v>0</v>
      </c>
      <c r="F109" s="55">
        <v>0</v>
      </c>
      <c r="G109" s="99">
        <f t="shared" si="1"/>
        <v>0</v>
      </c>
      <c r="H109" s="55">
        <v>0</v>
      </c>
      <c r="I109" s="55">
        <v>0</v>
      </c>
      <c r="J109" s="99">
        <f t="shared" si="3"/>
        <v>0</v>
      </c>
      <c r="K109" s="55">
        <v>0</v>
      </c>
      <c r="L109" s="99">
        <f t="shared" si="4"/>
        <v>0</v>
      </c>
      <c r="M109" s="54">
        <f t="shared" si="57"/>
        <v>0</v>
      </c>
      <c r="N109" s="55">
        <v>0</v>
      </c>
      <c r="O109" s="55">
        <v>0</v>
      </c>
      <c r="P109" s="55">
        <v>0</v>
      </c>
      <c r="Q109" s="99">
        <f t="shared" si="6"/>
        <v>0</v>
      </c>
      <c r="R109" s="55">
        <v>0</v>
      </c>
      <c r="S109" s="55">
        <v>0</v>
      </c>
      <c r="T109" s="99">
        <f t="shared" si="8"/>
        <v>0</v>
      </c>
      <c r="U109" s="81"/>
      <c r="V109" s="81"/>
      <c r="W109" s="81"/>
      <c r="X109" s="81"/>
      <c r="Y109" s="81"/>
      <c r="Z109" s="81"/>
    </row>
    <row r="110" spans="1:26" ht="24" customHeight="1" x14ac:dyDescent="0.5">
      <c r="A110" s="70">
        <f t="shared" ref="A110:A112" si="58">+A109+1</f>
        <v>4</v>
      </c>
      <c r="B110" s="75" t="s">
        <v>125</v>
      </c>
      <c r="C110" s="54">
        <f t="shared" si="56"/>
        <v>0</v>
      </c>
      <c r="D110" s="55">
        <v>0</v>
      </c>
      <c r="E110" s="55">
        <v>0</v>
      </c>
      <c r="F110" s="55">
        <v>0</v>
      </c>
      <c r="G110" s="99">
        <f t="shared" si="1"/>
        <v>0</v>
      </c>
      <c r="H110" s="55">
        <v>0</v>
      </c>
      <c r="I110" s="55">
        <v>0</v>
      </c>
      <c r="J110" s="99">
        <f t="shared" si="3"/>
        <v>0</v>
      </c>
      <c r="K110" s="55">
        <v>0</v>
      </c>
      <c r="L110" s="99">
        <f t="shared" si="4"/>
        <v>0</v>
      </c>
      <c r="M110" s="54">
        <f t="shared" si="57"/>
        <v>0</v>
      </c>
      <c r="N110" s="55">
        <v>0</v>
      </c>
      <c r="O110" s="55">
        <v>0</v>
      </c>
      <c r="P110" s="55">
        <v>0</v>
      </c>
      <c r="Q110" s="99">
        <f t="shared" si="6"/>
        <v>0</v>
      </c>
      <c r="R110" s="55">
        <v>0</v>
      </c>
      <c r="S110" s="55">
        <v>0</v>
      </c>
      <c r="T110" s="99">
        <f t="shared" si="8"/>
        <v>0</v>
      </c>
      <c r="U110" s="81"/>
      <c r="V110" s="81"/>
      <c r="W110" s="81"/>
      <c r="X110" s="81"/>
      <c r="Y110" s="81"/>
      <c r="Z110" s="81"/>
    </row>
    <row r="111" spans="1:26" ht="24" customHeight="1" x14ac:dyDescent="0.5">
      <c r="A111" s="70">
        <f t="shared" si="58"/>
        <v>5</v>
      </c>
      <c r="B111" s="75" t="s">
        <v>126</v>
      </c>
      <c r="C111" s="54">
        <f t="shared" si="56"/>
        <v>0</v>
      </c>
      <c r="D111" s="55">
        <v>0</v>
      </c>
      <c r="E111" s="55">
        <v>0</v>
      </c>
      <c r="F111" s="55">
        <v>0</v>
      </c>
      <c r="G111" s="99">
        <f t="shared" si="1"/>
        <v>0</v>
      </c>
      <c r="H111" s="55">
        <v>0</v>
      </c>
      <c r="I111" s="55">
        <v>0</v>
      </c>
      <c r="J111" s="99">
        <f t="shared" si="3"/>
        <v>0</v>
      </c>
      <c r="K111" s="55">
        <v>0</v>
      </c>
      <c r="L111" s="99">
        <f t="shared" si="4"/>
        <v>0</v>
      </c>
      <c r="M111" s="54">
        <f t="shared" si="57"/>
        <v>0</v>
      </c>
      <c r="N111" s="55">
        <v>0</v>
      </c>
      <c r="O111" s="55">
        <v>0</v>
      </c>
      <c r="P111" s="55">
        <v>0</v>
      </c>
      <c r="Q111" s="99">
        <f t="shared" si="6"/>
        <v>0</v>
      </c>
      <c r="R111" s="55">
        <v>0</v>
      </c>
      <c r="S111" s="55">
        <v>0</v>
      </c>
      <c r="T111" s="99">
        <f t="shared" si="8"/>
        <v>0</v>
      </c>
      <c r="U111" s="81"/>
      <c r="V111" s="81"/>
      <c r="W111" s="81"/>
      <c r="X111" s="81"/>
      <c r="Y111" s="81"/>
      <c r="Z111" s="81"/>
    </row>
    <row r="112" spans="1:26" ht="24" customHeight="1" x14ac:dyDescent="0.5">
      <c r="A112" s="70">
        <f t="shared" si="58"/>
        <v>6</v>
      </c>
      <c r="B112" s="75" t="s">
        <v>127</v>
      </c>
      <c r="C112" s="54">
        <f t="shared" si="56"/>
        <v>0</v>
      </c>
      <c r="D112" s="55">
        <v>0</v>
      </c>
      <c r="E112" s="55">
        <v>0</v>
      </c>
      <c r="F112" s="55">
        <v>0</v>
      </c>
      <c r="G112" s="99">
        <f t="shared" si="1"/>
        <v>0</v>
      </c>
      <c r="H112" s="55">
        <v>0</v>
      </c>
      <c r="I112" s="55">
        <v>0</v>
      </c>
      <c r="J112" s="99">
        <f t="shared" si="3"/>
        <v>0</v>
      </c>
      <c r="K112" s="55">
        <v>0</v>
      </c>
      <c r="L112" s="99">
        <f t="shared" si="4"/>
        <v>0</v>
      </c>
      <c r="M112" s="54">
        <f t="shared" si="57"/>
        <v>500000</v>
      </c>
      <c r="N112" s="55">
        <v>500000</v>
      </c>
      <c r="O112" s="55">
        <v>0</v>
      </c>
      <c r="P112" s="55">
        <v>0</v>
      </c>
      <c r="Q112" s="99">
        <f t="shared" si="6"/>
        <v>0</v>
      </c>
      <c r="R112" s="55">
        <v>0</v>
      </c>
      <c r="S112" s="55">
        <v>0</v>
      </c>
      <c r="T112" s="99">
        <f t="shared" si="8"/>
        <v>0</v>
      </c>
      <c r="U112" s="81"/>
      <c r="V112" s="81"/>
      <c r="W112" s="81"/>
      <c r="X112" s="81"/>
      <c r="Y112" s="81"/>
      <c r="Z112" s="81"/>
    </row>
    <row r="113" spans="1:26" ht="24" customHeight="1" x14ac:dyDescent="0.5">
      <c r="A113" s="70">
        <v>7</v>
      </c>
      <c r="B113" s="75" t="s">
        <v>128</v>
      </c>
      <c r="C113" s="54">
        <f t="shared" si="56"/>
        <v>0</v>
      </c>
      <c r="D113" s="55">
        <v>0</v>
      </c>
      <c r="E113" s="55">
        <v>0</v>
      </c>
      <c r="F113" s="55">
        <v>0</v>
      </c>
      <c r="G113" s="99">
        <f t="shared" si="1"/>
        <v>0</v>
      </c>
      <c r="H113" s="55">
        <v>0</v>
      </c>
      <c r="I113" s="55">
        <v>0</v>
      </c>
      <c r="J113" s="99">
        <f t="shared" si="3"/>
        <v>0</v>
      </c>
      <c r="K113" s="55">
        <v>0</v>
      </c>
      <c r="L113" s="99">
        <f t="shared" si="4"/>
        <v>0</v>
      </c>
      <c r="M113" s="54">
        <f t="shared" si="57"/>
        <v>0</v>
      </c>
      <c r="N113" s="55">
        <v>0</v>
      </c>
      <c r="O113" s="55">
        <v>0</v>
      </c>
      <c r="P113" s="55">
        <v>0</v>
      </c>
      <c r="Q113" s="99">
        <f t="shared" si="6"/>
        <v>0</v>
      </c>
      <c r="R113" s="55">
        <v>0</v>
      </c>
      <c r="S113" s="55">
        <v>0</v>
      </c>
      <c r="T113" s="99">
        <f t="shared" si="8"/>
        <v>0</v>
      </c>
      <c r="U113" s="81"/>
      <c r="V113" s="81"/>
      <c r="W113" s="81"/>
      <c r="X113" s="81"/>
      <c r="Y113" s="81"/>
      <c r="Z113" s="81"/>
    </row>
    <row r="114" spans="1:26" ht="24" customHeight="1" x14ac:dyDescent="0.5">
      <c r="A114" s="76">
        <v>8</v>
      </c>
      <c r="B114" s="77" t="s">
        <v>129</v>
      </c>
      <c r="C114" s="78">
        <f t="shared" si="56"/>
        <v>0</v>
      </c>
      <c r="D114" s="79">
        <v>0</v>
      </c>
      <c r="E114" s="79">
        <v>0</v>
      </c>
      <c r="F114" s="79">
        <v>0</v>
      </c>
      <c r="G114" s="104">
        <f t="shared" si="1"/>
        <v>0</v>
      </c>
      <c r="H114" s="79">
        <v>0</v>
      </c>
      <c r="I114" s="79">
        <v>0</v>
      </c>
      <c r="J114" s="104">
        <f t="shared" si="3"/>
        <v>0</v>
      </c>
      <c r="K114" s="79">
        <v>0</v>
      </c>
      <c r="L114" s="104">
        <f t="shared" si="4"/>
        <v>0</v>
      </c>
      <c r="M114" s="78">
        <f t="shared" si="57"/>
        <v>0</v>
      </c>
      <c r="N114" s="79">
        <v>0</v>
      </c>
      <c r="O114" s="79">
        <v>0</v>
      </c>
      <c r="P114" s="79">
        <v>0</v>
      </c>
      <c r="Q114" s="104">
        <f t="shared" si="6"/>
        <v>0</v>
      </c>
      <c r="R114" s="79">
        <v>0</v>
      </c>
      <c r="S114" s="79">
        <v>0</v>
      </c>
      <c r="T114" s="104">
        <f t="shared" si="8"/>
        <v>0</v>
      </c>
      <c r="U114" s="81"/>
      <c r="V114" s="81"/>
      <c r="W114" s="81"/>
      <c r="X114" s="81"/>
      <c r="Y114" s="81"/>
      <c r="Z114" s="81"/>
    </row>
    <row r="115" spans="1:26" ht="24" customHeight="1" x14ac:dyDescent="0.55000000000000004">
      <c r="A115" s="467" t="s">
        <v>321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81"/>
      <c r="V115" s="81"/>
      <c r="W115" s="81"/>
      <c r="X115" s="81"/>
      <c r="Y115" s="81"/>
      <c r="Z115" s="81"/>
    </row>
    <row r="116" spans="1:26" ht="24" customHeight="1" x14ac:dyDescent="0.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81"/>
      <c r="V116" s="81"/>
      <c r="W116" s="81"/>
      <c r="X116" s="81"/>
      <c r="Y116" s="81"/>
      <c r="Z116" s="81"/>
    </row>
    <row r="117" spans="1:26" ht="24" customHeight="1" x14ac:dyDescent="0.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81"/>
      <c r="V117" s="81"/>
      <c r="W117" s="81"/>
      <c r="X117" s="81"/>
      <c r="Y117" s="81"/>
      <c r="Z117" s="81"/>
    </row>
    <row r="118" spans="1:26" ht="24" customHeight="1" x14ac:dyDescent="0.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81"/>
      <c r="V118" s="81"/>
      <c r="W118" s="81"/>
      <c r="X118" s="81"/>
      <c r="Y118" s="81"/>
      <c r="Z118" s="81"/>
    </row>
    <row r="119" spans="1:26" ht="24" customHeight="1" x14ac:dyDescent="0.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81"/>
      <c r="V119" s="81"/>
      <c r="W119" s="81"/>
      <c r="X119" s="81"/>
      <c r="Y119" s="81"/>
      <c r="Z119" s="81"/>
    </row>
    <row r="120" spans="1:26" ht="24" customHeight="1" x14ac:dyDescent="0.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81"/>
      <c r="V120" s="81"/>
      <c r="W120" s="81"/>
      <c r="X120" s="81"/>
      <c r="Y120" s="81"/>
      <c r="Z120" s="81"/>
    </row>
    <row r="121" spans="1:26" ht="24" customHeight="1" x14ac:dyDescent="0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81"/>
      <c r="V121" s="81"/>
      <c r="W121" s="81"/>
      <c r="X121" s="81"/>
      <c r="Y121" s="81"/>
      <c r="Z121" s="81"/>
    </row>
    <row r="122" spans="1:26" ht="24" customHeight="1" x14ac:dyDescent="0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81"/>
      <c r="V122" s="81"/>
      <c r="W122" s="81"/>
      <c r="X122" s="81"/>
      <c r="Y122" s="81"/>
      <c r="Z122" s="81"/>
    </row>
    <row r="123" spans="1:26" ht="24" customHeight="1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81"/>
      <c r="V123" s="81"/>
      <c r="W123" s="81"/>
      <c r="X123" s="81"/>
      <c r="Y123" s="81"/>
      <c r="Z123" s="81"/>
    </row>
    <row r="124" spans="1:26" ht="24" customHeight="1" x14ac:dyDescent="0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81"/>
      <c r="V124" s="81"/>
      <c r="W124" s="81"/>
      <c r="X124" s="81"/>
      <c r="Y124" s="81"/>
      <c r="Z124" s="81"/>
    </row>
    <row r="125" spans="1:26" ht="24" customHeight="1" x14ac:dyDescent="0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81"/>
      <c r="V125" s="81"/>
      <c r="W125" s="81"/>
      <c r="X125" s="81"/>
      <c r="Y125" s="81"/>
      <c r="Z125" s="81"/>
    </row>
    <row r="126" spans="1:26" ht="24" customHeight="1" x14ac:dyDescent="0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81"/>
      <c r="V126" s="81"/>
      <c r="W126" s="81"/>
      <c r="X126" s="81"/>
      <c r="Y126" s="81"/>
      <c r="Z126" s="81"/>
    </row>
    <row r="127" spans="1:26" ht="24" customHeight="1" x14ac:dyDescent="0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81"/>
      <c r="V127" s="81"/>
      <c r="W127" s="81"/>
      <c r="X127" s="81"/>
      <c r="Y127" s="81"/>
      <c r="Z127" s="81"/>
    </row>
    <row r="128" spans="1:26" ht="24" customHeight="1" x14ac:dyDescent="0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81"/>
      <c r="V128" s="81"/>
      <c r="W128" s="81"/>
      <c r="X128" s="81"/>
      <c r="Y128" s="81"/>
      <c r="Z128" s="81"/>
    </row>
    <row r="129" spans="1:26" ht="24" customHeight="1" x14ac:dyDescent="0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81"/>
      <c r="V129" s="81"/>
      <c r="W129" s="81"/>
      <c r="X129" s="81"/>
      <c r="Y129" s="81"/>
      <c r="Z129" s="81"/>
    </row>
    <row r="130" spans="1:26" ht="24" customHeight="1" x14ac:dyDescent="0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81"/>
      <c r="V130" s="81"/>
      <c r="W130" s="81"/>
      <c r="X130" s="81"/>
      <c r="Y130" s="81"/>
      <c r="Z130" s="81"/>
    </row>
    <row r="131" spans="1:26" ht="24" customHeight="1" x14ac:dyDescent="0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81"/>
      <c r="V131" s="81"/>
      <c r="W131" s="81"/>
      <c r="X131" s="81"/>
      <c r="Y131" s="81"/>
      <c r="Z131" s="81"/>
    </row>
    <row r="132" spans="1:26" ht="24" customHeight="1" x14ac:dyDescent="0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81"/>
      <c r="V132" s="81"/>
      <c r="W132" s="81"/>
      <c r="X132" s="81"/>
      <c r="Y132" s="81"/>
      <c r="Z132" s="81"/>
    </row>
    <row r="133" spans="1:26" ht="24" customHeight="1" x14ac:dyDescent="0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81"/>
      <c r="V133" s="81"/>
      <c r="W133" s="81"/>
      <c r="X133" s="81"/>
      <c r="Y133" s="81"/>
      <c r="Z133" s="81"/>
    </row>
    <row r="134" spans="1:26" ht="24" customHeight="1" x14ac:dyDescent="0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81"/>
      <c r="V134" s="81"/>
      <c r="W134" s="81"/>
      <c r="X134" s="81"/>
      <c r="Y134" s="81"/>
      <c r="Z134" s="81"/>
    </row>
    <row r="135" spans="1:26" ht="24" customHeight="1" x14ac:dyDescent="0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81"/>
      <c r="V135" s="81"/>
      <c r="W135" s="81"/>
      <c r="X135" s="81"/>
      <c r="Y135" s="81"/>
      <c r="Z135" s="81"/>
    </row>
    <row r="136" spans="1:26" ht="24" customHeight="1" x14ac:dyDescent="0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81"/>
      <c r="V136" s="81"/>
      <c r="W136" s="81"/>
      <c r="X136" s="81"/>
      <c r="Y136" s="81"/>
      <c r="Z136" s="81"/>
    </row>
    <row r="137" spans="1:26" ht="24" customHeight="1" x14ac:dyDescent="0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81"/>
      <c r="V137" s="81"/>
      <c r="W137" s="81"/>
      <c r="X137" s="81"/>
      <c r="Y137" s="81"/>
      <c r="Z137" s="81"/>
    </row>
    <row r="138" spans="1:26" ht="24" customHeight="1" x14ac:dyDescent="0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81"/>
      <c r="V138" s="81"/>
      <c r="W138" s="81"/>
      <c r="X138" s="81"/>
      <c r="Y138" s="81"/>
      <c r="Z138" s="81"/>
    </row>
    <row r="139" spans="1:26" ht="24" customHeight="1" x14ac:dyDescent="0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81"/>
      <c r="V139" s="81"/>
      <c r="W139" s="81"/>
      <c r="X139" s="81"/>
      <c r="Y139" s="81"/>
      <c r="Z139" s="81"/>
    </row>
    <row r="140" spans="1:26" ht="24" customHeight="1" x14ac:dyDescent="0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81"/>
      <c r="V140" s="81"/>
      <c r="W140" s="81"/>
      <c r="X140" s="81"/>
      <c r="Y140" s="81"/>
      <c r="Z140" s="81"/>
    </row>
    <row r="141" spans="1:26" ht="24" customHeight="1" x14ac:dyDescent="0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81"/>
      <c r="V141" s="81"/>
      <c r="W141" s="81"/>
      <c r="X141" s="81"/>
      <c r="Y141" s="81"/>
      <c r="Z141" s="81"/>
    </row>
    <row r="142" spans="1:26" ht="24" customHeight="1" x14ac:dyDescent="0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81"/>
      <c r="V142" s="81"/>
      <c r="W142" s="81"/>
      <c r="X142" s="81"/>
      <c r="Y142" s="81"/>
      <c r="Z142" s="81"/>
    </row>
    <row r="143" spans="1:26" ht="24" customHeight="1" x14ac:dyDescent="0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81"/>
      <c r="V143" s="81"/>
      <c r="W143" s="81"/>
      <c r="X143" s="81"/>
      <c r="Y143" s="81"/>
      <c r="Z143" s="81"/>
    </row>
    <row r="144" spans="1:26" ht="24" customHeight="1" x14ac:dyDescent="0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81"/>
      <c r="V144" s="81"/>
      <c r="W144" s="81"/>
      <c r="X144" s="81"/>
      <c r="Y144" s="81"/>
      <c r="Z144" s="81"/>
    </row>
    <row r="145" spans="1:26" ht="24" customHeight="1" x14ac:dyDescent="0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81"/>
      <c r="V145" s="81"/>
      <c r="W145" s="81"/>
      <c r="X145" s="81"/>
      <c r="Y145" s="81"/>
      <c r="Z145" s="81"/>
    </row>
    <row r="146" spans="1:26" ht="24" customHeight="1" x14ac:dyDescent="0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81"/>
      <c r="V146" s="81"/>
      <c r="W146" s="81"/>
      <c r="X146" s="81"/>
      <c r="Y146" s="81"/>
      <c r="Z146" s="81"/>
    </row>
    <row r="147" spans="1:26" ht="24" customHeight="1" x14ac:dyDescent="0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81"/>
      <c r="V147" s="81"/>
      <c r="W147" s="81"/>
      <c r="X147" s="81"/>
      <c r="Y147" s="81"/>
      <c r="Z147" s="81"/>
    </row>
    <row r="148" spans="1:26" ht="24" customHeight="1" x14ac:dyDescent="0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81"/>
      <c r="V148" s="81"/>
      <c r="W148" s="81"/>
      <c r="X148" s="81"/>
      <c r="Y148" s="81"/>
      <c r="Z148" s="81"/>
    </row>
    <row r="149" spans="1:26" ht="24" customHeight="1" x14ac:dyDescent="0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81"/>
      <c r="V149" s="81"/>
      <c r="W149" s="81"/>
      <c r="X149" s="81"/>
      <c r="Y149" s="81"/>
      <c r="Z149" s="81"/>
    </row>
    <row r="150" spans="1:26" ht="24" customHeight="1" x14ac:dyDescent="0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81"/>
      <c r="V150" s="81"/>
      <c r="W150" s="81"/>
      <c r="X150" s="81"/>
      <c r="Y150" s="81"/>
      <c r="Z150" s="81"/>
    </row>
    <row r="151" spans="1:26" ht="24" customHeight="1" x14ac:dyDescent="0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81"/>
      <c r="V151" s="81"/>
      <c r="W151" s="81"/>
      <c r="X151" s="81"/>
      <c r="Y151" s="81"/>
      <c r="Z151" s="81"/>
    </row>
    <row r="152" spans="1:26" ht="24" customHeight="1" x14ac:dyDescent="0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81"/>
      <c r="V152" s="81"/>
      <c r="W152" s="81"/>
      <c r="X152" s="81"/>
      <c r="Y152" s="81"/>
      <c r="Z152" s="81"/>
    </row>
    <row r="153" spans="1:26" ht="24" customHeight="1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81"/>
      <c r="V153" s="81"/>
      <c r="W153" s="81"/>
      <c r="X153" s="81"/>
      <c r="Y153" s="81"/>
      <c r="Z153" s="81"/>
    </row>
    <row r="154" spans="1:26" ht="24" customHeight="1" x14ac:dyDescent="0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81"/>
      <c r="V154" s="81"/>
      <c r="W154" s="81"/>
      <c r="X154" s="81"/>
      <c r="Y154" s="81"/>
      <c r="Z154" s="81"/>
    </row>
    <row r="155" spans="1:26" ht="24" customHeight="1" x14ac:dyDescent="0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81"/>
      <c r="V155" s="81"/>
      <c r="W155" s="81"/>
      <c r="X155" s="81"/>
      <c r="Y155" s="81"/>
      <c r="Z155" s="81"/>
    </row>
    <row r="156" spans="1:26" ht="24" customHeight="1" x14ac:dyDescent="0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81"/>
      <c r="V156" s="81"/>
      <c r="W156" s="81"/>
      <c r="X156" s="81"/>
      <c r="Y156" s="81"/>
      <c r="Z156" s="81"/>
    </row>
    <row r="157" spans="1:26" ht="24" customHeight="1" x14ac:dyDescent="0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81"/>
      <c r="V157" s="81"/>
      <c r="W157" s="81"/>
      <c r="X157" s="81"/>
      <c r="Y157" s="81"/>
      <c r="Z157" s="81"/>
    </row>
    <row r="158" spans="1:26" ht="24" customHeight="1" x14ac:dyDescent="0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81"/>
      <c r="V158" s="81"/>
      <c r="W158" s="81"/>
      <c r="X158" s="81"/>
      <c r="Y158" s="81"/>
      <c r="Z158" s="81"/>
    </row>
    <row r="159" spans="1:26" ht="24" customHeight="1" x14ac:dyDescent="0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81"/>
      <c r="V159" s="81"/>
      <c r="W159" s="81"/>
      <c r="X159" s="81"/>
      <c r="Y159" s="81"/>
      <c r="Z159" s="81"/>
    </row>
    <row r="160" spans="1:26" ht="24" customHeight="1" x14ac:dyDescent="0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81"/>
      <c r="V160" s="81"/>
      <c r="W160" s="81"/>
      <c r="X160" s="81"/>
      <c r="Y160" s="81"/>
      <c r="Z160" s="81"/>
    </row>
    <row r="161" spans="1:26" ht="24" customHeight="1" x14ac:dyDescent="0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81"/>
      <c r="V161" s="81"/>
      <c r="W161" s="81"/>
      <c r="X161" s="81"/>
      <c r="Y161" s="81"/>
      <c r="Z161" s="81"/>
    </row>
    <row r="162" spans="1:26" ht="24" customHeight="1" x14ac:dyDescent="0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81"/>
      <c r="V162" s="81"/>
      <c r="W162" s="81"/>
      <c r="X162" s="81"/>
      <c r="Y162" s="81"/>
      <c r="Z162" s="81"/>
    </row>
    <row r="163" spans="1:26" ht="24" customHeight="1" x14ac:dyDescent="0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81"/>
      <c r="V163" s="81"/>
      <c r="W163" s="81"/>
      <c r="X163" s="81"/>
      <c r="Y163" s="81"/>
      <c r="Z163" s="81"/>
    </row>
    <row r="164" spans="1:26" ht="24" customHeight="1" x14ac:dyDescent="0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81"/>
      <c r="V164" s="81"/>
      <c r="W164" s="81"/>
      <c r="X164" s="81"/>
      <c r="Y164" s="81"/>
      <c r="Z164" s="81"/>
    </row>
    <row r="165" spans="1:26" ht="24" customHeight="1" x14ac:dyDescent="0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81"/>
      <c r="V165" s="81"/>
      <c r="W165" s="81"/>
      <c r="X165" s="81"/>
      <c r="Y165" s="81"/>
      <c r="Z165" s="81"/>
    </row>
    <row r="166" spans="1:26" ht="24" customHeight="1" x14ac:dyDescent="0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81"/>
      <c r="V166" s="81"/>
      <c r="W166" s="81"/>
      <c r="X166" s="81"/>
      <c r="Y166" s="81"/>
      <c r="Z166" s="81"/>
    </row>
    <row r="167" spans="1:26" ht="24" customHeight="1" x14ac:dyDescent="0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81"/>
      <c r="V167" s="81"/>
      <c r="W167" s="81"/>
      <c r="X167" s="81"/>
      <c r="Y167" s="81"/>
      <c r="Z167" s="81"/>
    </row>
    <row r="168" spans="1:26" ht="24" customHeight="1" x14ac:dyDescent="0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81"/>
      <c r="V168" s="81"/>
      <c r="W168" s="81"/>
      <c r="X168" s="81"/>
      <c r="Y168" s="81"/>
      <c r="Z168" s="81"/>
    </row>
    <row r="169" spans="1:26" ht="24" customHeight="1" x14ac:dyDescent="0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81"/>
      <c r="V169" s="81"/>
      <c r="W169" s="81"/>
      <c r="X169" s="81"/>
      <c r="Y169" s="81"/>
      <c r="Z169" s="81"/>
    </row>
    <row r="170" spans="1:26" ht="24" customHeight="1" x14ac:dyDescent="0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81"/>
      <c r="V170" s="81"/>
      <c r="W170" s="81"/>
      <c r="X170" s="81"/>
      <c r="Y170" s="81"/>
      <c r="Z170" s="81"/>
    </row>
    <row r="171" spans="1:26" ht="24" customHeight="1" x14ac:dyDescent="0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81"/>
      <c r="V171" s="81"/>
      <c r="W171" s="81"/>
      <c r="X171" s="81"/>
      <c r="Y171" s="81"/>
      <c r="Z171" s="81"/>
    </row>
    <row r="172" spans="1:26" ht="24" customHeight="1" x14ac:dyDescent="0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81"/>
      <c r="V172" s="81"/>
      <c r="W172" s="81"/>
      <c r="X172" s="81"/>
      <c r="Y172" s="81"/>
      <c r="Z172" s="81"/>
    </row>
    <row r="173" spans="1:26" ht="24" customHeight="1" x14ac:dyDescent="0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81"/>
      <c r="V173" s="81"/>
      <c r="W173" s="81"/>
      <c r="X173" s="81"/>
      <c r="Y173" s="81"/>
      <c r="Z173" s="81"/>
    </row>
    <row r="174" spans="1:26" ht="24" customHeight="1" x14ac:dyDescent="0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81"/>
      <c r="V174" s="81"/>
      <c r="W174" s="81"/>
      <c r="X174" s="81"/>
      <c r="Y174" s="81"/>
      <c r="Z174" s="81"/>
    </row>
    <row r="175" spans="1:26" ht="24" customHeight="1" x14ac:dyDescent="0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81"/>
      <c r="V175" s="81"/>
      <c r="W175" s="81"/>
      <c r="X175" s="81"/>
      <c r="Y175" s="81"/>
      <c r="Z175" s="81"/>
    </row>
    <row r="176" spans="1:26" ht="24" customHeight="1" x14ac:dyDescent="0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81"/>
      <c r="V176" s="81"/>
      <c r="W176" s="81"/>
      <c r="X176" s="81"/>
      <c r="Y176" s="81"/>
      <c r="Z176" s="81"/>
    </row>
    <row r="177" spans="1:26" ht="24" customHeight="1" x14ac:dyDescent="0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81"/>
      <c r="V177" s="81"/>
      <c r="W177" s="81"/>
      <c r="X177" s="81"/>
      <c r="Y177" s="81"/>
      <c r="Z177" s="81"/>
    </row>
    <row r="178" spans="1:26" ht="24" customHeight="1" x14ac:dyDescent="0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81"/>
      <c r="V178" s="81"/>
      <c r="W178" s="81"/>
      <c r="X178" s="81"/>
      <c r="Y178" s="81"/>
      <c r="Z178" s="81"/>
    </row>
    <row r="179" spans="1:26" ht="24" customHeight="1" x14ac:dyDescent="0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81"/>
      <c r="V179" s="81"/>
      <c r="W179" s="81"/>
      <c r="X179" s="81"/>
      <c r="Y179" s="81"/>
      <c r="Z179" s="81"/>
    </row>
    <row r="180" spans="1:26" ht="24" customHeight="1" x14ac:dyDescent="0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81"/>
      <c r="V180" s="81"/>
      <c r="W180" s="81"/>
      <c r="X180" s="81"/>
      <c r="Y180" s="81"/>
      <c r="Z180" s="81"/>
    </row>
    <row r="181" spans="1:26" ht="24" customHeight="1" x14ac:dyDescent="0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81"/>
      <c r="V181" s="81"/>
      <c r="W181" s="81"/>
      <c r="X181" s="81"/>
      <c r="Y181" s="81"/>
      <c r="Z181" s="81"/>
    </row>
    <row r="182" spans="1:26" ht="24" customHeight="1" x14ac:dyDescent="0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81"/>
      <c r="V182" s="81"/>
      <c r="W182" s="81"/>
      <c r="X182" s="81"/>
      <c r="Y182" s="81"/>
      <c r="Z182" s="81"/>
    </row>
    <row r="183" spans="1:26" ht="24" customHeight="1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81"/>
      <c r="V183" s="81"/>
      <c r="W183" s="81"/>
      <c r="X183" s="81"/>
      <c r="Y183" s="81"/>
      <c r="Z183" s="81"/>
    </row>
    <row r="184" spans="1:26" ht="24" customHeight="1" x14ac:dyDescent="0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81"/>
      <c r="V184" s="81"/>
      <c r="W184" s="81"/>
      <c r="X184" s="81"/>
      <c r="Y184" s="81"/>
      <c r="Z184" s="81"/>
    </row>
    <row r="185" spans="1:26" ht="24" customHeight="1" x14ac:dyDescent="0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81"/>
      <c r="V185" s="81"/>
      <c r="W185" s="81"/>
      <c r="X185" s="81"/>
      <c r="Y185" s="81"/>
      <c r="Z185" s="81"/>
    </row>
    <row r="186" spans="1:26" ht="24" customHeight="1" x14ac:dyDescent="0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81"/>
      <c r="V186" s="81"/>
      <c r="W186" s="81"/>
      <c r="X186" s="81"/>
      <c r="Y186" s="81"/>
      <c r="Z186" s="81"/>
    </row>
    <row r="187" spans="1:26" ht="24" customHeight="1" x14ac:dyDescent="0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81"/>
      <c r="V187" s="81"/>
      <c r="W187" s="81"/>
      <c r="X187" s="81"/>
      <c r="Y187" s="81"/>
      <c r="Z187" s="81"/>
    </row>
    <row r="188" spans="1:26" ht="24" customHeight="1" x14ac:dyDescent="0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81"/>
      <c r="V188" s="81"/>
      <c r="W188" s="81"/>
      <c r="X188" s="81"/>
      <c r="Y188" s="81"/>
      <c r="Z188" s="81"/>
    </row>
    <row r="189" spans="1:26" ht="24" customHeight="1" x14ac:dyDescent="0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81"/>
      <c r="V189" s="81"/>
      <c r="W189" s="81"/>
      <c r="X189" s="81"/>
      <c r="Y189" s="81"/>
      <c r="Z189" s="81"/>
    </row>
    <row r="190" spans="1:26" ht="24" customHeight="1" x14ac:dyDescent="0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81"/>
      <c r="V190" s="81"/>
      <c r="W190" s="81"/>
      <c r="X190" s="81"/>
      <c r="Y190" s="81"/>
      <c r="Z190" s="81"/>
    </row>
    <row r="191" spans="1:26" ht="24" customHeight="1" x14ac:dyDescent="0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81"/>
      <c r="V191" s="81"/>
      <c r="W191" s="81"/>
      <c r="X191" s="81"/>
      <c r="Y191" s="81"/>
      <c r="Z191" s="81"/>
    </row>
    <row r="192" spans="1:26" ht="24" customHeight="1" x14ac:dyDescent="0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81"/>
      <c r="V192" s="81"/>
      <c r="W192" s="81"/>
      <c r="X192" s="81"/>
      <c r="Y192" s="81"/>
      <c r="Z192" s="81"/>
    </row>
    <row r="193" spans="1:26" ht="24" customHeight="1" x14ac:dyDescent="0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81"/>
      <c r="V193" s="81"/>
      <c r="W193" s="81"/>
      <c r="X193" s="81"/>
      <c r="Y193" s="81"/>
      <c r="Z193" s="81"/>
    </row>
    <row r="194" spans="1:26" ht="24" customHeight="1" x14ac:dyDescent="0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81"/>
      <c r="V194" s="81"/>
      <c r="W194" s="81"/>
      <c r="X194" s="81"/>
      <c r="Y194" s="81"/>
      <c r="Z194" s="81"/>
    </row>
    <row r="195" spans="1:26" ht="24" customHeight="1" x14ac:dyDescent="0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81"/>
      <c r="V195" s="81"/>
      <c r="W195" s="81"/>
      <c r="X195" s="81"/>
      <c r="Y195" s="81"/>
      <c r="Z195" s="81"/>
    </row>
    <row r="196" spans="1:26" ht="24" customHeight="1" x14ac:dyDescent="0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81"/>
      <c r="V196" s="81"/>
      <c r="W196" s="81"/>
      <c r="X196" s="81"/>
      <c r="Y196" s="81"/>
      <c r="Z196" s="81"/>
    </row>
    <row r="197" spans="1:26" ht="24" customHeight="1" x14ac:dyDescent="0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81"/>
      <c r="V197" s="81"/>
      <c r="W197" s="81"/>
      <c r="X197" s="81"/>
      <c r="Y197" s="81"/>
      <c r="Z197" s="81"/>
    </row>
    <row r="198" spans="1:26" ht="24" customHeight="1" x14ac:dyDescent="0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81"/>
      <c r="V198" s="81"/>
      <c r="W198" s="81"/>
      <c r="X198" s="81"/>
      <c r="Y198" s="81"/>
      <c r="Z198" s="81"/>
    </row>
    <row r="199" spans="1:26" ht="24" customHeight="1" x14ac:dyDescent="0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81"/>
      <c r="V199" s="81"/>
      <c r="W199" s="81"/>
      <c r="X199" s="81"/>
      <c r="Y199" s="81"/>
      <c r="Z199" s="81"/>
    </row>
    <row r="200" spans="1:26" ht="24" customHeight="1" x14ac:dyDescent="0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81"/>
      <c r="V200" s="81"/>
      <c r="W200" s="81"/>
      <c r="X200" s="81"/>
      <c r="Y200" s="81"/>
      <c r="Z200" s="81"/>
    </row>
    <row r="201" spans="1:26" ht="24" customHeight="1" x14ac:dyDescent="0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81"/>
      <c r="V201" s="81"/>
      <c r="W201" s="81"/>
      <c r="X201" s="81"/>
      <c r="Y201" s="81"/>
      <c r="Z201" s="81"/>
    </row>
    <row r="202" spans="1:26" ht="24" customHeight="1" x14ac:dyDescent="0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81"/>
      <c r="V202" s="81"/>
      <c r="W202" s="81"/>
      <c r="X202" s="81"/>
      <c r="Y202" s="81"/>
      <c r="Z202" s="81"/>
    </row>
    <row r="203" spans="1:26" ht="24" customHeight="1" x14ac:dyDescent="0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81"/>
      <c r="V203" s="81"/>
      <c r="W203" s="81"/>
      <c r="X203" s="81"/>
      <c r="Y203" s="81"/>
      <c r="Z203" s="81"/>
    </row>
    <row r="204" spans="1:26" ht="24" customHeight="1" x14ac:dyDescent="0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81"/>
      <c r="V204" s="81"/>
      <c r="W204" s="81"/>
      <c r="X204" s="81"/>
      <c r="Y204" s="81"/>
      <c r="Z204" s="81"/>
    </row>
    <row r="205" spans="1:26" ht="24" customHeight="1" x14ac:dyDescent="0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81"/>
      <c r="V205" s="81"/>
      <c r="W205" s="81"/>
      <c r="X205" s="81"/>
      <c r="Y205" s="81"/>
      <c r="Z205" s="81"/>
    </row>
    <row r="206" spans="1:26" ht="24" customHeight="1" x14ac:dyDescent="0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81"/>
      <c r="V206" s="81"/>
      <c r="W206" s="81"/>
      <c r="X206" s="81"/>
      <c r="Y206" s="81"/>
      <c r="Z206" s="81"/>
    </row>
    <row r="207" spans="1:26" ht="24" customHeight="1" x14ac:dyDescent="0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81"/>
      <c r="V207" s="81"/>
      <c r="W207" s="81"/>
      <c r="X207" s="81"/>
      <c r="Y207" s="81"/>
      <c r="Z207" s="81"/>
    </row>
    <row r="208" spans="1:26" ht="24" customHeight="1" x14ac:dyDescent="0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81"/>
      <c r="V208" s="81"/>
      <c r="W208" s="81"/>
      <c r="X208" s="81"/>
      <c r="Y208" s="81"/>
      <c r="Z208" s="81"/>
    </row>
    <row r="209" spans="1:26" ht="24" customHeight="1" x14ac:dyDescent="0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81"/>
      <c r="V209" s="81"/>
      <c r="W209" s="81"/>
      <c r="X209" s="81"/>
      <c r="Y209" s="81"/>
      <c r="Z209" s="81"/>
    </row>
    <row r="210" spans="1:26" ht="24" customHeight="1" x14ac:dyDescent="0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81"/>
      <c r="V210" s="81"/>
      <c r="W210" s="81"/>
      <c r="X210" s="81"/>
      <c r="Y210" s="81"/>
      <c r="Z210" s="81"/>
    </row>
    <row r="211" spans="1:26" ht="24" customHeight="1" x14ac:dyDescent="0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81"/>
      <c r="V211" s="81"/>
      <c r="W211" s="81"/>
      <c r="X211" s="81"/>
      <c r="Y211" s="81"/>
      <c r="Z211" s="81"/>
    </row>
    <row r="212" spans="1:26" ht="24" customHeight="1" x14ac:dyDescent="0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81"/>
      <c r="V212" s="81"/>
      <c r="W212" s="81"/>
      <c r="X212" s="81"/>
      <c r="Y212" s="81"/>
      <c r="Z212" s="81"/>
    </row>
    <row r="213" spans="1:26" ht="24" customHeight="1" x14ac:dyDescent="0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81"/>
      <c r="V213" s="81"/>
      <c r="W213" s="81"/>
      <c r="X213" s="81"/>
      <c r="Y213" s="81"/>
      <c r="Z213" s="81"/>
    </row>
    <row r="214" spans="1:26" ht="24" customHeight="1" x14ac:dyDescent="0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81"/>
      <c r="V214" s="81"/>
      <c r="W214" s="81"/>
      <c r="X214" s="81"/>
      <c r="Y214" s="81"/>
      <c r="Z214" s="81"/>
    </row>
    <row r="215" spans="1:26" ht="24" customHeight="1" x14ac:dyDescent="0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81"/>
      <c r="V215" s="81"/>
      <c r="W215" s="81"/>
      <c r="X215" s="81"/>
      <c r="Y215" s="81"/>
      <c r="Z215" s="81"/>
    </row>
    <row r="216" spans="1:26" ht="24" customHeight="1" x14ac:dyDescent="0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81"/>
      <c r="V216" s="81"/>
      <c r="W216" s="81"/>
      <c r="X216" s="81"/>
      <c r="Y216" s="81"/>
      <c r="Z216" s="81"/>
    </row>
    <row r="217" spans="1:26" ht="24" customHeight="1" x14ac:dyDescent="0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81"/>
      <c r="V217" s="81"/>
      <c r="W217" s="81"/>
      <c r="X217" s="81"/>
      <c r="Y217" s="81"/>
      <c r="Z217" s="81"/>
    </row>
    <row r="218" spans="1:26" ht="24" customHeight="1" x14ac:dyDescent="0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81"/>
      <c r="V218" s="81"/>
      <c r="W218" s="81"/>
      <c r="X218" s="81"/>
      <c r="Y218" s="81"/>
      <c r="Z218" s="81"/>
    </row>
    <row r="219" spans="1:26" ht="24" customHeight="1" x14ac:dyDescent="0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81"/>
      <c r="V219" s="81"/>
      <c r="W219" s="81"/>
      <c r="X219" s="81"/>
      <c r="Y219" s="81"/>
      <c r="Z219" s="81"/>
    </row>
    <row r="220" spans="1:26" ht="24" customHeight="1" x14ac:dyDescent="0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81"/>
      <c r="V220" s="81"/>
      <c r="W220" s="81"/>
      <c r="X220" s="81"/>
      <c r="Y220" s="81"/>
      <c r="Z220" s="81"/>
    </row>
    <row r="221" spans="1:26" ht="24" customHeight="1" x14ac:dyDescent="0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81"/>
      <c r="V221" s="81"/>
      <c r="W221" s="81"/>
      <c r="X221" s="81"/>
      <c r="Y221" s="81"/>
      <c r="Z221" s="81"/>
    </row>
    <row r="222" spans="1:26" ht="24" customHeight="1" x14ac:dyDescent="0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81"/>
      <c r="V222" s="81"/>
      <c r="W222" s="81"/>
      <c r="X222" s="81"/>
      <c r="Y222" s="81"/>
      <c r="Z222" s="81"/>
    </row>
    <row r="223" spans="1:26" ht="24" customHeight="1" x14ac:dyDescent="0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81"/>
      <c r="V223" s="81"/>
      <c r="W223" s="81"/>
      <c r="X223" s="81"/>
      <c r="Y223" s="81"/>
      <c r="Z223" s="81"/>
    </row>
    <row r="224" spans="1:26" ht="24" customHeight="1" x14ac:dyDescent="0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81"/>
      <c r="V224" s="81"/>
      <c r="W224" s="81"/>
      <c r="X224" s="81"/>
      <c r="Y224" s="81"/>
      <c r="Z224" s="81"/>
    </row>
    <row r="225" spans="1:26" ht="24" customHeight="1" x14ac:dyDescent="0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81"/>
      <c r="V225" s="81"/>
      <c r="W225" s="81"/>
      <c r="X225" s="81"/>
      <c r="Y225" s="81"/>
      <c r="Z225" s="81"/>
    </row>
    <row r="226" spans="1:26" ht="24" customHeight="1" x14ac:dyDescent="0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81"/>
      <c r="V226" s="81"/>
      <c r="W226" s="81"/>
      <c r="X226" s="81"/>
      <c r="Y226" s="81"/>
      <c r="Z226" s="81"/>
    </row>
    <row r="227" spans="1:26" ht="24" customHeight="1" x14ac:dyDescent="0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81"/>
      <c r="V227" s="81"/>
      <c r="W227" s="81"/>
      <c r="X227" s="81"/>
      <c r="Y227" s="81"/>
      <c r="Z227" s="81"/>
    </row>
    <row r="228" spans="1:26" ht="24" customHeight="1" x14ac:dyDescent="0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81"/>
      <c r="V228" s="81"/>
      <c r="W228" s="81"/>
      <c r="X228" s="81"/>
      <c r="Y228" s="81"/>
      <c r="Z228" s="81"/>
    </row>
    <row r="229" spans="1:26" ht="24" customHeight="1" x14ac:dyDescent="0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81"/>
      <c r="V229" s="81"/>
      <c r="W229" s="81"/>
      <c r="X229" s="81"/>
      <c r="Y229" s="81"/>
      <c r="Z229" s="81"/>
    </row>
    <row r="230" spans="1:26" ht="24" customHeight="1" x14ac:dyDescent="0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81"/>
      <c r="V230" s="81"/>
      <c r="W230" s="81"/>
      <c r="X230" s="81"/>
      <c r="Y230" s="81"/>
      <c r="Z230" s="81"/>
    </row>
    <row r="231" spans="1:26" ht="24" customHeight="1" x14ac:dyDescent="0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81"/>
      <c r="V231" s="81"/>
      <c r="W231" s="81"/>
      <c r="X231" s="81"/>
      <c r="Y231" s="81"/>
      <c r="Z231" s="81"/>
    </row>
    <row r="232" spans="1:26" ht="24" customHeight="1" x14ac:dyDescent="0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81"/>
      <c r="V232" s="81"/>
      <c r="W232" s="81"/>
      <c r="X232" s="81"/>
      <c r="Y232" s="81"/>
      <c r="Z232" s="81"/>
    </row>
    <row r="233" spans="1:26" ht="24" customHeight="1" x14ac:dyDescent="0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81"/>
      <c r="V233" s="81"/>
      <c r="W233" s="81"/>
      <c r="X233" s="81"/>
      <c r="Y233" s="81"/>
      <c r="Z233" s="81"/>
    </row>
    <row r="234" spans="1:26" ht="24" customHeight="1" x14ac:dyDescent="0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81"/>
      <c r="V234" s="81"/>
      <c r="W234" s="81"/>
      <c r="X234" s="81"/>
      <c r="Y234" s="81"/>
      <c r="Z234" s="81"/>
    </row>
    <row r="235" spans="1:26" ht="24" customHeight="1" x14ac:dyDescent="0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81"/>
      <c r="V235" s="81"/>
      <c r="W235" s="81"/>
      <c r="X235" s="81"/>
      <c r="Y235" s="81"/>
      <c r="Z235" s="81"/>
    </row>
    <row r="236" spans="1:26" ht="24" customHeight="1" x14ac:dyDescent="0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81"/>
      <c r="V236" s="81"/>
      <c r="W236" s="81"/>
      <c r="X236" s="81"/>
      <c r="Y236" s="81"/>
      <c r="Z236" s="81"/>
    </row>
    <row r="237" spans="1:26" ht="24" customHeight="1" x14ac:dyDescent="0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81"/>
      <c r="V237" s="81"/>
      <c r="W237" s="81"/>
      <c r="X237" s="81"/>
      <c r="Y237" s="81"/>
      <c r="Z237" s="81"/>
    </row>
    <row r="238" spans="1:26" ht="24" customHeight="1" x14ac:dyDescent="0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81"/>
      <c r="V238" s="81"/>
      <c r="W238" s="81"/>
      <c r="X238" s="81"/>
      <c r="Y238" s="81"/>
      <c r="Z238" s="81"/>
    </row>
    <row r="239" spans="1:26" ht="24" customHeight="1" x14ac:dyDescent="0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81"/>
      <c r="V239" s="81"/>
      <c r="W239" s="81"/>
      <c r="X239" s="81"/>
      <c r="Y239" s="81"/>
      <c r="Z239" s="81"/>
    </row>
    <row r="240" spans="1:26" ht="24" customHeight="1" x14ac:dyDescent="0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81"/>
      <c r="V240" s="81"/>
      <c r="W240" s="81"/>
      <c r="X240" s="81"/>
      <c r="Y240" s="81"/>
      <c r="Z240" s="81"/>
    </row>
    <row r="241" spans="1:26" ht="24" customHeight="1" x14ac:dyDescent="0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81"/>
      <c r="V241" s="81"/>
      <c r="W241" s="81"/>
      <c r="X241" s="81"/>
      <c r="Y241" s="81"/>
      <c r="Z241" s="81"/>
    </row>
    <row r="242" spans="1:26" ht="24" customHeight="1" x14ac:dyDescent="0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81"/>
      <c r="V242" s="81"/>
      <c r="W242" s="81"/>
      <c r="X242" s="81"/>
      <c r="Y242" s="81"/>
      <c r="Z242" s="81"/>
    </row>
    <row r="243" spans="1:26" ht="24" customHeight="1" x14ac:dyDescent="0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81"/>
      <c r="V243" s="81"/>
      <c r="W243" s="81"/>
      <c r="X243" s="81"/>
      <c r="Y243" s="81"/>
      <c r="Z243" s="81"/>
    </row>
    <row r="244" spans="1:26" ht="24" customHeight="1" x14ac:dyDescent="0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81"/>
      <c r="V244" s="81"/>
      <c r="W244" s="81"/>
      <c r="X244" s="81"/>
      <c r="Y244" s="81"/>
      <c r="Z244" s="81"/>
    </row>
    <row r="245" spans="1:26" ht="24" customHeight="1" x14ac:dyDescent="0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81"/>
      <c r="V245" s="81"/>
      <c r="W245" s="81"/>
      <c r="X245" s="81"/>
      <c r="Y245" s="81"/>
      <c r="Z245" s="81"/>
    </row>
    <row r="246" spans="1:26" ht="24" customHeight="1" x14ac:dyDescent="0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81"/>
      <c r="V246" s="81"/>
      <c r="W246" s="81"/>
      <c r="X246" s="81"/>
      <c r="Y246" s="81"/>
      <c r="Z246" s="81"/>
    </row>
    <row r="247" spans="1:26" ht="24" customHeight="1" x14ac:dyDescent="0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81"/>
      <c r="V247" s="81"/>
      <c r="W247" s="81"/>
      <c r="X247" s="81"/>
      <c r="Y247" s="81"/>
      <c r="Z247" s="81"/>
    </row>
    <row r="248" spans="1:26" ht="24" customHeight="1" x14ac:dyDescent="0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81"/>
      <c r="V248" s="81"/>
      <c r="W248" s="81"/>
      <c r="X248" s="81"/>
      <c r="Y248" s="81"/>
      <c r="Z248" s="81"/>
    </row>
    <row r="249" spans="1:26" ht="24" customHeight="1" x14ac:dyDescent="0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81"/>
      <c r="V249" s="81"/>
      <c r="W249" s="81"/>
      <c r="X249" s="81"/>
      <c r="Y249" s="81"/>
      <c r="Z249" s="81"/>
    </row>
    <row r="250" spans="1:26" ht="24" customHeight="1" x14ac:dyDescent="0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81"/>
      <c r="V250" s="81"/>
      <c r="W250" s="81"/>
      <c r="X250" s="81"/>
      <c r="Y250" s="81"/>
      <c r="Z250" s="81"/>
    </row>
    <row r="251" spans="1:26" ht="24" customHeight="1" x14ac:dyDescent="0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81"/>
      <c r="V251" s="81"/>
      <c r="W251" s="81"/>
      <c r="X251" s="81"/>
      <c r="Y251" s="81"/>
      <c r="Z251" s="81"/>
    </row>
    <row r="252" spans="1:26" ht="24" customHeight="1" x14ac:dyDescent="0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81"/>
      <c r="V252" s="81"/>
      <c r="W252" s="81"/>
      <c r="X252" s="81"/>
      <c r="Y252" s="81"/>
      <c r="Z252" s="81"/>
    </row>
    <row r="253" spans="1:26" ht="24" customHeight="1" x14ac:dyDescent="0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81"/>
      <c r="V253" s="81"/>
      <c r="W253" s="81"/>
      <c r="X253" s="81"/>
      <c r="Y253" s="81"/>
      <c r="Z253" s="81"/>
    </row>
    <row r="254" spans="1:26" ht="24" customHeight="1" x14ac:dyDescent="0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81"/>
      <c r="V254" s="81"/>
      <c r="W254" s="81"/>
      <c r="X254" s="81"/>
      <c r="Y254" s="81"/>
      <c r="Z254" s="81"/>
    </row>
    <row r="255" spans="1:26" ht="24" customHeight="1" x14ac:dyDescent="0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81"/>
      <c r="V255" s="81"/>
      <c r="W255" s="81"/>
      <c r="X255" s="81"/>
      <c r="Y255" s="81"/>
      <c r="Z255" s="81"/>
    </row>
    <row r="256" spans="1:26" ht="24" customHeight="1" x14ac:dyDescent="0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81"/>
      <c r="V256" s="81"/>
      <c r="W256" s="81"/>
      <c r="X256" s="81"/>
      <c r="Y256" s="81"/>
      <c r="Z256" s="81"/>
    </row>
    <row r="257" spans="1:26" ht="24" customHeight="1" x14ac:dyDescent="0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81"/>
      <c r="V257" s="81"/>
      <c r="W257" s="81"/>
      <c r="X257" s="81"/>
      <c r="Y257" s="81"/>
      <c r="Z257" s="81"/>
    </row>
    <row r="258" spans="1:26" ht="24" customHeight="1" x14ac:dyDescent="0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81"/>
      <c r="V258" s="81"/>
      <c r="W258" s="81"/>
      <c r="X258" s="81"/>
      <c r="Y258" s="81"/>
      <c r="Z258" s="81"/>
    </row>
    <row r="259" spans="1:26" ht="24" customHeight="1" x14ac:dyDescent="0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81"/>
      <c r="V259" s="81"/>
      <c r="W259" s="81"/>
      <c r="X259" s="81"/>
      <c r="Y259" s="81"/>
      <c r="Z259" s="81"/>
    </row>
    <row r="260" spans="1:26" ht="24" customHeight="1" x14ac:dyDescent="0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81"/>
      <c r="V260" s="81"/>
      <c r="W260" s="81"/>
      <c r="X260" s="81"/>
      <c r="Y260" s="81"/>
      <c r="Z260" s="81"/>
    </row>
    <row r="261" spans="1:26" ht="24" customHeight="1" x14ac:dyDescent="0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81"/>
      <c r="V261" s="81"/>
      <c r="W261" s="81"/>
      <c r="X261" s="81"/>
      <c r="Y261" s="81"/>
      <c r="Z261" s="81"/>
    </row>
    <row r="262" spans="1:26" ht="24" customHeight="1" x14ac:dyDescent="0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81"/>
      <c r="V262" s="81"/>
      <c r="W262" s="81"/>
      <c r="X262" s="81"/>
      <c r="Y262" s="81"/>
      <c r="Z262" s="81"/>
    </row>
    <row r="263" spans="1:26" ht="24" customHeight="1" x14ac:dyDescent="0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81"/>
      <c r="V263" s="81"/>
      <c r="W263" s="81"/>
      <c r="X263" s="81"/>
      <c r="Y263" s="81"/>
      <c r="Z263" s="81"/>
    </row>
    <row r="264" spans="1:26" ht="24" customHeight="1" x14ac:dyDescent="0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81"/>
      <c r="V264" s="81"/>
      <c r="W264" s="81"/>
      <c r="X264" s="81"/>
      <c r="Y264" s="81"/>
      <c r="Z264" s="81"/>
    </row>
    <row r="265" spans="1:26" ht="24" customHeight="1" x14ac:dyDescent="0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81"/>
      <c r="V265" s="81"/>
      <c r="W265" s="81"/>
      <c r="X265" s="81"/>
      <c r="Y265" s="81"/>
      <c r="Z265" s="81"/>
    </row>
    <row r="266" spans="1:26" ht="24" customHeight="1" x14ac:dyDescent="0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81"/>
      <c r="V266" s="81"/>
      <c r="W266" s="81"/>
      <c r="X266" s="81"/>
      <c r="Y266" s="81"/>
      <c r="Z266" s="81"/>
    </row>
    <row r="267" spans="1:26" ht="24" customHeight="1" x14ac:dyDescent="0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81"/>
      <c r="V267" s="81"/>
      <c r="W267" s="81"/>
      <c r="X267" s="81"/>
      <c r="Y267" s="81"/>
      <c r="Z267" s="81"/>
    </row>
    <row r="268" spans="1:26" ht="24" customHeight="1" x14ac:dyDescent="0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81"/>
      <c r="V268" s="81"/>
      <c r="W268" s="81"/>
      <c r="X268" s="81"/>
      <c r="Y268" s="81"/>
      <c r="Z268" s="81"/>
    </row>
    <row r="269" spans="1:26" ht="24" customHeight="1" x14ac:dyDescent="0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81"/>
      <c r="V269" s="81"/>
      <c r="W269" s="81"/>
      <c r="X269" s="81"/>
      <c r="Y269" s="81"/>
      <c r="Z269" s="81"/>
    </row>
    <row r="270" spans="1:26" ht="24" customHeight="1" x14ac:dyDescent="0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81"/>
      <c r="V270" s="81"/>
      <c r="W270" s="81"/>
      <c r="X270" s="81"/>
      <c r="Y270" s="81"/>
      <c r="Z270" s="81"/>
    </row>
    <row r="271" spans="1:26" ht="24" customHeight="1" x14ac:dyDescent="0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81"/>
      <c r="V271" s="81"/>
      <c r="W271" s="81"/>
      <c r="X271" s="81"/>
      <c r="Y271" s="81"/>
      <c r="Z271" s="81"/>
    </row>
    <row r="272" spans="1:26" ht="24" customHeight="1" x14ac:dyDescent="0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81"/>
      <c r="V272" s="81"/>
      <c r="W272" s="81"/>
      <c r="X272" s="81"/>
      <c r="Y272" s="81"/>
      <c r="Z272" s="81"/>
    </row>
    <row r="273" spans="1:26" ht="24" customHeight="1" x14ac:dyDescent="0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81"/>
      <c r="V273" s="81"/>
      <c r="W273" s="81"/>
      <c r="X273" s="81"/>
      <c r="Y273" s="81"/>
      <c r="Z273" s="81"/>
    </row>
    <row r="274" spans="1:26" ht="24" customHeight="1" x14ac:dyDescent="0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81"/>
      <c r="V274" s="81"/>
      <c r="W274" s="81"/>
      <c r="X274" s="81"/>
      <c r="Y274" s="81"/>
      <c r="Z274" s="81"/>
    </row>
    <row r="275" spans="1:26" ht="24" customHeight="1" x14ac:dyDescent="0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81"/>
      <c r="V275" s="81"/>
      <c r="W275" s="81"/>
      <c r="X275" s="81"/>
      <c r="Y275" s="81"/>
      <c r="Z275" s="81"/>
    </row>
    <row r="276" spans="1:26" ht="24" customHeight="1" x14ac:dyDescent="0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81"/>
      <c r="V276" s="81"/>
      <c r="W276" s="81"/>
      <c r="X276" s="81"/>
      <c r="Y276" s="81"/>
      <c r="Z276" s="81"/>
    </row>
    <row r="277" spans="1:26" ht="24" customHeight="1" x14ac:dyDescent="0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81"/>
      <c r="V277" s="81"/>
      <c r="W277" s="81"/>
      <c r="X277" s="81"/>
      <c r="Y277" s="81"/>
      <c r="Z277" s="81"/>
    </row>
    <row r="278" spans="1:26" ht="24" customHeight="1" x14ac:dyDescent="0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81"/>
      <c r="V278" s="81"/>
      <c r="W278" s="81"/>
      <c r="X278" s="81"/>
      <c r="Y278" s="81"/>
      <c r="Z278" s="81"/>
    </row>
    <row r="279" spans="1:26" ht="24" customHeight="1" x14ac:dyDescent="0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81"/>
      <c r="V279" s="81"/>
      <c r="W279" s="81"/>
      <c r="X279" s="81"/>
      <c r="Y279" s="81"/>
      <c r="Z279" s="81"/>
    </row>
    <row r="280" spans="1:26" ht="24" customHeight="1" x14ac:dyDescent="0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81"/>
      <c r="V280" s="81"/>
      <c r="W280" s="81"/>
      <c r="X280" s="81"/>
      <c r="Y280" s="81"/>
      <c r="Z280" s="81"/>
    </row>
    <row r="281" spans="1:26" ht="24" customHeight="1" x14ac:dyDescent="0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81"/>
      <c r="V281" s="81"/>
      <c r="W281" s="81"/>
      <c r="X281" s="81"/>
      <c r="Y281" s="81"/>
      <c r="Z281" s="81"/>
    </row>
    <row r="282" spans="1:26" ht="24" customHeight="1" x14ac:dyDescent="0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81"/>
      <c r="V282" s="81"/>
      <c r="W282" s="81"/>
      <c r="X282" s="81"/>
      <c r="Y282" s="81"/>
      <c r="Z282" s="81"/>
    </row>
    <row r="283" spans="1:26" ht="24" customHeight="1" x14ac:dyDescent="0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81"/>
      <c r="V283" s="81"/>
      <c r="W283" s="81"/>
      <c r="X283" s="81"/>
      <c r="Y283" s="81"/>
      <c r="Z283" s="81"/>
    </row>
    <row r="284" spans="1:26" ht="24" customHeight="1" x14ac:dyDescent="0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81"/>
      <c r="V284" s="81"/>
      <c r="W284" s="81"/>
      <c r="X284" s="81"/>
      <c r="Y284" s="81"/>
      <c r="Z284" s="81"/>
    </row>
    <row r="285" spans="1:26" ht="24" customHeight="1" x14ac:dyDescent="0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81"/>
      <c r="V285" s="81"/>
      <c r="W285" s="81"/>
      <c r="X285" s="81"/>
      <c r="Y285" s="81"/>
      <c r="Z285" s="81"/>
    </row>
    <row r="286" spans="1:26" ht="24" customHeight="1" x14ac:dyDescent="0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81"/>
      <c r="V286" s="81"/>
      <c r="W286" s="81"/>
      <c r="X286" s="81"/>
      <c r="Y286" s="81"/>
      <c r="Z286" s="81"/>
    </row>
    <row r="287" spans="1:26" ht="24" customHeight="1" x14ac:dyDescent="0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81"/>
      <c r="V287" s="81"/>
      <c r="W287" s="81"/>
      <c r="X287" s="81"/>
      <c r="Y287" s="81"/>
      <c r="Z287" s="81"/>
    </row>
    <row r="288" spans="1:26" ht="24" customHeight="1" x14ac:dyDescent="0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81"/>
      <c r="V288" s="81"/>
      <c r="W288" s="81"/>
      <c r="X288" s="81"/>
      <c r="Y288" s="81"/>
      <c r="Z288" s="81"/>
    </row>
    <row r="289" spans="1:26" ht="24" customHeight="1" x14ac:dyDescent="0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81"/>
      <c r="V289" s="81"/>
      <c r="W289" s="81"/>
      <c r="X289" s="81"/>
      <c r="Y289" s="81"/>
      <c r="Z289" s="81"/>
    </row>
    <row r="290" spans="1:26" ht="24" customHeight="1" x14ac:dyDescent="0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81"/>
      <c r="V290" s="81"/>
      <c r="W290" s="81"/>
      <c r="X290" s="81"/>
      <c r="Y290" s="81"/>
      <c r="Z290" s="81"/>
    </row>
    <row r="291" spans="1:26" ht="24" customHeight="1" x14ac:dyDescent="0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81"/>
      <c r="V291" s="81"/>
      <c r="W291" s="81"/>
      <c r="X291" s="81"/>
      <c r="Y291" s="81"/>
      <c r="Z291" s="81"/>
    </row>
    <row r="292" spans="1:26" ht="24" customHeight="1" x14ac:dyDescent="0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81"/>
      <c r="V292" s="81"/>
      <c r="W292" s="81"/>
      <c r="X292" s="81"/>
      <c r="Y292" s="81"/>
      <c r="Z292" s="81"/>
    </row>
    <row r="293" spans="1:26" ht="24" customHeight="1" x14ac:dyDescent="0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81"/>
      <c r="V293" s="81"/>
      <c r="W293" s="81"/>
      <c r="X293" s="81"/>
      <c r="Y293" s="81"/>
      <c r="Z293" s="81"/>
    </row>
    <row r="294" spans="1:26" ht="24" customHeight="1" x14ac:dyDescent="0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81"/>
      <c r="V294" s="81"/>
      <c r="W294" s="81"/>
      <c r="X294" s="81"/>
      <c r="Y294" s="81"/>
      <c r="Z294" s="81"/>
    </row>
    <row r="295" spans="1:26" ht="24" customHeight="1" x14ac:dyDescent="0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81"/>
      <c r="V295" s="81"/>
      <c r="W295" s="81"/>
      <c r="X295" s="81"/>
      <c r="Y295" s="81"/>
      <c r="Z295" s="81"/>
    </row>
    <row r="296" spans="1:26" ht="24" customHeight="1" x14ac:dyDescent="0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81"/>
      <c r="V296" s="81"/>
      <c r="W296" s="81"/>
      <c r="X296" s="81"/>
      <c r="Y296" s="81"/>
      <c r="Z296" s="81"/>
    </row>
    <row r="297" spans="1:26" ht="24" customHeight="1" x14ac:dyDescent="0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81"/>
      <c r="V297" s="81"/>
      <c r="W297" s="81"/>
      <c r="X297" s="81"/>
      <c r="Y297" s="81"/>
      <c r="Z297" s="81"/>
    </row>
    <row r="298" spans="1:26" ht="24" customHeight="1" x14ac:dyDescent="0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81"/>
      <c r="V298" s="81"/>
      <c r="W298" s="81"/>
      <c r="X298" s="81"/>
      <c r="Y298" s="81"/>
      <c r="Z298" s="81"/>
    </row>
    <row r="299" spans="1:26" ht="24" customHeight="1" x14ac:dyDescent="0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81"/>
      <c r="V299" s="81"/>
      <c r="W299" s="81"/>
      <c r="X299" s="81"/>
      <c r="Y299" s="81"/>
      <c r="Z299" s="81"/>
    </row>
    <row r="300" spans="1:26" ht="24" customHeight="1" x14ac:dyDescent="0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81"/>
      <c r="V300" s="81"/>
      <c r="W300" s="81"/>
      <c r="X300" s="81"/>
      <c r="Y300" s="81"/>
      <c r="Z300" s="81"/>
    </row>
    <row r="301" spans="1:26" ht="24" customHeight="1" x14ac:dyDescent="0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81"/>
      <c r="V301" s="81"/>
      <c r="W301" s="81"/>
      <c r="X301" s="81"/>
      <c r="Y301" s="81"/>
      <c r="Z301" s="81"/>
    </row>
    <row r="302" spans="1:26" ht="24" customHeight="1" x14ac:dyDescent="0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81"/>
      <c r="V302" s="81"/>
      <c r="W302" s="81"/>
      <c r="X302" s="81"/>
      <c r="Y302" s="81"/>
      <c r="Z302" s="81"/>
    </row>
    <row r="303" spans="1:26" ht="24" customHeight="1" x14ac:dyDescent="0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81"/>
      <c r="V303" s="81"/>
      <c r="W303" s="81"/>
      <c r="X303" s="81"/>
      <c r="Y303" s="81"/>
      <c r="Z303" s="81"/>
    </row>
    <row r="304" spans="1:26" ht="24" customHeight="1" x14ac:dyDescent="0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81"/>
      <c r="V304" s="81"/>
      <c r="W304" s="81"/>
      <c r="X304" s="81"/>
      <c r="Y304" s="81"/>
      <c r="Z304" s="81"/>
    </row>
    <row r="305" spans="1:26" ht="24" customHeight="1" x14ac:dyDescent="0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81"/>
      <c r="V305" s="81"/>
      <c r="W305" s="81"/>
      <c r="X305" s="81"/>
      <c r="Y305" s="81"/>
      <c r="Z305" s="81"/>
    </row>
    <row r="306" spans="1:26" ht="24" customHeight="1" x14ac:dyDescent="0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81"/>
      <c r="V306" s="81"/>
      <c r="W306" s="81"/>
      <c r="X306" s="81"/>
      <c r="Y306" s="81"/>
      <c r="Z306" s="81"/>
    </row>
    <row r="307" spans="1:26" ht="24" customHeight="1" x14ac:dyDescent="0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81"/>
      <c r="V307" s="81"/>
      <c r="W307" s="81"/>
      <c r="X307" s="81"/>
      <c r="Y307" s="81"/>
      <c r="Z307" s="81"/>
    </row>
    <row r="308" spans="1:26" ht="24" customHeight="1" x14ac:dyDescent="0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81"/>
      <c r="V308" s="81"/>
      <c r="W308" s="81"/>
      <c r="X308" s="81"/>
      <c r="Y308" s="81"/>
      <c r="Z308" s="81"/>
    </row>
    <row r="309" spans="1:26" ht="24" customHeight="1" x14ac:dyDescent="0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81"/>
      <c r="V309" s="81"/>
      <c r="W309" s="81"/>
      <c r="X309" s="81"/>
      <c r="Y309" s="81"/>
      <c r="Z309" s="81"/>
    </row>
    <row r="310" spans="1:26" ht="24" customHeight="1" x14ac:dyDescent="0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81"/>
      <c r="V310" s="81"/>
      <c r="W310" s="81"/>
      <c r="X310" s="81"/>
      <c r="Y310" s="81"/>
      <c r="Z310" s="81"/>
    </row>
    <row r="311" spans="1:26" ht="24" customHeight="1" x14ac:dyDescent="0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81"/>
      <c r="V311" s="81"/>
      <c r="W311" s="81"/>
      <c r="X311" s="81"/>
      <c r="Y311" s="81"/>
      <c r="Z311" s="81"/>
    </row>
    <row r="312" spans="1:26" ht="24" customHeight="1" x14ac:dyDescent="0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81"/>
      <c r="V312" s="81"/>
      <c r="W312" s="81"/>
      <c r="X312" s="81"/>
      <c r="Y312" s="81"/>
      <c r="Z312" s="81"/>
    </row>
    <row r="313" spans="1:26" ht="24" customHeight="1" x14ac:dyDescent="0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81"/>
      <c r="V313" s="81"/>
      <c r="W313" s="81"/>
      <c r="X313" s="81"/>
      <c r="Y313" s="81"/>
      <c r="Z313" s="81"/>
    </row>
    <row r="314" spans="1:26" ht="24" customHeight="1" x14ac:dyDescent="0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81"/>
      <c r="V314" s="81"/>
      <c r="W314" s="81"/>
      <c r="X314" s="81"/>
      <c r="Y314" s="81"/>
      <c r="Z314" s="81"/>
    </row>
    <row r="315" spans="1:26" ht="24" customHeight="1" x14ac:dyDescent="0.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 ht="24" customHeight="1" x14ac:dyDescent="0.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 ht="24" customHeight="1" x14ac:dyDescent="0.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 ht="24" customHeight="1" x14ac:dyDescent="0.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 ht="24" customHeight="1" x14ac:dyDescent="0.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 ht="24" customHeight="1" x14ac:dyDescent="0.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 ht="24" customHeight="1" x14ac:dyDescent="0.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 ht="24" customHeight="1" x14ac:dyDescent="0.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 ht="24" customHeight="1" x14ac:dyDescent="0.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 ht="24" customHeight="1" x14ac:dyDescent="0.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 ht="24" customHeight="1" x14ac:dyDescent="0.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 ht="24" customHeight="1" x14ac:dyDescent="0.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 ht="24" customHeight="1" x14ac:dyDescent="0.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 ht="24" customHeight="1" x14ac:dyDescent="0.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 ht="24" customHeight="1" x14ac:dyDescent="0.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 ht="24" customHeight="1" x14ac:dyDescent="0.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 ht="24" customHeight="1" x14ac:dyDescent="0.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 ht="24" customHeight="1" x14ac:dyDescent="0.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 ht="24" customHeight="1" x14ac:dyDescent="0.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 ht="24" customHeight="1" x14ac:dyDescent="0.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 ht="24" customHeight="1" x14ac:dyDescent="0.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 ht="24" customHeight="1" x14ac:dyDescent="0.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 ht="24" customHeight="1" x14ac:dyDescent="0.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 ht="24" customHeight="1" x14ac:dyDescent="0.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 ht="24" customHeight="1" x14ac:dyDescent="0.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 ht="24" customHeight="1" x14ac:dyDescent="0.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 ht="24" customHeight="1" x14ac:dyDescent="0.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 ht="24" customHeight="1" x14ac:dyDescent="0.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 ht="24" customHeight="1" x14ac:dyDescent="0.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 ht="24" customHeight="1" x14ac:dyDescent="0.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 ht="24" customHeight="1" x14ac:dyDescent="0.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 ht="24" customHeight="1" x14ac:dyDescent="0.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 ht="24" customHeight="1" x14ac:dyDescent="0.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 ht="24" customHeight="1" x14ac:dyDescent="0.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 ht="24" customHeight="1" x14ac:dyDescent="0.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 ht="24" customHeight="1" x14ac:dyDescent="0.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 ht="24" customHeight="1" x14ac:dyDescent="0.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 ht="24" customHeight="1" x14ac:dyDescent="0.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 ht="24" customHeight="1" x14ac:dyDescent="0.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 ht="24" customHeight="1" x14ac:dyDescent="0.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 ht="24" customHeight="1" x14ac:dyDescent="0.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 ht="24" customHeight="1" x14ac:dyDescent="0.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 ht="24" customHeight="1" x14ac:dyDescent="0.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 ht="24" customHeight="1" x14ac:dyDescent="0.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 ht="24" customHeight="1" x14ac:dyDescent="0.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 ht="24" customHeight="1" x14ac:dyDescent="0.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 ht="24" customHeight="1" x14ac:dyDescent="0.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 ht="24" customHeight="1" x14ac:dyDescent="0.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 ht="24" customHeight="1" x14ac:dyDescent="0.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 ht="24" customHeight="1" x14ac:dyDescent="0.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 ht="24" customHeight="1" x14ac:dyDescent="0.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 ht="24" customHeight="1" x14ac:dyDescent="0.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 ht="24" customHeight="1" x14ac:dyDescent="0.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 ht="24" customHeight="1" x14ac:dyDescent="0.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 ht="24" customHeight="1" x14ac:dyDescent="0.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 ht="24" customHeight="1" x14ac:dyDescent="0.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 ht="24" customHeight="1" x14ac:dyDescent="0.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 ht="24" customHeight="1" x14ac:dyDescent="0.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 ht="24" customHeight="1" x14ac:dyDescent="0.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 ht="24" customHeight="1" x14ac:dyDescent="0.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 ht="24" customHeight="1" x14ac:dyDescent="0.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 ht="24" customHeight="1" x14ac:dyDescent="0.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 ht="24" customHeight="1" x14ac:dyDescent="0.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 ht="24" customHeight="1" x14ac:dyDescent="0.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 ht="24" customHeight="1" x14ac:dyDescent="0.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 ht="24" customHeight="1" x14ac:dyDescent="0.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 ht="24" customHeight="1" x14ac:dyDescent="0.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 ht="24" customHeight="1" x14ac:dyDescent="0.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 ht="24" customHeight="1" x14ac:dyDescent="0.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 ht="24" customHeight="1" x14ac:dyDescent="0.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 ht="24" customHeight="1" x14ac:dyDescent="0.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 ht="24" customHeight="1" x14ac:dyDescent="0.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 ht="24" customHeight="1" x14ac:dyDescent="0.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 ht="24" customHeight="1" x14ac:dyDescent="0.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 ht="24" customHeight="1" x14ac:dyDescent="0.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 ht="24" customHeight="1" x14ac:dyDescent="0.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ht="24" customHeight="1" x14ac:dyDescent="0.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 ht="24" customHeight="1" x14ac:dyDescent="0.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 ht="24" customHeight="1" x14ac:dyDescent="0.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 ht="24" customHeight="1" x14ac:dyDescent="0.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 ht="24" customHeight="1" x14ac:dyDescent="0.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 ht="24" customHeight="1" x14ac:dyDescent="0.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 ht="24" customHeight="1" x14ac:dyDescent="0.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 ht="24" customHeight="1" x14ac:dyDescent="0.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 ht="24" customHeight="1" x14ac:dyDescent="0.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 ht="24" customHeight="1" x14ac:dyDescent="0.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 ht="24" customHeight="1" x14ac:dyDescent="0.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 ht="24" customHeight="1" x14ac:dyDescent="0.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 ht="24" customHeight="1" x14ac:dyDescent="0.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 ht="24" customHeight="1" x14ac:dyDescent="0.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 ht="24" customHeight="1" x14ac:dyDescent="0.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 ht="24" customHeight="1" x14ac:dyDescent="0.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 ht="24" customHeight="1" x14ac:dyDescent="0.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 ht="24" customHeight="1" x14ac:dyDescent="0.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 ht="24" customHeight="1" x14ac:dyDescent="0.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 ht="24" customHeight="1" x14ac:dyDescent="0.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 ht="24" customHeight="1" x14ac:dyDescent="0.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 ht="24" customHeight="1" x14ac:dyDescent="0.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 ht="24" customHeight="1" x14ac:dyDescent="0.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 ht="24" customHeight="1" x14ac:dyDescent="0.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 ht="24" customHeight="1" x14ac:dyDescent="0.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 ht="24" customHeight="1" x14ac:dyDescent="0.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 ht="24" customHeight="1" x14ac:dyDescent="0.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 ht="24" customHeight="1" x14ac:dyDescent="0.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 ht="24" customHeight="1" x14ac:dyDescent="0.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 ht="24" customHeight="1" x14ac:dyDescent="0.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 ht="24" customHeight="1" x14ac:dyDescent="0.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 ht="24" customHeight="1" x14ac:dyDescent="0.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 ht="24" customHeight="1" x14ac:dyDescent="0.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 ht="24" customHeight="1" x14ac:dyDescent="0.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 ht="24" customHeight="1" x14ac:dyDescent="0.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 ht="24" customHeight="1" x14ac:dyDescent="0.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 ht="24" customHeight="1" x14ac:dyDescent="0.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 ht="24" customHeight="1" x14ac:dyDescent="0.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 ht="24" customHeight="1" x14ac:dyDescent="0.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 ht="24" customHeight="1" x14ac:dyDescent="0.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 ht="24" customHeight="1" x14ac:dyDescent="0.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 ht="24" customHeight="1" x14ac:dyDescent="0.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 ht="24" customHeight="1" x14ac:dyDescent="0.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 ht="24" customHeight="1" x14ac:dyDescent="0.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 ht="24" customHeight="1" x14ac:dyDescent="0.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 ht="24" customHeight="1" x14ac:dyDescent="0.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 ht="24" customHeight="1" x14ac:dyDescent="0.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 ht="24" customHeight="1" x14ac:dyDescent="0.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 ht="24" customHeight="1" x14ac:dyDescent="0.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 ht="24" customHeight="1" x14ac:dyDescent="0.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 ht="24" customHeight="1" x14ac:dyDescent="0.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 ht="24" customHeight="1" x14ac:dyDescent="0.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 ht="24" customHeight="1" x14ac:dyDescent="0.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 ht="24" customHeight="1" x14ac:dyDescent="0.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 ht="24" customHeight="1" x14ac:dyDescent="0.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 ht="24" customHeight="1" x14ac:dyDescent="0.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 ht="24" customHeight="1" x14ac:dyDescent="0.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 ht="24" customHeight="1" x14ac:dyDescent="0.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 ht="24" customHeight="1" x14ac:dyDescent="0.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 ht="24" customHeight="1" x14ac:dyDescent="0.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 ht="24" customHeight="1" x14ac:dyDescent="0.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 ht="24" customHeight="1" x14ac:dyDescent="0.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 ht="24" customHeight="1" x14ac:dyDescent="0.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 ht="24" customHeight="1" x14ac:dyDescent="0.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 ht="24" customHeight="1" x14ac:dyDescent="0.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 ht="24" customHeight="1" x14ac:dyDescent="0.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 ht="24" customHeight="1" x14ac:dyDescent="0.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 ht="24" customHeight="1" x14ac:dyDescent="0.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 ht="24" customHeight="1" x14ac:dyDescent="0.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 ht="24" customHeight="1" x14ac:dyDescent="0.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 ht="24" customHeight="1" x14ac:dyDescent="0.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 ht="24" customHeight="1" x14ac:dyDescent="0.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 ht="24" customHeight="1" x14ac:dyDescent="0.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 ht="24" customHeight="1" x14ac:dyDescent="0.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 ht="24" customHeight="1" x14ac:dyDescent="0.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 ht="24" customHeight="1" x14ac:dyDescent="0.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 ht="24" customHeight="1" x14ac:dyDescent="0.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 ht="24" customHeight="1" x14ac:dyDescent="0.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 ht="24" customHeight="1" x14ac:dyDescent="0.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 ht="24" customHeight="1" x14ac:dyDescent="0.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 ht="24" customHeight="1" x14ac:dyDescent="0.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 ht="24" customHeight="1" x14ac:dyDescent="0.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 ht="24" customHeight="1" x14ac:dyDescent="0.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 ht="24" customHeight="1" x14ac:dyDescent="0.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 ht="24" customHeight="1" x14ac:dyDescent="0.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 ht="24" customHeight="1" x14ac:dyDescent="0.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 ht="24" customHeight="1" x14ac:dyDescent="0.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 ht="24" customHeight="1" x14ac:dyDescent="0.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 ht="24" customHeight="1" x14ac:dyDescent="0.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 ht="24" customHeight="1" x14ac:dyDescent="0.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 ht="24" customHeight="1" x14ac:dyDescent="0.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 ht="24" customHeight="1" x14ac:dyDescent="0.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 ht="24" customHeight="1" x14ac:dyDescent="0.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 ht="24" customHeight="1" x14ac:dyDescent="0.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 ht="24" customHeight="1" x14ac:dyDescent="0.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 ht="24" customHeight="1" x14ac:dyDescent="0.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 ht="24" customHeight="1" x14ac:dyDescent="0.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 ht="24" customHeight="1" x14ac:dyDescent="0.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 ht="24" customHeight="1" x14ac:dyDescent="0.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 ht="24" customHeight="1" x14ac:dyDescent="0.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 ht="24" customHeight="1" x14ac:dyDescent="0.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 ht="24" customHeight="1" x14ac:dyDescent="0.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 ht="24" customHeight="1" x14ac:dyDescent="0.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 ht="24" customHeight="1" x14ac:dyDescent="0.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 ht="24" customHeight="1" x14ac:dyDescent="0.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 ht="24" customHeight="1" x14ac:dyDescent="0.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 ht="24" customHeight="1" x14ac:dyDescent="0.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 ht="24" customHeight="1" x14ac:dyDescent="0.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 ht="24" customHeight="1" x14ac:dyDescent="0.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 ht="24" customHeight="1" x14ac:dyDescent="0.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 ht="24" customHeight="1" x14ac:dyDescent="0.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 ht="24" customHeight="1" x14ac:dyDescent="0.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 ht="24" customHeight="1" x14ac:dyDescent="0.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 ht="24" customHeight="1" x14ac:dyDescent="0.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 ht="24" customHeight="1" x14ac:dyDescent="0.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 ht="24" customHeight="1" x14ac:dyDescent="0.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 ht="24" customHeight="1" x14ac:dyDescent="0.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 ht="24" customHeight="1" x14ac:dyDescent="0.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 ht="24" customHeight="1" x14ac:dyDescent="0.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 ht="24" customHeight="1" x14ac:dyDescent="0.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 ht="24" customHeight="1" x14ac:dyDescent="0.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 ht="24" customHeight="1" x14ac:dyDescent="0.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 ht="24" customHeight="1" x14ac:dyDescent="0.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 ht="24" customHeight="1" x14ac:dyDescent="0.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 ht="24" customHeight="1" x14ac:dyDescent="0.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 ht="24" customHeight="1" x14ac:dyDescent="0.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 ht="24" customHeight="1" x14ac:dyDescent="0.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 ht="24" customHeight="1" x14ac:dyDescent="0.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 ht="24" customHeight="1" x14ac:dyDescent="0.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 ht="24" customHeight="1" x14ac:dyDescent="0.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 ht="24" customHeight="1" x14ac:dyDescent="0.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 ht="24" customHeight="1" x14ac:dyDescent="0.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 ht="24" customHeight="1" x14ac:dyDescent="0.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 ht="24" customHeight="1" x14ac:dyDescent="0.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 ht="24" customHeight="1" x14ac:dyDescent="0.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 ht="24" customHeight="1" x14ac:dyDescent="0.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 ht="24" customHeight="1" x14ac:dyDescent="0.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 ht="24" customHeight="1" x14ac:dyDescent="0.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 ht="24" customHeight="1" x14ac:dyDescent="0.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 ht="24" customHeight="1" x14ac:dyDescent="0.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 ht="24" customHeight="1" x14ac:dyDescent="0.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 ht="24" customHeight="1" x14ac:dyDescent="0.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 ht="24" customHeight="1" x14ac:dyDescent="0.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 ht="24" customHeight="1" x14ac:dyDescent="0.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 ht="24" customHeight="1" x14ac:dyDescent="0.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 ht="24" customHeight="1" x14ac:dyDescent="0.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 ht="24" customHeight="1" x14ac:dyDescent="0.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 ht="24" customHeight="1" x14ac:dyDescent="0.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 ht="24" customHeight="1" x14ac:dyDescent="0.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 ht="24" customHeight="1" x14ac:dyDescent="0.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 ht="24" customHeight="1" x14ac:dyDescent="0.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 ht="24" customHeight="1" x14ac:dyDescent="0.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 ht="24" customHeight="1" x14ac:dyDescent="0.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 ht="24" customHeight="1" x14ac:dyDescent="0.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 ht="24" customHeight="1" x14ac:dyDescent="0.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 ht="24" customHeight="1" x14ac:dyDescent="0.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 ht="24" customHeight="1" x14ac:dyDescent="0.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 ht="24" customHeight="1" x14ac:dyDescent="0.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 ht="24" customHeight="1" x14ac:dyDescent="0.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 ht="24" customHeight="1" x14ac:dyDescent="0.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 ht="24" customHeight="1" x14ac:dyDescent="0.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 ht="24" customHeight="1" x14ac:dyDescent="0.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 ht="24" customHeight="1" x14ac:dyDescent="0.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 ht="24" customHeight="1" x14ac:dyDescent="0.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 ht="24" customHeight="1" x14ac:dyDescent="0.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 ht="24" customHeight="1" x14ac:dyDescent="0.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 ht="24" customHeight="1" x14ac:dyDescent="0.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 ht="24" customHeight="1" x14ac:dyDescent="0.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 ht="24" customHeight="1" x14ac:dyDescent="0.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 ht="24" customHeight="1" x14ac:dyDescent="0.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 ht="24" customHeight="1" x14ac:dyDescent="0.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 ht="24" customHeight="1" x14ac:dyDescent="0.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 ht="24" customHeight="1" x14ac:dyDescent="0.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 ht="24" customHeight="1" x14ac:dyDescent="0.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 ht="24" customHeight="1" x14ac:dyDescent="0.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 ht="24" customHeight="1" x14ac:dyDescent="0.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 ht="24" customHeight="1" x14ac:dyDescent="0.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 ht="24" customHeight="1" x14ac:dyDescent="0.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 ht="24" customHeight="1" x14ac:dyDescent="0.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 ht="24" customHeight="1" x14ac:dyDescent="0.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 ht="24" customHeight="1" x14ac:dyDescent="0.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 ht="24" customHeight="1" x14ac:dyDescent="0.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 ht="24" customHeight="1" x14ac:dyDescent="0.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 ht="24" customHeight="1" x14ac:dyDescent="0.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 ht="24" customHeight="1" x14ac:dyDescent="0.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 ht="24" customHeight="1" x14ac:dyDescent="0.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 ht="24" customHeight="1" x14ac:dyDescent="0.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 ht="24" customHeight="1" x14ac:dyDescent="0.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 ht="24" customHeight="1" x14ac:dyDescent="0.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 ht="24" customHeight="1" x14ac:dyDescent="0.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 ht="24" customHeight="1" x14ac:dyDescent="0.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 ht="24" customHeight="1" x14ac:dyDescent="0.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 ht="24" customHeight="1" x14ac:dyDescent="0.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 ht="24" customHeight="1" x14ac:dyDescent="0.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 ht="24" customHeight="1" x14ac:dyDescent="0.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 ht="24" customHeight="1" x14ac:dyDescent="0.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 ht="24" customHeight="1" x14ac:dyDescent="0.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 ht="24" customHeight="1" x14ac:dyDescent="0.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 ht="24" customHeight="1" x14ac:dyDescent="0.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 ht="24" customHeight="1" x14ac:dyDescent="0.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 ht="24" customHeight="1" x14ac:dyDescent="0.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 ht="24" customHeight="1" x14ac:dyDescent="0.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 ht="24" customHeight="1" x14ac:dyDescent="0.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 ht="24" customHeight="1" x14ac:dyDescent="0.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 ht="24" customHeight="1" x14ac:dyDescent="0.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 ht="24" customHeight="1" x14ac:dyDescent="0.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 ht="24" customHeight="1" x14ac:dyDescent="0.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 ht="24" customHeight="1" x14ac:dyDescent="0.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 ht="24" customHeight="1" x14ac:dyDescent="0.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 ht="24" customHeight="1" x14ac:dyDescent="0.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 ht="24" customHeight="1" x14ac:dyDescent="0.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 ht="24" customHeight="1" x14ac:dyDescent="0.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 ht="24" customHeight="1" x14ac:dyDescent="0.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 ht="24" customHeight="1" x14ac:dyDescent="0.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 ht="24" customHeight="1" x14ac:dyDescent="0.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 ht="24" customHeight="1" x14ac:dyDescent="0.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 ht="24" customHeight="1" x14ac:dyDescent="0.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 ht="24" customHeight="1" x14ac:dyDescent="0.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 ht="24" customHeight="1" x14ac:dyDescent="0.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 ht="24" customHeight="1" x14ac:dyDescent="0.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 ht="24" customHeight="1" x14ac:dyDescent="0.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 ht="24" customHeight="1" x14ac:dyDescent="0.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 ht="24" customHeight="1" x14ac:dyDescent="0.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 ht="24" customHeight="1" x14ac:dyDescent="0.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 ht="24" customHeight="1" x14ac:dyDescent="0.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 ht="24" customHeight="1" x14ac:dyDescent="0.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 ht="24" customHeight="1" x14ac:dyDescent="0.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 ht="24" customHeight="1" x14ac:dyDescent="0.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 ht="24" customHeight="1" x14ac:dyDescent="0.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 ht="24" customHeight="1" x14ac:dyDescent="0.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 ht="24" customHeight="1" x14ac:dyDescent="0.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 ht="24" customHeight="1" x14ac:dyDescent="0.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 ht="24" customHeight="1" x14ac:dyDescent="0.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 ht="24" customHeight="1" x14ac:dyDescent="0.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 ht="24" customHeight="1" x14ac:dyDescent="0.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 ht="24" customHeight="1" x14ac:dyDescent="0.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 ht="24" customHeight="1" x14ac:dyDescent="0.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 ht="24" customHeight="1" x14ac:dyDescent="0.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 ht="24" customHeight="1" x14ac:dyDescent="0.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 ht="24" customHeight="1" x14ac:dyDescent="0.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 ht="24" customHeight="1" x14ac:dyDescent="0.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 ht="24" customHeight="1" x14ac:dyDescent="0.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 ht="24" customHeight="1" x14ac:dyDescent="0.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 ht="24" customHeight="1" x14ac:dyDescent="0.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 ht="24" customHeight="1" x14ac:dyDescent="0.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 ht="24" customHeight="1" x14ac:dyDescent="0.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 ht="24" customHeight="1" x14ac:dyDescent="0.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 ht="24" customHeight="1" x14ac:dyDescent="0.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 ht="24" customHeight="1" x14ac:dyDescent="0.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 ht="24" customHeight="1" x14ac:dyDescent="0.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 ht="24" customHeight="1" x14ac:dyDescent="0.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 ht="24" customHeight="1" x14ac:dyDescent="0.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 ht="24" customHeight="1" x14ac:dyDescent="0.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 ht="24" customHeight="1" x14ac:dyDescent="0.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 ht="24" customHeight="1" x14ac:dyDescent="0.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 ht="24" customHeight="1" x14ac:dyDescent="0.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 ht="24" customHeight="1" x14ac:dyDescent="0.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 ht="24" customHeight="1" x14ac:dyDescent="0.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 ht="24" customHeight="1" x14ac:dyDescent="0.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 ht="24" customHeight="1" x14ac:dyDescent="0.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 ht="24" customHeight="1" x14ac:dyDescent="0.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 ht="24" customHeight="1" x14ac:dyDescent="0.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 ht="24" customHeight="1" x14ac:dyDescent="0.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 ht="24" customHeight="1" x14ac:dyDescent="0.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 ht="24" customHeight="1" x14ac:dyDescent="0.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 ht="24" customHeight="1" x14ac:dyDescent="0.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 ht="24" customHeight="1" x14ac:dyDescent="0.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 ht="24" customHeight="1" x14ac:dyDescent="0.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 ht="24" customHeight="1" x14ac:dyDescent="0.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 ht="24" customHeight="1" x14ac:dyDescent="0.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 ht="24" customHeight="1" x14ac:dyDescent="0.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 ht="24" customHeight="1" x14ac:dyDescent="0.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 ht="24" customHeight="1" x14ac:dyDescent="0.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 ht="24" customHeight="1" x14ac:dyDescent="0.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 ht="24" customHeight="1" x14ac:dyDescent="0.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 ht="24" customHeight="1" x14ac:dyDescent="0.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 ht="24" customHeight="1" x14ac:dyDescent="0.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 ht="24" customHeight="1" x14ac:dyDescent="0.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 ht="24" customHeight="1" x14ac:dyDescent="0.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 ht="24" customHeight="1" x14ac:dyDescent="0.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 ht="24" customHeight="1" x14ac:dyDescent="0.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 ht="24" customHeight="1" x14ac:dyDescent="0.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 ht="24" customHeight="1" x14ac:dyDescent="0.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 ht="24" customHeight="1" x14ac:dyDescent="0.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 ht="24" customHeight="1" x14ac:dyDescent="0.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 ht="24" customHeight="1" x14ac:dyDescent="0.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 ht="24" customHeight="1" x14ac:dyDescent="0.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 ht="24" customHeight="1" x14ac:dyDescent="0.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 ht="24" customHeight="1" x14ac:dyDescent="0.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 ht="24" customHeight="1" x14ac:dyDescent="0.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 ht="24" customHeight="1" x14ac:dyDescent="0.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 ht="24" customHeight="1" x14ac:dyDescent="0.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 ht="24" customHeight="1" x14ac:dyDescent="0.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 ht="24" customHeight="1" x14ac:dyDescent="0.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 ht="24" customHeight="1" x14ac:dyDescent="0.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 ht="24" customHeight="1" x14ac:dyDescent="0.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 ht="24" customHeight="1" x14ac:dyDescent="0.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 ht="24" customHeight="1" x14ac:dyDescent="0.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 ht="24" customHeight="1" x14ac:dyDescent="0.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 ht="24" customHeight="1" x14ac:dyDescent="0.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 ht="24" customHeight="1" x14ac:dyDescent="0.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 ht="24" customHeight="1" x14ac:dyDescent="0.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 ht="24" customHeight="1" x14ac:dyDescent="0.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 ht="24" customHeight="1" x14ac:dyDescent="0.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 ht="24" customHeight="1" x14ac:dyDescent="0.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 ht="24" customHeight="1" x14ac:dyDescent="0.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 ht="24" customHeight="1" x14ac:dyDescent="0.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 ht="24" customHeight="1" x14ac:dyDescent="0.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 ht="24" customHeight="1" x14ac:dyDescent="0.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 ht="24" customHeight="1" x14ac:dyDescent="0.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 ht="24" customHeight="1" x14ac:dyDescent="0.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 ht="24" customHeight="1" x14ac:dyDescent="0.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 ht="24" customHeight="1" x14ac:dyDescent="0.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 ht="24" customHeight="1" x14ac:dyDescent="0.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 ht="24" customHeight="1" x14ac:dyDescent="0.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 ht="24" customHeight="1" x14ac:dyDescent="0.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 ht="24" customHeight="1" x14ac:dyDescent="0.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 ht="24" customHeight="1" x14ac:dyDescent="0.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 ht="24" customHeight="1" x14ac:dyDescent="0.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 ht="24" customHeight="1" x14ac:dyDescent="0.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 ht="24" customHeight="1" x14ac:dyDescent="0.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 ht="24" customHeight="1" x14ac:dyDescent="0.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 ht="24" customHeight="1" x14ac:dyDescent="0.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 ht="24" customHeight="1" x14ac:dyDescent="0.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 ht="24" customHeight="1" x14ac:dyDescent="0.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 ht="24" customHeight="1" x14ac:dyDescent="0.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 ht="24" customHeight="1" x14ac:dyDescent="0.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 ht="24" customHeight="1" x14ac:dyDescent="0.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 ht="24" customHeight="1" x14ac:dyDescent="0.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 ht="24" customHeight="1" x14ac:dyDescent="0.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 ht="24" customHeight="1" x14ac:dyDescent="0.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 ht="24" customHeight="1" x14ac:dyDescent="0.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 ht="24" customHeight="1" x14ac:dyDescent="0.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 ht="24" customHeight="1" x14ac:dyDescent="0.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 ht="24" customHeight="1" x14ac:dyDescent="0.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 ht="24" customHeight="1" x14ac:dyDescent="0.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 ht="24" customHeight="1" x14ac:dyDescent="0.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 ht="24" customHeight="1" x14ac:dyDescent="0.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 ht="24" customHeight="1" x14ac:dyDescent="0.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 ht="24" customHeight="1" x14ac:dyDescent="0.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 ht="24" customHeight="1" x14ac:dyDescent="0.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 ht="24" customHeight="1" x14ac:dyDescent="0.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 ht="24" customHeight="1" x14ac:dyDescent="0.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 ht="24" customHeight="1" x14ac:dyDescent="0.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 ht="24" customHeight="1" x14ac:dyDescent="0.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 ht="24" customHeight="1" x14ac:dyDescent="0.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 ht="24" customHeight="1" x14ac:dyDescent="0.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 ht="24" customHeight="1" x14ac:dyDescent="0.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 ht="24" customHeight="1" x14ac:dyDescent="0.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 ht="24" customHeight="1" x14ac:dyDescent="0.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 ht="24" customHeight="1" x14ac:dyDescent="0.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 ht="24" customHeight="1" x14ac:dyDescent="0.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 ht="24" customHeight="1" x14ac:dyDescent="0.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 ht="24" customHeight="1" x14ac:dyDescent="0.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 ht="24" customHeight="1" x14ac:dyDescent="0.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 ht="24" customHeight="1" x14ac:dyDescent="0.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 ht="24" customHeight="1" x14ac:dyDescent="0.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 ht="24" customHeight="1" x14ac:dyDescent="0.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 ht="24" customHeight="1" x14ac:dyDescent="0.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 ht="24" customHeight="1" x14ac:dyDescent="0.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 ht="24" customHeight="1" x14ac:dyDescent="0.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 ht="24" customHeight="1" x14ac:dyDescent="0.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 ht="24" customHeight="1" x14ac:dyDescent="0.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 ht="24" customHeight="1" x14ac:dyDescent="0.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 ht="24" customHeight="1" x14ac:dyDescent="0.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 ht="24" customHeight="1" x14ac:dyDescent="0.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 ht="24" customHeight="1" x14ac:dyDescent="0.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 ht="24" customHeight="1" x14ac:dyDescent="0.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 ht="24" customHeight="1" x14ac:dyDescent="0.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 ht="24" customHeight="1" x14ac:dyDescent="0.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 ht="24" customHeight="1" x14ac:dyDescent="0.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 ht="24" customHeight="1" x14ac:dyDescent="0.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 ht="24" customHeight="1" x14ac:dyDescent="0.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 ht="24" customHeight="1" x14ac:dyDescent="0.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 ht="24" customHeight="1" x14ac:dyDescent="0.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 ht="24" customHeight="1" x14ac:dyDescent="0.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 ht="24" customHeight="1" x14ac:dyDescent="0.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 ht="24" customHeight="1" x14ac:dyDescent="0.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 ht="24" customHeight="1" x14ac:dyDescent="0.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 ht="24" customHeight="1" x14ac:dyDescent="0.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 ht="24" customHeight="1" x14ac:dyDescent="0.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 ht="24" customHeight="1" x14ac:dyDescent="0.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 ht="24" customHeight="1" x14ac:dyDescent="0.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 ht="24" customHeight="1" x14ac:dyDescent="0.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 ht="24" customHeight="1" x14ac:dyDescent="0.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 ht="24" customHeight="1" x14ac:dyDescent="0.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 ht="24" customHeight="1" x14ac:dyDescent="0.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 ht="24" customHeight="1" x14ac:dyDescent="0.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 ht="24" customHeight="1" x14ac:dyDescent="0.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 ht="24" customHeight="1" x14ac:dyDescent="0.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 ht="24" customHeight="1" x14ac:dyDescent="0.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 ht="24" customHeight="1" x14ac:dyDescent="0.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 ht="24" customHeight="1" x14ac:dyDescent="0.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 ht="24" customHeight="1" x14ac:dyDescent="0.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 ht="24" customHeight="1" x14ac:dyDescent="0.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 ht="24" customHeight="1" x14ac:dyDescent="0.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 ht="24" customHeight="1" x14ac:dyDescent="0.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 ht="24" customHeight="1" x14ac:dyDescent="0.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 ht="24" customHeight="1" x14ac:dyDescent="0.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 ht="24" customHeight="1" x14ac:dyDescent="0.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 ht="24" customHeight="1" x14ac:dyDescent="0.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 ht="24" customHeight="1" x14ac:dyDescent="0.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 ht="24" customHeight="1" x14ac:dyDescent="0.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 ht="24" customHeight="1" x14ac:dyDescent="0.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 ht="24" customHeight="1" x14ac:dyDescent="0.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 ht="24" customHeight="1" x14ac:dyDescent="0.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 ht="24" customHeight="1" x14ac:dyDescent="0.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 ht="24" customHeight="1" x14ac:dyDescent="0.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 ht="24" customHeight="1" x14ac:dyDescent="0.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 ht="24" customHeight="1" x14ac:dyDescent="0.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 ht="24" customHeight="1" x14ac:dyDescent="0.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 ht="24" customHeight="1" x14ac:dyDescent="0.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 ht="24" customHeight="1" x14ac:dyDescent="0.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 ht="24" customHeight="1" x14ac:dyDescent="0.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 ht="24" customHeight="1" x14ac:dyDescent="0.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 ht="24" customHeight="1" x14ac:dyDescent="0.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 ht="24" customHeight="1" x14ac:dyDescent="0.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 ht="24" customHeight="1" x14ac:dyDescent="0.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 ht="24" customHeight="1" x14ac:dyDescent="0.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 ht="24" customHeight="1" x14ac:dyDescent="0.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 ht="24" customHeight="1" x14ac:dyDescent="0.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 ht="24" customHeight="1" x14ac:dyDescent="0.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 ht="24" customHeight="1" x14ac:dyDescent="0.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 ht="24" customHeight="1" x14ac:dyDescent="0.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 ht="24" customHeight="1" x14ac:dyDescent="0.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 ht="24" customHeight="1" x14ac:dyDescent="0.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 ht="24" customHeight="1" x14ac:dyDescent="0.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 ht="24" customHeight="1" x14ac:dyDescent="0.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 ht="24" customHeight="1" x14ac:dyDescent="0.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 ht="24" customHeight="1" x14ac:dyDescent="0.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 ht="24" customHeight="1" x14ac:dyDescent="0.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 ht="24" customHeight="1" x14ac:dyDescent="0.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 ht="24" customHeight="1" x14ac:dyDescent="0.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 ht="24" customHeight="1" x14ac:dyDescent="0.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 ht="24" customHeight="1" x14ac:dyDescent="0.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 ht="24" customHeight="1" x14ac:dyDescent="0.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 ht="24" customHeight="1" x14ac:dyDescent="0.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 ht="24" customHeight="1" x14ac:dyDescent="0.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 ht="24" customHeight="1" x14ac:dyDescent="0.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 ht="24" customHeight="1" x14ac:dyDescent="0.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 ht="24" customHeight="1" x14ac:dyDescent="0.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 ht="24" customHeight="1" x14ac:dyDescent="0.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 ht="24" customHeight="1" x14ac:dyDescent="0.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 ht="24" customHeight="1" x14ac:dyDescent="0.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 ht="24" customHeight="1" x14ac:dyDescent="0.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 ht="24" customHeight="1" x14ac:dyDescent="0.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 ht="24" customHeight="1" x14ac:dyDescent="0.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 ht="24" customHeight="1" x14ac:dyDescent="0.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 ht="24" customHeight="1" x14ac:dyDescent="0.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 ht="24" customHeight="1" x14ac:dyDescent="0.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 ht="24" customHeight="1" x14ac:dyDescent="0.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 ht="24" customHeight="1" x14ac:dyDescent="0.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 ht="24" customHeight="1" x14ac:dyDescent="0.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 ht="24" customHeight="1" x14ac:dyDescent="0.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 ht="24" customHeight="1" x14ac:dyDescent="0.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 ht="24" customHeight="1" x14ac:dyDescent="0.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 ht="24" customHeight="1" x14ac:dyDescent="0.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 ht="24" customHeight="1" x14ac:dyDescent="0.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 ht="24" customHeight="1" x14ac:dyDescent="0.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 ht="24" customHeight="1" x14ac:dyDescent="0.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 ht="24" customHeight="1" x14ac:dyDescent="0.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 ht="24" customHeight="1" x14ac:dyDescent="0.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 ht="24" customHeight="1" x14ac:dyDescent="0.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 ht="24" customHeight="1" x14ac:dyDescent="0.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 ht="24" customHeight="1" x14ac:dyDescent="0.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 ht="24" customHeight="1" x14ac:dyDescent="0.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 ht="24" customHeight="1" x14ac:dyDescent="0.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 ht="24" customHeight="1" x14ac:dyDescent="0.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 ht="24" customHeight="1" x14ac:dyDescent="0.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 ht="24" customHeight="1" x14ac:dyDescent="0.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 ht="24" customHeight="1" x14ac:dyDescent="0.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 ht="24" customHeight="1" x14ac:dyDescent="0.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 ht="24" customHeight="1" x14ac:dyDescent="0.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 ht="24" customHeight="1" x14ac:dyDescent="0.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 ht="24" customHeight="1" x14ac:dyDescent="0.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 ht="24" customHeight="1" x14ac:dyDescent="0.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 ht="24" customHeight="1" x14ac:dyDescent="0.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 ht="24" customHeight="1" x14ac:dyDescent="0.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 ht="24" customHeight="1" x14ac:dyDescent="0.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 ht="24" customHeight="1" x14ac:dyDescent="0.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 ht="24" customHeight="1" x14ac:dyDescent="0.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 ht="24" customHeight="1" x14ac:dyDescent="0.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 ht="24" customHeight="1" x14ac:dyDescent="0.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 ht="24" customHeight="1" x14ac:dyDescent="0.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 ht="24" customHeight="1" x14ac:dyDescent="0.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 ht="24" customHeight="1" x14ac:dyDescent="0.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 ht="24" customHeight="1" x14ac:dyDescent="0.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 ht="24" customHeight="1" x14ac:dyDescent="0.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 ht="24" customHeight="1" x14ac:dyDescent="0.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 ht="24" customHeight="1" x14ac:dyDescent="0.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 ht="24" customHeight="1" x14ac:dyDescent="0.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 ht="24" customHeight="1" x14ac:dyDescent="0.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 ht="24" customHeight="1" x14ac:dyDescent="0.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 ht="24" customHeight="1" x14ac:dyDescent="0.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 ht="24" customHeight="1" x14ac:dyDescent="0.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 ht="24" customHeight="1" x14ac:dyDescent="0.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 ht="24" customHeight="1" x14ac:dyDescent="0.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 ht="24" customHeight="1" x14ac:dyDescent="0.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 ht="24" customHeight="1" x14ac:dyDescent="0.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 ht="24" customHeight="1" x14ac:dyDescent="0.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 ht="24" customHeight="1" x14ac:dyDescent="0.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 ht="24" customHeight="1" x14ac:dyDescent="0.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 ht="24" customHeight="1" x14ac:dyDescent="0.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 ht="24" customHeight="1" x14ac:dyDescent="0.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 ht="24" customHeight="1" x14ac:dyDescent="0.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 ht="24" customHeight="1" x14ac:dyDescent="0.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 ht="24" customHeight="1" x14ac:dyDescent="0.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 ht="24" customHeight="1" x14ac:dyDescent="0.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 ht="24" customHeight="1" x14ac:dyDescent="0.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 ht="24" customHeight="1" x14ac:dyDescent="0.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 ht="24" customHeight="1" x14ac:dyDescent="0.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 ht="24" customHeight="1" x14ac:dyDescent="0.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 ht="24" customHeight="1" x14ac:dyDescent="0.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 ht="24" customHeight="1" x14ac:dyDescent="0.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 ht="24" customHeight="1" x14ac:dyDescent="0.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 ht="24" customHeight="1" x14ac:dyDescent="0.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 ht="24" customHeight="1" x14ac:dyDescent="0.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 ht="24" customHeight="1" x14ac:dyDescent="0.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 ht="24" customHeight="1" x14ac:dyDescent="0.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 ht="24" customHeight="1" x14ac:dyDescent="0.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 ht="24" customHeight="1" x14ac:dyDescent="0.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 ht="24" customHeight="1" x14ac:dyDescent="0.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 ht="24" customHeight="1" x14ac:dyDescent="0.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 ht="24" customHeight="1" x14ac:dyDescent="0.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 ht="24" customHeight="1" x14ac:dyDescent="0.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 ht="24" customHeight="1" x14ac:dyDescent="0.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 ht="24" customHeight="1" x14ac:dyDescent="0.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 ht="24" customHeight="1" x14ac:dyDescent="0.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 ht="24" customHeight="1" x14ac:dyDescent="0.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 ht="24" customHeight="1" x14ac:dyDescent="0.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 ht="24" customHeight="1" x14ac:dyDescent="0.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 ht="24" customHeight="1" x14ac:dyDescent="0.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 ht="24" customHeight="1" x14ac:dyDescent="0.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 ht="24" customHeight="1" x14ac:dyDescent="0.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 ht="24" customHeight="1" x14ac:dyDescent="0.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 ht="24" customHeight="1" x14ac:dyDescent="0.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 ht="24" customHeight="1" x14ac:dyDescent="0.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 ht="24" customHeight="1" x14ac:dyDescent="0.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 ht="24" customHeight="1" x14ac:dyDescent="0.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 ht="24" customHeight="1" x14ac:dyDescent="0.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 ht="24" customHeight="1" x14ac:dyDescent="0.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 ht="24" customHeight="1" x14ac:dyDescent="0.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 ht="24" customHeight="1" x14ac:dyDescent="0.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 ht="24" customHeight="1" x14ac:dyDescent="0.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 ht="24" customHeight="1" x14ac:dyDescent="0.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 ht="24" customHeight="1" x14ac:dyDescent="0.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 ht="24" customHeight="1" x14ac:dyDescent="0.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 ht="24" customHeight="1" x14ac:dyDescent="0.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 ht="24" customHeight="1" x14ac:dyDescent="0.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 ht="24" customHeight="1" x14ac:dyDescent="0.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 ht="24" customHeight="1" x14ac:dyDescent="0.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 ht="24" customHeight="1" x14ac:dyDescent="0.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 ht="24" customHeight="1" x14ac:dyDescent="0.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 ht="24" customHeight="1" x14ac:dyDescent="0.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 ht="24" customHeight="1" x14ac:dyDescent="0.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 ht="24" customHeight="1" x14ac:dyDescent="0.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 ht="24" customHeight="1" x14ac:dyDescent="0.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 ht="24" customHeight="1" x14ac:dyDescent="0.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 ht="24" customHeight="1" x14ac:dyDescent="0.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 ht="24" customHeight="1" x14ac:dyDescent="0.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 ht="24" customHeight="1" x14ac:dyDescent="0.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 ht="24" customHeight="1" x14ac:dyDescent="0.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 ht="24" customHeight="1" x14ac:dyDescent="0.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 ht="24" customHeight="1" x14ac:dyDescent="0.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 ht="24" customHeight="1" x14ac:dyDescent="0.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 ht="24" customHeight="1" x14ac:dyDescent="0.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 ht="24" customHeight="1" x14ac:dyDescent="0.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 ht="24" customHeight="1" x14ac:dyDescent="0.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 ht="24" customHeight="1" x14ac:dyDescent="0.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 ht="24" customHeight="1" x14ac:dyDescent="0.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 ht="24" customHeight="1" x14ac:dyDescent="0.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 ht="24" customHeight="1" x14ac:dyDescent="0.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 ht="24" customHeight="1" x14ac:dyDescent="0.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 ht="24" customHeight="1" x14ac:dyDescent="0.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 ht="24" customHeight="1" x14ac:dyDescent="0.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 ht="24" customHeight="1" x14ac:dyDescent="0.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 ht="24" customHeight="1" x14ac:dyDescent="0.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 ht="24" customHeight="1" x14ac:dyDescent="0.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 ht="24" customHeight="1" x14ac:dyDescent="0.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 ht="24" customHeight="1" x14ac:dyDescent="0.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 ht="24" customHeight="1" x14ac:dyDescent="0.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 ht="24" customHeight="1" x14ac:dyDescent="0.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 ht="24" customHeight="1" x14ac:dyDescent="0.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 ht="24" customHeight="1" x14ac:dyDescent="0.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 ht="24" customHeight="1" x14ac:dyDescent="0.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 ht="24" customHeight="1" x14ac:dyDescent="0.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 ht="24" customHeight="1" x14ac:dyDescent="0.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 ht="24" customHeight="1" x14ac:dyDescent="0.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 ht="24" customHeight="1" x14ac:dyDescent="0.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 ht="24" customHeight="1" x14ac:dyDescent="0.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 ht="24" customHeight="1" x14ac:dyDescent="0.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 ht="24" customHeight="1" x14ac:dyDescent="0.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 ht="24" customHeight="1" x14ac:dyDescent="0.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 ht="24" customHeight="1" x14ac:dyDescent="0.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 ht="24" customHeight="1" x14ac:dyDescent="0.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 ht="24" customHeight="1" x14ac:dyDescent="0.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 ht="24" customHeight="1" x14ac:dyDescent="0.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 ht="24" customHeight="1" x14ac:dyDescent="0.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 ht="24" customHeight="1" x14ac:dyDescent="0.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 ht="24" customHeight="1" x14ac:dyDescent="0.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 ht="24" customHeight="1" x14ac:dyDescent="0.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 ht="24" customHeight="1" x14ac:dyDescent="0.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 ht="24" customHeight="1" x14ac:dyDescent="0.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 ht="24" customHeight="1" x14ac:dyDescent="0.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 ht="24" customHeight="1" x14ac:dyDescent="0.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 ht="24" customHeight="1" x14ac:dyDescent="0.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 ht="24" customHeight="1" x14ac:dyDescent="0.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 ht="24" customHeight="1" x14ac:dyDescent="0.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 ht="24" customHeight="1" x14ac:dyDescent="0.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  <row r="1000" spans="1:26" ht="24" customHeight="1" x14ac:dyDescent="0.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</row>
  </sheetData>
  <mergeCells count="31">
    <mergeCell ref="A91:B91"/>
    <mergeCell ref="A106:B106"/>
    <mergeCell ref="A6:B8"/>
    <mergeCell ref="D7:D8"/>
    <mergeCell ref="A9:B9"/>
    <mergeCell ref="A15:B15"/>
    <mergeCell ref="A33:B33"/>
    <mergeCell ref="A54:B54"/>
    <mergeCell ref="A76:B76"/>
    <mergeCell ref="K7:L7"/>
    <mergeCell ref="N7:N8"/>
    <mergeCell ref="A2:B4"/>
    <mergeCell ref="C2:T2"/>
    <mergeCell ref="C3:T3"/>
    <mergeCell ref="C4:L4"/>
    <mergeCell ref="M4:T4"/>
    <mergeCell ref="H5:L5"/>
    <mergeCell ref="K6:L6"/>
    <mergeCell ref="C5:G5"/>
    <mergeCell ref="C6:E6"/>
    <mergeCell ref="F6:G6"/>
    <mergeCell ref="H6:H7"/>
    <mergeCell ref="I6:J6"/>
    <mergeCell ref="F7:G7"/>
    <mergeCell ref="I7:J7"/>
    <mergeCell ref="M5:Q5"/>
    <mergeCell ref="R5:T6"/>
    <mergeCell ref="M6:O6"/>
    <mergeCell ref="P6:Q6"/>
    <mergeCell ref="P7:Q7"/>
    <mergeCell ref="S7:T7"/>
  </mergeCells>
  <printOptions horizontalCentered="1"/>
  <pageMargins left="0.15" right="0.15" top="0.75" bottom="0.25" header="0.3" footer="0.3"/>
  <pageSetup paperSize="9" scale="60" orientation="landscape" r:id="rId1"/>
  <rowBreaks count="5" manualBreakCount="5">
    <brk id="32" man="1"/>
    <brk id="53" man="1"/>
    <brk id="75" max="16383" man="1"/>
    <brk id="90" man="1"/>
    <brk id="7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EAADB"/>
  </sheetPr>
  <dimension ref="A1:Z1000"/>
  <sheetViews>
    <sheetView view="pageBreakPreview" zoomScale="115" zoomScaleNormal="70" zoomScaleSheetLayoutView="115" workbookViewId="0">
      <pane xSplit="2" ySplit="9" topLeftCell="C13" activePane="bottomRight" state="frozen"/>
      <selection activeCell="Z5" sqref="Z5:AB6"/>
      <selection pane="topRight" activeCell="Z5" sqref="Z5:AB6"/>
      <selection pane="bottomLeft" activeCell="Z5" sqref="Z5:AB6"/>
      <selection pane="bottomRight" activeCell="A16" sqref="A16"/>
    </sheetView>
  </sheetViews>
  <sheetFormatPr defaultColWidth="12.625" defaultRowHeight="24" customHeight="1" x14ac:dyDescent="0.5"/>
  <cols>
    <col min="1" max="1" width="4.375" style="6" customWidth="1"/>
    <col min="2" max="2" width="27.75" style="6" customWidth="1"/>
    <col min="3" max="6" width="10.75" style="6" customWidth="1"/>
    <col min="7" max="7" width="7.75" style="6" customWidth="1"/>
    <col min="8" max="11" width="9.75" style="6" customWidth="1"/>
    <col min="12" max="12" width="7.75" style="6" customWidth="1"/>
    <col min="13" max="14" width="9.75" style="6" customWidth="1"/>
    <col min="15" max="15" width="7.75" style="6" customWidth="1"/>
    <col min="16" max="17" width="9.75" style="6" customWidth="1"/>
    <col min="18" max="18" width="7.75" style="6" customWidth="1"/>
    <col min="19" max="20" width="9.75" style="6" customWidth="1"/>
    <col min="21" max="21" width="7.75" style="6" customWidth="1"/>
    <col min="22" max="16384" width="12.625" style="6"/>
  </cols>
  <sheetData>
    <row r="1" spans="1:26" ht="24" customHeight="1" x14ac:dyDescent="0.5">
      <c r="A1" s="2" t="s">
        <v>323</v>
      </c>
      <c r="B1" s="3"/>
      <c r="C1" s="4"/>
      <c r="D1" s="4"/>
      <c r="E1" s="4"/>
      <c r="F1" s="4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81"/>
      <c r="W1" s="81"/>
      <c r="X1" s="81"/>
      <c r="Y1" s="81"/>
      <c r="Z1" s="81"/>
    </row>
    <row r="2" spans="1:26" ht="24" customHeight="1" x14ac:dyDescent="0.5">
      <c r="A2" s="573" t="s">
        <v>0</v>
      </c>
      <c r="B2" s="627"/>
      <c r="C2" s="677" t="s">
        <v>183</v>
      </c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698"/>
      <c r="V2" s="81"/>
      <c r="W2" s="81"/>
      <c r="X2" s="81"/>
      <c r="Y2" s="81"/>
      <c r="Z2" s="81"/>
    </row>
    <row r="3" spans="1:26" ht="24" customHeight="1" x14ac:dyDescent="0.5">
      <c r="A3" s="628"/>
      <c r="B3" s="629"/>
      <c r="C3" s="678" t="s">
        <v>189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697"/>
      <c r="V3" s="81"/>
      <c r="W3" s="81"/>
      <c r="X3" s="81"/>
      <c r="Y3" s="81"/>
      <c r="Z3" s="81"/>
    </row>
    <row r="4" spans="1:26" ht="24" customHeight="1" x14ac:dyDescent="0.5">
      <c r="A4" s="630"/>
      <c r="B4" s="631"/>
      <c r="C4" s="680" t="s">
        <v>190</v>
      </c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697"/>
      <c r="V4" s="81"/>
      <c r="W4" s="81"/>
      <c r="X4" s="81"/>
      <c r="Y4" s="81"/>
      <c r="Z4" s="81"/>
    </row>
    <row r="5" spans="1:26" ht="24" customHeight="1" x14ac:dyDescent="0.5">
      <c r="A5" s="7"/>
      <c r="B5" s="8"/>
      <c r="C5" s="600" t="s">
        <v>4</v>
      </c>
      <c r="D5" s="581"/>
      <c r="E5" s="581"/>
      <c r="F5" s="581"/>
      <c r="G5" s="567"/>
      <c r="H5" s="585" t="s">
        <v>191</v>
      </c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697"/>
      <c r="V5" s="81"/>
      <c r="W5" s="81"/>
      <c r="X5" s="81"/>
      <c r="Y5" s="81"/>
      <c r="Z5" s="81"/>
    </row>
    <row r="6" spans="1:26" ht="24" customHeight="1" x14ac:dyDescent="0.5">
      <c r="A6" s="595" t="s">
        <v>207</v>
      </c>
      <c r="B6" s="596"/>
      <c r="C6" s="601" t="s">
        <v>6</v>
      </c>
      <c r="D6" s="581"/>
      <c r="E6" s="567"/>
      <c r="F6" s="602" t="s">
        <v>7</v>
      </c>
      <c r="G6" s="699"/>
      <c r="H6" s="695" t="s">
        <v>16</v>
      </c>
      <c r="I6" s="567"/>
      <c r="J6" s="696" t="s">
        <v>192</v>
      </c>
      <c r="K6" s="581"/>
      <c r="L6" s="581"/>
      <c r="M6" s="581"/>
      <c r="N6" s="581"/>
      <c r="O6" s="581"/>
      <c r="P6" s="581"/>
      <c r="Q6" s="581"/>
      <c r="R6" s="581"/>
      <c r="S6" s="581"/>
      <c r="T6" s="581"/>
      <c r="U6" s="697"/>
      <c r="V6" s="81"/>
      <c r="W6" s="81"/>
      <c r="X6" s="81"/>
      <c r="Y6" s="81"/>
      <c r="Z6" s="81"/>
    </row>
    <row r="7" spans="1:26" ht="24" customHeight="1" x14ac:dyDescent="0.5">
      <c r="A7" s="595"/>
      <c r="B7" s="596"/>
      <c r="C7" s="9" t="s">
        <v>12</v>
      </c>
      <c r="D7" s="682" t="s">
        <v>13</v>
      </c>
      <c r="E7" s="10" t="s">
        <v>14</v>
      </c>
      <c r="F7" s="606" t="s">
        <v>15</v>
      </c>
      <c r="G7" s="594"/>
      <c r="H7" s="147" t="s">
        <v>193</v>
      </c>
      <c r="I7" s="11" t="s">
        <v>194</v>
      </c>
      <c r="J7" s="611" t="s">
        <v>194</v>
      </c>
      <c r="K7" s="581"/>
      <c r="L7" s="571"/>
      <c r="M7" s="611" t="s">
        <v>195</v>
      </c>
      <c r="N7" s="581"/>
      <c r="O7" s="567"/>
      <c r="P7" s="611" t="s">
        <v>196</v>
      </c>
      <c r="Q7" s="581"/>
      <c r="R7" s="567"/>
      <c r="S7" s="611" t="s">
        <v>197</v>
      </c>
      <c r="T7" s="581"/>
      <c r="U7" s="697"/>
      <c r="V7" s="81"/>
      <c r="W7" s="81"/>
      <c r="X7" s="81"/>
      <c r="Y7" s="81"/>
      <c r="Z7" s="81"/>
    </row>
    <row r="8" spans="1:26" ht="32.25" customHeight="1" x14ac:dyDescent="0.5">
      <c r="A8" s="597"/>
      <c r="B8" s="598"/>
      <c r="C8" s="12"/>
      <c r="D8" s="683"/>
      <c r="E8" s="13"/>
      <c r="F8" s="14" t="s">
        <v>18</v>
      </c>
      <c r="G8" s="14" t="s">
        <v>19</v>
      </c>
      <c r="H8" s="148" t="s">
        <v>22</v>
      </c>
      <c r="I8" s="16" t="s">
        <v>198</v>
      </c>
      <c r="J8" s="85" t="s">
        <v>21</v>
      </c>
      <c r="K8" s="85" t="s">
        <v>199</v>
      </c>
      <c r="L8" s="460" t="s">
        <v>200</v>
      </c>
      <c r="M8" s="85" t="s">
        <v>21</v>
      </c>
      <c r="N8" s="85" t="s">
        <v>199</v>
      </c>
      <c r="O8" s="460" t="s">
        <v>23</v>
      </c>
      <c r="P8" s="85" t="s">
        <v>21</v>
      </c>
      <c r="Q8" s="85" t="s">
        <v>199</v>
      </c>
      <c r="R8" s="460" t="s">
        <v>23</v>
      </c>
      <c r="S8" s="85" t="s">
        <v>21</v>
      </c>
      <c r="T8" s="85" t="s">
        <v>199</v>
      </c>
      <c r="U8" s="461" t="s">
        <v>23</v>
      </c>
      <c r="V8" s="81"/>
      <c r="W8" s="81"/>
      <c r="X8" s="81"/>
      <c r="Y8" s="81"/>
      <c r="Z8" s="81"/>
    </row>
    <row r="9" spans="1:26" ht="24" customHeight="1" x14ac:dyDescent="0.5">
      <c r="A9" s="564" t="s">
        <v>24</v>
      </c>
      <c r="B9" s="565"/>
      <c r="C9" s="19">
        <f t="shared" ref="C9:E9" si="0">C10+C11</f>
        <v>115267100</v>
      </c>
      <c r="D9" s="20">
        <f t="shared" si="0"/>
        <v>64066600</v>
      </c>
      <c r="E9" s="21">
        <f t="shared" si="0"/>
        <v>51200500</v>
      </c>
      <c r="F9" s="22">
        <f ca="1">F10+F11+F14</f>
        <v>6995685.0599999996</v>
      </c>
      <c r="G9" s="88">
        <f t="shared" ref="G9:G114" ca="1" si="1">IF(C9&gt;0,F9*100/C9,0)</f>
        <v>6.0691082364352011</v>
      </c>
      <c r="H9" s="24">
        <f t="shared" ref="H9:K9" si="2">H10+H11</f>
        <v>23500</v>
      </c>
      <c r="I9" s="149">
        <f t="shared" si="2"/>
        <v>204519</v>
      </c>
      <c r="J9" s="25">
        <f t="shared" ca="1" si="2"/>
        <v>890</v>
      </c>
      <c r="K9" s="25">
        <f t="shared" ca="1" si="2"/>
        <v>8256.1699999999983</v>
      </c>
      <c r="L9" s="89">
        <f t="shared" ref="L9:L114" ca="1" si="3">IF(I9&gt;0,K9*100/I9,0)</f>
        <v>4.0368718798742407</v>
      </c>
      <c r="M9" s="25">
        <f t="shared" ref="M9:N9" ca="1" si="4">M10+M11</f>
        <v>1391</v>
      </c>
      <c r="N9" s="25">
        <f t="shared" ca="1" si="4"/>
        <v>19432.93</v>
      </c>
      <c r="O9" s="89">
        <f t="shared" ref="O9:O114" ca="1" si="5">IF(H9&gt;0,M9*100/H9,0)</f>
        <v>5.9191489361702132</v>
      </c>
      <c r="P9" s="25">
        <f t="shared" ref="P9:Q9" ca="1" si="6">P10+P11</f>
        <v>20</v>
      </c>
      <c r="Q9" s="25">
        <f t="shared" ca="1" si="6"/>
        <v>215</v>
      </c>
      <c r="R9" s="89">
        <f t="shared" ref="R9:R114" ca="1" si="7">IF(H9&gt;0,P9*100/H9,0)</f>
        <v>8.5106382978723402E-2</v>
      </c>
      <c r="S9" s="25">
        <f t="shared" ref="S9:T9" ca="1" si="8">S10+S11</f>
        <v>699</v>
      </c>
      <c r="T9" s="25">
        <f t="shared" ca="1" si="8"/>
        <v>8340.98</v>
      </c>
      <c r="U9" s="89">
        <f t="shared" ref="U9:U114" ca="1" si="9">IF(H9&gt;0,S9*100/H9,0)</f>
        <v>2.9744680851063832</v>
      </c>
      <c r="V9" s="90"/>
      <c r="W9" s="90"/>
      <c r="X9" s="90"/>
      <c r="Y9" s="90"/>
      <c r="Z9" s="90"/>
    </row>
    <row r="10" spans="1:26" ht="24" customHeight="1" x14ac:dyDescent="0.5">
      <c r="A10" s="27" t="s">
        <v>25</v>
      </c>
      <c r="B10" s="28"/>
      <c r="C10" s="29">
        <f t="shared" ref="C10:F10" si="10">+C15+C33+C54+C76</f>
        <v>70300260</v>
      </c>
      <c r="D10" s="29">
        <f t="shared" si="10"/>
        <v>33944800</v>
      </c>
      <c r="E10" s="29">
        <f t="shared" si="10"/>
        <v>36355460</v>
      </c>
      <c r="F10" s="29">
        <f t="shared" ca="1" si="10"/>
        <v>2218087.0599999996</v>
      </c>
      <c r="G10" s="91">
        <f t="shared" ca="1" si="1"/>
        <v>3.1551619581492298</v>
      </c>
      <c r="H10" s="29">
        <f t="shared" ref="H10:K10" si="11">+H15+H33+H54+H76</f>
        <v>23500</v>
      </c>
      <c r="I10" s="29">
        <f t="shared" si="11"/>
        <v>204519</v>
      </c>
      <c r="J10" s="29">
        <f t="shared" ca="1" si="11"/>
        <v>890</v>
      </c>
      <c r="K10" s="29">
        <f t="shared" ca="1" si="11"/>
        <v>8256.1699999999983</v>
      </c>
      <c r="L10" s="91">
        <f t="shared" ca="1" si="3"/>
        <v>4.0368718798742407</v>
      </c>
      <c r="M10" s="29">
        <f t="shared" ref="M10:N10" ca="1" si="12">+M15+M33+M54+M76</f>
        <v>1391</v>
      </c>
      <c r="N10" s="29">
        <f t="shared" ca="1" si="12"/>
        <v>19432.93</v>
      </c>
      <c r="O10" s="91">
        <f t="shared" ca="1" si="5"/>
        <v>5.9191489361702132</v>
      </c>
      <c r="P10" s="29">
        <f t="shared" ref="P10:Q10" ca="1" si="13">+P15+P33+P54+P76</f>
        <v>20</v>
      </c>
      <c r="Q10" s="29">
        <f t="shared" ca="1" si="13"/>
        <v>215</v>
      </c>
      <c r="R10" s="91">
        <f t="shared" ca="1" si="7"/>
        <v>8.5106382978723402E-2</v>
      </c>
      <c r="S10" s="29">
        <f t="shared" ref="S10:T10" ca="1" si="14">+S15+S33+S54+S76</f>
        <v>699</v>
      </c>
      <c r="T10" s="29">
        <f t="shared" ca="1" si="14"/>
        <v>8340.98</v>
      </c>
      <c r="U10" s="91">
        <f t="shared" ca="1" si="9"/>
        <v>2.9744680851063832</v>
      </c>
      <c r="V10" s="90"/>
      <c r="W10" s="90"/>
      <c r="X10" s="90"/>
      <c r="Y10" s="90"/>
      <c r="Z10" s="90"/>
    </row>
    <row r="11" spans="1:26" ht="24" customHeight="1" x14ac:dyDescent="0.5">
      <c r="A11" s="33" t="s">
        <v>26</v>
      </c>
      <c r="B11" s="34"/>
      <c r="C11" s="35">
        <f t="shared" ref="C11:F11" si="15">+C12+C13</f>
        <v>44966840</v>
      </c>
      <c r="D11" s="35">
        <f t="shared" si="15"/>
        <v>30121800</v>
      </c>
      <c r="E11" s="35">
        <f t="shared" si="15"/>
        <v>14845040</v>
      </c>
      <c r="F11" s="35">
        <f t="shared" ca="1" si="15"/>
        <v>4777598</v>
      </c>
      <c r="G11" s="92">
        <f t="shared" ca="1" si="1"/>
        <v>10.624713677901315</v>
      </c>
      <c r="H11" s="35">
        <f t="shared" ref="H11:K11" si="16">+H12+H13</f>
        <v>0</v>
      </c>
      <c r="I11" s="35">
        <f t="shared" si="16"/>
        <v>0</v>
      </c>
      <c r="J11" s="35">
        <f t="shared" si="16"/>
        <v>0</v>
      </c>
      <c r="K11" s="35">
        <f t="shared" si="16"/>
        <v>0</v>
      </c>
      <c r="L11" s="92">
        <f t="shared" si="3"/>
        <v>0</v>
      </c>
      <c r="M11" s="35">
        <f t="shared" ref="M11:N11" si="17">+M12+M13</f>
        <v>0</v>
      </c>
      <c r="N11" s="35">
        <f t="shared" si="17"/>
        <v>0</v>
      </c>
      <c r="O11" s="92">
        <f t="shared" si="5"/>
        <v>0</v>
      </c>
      <c r="P11" s="35">
        <f t="shared" ref="P11:Q11" si="18">+P12+P13</f>
        <v>0</v>
      </c>
      <c r="Q11" s="35">
        <f t="shared" si="18"/>
        <v>0</v>
      </c>
      <c r="R11" s="92">
        <f t="shared" si="7"/>
        <v>0</v>
      </c>
      <c r="S11" s="35">
        <f t="shared" ref="S11:T11" si="19">+S12+S13</f>
        <v>0</v>
      </c>
      <c r="T11" s="35">
        <f t="shared" si="19"/>
        <v>0</v>
      </c>
      <c r="U11" s="92">
        <f t="shared" si="9"/>
        <v>0</v>
      </c>
      <c r="V11" s="90"/>
      <c r="W11" s="90"/>
      <c r="X11" s="90"/>
      <c r="Y11" s="90"/>
      <c r="Z11" s="90"/>
    </row>
    <row r="12" spans="1:26" ht="24" customHeight="1" x14ac:dyDescent="0.5">
      <c r="A12" s="33" t="s">
        <v>27</v>
      </c>
      <c r="B12" s="34"/>
      <c r="C12" s="35">
        <f t="shared" ref="C12:F12" si="20">+C91</f>
        <v>43871240</v>
      </c>
      <c r="D12" s="35">
        <f t="shared" si="20"/>
        <v>29026200</v>
      </c>
      <c r="E12" s="35">
        <f t="shared" si="20"/>
        <v>14845040</v>
      </c>
      <c r="F12" s="35">
        <f t="shared" ca="1" si="20"/>
        <v>4777598</v>
      </c>
      <c r="G12" s="92">
        <f t="shared" ca="1" si="1"/>
        <v>10.890045505894067</v>
      </c>
      <c r="H12" s="35">
        <f t="shared" ref="H12:K12" si="21">+H91</f>
        <v>0</v>
      </c>
      <c r="I12" s="35">
        <f t="shared" si="21"/>
        <v>0</v>
      </c>
      <c r="J12" s="35">
        <f t="shared" si="21"/>
        <v>0</v>
      </c>
      <c r="K12" s="35">
        <f t="shared" si="21"/>
        <v>0</v>
      </c>
      <c r="L12" s="92">
        <f t="shared" si="3"/>
        <v>0</v>
      </c>
      <c r="M12" s="35">
        <f t="shared" ref="M12:N12" si="22">+M91</f>
        <v>0</v>
      </c>
      <c r="N12" s="35">
        <f t="shared" si="22"/>
        <v>0</v>
      </c>
      <c r="O12" s="92">
        <f t="shared" si="5"/>
        <v>0</v>
      </c>
      <c r="P12" s="35">
        <f t="shared" ref="P12:Q12" si="23">+P91</f>
        <v>0</v>
      </c>
      <c r="Q12" s="35">
        <f t="shared" si="23"/>
        <v>0</v>
      </c>
      <c r="R12" s="92">
        <f t="shared" si="7"/>
        <v>0</v>
      </c>
      <c r="S12" s="35">
        <f t="shared" ref="S12:T12" si="24">+S91</f>
        <v>0</v>
      </c>
      <c r="T12" s="35">
        <f t="shared" si="24"/>
        <v>0</v>
      </c>
      <c r="U12" s="92">
        <f t="shared" si="9"/>
        <v>0</v>
      </c>
      <c r="V12" s="90"/>
      <c r="W12" s="90"/>
      <c r="X12" s="90"/>
      <c r="Y12" s="90"/>
      <c r="Z12" s="90"/>
    </row>
    <row r="13" spans="1:26" ht="24" customHeight="1" x14ac:dyDescent="0.5">
      <c r="A13" s="33" t="s">
        <v>28</v>
      </c>
      <c r="B13" s="34"/>
      <c r="C13" s="35">
        <f t="shared" ref="C13:F13" si="25">+C106</f>
        <v>1095600</v>
      </c>
      <c r="D13" s="35">
        <f t="shared" si="25"/>
        <v>1095600</v>
      </c>
      <c r="E13" s="35">
        <f t="shared" si="25"/>
        <v>0</v>
      </c>
      <c r="F13" s="35">
        <f t="shared" si="25"/>
        <v>0</v>
      </c>
      <c r="G13" s="92">
        <f t="shared" si="1"/>
        <v>0</v>
      </c>
      <c r="H13" s="35">
        <f t="shared" ref="H13:K13" si="26">+H106</f>
        <v>0</v>
      </c>
      <c r="I13" s="35">
        <f t="shared" si="26"/>
        <v>0</v>
      </c>
      <c r="J13" s="35">
        <f t="shared" si="26"/>
        <v>0</v>
      </c>
      <c r="K13" s="35">
        <f t="shared" si="26"/>
        <v>0</v>
      </c>
      <c r="L13" s="92">
        <f t="shared" si="3"/>
        <v>0</v>
      </c>
      <c r="M13" s="35">
        <f t="shared" ref="M13:N13" si="27">+M106</f>
        <v>0</v>
      </c>
      <c r="N13" s="35">
        <f t="shared" si="27"/>
        <v>0</v>
      </c>
      <c r="O13" s="92">
        <f t="shared" si="5"/>
        <v>0</v>
      </c>
      <c r="P13" s="35">
        <f t="shared" ref="P13:Q13" si="28">+P106</f>
        <v>0</v>
      </c>
      <c r="Q13" s="35">
        <f t="shared" si="28"/>
        <v>0</v>
      </c>
      <c r="R13" s="92">
        <f t="shared" si="7"/>
        <v>0</v>
      </c>
      <c r="S13" s="35">
        <f t="shared" ref="S13:T13" si="29">+S106</f>
        <v>0</v>
      </c>
      <c r="T13" s="35">
        <f t="shared" si="29"/>
        <v>0</v>
      </c>
      <c r="U13" s="92">
        <f t="shared" si="9"/>
        <v>0</v>
      </c>
      <c r="V13" s="90"/>
      <c r="W13" s="90"/>
      <c r="X13" s="90"/>
      <c r="Y13" s="90"/>
      <c r="Z13" s="90"/>
    </row>
    <row r="14" spans="1:26" ht="24" customHeight="1" x14ac:dyDescent="0.5">
      <c r="A14" s="39" t="s">
        <v>29</v>
      </c>
      <c r="B14" s="40"/>
      <c r="C14" s="93">
        <v>0</v>
      </c>
      <c r="D14" s="93">
        <v>0</v>
      </c>
      <c r="E14" s="93">
        <v>0</v>
      </c>
      <c r="F14" s="41">
        <v>0</v>
      </c>
      <c r="G14" s="94">
        <f t="shared" si="1"/>
        <v>0</v>
      </c>
      <c r="H14" s="93">
        <v>0</v>
      </c>
      <c r="I14" s="93">
        <v>0</v>
      </c>
      <c r="J14" s="93">
        <v>0</v>
      </c>
      <c r="K14" s="93">
        <v>0</v>
      </c>
      <c r="L14" s="96">
        <f t="shared" si="3"/>
        <v>0</v>
      </c>
      <c r="M14" s="93">
        <v>0</v>
      </c>
      <c r="N14" s="93">
        <v>0</v>
      </c>
      <c r="O14" s="96">
        <f t="shared" si="5"/>
        <v>0</v>
      </c>
      <c r="P14" s="93">
        <v>0</v>
      </c>
      <c r="Q14" s="93">
        <v>0</v>
      </c>
      <c r="R14" s="96">
        <f t="shared" si="7"/>
        <v>0</v>
      </c>
      <c r="S14" s="93">
        <v>0</v>
      </c>
      <c r="T14" s="93">
        <v>0</v>
      </c>
      <c r="U14" s="96">
        <f t="shared" si="9"/>
        <v>0</v>
      </c>
      <c r="V14" s="90"/>
      <c r="W14" s="90"/>
      <c r="X14" s="90"/>
      <c r="Y14" s="90"/>
      <c r="Z14" s="90"/>
    </row>
    <row r="15" spans="1:26" ht="24" customHeight="1" x14ac:dyDescent="0.5">
      <c r="A15" s="566" t="s">
        <v>30</v>
      </c>
      <c r="B15" s="567"/>
      <c r="C15" s="43">
        <f t="shared" ref="C15:F15" si="30">SUM(C16:C32)</f>
        <v>16835290</v>
      </c>
      <c r="D15" s="43">
        <f t="shared" si="30"/>
        <v>8633300</v>
      </c>
      <c r="E15" s="43">
        <f t="shared" si="30"/>
        <v>8201990</v>
      </c>
      <c r="F15" s="43">
        <f t="shared" ca="1" si="30"/>
        <v>538945.41999999993</v>
      </c>
      <c r="G15" s="97">
        <f t="shared" ca="1" si="1"/>
        <v>3.2012838507682368</v>
      </c>
      <c r="H15" s="43">
        <f t="shared" ref="H15:K15" si="31">SUM(H16:H32)</f>
        <v>6310</v>
      </c>
      <c r="I15" s="43">
        <f t="shared" si="31"/>
        <v>41170</v>
      </c>
      <c r="J15" s="43">
        <f t="shared" ca="1" si="31"/>
        <v>158</v>
      </c>
      <c r="K15" s="43">
        <f t="shared" ca="1" si="31"/>
        <v>951.05</v>
      </c>
      <c r="L15" s="97">
        <f t="shared" ca="1" si="3"/>
        <v>2.3100558659217878</v>
      </c>
      <c r="M15" s="43">
        <f t="shared" ref="M15:N15" ca="1" si="32">SUM(M16:M32)</f>
        <v>256</v>
      </c>
      <c r="N15" s="43">
        <f t="shared" ca="1" si="32"/>
        <v>2317.6899999999996</v>
      </c>
      <c r="O15" s="97">
        <f t="shared" ca="1" si="5"/>
        <v>4.0570522979397783</v>
      </c>
      <c r="P15" s="43">
        <f t="shared" ref="P15:Q15" ca="1" si="33">SUM(P16:P32)</f>
        <v>6</v>
      </c>
      <c r="Q15" s="43">
        <f t="shared" ca="1" si="33"/>
        <v>34.57</v>
      </c>
      <c r="R15" s="97">
        <f t="shared" ca="1" si="7"/>
        <v>9.5087163232963554E-2</v>
      </c>
      <c r="S15" s="43">
        <f t="shared" ref="S15:T15" ca="1" si="34">SUM(S16:S32)</f>
        <v>173</v>
      </c>
      <c r="T15" s="43">
        <f t="shared" ca="1" si="34"/>
        <v>1777.0899999999997</v>
      </c>
      <c r="U15" s="97">
        <f t="shared" ca="1" si="9"/>
        <v>2.7416798732171155</v>
      </c>
      <c r="V15" s="90"/>
      <c r="W15" s="90"/>
      <c r="X15" s="90"/>
      <c r="Y15" s="90"/>
      <c r="Z15" s="90"/>
    </row>
    <row r="16" spans="1:26" ht="24" customHeight="1" x14ac:dyDescent="0.5">
      <c r="A16" s="45">
        <v>1</v>
      </c>
      <c r="B16" s="46" t="s">
        <v>31</v>
      </c>
      <c r="C16" s="47">
        <f t="shared" ref="C16:C32" si="35">+D16+E16</f>
        <v>1961030</v>
      </c>
      <c r="D16" s="48">
        <v>607100</v>
      </c>
      <c r="E16" s="48">
        <v>1353930</v>
      </c>
      <c r="F16" s="48">
        <f ca="1">IFERROR(__xludf.DUMMYFUNCTION("IMPORTRANGE(""https://docs.google.com/spreadsheets/d/11923uPwbBZFjjGgGUA6NLw09EwE0CqkOc4q9oUmW1yo/edit?usp=sharing"",""กำแพงเพชร!M228"")"),0)</f>
        <v>0</v>
      </c>
      <c r="G16" s="98">
        <f t="shared" ca="1" si="1"/>
        <v>0</v>
      </c>
      <c r="H16" s="48">
        <v>943</v>
      </c>
      <c r="I16" s="48">
        <v>8400</v>
      </c>
      <c r="J16" s="48">
        <f ca="1">IFERROR(__xludf.DUMMYFUNCTION("IMPORTRANGE(""https://docs.google.com/spreadsheets/d/11923uPwbBZFjjGgGUA6NLw09EwE0CqkOc4q9oUmW1yo/edit?usp=sharing"",""กำแพงเพชร!j234"")"),14)</f>
        <v>14</v>
      </c>
      <c r="K16" s="48">
        <f ca="1">IFERROR(__xludf.DUMMYFUNCTION("IMPORTRANGE(""https://docs.google.com/spreadsheets/d/11923uPwbBZFjjGgGUA6NLw09EwE0CqkOc4q9oUmW1yo/edit?usp=sharing"",""กำแพงเพชร!j235"")"),208.48)</f>
        <v>208.48</v>
      </c>
      <c r="L16" s="98">
        <f t="shared" ca="1" si="3"/>
        <v>2.4819047619047621</v>
      </c>
      <c r="M16" s="48">
        <f ca="1">IFERROR(__xludf.DUMMYFUNCTION("IMPORTRANGE(""https://docs.google.com/spreadsheets/d/11923uPwbBZFjjGgGUA6NLw09EwE0CqkOc4q9oUmW1yo/edit?usp=sharing"",""กำแพงเพชร!j236"")"),1)</f>
        <v>1</v>
      </c>
      <c r="N16" s="48">
        <f ca="1">IFERROR(__xludf.DUMMYFUNCTION("IMPORTRANGE(""https://docs.google.com/spreadsheets/d/11923uPwbBZFjjGgGUA6NLw09EwE0CqkOc4q9oUmW1yo/edit?usp=sharing"",""กำแพงเพชร!j237"")"),29.32)</f>
        <v>29.32</v>
      </c>
      <c r="O16" s="98">
        <f t="shared" ca="1" si="5"/>
        <v>0.10604453870625663</v>
      </c>
      <c r="P16" s="48">
        <f ca="1">IFERROR(__xludf.DUMMYFUNCTION("IMPORTRANGE(""https://docs.google.com/spreadsheets/d/11923uPwbBZFjjGgGUA6NLw09EwE0CqkOc4q9oUmW1yo/edit?usp=sharing"",""กำแพงเพชร!j238"")"),0)</f>
        <v>0</v>
      </c>
      <c r="Q16" s="48">
        <f ca="1">IFERROR(__xludf.DUMMYFUNCTION("IMPORTRANGE(""https://docs.google.com/spreadsheets/d/11923uPwbBZFjjGgGUA6NLw09EwE0CqkOc4q9oUmW1yo/edit?usp=sharing"",""กำแพงเพชร!j239"")"),0)</f>
        <v>0</v>
      </c>
      <c r="R16" s="98">
        <f t="shared" ca="1" si="7"/>
        <v>0</v>
      </c>
      <c r="S16" s="48">
        <f ca="1">IFERROR(__xludf.DUMMYFUNCTION("IMPORTRANGE(""https://docs.google.com/spreadsheets/d/11923uPwbBZFjjGgGUA6NLw09EwE0CqkOc4q9oUmW1yo/edit?usp=sharing"",""กำแพงเพชร!j240"")"),0)</f>
        <v>0</v>
      </c>
      <c r="T16" s="48">
        <f ca="1">IFERROR(__xludf.DUMMYFUNCTION("IMPORTRANGE(""https://docs.google.com/spreadsheets/d/11923uPwbBZFjjGgGUA6NLw09EwE0CqkOc4q9oUmW1yo/edit?usp=sharing"",""กำแพงเพชร!j241"")"),0)</f>
        <v>0</v>
      </c>
      <c r="U16" s="98">
        <f t="shared" ca="1" si="9"/>
        <v>0</v>
      </c>
      <c r="V16" s="81"/>
      <c r="W16" s="81"/>
      <c r="X16" s="81"/>
      <c r="Y16" s="81"/>
      <c r="Z16" s="81"/>
    </row>
    <row r="17" spans="1:26" ht="24" customHeight="1" x14ac:dyDescent="0.5">
      <c r="A17" s="52">
        <v>2</v>
      </c>
      <c r="B17" s="53" t="s">
        <v>32</v>
      </c>
      <c r="C17" s="54">
        <f t="shared" si="35"/>
        <v>1538870</v>
      </c>
      <c r="D17" s="55">
        <v>831600</v>
      </c>
      <c r="E17" s="55">
        <v>707270</v>
      </c>
      <c r="F17" s="55">
        <f ca="1">IFERROR(__xludf.DUMMYFUNCTION("IMPORTRANGE(""https://docs.google.com/spreadsheets/d/11923uPwbBZFjjGgGUA6NLw09EwE0CqkOc4q9oUmW1yo/edit?usp=sharing"",""เชียงราย!M228"")"),0)</f>
        <v>0</v>
      </c>
      <c r="G17" s="99">
        <f t="shared" ca="1" si="1"/>
        <v>0</v>
      </c>
      <c r="H17" s="55">
        <v>680</v>
      </c>
      <c r="I17" s="55">
        <v>3400</v>
      </c>
      <c r="J17" s="55">
        <f ca="1">IFERROR(__xludf.DUMMYFUNCTION("IMPORTRANGE(""https://docs.google.com/spreadsheets/d/11923uPwbBZFjjGgGUA6NLw09EwE0CqkOc4q9oUmW1yo/edit?usp=sharing"",""เชียงราย!j234"")"),11)</f>
        <v>11</v>
      </c>
      <c r="K17" s="55">
        <f ca="1">IFERROR(__xludf.DUMMYFUNCTION("IMPORTRANGE(""https://docs.google.com/spreadsheets/d/11923uPwbBZFjjGgGUA6NLw09EwE0CqkOc4q9oUmW1yo/edit?usp=sharing"",""เชียงราย!j235"")"),43.03)</f>
        <v>43.03</v>
      </c>
      <c r="L17" s="99">
        <f t="shared" ca="1" si="3"/>
        <v>1.2655882352941177</v>
      </c>
      <c r="M17" s="55">
        <f ca="1">IFERROR(__xludf.DUMMYFUNCTION("IMPORTRANGE(""https://docs.google.com/spreadsheets/d/11923uPwbBZFjjGgGUA6NLw09EwE0CqkOc4q9oUmW1yo/edit?usp=sharing"",""เชียงราย!j236"")"),43)</f>
        <v>43</v>
      </c>
      <c r="N17" s="55">
        <f ca="1">IFERROR(__xludf.DUMMYFUNCTION("IMPORTRANGE(""https://docs.google.com/spreadsheets/d/11923uPwbBZFjjGgGUA6NLw09EwE0CqkOc4q9oUmW1yo/edit?usp=sharing"",""เชียงราย!j237"")"),300.22)</f>
        <v>300.22000000000003</v>
      </c>
      <c r="O17" s="99">
        <f t="shared" ca="1" si="5"/>
        <v>6.3235294117647056</v>
      </c>
      <c r="P17" s="55">
        <f ca="1">IFERROR(__xludf.DUMMYFUNCTION("IMPORTRANGE(""https://docs.google.com/spreadsheets/d/11923uPwbBZFjjGgGUA6NLw09EwE0CqkOc4q9oUmW1yo/edit?usp=sharing"",""เชียงราย!j238"")"),1)</f>
        <v>1</v>
      </c>
      <c r="Q17" s="55">
        <f ca="1">IFERROR(__xludf.DUMMYFUNCTION("IMPORTRANGE(""https://docs.google.com/spreadsheets/d/11923uPwbBZFjjGgGUA6NLw09EwE0CqkOc4q9oUmW1yo/edit?usp=sharing"",""เชียงราย!j239"")"),5.78)</f>
        <v>5.78</v>
      </c>
      <c r="R17" s="99">
        <f t="shared" ca="1" si="7"/>
        <v>0.14705882352941177</v>
      </c>
      <c r="S17" s="55">
        <f ca="1">IFERROR(__xludf.DUMMYFUNCTION("IMPORTRANGE(""https://docs.google.com/spreadsheets/d/11923uPwbBZFjjGgGUA6NLw09EwE0CqkOc4q9oUmW1yo/edit?usp=sharing"",""เชียงราย!j240"")"),0)</f>
        <v>0</v>
      </c>
      <c r="T17" s="55">
        <f ca="1">IFERROR(__xludf.DUMMYFUNCTION("IMPORTRANGE(""https://docs.google.com/spreadsheets/d/11923uPwbBZFjjGgGUA6NLw09EwE0CqkOc4q9oUmW1yo/edit?usp=sharing"",""เชียงราย!j241"")"),0)</f>
        <v>0</v>
      </c>
      <c r="U17" s="99">
        <f t="shared" ca="1" si="9"/>
        <v>0</v>
      </c>
      <c r="V17" s="81"/>
      <c r="W17" s="81"/>
      <c r="X17" s="81"/>
      <c r="Y17" s="81"/>
      <c r="Z17" s="81"/>
    </row>
    <row r="18" spans="1:26" ht="24" customHeight="1" x14ac:dyDescent="0.5">
      <c r="A18" s="52">
        <v>3</v>
      </c>
      <c r="B18" s="53" t="s">
        <v>33</v>
      </c>
      <c r="C18" s="54">
        <f t="shared" si="35"/>
        <v>802280</v>
      </c>
      <c r="D18" s="55">
        <v>471600</v>
      </c>
      <c r="E18" s="55">
        <v>330680</v>
      </c>
      <c r="F18" s="55">
        <f ca="1">IFERROR(__xludf.DUMMYFUNCTION("IMPORTRANGE(""https://docs.google.com/spreadsheets/d/11923uPwbBZFjjGgGUA6NLw09EwE0CqkOc4q9oUmW1yo/edit?usp=sharing"",""เชียงใหม่!M228"")"),44987.49)</f>
        <v>44987.49</v>
      </c>
      <c r="G18" s="99">
        <f t="shared" ca="1" si="1"/>
        <v>5.607455003240764</v>
      </c>
      <c r="H18" s="55">
        <v>315</v>
      </c>
      <c r="I18" s="55">
        <v>1060</v>
      </c>
      <c r="J18" s="55">
        <f ca="1">IFERROR(__xludf.DUMMYFUNCTION("IMPORTRANGE(""https://docs.google.com/spreadsheets/d/11923uPwbBZFjjGgGUA6NLw09EwE0CqkOc4q9oUmW1yo/edit?usp=sharing"",""เชียงใหม่!j234"")"),1)</f>
        <v>1</v>
      </c>
      <c r="K18" s="55">
        <f ca="1">IFERROR(__xludf.DUMMYFUNCTION("IMPORTRANGE(""https://docs.google.com/spreadsheets/d/11923uPwbBZFjjGgGUA6NLw09EwE0CqkOc4q9oUmW1yo/edit?usp=sharing"",""เชียงใหม่!j235"")"),0.23)</f>
        <v>0.23</v>
      </c>
      <c r="L18" s="99">
        <f t="shared" ca="1" si="3"/>
        <v>2.1698113207547168E-2</v>
      </c>
      <c r="M18" s="55">
        <f ca="1">IFERROR(__xludf.DUMMYFUNCTION("IMPORTRANGE(""https://docs.google.com/spreadsheets/d/11923uPwbBZFjjGgGUA6NLw09EwE0CqkOc4q9oUmW1yo/edit?usp=sharing"",""เชียงใหม่!j236"")"),2)</f>
        <v>2</v>
      </c>
      <c r="N18" s="55">
        <f ca="1">IFERROR(__xludf.DUMMYFUNCTION("IMPORTRANGE(""https://docs.google.com/spreadsheets/d/11923uPwbBZFjjGgGUA6NLw09EwE0CqkOc4q9oUmW1yo/edit?usp=sharing"",""เชียงใหม่!j237"")"),4.31)</f>
        <v>4.3099999999999996</v>
      </c>
      <c r="O18" s="99">
        <f t="shared" ca="1" si="5"/>
        <v>0.63492063492063489</v>
      </c>
      <c r="P18" s="55">
        <f ca="1">IFERROR(__xludf.DUMMYFUNCTION("IMPORTRANGE(""https://docs.google.com/spreadsheets/d/11923uPwbBZFjjGgGUA6NLw09EwE0CqkOc4q9oUmW1yo/edit?usp=sharing"",""เชียงใหม่!j238"")"),0)</f>
        <v>0</v>
      </c>
      <c r="Q18" s="55">
        <f ca="1">IFERROR(__xludf.DUMMYFUNCTION("IMPORTRANGE(""https://docs.google.com/spreadsheets/d/11923uPwbBZFjjGgGUA6NLw09EwE0CqkOc4q9oUmW1yo/edit?usp=sharing"",""เชียงใหม่!j239"")"),0)</f>
        <v>0</v>
      </c>
      <c r="R18" s="99">
        <f t="shared" ca="1" si="7"/>
        <v>0</v>
      </c>
      <c r="S18" s="55">
        <f ca="1">IFERROR(__xludf.DUMMYFUNCTION("IMPORTRANGE(""https://docs.google.com/spreadsheets/d/11923uPwbBZFjjGgGUA6NLw09EwE0CqkOc4q9oUmW1yo/edit?usp=sharing"",""เชียงใหม่!j240"")"),2)</f>
        <v>2</v>
      </c>
      <c r="T18" s="55">
        <f ca="1">IFERROR(__xludf.DUMMYFUNCTION("IMPORTRANGE(""https://docs.google.com/spreadsheets/d/11923uPwbBZFjjGgGUA6NLw09EwE0CqkOc4q9oUmW1yo/edit?usp=sharing"",""เชียงใหม่!j241"")"),4.31)</f>
        <v>4.3099999999999996</v>
      </c>
      <c r="U18" s="99">
        <f t="shared" ca="1" si="9"/>
        <v>0.63492063492063489</v>
      </c>
      <c r="V18" s="81"/>
      <c r="W18" s="81"/>
      <c r="X18" s="81"/>
      <c r="Y18" s="81"/>
      <c r="Z18" s="81"/>
    </row>
    <row r="19" spans="1:26" ht="24" customHeight="1" x14ac:dyDescent="0.5">
      <c r="A19" s="52">
        <v>4</v>
      </c>
      <c r="B19" s="53" t="s">
        <v>34</v>
      </c>
      <c r="C19" s="54">
        <f t="shared" si="35"/>
        <v>939650</v>
      </c>
      <c r="D19" s="55">
        <v>496800</v>
      </c>
      <c r="E19" s="55">
        <v>442850</v>
      </c>
      <c r="F19" s="55">
        <f ca="1">IFERROR(__xludf.DUMMYFUNCTION("IMPORTRANGE(""https://docs.google.com/spreadsheets/d/11923uPwbBZFjjGgGUA6NLw09EwE0CqkOc4q9oUmW1yo/edit?usp=sharing"",""ตาก!M228"")"),0)</f>
        <v>0</v>
      </c>
      <c r="G19" s="99">
        <f t="shared" ca="1" si="1"/>
        <v>0</v>
      </c>
      <c r="H19" s="55">
        <v>215</v>
      </c>
      <c r="I19" s="55">
        <v>3000</v>
      </c>
      <c r="J19" s="55">
        <f ca="1">IFERROR(__xludf.DUMMYFUNCTION("IMPORTRANGE(""https://docs.google.com/spreadsheets/d/11923uPwbBZFjjGgGUA6NLw09EwE0CqkOc4q9oUmW1yo/edit?usp=sharing"",""ตาก!j234"")"),26)</f>
        <v>26</v>
      </c>
      <c r="K19" s="55">
        <f ca="1">IFERROR(__xludf.DUMMYFUNCTION("IMPORTRANGE(""https://docs.google.com/spreadsheets/d/11923uPwbBZFjjGgGUA6NLw09EwE0CqkOc4q9oUmW1yo/edit?usp=sharing"",""ตาก!j235"")"),161.2)</f>
        <v>161.19999999999999</v>
      </c>
      <c r="L19" s="99">
        <f t="shared" ca="1" si="3"/>
        <v>5.3733333333333331</v>
      </c>
      <c r="M19" s="55">
        <f ca="1">IFERROR(__xludf.DUMMYFUNCTION("IMPORTRANGE(""https://docs.google.com/spreadsheets/d/11923uPwbBZFjjGgGUA6NLw09EwE0CqkOc4q9oUmW1yo/edit?usp=sharing"",""ตาก!j236"")"),0)</f>
        <v>0</v>
      </c>
      <c r="N19" s="55">
        <f ca="1">IFERROR(__xludf.DUMMYFUNCTION("IMPORTRANGE(""https://docs.google.com/spreadsheets/d/11923uPwbBZFjjGgGUA6NLw09EwE0CqkOc4q9oUmW1yo/edit?usp=sharing"",""ตาก!j237"")"),0)</f>
        <v>0</v>
      </c>
      <c r="O19" s="99">
        <f t="shared" ca="1" si="5"/>
        <v>0</v>
      </c>
      <c r="P19" s="55">
        <f ca="1">IFERROR(__xludf.DUMMYFUNCTION("IMPORTRANGE(""https://docs.google.com/spreadsheets/d/11923uPwbBZFjjGgGUA6NLw09EwE0CqkOc4q9oUmW1yo/edit?usp=sharing"",""ตาก!j238"")"),0)</f>
        <v>0</v>
      </c>
      <c r="Q19" s="55">
        <f ca="1">IFERROR(__xludf.DUMMYFUNCTION("IMPORTRANGE(""https://docs.google.com/spreadsheets/d/11923uPwbBZFjjGgGUA6NLw09EwE0CqkOc4q9oUmW1yo/edit?usp=sharing"",""ตาก!j239"")"),0)</f>
        <v>0</v>
      </c>
      <c r="R19" s="99">
        <f t="shared" ca="1" si="7"/>
        <v>0</v>
      </c>
      <c r="S19" s="55">
        <f ca="1">IFERROR(__xludf.DUMMYFUNCTION("IMPORTRANGE(""https://docs.google.com/spreadsheets/d/11923uPwbBZFjjGgGUA6NLw09EwE0CqkOc4q9oUmW1yo/edit?usp=sharing"",""ตาก!j240"")"),0)</f>
        <v>0</v>
      </c>
      <c r="T19" s="55">
        <f ca="1">IFERROR(__xludf.DUMMYFUNCTION("IMPORTRANGE(""https://docs.google.com/spreadsheets/d/11923uPwbBZFjjGgGUA6NLw09EwE0CqkOc4q9oUmW1yo/edit?usp=sharing"",""ตาก!j241"")"),0)</f>
        <v>0</v>
      </c>
      <c r="U19" s="99">
        <f t="shared" ca="1" si="9"/>
        <v>0</v>
      </c>
      <c r="V19" s="81"/>
      <c r="W19" s="81"/>
      <c r="X19" s="81"/>
      <c r="Y19" s="81"/>
      <c r="Z19" s="81"/>
    </row>
    <row r="20" spans="1:26" ht="24" customHeight="1" x14ac:dyDescent="0.5">
      <c r="A20" s="52">
        <v>5</v>
      </c>
      <c r="B20" s="53" t="s">
        <v>35</v>
      </c>
      <c r="C20" s="54">
        <f t="shared" si="35"/>
        <v>1119950</v>
      </c>
      <c r="D20" s="55">
        <v>529200</v>
      </c>
      <c r="E20" s="55">
        <v>590750</v>
      </c>
      <c r="F20" s="55">
        <f ca="1">IFERROR(__xludf.DUMMYFUNCTION("IMPORTRANGE(""https://docs.google.com/spreadsheets/d/11923uPwbBZFjjGgGUA6NLw09EwE0CqkOc4q9oUmW1yo/edit?usp=sharing"",""นครสวรรค์!M228"")"),0)</f>
        <v>0</v>
      </c>
      <c r="G20" s="99">
        <f t="shared" ca="1" si="1"/>
        <v>0</v>
      </c>
      <c r="H20" s="55">
        <v>430</v>
      </c>
      <c r="I20" s="55">
        <v>4200</v>
      </c>
      <c r="J20" s="55">
        <f ca="1">IFERROR(__xludf.DUMMYFUNCTION("IMPORTRANGE(""https://docs.google.com/spreadsheets/d/11923uPwbBZFjjGgGUA6NLw09EwE0CqkOc4q9oUmW1yo/edit?usp=sharing"",""นครสวรรค์!j234"")"),0)</f>
        <v>0</v>
      </c>
      <c r="K20" s="55">
        <f ca="1">IFERROR(__xludf.DUMMYFUNCTION("IMPORTRANGE(""https://docs.google.com/spreadsheets/d/11923uPwbBZFjjGgGUA6NLw09EwE0CqkOc4q9oUmW1yo/edit?usp=sharing"",""นครสวรรค์!j235"")"),0)</f>
        <v>0</v>
      </c>
      <c r="L20" s="99">
        <f t="shared" ca="1" si="3"/>
        <v>0</v>
      </c>
      <c r="M20" s="55">
        <f ca="1">IFERROR(__xludf.DUMMYFUNCTION("IMPORTRANGE(""https://docs.google.com/spreadsheets/d/11923uPwbBZFjjGgGUA6NLw09EwE0CqkOc4q9oUmW1yo/edit?usp=sharing"",""นครสวรรค์!j236"")"),10)</f>
        <v>10</v>
      </c>
      <c r="N20" s="55">
        <f ca="1">IFERROR(__xludf.DUMMYFUNCTION("IMPORTRANGE(""https://docs.google.com/spreadsheets/d/11923uPwbBZFjjGgGUA6NLw09EwE0CqkOc4q9oUmW1yo/edit?usp=sharing"",""นครสวรรค์!j237"")"),203.13)</f>
        <v>203.13</v>
      </c>
      <c r="O20" s="99">
        <f t="shared" ca="1" si="5"/>
        <v>2.3255813953488373</v>
      </c>
      <c r="P20" s="55">
        <f ca="1">IFERROR(__xludf.DUMMYFUNCTION("IMPORTRANGE(""https://docs.google.com/spreadsheets/d/11923uPwbBZFjjGgGUA6NLw09EwE0CqkOc4q9oUmW1yo/edit?usp=sharing"",""นครสวรรค์!j238"")"),0)</f>
        <v>0</v>
      </c>
      <c r="Q20" s="55">
        <f ca="1">IFERROR(__xludf.DUMMYFUNCTION("IMPORTRANGE(""https://docs.google.com/spreadsheets/d/11923uPwbBZFjjGgGUA6NLw09EwE0CqkOc4q9oUmW1yo/edit?usp=sharing"",""นครสวรรค์!j239"")"),0)</f>
        <v>0</v>
      </c>
      <c r="R20" s="99">
        <f t="shared" ca="1" si="7"/>
        <v>0</v>
      </c>
      <c r="S20" s="55">
        <f ca="1">IFERROR(__xludf.DUMMYFUNCTION("IMPORTRANGE(""https://docs.google.com/spreadsheets/d/11923uPwbBZFjjGgGUA6NLw09EwE0CqkOc4q9oUmW1yo/edit?usp=sharing"",""นครสวรรค์!j240"")"),10)</f>
        <v>10</v>
      </c>
      <c r="T20" s="55">
        <f ca="1">IFERROR(__xludf.DUMMYFUNCTION("IMPORTRANGE(""https://docs.google.com/spreadsheets/d/11923uPwbBZFjjGgGUA6NLw09EwE0CqkOc4q9oUmW1yo/edit?usp=sharing"",""นครสวรรค์!j241"")"),203.13)</f>
        <v>203.13</v>
      </c>
      <c r="U20" s="99">
        <f t="shared" ca="1" si="9"/>
        <v>2.3255813953488373</v>
      </c>
      <c r="V20" s="81"/>
      <c r="W20" s="81"/>
      <c r="X20" s="81"/>
      <c r="Y20" s="81"/>
      <c r="Z20" s="81"/>
    </row>
    <row r="21" spans="1:26" ht="24" customHeight="1" x14ac:dyDescent="0.5">
      <c r="A21" s="52">
        <v>6</v>
      </c>
      <c r="B21" s="53" t="s">
        <v>36</v>
      </c>
      <c r="C21" s="54">
        <f t="shared" si="35"/>
        <v>920350</v>
      </c>
      <c r="D21" s="55">
        <v>417600</v>
      </c>
      <c r="E21" s="55">
        <v>502750</v>
      </c>
      <c r="F21" s="55">
        <f ca="1">IFERROR(__xludf.DUMMYFUNCTION("IMPORTRANGE(""https://docs.google.com/spreadsheets/d/11923uPwbBZFjjGgGUA6NLw09EwE0CqkOc4q9oUmW1yo/edit?usp=sharing"",""น่าน!M228"")"),49358)</f>
        <v>49358</v>
      </c>
      <c r="G21" s="99">
        <f t="shared" ca="1" si="1"/>
        <v>5.3629597435758134</v>
      </c>
      <c r="H21" s="55">
        <v>480</v>
      </c>
      <c r="I21" s="55">
        <v>2000</v>
      </c>
      <c r="J21" s="55">
        <f ca="1">IFERROR(__xludf.DUMMYFUNCTION("IMPORTRANGE(""https://docs.google.com/spreadsheets/d/11923uPwbBZFjjGgGUA6NLw09EwE0CqkOc4q9oUmW1yo/edit?usp=sharing"",""น่าน!j234"")"),27)</f>
        <v>27</v>
      </c>
      <c r="K21" s="55">
        <f ca="1">IFERROR(__xludf.DUMMYFUNCTION("IMPORTRANGE(""https://docs.google.com/spreadsheets/d/11923uPwbBZFjjGgGUA6NLw09EwE0CqkOc4q9oUmW1yo/edit?usp=sharing"",""น่าน!j235"")"),74.94)</f>
        <v>74.94</v>
      </c>
      <c r="L21" s="99">
        <f t="shared" ca="1" si="3"/>
        <v>3.7469999999999999</v>
      </c>
      <c r="M21" s="55">
        <f ca="1">IFERROR(__xludf.DUMMYFUNCTION("IMPORTRANGE(""https://docs.google.com/spreadsheets/d/11923uPwbBZFjjGgGUA6NLw09EwE0CqkOc4q9oUmW1yo/edit?usp=sharing"",""น่าน!j236"")"),19)</f>
        <v>19</v>
      </c>
      <c r="N21" s="55">
        <f ca="1">IFERROR(__xludf.DUMMYFUNCTION("IMPORTRANGE(""https://docs.google.com/spreadsheets/d/11923uPwbBZFjjGgGUA6NLw09EwE0CqkOc4q9oUmW1yo/edit?usp=sharing"",""น่าน!j237"")"),59.4)</f>
        <v>59.4</v>
      </c>
      <c r="O21" s="99">
        <f t="shared" ca="1" si="5"/>
        <v>3.9583333333333335</v>
      </c>
      <c r="P21" s="55">
        <f ca="1">IFERROR(__xludf.DUMMYFUNCTION("IMPORTRANGE(""https://docs.google.com/spreadsheets/d/11923uPwbBZFjjGgGUA6NLw09EwE0CqkOc4q9oUmW1yo/edit?usp=sharing"",""น่าน!j238"")"),0)</f>
        <v>0</v>
      </c>
      <c r="Q21" s="55">
        <f ca="1">IFERROR(__xludf.DUMMYFUNCTION("IMPORTRANGE(""https://docs.google.com/spreadsheets/d/11923uPwbBZFjjGgGUA6NLw09EwE0CqkOc4q9oUmW1yo/edit?usp=sharing"",""น่าน!j239"")"),0)</f>
        <v>0</v>
      </c>
      <c r="R21" s="99">
        <f t="shared" ca="1" si="7"/>
        <v>0</v>
      </c>
      <c r="S21" s="55">
        <f ca="1">IFERROR(__xludf.DUMMYFUNCTION("IMPORTRANGE(""https://docs.google.com/spreadsheets/d/11923uPwbBZFjjGgGUA6NLw09EwE0CqkOc4q9oUmW1yo/edit?usp=sharing"",""น่าน!j240"")"),18)</f>
        <v>18</v>
      </c>
      <c r="T21" s="55">
        <f ca="1">IFERROR(__xludf.DUMMYFUNCTION("IMPORTRANGE(""https://docs.google.com/spreadsheets/d/11923uPwbBZFjjGgGUA6NLw09EwE0CqkOc4q9oUmW1yo/edit?usp=sharing"",""น่าน!j241"")"),58.2)</f>
        <v>58.2</v>
      </c>
      <c r="U21" s="99">
        <f t="shared" ca="1" si="9"/>
        <v>3.75</v>
      </c>
      <c r="V21" s="81"/>
      <c r="W21" s="81"/>
      <c r="X21" s="81"/>
      <c r="Y21" s="81"/>
      <c r="Z21" s="81"/>
    </row>
    <row r="22" spans="1:26" ht="24" customHeight="1" x14ac:dyDescent="0.5">
      <c r="A22" s="52">
        <v>7</v>
      </c>
      <c r="B22" s="53" t="s">
        <v>37</v>
      </c>
      <c r="C22" s="54">
        <f t="shared" si="35"/>
        <v>598050</v>
      </c>
      <c r="D22" s="55">
        <v>194400</v>
      </c>
      <c r="E22" s="55">
        <v>403650</v>
      </c>
      <c r="F22" s="55">
        <f ca="1">IFERROR(__xludf.DUMMYFUNCTION("IMPORTRANGE(""https://docs.google.com/spreadsheets/d/11923uPwbBZFjjGgGUA6NLw09EwE0CqkOc4q9oUmW1yo/edit?usp=sharing"",""พะเยา!M228"")"),27438.7)</f>
        <v>27438.7</v>
      </c>
      <c r="G22" s="99">
        <f t="shared" ca="1" si="1"/>
        <v>4.5880277568765155</v>
      </c>
      <c r="H22" s="55">
        <v>580</v>
      </c>
      <c r="I22" s="55">
        <v>2000</v>
      </c>
      <c r="J22" s="55">
        <f ca="1">IFERROR(__xludf.DUMMYFUNCTION("IMPORTRANGE(""https://docs.google.com/spreadsheets/d/11923uPwbBZFjjGgGUA6NLw09EwE0CqkOc4q9oUmW1yo/edit?usp=sharing"",""พะเยา!j234"")"),0)</f>
        <v>0</v>
      </c>
      <c r="K22" s="55">
        <f ca="1">IFERROR(__xludf.DUMMYFUNCTION("IMPORTRANGE(""https://docs.google.com/spreadsheets/d/11923uPwbBZFjjGgGUA6NLw09EwE0CqkOc4q9oUmW1yo/edit?usp=sharing"",""พะเยา!j235"")"),0)</f>
        <v>0</v>
      </c>
      <c r="L22" s="99">
        <f t="shared" ca="1" si="3"/>
        <v>0</v>
      </c>
      <c r="M22" s="55">
        <f ca="1">IFERROR(__xludf.DUMMYFUNCTION("IMPORTRANGE(""https://docs.google.com/spreadsheets/d/11923uPwbBZFjjGgGUA6NLw09EwE0CqkOc4q9oUmW1yo/edit?usp=sharing"",""พะเยา!j236"")"),0)</f>
        <v>0</v>
      </c>
      <c r="N22" s="55">
        <f ca="1">IFERROR(__xludf.DUMMYFUNCTION("IMPORTRANGE(""https://docs.google.com/spreadsheets/d/11923uPwbBZFjjGgGUA6NLw09EwE0CqkOc4q9oUmW1yo/edit?usp=sharing"",""พะเยา!j237"")"),0)</f>
        <v>0</v>
      </c>
      <c r="O22" s="99">
        <f t="shared" ca="1" si="5"/>
        <v>0</v>
      </c>
      <c r="P22" s="55">
        <f ca="1">IFERROR(__xludf.DUMMYFUNCTION("IMPORTRANGE(""https://docs.google.com/spreadsheets/d/11923uPwbBZFjjGgGUA6NLw09EwE0CqkOc4q9oUmW1yo/edit?usp=sharing"",""พะเยา!j238"")"),0)</f>
        <v>0</v>
      </c>
      <c r="Q22" s="55">
        <f ca="1">IFERROR(__xludf.DUMMYFUNCTION("IMPORTRANGE(""https://docs.google.com/spreadsheets/d/11923uPwbBZFjjGgGUA6NLw09EwE0CqkOc4q9oUmW1yo/edit?usp=sharing"",""พะเยา!j239"")"),0)</f>
        <v>0</v>
      </c>
      <c r="R22" s="99">
        <f t="shared" ca="1" si="7"/>
        <v>0</v>
      </c>
      <c r="S22" s="55">
        <f ca="1">IFERROR(__xludf.DUMMYFUNCTION("IMPORTRANGE(""https://docs.google.com/spreadsheets/d/11923uPwbBZFjjGgGUA6NLw09EwE0CqkOc4q9oUmW1yo/edit?usp=sharing"",""พะเยา!j240"")"),0)</f>
        <v>0</v>
      </c>
      <c r="T22" s="55">
        <f ca="1">IFERROR(__xludf.DUMMYFUNCTION("IMPORTRANGE(""https://docs.google.com/spreadsheets/d/11923uPwbBZFjjGgGUA6NLw09EwE0CqkOc4q9oUmW1yo/edit?usp=sharing"",""พะเยา!j241"")"),0)</f>
        <v>0</v>
      </c>
      <c r="U22" s="99">
        <f t="shared" ca="1" si="9"/>
        <v>0</v>
      </c>
      <c r="V22" s="81"/>
      <c r="W22" s="81"/>
      <c r="X22" s="81"/>
      <c r="Y22" s="81"/>
      <c r="Z22" s="81"/>
    </row>
    <row r="23" spans="1:26" ht="24" customHeight="1" x14ac:dyDescent="0.5">
      <c r="A23" s="52">
        <v>8</v>
      </c>
      <c r="B23" s="53" t="s">
        <v>38</v>
      </c>
      <c r="C23" s="54">
        <f t="shared" si="35"/>
        <v>1177740</v>
      </c>
      <c r="D23" s="55">
        <v>854600</v>
      </c>
      <c r="E23" s="55">
        <v>323140</v>
      </c>
      <c r="F23" s="55">
        <f ca="1">IFERROR(__xludf.DUMMYFUNCTION("IMPORTRANGE(""https://docs.google.com/spreadsheets/d/11923uPwbBZFjjGgGUA6NLw09EwE0CqkOc4q9oUmW1yo/edit?usp=sharing"",""พิจิตร!M228"")"),91552.28)</f>
        <v>91552.28</v>
      </c>
      <c r="G23" s="99">
        <f t="shared" ca="1" si="1"/>
        <v>7.7735561329325655</v>
      </c>
      <c r="H23" s="55">
        <v>130</v>
      </c>
      <c r="I23" s="55">
        <v>1000</v>
      </c>
      <c r="J23" s="55">
        <f ca="1">IFERROR(__xludf.DUMMYFUNCTION("IMPORTRANGE(""https://docs.google.com/spreadsheets/d/11923uPwbBZFjjGgGUA6NLw09EwE0CqkOc4q9oUmW1yo/edit?usp=sharing"",""พิจิตร!j234"")"),3)</f>
        <v>3</v>
      </c>
      <c r="K23" s="55">
        <f ca="1">IFERROR(__xludf.DUMMYFUNCTION("IMPORTRANGE(""https://docs.google.com/spreadsheets/d/11923uPwbBZFjjGgGUA6NLw09EwE0CqkOc4q9oUmW1yo/edit?usp=sharing"",""พิจิตร!j235"")"),0.55)</f>
        <v>0.55000000000000004</v>
      </c>
      <c r="L23" s="99">
        <f t="shared" ca="1" si="3"/>
        <v>5.5000000000000007E-2</v>
      </c>
      <c r="M23" s="55">
        <f ca="1">IFERROR(__xludf.DUMMYFUNCTION("IMPORTRANGE(""https://docs.google.com/spreadsheets/d/11923uPwbBZFjjGgGUA6NLw09EwE0CqkOc4q9oUmW1yo/edit?usp=sharing"",""พิจิตร!j236"")"),21)</f>
        <v>21</v>
      </c>
      <c r="N23" s="55">
        <f ca="1">IFERROR(__xludf.DUMMYFUNCTION("IMPORTRANGE(""https://docs.google.com/spreadsheets/d/11923uPwbBZFjjGgGUA6NLw09EwE0CqkOc4q9oUmW1yo/edit?usp=sharing"",""พิจิตร!j237"")"),253.72)</f>
        <v>253.72</v>
      </c>
      <c r="O23" s="99">
        <f t="shared" ca="1" si="5"/>
        <v>16.153846153846153</v>
      </c>
      <c r="P23" s="55">
        <f ca="1">IFERROR(__xludf.DUMMYFUNCTION("IMPORTRANGE(""https://docs.google.com/spreadsheets/d/11923uPwbBZFjjGgGUA6NLw09EwE0CqkOc4q9oUmW1yo/edit?usp=sharing"",""พิจิตร!j238"")"),0)</f>
        <v>0</v>
      </c>
      <c r="Q23" s="55">
        <f ca="1">IFERROR(__xludf.DUMMYFUNCTION("IMPORTRANGE(""https://docs.google.com/spreadsheets/d/11923uPwbBZFjjGgGUA6NLw09EwE0CqkOc4q9oUmW1yo/edit?usp=sharing"",""พิจิตร!j239"")"),0)</f>
        <v>0</v>
      </c>
      <c r="R23" s="99">
        <f t="shared" ca="1" si="7"/>
        <v>0</v>
      </c>
      <c r="S23" s="55">
        <f ca="1">IFERROR(__xludf.DUMMYFUNCTION("IMPORTRANGE(""https://docs.google.com/spreadsheets/d/11923uPwbBZFjjGgGUA6NLw09EwE0CqkOc4q9oUmW1yo/edit?usp=sharing"",""พิจิตร!j240"")"),15)</f>
        <v>15</v>
      </c>
      <c r="T23" s="55">
        <f ca="1">IFERROR(__xludf.DUMMYFUNCTION("IMPORTRANGE(""https://docs.google.com/spreadsheets/d/11923uPwbBZFjjGgGUA6NLw09EwE0CqkOc4q9oUmW1yo/edit?usp=sharing"",""พิจิตร!j241"")"),210.55)</f>
        <v>210.55</v>
      </c>
      <c r="U23" s="99">
        <f t="shared" ca="1" si="9"/>
        <v>11.538461538461538</v>
      </c>
      <c r="V23" s="81"/>
      <c r="W23" s="81"/>
      <c r="X23" s="81"/>
      <c r="Y23" s="81"/>
      <c r="Z23" s="81"/>
    </row>
    <row r="24" spans="1:26" ht="24" customHeight="1" x14ac:dyDescent="0.5">
      <c r="A24" s="52">
        <v>9</v>
      </c>
      <c r="B24" s="53" t="s">
        <v>39</v>
      </c>
      <c r="C24" s="54">
        <f t="shared" si="35"/>
        <v>678330</v>
      </c>
      <c r="D24" s="55">
        <v>306000</v>
      </c>
      <c r="E24" s="55">
        <v>372330</v>
      </c>
      <c r="F24" s="55">
        <f ca="1">IFERROR(__xludf.DUMMYFUNCTION("IMPORTRANGE(""https://docs.google.com/spreadsheets/d/11923uPwbBZFjjGgGUA6NLw09EwE0CqkOc4q9oUmW1yo/edit?usp=sharing"",""พิษณุโลก!M228"")"),83795.45)</f>
        <v>83795.45</v>
      </c>
      <c r="G24" s="99">
        <f t="shared" ca="1" si="1"/>
        <v>12.353198295814721</v>
      </c>
      <c r="H24" s="55">
        <v>220</v>
      </c>
      <c r="I24" s="55">
        <v>2040</v>
      </c>
      <c r="J24" s="55">
        <f ca="1">IFERROR(__xludf.DUMMYFUNCTION("IMPORTRANGE(""https://docs.google.com/spreadsheets/d/11923uPwbBZFjjGgGUA6NLw09EwE0CqkOc4q9oUmW1yo/edit?usp=sharing"",""พิษณุโลก!j234"")"),7)</f>
        <v>7</v>
      </c>
      <c r="K24" s="55">
        <f ca="1">IFERROR(__xludf.DUMMYFUNCTION("IMPORTRANGE(""https://docs.google.com/spreadsheets/d/11923uPwbBZFjjGgGUA6NLw09EwE0CqkOc4q9oUmW1yo/edit?usp=sharing"",""พิษณุโลก!j235"")"),82.8)</f>
        <v>82.8</v>
      </c>
      <c r="L24" s="99">
        <f t="shared" ca="1" si="3"/>
        <v>4.0588235294117645</v>
      </c>
      <c r="M24" s="55">
        <f ca="1">IFERROR(__xludf.DUMMYFUNCTION("IMPORTRANGE(""https://docs.google.com/spreadsheets/d/11923uPwbBZFjjGgGUA6NLw09EwE0CqkOc4q9oUmW1yo/edit?usp=sharing"",""พิษณุโลก!j236"")"),20)</f>
        <v>20</v>
      </c>
      <c r="N24" s="55">
        <f ca="1">IFERROR(__xludf.DUMMYFUNCTION("IMPORTRANGE(""https://docs.google.com/spreadsheets/d/11923uPwbBZFjjGgGUA6NLw09EwE0CqkOc4q9oUmW1yo/edit?usp=sharing"",""พิษณุโลก!j237"")"),300.9)</f>
        <v>300.89999999999998</v>
      </c>
      <c r="O24" s="99">
        <f t="shared" ca="1" si="5"/>
        <v>9.0909090909090917</v>
      </c>
      <c r="P24" s="55">
        <f ca="1">IFERROR(__xludf.DUMMYFUNCTION("IMPORTRANGE(""https://docs.google.com/spreadsheets/d/11923uPwbBZFjjGgGUA6NLw09EwE0CqkOc4q9oUmW1yo/edit?usp=sharing"",""พิษณุโลก!j238"")"),0)</f>
        <v>0</v>
      </c>
      <c r="Q24" s="55">
        <f ca="1">IFERROR(__xludf.DUMMYFUNCTION("IMPORTRANGE(""https://docs.google.com/spreadsheets/d/11923uPwbBZFjjGgGUA6NLw09EwE0CqkOc4q9oUmW1yo/edit?usp=sharing"",""พิษณุโลก!j239"")"),0)</f>
        <v>0</v>
      </c>
      <c r="R24" s="99">
        <f t="shared" ca="1" si="7"/>
        <v>0</v>
      </c>
      <c r="S24" s="55">
        <f ca="1">IFERROR(__xludf.DUMMYFUNCTION("IMPORTRANGE(""https://docs.google.com/spreadsheets/d/11923uPwbBZFjjGgGUA6NLw09EwE0CqkOc4q9oUmW1yo/edit?usp=sharing"",""พิษณุโลก!j240"")"),20)</f>
        <v>20</v>
      </c>
      <c r="T24" s="55">
        <f ca="1">IFERROR(__xludf.DUMMYFUNCTION("IMPORTRANGE(""https://docs.google.com/spreadsheets/d/11923uPwbBZFjjGgGUA6NLw09EwE0CqkOc4q9oUmW1yo/edit?usp=sharing"",""พิษณุโลก!j241"")"),305.72)</f>
        <v>305.72000000000003</v>
      </c>
      <c r="U24" s="99">
        <f t="shared" ca="1" si="9"/>
        <v>9.0909090909090917</v>
      </c>
      <c r="V24" s="81"/>
      <c r="W24" s="81"/>
      <c r="X24" s="81"/>
      <c r="Y24" s="81"/>
      <c r="Z24" s="81"/>
    </row>
    <row r="25" spans="1:26" ht="24" customHeight="1" x14ac:dyDescent="0.5">
      <c r="A25" s="52">
        <v>10</v>
      </c>
      <c r="B25" s="53" t="s">
        <v>40</v>
      </c>
      <c r="C25" s="54">
        <f t="shared" si="35"/>
        <v>1144940</v>
      </c>
      <c r="D25" s="55">
        <v>306000</v>
      </c>
      <c r="E25" s="55">
        <v>838940</v>
      </c>
      <c r="F25" s="55">
        <f ca="1">IFERROR(__xludf.DUMMYFUNCTION("IMPORTRANGE(""https://docs.google.com/spreadsheets/d/11923uPwbBZFjjGgGUA6NLw09EwE0CqkOc4q9oUmW1yo/edit?usp=sharing"",""เพชรบูรณ์!M228"")"),108469)</f>
        <v>108469</v>
      </c>
      <c r="G25" s="99">
        <f t="shared" ca="1" si="1"/>
        <v>9.473771551347669</v>
      </c>
      <c r="H25" s="55">
        <v>610</v>
      </c>
      <c r="I25" s="55">
        <v>5920</v>
      </c>
      <c r="J25" s="55">
        <f ca="1">IFERROR(__xludf.DUMMYFUNCTION("IMPORTRANGE(""https://docs.google.com/spreadsheets/d/11923uPwbBZFjjGgGUA6NLw09EwE0CqkOc4q9oUmW1yo/edit?usp=sharing"",""เพชรบูรณ์!j234"")"),0)</f>
        <v>0</v>
      </c>
      <c r="K25" s="55">
        <f ca="1">IFERROR(__xludf.DUMMYFUNCTION("IMPORTRANGE(""https://docs.google.com/spreadsheets/d/11923uPwbBZFjjGgGUA6NLw09EwE0CqkOc4q9oUmW1yo/edit?usp=sharing"",""เพชรบูรณ์!j235"")"),0)</f>
        <v>0</v>
      </c>
      <c r="L25" s="99">
        <f t="shared" ca="1" si="3"/>
        <v>0</v>
      </c>
      <c r="M25" s="55">
        <f ca="1">IFERROR(__xludf.DUMMYFUNCTION("IMPORTRANGE(""https://docs.google.com/spreadsheets/d/11923uPwbBZFjjGgGUA6NLw09EwE0CqkOc4q9oUmW1yo/edit?usp=sharing"",""เพชรบูรณ์!j236"")"),0)</f>
        <v>0</v>
      </c>
      <c r="N25" s="55">
        <f ca="1">IFERROR(__xludf.DUMMYFUNCTION("IMPORTRANGE(""https://docs.google.com/spreadsheets/d/11923uPwbBZFjjGgGUA6NLw09EwE0CqkOc4q9oUmW1yo/edit?usp=sharing"",""เพชรบูรณ์!j237"")"),0)</f>
        <v>0</v>
      </c>
      <c r="O25" s="99">
        <f t="shared" ca="1" si="5"/>
        <v>0</v>
      </c>
      <c r="P25" s="55">
        <f ca="1">IFERROR(__xludf.DUMMYFUNCTION("IMPORTRANGE(""https://docs.google.com/spreadsheets/d/11923uPwbBZFjjGgGUA6NLw09EwE0CqkOc4q9oUmW1yo/edit?usp=sharing"",""เพชรบูรณ์!j238"")"),0)</f>
        <v>0</v>
      </c>
      <c r="Q25" s="55">
        <f ca="1">IFERROR(__xludf.DUMMYFUNCTION("IMPORTRANGE(""https://docs.google.com/spreadsheets/d/11923uPwbBZFjjGgGUA6NLw09EwE0CqkOc4q9oUmW1yo/edit?usp=sharing"",""เพชรบูรณ์!j239"")"),0)</f>
        <v>0</v>
      </c>
      <c r="R25" s="99">
        <f t="shared" ca="1" si="7"/>
        <v>0</v>
      </c>
      <c r="S25" s="55">
        <f ca="1">IFERROR(__xludf.DUMMYFUNCTION("IMPORTRANGE(""https://docs.google.com/spreadsheets/d/11923uPwbBZFjjGgGUA6NLw09EwE0CqkOc4q9oUmW1yo/edit?usp=sharing"",""เพชรบูรณ์!j240"")"),0)</f>
        <v>0</v>
      </c>
      <c r="T25" s="55">
        <f ca="1">IFERROR(__xludf.DUMMYFUNCTION("IMPORTRANGE(""https://docs.google.com/spreadsheets/d/11923uPwbBZFjjGgGUA6NLw09EwE0CqkOc4q9oUmW1yo/edit?usp=sharing"",""เพชรบูรณ์!j241"")"),0)</f>
        <v>0</v>
      </c>
      <c r="U25" s="99">
        <f t="shared" ca="1" si="9"/>
        <v>0</v>
      </c>
      <c r="V25" s="81"/>
      <c r="W25" s="81"/>
      <c r="X25" s="81"/>
      <c r="Y25" s="81"/>
      <c r="Z25" s="81"/>
    </row>
    <row r="26" spans="1:26" ht="24" customHeight="1" x14ac:dyDescent="0.5">
      <c r="A26" s="52">
        <v>11</v>
      </c>
      <c r="B26" s="53" t="s">
        <v>41</v>
      </c>
      <c r="C26" s="54">
        <f t="shared" si="35"/>
        <v>823180</v>
      </c>
      <c r="D26" s="55">
        <v>491200</v>
      </c>
      <c r="E26" s="55">
        <v>331980</v>
      </c>
      <c r="F26" s="55">
        <f ca="1">IFERROR(__xludf.DUMMYFUNCTION("IMPORTRANGE(""https://docs.google.com/spreadsheets/d/11923uPwbBZFjjGgGUA6NLw09EwE0CqkOc4q9oUmW1yo/edit?usp=sharing"",""แพร่!M228"")"),0)</f>
        <v>0</v>
      </c>
      <c r="G26" s="99">
        <f t="shared" ca="1" si="1"/>
        <v>0</v>
      </c>
      <c r="H26" s="55">
        <v>360</v>
      </c>
      <c r="I26" s="55">
        <v>1300</v>
      </c>
      <c r="J26" s="55">
        <f ca="1">IFERROR(__xludf.DUMMYFUNCTION("IMPORTRANGE(""https://docs.google.com/spreadsheets/d/11923uPwbBZFjjGgGUA6NLw09EwE0CqkOc4q9oUmW1yo/edit?usp=sharing"",""แพร่!j234"")"),22)</f>
        <v>22</v>
      </c>
      <c r="K26" s="55">
        <f ca="1">IFERROR(__xludf.DUMMYFUNCTION("IMPORTRANGE(""https://docs.google.com/spreadsheets/d/11923uPwbBZFjjGgGUA6NLw09EwE0CqkOc4q9oUmW1yo/edit?usp=sharing"",""แพร่!j235"")"),152.25)</f>
        <v>152.25</v>
      </c>
      <c r="L26" s="99">
        <f t="shared" ca="1" si="3"/>
        <v>11.711538461538462</v>
      </c>
      <c r="M26" s="55">
        <f ca="1">IFERROR(__xludf.DUMMYFUNCTION("IMPORTRANGE(""https://docs.google.com/spreadsheets/d/11923uPwbBZFjjGgGUA6NLw09EwE0CqkOc4q9oUmW1yo/edit?usp=sharing"",""แพร่!j236"")"),62)</f>
        <v>62</v>
      </c>
      <c r="N26" s="55">
        <f ca="1">IFERROR(__xludf.DUMMYFUNCTION("IMPORTRANGE(""https://docs.google.com/spreadsheets/d/11923uPwbBZFjjGgGUA6NLw09EwE0CqkOc4q9oUmW1yo/edit?usp=sharing"",""แพร่!j237"")"),529.08)</f>
        <v>529.08000000000004</v>
      </c>
      <c r="O26" s="99">
        <f t="shared" ca="1" si="5"/>
        <v>17.222222222222221</v>
      </c>
      <c r="P26" s="55">
        <f ca="1">IFERROR(__xludf.DUMMYFUNCTION("IMPORTRANGE(""https://docs.google.com/spreadsheets/d/11923uPwbBZFjjGgGUA6NLw09EwE0CqkOc4q9oUmW1yo/edit?usp=sharing"",""แพร่!j238"")"),0)</f>
        <v>0</v>
      </c>
      <c r="Q26" s="55">
        <f ca="1">IFERROR(__xludf.DUMMYFUNCTION("IMPORTRANGE(""https://docs.google.com/spreadsheets/d/11923uPwbBZFjjGgGUA6NLw09EwE0CqkOc4q9oUmW1yo/edit?usp=sharing"",""แพร่!j239"")"),0)</f>
        <v>0</v>
      </c>
      <c r="R26" s="99">
        <f t="shared" ca="1" si="7"/>
        <v>0</v>
      </c>
      <c r="S26" s="55">
        <f ca="1">IFERROR(__xludf.DUMMYFUNCTION("IMPORTRANGE(""https://docs.google.com/spreadsheets/d/11923uPwbBZFjjGgGUA6NLw09EwE0CqkOc4q9oUmW1yo/edit?usp=sharing"",""แพร่!j240"")"),56)</f>
        <v>56</v>
      </c>
      <c r="T26" s="55">
        <f ca="1">IFERROR(__xludf.DUMMYFUNCTION("IMPORTRANGE(""https://docs.google.com/spreadsheets/d/11923uPwbBZFjjGgGUA6NLw09EwE0CqkOc4q9oUmW1yo/edit?usp=sharing"",""แพร่!j241"")"),490.52)</f>
        <v>490.52</v>
      </c>
      <c r="U26" s="99">
        <f t="shared" ca="1" si="9"/>
        <v>15.555555555555555</v>
      </c>
      <c r="V26" s="81"/>
      <c r="W26" s="81"/>
      <c r="X26" s="81"/>
      <c r="Y26" s="81"/>
      <c r="Z26" s="81"/>
    </row>
    <row r="27" spans="1:26" ht="24" customHeight="1" x14ac:dyDescent="0.5">
      <c r="A27" s="52">
        <v>12</v>
      </c>
      <c r="B27" s="53" t="s">
        <v>42</v>
      </c>
      <c r="C27" s="54">
        <f t="shared" si="35"/>
        <v>825940</v>
      </c>
      <c r="D27" s="55">
        <v>574800</v>
      </c>
      <c r="E27" s="55">
        <v>251140</v>
      </c>
      <c r="F27" s="55">
        <f ca="1">IFERROR(__xludf.DUMMYFUNCTION("IMPORTRANGE(""https://docs.google.com/spreadsheets/d/11923uPwbBZFjjGgGUA6NLw09EwE0CqkOc4q9oUmW1yo/edit?usp=sharing"",""แม่ฮ่องสอน!M228"")"),0)</f>
        <v>0</v>
      </c>
      <c r="G27" s="99">
        <f t="shared" ca="1" si="1"/>
        <v>0</v>
      </c>
      <c r="H27" s="55">
        <v>70</v>
      </c>
      <c r="I27" s="55">
        <v>210</v>
      </c>
      <c r="J27" s="55">
        <f ca="1">IFERROR(__xludf.DUMMYFUNCTION("IMPORTRANGE(""https://docs.google.com/spreadsheets/d/11923uPwbBZFjjGgGUA6NLw09EwE0CqkOc4q9oUmW1yo/edit?usp=sharing"",""แม่ฮ่องสอน!j234"")"),4)</f>
        <v>4</v>
      </c>
      <c r="K27" s="55">
        <f ca="1">IFERROR(__xludf.DUMMYFUNCTION("IMPORTRANGE(""https://docs.google.com/spreadsheets/d/11923uPwbBZFjjGgGUA6NLw09EwE0CqkOc4q9oUmW1yo/edit?usp=sharing"",""แม่ฮ่องสอน!j235"")"),2.1)</f>
        <v>2.1</v>
      </c>
      <c r="L27" s="99">
        <f t="shared" ca="1" si="3"/>
        <v>1</v>
      </c>
      <c r="M27" s="55">
        <f ca="1">IFERROR(__xludf.DUMMYFUNCTION("IMPORTRANGE(""https://docs.google.com/spreadsheets/d/11923uPwbBZFjjGgGUA6NLw09EwE0CqkOc4q9oUmW1yo/edit?usp=sharing"",""แม่ฮ่องสอน!j236"")"),11)</f>
        <v>11</v>
      </c>
      <c r="N27" s="55">
        <f ca="1">IFERROR(__xludf.DUMMYFUNCTION("IMPORTRANGE(""https://docs.google.com/spreadsheets/d/11923uPwbBZFjjGgGUA6NLw09EwE0CqkOc4q9oUmW1yo/edit?usp=sharing"",""แม่ฮ่องสอน!j237"")"),34.36)</f>
        <v>34.36</v>
      </c>
      <c r="O27" s="99">
        <f t="shared" ca="1" si="5"/>
        <v>15.714285714285714</v>
      </c>
      <c r="P27" s="55">
        <f ca="1">IFERROR(__xludf.DUMMYFUNCTION("IMPORTRANGE(""https://docs.google.com/spreadsheets/d/11923uPwbBZFjjGgGUA6NLw09EwE0CqkOc4q9oUmW1yo/edit?usp=sharing"",""แม่ฮ่องสอน!j238"")"),0)</f>
        <v>0</v>
      </c>
      <c r="Q27" s="55">
        <f ca="1">IFERROR(__xludf.DUMMYFUNCTION("IMPORTRANGE(""https://docs.google.com/spreadsheets/d/11923uPwbBZFjjGgGUA6NLw09EwE0CqkOc4q9oUmW1yo/edit?usp=sharing"",""แม่ฮ่องสอน!j239"")"),0)</f>
        <v>0</v>
      </c>
      <c r="R27" s="99">
        <f t="shared" ca="1" si="7"/>
        <v>0</v>
      </c>
      <c r="S27" s="55">
        <f ca="1">IFERROR(__xludf.DUMMYFUNCTION("IMPORTRANGE(""https://docs.google.com/spreadsheets/d/11923uPwbBZFjjGgGUA6NLw09EwE0CqkOc4q9oUmW1yo/edit?usp=sharing"",""แม่ฮ่องสอน!j240"")"),8)</f>
        <v>8</v>
      </c>
      <c r="T27" s="55">
        <f ca="1">IFERROR(__xludf.DUMMYFUNCTION("IMPORTRANGE(""https://docs.google.com/spreadsheets/d/11923uPwbBZFjjGgGUA6NLw09EwE0CqkOc4q9oUmW1yo/edit?usp=sharing"",""แม่ฮ่องสอน!j241"")"),32.84)</f>
        <v>32.840000000000003</v>
      </c>
      <c r="U27" s="99">
        <f t="shared" ca="1" si="9"/>
        <v>11.428571428571429</v>
      </c>
      <c r="V27" s="81"/>
      <c r="W27" s="81"/>
      <c r="X27" s="81"/>
      <c r="Y27" s="81"/>
      <c r="Z27" s="81"/>
    </row>
    <row r="28" spans="1:26" ht="24" customHeight="1" x14ac:dyDescent="0.5">
      <c r="A28" s="52">
        <v>13</v>
      </c>
      <c r="B28" s="53" t="s">
        <v>43</v>
      </c>
      <c r="C28" s="54">
        <f t="shared" si="35"/>
        <v>897600</v>
      </c>
      <c r="D28" s="55">
        <v>491200</v>
      </c>
      <c r="E28" s="55">
        <v>406400</v>
      </c>
      <c r="F28" s="55">
        <f ca="1">IFERROR(__xludf.DUMMYFUNCTION("IMPORTRANGE(""https://docs.google.com/spreadsheets/d/11923uPwbBZFjjGgGUA6NLw09EwE0CqkOc4q9oUmW1yo/edit?usp=sharing"",""ลำปาง!M228"")"),83154.5)</f>
        <v>83154.5</v>
      </c>
      <c r="G28" s="99">
        <f t="shared" ca="1" si="1"/>
        <v>9.2640931372549016</v>
      </c>
      <c r="H28" s="55">
        <v>400</v>
      </c>
      <c r="I28" s="55">
        <v>1700</v>
      </c>
      <c r="J28" s="55">
        <f ca="1">IFERROR(__xludf.DUMMYFUNCTION("IMPORTRANGE(""https://docs.google.com/spreadsheets/d/11923uPwbBZFjjGgGUA6NLw09EwE0CqkOc4q9oUmW1yo/edit?usp=sharing"",""ลำปาง!j234"")"),9)</f>
        <v>9</v>
      </c>
      <c r="K28" s="55">
        <f ca="1">IFERROR(__xludf.DUMMYFUNCTION("IMPORTRANGE(""https://docs.google.com/spreadsheets/d/11923uPwbBZFjjGgGUA6NLw09EwE0CqkOc4q9oUmW1yo/edit?usp=sharing"",""ลำปาง!j235"")"),42.46)</f>
        <v>42.46</v>
      </c>
      <c r="L28" s="99">
        <f t="shared" ca="1" si="3"/>
        <v>2.4976470588235293</v>
      </c>
      <c r="M28" s="55">
        <f ca="1">IFERROR(__xludf.DUMMYFUNCTION("IMPORTRANGE(""https://docs.google.com/spreadsheets/d/11923uPwbBZFjjGgGUA6NLw09EwE0CqkOc4q9oUmW1yo/edit?usp=sharing"",""ลำปาง!j236"")"),7)</f>
        <v>7</v>
      </c>
      <c r="N28" s="55">
        <f ca="1">IFERROR(__xludf.DUMMYFUNCTION("IMPORTRANGE(""https://docs.google.com/spreadsheets/d/11923uPwbBZFjjGgGUA6NLw09EwE0CqkOc4q9oUmW1yo/edit?usp=sharing"",""ลำปาง!j237"")"),88.79)</f>
        <v>88.79</v>
      </c>
      <c r="O28" s="99">
        <f t="shared" ca="1" si="5"/>
        <v>1.75</v>
      </c>
      <c r="P28" s="55">
        <f ca="1">IFERROR(__xludf.DUMMYFUNCTION("IMPORTRANGE(""https://docs.google.com/spreadsheets/d/11923uPwbBZFjjGgGUA6NLw09EwE0CqkOc4q9oUmW1yo/edit?usp=sharing"",""ลำปาง!j238"")"),3)</f>
        <v>3</v>
      </c>
      <c r="Q28" s="55">
        <f ca="1">IFERROR(__xludf.DUMMYFUNCTION("IMPORTRANGE(""https://docs.google.com/spreadsheets/d/11923uPwbBZFjjGgGUA6NLw09EwE0CqkOc4q9oUmW1yo/edit?usp=sharing"",""ลำปาง!j239"")"),12.77)</f>
        <v>12.77</v>
      </c>
      <c r="R28" s="99">
        <f t="shared" ca="1" si="7"/>
        <v>0.75</v>
      </c>
      <c r="S28" s="55">
        <f ca="1">IFERROR(__xludf.DUMMYFUNCTION("IMPORTRANGE(""https://docs.google.com/spreadsheets/d/11923uPwbBZFjjGgGUA6NLw09EwE0CqkOc4q9oUmW1yo/edit?usp=sharing"",""ลำปาง!j240"")"),6)</f>
        <v>6</v>
      </c>
      <c r="T28" s="55">
        <f ca="1">IFERROR(__xludf.DUMMYFUNCTION("IMPORTRANGE(""https://docs.google.com/spreadsheets/d/11923uPwbBZFjjGgGUA6NLw09EwE0CqkOc4q9oUmW1yo/edit?usp=sharing"",""ลำปาง!j241"")"),84.37)</f>
        <v>84.37</v>
      </c>
      <c r="U28" s="99">
        <f t="shared" ca="1" si="9"/>
        <v>1.5</v>
      </c>
      <c r="V28" s="81"/>
      <c r="W28" s="81"/>
      <c r="X28" s="81"/>
      <c r="Y28" s="81"/>
      <c r="Z28" s="81"/>
    </row>
    <row r="29" spans="1:26" ht="24" customHeight="1" x14ac:dyDescent="0.5">
      <c r="A29" s="52">
        <v>14</v>
      </c>
      <c r="B29" s="53" t="s">
        <v>44</v>
      </c>
      <c r="C29" s="54">
        <f t="shared" si="35"/>
        <v>722380</v>
      </c>
      <c r="D29" s="55">
        <v>417600</v>
      </c>
      <c r="E29" s="55">
        <v>304780</v>
      </c>
      <c r="F29" s="55">
        <f ca="1">IFERROR(__xludf.DUMMYFUNCTION("IMPORTRANGE(""https://docs.google.com/spreadsheets/d/11923uPwbBZFjjGgGUA6NLw09EwE0CqkOc4q9oUmW1yo/edit?usp=sharing"",""ลำพูน!M228"")"),0)</f>
        <v>0</v>
      </c>
      <c r="G29" s="99">
        <f t="shared" ca="1" si="1"/>
        <v>0</v>
      </c>
      <c r="H29" s="55">
        <v>222</v>
      </c>
      <c r="I29" s="55">
        <v>700</v>
      </c>
      <c r="J29" s="55">
        <f ca="1">IFERROR(__xludf.DUMMYFUNCTION("IMPORTRANGE(""https://docs.google.com/spreadsheets/d/11923uPwbBZFjjGgGUA6NLw09EwE0CqkOc4q9oUmW1yo/edit?usp=sharing"",""ลำพูน!j234"")"),0)</f>
        <v>0</v>
      </c>
      <c r="K29" s="55">
        <f ca="1">IFERROR(__xludf.DUMMYFUNCTION("IMPORTRANGE(""https://docs.google.com/spreadsheets/d/11923uPwbBZFjjGgGUA6NLw09EwE0CqkOc4q9oUmW1yo/edit?usp=sharing"",""ลำพูน!j235"")"),0)</f>
        <v>0</v>
      </c>
      <c r="L29" s="99">
        <f t="shared" ca="1" si="3"/>
        <v>0</v>
      </c>
      <c r="M29" s="55">
        <f ca="1">IFERROR(__xludf.DUMMYFUNCTION("IMPORTRANGE(""https://docs.google.com/spreadsheets/d/11923uPwbBZFjjGgGUA6NLw09EwE0CqkOc4q9oUmW1yo/edit?usp=sharing"",""ลำพูน!j236"")"),14)</f>
        <v>14</v>
      </c>
      <c r="N29" s="55">
        <f ca="1">IFERROR(__xludf.DUMMYFUNCTION("IMPORTRANGE(""https://docs.google.com/spreadsheets/d/11923uPwbBZFjjGgGUA6NLw09EwE0CqkOc4q9oUmW1yo/edit?usp=sharing"",""ลำพูน!j237"")"),93.86)</f>
        <v>93.86</v>
      </c>
      <c r="O29" s="99">
        <f t="shared" ca="1" si="5"/>
        <v>6.3063063063063067</v>
      </c>
      <c r="P29" s="55">
        <f ca="1">IFERROR(__xludf.DUMMYFUNCTION("IMPORTRANGE(""https://docs.google.com/spreadsheets/d/11923uPwbBZFjjGgGUA6NLw09EwE0CqkOc4q9oUmW1yo/edit?usp=sharing"",""ลำพูน!j238"")"),0)</f>
        <v>0</v>
      </c>
      <c r="Q29" s="55">
        <f ca="1">IFERROR(__xludf.DUMMYFUNCTION("IMPORTRANGE(""https://docs.google.com/spreadsheets/d/11923uPwbBZFjjGgGUA6NLw09EwE0CqkOc4q9oUmW1yo/edit?usp=sharing"",""ลำพูน!j239"")"),0)</f>
        <v>0</v>
      </c>
      <c r="R29" s="99">
        <f t="shared" ca="1" si="7"/>
        <v>0</v>
      </c>
      <c r="S29" s="55">
        <f ca="1">IFERROR(__xludf.DUMMYFUNCTION("IMPORTRANGE(""https://docs.google.com/spreadsheets/d/11923uPwbBZFjjGgGUA6NLw09EwE0CqkOc4q9oUmW1yo/edit?usp=sharing"",""ลำพูน!j240"")"),14)</f>
        <v>14</v>
      </c>
      <c r="T29" s="55">
        <f ca="1">IFERROR(__xludf.DUMMYFUNCTION("IMPORTRANGE(""https://docs.google.com/spreadsheets/d/11923uPwbBZFjjGgGUA6NLw09EwE0CqkOc4q9oUmW1yo/edit?usp=sharing"",""ลำพูน!j241"")"),93.86)</f>
        <v>93.86</v>
      </c>
      <c r="U29" s="99">
        <f t="shared" ca="1" si="9"/>
        <v>6.3063063063063067</v>
      </c>
      <c r="V29" s="81"/>
      <c r="W29" s="81"/>
      <c r="X29" s="81"/>
      <c r="Y29" s="81"/>
      <c r="Z29" s="81"/>
    </row>
    <row r="30" spans="1:26" ht="24" customHeight="1" x14ac:dyDescent="0.5">
      <c r="A30" s="52">
        <v>15</v>
      </c>
      <c r="B30" s="53" t="s">
        <v>45</v>
      </c>
      <c r="C30" s="54">
        <f t="shared" si="35"/>
        <v>868030</v>
      </c>
      <c r="D30" s="55">
        <v>529200</v>
      </c>
      <c r="E30" s="55">
        <v>338830</v>
      </c>
      <c r="F30" s="55">
        <f ca="1">IFERROR(__xludf.DUMMYFUNCTION("IMPORTRANGE(""https://docs.google.com/spreadsheets/d/11923uPwbBZFjjGgGUA6NLw09EwE0CqkOc4q9oUmW1yo/edit?usp=sharing"",""สุโขทัย!M228"")"),41500)</f>
        <v>41500</v>
      </c>
      <c r="G30" s="99">
        <f t="shared" ca="1" si="1"/>
        <v>4.7809407508957067</v>
      </c>
      <c r="H30" s="55">
        <v>270</v>
      </c>
      <c r="I30" s="55">
        <v>1440</v>
      </c>
      <c r="J30" s="55">
        <f ca="1">IFERROR(__xludf.DUMMYFUNCTION("IMPORTRANGE(""https://docs.google.com/spreadsheets/d/11923uPwbBZFjjGgGUA6NLw09EwE0CqkOc4q9oUmW1yo/edit?usp=sharing"",""สุโขทัย!j234"")"),1)</f>
        <v>1</v>
      </c>
      <c r="K30" s="55">
        <f ca="1">IFERROR(__xludf.DUMMYFUNCTION("IMPORTRANGE(""https://docs.google.com/spreadsheets/d/11923uPwbBZFjjGgGUA6NLw09EwE0CqkOc4q9oUmW1yo/edit?usp=sharing"",""สุโขทัย!j235"")"),20)</f>
        <v>20</v>
      </c>
      <c r="L30" s="99">
        <f t="shared" ca="1" si="3"/>
        <v>1.3888888888888888</v>
      </c>
      <c r="M30" s="55">
        <f ca="1">IFERROR(__xludf.DUMMYFUNCTION("IMPORTRANGE(""https://docs.google.com/spreadsheets/d/11923uPwbBZFjjGgGUA6NLw09EwE0CqkOc4q9oUmW1yo/edit?usp=sharing"",""สุโขทัย!j236"")"),1)</f>
        <v>1</v>
      </c>
      <c r="N30" s="55">
        <f ca="1">IFERROR(__xludf.DUMMYFUNCTION("IMPORTRANGE(""https://docs.google.com/spreadsheets/d/11923uPwbBZFjjGgGUA6NLw09EwE0CqkOc4q9oUmW1yo/edit?usp=sharing"",""สุโขทัย!j237"")"),17)</f>
        <v>17</v>
      </c>
      <c r="O30" s="99">
        <f t="shared" ca="1" si="5"/>
        <v>0.37037037037037035</v>
      </c>
      <c r="P30" s="55">
        <f ca="1">IFERROR(__xludf.DUMMYFUNCTION("IMPORTRANGE(""https://docs.google.com/spreadsheets/d/11923uPwbBZFjjGgGUA6NLw09EwE0CqkOc4q9oUmW1yo/edit?usp=sharing"",""สุโขทัย!j238"")"),0)</f>
        <v>0</v>
      </c>
      <c r="Q30" s="55">
        <f ca="1">IFERROR(__xludf.DUMMYFUNCTION("IMPORTRANGE(""https://docs.google.com/spreadsheets/d/11923uPwbBZFjjGgGUA6NLw09EwE0CqkOc4q9oUmW1yo/edit?usp=sharing"",""สุโขทัย!j239"")"),0)</f>
        <v>0</v>
      </c>
      <c r="R30" s="99">
        <f t="shared" ca="1" si="7"/>
        <v>0</v>
      </c>
      <c r="S30" s="55">
        <f ca="1">IFERROR(__xludf.DUMMYFUNCTION("IMPORTRANGE(""https://docs.google.com/spreadsheets/d/11923uPwbBZFjjGgGUA6NLw09EwE0CqkOc4q9oUmW1yo/edit?usp=sharing"",""สุโขทัย!j240"")"),0)</f>
        <v>0</v>
      </c>
      <c r="T30" s="55">
        <f ca="1">IFERROR(__xludf.DUMMYFUNCTION("IMPORTRANGE(""https://docs.google.com/spreadsheets/d/11923uPwbBZFjjGgGUA6NLw09EwE0CqkOc4q9oUmW1yo/edit?usp=sharing"",""สุโขทัย!j241"")"),0)</f>
        <v>0</v>
      </c>
      <c r="U30" s="99">
        <f t="shared" ca="1" si="9"/>
        <v>0</v>
      </c>
      <c r="V30" s="81"/>
      <c r="W30" s="81"/>
      <c r="X30" s="81"/>
      <c r="Y30" s="81"/>
      <c r="Z30" s="81"/>
    </row>
    <row r="31" spans="1:26" ht="24" customHeight="1" x14ac:dyDescent="0.5">
      <c r="A31" s="52">
        <v>16</v>
      </c>
      <c r="B31" s="53" t="s">
        <v>46</v>
      </c>
      <c r="C31" s="54">
        <f t="shared" si="35"/>
        <v>906300</v>
      </c>
      <c r="D31" s="55">
        <v>614000</v>
      </c>
      <c r="E31" s="55">
        <v>292300</v>
      </c>
      <c r="F31" s="55">
        <f ca="1">IFERROR(__xludf.DUMMYFUNCTION("IMPORTRANGE(""https://docs.google.com/spreadsheets/d/11923uPwbBZFjjGgGUA6NLw09EwE0CqkOc4q9oUmW1yo/edit?usp=sharing"",""อุตรดิตถ์!M228"")"),0)</f>
        <v>0</v>
      </c>
      <c r="G31" s="99">
        <f t="shared" ca="1" si="1"/>
        <v>0</v>
      </c>
      <c r="H31" s="55">
        <v>170</v>
      </c>
      <c r="I31" s="55">
        <v>800</v>
      </c>
      <c r="J31" s="55">
        <f ca="1">IFERROR(__xludf.DUMMYFUNCTION("IMPORTRANGE(""https://docs.google.com/spreadsheets/d/11923uPwbBZFjjGgGUA6NLw09EwE0CqkOc4q9oUmW1yo/edit?usp=sharing"",""อุตรดิตถ์!j234"")"),33)</f>
        <v>33</v>
      </c>
      <c r="K31" s="55">
        <f ca="1">IFERROR(__xludf.DUMMYFUNCTION("IMPORTRANGE(""https://docs.google.com/spreadsheets/d/11923uPwbBZFjjGgGUA6NLw09EwE0CqkOc4q9oUmW1yo/edit?usp=sharing"",""อุตรดิตถ์!j235"")"),163.01)</f>
        <v>163.01</v>
      </c>
      <c r="L31" s="99">
        <f t="shared" ca="1" si="3"/>
        <v>20.376249999999999</v>
      </c>
      <c r="M31" s="55">
        <f ca="1">IFERROR(__xludf.DUMMYFUNCTION("IMPORTRANGE(""https://docs.google.com/spreadsheets/d/11923uPwbBZFjjGgGUA6NLw09EwE0CqkOc4q9oUmW1yo/edit?usp=sharing"",""อุตรดิตถ์!j236"")"),45)</f>
        <v>45</v>
      </c>
      <c r="N31" s="55">
        <f ca="1">IFERROR(__xludf.DUMMYFUNCTION("IMPORTRANGE(""https://docs.google.com/spreadsheets/d/11923uPwbBZFjjGgGUA6NLw09EwE0CqkOc4q9oUmW1yo/edit?usp=sharing"",""อุตรดิตถ์!j237"")"),403.6)</f>
        <v>403.6</v>
      </c>
      <c r="O31" s="99">
        <f t="shared" ca="1" si="5"/>
        <v>26.470588235294116</v>
      </c>
      <c r="P31" s="55">
        <f ca="1">IFERROR(__xludf.DUMMYFUNCTION("IMPORTRANGE(""https://docs.google.com/spreadsheets/d/11923uPwbBZFjjGgGUA6NLw09EwE0CqkOc4q9oUmW1yo/edit?usp=sharing"",""อุตรดิตถ์!j238"")"),2)</f>
        <v>2</v>
      </c>
      <c r="Q31" s="55">
        <f ca="1">IFERROR(__xludf.DUMMYFUNCTION("IMPORTRANGE(""https://docs.google.com/spreadsheets/d/11923uPwbBZFjjGgGUA6NLw09EwE0CqkOc4q9oUmW1yo/edit?usp=sharing"",""อุตรดิตถ์!j239"")"),16.02)</f>
        <v>16.02</v>
      </c>
      <c r="R31" s="99">
        <f t="shared" ca="1" si="7"/>
        <v>1.1764705882352942</v>
      </c>
      <c r="S31" s="55">
        <f ca="1">IFERROR(__xludf.DUMMYFUNCTION("IMPORTRANGE(""https://docs.google.com/spreadsheets/d/11923uPwbBZFjjGgGUA6NLw09EwE0CqkOc4q9oUmW1yo/edit?usp=sharing"",""อุตรดิตถ์!j240"")"),24)</f>
        <v>24</v>
      </c>
      <c r="T31" s="55">
        <f ca="1">IFERROR(__xludf.DUMMYFUNCTION("IMPORTRANGE(""https://docs.google.com/spreadsheets/d/11923uPwbBZFjjGgGUA6NLw09EwE0CqkOc4q9oUmW1yo/edit?usp=sharing"",""อุตรดิตถ์!j241"")"),293.59)</f>
        <v>293.58999999999997</v>
      </c>
      <c r="U31" s="99">
        <f t="shared" ca="1" si="9"/>
        <v>14.117647058823529</v>
      </c>
      <c r="V31" s="81"/>
      <c r="W31" s="81"/>
      <c r="X31" s="81"/>
      <c r="Y31" s="81"/>
      <c r="Z31" s="81"/>
    </row>
    <row r="32" spans="1:26" ht="24" customHeight="1" x14ac:dyDescent="0.5">
      <c r="A32" s="59">
        <v>17</v>
      </c>
      <c r="B32" s="60" t="s">
        <v>47</v>
      </c>
      <c r="C32" s="61">
        <f t="shared" si="35"/>
        <v>910670</v>
      </c>
      <c r="D32" s="62">
        <v>500400</v>
      </c>
      <c r="E32" s="62">
        <v>410270</v>
      </c>
      <c r="F32" s="62">
        <f ca="1">IFERROR(__xludf.DUMMYFUNCTION("IMPORTRANGE(""https://docs.google.com/spreadsheets/d/11923uPwbBZFjjGgGUA6NLw09EwE0CqkOc4q9oUmW1yo/edit?usp=sharing"",""อุทัยธานี!M228"")"),8690)</f>
        <v>8690</v>
      </c>
      <c r="G32" s="100">
        <f t="shared" ca="1" si="1"/>
        <v>0.95424248081083163</v>
      </c>
      <c r="H32" s="62">
        <v>215</v>
      </c>
      <c r="I32" s="62">
        <v>2000</v>
      </c>
      <c r="J32" s="62">
        <f ca="1">IFERROR(__xludf.DUMMYFUNCTION("IMPORTRANGE(""https://docs.google.com/spreadsheets/d/11923uPwbBZFjjGgGUA6NLw09EwE0CqkOc4q9oUmW1yo/edit?usp=sharing"",""อุทัยธานี!j234"")"),0)</f>
        <v>0</v>
      </c>
      <c r="K32" s="62">
        <f ca="1">IFERROR(__xludf.DUMMYFUNCTION("IMPORTRANGE(""https://docs.google.com/spreadsheets/d/11923uPwbBZFjjGgGUA6NLw09EwE0CqkOc4q9oUmW1yo/edit?usp=sharing"",""อุทัยธานี!j235"")"),0)</f>
        <v>0</v>
      </c>
      <c r="L32" s="100">
        <f t="shared" ca="1" si="3"/>
        <v>0</v>
      </c>
      <c r="M32" s="62">
        <f ca="1">IFERROR(__xludf.DUMMYFUNCTION("IMPORTRANGE(""https://docs.google.com/spreadsheets/d/11923uPwbBZFjjGgGUA6NLw09EwE0CqkOc4q9oUmW1yo/edit?usp=sharing"",""อุทัยธานี!j236"")"),0)</f>
        <v>0</v>
      </c>
      <c r="N32" s="62">
        <f ca="1">IFERROR(__xludf.DUMMYFUNCTION("IMPORTRANGE(""https://docs.google.com/spreadsheets/d/11923uPwbBZFjjGgGUA6NLw09EwE0CqkOc4q9oUmW1yo/edit?usp=sharing"",""อุทัยธานี!j237"")"),0)</f>
        <v>0</v>
      </c>
      <c r="O32" s="100">
        <f t="shared" ca="1" si="5"/>
        <v>0</v>
      </c>
      <c r="P32" s="62">
        <f ca="1">IFERROR(__xludf.DUMMYFUNCTION("IMPORTRANGE(""https://docs.google.com/spreadsheets/d/11923uPwbBZFjjGgGUA6NLw09EwE0CqkOc4q9oUmW1yo/edit?usp=sharing"",""อุทัยธานี!j238"")"),0)</f>
        <v>0</v>
      </c>
      <c r="Q32" s="62">
        <f ca="1">IFERROR(__xludf.DUMMYFUNCTION("IMPORTRANGE(""https://docs.google.com/spreadsheets/d/11923uPwbBZFjjGgGUA6NLw09EwE0CqkOc4q9oUmW1yo/edit?usp=sharing"",""อุทัยธานี!j239"")"),0)</f>
        <v>0</v>
      </c>
      <c r="R32" s="100">
        <f t="shared" ca="1" si="7"/>
        <v>0</v>
      </c>
      <c r="S32" s="62">
        <f ca="1">IFERROR(__xludf.DUMMYFUNCTION("IMPORTRANGE(""https://docs.google.com/spreadsheets/d/11923uPwbBZFjjGgGUA6NLw09EwE0CqkOc4q9oUmW1yo/edit?usp=sharing"",""อุทัยธานี!j240"")"),0)</f>
        <v>0</v>
      </c>
      <c r="T32" s="62">
        <f ca="1">IFERROR(__xludf.DUMMYFUNCTION("IMPORTRANGE(""https://docs.google.com/spreadsheets/d/11923uPwbBZFjjGgGUA6NLw09EwE0CqkOc4q9oUmW1yo/edit?usp=sharing"",""อุทัยธานี!j241"")"),0)</f>
        <v>0</v>
      </c>
      <c r="U32" s="100">
        <f t="shared" ca="1" si="9"/>
        <v>0</v>
      </c>
      <c r="V32" s="81"/>
      <c r="W32" s="81"/>
      <c r="X32" s="81"/>
      <c r="Y32" s="81"/>
      <c r="Z32" s="81"/>
    </row>
    <row r="33" spans="1:26" ht="24" customHeight="1" x14ac:dyDescent="0.5">
      <c r="A33" s="568" t="s">
        <v>48</v>
      </c>
      <c r="B33" s="569"/>
      <c r="C33" s="66">
        <f t="shared" ref="C33:F33" si="36">SUM(C34:C53)</f>
        <v>25410170</v>
      </c>
      <c r="D33" s="66">
        <f t="shared" si="36"/>
        <v>8741500</v>
      </c>
      <c r="E33" s="66">
        <f t="shared" si="36"/>
        <v>16668670</v>
      </c>
      <c r="F33" s="66">
        <f t="shared" ca="1" si="36"/>
        <v>903749.23</v>
      </c>
      <c r="G33" s="101">
        <f t="shared" ca="1" si="1"/>
        <v>3.5566437768814612</v>
      </c>
      <c r="H33" s="66">
        <f t="shared" ref="H33:K33" si="37">SUM(H34:H53)</f>
        <v>11895</v>
      </c>
      <c r="I33" s="66">
        <f t="shared" si="37"/>
        <v>109666</v>
      </c>
      <c r="J33" s="66">
        <f t="shared" ca="1" si="37"/>
        <v>352</v>
      </c>
      <c r="K33" s="66">
        <f t="shared" ca="1" si="37"/>
        <v>3226.1099999999992</v>
      </c>
      <c r="L33" s="101">
        <f t="shared" ca="1" si="3"/>
        <v>2.941759524374008</v>
      </c>
      <c r="M33" s="66">
        <f t="shared" ref="M33:N33" ca="1" si="38">SUM(M34:M53)</f>
        <v>733</v>
      </c>
      <c r="N33" s="66">
        <f t="shared" ca="1" si="38"/>
        <v>12117.62</v>
      </c>
      <c r="O33" s="101">
        <f t="shared" ca="1" si="5"/>
        <v>6.1622530474989494</v>
      </c>
      <c r="P33" s="66">
        <f t="shared" ref="P33:Q33" ca="1" si="39">SUM(P34:P53)</f>
        <v>4</v>
      </c>
      <c r="Q33" s="66">
        <f t="shared" ca="1" si="39"/>
        <v>34.65</v>
      </c>
      <c r="R33" s="101">
        <f t="shared" ca="1" si="7"/>
        <v>3.3627574611181169E-2</v>
      </c>
      <c r="S33" s="66">
        <f t="shared" ref="S33:T33" ca="1" si="40">SUM(S34:S53)</f>
        <v>284</v>
      </c>
      <c r="T33" s="66">
        <f t="shared" ca="1" si="40"/>
        <v>3399.2000000000003</v>
      </c>
      <c r="U33" s="101">
        <f t="shared" ca="1" si="9"/>
        <v>2.3875577973938631</v>
      </c>
      <c r="V33" s="81"/>
      <c r="W33" s="81"/>
      <c r="X33" s="81"/>
      <c r="Y33" s="81"/>
      <c r="Z33" s="81"/>
    </row>
    <row r="34" spans="1:26" ht="24" customHeight="1" x14ac:dyDescent="0.5">
      <c r="A34" s="45">
        <v>1</v>
      </c>
      <c r="B34" s="46" t="s">
        <v>49</v>
      </c>
      <c r="C34" s="47">
        <f t="shared" ref="C34:C53" si="41">+D34+E34</f>
        <v>1070290</v>
      </c>
      <c r="D34" s="48">
        <v>611400</v>
      </c>
      <c r="E34" s="48">
        <v>458890</v>
      </c>
      <c r="F34" s="48">
        <f ca="1">IFERROR(__xludf.DUMMYFUNCTION("IMPORTRANGE(""https://docs.google.com/spreadsheets/d/1XL5vhW3sbDhbH9Cz0tuDiY8C3ctxq1tqvaCgkFb8cCA/edit?usp=sharing"",""กาฬสินธุ์!M228"")"),0)</f>
        <v>0</v>
      </c>
      <c r="G34" s="98">
        <f t="shared" ca="1" si="1"/>
        <v>0</v>
      </c>
      <c r="H34" s="48">
        <v>345</v>
      </c>
      <c r="I34" s="48">
        <v>2740</v>
      </c>
      <c r="J34" s="48">
        <f ca="1">IFERROR(__xludf.DUMMYFUNCTION("IMPORTRANGE(""https://docs.google.com/spreadsheets/d/1XL5vhW3sbDhbH9Cz0tuDiY8C3ctxq1tqvaCgkFb8cCA/edit?usp=sharing"",""กาฬสินธุ์!j234"")"),0)</f>
        <v>0</v>
      </c>
      <c r="K34" s="48">
        <f ca="1">IFERROR(__xludf.DUMMYFUNCTION("IMPORTRANGE(""https://docs.google.com/spreadsheets/d/1XL5vhW3sbDhbH9Cz0tuDiY8C3ctxq1tqvaCgkFb8cCA/edit?usp=sharing"",""กาฬสินธุ์!j235"")"),0)</f>
        <v>0</v>
      </c>
      <c r="L34" s="98">
        <f t="shared" ca="1" si="3"/>
        <v>0</v>
      </c>
      <c r="M34" s="48">
        <f ca="1">IFERROR(__xludf.DUMMYFUNCTION("IMPORTRANGE(""https://docs.google.com/spreadsheets/d/1XL5vhW3sbDhbH9Cz0tuDiY8C3ctxq1tqvaCgkFb8cCA/edit?usp=sharing"",""กาฬสินธุ์!j236"")"),3)</f>
        <v>3</v>
      </c>
      <c r="N34" s="48">
        <f ca="1">IFERROR(__xludf.DUMMYFUNCTION("IMPORTRANGE(""https://docs.google.com/spreadsheets/d/1XL5vhW3sbDhbH9Cz0tuDiY8C3ctxq1tqvaCgkFb8cCA/edit?usp=sharing"",""กาฬสินธุ์!j237"")"),79.22)</f>
        <v>79.22</v>
      </c>
      <c r="O34" s="98">
        <f t="shared" ca="1" si="5"/>
        <v>0.86956521739130432</v>
      </c>
      <c r="P34" s="48">
        <f ca="1">IFERROR(__xludf.DUMMYFUNCTION("IMPORTRANGE(""https://docs.google.com/spreadsheets/d/1XL5vhW3sbDhbH9Cz0tuDiY8C3ctxq1tqvaCgkFb8cCA/edit?usp=sharing"",""กาฬสินธุ์!j238"")"),0)</f>
        <v>0</v>
      </c>
      <c r="Q34" s="48">
        <f ca="1">IFERROR(__xludf.DUMMYFUNCTION("IMPORTRANGE(""https://docs.google.com/spreadsheets/d/1XL5vhW3sbDhbH9Cz0tuDiY8C3ctxq1tqvaCgkFb8cCA/edit?usp=sharing"",""กาฬสินธุ์!j239"")"),0)</f>
        <v>0</v>
      </c>
      <c r="R34" s="98">
        <f t="shared" ca="1" si="7"/>
        <v>0</v>
      </c>
      <c r="S34" s="48">
        <f ca="1">IFERROR(__xludf.DUMMYFUNCTION("IMPORTRANGE(""https://docs.google.com/spreadsheets/d/1XL5vhW3sbDhbH9Cz0tuDiY8C3ctxq1tqvaCgkFb8cCA/edit?usp=sharing"",""กาฬสินธุ์!j240"")"),3)</f>
        <v>3</v>
      </c>
      <c r="T34" s="48">
        <f ca="1">IFERROR(__xludf.DUMMYFUNCTION("IMPORTRANGE(""https://docs.google.com/spreadsheets/d/1XL5vhW3sbDhbH9Cz0tuDiY8C3ctxq1tqvaCgkFb8cCA/edit?usp=sharing"",""กาฬสินธุ์!j241"")"),79.22)</f>
        <v>79.22</v>
      </c>
      <c r="U34" s="98">
        <f t="shared" ca="1" si="9"/>
        <v>0.86956521739130432</v>
      </c>
      <c r="V34" s="81"/>
      <c r="W34" s="81"/>
      <c r="X34" s="81"/>
      <c r="Y34" s="81"/>
      <c r="Z34" s="81"/>
    </row>
    <row r="35" spans="1:26" ht="24" customHeight="1" x14ac:dyDescent="0.5">
      <c r="A35" s="52">
        <v>2</v>
      </c>
      <c r="B35" s="53" t="s">
        <v>50</v>
      </c>
      <c r="C35" s="54">
        <f t="shared" si="41"/>
        <v>1194000</v>
      </c>
      <c r="D35" s="55">
        <v>500400</v>
      </c>
      <c r="E35" s="55">
        <v>693600</v>
      </c>
      <c r="F35" s="55">
        <f ca="1">IFERROR(__xludf.DUMMYFUNCTION("IMPORTRANGE(""https://docs.google.com/spreadsheets/d/1XL5vhW3sbDhbH9Cz0tuDiY8C3ctxq1tqvaCgkFb8cCA/edit?usp=sharing"",""ขอนแก่น!M228"")"),0)</f>
        <v>0</v>
      </c>
      <c r="G35" s="99">
        <f t="shared" ca="1" si="1"/>
        <v>0</v>
      </c>
      <c r="H35" s="55">
        <v>400</v>
      </c>
      <c r="I35" s="55">
        <v>4000</v>
      </c>
      <c r="J35" s="55">
        <f ca="1">IFERROR(__xludf.DUMMYFUNCTION("IMPORTRANGE(""https://docs.google.com/spreadsheets/d/1XL5vhW3sbDhbH9Cz0tuDiY8C3ctxq1tqvaCgkFb8cCA/edit?usp=sharing"",""ขอนแก่น!j234"")"),0)</f>
        <v>0</v>
      </c>
      <c r="K35" s="55">
        <f ca="1">IFERROR(__xludf.DUMMYFUNCTION("IMPORTRANGE(""https://docs.google.com/spreadsheets/d/1XL5vhW3sbDhbH9Cz0tuDiY8C3ctxq1tqvaCgkFb8cCA/edit?usp=sharing"",""ขอนแก่น!j235"")"),0)</f>
        <v>0</v>
      </c>
      <c r="L35" s="99">
        <f t="shared" ca="1" si="3"/>
        <v>0</v>
      </c>
      <c r="M35" s="55">
        <f ca="1">IFERROR(__xludf.DUMMYFUNCTION("IMPORTRANGE(""https://docs.google.com/spreadsheets/d/1XL5vhW3sbDhbH9Cz0tuDiY8C3ctxq1tqvaCgkFb8cCA/edit?usp=sharing"",""ขอนแก่น!j236"")"),0)</f>
        <v>0</v>
      </c>
      <c r="N35" s="55">
        <f ca="1">IFERROR(__xludf.DUMMYFUNCTION("IMPORTRANGE(""https://docs.google.com/spreadsheets/d/1XL5vhW3sbDhbH9Cz0tuDiY8C3ctxq1tqvaCgkFb8cCA/edit?usp=sharing"",""ขอนแก่น!j237"")"),0)</f>
        <v>0</v>
      </c>
      <c r="O35" s="99">
        <f t="shared" ca="1" si="5"/>
        <v>0</v>
      </c>
      <c r="P35" s="55">
        <f ca="1">IFERROR(__xludf.DUMMYFUNCTION("IMPORTRANGE(""https://docs.google.com/spreadsheets/d/1XL5vhW3sbDhbH9Cz0tuDiY8C3ctxq1tqvaCgkFb8cCA/edit?usp=sharing"",""ขอนแก่น!j238"")"),0)</f>
        <v>0</v>
      </c>
      <c r="Q35" s="55">
        <f ca="1">IFERROR(__xludf.DUMMYFUNCTION("IMPORTRANGE(""https://docs.google.com/spreadsheets/d/1XL5vhW3sbDhbH9Cz0tuDiY8C3ctxq1tqvaCgkFb8cCA/edit?usp=sharing"",""ขอนแก่น!j239"")"),0)</f>
        <v>0</v>
      </c>
      <c r="R35" s="99">
        <f t="shared" ca="1" si="7"/>
        <v>0</v>
      </c>
      <c r="S35" s="55">
        <f ca="1">IFERROR(__xludf.DUMMYFUNCTION("IMPORTRANGE(""https://docs.google.com/spreadsheets/d/1XL5vhW3sbDhbH9Cz0tuDiY8C3ctxq1tqvaCgkFb8cCA/edit?usp=sharing"",""ขอนแก่น!j240"")"),0)</f>
        <v>0</v>
      </c>
      <c r="T35" s="55">
        <f ca="1">IFERROR(__xludf.DUMMYFUNCTION("IMPORTRANGE(""https://docs.google.com/spreadsheets/d/1XL5vhW3sbDhbH9Cz0tuDiY8C3ctxq1tqvaCgkFb8cCA/edit?usp=sharing"",""ขอนแก่น!j241"")"),0)</f>
        <v>0</v>
      </c>
      <c r="U35" s="99">
        <f t="shared" ca="1" si="9"/>
        <v>0</v>
      </c>
      <c r="V35" s="81"/>
      <c r="W35" s="81"/>
      <c r="X35" s="81"/>
      <c r="Y35" s="81"/>
      <c r="Z35" s="81"/>
    </row>
    <row r="36" spans="1:26" ht="24" customHeight="1" x14ac:dyDescent="0.5">
      <c r="A36" s="52">
        <v>3</v>
      </c>
      <c r="B36" s="53" t="s">
        <v>51</v>
      </c>
      <c r="C36" s="54">
        <f t="shared" si="41"/>
        <v>2187270</v>
      </c>
      <c r="D36" s="55">
        <v>830300</v>
      </c>
      <c r="E36" s="55">
        <v>1356970</v>
      </c>
      <c r="F36" s="55">
        <f ca="1">IFERROR(__xludf.DUMMYFUNCTION("IMPORTRANGE(""https://docs.google.com/spreadsheets/d/1XL5vhW3sbDhbH9Cz0tuDiY8C3ctxq1tqvaCgkFb8cCA/edit?usp=sharing"",""ชัยภูมิ!M228"")"),0)</f>
        <v>0</v>
      </c>
      <c r="G36" s="99">
        <f t="shared" ca="1" si="1"/>
        <v>0</v>
      </c>
      <c r="H36" s="55">
        <v>920</v>
      </c>
      <c r="I36" s="55">
        <v>11000</v>
      </c>
      <c r="J36" s="55">
        <f ca="1">IFERROR(__xludf.DUMMYFUNCTION("IMPORTRANGE(""https://docs.google.com/spreadsheets/d/1XL5vhW3sbDhbH9Cz0tuDiY8C3ctxq1tqvaCgkFb8cCA/edit?usp=sharing"",""ชัยภูมิ!j234"")"),3)</f>
        <v>3</v>
      </c>
      <c r="K36" s="55">
        <f ca="1">IFERROR(__xludf.DUMMYFUNCTION("IMPORTRANGE(""https://docs.google.com/spreadsheets/d/1XL5vhW3sbDhbH9Cz0tuDiY8C3ctxq1tqvaCgkFb8cCA/edit?usp=sharing"",""ชัยภูมิ!j235"")"),8.47)</f>
        <v>8.4700000000000006</v>
      </c>
      <c r="L36" s="99">
        <f t="shared" ca="1" si="3"/>
        <v>7.7000000000000013E-2</v>
      </c>
      <c r="M36" s="55">
        <f ca="1">IFERROR(__xludf.DUMMYFUNCTION("IMPORTRANGE(""https://docs.google.com/spreadsheets/d/1XL5vhW3sbDhbH9Cz0tuDiY8C3ctxq1tqvaCgkFb8cCA/edit?usp=sharing"",""ชัยภูมิ!j236"")"),14)</f>
        <v>14</v>
      </c>
      <c r="N36" s="55">
        <f ca="1">IFERROR(__xludf.DUMMYFUNCTION("IMPORTRANGE(""https://docs.google.com/spreadsheets/d/1XL5vhW3sbDhbH9Cz0tuDiY8C3ctxq1tqvaCgkFb8cCA/edit?usp=sharing"",""ชัยภูมิ!j237"")"),257.51)</f>
        <v>257.51</v>
      </c>
      <c r="O36" s="99">
        <f t="shared" ca="1" si="5"/>
        <v>1.5217391304347827</v>
      </c>
      <c r="P36" s="55">
        <f ca="1">IFERROR(__xludf.DUMMYFUNCTION("IMPORTRANGE(""https://docs.google.com/spreadsheets/d/1XL5vhW3sbDhbH9Cz0tuDiY8C3ctxq1tqvaCgkFb8cCA/edit?usp=sharing"",""ชัยภูมิ!j238"")"),0)</f>
        <v>0</v>
      </c>
      <c r="Q36" s="55">
        <f ca="1">IFERROR(__xludf.DUMMYFUNCTION("IMPORTRANGE(""https://docs.google.com/spreadsheets/d/1XL5vhW3sbDhbH9Cz0tuDiY8C3ctxq1tqvaCgkFb8cCA/edit?usp=sharing"",""ชัยภูมิ!j239"")"),0)</f>
        <v>0</v>
      </c>
      <c r="R36" s="99">
        <f t="shared" ca="1" si="7"/>
        <v>0</v>
      </c>
      <c r="S36" s="55">
        <f ca="1">IFERROR(__xludf.DUMMYFUNCTION("IMPORTRANGE(""https://docs.google.com/spreadsheets/d/1XL5vhW3sbDhbH9Cz0tuDiY8C3ctxq1tqvaCgkFb8cCA/edit?usp=sharing"",""ชัยภูมิ!j240"")"),22)</f>
        <v>22</v>
      </c>
      <c r="T36" s="55">
        <f ca="1">IFERROR(__xludf.DUMMYFUNCTION("IMPORTRANGE(""https://docs.google.com/spreadsheets/d/1XL5vhW3sbDhbH9Cz0tuDiY8C3ctxq1tqvaCgkFb8cCA/edit?usp=sharing"",""ชัยภูมิ!j241"")"),369.01)</f>
        <v>369.01</v>
      </c>
      <c r="U36" s="99">
        <f t="shared" ca="1" si="9"/>
        <v>2.3913043478260869</v>
      </c>
      <c r="V36" s="81"/>
      <c r="W36" s="81"/>
      <c r="X36" s="81"/>
      <c r="Y36" s="81"/>
      <c r="Z36" s="81"/>
    </row>
    <row r="37" spans="1:26" ht="24" customHeight="1" x14ac:dyDescent="0.5">
      <c r="A37" s="52">
        <v>4</v>
      </c>
      <c r="B37" s="53" t="s">
        <v>52</v>
      </c>
      <c r="C37" s="54">
        <f t="shared" si="41"/>
        <v>793270</v>
      </c>
      <c r="D37" s="55">
        <v>388800</v>
      </c>
      <c r="E37" s="55">
        <v>404470</v>
      </c>
      <c r="F37" s="55">
        <f ca="1">IFERROR(__xludf.DUMMYFUNCTION("IMPORTRANGE(""https://docs.google.com/spreadsheets/d/1XL5vhW3sbDhbH9Cz0tuDiY8C3ctxq1tqvaCgkFb8cCA/edit?usp=sharing"",""นครพนม!M228"")"),46181.94)</f>
        <v>46181.94</v>
      </c>
      <c r="G37" s="99">
        <f t="shared" ca="1" si="1"/>
        <v>5.8217177001525329</v>
      </c>
      <c r="H37" s="55">
        <v>205</v>
      </c>
      <c r="I37" s="55">
        <v>2340</v>
      </c>
      <c r="J37" s="55">
        <f ca="1">IFERROR(__xludf.DUMMYFUNCTION("IMPORTRANGE(""https://docs.google.com/spreadsheets/d/1XL5vhW3sbDhbH9Cz0tuDiY8C3ctxq1tqvaCgkFb8cCA/edit?usp=sharing"",""นครพนม!j234"")"),0)</f>
        <v>0</v>
      </c>
      <c r="K37" s="55">
        <f ca="1">IFERROR(__xludf.DUMMYFUNCTION("IMPORTRANGE(""https://docs.google.com/spreadsheets/d/1XL5vhW3sbDhbH9Cz0tuDiY8C3ctxq1tqvaCgkFb8cCA/edit?usp=sharing"",""นครพนม!j235"")"),0)</f>
        <v>0</v>
      </c>
      <c r="L37" s="99">
        <f t="shared" ca="1" si="3"/>
        <v>0</v>
      </c>
      <c r="M37" s="55">
        <f ca="1">IFERROR(__xludf.DUMMYFUNCTION("IMPORTRANGE(""https://docs.google.com/spreadsheets/d/1XL5vhW3sbDhbH9Cz0tuDiY8C3ctxq1tqvaCgkFb8cCA/edit?usp=sharing"",""นครพนม!j236"")"),4)</f>
        <v>4</v>
      </c>
      <c r="N37" s="55">
        <f ca="1">IFERROR(__xludf.DUMMYFUNCTION("IMPORTRANGE(""https://docs.google.com/spreadsheets/d/1XL5vhW3sbDhbH9Cz0tuDiY8C3ctxq1tqvaCgkFb8cCA/edit?usp=sharing"",""นครพนม!j237"")"),35.38)</f>
        <v>35.380000000000003</v>
      </c>
      <c r="O37" s="99">
        <f t="shared" ca="1" si="5"/>
        <v>1.9512195121951219</v>
      </c>
      <c r="P37" s="55">
        <f ca="1">IFERROR(__xludf.DUMMYFUNCTION("IMPORTRANGE(""https://docs.google.com/spreadsheets/d/1XL5vhW3sbDhbH9Cz0tuDiY8C3ctxq1tqvaCgkFb8cCA/edit?usp=sharing"",""นครพนม!j238"")"),0)</f>
        <v>0</v>
      </c>
      <c r="Q37" s="55">
        <f ca="1">IFERROR(__xludf.DUMMYFUNCTION("IMPORTRANGE(""https://docs.google.com/spreadsheets/d/1XL5vhW3sbDhbH9Cz0tuDiY8C3ctxq1tqvaCgkFb8cCA/edit?usp=sharing"",""นครพนม!j239"")"),0)</f>
        <v>0</v>
      </c>
      <c r="R37" s="99">
        <f t="shared" ca="1" si="7"/>
        <v>0</v>
      </c>
      <c r="S37" s="55">
        <f ca="1">IFERROR(__xludf.DUMMYFUNCTION("IMPORTRANGE(""https://docs.google.com/spreadsheets/d/1XL5vhW3sbDhbH9Cz0tuDiY8C3ctxq1tqvaCgkFb8cCA/edit?usp=sharing"",""นครพนม!j240"")"),4)</f>
        <v>4</v>
      </c>
      <c r="T37" s="55">
        <f ca="1">IFERROR(__xludf.DUMMYFUNCTION("IMPORTRANGE(""https://docs.google.com/spreadsheets/d/1XL5vhW3sbDhbH9Cz0tuDiY8C3ctxq1tqvaCgkFb8cCA/edit?usp=sharing"",""นครพนม!j241"")"),35.38)</f>
        <v>35.380000000000003</v>
      </c>
      <c r="U37" s="99">
        <f t="shared" ca="1" si="9"/>
        <v>1.9512195121951219</v>
      </c>
      <c r="V37" s="81"/>
      <c r="W37" s="81"/>
      <c r="X37" s="81"/>
      <c r="Y37" s="81"/>
      <c r="Z37" s="81"/>
    </row>
    <row r="38" spans="1:26" ht="24" customHeight="1" x14ac:dyDescent="0.5">
      <c r="A38" s="52">
        <v>5</v>
      </c>
      <c r="B38" s="53" t="s">
        <v>53</v>
      </c>
      <c r="C38" s="54">
        <f t="shared" si="41"/>
        <v>2505960</v>
      </c>
      <c r="D38" s="55">
        <v>666000</v>
      </c>
      <c r="E38" s="55">
        <v>1839960</v>
      </c>
      <c r="F38" s="55">
        <f ca="1">IFERROR(__xludf.DUMMYFUNCTION("IMPORTRANGE(""https://docs.google.com/spreadsheets/d/1XL5vhW3sbDhbH9Cz0tuDiY8C3ctxq1tqvaCgkFb8cCA/edit?usp=sharing"",""นครราชสีมา!M228"")"),0)</f>
        <v>0</v>
      </c>
      <c r="G38" s="99">
        <f t="shared" ca="1" si="1"/>
        <v>0</v>
      </c>
      <c r="H38" s="55">
        <v>1550</v>
      </c>
      <c r="I38" s="55">
        <v>15600</v>
      </c>
      <c r="J38" s="55">
        <f ca="1">IFERROR(__xludf.DUMMYFUNCTION("IMPORTRANGE(""https://docs.google.com/spreadsheets/d/1XL5vhW3sbDhbH9Cz0tuDiY8C3ctxq1tqvaCgkFb8cCA/edit?usp=sharing"",""นครราชสีมา!j234"")"),103)</f>
        <v>103</v>
      </c>
      <c r="K38" s="55">
        <f ca="1">IFERROR(__xludf.DUMMYFUNCTION("IMPORTRANGE(""https://docs.google.com/spreadsheets/d/1XL5vhW3sbDhbH9Cz0tuDiY8C3ctxq1tqvaCgkFb8cCA/edit?usp=sharing"",""นครราชสีมา!j235"")"),992.829999999999)</f>
        <v>992.82999999999902</v>
      </c>
      <c r="L38" s="99">
        <f t="shared" ca="1" si="3"/>
        <v>6.3642948717948649</v>
      </c>
      <c r="M38" s="55">
        <f ca="1">IFERROR(__xludf.DUMMYFUNCTION("IMPORTRANGE(""https://docs.google.com/spreadsheets/d/1XL5vhW3sbDhbH9Cz0tuDiY8C3ctxq1tqvaCgkFb8cCA/edit?usp=sharing"",""นครราชสีมา!j236"")"),109)</f>
        <v>109</v>
      </c>
      <c r="N38" s="55">
        <f ca="1">IFERROR(__xludf.DUMMYFUNCTION("IMPORTRANGE(""https://docs.google.com/spreadsheets/d/1XL5vhW3sbDhbH9Cz0tuDiY8C3ctxq1tqvaCgkFb8cCA/edit?usp=sharing"",""นครราชสีมา!j237"")"),1644.45)</f>
        <v>1644.45</v>
      </c>
      <c r="O38" s="99">
        <f t="shared" ca="1" si="5"/>
        <v>7.032258064516129</v>
      </c>
      <c r="P38" s="55">
        <f ca="1">IFERROR(__xludf.DUMMYFUNCTION("IMPORTRANGE(""https://docs.google.com/spreadsheets/d/1XL5vhW3sbDhbH9Cz0tuDiY8C3ctxq1tqvaCgkFb8cCA/edit?usp=sharing"",""นครราชสีมา!j238"")"),0)</f>
        <v>0</v>
      </c>
      <c r="Q38" s="55">
        <f ca="1">IFERROR(__xludf.DUMMYFUNCTION("IMPORTRANGE(""https://docs.google.com/spreadsheets/d/1XL5vhW3sbDhbH9Cz0tuDiY8C3ctxq1tqvaCgkFb8cCA/edit?usp=sharing"",""นครราชสีมา!j239"")"),0)</f>
        <v>0</v>
      </c>
      <c r="R38" s="99">
        <f t="shared" ca="1" si="7"/>
        <v>0</v>
      </c>
      <c r="S38" s="55">
        <f ca="1">IFERROR(__xludf.DUMMYFUNCTION("IMPORTRANGE(""https://docs.google.com/spreadsheets/d/1XL5vhW3sbDhbH9Cz0tuDiY8C3ctxq1tqvaCgkFb8cCA/edit?usp=sharing"",""นครราชสีมา!j240"")"),83)</f>
        <v>83</v>
      </c>
      <c r="T38" s="55">
        <f ca="1">IFERROR(__xludf.DUMMYFUNCTION("IMPORTRANGE(""https://docs.google.com/spreadsheets/d/1XL5vhW3sbDhbH9Cz0tuDiY8C3ctxq1tqvaCgkFb8cCA/edit?usp=sharing"",""นครราชสีมา!j241"")"),1129.26)</f>
        <v>1129.26</v>
      </c>
      <c r="U38" s="99">
        <f t="shared" ca="1" si="9"/>
        <v>5.354838709677419</v>
      </c>
      <c r="V38" s="81"/>
      <c r="W38" s="81"/>
      <c r="X38" s="81"/>
      <c r="Y38" s="81"/>
      <c r="Z38" s="81"/>
    </row>
    <row r="39" spans="1:26" ht="24" customHeight="1" x14ac:dyDescent="0.5">
      <c r="A39" s="52">
        <v>6</v>
      </c>
      <c r="B39" s="53" t="s">
        <v>54</v>
      </c>
      <c r="C39" s="54">
        <f t="shared" si="41"/>
        <v>1409300</v>
      </c>
      <c r="D39" s="55">
        <v>510300</v>
      </c>
      <c r="E39" s="55">
        <v>899000</v>
      </c>
      <c r="F39" s="55">
        <f ca="1">IFERROR(__xludf.DUMMYFUNCTION("IMPORTRANGE(""https://docs.google.com/spreadsheets/d/1XL5vhW3sbDhbH9Cz0tuDiY8C3ctxq1tqvaCgkFb8cCA/edit?usp=sharing"",""บึงกาฬ!M228"")"),0)</f>
        <v>0</v>
      </c>
      <c r="G39" s="99">
        <f t="shared" ca="1" si="1"/>
        <v>0</v>
      </c>
      <c r="H39" s="55">
        <v>640</v>
      </c>
      <c r="I39" s="55">
        <v>6000</v>
      </c>
      <c r="J39" s="55">
        <f ca="1">IFERROR(__xludf.DUMMYFUNCTION("IMPORTRANGE(""https://docs.google.com/spreadsheets/d/1XL5vhW3sbDhbH9Cz0tuDiY8C3ctxq1tqvaCgkFb8cCA/edit?usp=sharing"",""บึงกาฬ!j234"")"),5)</f>
        <v>5</v>
      </c>
      <c r="K39" s="55">
        <f ca="1">IFERROR(__xludf.DUMMYFUNCTION("IMPORTRANGE(""https://docs.google.com/spreadsheets/d/1XL5vhW3sbDhbH9Cz0tuDiY8C3ctxq1tqvaCgkFb8cCA/edit?usp=sharing"",""บึงกาฬ!j235"")"),69.82)</f>
        <v>69.819999999999993</v>
      </c>
      <c r="L39" s="99">
        <f t="shared" ca="1" si="3"/>
        <v>1.1636666666666664</v>
      </c>
      <c r="M39" s="55">
        <f ca="1">IFERROR(__xludf.DUMMYFUNCTION("IMPORTRANGE(""https://docs.google.com/spreadsheets/d/1XL5vhW3sbDhbH9Cz0tuDiY8C3ctxq1tqvaCgkFb8cCA/edit?usp=sharing"",""บึงกาฬ!j236"")"),3)</f>
        <v>3</v>
      </c>
      <c r="N39" s="55">
        <f ca="1">IFERROR(__xludf.DUMMYFUNCTION("IMPORTRANGE(""https://docs.google.com/spreadsheets/d/1XL5vhW3sbDhbH9Cz0tuDiY8C3ctxq1tqvaCgkFb8cCA/edit?usp=sharing"",""บึงกาฬ!j237"")"),24.22)</f>
        <v>24.22</v>
      </c>
      <c r="O39" s="99">
        <f t="shared" ca="1" si="5"/>
        <v>0.46875</v>
      </c>
      <c r="P39" s="55">
        <f ca="1">IFERROR(__xludf.DUMMYFUNCTION("IMPORTRANGE(""https://docs.google.com/spreadsheets/d/1XL5vhW3sbDhbH9Cz0tuDiY8C3ctxq1tqvaCgkFb8cCA/edit?usp=sharing"",""บึงกาฬ!j238"")"),0)</f>
        <v>0</v>
      </c>
      <c r="Q39" s="55">
        <f ca="1">IFERROR(__xludf.DUMMYFUNCTION("IMPORTRANGE(""https://docs.google.com/spreadsheets/d/1XL5vhW3sbDhbH9Cz0tuDiY8C3ctxq1tqvaCgkFb8cCA/edit?usp=sharing"",""บึงกาฬ!j239"")"),0)</f>
        <v>0</v>
      </c>
      <c r="R39" s="99">
        <f t="shared" ca="1" si="7"/>
        <v>0</v>
      </c>
      <c r="S39" s="55">
        <f ca="1">IFERROR(__xludf.DUMMYFUNCTION("IMPORTRANGE(""https://docs.google.com/spreadsheets/d/1XL5vhW3sbDhbH9Cz0tuDiY8C3ctxq1tqvaCgkFb8cCA/edit?usp=sharing"",""บึงกาฬ!j240"")"),0)</f>
        <v>0</v>
      </c>
      <c r="T39" s="55">
        <f ca="1">IFERROR(__xludf.DUMMYFUNCTION("IMPORTRANGE(""https://docs.google.com/spreadsheets/d/1XL5vhW3sbDhbH9Cz0tuDiY8C3ctxq1tqvaCgkFb8cCA/edit?usp=sharing"",""บึงกาฬ!j241"")"),0)</f>
        <v>0</v>
      </c>
      <c r="U39" s="99">
        <f t="shared" ca="1" si="9"/>
        <v>0</v>
      </c>
      <c r="V39" s="81"/>
      <c r="W39" s="81"/>
      <c r="X39" s="81"/>
      <c r="Y39" s="81"/>
      <c r="Z39" s="81"/>
    </row>
    <row r="40" spans="1:26" ht="24" customHeight="1" x14ac:dyDescent="0.5">
      <c r="A40" s="52">
        <v>7</v>
      </c>
      <c r="B40" s="53" t="s">
        <v>55</v>
      </c>
      <c r="C40" s="54">
        <f t="shared" si="41"/>
        <v>1462700</v>
      </c>
      <c r="D40" s="55">
        <v>442800</v>
      </c>
      <c r="E40" s="55">
        <v>1019900</v>
      </c>
      <c r="F40" s="55">
        <f ca="1">IFERROR(__xludf.DUMMYFUNCTION("IMPORTRANGE(""https://docs.google.com/spreadsheets/d/1XL5vhW3sbDhbH9Cz0tuDiY8C3ctxq1tqvaCgkFb8cCA/edit?usp=sharing"",""บุรีรัมย์!M228"")"),97190)</f>
        <v>97190</v>
      </c>
      <c r="G40" s="99">
        <f t="shared" ca="1" si="1"/>
        <v>6.6445614274970941</v>
      </c>
      <c r="H40" s="55">
        <v>880</v>
      </c>
      <c r="I40" s="55">
        <v>7600</v>
      </c>
      <c r="J40" s="55">
        <f ca="1">IFERROR(__xludf.DUMMYFUNCTION("IMPORTRANGE(""https://docs.google.com/spreadsheets/d/1XL5vhW3sbDhbH9Cz0tuDiY8C3ctxq1tqvaCgkFb8cCA/edit?usp=sharing"",""บุรีรัมย์!j234"")"),0)</f>
        <v>0</v>
      </c>
      <c r="K40" s="55">
        <f ca="1">IFERROR(__xludf.DUMMYFUNCTION("IMPORTRANGE(""https://docs.google.com/spreadsheets/d/1XL5vhW3sbDhbH9Cz0tuDiY8C3ctxq1tqvaCgkFb8cCA/edit?usp=sharing"",""บุรีรัมย์!j235"")"),0)</f>
        <v>0</v>
      </c>
      <c r="L40" s="99">
        <f t="shared" ca="1" si="3"/>
        <v>0</v>
      </c>
      <c r="M40" s="55">
        <f ca="1">IFERROR(__xludf.DUMMYFUNCTION("IMPORTRANGE(""https://docs.google.com/spreadsheets/d/1XL5vhW3sbDhbH9Cz0tuDiY8C3ctxq1tqvaCgkFb8cCA/edit?usp=sharing"",""บุรีรัมย์!j236"")"),0)</f>
        <v>0</v>
      </c>
      <c r="N40" s="55">
        <f ca="1">IFERROR(__xludf.DUMMYFUNCTION("IMPORTRANGE(""https://docs.google.com/spreadsheets/d/1XL5vhW3sbDhbH9Cz0tuDiY8C3ctxq1tqvaCgkFb8cCA/edit?usp=sharing"",""บุรีรัมย์!j237"")"),0)</f>
        <v>0</v>
      </c>
      <c r="O40" s="99">
        <f t="shared" ca="1" si="5"/>
        <v>0</v>
      </c>
      <c r="P40" s="55">
        <f ca="1">IFERROR(__xludf.DUMMYFUNCTION("IMPORTRANGE(""https://docs.google.com/spreadsheets/d/1XL5vhW3sbDhbH9Cz0tuDiY8C3ctxq1tqvaCgkFb8cCA/edit?usp=sharing"",""บุรีรัมย์!j238"")"),0)</f>
        <v>0</v>
      </c>
      <c r="Q40" s="55">
        <f ca="1">IFERROR(__xludf.DUMMYFUNCTION("IMPORTRANGE(""https://docs.google.com/spreadsheets/d/1XL5vhW3sbDhbH9Cz0tuDiY8C3ctxq1tqvaCgkFb8cCA/edit?usp=sharing"",""บุรีรัมย์!j239"")"),0)</f>
        <v>0</v>
      </c>
      <c r="R40" s="99">
        <f t="shared" ca="1" si="7"/>
        <v>0</v>
      </c>
      <c r="S40" s="55">
        <f ca="1">IFERROR(__xludf.DUMMYFUNCTION("IMPORTRANGE(""https://docs.google.com/spreadsheets/d/1XL5vhW3sbDhbH9Cz0tuDiY8C3ctxq1tqvaCgkFb8cCA/edit?usp=sharing"",""บุรีรัมย์!j240"")"),0)</f>
        <v>0</v>
      </c>
      <c r="T40" s="55">
        <f ca="1">IFERROR(__xludf.DUMMYFUNCTION("IMPORTRANGE(""https://docs.google.com/spreadsheets/d/1XL5vhW3sbDhbH9Cz0tuDiY8C3ctxq1tqvaCgkFb8cCA/edit?usp=sharing"",""บุรีรัมย์!j241"")"),0)</f>
        <v>0</v>
      </c>
      <c r="U40" s="99">
        <f t="shared" ca="1" si="9"/>
        <v>0</v>
      </c>
      <c r="V40" s="81"/>
      <c r="W40" s="81"/>
      <c r="X40" s="81"/>
      <c r="Y40" s="81"/>
      <c r="Z40" s="81"/>
    </row>
    <row r="41" spans="1:26" ht="24" customHeight="1" x14ac:dyDescent="0.5">
      <c r="A41" s="52">
        <v>8</v>
      </c>
      <c r="B41" s="53" t="s">
        <v>56</v>
      </c>
      <c r="C41" s="54">
        <f t="shared" si="41"/>
        <v>658010</v>
      </c>
      <c r="D41" s="55">
        <v>306000</v>
      </c>
      <c r="E41" s="55">
        <v>352010</v>
      </c>
      <c r="F41" s="55">
        <f ca="1">IFERROR(__xludf.DUMMYFUNCTION("IMPORTRANGE(""https://docs.google.com/spreadsheets/d/1XL5vhW3sbDhbH9Cz0tuDiY8C3ctxq1tqvaCgkFb8cCA/edit?usp=sharing"",""มหาสารคาม!M228"")"),0)</f>
        <v>0</v>
      </c>
      <c r="G41" s="99">
        <f t="shared" ca="1" si="1"/>
        <v>0</v>
      </c>
      <c r="H41" s="55">
        <v>160</v>
      </c>
      <c r="I41" s="55">
        <v>1350</v>
      </c>
      <c r="J41" s="55">
        <f ca="1">IFERROR(__xludf.DUMMYFUNCTION("IMPORTRANGE(""https://docs.google.com/spreadsheets/d/1XL5vhW3sbDhbH9Cz0tuDiY8C3ctxq1tqvaCgkFb8cCA/edit?usp=sharing"",""มหาสารคาม!j234"")"),5)</f>
        <v>5</v>
      </c>
      <c r="K41" s="55">
        <f ca="1">IFERROR(__xludf.DUMMYFUNCTION("IMPORTRANGE(""https://docs.google.com/spreadsheets/d/1XL5vhW3sbDhbH9Cz0tuDiY8C3ctxq1tqvaCgkFb8cCA/edit?usp=sharing"",""มหาสารคาม!j235"")"),40.63)</f>
        <v>40.630000000000003</v>
      </c>
      <c r="L41" s="99">
        <f t="shared" ca="1" si="3"/>
        <v>3.0096296296296301</v>
      </c>
      <c r="M41" s="55">
        <f ca="1">IFERROR(__xludf.DUMMYFUNCTION("IMPORTRANGE(""https://docs.google.com/spreadsheets/d/1XL5vhW3sbDhbH9Cz0tuDiY8C3ctxq1tqvaCgkFb8cCA/edit?usp=sharing"",""มหาสารคาม!j236"")"),31)</f>
        <v>31</v>
      </c>
      <c r="N41" s="55">
        <f ca="1">IFERROR(__xludf.DUMMYFUNCTION("IMPORTRANGE(""https://docs.google.com/spreadsheets/d/1XL5vhW3sbDhbH9Cz0tuDiY8C3ctxq1tqvaCgkFb8cCA/edit?usp=sharing"",""มหาสารคาม!j237"")"),353.98)</f>
        <v>353.98</v>
      </c>
      <c r="O41" s="99">
        <f t="shared" ca="1" si="5"/>
        <v>19.375</v>
      </c>
      <c r="P41" s="55">
        <f ca="1">IFERROR(__xludf.DUMMYFUNCTION("IMPORTRANGE(""https://docs.google.com/spreadsheets/d/1XL5vhW3sbDhbH9Cz0tuDiY8C3ctxq1tqvaCgkFb8cCA/edit?usp=sharing"",""มหาสารคาม!j238"")"),0)</f>
        <v>0</v>
      </c>
      <c r="Q41" s="55">
        <f ca="1">IFERROR(__xludf.DUMMYFUNCTION("IMPORTRANGE(""https://docs.google.com/spreadsheets/d/1XL5vhW3sbDhbH9Cz0tuDiY8C3ctxq1tqvaCgkFb8cCA/edit?usp=sharing"",""มหาสารคาม!j239"")"),0)</f>
        <v>0</v>
      </c>
      <c r="R41" s="99">
        <f t="shared" ca="1" si="7"/>
        <v>0</v>
      </c>
      <c r="S41" s="55">
        <f ca="1">IFERROR(__xludf.DUMMYFUNCTION("IMPORTRANGE(""https://docs.google.com/spreadsheets/d/1XL5vhW3sbDhbH9Cz0tuDiY8C3ctxq1tqvaCgkFb8cCA/edit?usp=sharing"",""มหาสารคาม!j240"")"),14)</f>
        <v>14</v>
      </c>
      <c r="T41" s="55">
        <f ca="1">IFERROR(__xludf.DUMMYFUNCTION("IMPORTRANGE(""https://docs.google.com/spreadsheets/d/1XL5vhW3sbDhbH9Cz0tuDiY8C3ctxq1tqvaCgkFb8cCA/edit?usp=sharing"",""มหาสารคาม!j241"")"),155.23)</f>
        <v>155.22999999999999</v>
      </c>
      <c r="U41" s="99">
        <f t="shared" ca="1" si="9"/>
        <v>8.75</v>
      </c>
      <c r="V41" s="81"/>
      <c r="W41" s="81"/>
      <c r="X41" s="81"/>
      <c r="Y41" s="81"/>
      <c r="Z41" s="81"/>
    </row>
    <row r="42" spans="1:26" ht="24" customHeight="1" x14ac:dyDescent="0.5">
      <c r="A42" s="52">
        <v>9</v>
      </c>
      <c r="B42" s="53" t="s">
        <v>57</v>
      </c>
      <c r="C42" s="54">
        <f t="shared" si="41"/>
        <v>696710</v>
      </c>
      <c r="D42" s="55">
        <v>306000</v>
      </c>
      <c r="E42" s="55">
        <v>390710</v>
      </c>
      <c r="F42" s="55">
        <f ca="1">IFERROR(__xludf.DUMMYFUNCTION("IMPORTRANGE(""https://docs.google.com/spreadsheets/d/1XL5vhW3sbDhbH9Cz0tuDiY8C3ctxq1tqvaCgkFb8cCA/edit?usp=sharing"",""มุกดาหาร!M228"")"),0)</f>
        <v>0</v>
      </c>
      <c r="G42" s="99">
        <f t="shared" ca="1" si="1"/>
        <v>0</v>
      </c>
      <c r="H42" s="55">
        <v>225</v>
      </c>
      <c r="I42" s="55">
        <v>1800</v>
      </c>
      <c r="J42" s="55">
        <f ca="1">IFERROR(__xludf.DUMMYFUNCTION("IMPORTRANGE(""https://docs.google.com/spreadsheets/d/1XL5vhW3sbDhbH9Cz0tuDiY8C3ctxq1tqvaCgkFb8cCA/edit?usp=sharing"",""มุกดาหาร!j234"")"),17)</f>
        <v>17</v>
      </c>
      <c r="K42" s="55">
        <f ca="1">IFERROR(__xludf.DUMMYFUNCTION("IMPORTRANGE(""https://docs.google.com/spreadsheets/d/1XL5vhW3sbDhbH9Cz0tuDiY8C3ctxq1tqvaCgkFb8cCA/edit?usp=sharing"",""มุกดาหาร!j235"")"),111.24)</f>
        <v>111.24</v>
      </c>
      <c r="L42" s="99">
        <f t="shared" ca="1" si="3"/>
        <v>6.18</v>
      </c>
      <c r="M42" s="55">
        <f ca="1">IFERROR(__xludf.DUMMYFUNCTION("IMPORTRANGE(""https://docs.google.com/spreadsheets/d/1XL5vhW3sbDhbH9Cz0tuDiY8C3ctxq1tqvaCgkFb8cCA/edit?usp=sharing"",""มุกดาหาร!j236"")"),16)</f>
        <v>16</v>
      </c>
      <c r="N42" s="55">
        <f ca="1">IFERROR(__xludf.DUMMYFUNCTION("IMPORTRANGE(""https://docs.google.com/spreadsheets/d/1XL5vhW3sbDhbH9Cz0tuDiY8C3ctxq1tqvaCgkFb8cCA/edit?usp=sharing"",""มุกดาหาร!j237"")"),120.44)</f>
        <v>120.44</v>
      </c>
      <c r="O42" s="99">
        <f t="shared" ca="1" si="5"/>
        <v>7.1111111111111107</v>
      </c>
      <c r="P42" s="55">
        <f ca="1">IFERROR(__xludf.DUMMYFUNCTION("IMPORTRANGE(""https://docs.google.com/spreadsheets/d/1XL5vhW3sbDhbH9Cz0tuDiY8C3ctxq1tqvaCgkFb8cCA/edit?usp=sharing"",""มุกดาหาร!j238"")"),0)</f>
        <v>0</v>
      </c>
      <c r="Q42" s="55">
        <f ca="1">IFERROR(__xludf.DUMMYFUNCTION("IMPORTRANGE(""https://docs.google.com/spreadsheets/d/1XL5vhW3sbDhbH9Cz0tuDiY8C3ctxq1tqvaCgkFb8cCA/edit?usp=sharing"",""มุกดาหาร!j239"")"),0)</f>
        <v>0</v>
      </c>
      <c r="R42" s="99">
        <f t="shared" ca="1" si="7"/>
        <v>0</v>
      </c>
      <c r="S42" s="55">
        <f ca="1">IFERROR(__xludf.DUMMYFUNCTION("IMPORTRANGE(""https://docs.google.com/spreadsheets/d/1XL5vhW3sbDhbH9Cz0tuDiY8C3ctxq1tqvaCgkFb8cCA/edit?usp=sharing"",""มุกดาหาร!j240"")"),4)</f>
        <v>4</v>
      </c>
      <c r="T42" s="55">
        <f ca="1">IFERROR(__xludf.DUMMYFUNCTION("IMPORTRANGE(""https://docs.google.com/spreadsheets/d/1XL5vhW3sbDhbH9Cz0tuDiY8C3ctxq1tqvaCgkFb8cCA/edit?usp=sharing"",""มุกดาหาร!j241"")"),22.73)</f>
        <v>22.73</v>
      </c>
      <c r="U42" s="99">
        <f t="shared" ca="1" si="9"/>
        <v>1.7777777777777777</v>
      </c>
      <c r="V42" s="81"/>
      <c r="W42" s="81"/>
      <c r="X42" s="81"/>
      <c r="Y42" s="81"/>
      <c r="Z42" s="81"/>
    </row>
    <row r="43" spans="1:26" ht="24" customHeight="1" x14ac:dyDescent="0.5">
      <c r="A43" s="52">
        <v>10</v>
      </c>
      <c r="B43" s="53" t="s">
        <v>58</v>
      </c>
      <c r="C43" s="54">
        <f t="shared" si="41"/>
        <v>688370</v>
      </c>
      <c r="D43" s="55">
        <v>277200</v>
      </c>
      <c r="E43" s="55">
        <v>411170</v>
      </c>
      <c r="F43" s="55">
        <f ca="1">IFERROR(__xludf.DUMMYFUNCTION("IMPORTRANGE(""https://docs.google.com/spreadsheets/d/1XL5vhW3sbDhbH9Cz0tuDiY8C3ctxq1tqvaCgkFb8cCA/edit?usp=sharing"",""ยโสธร!M228"")"),40210)</f>
        <v>40210</v>
      </c>
      <c r="G43" s="99">
        <f t="shared" ca="1" si="1"/>
        <v>5.841335328384444</v>
      </c>
      <c r="H43" s="55">
        <v>280</v>
      </c>
      <c r="I43" s="55">
        <v>1900</v>
      </c>
      <c r="J43" s="55">
        <f ca="1">IFERROR(__xludf.DUMMYFUNCTION("IMPORTRANGE(""https://docs.google.com/spreadsheets/d/1XL5vhW3sbDhbH9Cz0tuDiY8C3ctxq1tqvaCgkFb8cCA/edit?usp=sharing"",""ยโสธร!j234"")"),2)</f>
        <v>2</v>
      </c>
      <c r="K43" s="55">
        <f ca="1">IFERROR(__xludf.DUMMYFUNCTION("IMPORTRANGE(""https://docs.google.com/spreadsheets/d/1XL5vhW3sbDhbH9Cz0tuDiY8C3ctxq1tqvaCgkFb8cCA/edit?usp=sharing"",""ยโสธร!j235"")"),15.52)</f>
        <v>15.52</v>
      </c>
      <c r="L43" s="99">
        <f t="shared" ca="1" si="3"/>
        <v>0.81684210526315792</v>
      </c>
      <c r="M43" s="55">
        <f ca="1">IFERROR(__xludf.DUMMYFUNCTION("IMPORTRANGE(""https://docs.google.com/spreadsheets/d/1XL5vhW3sbDhbH9Cz0tuDiY8C3ctxq1tqvaCgkFb8cCA/edit?usp=sharing"",""ยโสธร!j236"")"),37)</f>
        <v>37</v>
      </c>
      <c r="N43" s="55">
        <f ca="1">IFERROR(__xludf.DUMMYFUNCTION("IMPORTRANGE(""https://docs.google.com/spreadsheets/d/1XL5vhW3sbDhbH9Cz0tuDiY8C3ctxq1tqvaCgkFb8cCA/edit?usp=sharing"",""ยโสธร!j237"")"),395.58)</f>
        <v>395.58</v>
      </c>
      <c r="O43" s="99">
        <f t="shared" ca="1" si="5"/>
        <v>13.214285714285714</v>
      </c>
      <c r="P43" s="55">
        <f ca="1">IFERROR(__xludf.DUMMYFUNCTION("IMPORTRANGE(""https://docs.google.com/spreadsheets/d/1XL5vhW3sbDhbH9Cz0tuDiY8C3ctxq1tqvaCgkFb8cCA/edit?usp=sharing"",""ยโสธร!j238"")"),3)</f>
        <v>3</v>
      </c>
      <c r="Q43" s="55">
        <f ca="1">IFERROR(__xludf.DUMMYFUNCTION("IMPORTRANGE(""https://docs.google.com/spreadsheets/d/1XL5vhW3sbDhbH9Cz0tuDiY8C3ctxq1tqvaCgkFb8cCA/edit?usp=sharing"",""ยโสธร!j239"")"),27.36)</f>
        <v>27.36</v>
      </c>
      <c r="R43" s="99">
        <f t="shared" ca="1" si="7"/>
        <v>1.0714285714285714</v>
      </c>
      <c r="S43" s="55">
        <f ca="1">IFERROR(__xludf.DUMMYFUNCTION("IMPORTRANGE(""https://docs.google.com/spreadsheets/d/1XL5vhW3sbDhbH9Cz0tuDiY8C3ctxq1tqvaCgkFb8cCA/edit?usp=sharing"",""ยโสธร!j240"")"),35)</f>
        <v>35</v>
      </c>
      <c r="T43" s="55">
        <f ca="1">IFERROR(__xludf.DUMMYFUNCTION("IMPORTRANGE(""https://docs.google.com/spreadsheets/d/1XL5vhW3sbDhbH9Cz0tuDiY8C3ctxq1tqvaCgkFb8cCA/edit?usp=sharing"",""ยโสธร!j241"")"),380.06)</f>
        <v>380.06</v>
      </c>
      <c r="U43" s="99">
        <f t="shared" ca="1" si="9"/>
        <v>12.5</v>
      </c>
      <c r="V43" s="81"/>
      <c r="W43" s="81"/>
      <c r="X43" s="81"/>
      <c r="Y43" s="81"/>
      <c r="Z43" s="81"/>
    </row>
    <row r="44" spans="1:26" ht="24" customHeight="1" x14ac:dyDescent="0.5">
      <c r="A44" s="52">
        <v>11</v>
      </c>
      <c r="B44" s="53" t="s">
        <v>59</v>
      </c>
      <c r="C44" s="54">
        <f t="shared" si="41"/>
        <v>962440</v>
      </c>
      <c r="D44" s="55">
        <v>194400</v>
      </c>
      <c r="E44" s="55">
        <v>768040</v>
      </c>
      <c r="F44" s="55">
        <f ca="1">IFERROR(__xludf.DUMMYFUNCTION("IMPORTRANGE(""https://docs.google.com/spreadsheets/d/1XL5vhW3sbDhbH9Cz0tuDiY8C3ctxq1tqvaCgkFb8cCA/edit?usp=sharing"",""ร้อยเอ็ด!M228"")"),0)</f>
        <v>0</v>
      </c>
      <c r="G44" s="99">
        <f t="shared" ca="1" si="1"/>
        <v>0</v>
      </c>
      <c r="H44" s="55">
        <v>490</v>
      </c>
      <c r="I44" s="55">
        <v>4600</v>
      </c>
      <c r="J44" s="55">
        <f ca="1">IFERROR(__xludf.DUMMYFUNCTION("IMPORTRANGE(""https://docs.google.com/spreadsheets/d/1XL5vhW3sbDhbH9Cz0tuDiY8C3ctxq1tqvaCgkFb8cCA/edit?usp=sharing"",""ร้อยเอ็ด!j234"")"),0)</f>
        <v>0</v>
      </c>
      <c r="K44" s="55">
        <f ca="1">IFERROR(__xludf.DUMMYFUNCTION("IMPORTRANGE(""https://docs.google.com/spreadsheets/d/1XL5vhW3sbDhbH9Cz0tuDiY8C3ctxq1tqvaCgkFb8cCA/edit?usp=sharing"",""ร้อยเอ็ด!j235"")"),0)</f>
        <v>0</v>
      </c>
      <c r="L44" s="99">
        <f t="shared" ca="1" si="3"/>
        <v>0</v>
      </c>
      <c r="M44" s="55">
        <f ca="1">IFERROR(__xludf.DUMMYFUNCTION("IMPORTRANGE(""https://docs.google.com/spreadsheets/d/1XL5vhW3sbDhbH9Cz0tuDiY8C3ctxq1tqvaCgkFb8cCA/edit?usp=sharing"",""ร้อยเอ็ด!j236"")"),9)</f>
        <v>9</v>
      </c>
      <c r="N44" s="55">
        <f ca="1">IFERROR(__xludf.DUMMYFUNCTION("IMPORTRANGE(""https://docs.google.com/spreadsheets/d/1XL5vhW3sbDhbH9Cz0tuDiY8C3ctxq1tqvaCgkFb8cCA/edit?usp=sharing"",""ร้อยเอ็ด!j237"")"),108.77)</f>
        <v>108.77</v>
      </c>
      <c r="O44" s="99">
        <f t="shared" ca="1" si="5"/>
        <v>1.8367346938775511</v>
      </c>
      <c r="P44" s="55">
        <f ca="1">IFERROR(__xludf.DUMMYFUNCTION("IMPORTRANGE(""https://docs.google.com/spreadsheets/d/1XL5vhW3sbDhbH9Cz0tuDiY8C3ctxq1tqvaCgkFb8cCA/edit?usp=sharing"",""ร้อยเอ็ด!j238"")"),0)</f>
        <v>0</v>
      </c>
      <c r="Q44" s="55">
        <f ca="1">IFERROR(__xludf.DUMMYFUNCTION("IMPORTRANGE(""https://docs.google.com/spreadsheets/d/1XL5vhW3sbDhbH9Cz0tuDiY8C3ctxq1tqvaCgkFb8cCA/edit?usp=sharing"",""ร้อยเอ็ด!j239"")"),0)</f>
        <v>0</v>
      </c>
      <c r="R44" s="99">
        <f t="shared" ca="1" si="7"/>
        <v>0</v>
      </c>
      <c r="S44" s="55">
        <f ca="1">IFERROR(__xludf.DUMMYFUNCTION("IMPORTRANGE(""https://docs.google.com/spreadsheets/d/1XL5vhW3sbDhbH9Cz0tuDiY8C3ctxq1tqvaCgkFb8cCA/edit?usp=sharing"",""ร้อยเอ็ด!j240"")"),0)</f>
        <v>0</v>
      </c>
      <c r="T44" s="55">
        <f ca="1">IFERROR(__xludf.DUMMYFUNCTION("IMPORTRANGE(""https://docs.google.com/spreadsheets/d/1XL5vhW3sbDhbH9Cz0tuDiY8C3ctxq1tqvaCgkFb8cCA/edit?usp=sharing"",""ร้อยเอ็ด!j241"")"),0)</f>
        <v>0</v>
      </c>
      <c r="U44" s="99">
        <f t="shared" ca="1" si="9"/>
        <v>0</v>
      </c>
      <c r="V44" s="81"/>
      <c r="W44" s="81"/>
      <c r="X44" s="81"/>
      <c r="Y44" s="81"/>
      <c r="Z44" s="81"/>
    </row>
    <row r="45" spans="1:26" ht="24" customHeight="1" x14ac:dyDescent="0.5">
      <c r="A45" s="52">
        <v>12</v>
      </c>
      <c r="B45" s="53" t="s">
        <v>60</v>
      </c>
      <c r="C45" s="54">
        <f t="shared" si="41"/>
        <v>964680</v>
      </c>
      <c r="D45" s="55">
        <v>306000</v>
      </c>
      <c r="E45" s="55">
        <v>658680</v>
      </c>
      <c r="F45" s="55">
        <f ca="1">IFERROR(__xludf.DUMMYFUNCTION("IMPORTRANGE(""https://docs.google.com/spreadsheets/d/1XL5vhW3sbDhbH9Cz0tuDiY8C3ctxq1tqvaCgkFb8cCA/edit?usp=sharing"",""เลย!M228"")"),382044)</f>
        <v>382044</v>
      </c>
      <c r="G45" s="99">
        <f t="shared" ca="1" si="1"/>
        <v>39.603184475681054</v>
      </c>
      <c r="H45" s="55">
        <v>410</v>
      </c>
      <c r="I45" s="55">
        <v>4040</v>
      </c>
      <c r="J45" s="55">
        <f ca="1">IFERROR(__xludf.DUMMYFUNCTION("IMPORTRANGE(""https://docs.google.com/spreadsheets/d/1XL5vhW3sbDhbH9Cz0tuDiY8C3ctxq1tqvaCgkFb8cCA/edit?usp=sharing"",""เลย!j234"")"),0)</f>
        <v>0</v>
      </c>
      <c r="K45" s="55">
        <f ca="1">IFERROR(__xludf.DUMMYFUNCTION("IMPORTRANGE(""https://docs.google.com/spreadsheets/d/1XL5vhW3sbDhbH9Cz0tuDiY8C3ctxq1tqvaCgkFb8cCA/edit?usp=sharing"",""เลย!j235"")"),0)</f>
        <v>0</v>
      </c>
      <c r="L45" s="99">
        <f t="shared" ca="1" si="3"/>
        <v>0</v>
      </c>
      <c r="M45" s="55">
        <f ca="1">IFERROR(__xludf.DUMMYFUNCTION("IMPORTRANGE(""https://docs.google.com/spreadsheets/d/1XL5vhW3sbDhbH9Cz0tuDiY8C3ctxq1tqvaCgkFb8cCA/edit?usp=sharing"",""เลย!j236"")"),0)</f>
        <v>0</v>
      </c>
      <c r="N45" s="55">
        <f ca="1">IFERROR(__xludf.DUMMYFUNCTION("IMPORTRANGE(""https://docs.google.com/spreadsheets/d/1XL5vhW3sbDhbH9Cz0tuDiY8C3ctxq1tqvaCgkFb8cCA/edit?usp=sharing"",""เลย!j237"")"),0)</f>
        <v>0</v>
      </c>
      <c r="O45" s="99">
        <f t="shared" ca="1" si="5"/>
        <v>0</v>
      </c>
      <c r="P45" s="55">
        <f ca="1">IFERROR(__xludf.DUMMYFUNCTION("IMPORTRANGE(""https://docs.google.com/spreadsheets/d/1XL5vhW3sbDhbH9Cz0tuDiY8C3ctxq1tqvaCgkFb8cCA/edit?usp=sharing"",""เลย!j238"")"),0)</f>
        <v>0</v>
      </c>
      <c r="Q45" s="55">
        <f ca="1">IFERROR(__xludf.DUMMYFUNCTION("IMPORTRANGE(""https://docs.google.com/spreadsheets/d/1XL5vhW3sbDhbH9Cz0tuDiY8C3ctxq1tqvaCgkFb8cCA/edit?usp=sharing"",""เลย!j239"")"),0)</f>
        <v>0</v>
      </c>
      <c r="R45" s="99">
        <f t="shared" ca="1" si="7"/>
        <v>0</v>
      </c>
      <c r="S45" s="55">
        <f ca="1">IFERROR(__xludf.DUMMYFUNCTION("IMPORTRANGE(""https://docs.google.com/spreadsheets/d/1XL5vhW3sbDhbH9Cz0tuDiY8C3ctxq1tqvaCgkFb8cCA/edit?usp=sharing"",""เลย!j240"")"),0)</f>
        <v>0</v>
      </c>
      <c r="T45" s="55">
        <f ca="1">IFERROR(__xludf.DUMMYFUNCTION("IMPORTRANGE(""https://docs.google.com/spreadsheets/d/1XL5vhW3sbDhbH9Cz0tuDiY8C3ctxq1tqvaCgkFb8cCA/edit?usp=sharing"",""เลย!j241"")"),0)</f>
        <v>0</v>
      </c>
      <c r="U45" s="99">
        <f t="shared" ca="1" si="9"/>
        <v>0</v>
      </c>
      <c r="V45" s="81"/>
      <c r="W45" s="81"/>
      <c r="X45" s="81"/>
      <c r="Y45" s="81"/>
      <c r="Z45" s="81"/>
    </row>
    <row r="46" spans="1:26" ht="24" customHeight="1" x14ac:dyDescent="0.5">
      <c r="A46" s="52">
        <v>13</v>
      </c>
      <c r="B46" s="53" t="s">
        <v>61</v>
      </c>
      <c r="C46" s="54">
        <f t="shared" si="41"/>
        <v>1667870</v>
      </c>
      <c r="D46" s="55">
        <v>500400</v>
      </c>
      <c r="E46" s="55">
        <v>1167470</v>
      </c>
      <c r="F46" s="55">
        <f ca="1">IFERROR(__xludf.DUMMYFUNCTION("IMPORTRANGE(""https://docs.google.com/spreadsheets/d/1XL5vhW3sbDhbH9Cz0tuDiY8C3ctxq1tqvaCgkFb8cCA/edit?usp=sharing"",""ศรีสะเกษ!M228"")"),0)</f>
        <v>0</v>
      </c>
      <c r="G46" s="99">
        <f t="shared" ca="1" si="1"/>
        <v>0</v>
      </c>
      <c r="H46" s="55">
        <v>880</v>
      </c>
      <c r="I46" s="55">
        <v>7760</v>
      </c>
      <c r="J46" s="55">
        <f ca="1">IFERROR(__xludf.DUMMYFUNCTION("IMPORTRANGE(""https://docs.google.com/spreadsheets/d/1XL5vhW3sbDhbH9Cz0tuDiY8C3ctxq1tqvaCgkFb8cCA/edit?usp=sharing"",""ศรีสะเกษ!j234"")"),12)</f>
        <v>12</v>
      </c>
      <c r="K46" s="55">
        <f ca="1">IFERROR(__xludf.DUMMYFUNCTION("IMPORTRANGE(""https://docs.google.com/spreadsheets/d/1XL5vhW3sbDhbH9Cz0tuDiY8C3ctxq1tqvaCgkFb8cCA/edit?usp=sharing"",""ศรีสะเกษ!j235"")"),69.25)</f>
        <v>69.25</v>
      </c>
      <c r="L46" s="99">
        <f t="shared" ca="1" si="3"/>
        <v>0.89239690721649489</v>
      </c>
      <c r="M46" s="55">
        <f ca="1">IFERROR(__xludf.DUMMYFUNCTION("IMPORTRANGE(""https://docs.google.com/spreadsheets/d/1XL5vhW3sbDhbH9Cz0tuDiY8C3ctxq1tqvaCgkFb8cCA/edit?usp=sharing"",""ศรีสะเกษ!j236"")"),90)</f>
        <v>90</v>
      </c>
      <c r="N46" s="55">
        <f ca="1">IFERROR(__xludf.DUMMYFUNCTION("IMPORTRANGE(""https://docs.google.com/spreadsheets/d/1XL5vhW3sbDhbH9Cz0tuDiY8C3ctxq1tqvaCgkFb8cCA/edit?usp=sharing"",""ศรีสะเกษ!j237"")"),764.63)</f>
        <v>764.63</v>
      </c>
      <c r="O46" s="99">
        <f t="shared" ca="1" si="5"/>
        <v>10.227272727272727</v>
      </c>
      <c r="P46" s="55">
        <f ca="1">IFERROR(__xludf.DUMMYFUNCTION("IMPORTRANGE(""https://docs.google.com/spreadsheets/d/1XL5vhW3sbDhbH9Cz0tuDiY8C3ctxq1tqvaCgkFb8cCA/edit?usp=sharing"",""ศรีสะเกษ!j238"")"),0)</f>
        <v>0</v>
      </c>
      <c r="Q46" s="55">
        <f ca="1">IFERROR(__xludf.DUMMYFUNCTION("IMPORTRANGE(""https://docs.google.com/spreadsheets/d/1XL5vhW3sbDhbH9Cz0tuDiY8C3ctxq1tqvaCgkFb8cCA/edit?usp=sharing"",""ศรีสะเกษ!j239"")"),0)</f>
        <v>0</v>
      </c>
      <c r="R46" s="99">
        <f t="shared" ca="1" si="7"/>
        <v>0</v>
      </c>
      <c r="S46" s="55">
        <f ca="1">IFERROR(__xludf.DUMMYFUNCTION("IMPORTRANGE(""https://docs.google.com/spreadsheets/d/1XL5vhW3sbDhbH9Cz0tuDiY8C3ctxq1tqvaCgkFb8cCA/edit?usp=sharing"",""ศรีสะเกษ!j240"")"),88)</f>
        <v>88</v>
      </c>
      <c r="T46" s="55">
        <f ca="1">IFERROR(__xludf.DUMMYFUNCTION("IMPORTRANGE(""https://docs.google.com/spreadsheets/d/1XL5vhW3sbDhbH9Cz0tuDiY8C3ctxq1tqvaCgkFb8cCA/edit?usp=sharing"",""ศรีสะเกษ!j241"")"),745.53)</f>
        <v>745.53</v>
      </c>
      <c r="U46" s="99">
        <f t="shared" ca="1" si="9"/>
        <v>10</v>
      </c>
      <c r="V46" s="81"/>
      <c r="W46" s="81"/>
      <c r="X46" s="81"/>
      <c r="Y46" s="81"/>
      <c r="Z46" s="81"/>
    </row>
    <row r="47" spans="1:26" ht="24" customHeight="1" x14ac:dyDescent="0.5">
      <c r="A47" s="52">
        <v>14</v>
      </c>
      <c r="B47" s="53" t="s">
        <v>62</v>
      </c>
      <c r="C47" s="54">
        <f t="shared" si="41"/>
        <v>1170150</v>
      </c>
      <c r="D47" s="55">
        <v>306000</v>
      </c>
      <c r="E47" s="55">
        <v>864150</v>
      </c>
      <c r="F47" s="55">
        <f ca="1">IFERROR(__xludf.DUMMYFUNCTION("IMPORTRANGE(""https://docs.google.com/spreadsheets/d/1XL5vhW3sbDhbH9Cz0tuDiY8C3ctxq1tqvaCgkFb8cCA/edit?usp=sharing"",""สกลนคร!M228"")"),92365.17)</f>
        <v>92365.17</v>
      </c>
      <c r="G47" s="99">
        <f t="shared" ca="1" si="1"/>
        <v>7.8934469939751315</v>
      </c>
      <c r="H47" s="55">
        <v>610</v>
      </c>
      <c r="I47" s="55">
        <v>4920</v>
      </c>
      <c r="J47" s="55">
        <f ca="1">IFERROR(__xludf.DUMMYFUNCTION("IMPORTRANGE(""https://docs.google.com/spreadsheets/d/1XL5vhW3sbDhbH9Cz0tuDiY8C3ctxq1tqvaCgkFb8cCA/edit?usp=sharing"",""สกลนคร!j234"")"),0)</f>
        <v>0</v>
      </c>
      <c r="K47" s="55">
        <f ca="1">IFERROR(__xludf.DUMMYFUNCTION("IMPORTRANGE(""https://docs.google.com/spreadsheets/d/1XL5vhW3sbDhbH9Cz0tuDiY8C3ctxq1tqvaCgkFb8cCA/edit?usp=sharing"",""สกลนคร!j235"")"),0)</f>
        <v>0</v>
      </c>
      <c r="L47" s="99">
        <f t="shared" ca="1" si="3"/>
        <v>0</v>
      </c>
      <c r="M47" s="55">
        <f ca="1">IFERROR(__xludf.DUMMYFUNCTION("IMPORTRANGE(""https://docs.google.com/spreadsheets/d/1XL5vhW3sbDhbH9Cz0tuDiY8C3ctxq1tqvaCgkFb8cCA/edit?usp=sharing"",""สกลนคร!j236"")"),0)</f>
        <v>0</v>
      </c>
      <c r="N47" s="55">
        <f ca="1">IFERROR(__xludf.DUMMYFUNCTION("IMPORTRANGE(""https://docs.google.com/spreadsheets/d/1XL5vhW3sbDhbH9Cz0tuDiY8C3ctxq1tqvaCgkFb8cCA/edit?usp=sharing"",""สกลนคร!j237"")"),0)</f>
        <v>0</v>
      </c>
      <c r="O47" s="99">
        <f t="shared" ca="1" si="5"/>
        <v>0</v>
      </c>
      <c r="P47" s="55">
        <f ca="1">IFERROR(__xludf.DUMMYFUNCTION("IMPORTRANGE(""https://docs.google.com/spreadsheets/d/1XL5vhW3sbDhbH9Cz0tuDiY8C3ctxq1tqvaCgkFb8cCA/edit?usp=sharing"",""สกลนคร!j238"")"),0)</f>
        <v>0</v>
      </c>
      <c r="Q47" s="55">
        <f ca="1">IFERROR(__xludf.DUMMYFUNCTION("IMPORTRANGE(""https://docs.google.com/spreadsheets/d/1XL5vhW3sbDhbH9Cz0tuDiY8C3ctxq1tqvaCgkFb8cCA/edit?usp=sharing"",""สกลนคร!j239"")"),0)</f>
        <v>0</v>
      </c>
      <c r="R47" s="99">
        <f t="shared" ca="1" si="7"/>
        <v>0</v>
      </c>
      <c r="S47" s="55">
        <f ca="1">IFERROR(__xludf.DUMMYFUNCTION("IMPORTRANGE(""https://docs.google.com/spreadsheets/d/1XL5vhW3sbDhbH9Cz0tuDiY8C3ctxq1tqvaCgkFb8cCA/edit?usp=sharing"",""สกลนคร!j240"")"),0)</f>
        <v>0</v>
      </c>
      <c r="T47" s="55">
        <f ca="1">IFERROR(__xludf.DUMMYFUNCTION("IMPORTRANGE(""https://docs.google.com/spreadsheets/d/1XL5vhW3sbDhbH9Cz0tuDiY8C3ctxq1tqvaCgkFb8cCA/edit?usp=sharing"",""สกลนคร!j241"")"),0)</f>
        <v>0</v>
      </c>
      <c r="U47" s="99">
        <f t="shared" ca="1" si="9"/>
        <v>0</v>
      </c>
      <c r="V47" s="81"/>
      <c r="W47" s="81"/>
      <c r="X47" s="81"/>
      <c r="Y47" s="81"/>
      <c r="Z47" s="81"/>
    </row>
    <row r="48" spans="1:26" ht="24" customHeight="1" x14ac:dyDescent="0.5">
      <c r="A48" s="52">
        <v>15</v>
      </c>
      <c r="B48" s="53" t="s">
        <v>63</v>
      </c>
      <c r="C48" s="54">
        <f t="shared" si="41"/>
        <v>1902210</v>
      </c>
      <c r="D48" s="55">
        <v>759500</v>
      </c>
      <c r="E48" s="55">
        <v>1142710</v>
      </c>
      <c r="F48" s="55">
        <f ca="1">IFERROR(__xludf.DUMMYFUNCTION("IMPORTRANGE(""https://docs.google.com/spreadsheets/d/1XL5vhW3sbDhbH9Cz0tuDiY8C3ctxq1tqvaCgkFb8cCA/edit?usp=sharing"",""สุรินทร์!M228"")"),0)</f>
        <v>0</v>
      </c>
      <c r="G48" s="99">
        <f t="shared" ca="1" si="1"/>
        <v>0</v>
      </c>
      <c r="H48" s="55">
        <v>740</v>
      </c>
      <c r="I48" s="55">
        <v>5800</v>
      </c>
      <c r="J48" s="55">
        <f ca="1">IFERROR(__xludf.DUMMYFUNCTION("IMPORTRANGE(""https://docs.google.com/spreadsheets/d/1XL5vhW3sbDhbH9Cz0tuDiY8C3ctxq1tqvaCgkFb8cCA/edit?usp=sharing"",""สุรินทร์!j234"")"),22)</f>
        <v>22</v>
      </c>
      <c r="K48" s="55">
        <f ca="1">IFERROR(__xludf.DUMMYFUNCTION("IMPORTRANGE(""https://docs.google.com/spreadsheets/d/1XL5vhW3sbDhbH9Cz0tuDiY8C3ctxq1tqvaCgkFb8cCA/edit?usp=sharing"",""สุรินทร์!j235"")"),91.74)</f>
        <v>91.74</v>
      </c>
      <c r="L48" s="99">
        <f t="shared" ca="1" si="3"/>
        <v>1.5817241379310345</v>
      </c>
      <c r="M48" s="55">
        <f ca="1">IFERROR(__xludf.DUMMYFUNCTION("IMPORTRANGE(""https://docs.google.com/spreadsheets/d/1XL5vhW3sbDhbH9Cz0tuDiY8C3ctxq1tqvaCgkFb8cCA/edit?usp=sharing"",""สุรินทร์!j236"")"),22)</f>
        <v>22</v>
      </c>
      <c r="N48" s="55">
        <f ca="1">IFERROR(__xludf.DUMMYFUNCTION("IMPORTRANGE(""https://docs.google.com/spreadsheets/d/1XL5vhW3sbDhbH9Cz0tuDiY8C3ctxq1tqvaCgkFb8cCA/edit?usp=sharing"",""สุรินทร์!j237"")"),82.44)</f>
        <v>82.44</v>
      </c>
      <c r="O48" s="99">
        <f t="shared" ca="1" si="5"/>
        <v>2.9729729729729728</v>
      </c>
      <c r="P48" s="55">
        <f ca="1">IFERROR(__xludf.DUMMYFUNCTION("IMPORTRANGE(""https://docs.google.com/spreadsheets/d/1XL5vhW3sbDhbH9Cz0tuDiY8C3ctxq1tqvaCgkFb8cCA/edit?usp=sharing"",""สุรินทร์!j238"")"),0)</f>
        <v>0</v>
      </c>
      <c r="Q48" s="55">
        <f ca="1">IFERROR(__xludf.DUMMYFUNCTION("IMPORTRANGE(""https://docs.google.com/spreadsheets/d/1XL5vhW3sbDhbH9Cz0tuDiY8C3ctxq1tqvaCgkFb8cCA/edit?usp=sharing"",""สุรินทร์!j239"")"),0)</f>
        <v>0</v>
      </c>
      <c r="R48" s="99">
        <f t="shared" ca="1" si="7"/>
        <v>0</v>
      </c>
      <c r="S48" s="55">
        <f ca="1">IFERROR(__xludf.DUMMYFUNCTION("IMPORTRANGE(""https://docs.google.com/spreadsheets/d/1XL5vhW3sbDhbH9Cz0tuDiY8C3ctxq1tqvaCgkFb8cCA/edit?usp=sharing"",""สุรินทร์!j240"")"),3)</f>
        <v>3</v>
      </c>
      <c r="T48" s="55">
        <f ca="1">IFERROR(__xludf.DUMMYFUNCTION("IMPORTRANGE(""https://docs.google.com/spreadsheets/d/1XL5vhW3sbDhbH9Cz0tuDiY8C3ctxq1tqvaCgkFb8cCA/edit?usp=sharing"",""สุรินทร์!j241"")"),7.92)</f>
        <v>7.92</v>
      </c>
      <c r="U48" s="99">
        <f t="shared" ca="1" si="9"/>
        <v>0.40540540540540543</v>
      </c>
      <c r="V48" s="81"/>
      <c r="W48" s="81"/>
      <c r="X48" s="81"/>
      <c r="Y48" s="81"/>
      <c r="Z48" s="81"/>
    </row>
    <row r="49" spans="1:26" ht="24" customHeight="1" x14ac:dyDescent="0.5">
      <c r="A49" s="52">
        <v>16</v>
      </c>
      <c r="B49" s="53" t="s">
        <v>64</v>
      </c>
      <c r="C49" s="54">
        <f t="shared" si="41"/>
        <v>1011130</v>
      </c>
      <c r="D49" s="55">
        <v>417600</v>
      </c>
      <c r="E49" s="55">
        <v>593530</v>
      </c>
      <c r="F49" s="55">
        <f ca="1">IFERROR(__xludf.DUMMYFUNCTION("IMPORTRANGE(""https://docs.google.com/spreadsheets/d/1XL5vhW3sbDhbH9Cz0tuDiY8C3ctxq1tqvaCgkFb8cCA/edit?usp=sharing"",""หนองคาย!M228"")"),0)</f>
        <v>0</v>
      </c>
      <c r="G49" s="99">
        <f t="shared" ca="1" si="1"/>
        <v>0</v>
      </c>
      <c r="H49" s="55">
        <v>650</v>
      </c>
      <c r="I49" s="55">
        <v>3376</v>
      </c>
      <c r="J49" s="55">
        <f ca="1">IFERROR(__xludf.DUMMYFUNCTION("IMPORTRANGE(""https://docs.google.com/spreadsheets/d/1XL5vhW3sbDhbH9Cz0tuDiY8C3ctxq1tqvaCgkFb8cCA/edit?usp=sharing"",""หนองคาย!j234"")"),0)</f>
        <v>0</v>
      </c>
      <c r="K49" s="55">
        <f ca="1">IFERROR(__xludf.DUMMYFUNCTION("IMPORTRANGE(""https://docs.google.com/spreadsheets/d/1XL5vhW3sbDhbH9Cz0tuDiY8C3ctxq1tqvaCgkFb8cCA/edit?usp=sharing"",""หนองคาย!j235"")"),0)</f>
        <v>0</v>
      </c>
      <c r="L49" s="99">
        <f t="shared" ca="1" si="3"/>
        <v>0</v>
      </c>
      <c r="M49" s="55">
        <f ca="1">IFERROR(__xludf.DUMMYFUNCTION("IMPORTRANGE(""https://docs.google.com/spreadsheets/d/1XL5vhW3sbDhbH9Cz0tuDiY8C3ctxq1tqvaCgkFb8cCA/edit?usp=sharing"",""หนองคาย!j236"")"),42)</f>
        <v>42</v>
      </c>
      <c r="N49" s="55">
        <f ca="1">IFERROR(__xludf.DUMMYFUNCTION("IMPORTRANGE(""https://docs.google.com/spreadsheets/d/1XL5vhW3sbDhbH9Cz0tuDiY8C3ctxq1tqvaCgkFb8cCA/edit?usp=sharing"",""หนองคาย!j237"")"),643.51)</f>
        <v>643.51</v>
      </c>
      <c r="O49" s="99">
        <f t="shared" ca="1" si="5"/>
        <v>6.4615384615384617</v>
      </c>
      <c r="P49" s="55">
        <f ca="1">IFERROR(__xludf.DUMMYFUNCTION("IMPORTRANGE(""https://docs.google.com/spreadsheets/d/1XL5vhW3sbDhbH9Cz0tuDiY8C3ctxq1tqvaCgkFb8cCA/edit?usp=sharing"",""หนองคาย!j238"")"),0)</f>
        <v>0</v>
      </c>
      <c r="Q49" s="55">
        <f ca="1">IFERROR(__xludf.DUMMYFUNCTION("IMPORTRANGE(""https://docs.google.com/spreadsheets/d/1XL5vhW3sbDhbH9Cz0tuDiY8C3ctxq1tqvaCgkFb8cCA/edit?usp=sharing"",""หนองคาย!j239"")"),0)</f>
        <v>0</v>
      </c>
      <c r="R49" s="99">
        <f t="shared" ca="1" si="7"/>
        <v>0</v>
      </c>
      <c r="S49" s="55">
        <f ca="1">IFERROR(__xludf.DUMMYFUNCTION("IMPORTRANGE(""https://docs.google.com/spreadsheets/d/1XL5vhW3sbDhbH9Cz0tuDiY8C3ctxq1tqvaCgkFb8cCA/edit?usp=sharing"",""หนองคาย!j240"")"),0)</f>
        <v>0</v>
      </c>
      <c r="T49" s="55">
        <f ca="1">IFERROR(__xludf.DUMMYFUNCTION("IMPORTRANGE(""https://docs.google.com/spreadsheets/d/1XL5vhW3sbDhbH9Cz0tuDiY8C3ctxq1tqvaCgkFb8cCA/edit?usp=sharing"",""หนองคาย!j241"")"),0)</f>
        <v>0</v>
      </c>
      <c r="U49" s="99">
        <f t="shared" ca="1" si="9"/>
        <v>0</v>
      </c>
      <c r="V49" s="81"/>
      <c r="W49" s="81"/>
      <c r="X49" s="81"/>
      <c r="Y49" s="81"/>
      <c r="Z49" s="81"/>
    </row>
    <row r="50" spans="1:26" ht="24" customHeight="1" x14ac:dyDescent="0.5">
      <c r="A50" s="52">
        <v>17</v>
      </c>
      <c r="B50" s="53" t="s">
        <v>65</v>
      </c>
      <c r="C50" s="54">
        <f t="shared" si="41"/>
        <v>1036410</v>
      </c>
      <c r="D50" s="55">
        <v>306000</v>
      </c>
      <c r="E50" s="55">
        <v>730410</v>
      </c>
      <c r="F50" s="55">
        <f ca="1">IFERROR(__xludf.DUMMYFUNCTION("IMPORTRANGE(""https://docs.google.com/spreadsheets/d/1XL5vhW3sbDhbH9Cz0tuDiY8C3ctxq1tqvaCgkFb8cCA/edit?usp=sharing"",""หนองบัวลำภู!M228"")"),101270.12)</f>
        <v>101270.12</v>
      </c>
      <c r="G50" s="99">
        <f t="shared" ca="1" si="1"/>
        <v>9.771241111143274</v>
      </c>
      <c r="H50" s="55">
        <v>440</v>
      </c>
      <c r="I50" s="55">
        <v>4400</v>
      </c>
      <c r="J50" s="55">
        <f ca="1">IFERROR(__xludf.DUMMYFUNCTION("IMPORTRANGE(""https://docs.google.com/spreadsheets/d/1XL5vhW3sbDhbH9Cz0tuDiY8C3ctxq1tqvaCgkFb8cCA/edit?usp=sharing"",""หนองบัวลำภู!j234"")"),0)</f>
        <v>0</v>
      </c>
      <c r="K50" s="55">
        <f ca="1">IFERROR(__xludf.DUMMYFUNCTION("IMPORTRANGE(""https://docs.google.com/spreadsheets/d/1XL5vhW3sbDhbH9Cz0tuDiY8C3ctxq1tqvaCgkFb8cCA/edit?usp=sharing"",""หนองบัวลำภู!j235"")"),0)</f>
        <v>0</v>
      </c>
      <c r="L50" s="99">
        <f t="shared" ca="1" si="3"/>
        <v>0</v>
      </c>
      <c r="M50" s="55">
        <f ca="1">IFERROR(__xludf.DUMMYFUNCTION("IMPORTRANGE(""https://docs.google.com/spreadsheets/d/1XL5vhW3sbDhbH9Cz0tuDiY8C3ctxq1tqvaCgkFb8cCA/edit?usp=sharing"",""หนองบัวลำภู!j236"")"),0)</f>
        <v>0</v>
      </c>
      <c r="N50" s="55">
        <f ca="1">IFERROR(__xludf.DUMMYFUNCTION("IMPORTRANGE(""https://docs.google.com/spreadsheets/d/1XL5vhW3sbDhbH9Cz0tuDiY8C3ctxq1tqvaCgkFb8cCA/edit?usp=sharing"",""หนองบัวลำภู!j237"")"),0)</f>
        <v>0</v>
      </c>
      <c r="O50" s="99">
        <f t="shared" ca="1" si="5"/>
        <v>0</v>
      </c>
      <c r="P50" s="55">
        <f ca="1">IFERROR(__xludf.DUMMYFUNCTION("IMPORTRANGE(""https://docs.google.com/spreadsheets/d/1XL5vhW3sbDhbH9Cz0tuDiY8C3ctxq1tqvaCgkFb8cCA/edit?usp=sharing"",""หนองบัวลำภู!j238"")"),0)</f>
        <v>0</v>
      </c>
      <c r="Q50" s="55">
        <f ca="1">IFERROR(__xludf.DUMMYFUNCTION("IMPORTRANGE(""https://docs.google.com/spreadsheets/d/1XL5vhW3sbDhbH9Cz0tuDiY8C3ctxq1tqvaCgkFb8cCA/edit?usp=sharing"",""หนองบัวลำภู!j239"")"),0)</f>
        <v>0</v>
      </c>
      <c r="R50" s="99">
        <f t="shared" ca="1" si="7"/>
        <v>0</v>
      </c>
      <c r="S50" s="55">
        <f ca="1">IFERROR(__xludf.DUMMYFUNCTION("IMPORTRANGE(""https://docs.google.com/spreadsheets/d/1XL5vhW3sbDhbH9Cz0tuDiY8C3ctxq1tqvaCgkFb8cCA/edit?usp=sharing"",""หนองบัวลำภู!j240"")"),0)</f>
        <v>0</v>
      </c>
      <c r="T50" s="55">
        <f ca="1">IFERROR(__xludf.DUMMYFUNCTION("IMPORTRANGE(""https://docs.google.com/spreadsheets/d/1XL5vhW3sbDhbH9Cz0tuDiY8C3ctxq1tqvaCgkFb8cCA/edit?usp=sharing"",""หนองบัวลำภู!j241"")"),0)</f>
        <v>0</v>
      </c>
      <c r="U50" s="99">
        <f t="shared" ca="1" si="9"/>
        <v>0</v>
      </c>
      <c r="V50" s="81"/>
      <c r="W50" s="81"/>
      <c r="X50" s="81"/>
      <c r="Y50" s="81"/>
      <c r="Z50" s="81"/>
    </row>
    <row r="51" spans="1:26" ht="24" customHeight="1" x14ac:dyDescent="0.5">
      <c r="A51" s="52">
        <v>18</v>
      </c>
      <c r="B51" s="53" t="s">
        <v>66</v>
      </c>
      <c r="C51" s="54">
        <f t="shared" si="41"/>
        <v>608530</v>
      </c>
      <c r="D51" s="55">
        <v>306000</v>
      </c>
      <c r="E51" s="55">
        <v>302530</v>
      </c>
      <c r="F51" s="55">
        <f ca="1">IFERROR(__xludf.DUMMYFUNCTION("IMPORTRANGE(""https://docs.google.com/spreadsheets/d/1XL5vhW3sbDhbH9Cz0tuDiY8C3ctxq1tqvaCgkFb8cCA/edit?usp=sharing"",""อำนาจเจริญ!M228"")"),0)</f>
        <v>0</v>
      </c>
      <c r="G51" s="99">
        <f t="shared" ca="1" si="1"/>
        <v>0</v>
      </c>
      <c r="H51" s="55">
        <v>190</v>
      </c>
      <c r="I51" s="55">
        <v>1300</v>
      </c>
      <c r="J51" s="55">
        <f ca="1">IFERROR(__xludf.DUMMYFUNCTION("IMPORTRANGE(""https://docs.google.com/spreadsheets/d/1XL5vhW3sbDhbH9Cz0tuDiY8C3ctxq1tqvaCgkFb8cCA/edit?usp=sharing"",""อำนาจเจริญ!j234"")"),0)</f>
        <v>0</v>
      </c>
      <c r="K51" s="55">
        <f ca="1">IFERROR(__xludf.DUMMYFUNCTION("IMPORTRANGE(""https://docs.google.com/spreadsheets/d/1XL5vhW3sbDhbH9Cz0tuDiY8C3ctxq1tqvaCgkFb8cCA/edit?usp=sharing"",""อำนาจเจริญ!j235"")"),0)</f>
        <v>0</v>
      </c>
      <c r="L51" s="99">
        <f t="shared" ca="1" si="3"/>
        <v>0</v>
      </c>
      <c r="M51" s="55">
        <f ca="1">IFERROR(__xludf.DUMMYFUNCTION("IMPORTRANGE(""https://docs.google.com/spreadsheets/d/1XL5vhW3sbDhbH9Cz0tuDiY8C3ctxq1tqvaCgkFb8cCA/edit?usp=sharing"",""อำนาจเจริญ!j236"")"),3)</f>
        <v>3</v>
      </c>
      <c r="N51" s="55">
        <f ca="1">IFERROR(__xludf.DUMMYFUNCTION("IMPORTRANGE(""https://docs.google.com/spreadsheets/d/1XL5vhW3sbDhbH9Cz0tuDiY8C3ctxq1tqvaCgkFb8cCA/edit?usp=sharing"",""อำนาจเจริญ!j237"")"),55.02)</f>
        <v>55.02</v>
      </c>
      <c r="O51" s="99">
        <f t="shared" ca="1" si="5"/>
        <v>1.5789473684210527</v>
      </c>
      <c r="P51" s="55">
        <f ca="1">IFERROR(__xludf.DUMMYFUNCTION("IMPORTRANGE(""https://docs.google.com/spreadsheets/d/1XL5vhW3sbDhbH9Cz0tuDiY8C3ctxq1tqvaCgkFb8cCA/edit?usp=sharing"",""อำนาจเจริญ!j238"")"),0)</f>
        <v>0</v>
      </c>
      <c r="Q51" s="55">
        <f ca="1">IFERROR(__xludf.DUMMYFUNCTION("IMPORTRANGE(""https://docs.google.com/spreadsheets/d/1XL5vhW3sbDhbH9Cz0tuDiY8C3ctxq1tqvaCgkFb8cCA/edit?usp=sharing"",""อำนาจเจริญ!j239"")"),0)</f>
        <v>0</v>
      </c>
      <c r="R51" s="99">
        <f t="shared" ca="1" si="7"/>
        <v>0</v>
      </c>
      <c r="S51" s="55">
        <f ca="1">IFERROR(__xludf.DUMMYFUNCTION("IMPORTRANGE(""https://docs.google.com/spreadsheets/d/1XL5vhW3sbDhbH9Cz0tuDiY8C3ctxq1tqvaCgkFb8cCA/edit?usp=sharing"",""อำนาจเจริญ!j240"")"),3)</f>
        <v>3</v>
      </c>
      <c r="T51" s="55">
        <f ca="1">IFERROR(__xludf.DUMMYFUNCTION("IMPORTRANGE(""https://docs.google.com/spreadsheets/d/1XL5vhW3sbDhbH9Cz0tuDiY8C3ctxq1tqvaCgkFb8cCA/edit?usp=sharing"",""อำนาจเจริญ!j241"")"),55.02)</f>
        <v>55.02</v>
      </c>
      <c r="U51" s="99">
        <f t="shared" ca="1" si="9"/>
        <v>1.5789473684210527</v>
      </c>
      <c r="V51" s="81"/>
      <c r="W51" s="81"/>
      <c r="X51" s="81"/>
      <c r="Y51" s="81"/>
      <c r="Z51" s="81"/>
    </row>
    <row r="52" spans="1:26" ht="24" customHeight="1" x14ac:dyDescent="0.5">
      <c r="A52" s="52">
        <v>19</v>
      </c>
      <c r="B52" s="53" t="s">
        <v>67</v>
      </c>
      <c r="C52" s="54">
        <f t="shared" si="41"/>
        <v>1831220</v>
      </c>
      <c r="D52" s="55">
        <v>306000</v>
      </c>
      <c r="E52" s="55">
        <v>1525220</v>
      </c>
      <c r="F52" s="55">
        <f ca="1">IFERROR(__xludf.DUMMYFUNCTION("IMPORTRANGE(""https://docs.google.com/spreadsheets/d/1XL5vhW3sbDhbH9Cz0tuDiY8C3ctxq1tqvaCgkFb8cCA/edit?usp=sharing"",""อุดรธานี!M228"")"),0)</f>
        <v>0</v>
      </c>
      <c r="G52" s="99">
        <f t="shared" ca="1" si="1"/>
        <v>0</v>
      </c>
      <c r="H52" s="55">
        <v>1060</v>
      </c>
      <c r="I52" s="55">
        <v>12500</v>
      </c>
      <c r="J52" s="55">
        <f ca="1">IFERROR(__xludf.DUMMYFUNCTION("IMPORTRANGE(""https://docs.google.com/spreadsheets/d/1XL5vhW3sbDhbH9Cz0tuDiY8C3ctxq1tqvaCgkFb8cCA/edit?usp=sharing"",""อุดรธานี!j234"")"),117)</f>
        <v>117</v>
      </c>
      <c r="K52" s="55">
        <f ca="1">IFERROR(__xludf.DUMMYFUNCTION("IMPORTRANGE(""https://docs.google.com/spreadsheets/d/1XL5vhW3sbDhbH9Cz0tuDiY8C3ctxq1tqvaCgkFb8cCA/edit?usp=sharing"",""อุดรธานี!j235"")"),1381.25)</f>
        <v>1381.25</v>
      </c>
      <c r="L52" s="99">
        <f t="shared" ca="1" si="3"/>
        <v>11.05</v>
      </c>
      <c r="M52" s="55">
        <f ca="1">IFERROR(__xludf.DUMMYFUNCTION("IMPORTRANGE(""https://docs.google.com/spreadsheets/d/1XL5vhW3sbDhbH9Cz0tuDiY8C3ctxq1tqvaCgkFb8cCA/edit?usp=sharing"",""อุดรธานี!j236"")"),317)</f>
        <v>317</v>
      </c>
      <c r="N52" s="55">
        <f ca="1">IFERROR(__xludf.DUMMYFUNCTION("IMPORTRANGE(""https://docs.google.com/spreadsheets/d/1XL5vhW3sbDhbH9Cz0tuDiY8C3ctxq1tqvaCgkFb8cCA/edit?usp=sharing"",""อุดรธานี!j237"")"),7028.3)</f>
        <v>7028.3</v>
      </c>
      <c r="O52" s="99">
        <f t="shared" ca="1" si="5"/>
        <v>29.90566037735849</v>
      </c>
      <c r="P52" s="55">
        <f ca="1">IFERROR(__xludf.DUMMYFUNCTION("IMPORTRANGE(""https://docs.google.com/spreadsheets/d/1XL5vhW3sbDhbH9Cz0tuDiY8C3ctxq1tqvaCgkFb8cCA/edit?usp=sharing"",""อุดรธานี!j238"")"),0)</f>
        <v>0</v>
      </c>
      <c r="Q52" s="55">
        <f ca="1">IFERROR(__xludf.DUMMYFUNCTION("IMPORTRANGE(""https://docs.google.com/spreadsheets/d/1XL5vhW3sbDhbH9Cz0tuDiY8C3ctxq1tqvaCgkFb8cCA/edit?usp=sharing"",""อุดรธานี!j239"")"),0)</f>
        <v>0</v>
      </c>
      <c r="R52" s="99">
        <f t="shared" ca="1" si="7"/>
        <v>0</v>
      </c>
      <c r="S52" s="55">
        <f ca="1">IFERROR(__xludf.DUMMYFUNCTION("IMPORTRANGE(""https://docs.google.com/spreadsheets/d/1XL5vhW3sbDhbH9Cz0tuDiY8C3ctxq1tqvaCgkFb8cCA/edit?usp=sharing"",""อุดรธานี!j240"")"),0)</f>
        <v>0</v>
      </c>
      <c r="T52" s="55">
        <f ca="1">IFERROR(__xludf.DUMMYFUNCTION("IMPORTRANGE(""https://docs.google.com/spreadsheets/d/1XL5vhW3sbDhbH9Cz0tuDiY8C3ctxq1tqvaCgkFb8cCA/edit?usp=sharing"",""อุดรธานี!j241"")"),0)</f>
        <v>0</v>
      </c>
      <c r="U52" s="99">
        <f t="shared" ca="1" si="9"/>
        <v>0</v>
      </c>
      <c r="V52" s="81"/>
      <c r="W52" s="81"/>
      <c r="X52" s="81"/>
      <c r="Y52" s="81"/>
      <c r="Z52" s="81"/>
    </row>
    <row r="53" spans="1:26" ht="24" customHeight="1" x14ac:dyDescent="0.5">
      <c r="A53" s="59">
        <v>20</v>
      </c>
      <c r="B53" s="60" t="s">
        <v>68</v>
      </c>
      <c r="C53" s="61">
        <f t="shared" si="41"/>
        <v>1589650</v>
      </c>
      <c r="D53" s="62">
        <v>500400</v>
      </c>
      <c r="E53" s="62">
        <v>1089250</v>
      </c>
      <c r="F53" s="62">
        <f ca="1">IFERROR(__xludf.DUMMYFUNCTION("IMPORTRANGE(""https://docs.google.com/spreadsheets/d/1XL5vhW3sbDhbH9Cz0tuDiY8C3ctxq1tqvaCgkFb8cCA/edit?usp=sharing"",""อุบลราชธานี!M228"")"),144488)</f>
        <v>144488</v>
      </c>
      <c r="G53" s="100">
        <f t="shared" ca="1" si="1"/>
        <v>9.0892963859969171</v>
      </c>
      <c r="H53" s="62">
        <v>820</v>
      </c>
      <c r="I53" s="62">
        <v>6640</v>
      </c>
      <c r="J53" s="62">
        <f ca="1">IFERROR(__xludf.DUMMYFUNCTION("IMPORTRANGE(""https://docs.google.com/spreadsheets/d/1XL5vhW3sbDhbH9Cz0tuDiY8C3ctxq1tqvaCgkFb8cCA/edit?usp=sharing"",""อุบลราชธานี!j234"")"),66)</f>
        <v>66</v>
      </c>
      <c r="K53" s="62">
        <f ca="1">IFERROR(__xludf.DUMMYFUNCTION("IMPORTRANGE(""https://docs.google.com/spreadsheets/d/1XL5vhW3sbDhbH9Cz0tuDiY8C3ctxq1tqvaCgkFb8cCA/edit?usp=sharing"",""อุบลราชธานี!j235"")"),445.36)</f>
        <v>445.36</v>
      </c>
      <c r="L53" s="100">
        <f t="shared" ca="1" si="3"/>
        <v>6.7072289156626503</v>
      </c>
      <c r="M53" s="62">
        <f ca="1">IFERROR(__xludf.DUMMYFUNCTION("IMPORTRANGE(""https://docs.google.com/spreadsheets/d/1XL5vhW3sbDhbH9Cz0tuDiY8C3ctxq1tqvaCgkFb8cCA/edit?usp=sharing"",""อุบลราชธานี!j236"")"),33)</f>
        <v>33</v>
      </c>
      <c r="N53" s="62">
        <f ca="1">IFERROR(__xludf.DUMMYFUNCTION("IMPORTRANGE(""https://docs.google.com/spreadsheets/d/1XL5vhW3sbDhbH9Cz0tuDiY8C3ctxq1tqvaCgkFb8cCA/edit?usp=sharing"",""อุบลราชธานี!j237"")"),524.17)</f>
        <v>524.16999999999996</v>
      </c>
      <c r="O53" s="100">
        <f t="shared" ca="1" si="5"/>
        <v>4.024390243902439</v>
      </c>
      <c r="P53" s="62">
        <f ca="1">IFERROR(__xludf.DUMMYFUNCTION("IMPORTRANGE(""https://docs.google.com/spreadsheets/d/1XL5vhW3sbDhbH9Cz0tuDiY8C3ctxq1tqvaCgkFb8cCA/edit?usp=sharing"",""อุบลราชธานี!j238"")"),1)</f>
        <v>1</v>
      </c>
      <c r="Q53" s="62">
        <f ca="1">IFERROR(__xludf.DUMMYFUNCTION("IMPORTRANGE(""https://docs.google.com/spreadsheets/d/1XL5vhW3sbDhbH9Cz0tuDiY8C3ctxq1tqvaCgkFb8cCA/edit?usp=sharing"",""อุบลราชธานี!j239"")"),7.29)</f>
        <v>7.29</v>
      </c>
      <c r="R53" s="100">
        <f t="shared" ca="1" si="7"/>
        <v>0.12195121951219512</v>
      </c>
      <c r="S53" s="62">
        <f ca="1">IFERROR(__xludf.DUMMYFUNCTION("IMPORTRANGE(""https://docs.google.com/spreadsheets/d/1XL5vhW3sbDhbH9Cz0tuDiY8C3ctxq1tqvaCgkFb8cCA/edit?usp=sharing"",""อุบลราชธานี!j240"")"),25)</f>
        <v>25</v>
      </c>
      <c r="T53" s="62">
        <f ca="1">IFERROR(__xludf.DUMMYFUNCTION("IMPORTRANGE(""https://docs.google.com/spreadsheets/d/1XL5vhW3sbDhbH9Cz0tuDiY8C3ctxq1tqvaCgkFb8cCA/edit?usp=sharing"",""อุบลราชธานี!j241"")"),419.84)</f>
        <v>419.84</v>
      </c>
      <c r="U53" s="100">
        <f t="shared" ca="1" si="9"/>
        <v>3.0487804878048781</v>
      </c>
      <c r="V53" s="81"/>
      <c r="W53" s="81"/>
      <c r="X53" s="81"/>
      <c r="Y53" s="81"/>
      <c r="Z53" s="81"/>
    </row>
    <row r="54" spans="1:26" ht="24" customHeight="1" x14ac:dyDescent="0.5">
      <c r="A54" s="570" t="s">
        <v>69</v>
      </c>
      <c r="B54" s="569"/>
      <c r="C54" s="66">
        <f t="shared" ref="C54:F54" si="42">SUM(C55:C75)</f>
        <v>16165540</v>
      </c>
      <c r="D54" s="66">
        <f t="shared" si="42"/>
        <v>9640300</v>
      </c>
      <c r="E54" s="66">
        <f t="shared" si="42"/>
        <v>6525240</v>
      </c>
      <c r="F54" s="66">
        <f t="shared" ca="1" si="42"/>
        <v>314798.38</v>
      </c>
      <c r="G54" s="101">
        <f t="shared" ca="1" si="1"/>
        <v>1.9473421859090385</v>
      </c>
      <c r="H54" s="66">
        <f t="shared" ref="H54:K54" si="43">SUM(H55:H75)</f>
        <v>2742</v>
      </c>
      <c r="I54" s="66">
        <f t="shared" si="43"/>
        <v>31359</v>
      </c>
      <c r="J54" s="66">
        <f t="shared" ca="1" si="43"/>
        <v>201</v>
      </c>
      <c r="K54" s="66">
        <f t="shared" ca="1" si="43"/>
        <v>2168.2700000000004</v>
      </c>
      <c r="L54" s="101">
        <f t="shared" ca="1" si="3"/>
        <v>6.9143467585063316</v>
      </c>
      <c r="M54" s="66">
        <f t="shared" ref="M54:N54" ca="1" si="44">SUM(M55:M75)</f>
        <v>258</v>
      </c>
      <c r="N54" s="66">
        <f t="shared" ca="1" si="44"/>
        <v>3221.9500000000003</v>
      </c>
      <c r="O54" s="101">
        <f t="shared" ca="1" si="5"/>
        <v>9.4091903719912473</v>
      </c>
      <c r="P54" s="66">
        <f t="shared" ref="P54:Q54" ca="1" si="45">SUM(P55:P75)</f>
        <v>0</v>
      </c>
      <c r="Q54" s="66">
        <f t="shared" ca="1" si="45"/>
        <v>0</v>
      </c>
      <c r="R54" s="101">
        <f t="shared" ca="1" si="7"/>
        <v>0</v>
      </c>
      <c r="S54" s="66">
        <f t="shared" ref="S54:T54" ca="1" si="46">SUM(S55:S75)</f>
        <v>143</v>
      </c>
      <c r="T54" s="66">
        <f t="shared" ca="1" si="46"/>
        <v>1690.4</v>
      </c>
      <c r="U54" s="101">
        <f t="shared" ca="1" si="9"/>
        <v>5.2151714077315825</v>
      </c>
      <c r="V54" s="81"/>
      <c r="W54" s="81"/>
      <c r="X54" s="81"/>
      <c r="Y54" s="81"/>
      <c r="Z54" s="81"/>
    </row>
    <row r="55" spans="1:26" ht="24" customHeight="1" x14ac:dyDescent="0.5">
      <c r="A55" s="45">
        <v>1</v>
      </c>
      <c r="B55" s="46" t="s">
        <v>70</v>
      </c>
      <c r="C55" s="47">
        <f t="shared" ref="C55:C75" si="47">+D55+E55</f>
        <v>1010640</v>
      </c>
      <c r="D55" s="48">
        <v>629200</v>
      </c>
      <c r="E55" s="48">
        <v>381440</v>
      </c>
      <c r="F55" s="48">
        <f ca="1">IFERROR(__xludf.DUMMYFUNCTION("IMPORTRANGE(""https://docs.google.com/spreadsheets/d/1SX6NBoVAgQJ6U1MVXOaj8PK2l7WJ3RER9xtqwdhxkhw/edit?usp=sharing"",""กาญจนบุรี!M228"")"),0)</f>
        <v>0</v>
      </c>
      <c r="G55" s="98">
        <f t="shared" ca="1" si="1"/>
        <v>0</v>
      </c>
      <c r="H55" s="48">
        <v>220</v>
      </c>
      <c r="I55" s="48">
        <v>1960</v>
      </c>
      <c r="J55" s="48">
        <f ca="1">IFERROR(__xludf.DUMMYFUNCTION("IMPORTRANGE(""https://docs.google.com/spreadsheets/d/1SX6NBoVAgQJ6U1MVXOaj8PK2l7WJ3RER9xtqwdhxkhw/edit?usp=sharing"",""กาญจนบุรี!J234"")"),1)</f>
        <v>1</v>
      </c>
      <c r="K55" s="48">
        <f ca="1">IFERROR(__xludf.DUMMYFUNCTION("IMPORTRANGE(""https://docs.google.com/spreadsheets/d/1SX6NBoVAgQJ6U1MVXOaj8PK2l7WJ3RER9xtqwdhxkhw/edit?usp=sharing"",""กาญจนบุรี!J235"")"),12.44)</f>
        <v>12.44</v>
      </c>
      <c r="L55" s="98">
        <f t="shared" ca="1" si="3"/>
        <v>0.63469387755102036</v>
      </c>
      <c r="M55" s="48">
        <f ca="1">IFERROR(__xludf.DUMMYFUNCTION("IMPORTRANGE(""https://docs.google.com/spreadsheets/d/1SX6NBoVAgQJ6U1MVXOaj8PK2l7WJ3RER9xtqwdhxkhw/edit?usp=sharing"",""กาญจนบุรี!J236"")"),1)</f>
        <v>1</v>
      </c>
      <c r="N55" s="48">
        <f ca="1">IFERROR(__xludf.DUMMYFUNCTION("IMPORTRANGE(""https://docs.google.com/spreadsheets/d/1SX6NBoVAgQJ6U1MVXOaj8PK2l7WJ3RER9xtqwdhxkhw/edit?usp=sharing"",""กาญจนบุรี!J237"")"),12.44)</f>
        <v>12.44</v>
      </c>
      <c r="O55" s="98">
        <f t="shared" ca="1" si="5"/>
        <v>0.45454545454545453</v>
      </c>
      <c r="P55" s="48">
        <f ca="1">IFERROR(__xludf.DUMMYFUNCTION("IMPORTRANGE(""https://docs.google.com/spreadsheets/d/1SX6NBoVAgQJ6U1MVXOaj8PK2l7WJ3RER9xtqwdhxkhw/edit?usp=sharing"",""กาญจนบุรี!J238"")"),0)</f>
        <v>0</v>
      </c>
      <c r="Q55" s="48">
        <f ca="1">IFERROR(__xludf.DUMMYFUNCTION("IMPORTRANGE(""https://docs.google.com/spreadsheets/d/1SX6NBoVAgQJ6U1MVXOaj8PK2l7WJ3RER9xtqwdhxkhw/edit?usp=sharing"",""กาญจนบุรี!J239"")"),0)</f>
        <v>0</v>
      </c>
      <c r="R55" s="98">
        <f t="shared" ca="1" si="7"/>
        <v>0</v>
      </c>
      <c r="S55" s="48">
        <f ca="1">IFERROR(__xludf.DUMMYFUNCTION("IMPORTRANGE(""https://docs.google.com/spreadsheets/d/1SX6NBoVAgQJ6U1MVXOaj8PK2l7WJ3RER9xtqwdhxkhw/edit?usp=sharing"",""กาญจนบุรี!J240"")"),0)</f>
        <v>0</v>
      </c>
      <c r="T55" s="48">
        <f ca="1">IFERROR(__xludf.DUMMYFUNCTION("IMPORTRANGE(""https://docs.google.com/spreadsheets/d/1SX6NBoVAgQJ6U1MVXOaj8PK2l7WJ3RER9xtqwdhxkhw/edit?usp=sharing"",""กาญจนบุรี!J241"")"),0)</f>
        <v>0</v>
      </c>
      <c r="U55" s="98">
        <f t="shared" ca="1" si="9"/>
        <v>0</v>
      </c>
      <c r="V55" s="81"/>
      <c r="W55" s="81"/>
      <c r="X55" s="81"/>
      <c r="Y55" s="81"/>
      <c r="Z55" s="81"/>
    </row>
    <row r="56" spans="1:26" ht="24" customHeight="1" x14ac:dyDescent="0.5">
      <c r="A56" s="52">
        <v>2</v>
      </c>
      <c r="B56" s="53" t="s">
        <v>71</v>
      </c>
      <c r="C56" s="54">
        <f t="shared" si="47"/>
        <v>682250</v>
      </c>
      <c r="D56" s="55">
        <v>306000</v>
      </c>
      <c r="E56" s="55">
        <v>376250</v>
      </c>
      <c r="F56" s="55">
        <f ca="1">IFERROR(__xludf.DUMMYFUNCTION("IMPORTRANGE(""https://docs.google.com/spreadsheets/d/1SX6NBoVAgQJ6U1MVXOaj8PK2l7WJ3RER9xtqwdhxkhw/edit?usp=sharing"",""จันทบุรี!M228"")"),67668)</f>
        <v>67668</v>
      </c>
      <c r="G56" s="99">
        <f t="shared" ca="1" si="1"/>
        <v>9.9183583730304132</v>
      </c>
      <c r="H56" s="55">
        <v>160</v>
      </c>
      <c r="I56" s="55">
        <v>2250</v>
      </c>
      <c r="J56" s="55">
        <f ca="1">IFERROR(__xludf.DUMMYFUNCTION("IMPORTRANGE(""https://docs.google.com/spreadsheets/d/1SX6NBoVAgQJ6U1MVXOaj8PK2l7WJ3RER9xtqwdhxkhw/edit?usp=sharing"",""จันทบุรี!J234"")"),0)</f>
        <v>0</v>
      </c>
      <c r="K56" s="55">
        <f ca="1">IFERROR(__xludf.DUMMYFUNCTION("IMPORTRANGE(""https://docs.google.com/spreadsheets/d/1SX6NBoVAgQJ6U1MVXOaj8PK2l7WJ3RER9xtqwdhxkhw/edit?usp=sharing"",""จันทบุรี!J235"")"),0)</f>
        <v>0</v>
      </c>
      <c r="L56" s="99">
        <f t="shared" ca="1" si="3"/>
        <v>0</v>
      </c>
      <c r="M56" s="55">
        <f ca="1">IFERROR(__xludf.DUMMYFUNCTION("IMPORTRANGE(""https://docs.google.com/spreadsheets/d/1SX6NBoVAgQJ6U1MVXOaj8PK2l7WJ3RER9xtqwdhxkhw/edit?usp=sharing"",""จันทบุรี!J236"")"),0)</f>
        <v>0</v>
      </c>
      <c r="N56" s="55">
        <f ca="1">IFERROR(__xludf.DUMMYFUNCTION("IMPORTRANGE(""https://docs.google.com/spreadsheets/d/1SX6NBoVAgQJ6U1MVXOaj8PK2l7WJ3RER9xtqwdhxkhw/edit?usp=sharing"",""จันทบุรี!J237"")"),0)</f>
        <v>0</v>
      </c>
      <c r="O56" s="99">
        <f t="shared" ca="1" si="5"/>
        <v>0</v>
      </c>
      <c r="P56" s="55">
        <f ca="1">IFERROR(__xludf.DUMMYFUNCTION("IMPORTRANGE(""https://docs.google.com/spreadsheets/d/1SX6NBoVAgQJ6U1MVXOaj8PK2l7WJ3RER9xtqwdhxkhw/edit?usp=sharing"",""จันทบุรี!J238"")"),0)</f>
        <v>0</v>
      </c>
      <c r="Q56" s="55">
        <f ca="1">IFERROR(__xludf.DUMMYFUNCTION("IMPORTRANGE(""https://docs.google.com/spreadsheets/d/1SX6NBoVAgQJ6U1MVXOaj8PK2l7WJ3RER9xtqwdhxkhw/edit?usp=sharing"",""จันทบุรี!J239"")"),0)</f>
        <v>0</v>
      </c>
      <c r="R56" s="99">
        <f t="shared" ca="1" si="7"/>
        <v>0</v>
      </c>
      <c r="S56" s="55">
        <f ca="1">IFERROR(__xludf.DUMMYFUNCTION("IMPORTRANGE(""https://docs.google.com/spreadsheets/d/1SX6NBoVAgQJ6U1MVXOaj8PK2l7WJ3RER9xtqwdhxkhw/edit?usp=sharing"",""จันทบุรี!J240"")"),0)</f>
        <v>0</v>
      </c>
      <c r="T56" s="55">
        <f ca="1">IFERROR(__xludf.DUMMYFUNCTION("IMPORTRANGE(""https://docs.google.com/spreadsheets/d/1SX6NBoVAgQJ6U1MVXOaj8PK2l7WJ3RER9xtqwdhxkhw/edit?usp=sharing"",""จันทบุรี!J241"")"),0)</f>
        <v>0</v>
      </c>
      <c r="U56" s="99">
        <f t="shared" ca="1" si="9"/>
        <v>0</v>
      </c>
      <c r="V56" s="81"/>
      <c r="W56" s="81"/>
      <c r="X56" s="81"/>
      <c r="Y56" s="81"/>
      <c r="Z56" s="81"/>
    </row>
    <row r="57" spans="1:26" ht="24" customHeight="1" x14ac:dyDescent="0.5">
      <c r="A57" s="52">
        <v>3</v>
      </c>
      <c r="B57" s="53" t="s">
        <v>72</v>
      </c>
      <c r="C57" s="54">
        <f t="shared" si="47"/>
        <v>968070</v>
      </c>
      <c r="D57" s="55">
        <v>529200</v>
      </c>
      <c r="E57" s="55">
        <v>438870</v>
      </c>
      <c r="F57" s="55">
        <f ca="1">IFERROR(__xludf.DUMMYFUNCTION("IMPORTRANGE(""https://docs.google.com/spreadsheets/d/1SX6NBoVAgQJ6U1MVXOaj8PK2l7WJ3RER9xtqwdhxkhw/edit?usp=sharing"",""ฉะเชิงเทรา!M228"")"),0)</f>
        <v>0</v>
      </c>
      <c r="G57" s="99">
        <f t="shared" ca="1" si="1"/>
        <v>0</v>
      </c>
      <c r="H57" s="55">
        <v>210</v>
      </c>
      <c r="I57" s="55">
        <v>3160</v>
      </c>
      <c r="J57" s="55">
        <f ca="1">IFERROR(__xludf.DUMMYFUNCTION("IMPORTRANGE(""https://docs.google.com/spreadsheets/d/1SX6NBoVAgQJ6U1MVXOaj8PK2l7WJ3RER9xtqwdhxkhw/edit?usp=sharing"",""ฉะเชิงเทรา!J234"")"),54)</f>
        <v>54</v>
      </c>
      <c r="K57" s="55">
        <f ca="1">IFERROR(__xludf.DUMMYFUNCTION("IMPORTRANGE(""https://docs.google.com/spreadsheets/d/1SX6NBoVAgQJ6U1MVXOaj8PK2l7WJ3RER9xtqwdhxkhw/edit?usp=sharing"",""ฉะเชิงเทรา!J235"")"),493.76)</f>
        <v>493.76</v>
      </c>
      <c r="L57" s="99">
        <f t="shared" ca="1" si="3"/>
        <v>15.625316455696202</v>
      </c>
      <c r="M57" s="55">
        <f ca="1">IFERROR(__xludf.DUMMYFUNCTION("IMPORTRANGE(""https://docs.google.com/spreadsheets/d/1SX6NBoVAgQJ6U1MVXOaj8PK2l7WJ3RER9xtqwdhxkhw/edit?usp=sharing"",""ฉะเชิงเทรา!J236"")"),71)</f>
        <v>71</v>
      </c>
      <c r="N57" s="55">
        <f ca="1">IFERROR(__xludf.DUMMYFUNCTION("IMPORTRANGE(""https://docs.google.com/spreadsheets/d/1SX6NBoVAgQJ6U1MVXOaj8PK2l7WJ3RER9xtqwdhxkhw/edit?usp=sharing"",""ฉะเชิงเทรา!J237"")"),926.23)</f>
        <v>926.23</v>
      </c>
      <c r="O57" s="99">
        <f t="shared" ca="1" si="5"/>
        <v>33.80952380952381</v>
      </c>
      <c r="P57" s="55">
        <f ca="1">IFERROR(__xludf.DUMMYFUNCTION("IMPORTRANGE(""https://docs.google.com/spreadsheets/d/1SX6NBoVAgQJ6U1MVXOaj8PK2l7WJ3RER9xtqwdhxkhw/edit?usp=sharing"",""ฉะเชิงเทรา!J238"")"),0)</f>
        <v>0</v>
      </c>
      <c r="Q57" s="55">
        <f ca="1">IFERROR(__xludf.DUMMYFUNCTION("IMPORTRANGE(""https://docs.google.com/spreadsheets/d/1SX6NBoVAgQJ6U1MVXOaj8PK2l7WJ3RER9xtqwdhxkhw/edit?usp=sharing"",""ฉะเชิงเทรา!J239"")"),0)</f>
        <v>0</v>
      </c>
      <c r="R57" s="99">
        <f t="shared" ca="1" si="7"/>
        <v>0</v>
      </c>
      <c r="S57" s="55">
        <f ca="1">IFERROR(__xludf.DUMMYFUNCTION("IMPORTRANGE(""https://docs.google.com/spreadsheets/d/1SX6NBoVAgQJ6U1MVXOaj8PK2l7WJ3RER9xtqwdhxkhw/edit?usp=sharing"",""ฉะเชิงเทรา!J240"")"),10)</f>
        <v>10</v>
      </c>
      <c r="T57" s="55">
        <f ca="1">IFERROR(__xludf.DUMMYFUNCTION("IMPORTRANGE(""https://docs.google.com/spreadsheets/d/1SX6NBoVAgQJ6U1MVXOaj8PK2l7WJ3RER9xtqwdhxkhw/edit?usp=sharing"",""ฉะเชิงเทรา!J241"")"),135.62)</f>
        <v>135.62</v>
      </c>
      <c r="U57" s="99">
        <f t="shared" ca="1" si="9"/>
        <v>4.7619047619047619</v>
      </c>
      <c r="V57" s="81"/>
      <c r="W57" s="81"/>
      <c r="X57" s="81"/>
      <c r="Y57" s="81"/>
      <c r="Z57" s="81"/>
    </row>
    <row r="58" spans="1:26" ht="24" customHeight="1" x14ac:dyDescent="0.5">
      <c r="A58" s="52">
        <v>4</v>
      </c>
      <c r="B58" s="53" t="s">
        <v>73</v>
      </c>
      <c r="C58" s="54">
        <f t="shared" si="47"/>
        <v>893200</v>
      </c>
      <c r="D58" s="55">
        <v>470000</v>
      </c>
      <c r="E58" s="55">
        <v>423200</v>
      </c>
      <c r="F58" s="55">
        <f ca="1">IFERROR(__xludf.DUMMYFUNCTION("IMPORTRANGE(""https://docs.google.com/spreadsheets/d/1SX6NBoVAgQJ6U1MVXOaj8PK2l7WJ3RER9xtqwdhxkhw/edit?usp=sharing"",""ชลบุรี!M228"")"),90313.22)</f>
        <v>90313.22</v>
      </c>
      <c r="G58" s="99">
        <f t="shared" ca="1" si="1"/>
        <v>10.111197939991044</v>
      </c>
      <c r="H58" s="55">
        <v>190</v>
      </c>
      <c r="I58" s="55">
        <v>2700</v>
      </c>
      <c r="J58" s="55">
        <f ca="1">IFERROR(__xludf.DUMMYFUNCTION("IMPORTRANGE(""https://docs.google.com/spreadsheets/d/1SX6NBoVAgQJ6U1MVXOaj8PK2l7WJ3RER9xtqwdhxkhw/edit?usp=sharing"",""ชลบุรี!J234"")"),80)</f>
        <v>80</v>
      </c>
      <c r="K58" s="55">
        <f ca="1">IFERROR(__xludf.DUMMYFUNCTION("IMPORTRANGE(""https://docs.google.com/spreadsheets/d/1SX6NBoVAgQJ6U1MVXOaj8PK2l7WJ3RER9xtqwdhxkhw/edit?usp=sharing"",""ชลบุรี!J235"")"),794.72)</f>
        <v>794.72</v>
      </c>
      <c r="L58" s="99">
        <f t="shared" ca="1" si="3"/>
        <v>29.434074074074076</v>
      </c>
      <c r="M58" s="55">
        <f ca="1">IFERROR(__xludf.DUMMYFUNCTION("IMPORTRANGE(""https://docs.google.com/spreadsheets/d/1SX6NBoVAgQJ6U1MVXOaj8PK2l7WJ3RER9xtqwdhxkhw/edit?usp=sharing"",""ชลบุรี!J236"")"),61)</f>
        <v>61</v>
      </c>
      <c r="N58" s="55">
        <f ca="1">IFERROR(__xludf.DUMMYFUNCTION("IMPORTRANGE(""https://docs.google.com/spreadsheets/d/1SX6NBoVAgQJ6U1MVXOaj8PK2l7WJ3RER9xtqwdhxkhw/edit?usp=sharing"",""ชลบุรี!J237"")"),551.44)</f>
        <v>551.44000000000005</v>
      </c>
      <c r="O58" s="99">
        <f t="shared" ca="1" si="5"/>
        <v>32.10526315789474</v>
      </c>
      <c r="P58" s="55">
        <f ca="1">IFERROR(__xludf.DUMMYFUNCTION("IMPORTRANGE(""https://docs.google.com/spreadsheets/d/1SX6NBoVAgQJ6U1MVXOaj8PK2l7WJ3RER9xtqwdhxkhw/edit?usp=sharing"",""ชลบุรี!J238"")"),0)</f>
        <v>0</v>
      </c>
      <c r="Q58" s="55">
        <f ca="1">IFERROR(__xludf.DUMMYFUNCTION("IMPORTRANGE(""https://docs.google.com/spreadsheets/d/1SX6NBoVAgQJ6U1MVXOaj8PK2l7WJ3RER9xtqwdhxkhw/edit?usp=sharing"",""ชลบุรี!J239"")"),0)</f>
        <v>0</v>
      </c>
      <c r="R58" s="99">
        <f t="shared" ca="1" si="7"/>
        <v>0</v>
      </c>
      <c r="S58" s="55">
        <f ca="1">IFERROR(__xludf.DUMMYFUNCTION("IMPORTRANGE(""https://docs.google.com/spreadsheets/d/1SX6NBoVAgQJ6U1MVXOaj8PK2l7WJ3RER9xtqwdhxkhw/edit?usp=sharing"",""ชลบุรี!J240"")"),66)</f>
        <v>66</v>
      </c>
      <c r="T58" s="55">
        <f ca="1">IFERROR(__xludf.DUMMYFUNCTION("IMPORTRANGE(""https://docs.google.com/spreadsheets/d/1SX6NBoVAgQJ6U1MVXOaj8PK2l7WJ3RER9xtqwdhxkhw/edit?usp=sharing"",""ชลบุรี!J241"")"),582.95)</f>
        <v>582.95000000000005</v>
      </c>
      <c r="U58" s="99">
        <f t="shared" ca="1" si="9"/>
        <v>34.736842105263158</v>
      </c>
      <c r="V58" s="81"/>
      <c r="W58" s="81"/>
      <c r="X58" s="81"/>
      <c r="Y58" s="81"/>
      <c r="Z58" s="81"/>
    </row>
    <row r="59" spans="1:26" ht="24" customHeight="1" x14ac:dyDescent="0.5">
      <c r="A59" s="52">
        <v>5</v>
      </c>
      <c r="B59" s="53" t="s">
        <v>74</v>
      </c>
      <c r="C59" s="54">
        <f t="shared" si="47"/>
        <v>508730</v>
      </c>
      <c r="D59" s="55">
        <v>306000</v>
      </c>
      <c r="E59" s="55">
        <v>202730</v>
      </c>
      <c r="F59" s="55">
        <f ca="1">IFERROR(__xludf.DUMMYFUNCTION("IMPORTRANGE(""https://docs.google.com/spreadsheets/d/1SX6NBoVAgQJ6U1MVXOaj8PK2l7WJ3RER9xtqwdhxkhw/edit?usp=sharing"",""ชัยนาท!M228"")"),0)</f>
        <v>0</v>
      </c>
      <c r="G59" s="99">
        <f t="shared" ca="1" si="1"/>
        <v>0</v>
      </c>
      <c r="H59" s="55">
        <v>27</v>
      </c>
      <c r="I59" s="55">
        <v>144</v>
      </c>
      <c r="J59" s="55">
        <f ca="1">IFERROR(__xludf.DUMMYFUNCTION("IMPORTRANGE(""https://docs.google.com/spreadsheets/d/1SX6NBoVAgQJ6U1MVXOaj8PK2l7WJ3RER9xtqwdhxkhw/edit?usp=sharing"",""ชัยนาท!J234"")"),0)</f>
        <v>0</v>
      </c>
      <c r="K59" s="55">
        <f ca="1">IFERROR(__xludf.DUMMYFUNCTION("IMPORTRANGE(""https://docs.google.com/spreadsheets/d/1SX6NBoVAgQJ6U1MVXOaj8PK2l7WJ3RER9xtqwdhxkhw/edit?usp=sharing"",""ชัยนาท!J235"")"),0)</f>
        <v>0</v>
      </c>
      <c r="L59" s="99">
        <f t="shared" ca="1" si="3"/>
        <v>0</v>
      </c>
      <c r="M59" s="55">
        <f ca="1">IFERROR(__xludf.DUMMYFUNCTION("IMPORTRANGE(""https://docs.google.com/spreadsheets/d/1SX6NBoVAgQJ6U1MVXOaj8PK2l7WJ3RER9xtqwdhxkhw/edit?usp=sharing"",""ชัยนาท!J236"")"),0)</f>
        <v>0</v>
      </c>
      <c r="N59" s="55">
        <f ca="1">IFERROR(__xludf.DUMMYFUNCTION("IMPORTRANGE(""https://docs.google.com/spreadsheets/d/1SX6NBoVAgQJ6U1MVXOaj8PK2l7WJ3RER9xtqwdhxkhw/edit?usp=sharing"",""ชัยนาท!J237"")"),0)</f>
        <v>0</v>
      </c>
      <c r="O59" s="99">
        <f t="shared" ca="1" si="5"/>
        <v>0</v>
      </c>
      <c r="P59" s="55">
        <f ca="1">IFERROR(__xludf.DUMMYFUNCTION("IMPORTRANGE(""https://docs.google.com/spreadsheets/d/1SX6NBoVAgQJ6U1MVXOaj8PK2l7WJ3RER9xtqwdhxkhw/edit?usp=sharing"",""ชัยนาท!J238"")"),0)</f>
        <v>0</v>
      </c>
      <c r="Q59" s="55">
        <f ca="1">IFERROR(__xludf.DUMMYFUNCTION("IMPORTRANGE(""https://docs.google.com/spreadsheets/d/1SX6NBoVAgQJ6U1MVXOaj8PK2l7WJ3RER9xtqwdhxkhw/edit?usp=sharing"",""ชัยนาท!J239"")"),0)</f>
        <v>0</v>
      </c>
      <c r="R59" s="99">
        <f t="shared" ca="1" si="7"/>
        <v>0</v>
      </c>
      <c r="S59" s="55">
        <f ca="1">IFERROR(__xludf.DUMMYFUNCTION("IMPORTRANGE(""https://docs.google.com/spreadsheets/d/1SX6NBoVAgQJ6U1MVXOaj8PK2l7WJ3RER9xtqwdhxkhw/edit?usp=sharing"",""ชัยนาท!J240"")"),0)</f>
        <v>0</v>
      </c>
      <c r="T59" s="55">
        <f ca="1">IFERROR(__xludf.DUMMYFUNCTION("IMPORTRANGE(""https://docs.google.com/spreadsheets/d/1SX6NBoVAgQJ6U1MVXOaj8PK2l7WJ3RER9xtqwdhxkhw/edit?usp=sharing"",""ชัยนาท!J241"")"),0)</f>
        <v>0</v>
      </c>
      <c r="U59" s="99">
        <f t="shared" ca="1" si="9"/>
        <v>0</v>
      </c>
      <c r="V59" s="81"/>
      <c r="W59" s="81"/>
      <c r="X59" s="81"/>
      <c r="Y59" s="81"/>
      <c r="Z59" s="81"/>
    </row>
    <row r="60" spans="1:26" ht="24" customHeight="1" x14ac:dyDescent="0.5">
      <c r="A60" s="52">
        <v>6</v>
      </c>
      <c r="B60" s="53" t="s">
        <v>75</v>
      </c>
      <c r="C60" s="54">
        <f t="shared" si="47"/>
        <v>816030</v>
      </c>
      <c r="D60" s="55">
        <v>493800</v>
      </c>
      <c r="E60" s="55">
        <v>322230</v>
      </c>
      <c r="F60" s="55">
        <f ca="1">IFERROR(__xludf.DUMMYFUNCTION("IMPORTRANGE(""https://docs.google.com/spreadsheets/d/1SX6NBoVAgQJ6U1MVXOaj8PK2l7WJ3RER9xtqwdhxkhw/edit?usp=sharing"",""ตราด!M228"")"),0)</f>
        <v>0</v>
      </c>
      <c r="G60" s="99">
        <f t="shared" ca="1" si="1"/>
        <v>0</v>
      </c>
      <c r="H60" s="55">
        <v>170</v>
      </c>
      <c r="I60" s="55">
        <v>1600</v>
      </c>
      <c r="J60" s="55">
        <f ca="1">IFERROR(__xludf.DUMMYFUNCTION("IMPORTRANGE(""https://docs.google.com/spreadsheets/d/1SX6NBoVAgQJ6U1MVXOaj8PK2l7WJ3RER9xtqwdhxkhw/edit?usp=sharing"",""ตราด!J234"")"),0)</f>
        <v>0</v>
      </c>
      <c r="K60" s="55">
        <f ca="1">IFERROR(__xludf.DUMMYFUNCTION("IMPORTRANGE(""https://docs.google.com/spreadsheets/d/1SX6NBoVAgQJ6U1MVXOaj8PK2l7WJ3RER9xtqwdhxkhw/edit?usp=sharing"",""ตราด!J235"")"),0)</f>
        <v>0</v>
      </c>
      <c r="L60" s="99">
        <f t="shared" ca="1" si="3"/>
        <v>0</v>
      </c>
      <c r="M60" s="55">
        <f ca="1">IFERROR(__xludf.DUMMYFUNCTION("IMPORTRANGE(""https://docs.google.com/spreadsheets/d/1SX6NBoVAgQJ6U1MVXOaj8PK2l7WJ3RER9xtqwdhxkhw/edit?usp=sharing"",""ตราด!J236"")"),4)</f>
        <v>4</v>
      </c>
      <c r="N60" s="55">
        <f ca="1">IFERROR(__xludf.DUMMYFUNCTION("IMPORTRANGE(""https://docs.google.com/spreadsheets/d/1SX6NBoVAgQJ6U1MVXOaj8PK2l7WJ3RER9xtqwdhxkhw/edit?usp=sharing"",""ตราด!J237"")"),118.75)</f>
        <v>118.75</v>
      </c>
      <c r="O60" s="99">
        <f t="shared" ca="1" si="5"/>
        <v>2.3529411764705883</v>
      </c>
      <c r="P60" s="55">
        <f ca="1">IFERROR(__xludf.DUMMYFUNCTION("IMPORTRANGE(""https://docs.google.com/spreadsheets/d/1SX6NBoVAgQJ6U1MVXOaj8PK2l7WJ3RER9xtqwdhxkhw/edit?usp=sharing"",""ตราด!J238"")"),0)</f>
        <v>0</v>
      </c>
      <c r="Q60" s="55">
        <f ca="1">IFERROR(__xludf.DUMMYFUNCTION("IMPORTRANGE(""https://docs.google.com/spreadsheets/d/1SX6NBoVAgQJ6U1MVXOaj8PK2l7WJ3RER9xtqwdhxkhw/edit?usp=sharing"",""ตราด!J239"")"),0)</f>
        <v>0</v>
      </c>
      <c r="R60" s="99">
        <f t="shared" ca="1" si="7"/>
        <v>0</v>
      </c>
      <c r="S60" s="55">
        <f ca="1">IFERROR(__xludf.DUMMYFUNCTION("IMPORTRANGE(""https://docs.google.com/spreadsheets/d/1SX6NBoVAgQJ6U1MVXOaj8PK2l7WJ3RER9xtqwdhxkhw/edit?usp=sharing"",""ตราด!J240"")"),4)</f>
        <v>4</v>
      </c>
      <c r="T60" s="55">
        <f ca="1">IFERROR(__xludf.DUMMYFUNCTION("IMPORTRANGE(""https://docs.google.com/spreadsheets/d/1SX6NBoVAgQJ6U1MVXOaj8PK2l7WJ3RER9xtqwdhxkhw/edit?usp=sharing"",""ตราด!J241"")"),118.75)</f>
        <v>118.75</v>
      </c>
      <c r="U60" s="99">
        <f t="shared" ca="1" si="9"/>
        <v>2.3529411764705883</v>
      </c>
      <c r="V60" s="81"/>
      <c r="W60" s="81"/>
      <c r="X60" s="81"/>
      <c r="Y60" s="81"/>
      <c r="Z60" s="81"/>
    </row>
    <row r="61" spans="1:26" ht="24" customHeight="1" x14ac:dyDescent="0.5">
      <c r="A61" s="52">
        <v>7</v>
      </c>
      <c r="B61" s="53" t="s">
        <v>76</v>
      </c>
      <c r="C61" s="54">
        <f t="shared" si="47"/>
        <v>711380</v>
      </c>
      <c r="D61" s="55">
        <v>529200</v>
      </c>
      <c r="E61" s="55">
        <v>182180</v>
      </c>
      <c r="F61" s="55">
        <f ca="1">IFERROR(__xludf.DUMMYFUNCTION("IMPORTRANGE(""https://docs.google.com/spreadsheets/d/1SX6NBoVAgQJ6U1MVXOaj8PK2l7WJ3RER9xtqwdhxkhw/edit?usp=sharing"",""นครนายก!M228"")"),0)</f>
        <v>0</v>
      </c>
      <c r="G61" s="99">
        <f t="shared" ca="1" si="1"/>
        <v>0</v>
      </c>
      <c r="H61" s="55">
        <v>0</v>
      </c>
      <c r="I61" s="55">
        <v>0</v>
      </c>
      <c r="J61" s="55">
        <f ca="1">IFERROR(__xludf.DUMMYFUNCTION("IMPORTRANGE(""https://docs.google.com/spreadsheets/d/1SX6NBoVAgQJ6U1MVXOaj8PK2l7WJ3RER9xtqwdhxkhw/edit?usp=sharing"",""นครนายก!J234"")"),0)</f>
        <v>0</v>
      </c>
      <c r="K61" s="55">
        <f ca="1">IFERROR(__xludf.DUMMYFUNCTION("IMPORTRANGE(""https://docs.google.com/spreadsheets/d/1SX6NBoVAgQJ6U1MVXOaj8PK2l7WJ3RER9xtqwdhxkhw/edit?usp=sharing"",""นครนายก!J235"")"),0)</f>
        <v>0</v>
      </c>
      <c r="L61" s="99">
        <f t="shared" si="3"/>
        <v>0</v>
      </c>
      <c r="M61" s="55">
        <f ca="1">IFERROR(__xludf.DUMMYFUNCTION("IMPORTRANGE(""https://docs.google.com/spreadsheets/d/1SX6NBoVAgQJ6U1MVXOaj8PK2l7WJ3RER9xtqwdhxkhw/edit?usp=sharing"",""นครนายก!J236"")"),0)</f>
        <v>0</v>
      </c>
      <c r="N61" s="55">
        <f ca="1">IFERROR(__xludf.DUMMYFUNCTION("IMPORTRANGE(""https://docs.google.com/spreadsheets/d/1SX6NBoVAgQJ6U1MVXOaj8PK2l7WJ3RER9xtqwdhxkhw/edit?usp=sharing"",""นครนายก!J237"")"),0)</f>
        <v>0</v>
      </c>
      <c r="O61" s="99">
        <f t="shared" si="5"/>
        <v>0</v>
      </c>
      <c r="P61" s="55">
        <f ca="1">IFERROR(__xludf.DUMMYFUNCTION("IMPORTRANGE(""https://docs.google.com/spreadsheets/d/1SX6NBoVAgQJ6U1MVXOaj8PK2l7WJ3RER9xtqwdhxkhw/edit?usp=sharing"",""นครนายก!J238"")"),0)</f>
        <v>0</v>
      </c>
      <c r="Q61" s="55">
        <f ca="1">IFERROR(__xludf.DUMMYFUNCTION("IMPORTRANGE(""https://docs.google.com/spreadsheets/d/1SX6NBoVAgQJ6U1MVXOaj8PK2l7WJ3RER9xtqwdhxkhw/edit?usp=sharing"",""นครนายก!J239"")"),0)</f>
        <v>0</v>
      </c>
      <c r="R61" s="99">
        <f t="shared" si="7"/>
        <v>0</v>
      </c>
      <c r="S61" s="55">
        <f ca="1">IFERROR(__xludf.DUMMYFUNCTION("IMPORTRANGE(""https://docs.google.com/spreadsheets/d/1SX6NBoVAgQJ6U1MVXOaj8PK2l7WJ3RER9xtqwdhxkhw/edit?usp=sharing"",""นครนายก!J240"")"),0)</f>
        <v>0</v>
      </c>
      <c r="T61" s="55">
        <f ca="1">IFERROR(__xludf.DUMMYFUNCTION("IMPORTRANGE(""https://docs.google.com/spreadsheets/d/1SX6NBoVAgQJ6U1MVXOaj8PK2l7WJ3RER9xtqwdhxkhw/edit?usp=sharing"",""นครนายก!J241"")"),0)</f>
        <v>0</v>
      </c>
      <c r="U61" s="99">
        <f t="shared" si="9"/>
        <v>0</v>
      </c>
      <c r="V61" s="81"/>
      <c r="W61" s="81"/>
      <c r="X61" s="81"/>
      <c r="Y61" s="81"/>
      <c r="Z61" s="81"/>
    </row>
    <row r="62" spans="1:26" ht="24" customHeight="1" x14ac:dyDescent="0.5">
      <c r="A62" s="52">
        <v>8</v>
      </c>
      <c r="B62" s="53" t="s">
        <v>77</v>
      </c>
      <c r="C62" s="54">
        <f t="shared" si="47"/>
        <v>486110</v>
      </c>
      <c r="D62" s="55">
        <v>306000</v>
      </c>
      <c r="E62" s="55">
        <v>180110</v>
      </c>
      <c r="F62" s="55">
        <f ca="1">IFERROR(__xludf.DUMMYFUNCTION("IMPORTRANGE(""https://docs.google.com/spreadsheets/d/1SX6NBoVAgQJ6U1MVXOaj8PK2l7WJ3RER9xtqwdhxkhw/edit?usp=sharing"",""นครปฐม!M228"")"),0)</f>
        <v>0</v>
      </c>
      <c r="G62" s="99">
        <f t="shared" ca="1" si="1"/>
        <v>0</v>
      </c>
      <c r="H62" s="55">
        <v>0</v>
      </c>
      <c r="I62" s="55">
        <v>0</v>
      </c>
      <c r="J62" s="55">
        <f ca="1">IFERROR(__xludf.DUMMYFUNCTION("IMPORTRANGE(""https://docs.google.com/spreadsheets/d/1SX6NBoVAgQJ6U1MVXOaj8PK2l7WJ3RER9xtqwdhxkhw/edit?usp=sharing"",""นครปฐม!J234"")"),0)</f>
        <v>0</v>
      </c>
      <c r="K62" s="55">
        <f ca="1">IFERROR(__xludf.DUMMYFUNCTION("IMPORTRANGE(""https://docs.google.com/spreadsheets/d/1SX6NBoVAgQJ6U1MVXOaj8PK2l7WJ3RER9xtqwdhxkhw/edit?usp=sharing"",""นครปฐม!J235"")"),0)</f>
        <v>0</v>
      </c>
      <c r="L62" s="99">
        <f t="shared" si="3"/>
        <v>0</v>
      </c>
      <c r="M62" s="55">
        <f ca="1">IFERROR(__xludf.DUMMYFUNCTION("IMPORTRANGE(""https://docs.google.com/spreadsheets/d/1SX6NBoVAgQJ6U1MVXOaj8PK2l7WJ3RER9xtqwdhxkhw/edit?usp=sharing"",""นครปฐม!J236"")"),0)</f>
        <v>0</v>
      </c>
      <c r="N62" s="55">
        <f ca="1">IFERROR(__xludf.DUMMYFUNCTION("IMPORTRANGE(""https://docs.google.com/spreadsheets/d/1SX6NBoVAgQJ6U1MVXOaj8PK2l7WJ3RER9xtqwdhxkhw/edit?usp=sharing"",""นครปฐม!J237"")"),0)</f>
        <v>0</v>
      </c>
      <c r="O62" s="99">
        <f t="shared" si="5"/>
        <v>0</v>
      </c>
      <c r="P62" s="55">
        <f ca="1">IFERROR(__xludf.DUMMYFUNCTION("IMPORTRANGE(""https://docs.google.com/spreadsheets/d/1SX6NBoVAgQJ6U1MVXOaj8PK2l7WJ3RER9xtqwdhxkhw/edit?usp=sharing"",""นครปฐม!J238"")"),0)</f>
        <v>0</v>
      </c>
      <c r="Q62" s="55">
        <f ca="1">IFERROR(__xludf.DUMMYFUNCTION("IMPORTRANGE(""https://docs.google.com/spreadsheets/d/1SX6NBoVAgQJ6U1MVXOaj8PK2l7WJ3RER9xtqwdhxkhw/edit?usp=sharing"",""นครปฐม!J239"")"),0)</f>
        <v>0</v>
      </c>
      <c r="R62" s="99">
        <f t="shared" si="7"/>
        <v>0</v>
      </c>
      <c r="S62" s="55">
        <f ca="1">IFERROR(__xludf.DUMMYFUNCTION("IMPORTRANGE(""https://docs.google.com/spreadsheets/d/1SX6NBoVAgQJ6U1MVXOaj8PK2l7WJ3RER9xtqwdhxkhw/edit?usp=sharing"",""นครปฐม!J240"")"),0)</f>
        <v>0</v>
      </c>
      <c r="T62" s="55">
        <f ca="1">IFERROR(__xludf.DUMMYFUNCTION("IMPORTRANGE(""https://docs.google.com/spreadsheets/d/1SX6NBoVAgQJ6U1MVXOaj8PK2l7WJ3RER9xtqwdhxkhw/edit?usp=sharing"",""นครปฐม!J241"")"),0)</f>
        <v>0</v>
      </c>
      <c r="U62" s="99">
        <f t="shared" si="9"/>
        <v>0</v>
      </c>
      <c r="V62" s="81"/>
      <c r="W62" s="81"/>
      <c r="X62" s="81"/>
      <c r="Y62" s="81"/>
      <c r="Z62" s="81"/>
    </row>
    <row r="63" spans="1:26" ht="24" customHeight="1" x14ac:dyDescent="0.5">
      <c r="A63" s="52">
        <v>9</v>
      </c>
      <c r="B63" s="53" t="s">
        <v>78</v>
      </c>
      <c r="C63" s="54">
        <f t="shared" si="47"/>
        <v>570980</v>
      </c>
      <c r="D63" s="55">
        <v>388800</v>
      </c>
      <c r="E63" s="55">
        <v>182180</v>
      </c>
      <c r="F63" s="55">
        <f ca="1">IFERROR(__xludf.DUMMYFUNCTION("IMPORTRANGE(""https://docs.google.com/spreadsheets/d/1SX6NBoVAgQJ6U1MVXOaj8PK2l7WJ3RER9xtqwdhxkhw/edit?usp=sharing"",""ปทุมธานี!M228"")"),0)</f>
        <v>0</v>
      </c>
      <c r="G63" s="99">
        <f t="shared" ca="1" si="1"/>
        <v>0</v>
      </c>
      <c r="H63" s="55">
        <v>0</v>
      </c>
      <c r="I63" s="55">
        <v>0</v>
      </c>
      <c r="J63" s="55">
        <f ca="1">IFERROR(__xludf.DUMMYFUNCTION("IMPORTRANGE(""https://docs.google.com/spreadsheets/d/1SX6NBoVAgQJ6U1MVXOaj8PK2l7WJ3RER9xtqwdhxkhw/edit?usp=sharing"",""ปทุมธานี!J234"")"),0)</f>
        <v>0</v>
      </c>
      <c r="K63" s="55">
        <f ca="1">IFERROR(__xludf.DUMMYFUNCTION("IMPORTRANGE(""https://docs.google.com/spreadsheets/d/1SX6NBoVAgQJ6U1MVXOaj8PK2l7WJ3RER9xtqwdhxkhw/edit?usp=sharing"",""ปทุมธานี!J235"")"),0)</f>
        <v>0</v>
      </c>
      <c r="L63" s="99">
        <f t="shared" si="3"/>
        <v>0</v>
      </c>
      <c r="M63" s="55">
        <f ca="1">IFERROR(__xludf.DUMMYFUNCTION("IMPORTRANGE(""https://docs.google.com/spreadsheets/d/1SX6NBoVAgQJ6U1MVXOaj8PK2l7WJ3RER9xtqwdhxkhw/edit?usp=sharing"",""ปทุมธานี!J236"")"),0)</f>
        <v>0</v>
      </c>
      <c r="N63" s="55">
        <f ca="1">IFERROR(__xludf.DUMMYFUNCTION("IMPORTRANGE(""https://docs.google.com/spreadsheets/d/1SX6NBoVAgQJ6U1MVXOaj8PK2l7WJ3RER9xtqwdhxkhw/edit?usp=sharing"",""ปทุมธานี!J237"")"),0)</f>
        <v>0</v>
      </c>
      <c r="O63" s="99">
        <f t="shared" si="5"/>
        <v>0</v>
      </c>
      <c r="P63" s="55">
        <f ca="1">IFERROR(__xludf.DUMMYFUNCTION("IMPORTRANGE(""https://docs.google.com/spreadsheets/d/1SX6NBoVAgQJ6U1MVXOaj8PK2l7WJ3RER9xtqwdhxkhw/edit?usp=sharing"",""ปทุมธานี!J238"")"),0)</f>
        <v>0</v>
      </c>
      <c r="Q63" s="55">
        <f ca="1">IFERROR(__xludf.DUMMYFUNCTION("IMPORTRANGE(""https://docs.google.com/spreadsheets/d/1SX6NBoVAgQJ6U1MVXOaj8PK2l7WJ3RER9xtqwdhxkhw/edit?usp=sharing"",""ปทุมธานี!J239"")"),0)</f>
        <v>0</v>
      </c>
      <c r="R63" s="99">
        <f t="shared" si="7"/>
        <v>0</v>
      </c>
      <c r="S63" s="55">
        <f ca="1">IFERROR(__xludf.DUMMYFUNCTION("IMPORTRANGE(""https://docs.google.com/spreadsheets/d/1SX6NBoVAgQJ6U1MVXOaj8PK2l7WJ3RER9xtqwdhxkhw/edit?usp=sharing"",""ปทุมธานี!J240"")"),0)</f>
        <v>0</v>
      </c>
      <c r="T63" s="55">
        <f ca="1">IFERROR(__xludf.DUMMYFUNCTION("IMPORTRANGE(""https://docs.google.com/spreadsheets/d/1SX6NBoVAgQJ6U1MVXOaj8PK2l7WJ3RER9xtqwdhxkhw/edit?usp=sharing"",""ปทุมธานี!J241"")"),0)</f>
        <v>0</v>
      </c>
      <c r="U63" s="99">
        <f t="shared" si="9"/>
        <v>0</v>
      </c>
      <c r="V63" s="81"/>
      <c r="W63" s="81"/>
      <c r="X63" s="81"/>
      <c r="Y63" s="81"/>
      <c r="Z63" s="81"/>
    </row>
    <row r="64" spans="1:26" ht="24" customHeight="1" x14ac:dyDescent="0.5">
      <c r="A64" s="52">
        <v>10</v>
      </c>
      <c r="B64" s="53" t="s">
        <v>79</v>
      </c>
      <c r="C64" s="54">
        <f t="shared" si="47"/>
        <v>784960</v>
      </c>
      <c r="D64" s="55">
        <v>505100</v>
      </c>
      <c r="E64" s="55">
        <v>279860</v>
      </c>
      <c r="F64" s="55">
        <f ca="1">IFERROR(__xludf.DUMMYFUNCTION("IMPORTRANGE(""https://docs.google.com/spreadsheets/d/1SX6NBoVAgQJ6U1MVXOaj8PK2l7WJ3RER9xtqwdhxkhw/edit?usp=sharing"",""ประจวบคีรีขันธ์!M228"")"),0)</f>
        <v>0</v>
      </c>
      <c r="G64" s="99">
        <f t="shared" ca="1" si="1"/>
        <v>0</v>
      </c>
      <c r="H64" s="55">
        <v>135</v>
      </c>
      <c r="I64" s="55">
        <v>780</v>
      </c>
      <c r="J64" s="55">
        <f ca="1">IFERROR(__xludf.DUMMYFUNCTION("IMPORTRANGE(""https://docs.google.com/spreadsheets/d/1SX6NBoVAgQJ6U1MVXOaj8PK2l7WJ3RER9xtqwdhxkhw/edit?usp=sharing"",""ประจวบคีรีขันธ์!J234"")"),0)</f>
        <v>0</v>
      </c>
      <c r="K64" s="55">
        <f ca="1">IFERROR(__xludf.DUMMYFUNCTION("IMPORTRANGE(""https://docs.google.com/spreadsheets/d/1SX6NBoVAgQJ6U1MVXOaj8PK2l7WJ3RER9xtqwdhxkhw/edit?usp=sharing"",""ประจวบคีรีขันธ์!J235"")"),0)</f>
        <v>0</v>
      </c>
      <c r="L64" s="99">
        <f t="shared" ca="1" si="3"/>
        <v>0</v>
      </c>
      <c r="M64" s="55">
        <f ca="1">IFERROR(__xludf.DUMMYFUNCTION("IMPORTRANGE(""https://docs.google.com/spreadsheets/d/1SX6NBoVAgQJ6U1MVXOaj8PK2l7WJ3RER9xtqwdhxkhw/edit?usp=sharing"",""ประจวบคีรีขันธ์!J236"")"),0)</f>
        <v>0</v>
      </c>
      <c r="N64" s="55">
        <f ca="1">IFERROR(__xludf.DUMMYFUNCTION("IMPORTRANGE(""https://docs.google.com/spreadsheets/d/1SX6NBoVAgQJ6U1MVXOaj8PK2l7WJ3RER9xtqwdhxkhw/edit?usp=sharing"",""ประจวบคีรีขันธ์!J237"")"),0)</f>
        <v>0</v>
      </c>
      <c r="O64" s="99">
        <f t="shared" ca="1" si="5"/>
        <v>0</v>
      </c>
      <c r="P64" s="55">
        <f ca="1">IFERROR(__xludf.DUMMYFUNCTION("IMPORTRANGE(""https://docs.google.com/spreadsheets/d/1SX6NBoVAgQJ6U1MVXOaj8PK2l7WJ3RER9xtqwdhxkhw/edit?usp=sharing"",""ประจวบคีรีขันธ์!J238"")"),0)</f>
        <v>0</v>
      </c>
      <c r="Q64" s="55">
        <f ca="1">IFERROR(__xludf.DUMMYFUNCTION("IMPORTRANGE(""https://docs.google.com/spreadsheets/d/1SX6NBoVAgQJ6U1MVXOaj8PK2l7WJ3RER9xtqwdhxkhw/edit?usp=sharing"",""ประจวบคีรีขันธ์!J239"")"),0)</f>
        <v>0</v>
      </c>
      <c r="R64" s="99">
        <f t="shared" ca="1" si="7"/>
        <v>0</v>
      </c>
      <c r="S64" s="55">
        <f ca="1">IFERROR(__xludf.DUMMYFUNCTION("IMPORTRANGE(""https://docs.google.com/spreadsheets/d/1SX6NBoVAgQJ6U1MVXOaj8PK2l7WJ3RER9xtqwdhxkhw/edit?usp=sharing"",""ประจวบคีรีขันธ์!J240"")"),0)</f>
        <v>0</v>
      </c>
      <c r="T64" s="55">
        <f ca="1">IFERROR(__xludf.DUMMYFUNCTION("IMPORTRANGE(""https://docs.google.com/spreadsheets/d/1SX6NBoVAgQJ6U1MVXOaj8PK2l7WJ3RER9xtqwdhxkhw/edit?usp=sharing"",""ประจวบคีรีขันธ์!J241"")"),0)</f>
        <v>0</v>
      </c>
      <c r="U64" s="99">
        <f t="shared" ca="1" si="9"/>
        <v>0</v>
      </c>
      <c r="V64" s="81"/>
      <c r="W64" s="81"/>
      <c r="X64" s="81"/>
      <c r="Y64" s="81"/>
      <c r="Z64" s="81"/>
    </row>
    <row r="65" spans="1:26" ht="24" customHeight="1" x14ac:dyDescent="0.5">
      <c r="A65" s="52">
        <v>11</v>
      </c>
      <c r="B65" s="53" t="s">
        <v>80</v>
      </c>
      <c r="C65" s="54">
        <f t="shared" si="47"/>
        <v>880650</v>
      </c>
      <c r="D65" s="55">
        <v>583200</v>
      </c>
      <c r="E65" s="55">
        <v>297450</v>
      </c>
      <c r="F65" s="55">
        <f ca="1">IFERROR(__xludf.DUMMYFUNCTION("IMPORTRANGE(""https://docs.google.com/spreadsheets/d/1SX6NBoVAgQJ6U1MVXOaj8PK2l7WJ3RER9xtqwdhxkhw/edit?usp=sharing"",""ปราจีนบุรี!M228"")"),0)</f>
        <v>0</v>
      </c>
      <c r="G65" s="99">
        <f t="shared" ca="1" si="1"/>
        <v>0</v>
      </c>
      <c r="H65" s="55">
        <v>95</v>
      </c>
      <c r="I65" s="55">
        <v>1400</v>
      </c>
      <c r="J65" s="55">
        <f ca="1">IFERROR(__xludf.DUMMYFUNCTION("IMPORTRANGE(""https://docs.google.com/spreadsheets/d/1SX6NBoVAgQJ6U1MVXOaj8PK2l7WJ3RER9xtqwdhxkhw/edit?usp=sharing"",""ปราจีนบุรี!J234"")"),17)</f>
        <v>17</v>
      </c>
      <c r="K65" s="55">
        <f ca="1">IFERROR(__xludf.DUMMYFUNCTION("IMPORTRANGE(""https://docs.google.com/spreadsheets/d/1SX6NBoVAgQJ6U1MVXOaj8PK2l7WJ3RER9xtqwdhxkhw/edit?usp=sharing"",""ปราจีนบุรี!J235"")"),182.36)</f>
        <v>182.36</v>
      </c>
      <c r="L65" s="99">
        <f t="shared" ca="1" si="3"/>
        <v>13.025714285714285</v>
      </c>
      <c r="M65" s="55">
        <f ca="1">IFERROR(__xludf.DUMMYFUNCTION("IMPORTRANGE(""https://docs.google.com/spreadsheets/d/1SX6NBoVAgQJ6U1MVXOaj8PK2l7WJ3RER9xtqwdhxkhw/edit?usp=sharing"",""ปราจีนบุรี!J236"")"),15)</f>
        <v>15</v>
      </c>
      <c r="N65" s="55">
        <f ca="1">IFERROR(__xludf.DUMMYFUNCTION("IMPORTRANGE(""https://docs.google.com/spreadsheets/d/1SX6NBoVAgQJ6U1MVXOaj8PK2l7WJ3RER9xtqwdhxkhw/edit?usp=sharing"",""ปราจีนบุรี!J237"")"),181.4)</f>
        <v>181.4</v>
      </c>
      <c r="O65" s="99">
        <f t="shared" ca="1" si="5"/>
        <v>15.789473684210526</v>
      </c>
      <c r="P65" s="55">
        <f ca="1">IFERROR(__xludf.DUMMYFUNCTION("IMPORTRANGE(""https://docs.google.com/spreadsheets/d/1SX6NBoVAgQJ6U1MVXOaj8PK2l7WJ3RER9xtqwdhxkhw/edit?usp=sharing"",""ปราจีนบุรี!J238"")"),0)</f>
        <v>0</v>
      </c>
      <c r="Q65" s="55">
        <f ca="1">IFERROR(__xludf.DUMMYFUNCTION("IMPORTRANGE(""https://docs.google.com/spreadsheets/d/1SX6NBoVAgQJ6U1MVXOaj8PK2l7WJ3RER9xtqwdhxkhw/edit?usp=sharing"",""ปราจีนบุรี!J239"")"),0)</f>
        <v>0</v>
      </c>
      <c r="R65" s="99">
        <f t="shared" ca="1" si="7"/>
        <v>0</v>
      </c>
      <c r="S65" s="55">
        <f ca="1">IFERROR(__xludf.DUMMYFUNCTION("IMPORTRANGE(""https://docs.google.com/spreadsheets/d/1SX6NBoVAgQJ6U1MVXOaj8PK2l7WJ3RER9xtqwdhxkhw/edit?usp=sharing"",""ปราจีนบุรี!J240"")"),0)</f>
        <v>0</v>
      </c>
      <c r="T65" s="55">
        <f ca="1">IFERROR(__xludf.DUMMYFUNCTION("IMPORTRANGE(""https://docs.google.com/spreadsheets/d/1SX6NBoVAgQJ6U1MVXOaj8PK2l7WJ3RER9xtqwdhxkhw/edit?usp=sharing"",""ปราจีนบุรี!J241"")"),0)</f>
        <v>0</v>
      </c>
      <c r="U65" s="99">
        <f t="shared" ca="1" si="9"/>
        <v>0</v>
      </c>
      <c r="V65" s="81"/>
      <c r="W65" s="81"/>
      <c r="X65" s="81"/>
      <c r="Y65" s="81"/>
      <c r="Z65" s="81"/>
    </row>
    <row r="66" spans="1:26" ht="24" customHeight="1" x14ac:dyDescent="0.5">
      <c r="A66" s="52">
        <v>12</v>
      </c>
      <c r="B66" s="53" t="s">
        <v>81</v>
      </c>
      <c r="C66" s="54">
        <f t="shared" si="47"/>
        <v>486110</v>
      </c>
      <c r="D66" s="55">
        <v>306000</v>
      </c>
      <c r="E66" s="55">
        <v>180110</v>
      </c>
      <c r="F66" s="55">
        <f ca="1">IFERROR(__xludf.DUMMYFUNCTION("IMPORTRANGE(""https://docs.google.com/spreadsheets/d/1SX6NBoVAgQJ6U1MVXOaj8PK2l7WJ3RER9xtqwdhxkhw/edit?usp=sharing"",""พระนครศรีอยุธยา!M228"")"),0)</f>
        <v>0</v>
      </c>
      <c r="G66" s="99">
        <f t="shared" ca="1" si="1"/>
        <v>0</v>
      </c>
      <c r="H66" s="55">
        <v>0</v>
      </c>
      <c r="I66" s="55">
        <v>0</v>
      </c>
      <c r="J66" s="55">
        <f ca="1">IFERROR(__xludf.DUMMYFUNCTION("IMPORTRANGE(""https://docs.google.com/spreadsheets/d/1SX6NBoVAgQJ6U1MVXOaj8PK2l7WJ3RER9xtqwdhxkhw/edit?usp=sharing"",""พระนครศรีอยุธยา!J234"")"),0)</f>
        <v>0</v>
      </c>
      <c r="K66" s="55">
        <f ca="1">IFERROR(__xludf.DUMMYFUNCTION("IMPORTRANGE(""https://docs.google.com/spreadsheets/d/1SX6NBoVAgQJ6U1MVXOaj8PK2l7WJ3RER9xtqwdhxkhw/edit?usp=sharing"",""พระนครศรีอยุธยา!J235"")"),0)</f>
        <v>0</v>
      </c>
      <c r="L66" s="99">
        <f t="shared" si="3"/>
        <v>0</v>
      </c>
      <c r="M66" s="55">
        <f ca="1">IFERROR(__xludf.DUMMYFUNCTION("IMPORTRANGE(""https://docs.google.com/spreadsheets/d/1SX6NBoVAgQJ6U1MVXOaj8PK2l7WJ3RER9xtqwdhxkhw/edit?usp=sharing"",""พระนครศรีอยุธยา!J236"")"),0)</f>
        <v>0</v>
      </c>
      <c r="N66" s="55">
        <f ca="1">IFERROR(__xludf.DUMMYFUNCTION("IMPORTRANGE(""https://docs.google.com/spreadsheets/d/1SX6NBoVAgQJ6U1MVXOaj8PK2l7WJ3RER9xtqwdhxkhw/edit?usp=sharing"",""พระนครศรีอยุธยา!J237"")"),0)</f>
        <v>0</v>
      </c>
      <c r="O66" s="99">
        <f t="shared" si="5"/>
        <v>0</v>
      </c>
      <c r="P66" s="55">
        <f ca="1">IFERROR(__xludf.DUMMYFUNCTION("IMPORTRANGE(""https://docs.google.com/spreadsheets/d/1SX6NBoVAgQJ6U1MVXOaj8PK2l7WJ3RER9xtqwdhxkhw/edit?usp=sharing"",""พระนครศรีอยุธยา!J238"")"),0)</f>
        <v>0</v>
      </c>
      <c r="Q66" s="55">
        <f ca="1">IFERROR(__xludf.DUMMYFUNCTION("IMPORTRANGE(""https://docs.google.com/spreadsheets/d/1SX6NBoVAgQJ6U1MVXOaj8PK2l7WJ3RER9xtqwdhxkhw/edit?usp=sharing"",""พระนครศรีอยุธยา!J239"")"),0)</f>
        <v>0</v>
      </c>
      <c r="R66" s="99">
        <f t="shared" si="7"/>
        <v>0</v>
      </c>
      <c r="S66" s="55">
        <f ca="1">IFERROR(__xludf.DUMMYFUNCTION("IMPORTRANGE(""https://docs.google.com/spreadsheets/d/1SX6NBoVAgQJ6U1MVXOaj8PK2l7WJ3RER9xtqwdhxkhw/edit?usp=sharing"",""พระนครศรีอยุธยา!J240"")"),0)</f>
        <v>0</v>
      </c>
      <c r="T66" s="55">
        <f ca="1">IFERROR(__xludf.DUMMYFUNCTION("IMPORTRANGE(""https://docs.google.com/spreadsheets/d/1SX6NBoVAgQJ6U1MVXOaj8PK2l7WJ3RER9xtqwdhxkhw/edit?usp=sharing"",""พระนครศรีอยุธยา!J241"")"),0)</f>
        <v>0</v>
      </c>
      <c r="U66" s="99">
        <f t="shared" si="9"/>
        <v>0</v>
      </c>
      <c r="V66" s="81"/>
      <c r="W66" s="81"/>
      <c r="X66" s="81"/>
      <c r="Y66" s="81"/>
      <c r="Z66" s="81"/>
    </row>
    <row r="67" spans="1:26" ht="24" customHeight="1" x14ac:dyDescent="0.5">
      <c r="A67" s="52">
        <v>13</v>
      </c>
      <c r="B67" s="53" t="s">
        <v>82</v>
      </c>
      <c r="C67" s="54">
        <f t="shared" si="47"/>
        <v>701880</v>
      </c>
      <c r="D67" s="55">
        <v>493800</v>
      </c>
      <c r="E67" s="55">
        <v>208080</v>
      </c>
      <c r="F67" s="55">
        <f ca="1">IFERROR(__xludf.DUMMYFUNCTION("IMPORTRANGE(""https://docs.google.com/spreadsheets/d/1SX6NBoVAgQJ6U1MVXOaj8PK2l7WJ3RER9xtqwdhxkhw/edit?usp=sharing"",""เพชรบุรี!M228"")"),0)</f>
        <v>0</v>
      </c>
      <c r="G67" s="99">
        <f t="shared" ca="1" si="1"/>
        <v>0</v>
      </c>
      <c r="H67" s="55">
        <v>33</v>
      </c>
      <c r="I67" s="55">
        <v>180</v>
      </c>
      <c r="J67" s="55">
        <f ca="1">IFERROR(__xludf.DUMMYFUNCTION("IMPORTRANGE(""https://docs.google.com/spreadsheets/d/1SX6NBoVAgQJ6U1MVXOaj8PK2l7WJ3RER9xtqwdhxkhw/edit?usp=sharing"",""เพชรบุรี!J234"")"),0)</f>
        <v>0</v>
      </c>
      <c r="K67" s="55">
        <f ca="1">IFERROR(__xludf.DUMMYFUNCTION("IMPORTRANGE(""https://docs.google.com/spreadsheets/d/1SX6NBoVAgQJ6U1MVXOaj8PK2l7WJ3RER9xtqwdhxkhw/edit?usp=sharing"",""เพชรบุรี!J235"")"),0)</f>
        <v>0</v>
      </c>
      <c r="L67" s="99">
        <f t="shared" ca="1" si="3"/>
        <v>0</v>
      </c>
      <c r="M67" s="55">
        <f ca="1">IFERROR(__xludf.DUMMYFUNCTION("IMPORTRANGE(""https://docs.google.com/spreadsheets/d/1SX6NBoVAgQJ6U1MVXOaj8PK2l7WJ3RER9xtqwdhxkhw/edit?usp=sharing"",""เพชรบุรี!J236"")"),1)</f>
        <v>1</v>
      </c>
      <c r="N67" s="55">
        <f ca="1">IFERROR(__xludf.DUMMYFUNCTION("IMPORTRANGE(""https://docs.google.com/spreadsheets/d/1SX6NBoVAgQJ6U1MVXOaj8PK2l7WJ3RER9xtqwdhxkhw/edit?usp=sharing"",""เพชรบุรี!J237"")"),6.71)</f>
        <v>6.71</v>
      </c>
      <c r="O67" s="99">
        <f t="shared" ca="1" si="5"/>
        <v>3.0303030303030303</v>
      </c>
      <c r="P67" s="55">
        <f ca="1">IFERROR(__xludf.DUMMYFUNCTION("IMPORTRANGE(""https://docs.google.com/spreadsheets/d/1SX6NBoVAgQJ6U1MVXOaj8PK2l7WJ3RER9xtqwdhxkhw/edit?usp=sharing"",""เพชรบุรี!J238"")"),0)</f>
        <v>0</v>
      </c>
      <c r="Q67" s="55">
        <f ca="1">IFERROR(__xludf.DUMMYFUNCTION("IMPORTRANGE(""https://docs.google.com/spreadsheets/d/1SX6NBoVAgQJ6U1MVXOaj8PK2l7WJ3RER9xtqwdhxkhw/edit?usp=sharing"",""เพชรบุรี!J239"")"),0)</f>
        <v>0</v>
      </c>
      <c r="R67" s="99">
        <f t="shared" ca="1" si="7"/>
        <v>0</v>
      </c>
      <c r="S67" s="55">
        <f ca="1">IFERROR(__xludf.DUMMYFUNCTION("IMPORTRANGE(""https://docs.google.com/spreadsheets/d/1SX6NBoVAgQJ6U1MVXOaj8PK2l7WJ3RER9xtqwdhxkhw/edit?usp=sharing"",""เพชรบุรี!J240"")"),1)</f>
        <v>1</v>
      </c>
      <c r="T67" s="55">
        <f ca="1">IFERROR(__xludf.DUMMYFUNCTION("IMPORTRANGE(""https://docs.google.com/spreadsheets/d/1SX6NBoVAgQJ6U1MVXOaj8PK2l7WJ3RER9xtqwdhxkhw/edit?usp=sharing"",""เพชรบุรี!J241"")"),6.71)</f>
        <v>6.71</v>
      </c>
      <c r="U67" s="99">
        <f t="shared" ca="1" si="9"/>
        <v>3.0303030303030303</v>
      </c>
      <c r="V67" s="81"/>
      <c r="W67" s="81"/>
      <c r="X67" s="81"/>
      <c r="Y67" s="81"/>
      <c r="Z67" s="81"/>
    </row>
    <row r="68" spans="1:26" ht="24" customHeight="1" x14ac:dyDescent="0.5">
      <c r="A68" s="52">
        <v>14</v>
      </c>
      <c r="B68" s="53" t="s">
        <v>83</v>
      </c>
      <c r="C68" s="54">
        <f t="shared" si="47"/>
        <v>639020</v>
      </c>
      <c r="D68" s="55">
        <v>381200</v>
      </c>
      <c r="E68" s="55">
        <v>257820</v>
      </c>
      <c r="F68" s="55">
        <f ca="1">IFERROR(__xludf.DUMMYFUNCTION("IMPORTRANGE(""https://docs.google.com/spreadsheets/d/1SX6NBoVAgQJ6U1MVXOaj8PK2l7WJ3RER9xtqwdhxkhw/edit?usp=sharing"",""ระยอง!M228"")"),0)</f>
        <v>0</v>
      </c>
      <c r="G68" s="99">
        <f t="shared" ca="1" si="1"/>
        <v>0</v>
      </c>
      <c r="H68" s="55">
        <v>62</v>
      </c>
      <c r="I68" s="55">
        <v>775</v>
      </c>
      <c r="J68" s="55">
        <f ca="1">IFERROR(__xludf.DUMMYFUNCTION("IMPORTRANGE(""https://docs.google.com/spreadsheets/d/1SX6NBoVAgQJ6U1MVXOaj8PK2l7WJ3RER9xtqwdhxkhw/edit?usp=sharing"",""ระยอง!J234"")"),0)</f>
        <v>0</v>
      </c>
      <c r="K68" s="55">
        <f ca="1">IFERROR(__xludf.DUMMYFUNCTION("IMPORTRANGE(""https://docs.google.com/spreadsheets/d/1SX6NBoVAgQJ6U1MVXOaj8PK2l7WJ3RER9xtqwdhxkhw/edit?usp=sharing"",""ระยอง!J235"")"),0)</f>
        <v>0</v>
      </c>
      <c r="L68" s="99">
        <f t="shared" ca="1" si="3"/>
        <v>0</v>
      </c>
      <c r="M68" s="55">
        <f ca="1">IFERROR(__xludf.DUMMYFUNCTION("IMPORTRANGE(""https://docs.google.com/spreadsheets/d/1SX6NBoVAgQJ6U1MVXOaj8PK2l7WJ3RER9xtqwdhxkhw/edit?usp=sharing"",""ระยอง!J236"")"),0)</f>
        <v>0</v>
      </c>
      <c r="N68" s="55">
        <f ca="1">IFERROR(__xludf.DUMMYFUNCTION("IMPORTRANGE(""https://docs.google.com/spreadsheets/d/1SX6NBoVAgQJ6U1MVXOaj8PK2l7WJ3RER9xtqwdhxkhw/edit?usp=sharing"",""ระยอง!J237"")"),0)</f>
        <v>0</v>
      </c>
      <c r="O68" s="99">
        <f t="shared" ca="1" si="5"/>
        <v>0</v>
      </c>
      <c r="P68" s="55">
        <f ca="1">IFERROR(__xludf.DUMMYFUNCTION("IMPORTRANGE(""https://docs.google.com/spreadsheets/d/1SX6NBoVAgQJ6U1MVXOaj8PK2l7WJ3RER9xtqwdhxkhw/edit?usp=sharing"",""ระยอง!J238"")"),0)</f>
        <v>0</v>
      </c>
      <c r="Q68" s="55">
        <f ca="1">IFERROR(__xludf.DUMMYFUNCTION("IMPORTRANGE(""https://docs.google.com/spreadsheets/d/1SX6NBoVAgQJ6U1MVXOaj8PK2l7WJ3RER9xtqwdhxkhw/edit?usp=sharing"",""ระยอง!J239"")"),0)</f>
        <v>0</v>
      </c>
      <c r="R68" s="99">
        <f t="shared" ca="1" si="7"/>
        <v>0</v>
      </c>
      <c r="S68" s="55">
        <f ca="1">IFERROR(__xludf.DUMMYFUNCTION("IMPORTRANGE(""https://docs.google.com/spreadsheets/d/1SX6NBoVAgQJ6U1MVXOaj8PK2l7WJ3RER9xtqwdhxkhw/edit?usp=sharing"",""ระยอง!J240"")"),0)</f>
        <v>0</v>
      </c>
      <c r="T68" s="55">
        <f ca="1">IFERROR(__xludf.DUMMYFUNCTION("IMPORTRANGE(""https://docs.google.com/spreadsheets/d/1SX6NBoVAgQJ6U1MVXOaj8PK2l7WJ3RER9xtqwdhxkhw/edit?usp=sharing"",""ระยอง!J241"")"),0)</f>
        <v>0</v>
      </c>
      <c r="U68" s="99">
        <f t="shared" ca="1" si="9"/>
        <v>0</v>
      </c>
      <c r="V68" s="81"/>
      <c r="W68" s="81"/>
      <c r="X68" s="81"/>
      <c r="Y68" s="81"/>
      <c r="Z68" s="81"/>
    </row>
    <row r="69" spans="1:26" ht="24" customHeight="1" x14ac:dyDescent="0.5">
      <c r="A69" s="52">
        <v>15</v>
      </c>
      <c r="B69" s="53" t="s">
        <v>84</v>
      </c>
      <c r="C69" s="54">
        <f t="shared" si="47"/>
        <v>921300</v>
      </c>
      <c r="D69" s="55">
        <v>564000</v>
      </c>
      <c r="E69" s="55">
        <v>357300</v>
      </c>
      <c r="F69" s="55">
        <f ca="1">IFERROR(__xludf.DUMMYFUNCTION("IMPORTRANGE(""https://docs.google.com/spreadsheets/d/1SX6NBoVAgQJ6U1MVXOaj8PK2l7WJ3RER9xtqwdhxkhw/edit?usp=sharing"",""ราชบุรี!M228"")"),82802.75)</f>
        <v>82802.75</v>
      </c>
      <c r="G69" s="99">
        <f t="shared" ca="1" si="1"/>
        <v>8.9875990448279612</v>
      </c>
      <c r="H69" s="55">
        <v>220</v>
      </c>
      <c r="I69" s="55">
        <v>2000</v>
      </c>
      <c r="J69" s="55">
        <f ca="1">IFERROR(__xludf.DUMMYFUNCTION("IMPORTRANGE(""https://docs.google.com/spreadsheets/d/1SX6NBoVAgQJ6U1MVXOaj8PK2l7WJ3RER9xtqwdhxkhw/edit?usp=sharing"",""ราชบุรี!J234"")"),1)</f>
        <v>1</v>
      </c>
      <c r="K69" s="55">
        <f ca="1">IFERROR(__xludf.DUMMYFUNCTION("IMPORTRANGE(""https://docs.google.com/spreadsheets/d/1SX6NBoVAgQJ6U1MVXOaj8PK2l7WJ3RER9xtqwdhxkhw/edit?usp=sharing"",""ราชบุรี!J235"")"),6.94)</f>
        <v>6.94</v>
      </c>
      <c r="L69" s="99">
        <f t="shared" ca="1" si="3"/>
        <v>0.34699999999999998</v>
      </c>
      <c r="M69" s="55">
        <f ca="1">IFERROR(__xludf.DUMMYFUNCTION("IMPORTRANGE(""https://docs.google.com/spreadsheets/d/1SX6NBoVAgQJ6U1MVXOaj8PK2l7WJ3RER9xtqwdhxkhw/edit?usp=sharing"",""ราชบุรี!J236"")"),25)</f>
        <v>25</v>
      </c>
      <c r="N69" s="55">
        <f ca="1">IFERROR(__xludf.DUMMYFUNCTION("IMPORTRANGE(""https://docs.google.com/spreadsheets/d/1SX6NBoVAgQJ6U1MVXOaj8PK2l7WJ3RER9xtqwdhxkhw/edit?usp=sharing"",""ราชบุรี!J237"")"),231.41)</f>
        <v>231.41</v>
      </c>
      <c r="O69" s="99">
        <f t="shared" ca="1" si="5"/>
        <v>11.363636363636363</v>
      </c>
      <c r="P69" s="55">
        <f ca="1">IFERROR(__xludf.DUMMYFUNCTION("IMPORTRANGE(""https://docs.google.com/spreadsheets/d/1SX6NBoVAgQJ6U1MVXOaj8PK2l7WJ3RER9xtqwdhxkhw/edit?usp=sharing"",""ราชบุรี!J238"")"),0)</f>
        <v>0</v>
      </c>
      <c r="Q69" s="55">
        <f ca="1">IFERROR(__xludf.DUMMYFUNCTION("IMPORTRANGE(""https://docs.google.com/spreadsheets/d/1SX6NBoVAgQJ6U1MVXOaj8PK2l7WJ3RER9xtqwdhxkhw/edit?usp=sharing"",""ราชบุรี!J239"")"),0)</f>
        <v>0</v>
      </c>
      <c r="R69" s="99">
        <f t="shared" ca="1" si="7"/>
        <v>0</v>
      </c>
      <c r="S69" s="55">
        <f ca="1">IFERROR(__xludf.DUMMYFUNCTION("IMPORTRANGE(""https://docs.google.com/spreadsheets/d/1SX6NBoVAgQJ6U1MVXOaj8PK2l7WJ3RER9xtqwdhxkhw/edit?usp=sharing"",""ราชบุรี!J240"")"),25)</f>
        <v>25</v>
      </c>
      <c r="T69" s="55">
        <f ca="1">IFERROR(__xludf.DUMMYFUNCTION("IMPORTRANGE(""https://docs.google.com/spreadsheets/d/1SX6NBoVAgQJ6U1MVXOaj8PK2l7WJ3RER9xtqwdhxkhw/edit?usp=sharing"",""ราชบุรี!J241"")"),231.41)</f>
        <v>231.41</v>
      </c>
      <c r="U69" s="99">
        <f t="shared" ca="1" si="9"/>
        <v>11.363636363636363</v>
      </c>
      <c r="V69" s="81"/>
      <c r="W69" s="81"/>
      <c r="X69" s="81"/>
      <c r="Y69" s="81"/>
      <c r="Z69" s="81"/>
    </row>
    <row r="70" spans="1:26" ht="24" customHeight="1" x14ac:dyDescent="0.5">
      <c r="A70" s="52">
        <v>16</v>
      </c>
      <c r="B70" s="53" t="s">
        <v>85</v>
      </c>
      <c r="C70" s="54">
        <f t="shared" si="47"/>
        <v>960550</v>
      </c>
      <c r="D70" s="55">
        <v>500400</v>
      </c>
      <c r="E70" s="55">
        <v>460150</v>
      </c>
      <c r="F70" s="55">
        <f ca="1">IFERROR(__xludf.DUMMYFUNCTION("IMPORTRANGE(""https://docs.google.com/spreadsheets/d/1SX6NBoVAgQJ6U1MVXOaj8PK2l7WJ3RER9xtqwdhxkhw/edit?usp=sharing"",""ลพบุรี!M228"")"),0)</f>
        <v>0</v>
      </c>
      <c r="G70" s="99">
        <f t="shared" ca="1" si="1"/>
        <v>0</v>
      </c>
      <c r="H70" s="55">
        <v>170</v>
      </c>
      <c r="I70" s="55">
        <v>3250</v>
      </c>
      <c r="J70" s="55">
        <f ca="1">IFERROR(__xludf.DUMMYFUNCTION("IMPORTRANGE(""https://docs.google.com/spreadsheets/d/1SX6NBoVAgQJ6U1MVXOaj8PK2l7WJ3RER9xtqwdhxkhw/edit?usp=sharing"",""ลพบุรี!J234"")"),0)</f>
        <v>0</v>
      </c>
      <c r="K70" s="55">
        <f ca="1">IFERROR(__xludf.DUMMYFUNCTION("IMPORTRANGE(""https://docs.google.com/spreadsheets/d/1SX6NBoVAgQJ6U1MVXOaj8PK2l7WJ3RER9xtqwdhxkhw/edit?usp=sharing"",""ลพบุรี!J235"")"),0)</f>
        <v>0</v>
      </c>
      <c r="L70" s="99">
        <f t="shared" ca="1" si="3"/>
        <v>0</v>
      </c>
      <c r="M70" s="55">
        <f ca="1">IFERROR(__xludf.DUMMYFUNCTION("IMPORTRANGE(""https://docs.google.com/spreadsheets/d/1SX6NBoVAgQJ6U1MVXOaj8PK2l7WJ3RER9xtqwdhxkhw/edit?usp=sharing"",""ลพบุรี!J236"")"),9)</f>
        <v>9</v>
      </c>
      <c r="N70" s="55">
        <f ca="1">IFERROR(__xludf.DUMMYFUNCTION("IMPORTRANGE(""https://docs.google.com/spreadsheets/d/1SX6NBoVAgQJ6U1MVXOaj8PK2l7WJ3RER9xtqwdhxkhw/edit?usp=sharing"",""ลพบุรี!J237"")"),120.69)</f>
        <v>120.69</v>
      </c>
      <c r="O70" s="99">
        <f t="shared" ca="1" si="5"/>
        <v>5.2941176470588234</v>
      </c>
      <c r="P70" s="55">
        <f ca="1">IFERROR(__xludf.DUMMYFUNCTION("IMPORTRANGE(""https://docs.google.com/spreadsheets/d/1SX6NBoVAgQJ6U1MVXOaj8PK2l7WJ3RER9xtqwdhxkhw/edit?usp=sharing"",""ลพบุรี!J238"")"),0)</f>
        <v>0</v>
      </c>
      <c r="Q70" s="55">
        <f ca="1">IFERROR(__xludf.DUMMYFUNCTION("IMPORTRANGE(""https://docs.google.com/spreadsheets/d/1SX6NBoVAgQJ6U1MVXOaj8PK2l7WJ3RER9xtqwdhxkhw/edit?usp=sharing"",""ลพบุรี!J239"")"),0)</f>
        <v>0</v>
      </c>
      <c r="R70" s="99">
        <f t="shared" ca="1" si="7"/>
        <v>0</v>
      </c>
      <c r="S70" s="55">
        <f ca="1">IFERROR(__xludf.DUMMYFUNCTION("IMPORTRANGE(""https://docs.google.com/spreadsheets/d/1SX6NBoVAgQJ6U1MVXOaj8PK2l7WJ3RER9xtqwdhxkhw/edit?usp=sharing"",""ลพบุรี!J240"")"),9)</f>
        <v>9</v>
      </c>
      <c r="T70" s="55">
        <f ca="1">IFERROR(__xludf.DUMMYFUNCTION("IMPORTRANGE(""https://docs.google.com/spreadsheets/d/1SX6NBoVAgQJ6U1MVXOaj8PK2l7WJ3RER9xtqwdhxkhw/edit?usp=sharing"",""ลพบุรี!J241"")"),120.69)</f>
        <v>120.69</v>
      </c>
      <c r="U70" s="99">
        <f t="shared" ca="1" si="9"/>
        <v>5.2941176470588234</v>
      </c>
      <c r="V70" s="81"/>
      <c r="W70" s="81"/>
      <c r="X70" s="81"/>
      <c r="Y70" s="81"/>
      <c r="Z70" s="81"/>
    </row>
    <row r="71" spans="1:26" ht="24" customHeight="1" x14ac:dyDescent="0.5">
      <c r="A71" s="52">
        <v>17</v>
      </c>
      <c r="B71" s="53" t="s">
        <v>86</v>
      </c>
      <c r="C71" s="54">
        <f t="shared" si="47"/>
        <v>1350040</v>
      </c>
      <c r="D71" s="55">
        <v>306000</v>
      </c>
      <c r="E71" s="55">
        <v>1044040</v>
      </c>
      <c r="F71" s="55">
        <f ca="1">IFERROR(__xludf.DUMMYFUNCTION("IMPORTRANGE(""https://docs.google.com/spreadsheets/d/1SX6NBoVAgQJ6U1MVXOaj8PK2l7WJ3RER9xtqwdhxkhw/edit?usp=sharing"",""สระแก้ว!M228"")"),0)</f>
        <v>0</v>
      </c>
      <c r="G71" s="99">
        <f t="shared" ca="1" si="1"/>
        <v>0</v>
      </c>
      <c r="H71" s="55">
        <v>780</v>
      </c>
      <c r="I71" s="55">
        <v>8720</v>
      </c>
      <c r="J71" s="55">
        <f ca="1">IFERROR(__xludf.DUMMYFUNCTION("IMPORTRANGE(""https://docs.google.com/spreadsheets/d/1SX6NBoVAgQJ6U1MVXOaj8PK2l7WJ3RER9xtqwdhxkhw/edit?usp=sharing"",""สระแก้ว!J234"")"),43)</f>
        <v>43</v>
      </c>
      <c r="K71" s="55">
        <f ca="1">IFERROR(__xludf.DUMMYFUNCTION("IMPORTRANGE(""https://docs.google.com/spreadsheets/d/1SX6NBoVAgQJ6U1MVXOaj8PK2l7WJ3RER9xtqwdhxkhw/edit?usp=sharing"",""สระแก้ว!J235"")"),578.61)</f>
        <v>578.61</v>
      </c>
      <c r="L71" s="99">
        <f t="shared" ca="1" si="3"/>
        <v>6.6354357798165138</v>
      </c>
      <c r="M71" s="55">
        <f ca="1">IFERROR(__xludf.DUMMYFUNCTION("IMPORTRANGE(""https://docs.google.com/spreadsheets/d/1SX6NBoVAgQJ6U1MVXOaj8PK2l7WJ3RER9xtqwdhxkhw/edit?usp=sharing"",""สระแก้ว!J236"")"),43)</f>
        <v>43</v>
      </c>
      <c r="N71" s="55">
        <f ca="1">IFERROR(__xludf.DUMMYFUNCTION("IMPORTRANGE(""https://docs.google.com/spreadsheets/d/1SX6NBoVAgQJ6U1MVXOaj8PK2l7WJ3RER9xtqwdhxkhw/edit?usp=sharing"",""สระแก้ว!J237"")"),578.61)</f>
        <v>578.61</v>
      </c>
      <c r="O71" s="99">
        <f t="shared" ca="1" si="5"/>
        <v>5.5128205128205128</v>
      </c>
      <c r="P71" s="55">
        <f ca="1">IFERROR(__xludf.DUMMYFUNCTION("IMPORTRANGE(""https://docs.google.com/spreadsheets/d/1SX6NBoVAgQJ6U1MVXOaj8PK2l7WJ3RER9xtqwdhxkhw/edit?usp=sharing"",""สระแก้ว!J238"")"),0)</f>
        <v>0</v>
      </c>
      <c r="Q71" s="55">
        <f ca="1">IFERROR(__xludf.DUMMYFUNCTION("IMPORTRANGE(""https://docs.google.com/spreadsheets/d/1SX6NBoVAgQJ6U1MVXOaj8PK2l7WJ3RER9xtqwdhxkhw/edit?usp=sharing"",""สระแก้ว!J239"")"),0)</f>
        <v>0</v>
      </c>
      <c r="R71" s="99">
        <f t="shared" ca="1" si="7"/>
        <v>0</v>
      </c>
      <c r="S71" s="55">
        <f ca="1">IFERROR(__xludf.DUMMYFUNCTION("IMPORTRANGE(""https://docs.google.com/spreadsheets/d/1SX6NBoVAgQJ6U1MVXOaj8PK2l7WJ3RER9xtqwdhxkhw/edit?usp=sharing"",""สระแก้ว!J240"")"),0)</f>
        <v>0</v>
      </c>
      <c r="T71" s="55">
        <f ca="1">IFERROR(__xludf.DUMMYFUNCTION("IMPORTRANGE(""https://docs.google.com/spreadsheets/d/1SX6NBoVAgQJ6U1MVXOaj8PK2l7WJ3RER9xtqwdhxkhw/edit?usp=sharing"",""สระแก้ว!J241"")"),0)</f>
        <v>0</v>
      </c>
      <c r="U71" s="99">
        <f t="shared" ca="1" si="9"/>
        <v>0</v>
      </c>
      <c r="V71" s="81"/>
      <c r="W71" s="81"/>
      <c r="X71" s="81"/>
      <c r="Y71" s="81"/>
      <c r="Z71" s="81"/>
    </row>
    <row r="72" spans="1:26" ht="24" customHeight="1" x14ac:dyDescent="0.5">
      <c r="A72" s="52">
        <v>18</v>
      </c>
      <c r="B72" s="53" t="s">
        <v>87</v>
      </c>
      <c r="C72" s="54">
        <f t="shared" si="47"/>
        <v>811220</v>
      </c>
      <c r="D72" s="55">
        <v>471600</v>
      </c>
      <c r="E72" s="55">
        <v>339620</v>
      </c>
      <c r="F72" s="55">
        <f ca="1">IFERROR(__xludf.DUMMYFUNCTION("IMPORTRANGE(""https://docs.google.com/spreadsheets/d/1SX6NBoVAgQJ6U1MVXOaj8PK2l7WJ3RER9xtqwdhxkhw/edit?usp=sharing"",""สระบุรี!M228"")"),0)</f>
        <v>0</v>
      </c>
      <c r="G72" s="99">
        <f t="shared" ca="1" si="1"/>
        <v>0</v>
      </c>
      <c r="H72" s="55">
        <v>150</v>
      </c>
      <c r="I72" s="55">
        <v>1640</v>
      </c>
      <c r="J72" s="55">
        <f ca="1">IFERROR(__xludf.DUMMYFUNCTION("IMPORTRANGE(""https://docs.google.com/spreadsheets/d/1SX6NBoVAgQJ6U1MVXOaj8PK2l7WJ3RER9xtqwdhxkhw/edit?usp=sharing"",""สระบุรี!J234"")"),0)</f>
        <v>0</v>
      </c>
      <c r="K72" s="55">
        <f ca="1">IFERROR(__xludf.DUMMYFUNCTION("IMPORTRANGE(""https://docs.google.com/spreadsheets/d/1SX6NBoVAgQJ6U1MVXOaj8PK2l7WJ3RER9xtqwdhxkhw/edit?usp=sharing"",""สระบุรี!J235"")"),0)</f>
        <v>0</v>
      </c>
      <c r="L72" s="99">
        <f t="shared" ca="1" si="3"/>
        <v>0</v>
      </c>
      <c r="M72" s="55">
        <f ca="1">IFERROR(__xludf.DUMMYFUNCTION("IMPORTRANGE(""https://docs.google.com/spreadsheets/d/1SX6NBoVAgQJ6U1MVXOaj8PK2l7WJ3RER9xtqwdhxkhw/edit?usp=sharing"",""สระบุรี!J236"")"),11)</f>
        <v>11</v>
      </c>
      <c r="N72" s="55">
        <f ca="1">IFERROR(__xludf.DUMMYFUNCTION("IMPORTRANGE(""https://docs.google.com/spreadsheets/d/1SX6NBoVAgQJ6U1MVXOaj8PK2l7WJ3RER9xtqwdhxkhw/edit?usp=sharing"",""สระบุรี!J237"")"),221.68)</f>
        <v>221.68</v>
      </c>
      <c r="O72" s="99">
        <f t="shared" ca="1" si="5"/>
        <v>7.333333333333333</v>
      </c>
      <c r="P72" s="55">
        <f ca="1">IFERROR(__xludf.DUMMYFUNCTION("IMPORTRANGE(""https://docs.google.com/spreadsheets/d/1SX6NBoVAgQJ6U1MVXOaj8PK2l7WJ3RER9xtqwdhxkhw/edit?usp=sharing"",""สระบุรี!J238"")"),0)</f>
        <v>0</v>
      </c>
      <c r="Q72" s="55">
        <f ca="1">IFERROR(__xludf.DUMMYFUNCTION("IMPORTRANGE(""https://docs.google.com/spreadsheets/d/1SX6NBoVAgQJ6U1MVXOaj8PK2l7WJ3RER9xtqwdhxkhw/edit?usp=sharing"",""สระบุรี!J239"")"),0)</f>
        <v>0</v>
      </c>
      <c r="R72" s="99">
        <f t="shared" ca="1" si="7"/>
        <v>0</v>
      </c>
      <c r="S72" s="55">
        <f ca="1">IFERROR(__xludf.DUMMYFUNCTION("IMPORTRANGE(""https://docs.google.com/spreadsheets/d/1SX6NBoVAgQJ6U1MVXOaj8PK2l7WJ3RER9xtqwdhxkhw/edit?usp=sharing"",""สระบุรี!J240"")"),11)</f>
        <v>11</v>
      </c>
      <c r="T72" s="55">
        <f ca="1">IFERROR(__xludf.DUMMYFUNCTION("IMPORTRANGE(""https://docs.google.com/spreadsheets/d/1SX6NBoVAgQJ6U1MVXOaj8PK2l7WJ3RER9xtqwdhxkhw/edit?usp=sharing"",""สระบุรี!J241"")"),221.68)</f>
        <v>221.68</v>
      </c>
      <c r="U72" s="99">
        <f t="shared" ca="1" si="9"/>
        <v>7.333333333333333</v>
      </c>
      <c r="V72" s="81"/>
      <c r="W72" s="81"/>
      <c r="X72" s="81"/>
      <c r="Y72" s="81"/>
      <c r="Z72" s="81"/>
    </row>
    <row r="73" spans="1:26" ht="24" customHeight="1" x14ac:dyDescent="0.5">
      <c r="A73" s="52">
        <v>19</v>
      </c>
      <c r="B73" s="53" t="s">
        <v>88</v>
      </c>
      <c r="C73" s="54">
        <f t="shared" si="47"/>
        <v>537770</v>
      </c>
      <c r="D73" s="55">
        <v>493800</v>
      </c>
      <c r="E73" s="55">
        <v>43970</v>
      </c>
      <c r="F73" s="55">
        <f ca="1">IFERROR(__xludf.DUMMYFUNCTION("IMPORTRANGE(""https://docs.google.com/spreadsheets/d/1SX6NBoVAgQJ6U1MVXOaj8PK2l7WJ3RER9xtqwdhxkhw/edit?usp=sharing"",""สิงห์บุรี!M228"")"),0)</f>
        <v>0</v>
      </c>
      <c r="G73" s="99">
        <f t="shared" ca="1" si="1"/>
        <v>0</v>
      </c>
      <c r="H73" s="55">
        <v>0</v>
      </c>
      <c r="I73" s="55">
        <v>0</v>
      </c>
      <c r="J73" s="55">
        <f ca="1">IFERROR(__xludf.DUMMYFUNCTION("IMPORTRANGE(""https://docs.google.com/spreadsheets/d/1SX6NBoVAgQJ6U1MVXOaj8PK2l7WJ3RER9xtqwdhxkhw/edit?usp=sharing"",""สิงห์บุรี!J234"")"),0)</f>
        <v>0</v>
      </c>
      <c r="K73" s="55">
        <f ca="1">IFERROR(__xludf.DUMMYFUNCTION("IMPORTRANGE(""https://docs.google.com/spreadsheets/d/1SX6NBoVAgQJ6U1MVXOaj8PK2l7WJ3RER9xtqwdhxkhw/edit?usp=sharing"",""สิงห์บุรี!J235"")"),0)</f>
        <v>0</v>
      </c>
      <c r="L73" s="99">
        <f t="shared" si="3"/>
        <v>0</v>
      </c>
      <c r="M73" s="55">
        <f ca="1">IFERROR(__xludf.DUMMYFUNCTION("IMPORTRANGE(""https://docs.google.com/spreadsheets/d/1SX6NBoVAgQJ6U1MVXOaj8PK2l7WJ3RER9xtqwdhxkhw/edit?usp=sharing"",""สิงห์บุรี!J236"")"),0)</f>
        <v>0</v>
      </c>
      <c r="N73" s="55">
        <f ca="1">IFERROR(__xludf.DUMMYFUNCTION("IMPORTRANGE(""https://docs.google.com/spreadsheets/d/1SX6NBoVAgQJ6U1MVXOaj8PK2l7WJ3RER9xtqwdhxkhw/edit?usp=sharing"",""สิงห์บุรี!J237"")"),0)</f>
        <v>0</v>
      </c>
      <c r="O73" s="99">
        <f t="shared" si="5"/>
        <v>0</v>
      </c>
      <c r="P73" s="55">
        <f ca="1">IFERROR(__xludf.DUMMYFUNCTION("IMPORTRANGE(""https://docs.google.com/spreadsheets/d/1SX6NBoVAgQJ6U1MVXOaj8PK2l7WJ3RER9xtqwdhxkhw/edit?usp=sharing"",""สิงห์บุรี!J238"")"),0)</f>
        <v>0</v>
      </c>
      <c r="Q73" s="55">
        <f ca="1">IFERROR(__xludf.DUMMYFUNCTION("IMPORTRANGE(""https://docs.google.com/spreadsheets/d/1SX6NBoVAgQJ6U1MVXOaj8PK2l7WJ3RER9xtqwdhxkhw/edit?usp=sharing"",""สิงห์บุรี!J239"")"),0)</f>
        <v>0</v>
      </c>
      <c r="R73" s="99">
        <f t="shared" si="7"/>
        <v>0</v>
      </c>
      <c r="S73" s="55">
        <f ca="1">IFERROR(__xludf.DUMMYFUNCTION("IMPORTRANGE(""https://docs.google.com/spreadsheets/d/1SX6NBoVAgQJ6U1MVXOaj8PK2l7WJ3RER9xtqwdhxkhw/edit?usp=sharing"",""สิงห์บุรี!J240"")"),0)</f>
        <v>0</v>
      </c>
      <c r="T73" s="55">
        <f ca="1">IFERROR(__xludf.DUMMYFUNCTION("IMPORTRANGE(""https://docs.google.com/spreadsheets/d/1SX6NBoVAgQJ6U1MVXOaj8PK2l7WJ3RER9xtqwdhxkhw/edit?usp=sharing"",""สิงห์บุรี!J241"")"),0)</f>
        <v>0</v>
      </c>
      <c r="U73" s="99">
        <f t="shared" si="9"/>
        <v>0</v>
      </c>
      <c r="V73" s="81"/>
      <c r="W73" s="81"/>
      <c r="X73" s="81"/>
      <c r="Y73" s="81"/>
      <c r="Z73" s="81"/>
    </row>
    <row r="74" spans="1:26" ht="24" customHeight="1" x14ac:dyDescent="0.5">
      <c r="A74" s="52">
        <v>20</v>
      </c>
      <c r="B74" s="53" t="s">
        <v>89</v>
      </c>
      <c r="C74" s="54">
        <f t="shared" si="47"/>
        <v>902740</v>
      </c>
      <c r="D74" s="55">
        <v>583200</v>
      </c>
      <c r="E74" s="55">
        <v>319540</v>
      </c>
      <c r="F74" s="55">
        <f ca="1">IFERROR(__xludf.DUMMYFUNCTION("IMPORTRANGE(""https://docs.google.com/spreadsheets/d/1SX6NBoVAgQJ6U1MVXOaj8PK2l7WJ3RER9xtqwdhxkhw/edit?usp=sharing"",""สุพรรณบุรี!M228"")"),74014.41)</f>
        <v>74014.41</v>
      </c>
      <c r="G74" s="99">
        <f t="shared" ca="1" si="1"/>
        <v>8.1988623523938227</v>
      </c>
      <c r="H74" s="55">
        <v>120</v>
      </c>
      <c r="I74" s="55">
        <v>800</v>
      </c>
      <c r="J74" s="55">
        <f ca="1">IFERROR(__xludf.DUMMYFUNCTION("IMPORTRANGE(""https://docs.google.com/spreadsheets/d/1SX6NBoVAgQJ6U1MVXOaj8PK2l7WJ3RER9xtqwdhxkhw/edit?usp=sharing"",""สุพรรณบุรี!J234"")"),5)</f>
        <v>5</v>
      </c>
      <c r="K74" s="55">
        <f ca="1">IFERROR(__xludf.DUMMYFUNCTION("IMPORTRANGE(""https://docs.google.com/spreadsheets/d/1SX6NBoVAgQJ6U1MVXOaj8PK2l7WJ3RER9xtqwdhxkhw/edit?usp=sharing"",""สุพรรณบุรี!J235"")"),99.44)</f>
        <v>99.44</v>
      </c>
      <c r="L74" s="99">
        <f t="shared" ca="1" si="3"/>
        <v>12.43</v>
      </c>
      <c r="M74" s="55">
        <f ca="1">IFERROR(__xludf.DUMMYFUNCTION("IMPORTRANGE(""https://docs.google.com/spreadsheets/d/1SX6NBoVAgQJ6U1MVXOaj8PK2l7WJ3RER9xtqwdhxkhw/edit?usp=sharing"",""สุพรรณบุรี!J236"")"),17)</f>
        <v>17</v>
      </c>
      <c r="N74" s="55">
        <f ca="1">IFERROR(__xludf.DUMMYFUNCTION("IMPORTRANGE(""https://docs.google.com/spreadsheets/d/1SX6NBoVAgQJ6U1MVXOaj8PK2l7WJ3RER9xtqwdhxkhw/edit?usp=sharing"",""สุพรรณบุรี!J237"")"),272.59)</f>
        <v>272.58999999999997</v>
      </c>
      <c r="O74" s="99">
        <f t="shared" ca="1" si="5"/>
        <v>14.166666666666666</v>
      </c>
      <c r="P74" s="55">
        <f ca="1">IFERROR(__xludf.DUMMYFUNCTION("IMPORTRANGE(""https://docs.google.com/spreadsheets/d/1SX6NBoVAgQJ6U1MVXOaj8PK2l7WJ3RER9xtqwdhxkhw/edit?usp=sharing"",""สุพรรณบุรี!J238"")"),0)</f>
        <v>0</v>
      </c>
      <c r="Q74" s="55">
        <f ca="1">IFERROR(__xludf.DUMMYFUNCTION("IMPORTRANGE(""https://docs.google.com/spreadsheets/d/1SX6NBoVAgQJ6U1MVXOaj8PK2l7WJ3RER9xtqwdhxkhw/edit?usp=sharing"",""สุพรรณบุรี!J239"")"),0)</f>
        <v>0</v>
      </c>
      <c r="R74" s="99">
        <f t="shared" ca="1" si="7"/>
        <v>0</v>
      </c>
      <c r="S74" s="55">
        <f ca="1">IFERROR(__xludf.DUMMYFUNCTION("IMPORTRANGE(""https://docs.google.com/spreadsheets/d/1SX6NBoVAgQJ6U1MVXOaj8PK2l7WJ3RER9xtqwdhxkhw/edit?usp=sharing"",""สุพรรณบุรี!J240"")"),17)</f>
        <v>17</v>
      </c>
      <c r="T74" s="55">
        <f ca="1">IFERROR(__xludf.DUMMYFUNCTION("IMPORTRANGE(""https://docs.google.com/spreadsheets/d/1SX6NBoVAgQJ6U1MVXOaj8PK2l7WJ3RER9xtqwdhxkhw/edit?usp=sharing"",""สุพรรณบุรี!J241"")"),272.59)</f>
        <v>272.58999999999997</v>
      </c>
      <c r="U74" s="99">
        <f t="shared" ca="1" si="9"/>
        <v>14.166666666666666</v>
      </c>
      <c r="V74" s="81"/>
      <c r="W74" s="81"/>
      <c r="X74" s="81"/>
      <c r="Y74" s="81"/>
      <c r="Z74" s="81"/>
    </row>
    <row r="75" spans="1:26" ht="24" customHeight="1" x14ac:dyDescent="0.5">
      <c r="A75" s="59">
        <v>21</v>
      </c>
      <c r="B75" s="60" t="s">
        <v>90</v>
      </c>
      <c r="C75" s="61">
        <f t="shared" si="47"/>
        <v>541910</v>
      </c>
      <c r="D75" s="62">
        <v>493800</v>
      </c>
      <c r="E75" s="62">
        <v>48110</v>
      </c>
      <c r="F75" s="62">
        <f ca="1">IFERROR(__xludf.DUMMYFUNCTION("IMPORTRANGE(""https://docs.google.com/spreadsheets/d/1SX6NBoVAgQJ6U1MVXOaj8PK2l7WJ3RER9xtqwdhxkhw/edit?usp=sharing"",""อ่างทอง!M228"")"),0)</f>
        <v>0</v>
      </c>
      <c r="G75" s="100">
        <f t="shared" ca="1" si="1"/>
        <v>0</v>
      </c>
      <c r="H75" s="62">
        <v>0</v>
      </c>
      <c r="I75" s="62">
        <v>0</v>
      </c>
      <c r="J75" s="62">
        <f ca="1">IFERROR(__xludf.DUMMYFUNCTION("IMPORTRANGE(""https://docs.google.com/spreadsheets/d/1SX6NBoVAgQJ6U1MVXOaj8PK2l7WJ3RER9xtqwdhxkhw/edit?usp=sharing"",""อ่างทอง!J234"")"),0)</f>
        <v>0</v>
      </c>
      <c r="K75" s="62">
        <f ca="1">IFERROR(__xludf.DUMMYFUNCTION("IMPORTRANGE(""https://docs.google.com/spreadsheets/d/1SX6NBoVAgQJ6U1MVXOaj8PK2l7WJ3RER9xtqwdhxkhw/edit?usp=sharing"",""อ่างทอง!J235"")"),0)</f>
        <v>0</v>
      </c>
      <c r="L75" s="100">
        <f t="shared" si="3"/>
        <v>0</v>
      </c>
      <c r="M75" s="62">
        <f ca="1">IFERROR(__xludf.DUMMYFUNCTION("IMPORTRANGE(""https://docs.google.com/spreadsheets/d/1SX6NBoVAgQJ6U1MVXOaj8PK2l7WJ3RER9xtqwdhxkhw/edit?usp=sharing"",""อ่างทอง!J236"")"),0)</f>
        <v>0</v>
      </c>
      <c r="N75" s="62">
        <f ca="1">IFERROR(__xludf.DUMMYFUNCTION("IMPORTRANGE(""https://docs.google.com/spreadsheets/d/1SX6NBoVAgQJ6U1MVXOaj8PK2l7WJ3RER9xtqwdhxkhw/edit?usp=sharing"",""อ่างทอง!J237"")"),0)</f>
        <v>0</v>
      </c>
      <c r="O75" s="100">
        <f t="shared" si="5"/>
        <v>0</v>
      </c>
      <c r="P75" s="62">
        <f ca="1">IFERROR(__xludf.DUMMYFUNCTION("IMPORTRANGE(""https://docs.google.com/spreadsheets/d/1SX6NBoVAgQJ6U1MVXOaj8PK2l7WJ3RER9xtqwdhxkhw/edit?usp=sharing"",""อ่างทอง!J238"")"),0)</f>
        <v>0</v>
      </c>
      <c r="Q75" s="62">
        <f ca="1">IFERROR(__xludf.DUMMYFUNCTION("IMPORTRANGE(""https://docs.google.com/spreadsheets/d/1SX6NBoVAgQJ6U1MVXOaj8PK2l7WJ3RER9xtqwdhxkhw/edit?usp=sharing"",""อ่างทอง!J239"")"),0)</f>
        <v>0</v>
      </c>
      <c r="R75" s="100">
        <f t="shared" si="7"/>
        <v>0</v>
      </c>
      <c r="S75" s="62">
        <f ca="1">IFERROR(__xludf.DUMMYFUNCTION("IMPORTRANGE(""https://docs.google.com/spreadsheets/d/1SX6NBoVAgQJ6U1MVXOaj8PK2l7WJ3RER9xtqwdhxkhw/edit?usp=sharing"",""อ่างทอง!J240"")"),0)</f>
        <v>0</v>
      </c>
      <c r="T75" s="62">
        <f ca="1">IFERROR(__xludf.DUMMYFUNCTION("IMPORTRANGE(""https://docs.google.com/spreadsheets/d/1SX6NBoVAgQJ6U1MVXOaj8PK2l7WJ3RER9xtqwdhxkhw/edit?usp=sharing"",""อ่างทอง!J241"")"),0)</f>
        <v>0</v>
      </c>
      <c r="U75" s="100">
        <f t="shared" si="9"/>
        <v>0</v>
      </c>
      <c r="V75" s="81"/>
      <c r="W75" s="81"/>
      <c r="X75" s="81"/>
      <c r="Y75" s="81"/>
      <c r="Z75" s="81"/>
    </row>
    <row r="76" spans="1:26" ht="24" customHeight="1" x14ac:dyDescent="0.5">
      <c r="A76" s="566" t="s">
        <v>91</v>
      </c>
      <c r="B76" s="571"/>
      <c r="C76" s="66">
        <f t="shared" ref="C76:F76" si="48">SUM(C77:C90)</f>
        <v>11889260</v>
      </c>
      <c r="D76" s="66">
        <f t="shared" si="48"/>
        <v>6929700</v>
      </c>
      <c r="E76" s="66">
        <f t="shared" si="48"/>
        <v>4959560</v>
      </c>
      <c r="F76" s="66">
        <f t="shared" ca="1" si="48"/>
        <v>460594.02999999997</v>
      </c>
      <c r="G76" s="101">
        <f t="shared" ca="1" si="1"/>
        <v>3.8740344647185778</v>
      </c>
      <c r="H76" s="66">
        <f t="shared" ref="H76:K76" si="49">SUM(H77:H90)</f>
        <v>2553</v>
      </c>
      <c r="I76" s="66">
        <f t="shared" si="49"/>
        <v>22324</v>
      </c>
      <c r="J76" s="66">
        <f t="shared" ca="1" si="49"/>
        <v>179</v>
      </c>
      <c r="K76" s="66">
        <f t="shared" ca="1" si="49"/>
        <v>1910.7399999999998</v>
      </c>
      <c r="L76" s="101">
        <f t="shared" ca="1" si="3"/>
        <v>8.5591291883175042</v>
      </c>
      <c r="M76" s="66">
        <f t="shared" ref="M76:N76" ca="1" si="50">SUM(M77:M90)</f>
        <v>144</v>
      </c>
      <c r="N76" s="66">
        <f t="shared" ca="1" si="50"/>
        <v>1775.67</v>
      </c>
      <c r="O76" s="101">
        <f t="shared" ca="1" si="5"/>
        <v>5.6404230317273791</v>
      </c>
      <c r="P76" s="66">
        <f t="shared" ref="P76:Q76" ca="1" si="51">SUM(P77:P90)</f>
        <v>10</v>
      </c>
      <c r="Q76" s="66">
        <f t="shared" ca="1" si="51"/>
        <v>145.78</v>
      </c>
      <c r="R76" s="101">
        <f t="shared" ca="1" si="7"/>
        <v>0.39169604386995693</v>
      </c>
      <c r="S76" s="66">
        <f t="shared" ref="S76:T76" ca="1" si="52">SUM(S77:S90)</f>
        <v>99</v>
      </c>
      <c r="T76" s="66">
        <f t="shared" ca="1" si="52"/>
        <v>1474.29</v>
      </c>
      <c r="U76" s="101">
        <f t="shared" ca="1" si="9"/>
        <v>3.8777908343125733</v>
      </c>
      <c r="V76" s="81"/>
      <c r="W76" s="81"/>
      <c r="X76" s="81"/>
      <c r="Y76" s="81"/>
      <c r="Z76" s="81"/>
    </row>
    <row r="77" spans="1:26" ht="24" customHeight="1" x14ac:dyDescent="0.5">
      <c r="A77" s="45">
        <v>1</v>
      </c>
      <c r="B77" s="46" t="s">
        <v>92</v>
      </c>
      <c r="C77" s="47">
        <f t="shared" ref="C77:C90" si="53">+D77+E77</f>
        <v>800750</v>
      </c>
      <c r="D77" s="48">
        <v>306000</v>
      </c>
      <c r="E77" s="48">
        <v>494750</v>
      </c>
      <c r="F77" s="48">
        <f ca="1">IFERROR(__xludf.DUMMYFUNCTION("IMPORTRANGE(""https://docs.google.com/spreadsheets/d/1IYY_tgx_IHuhSq3AJ5eI5OnqOPBNLWSHKh2a30DoXe8/edit?usp=sharing"",""กระบี่!M228"")"),81524.16)</f>
        <v>81524.160000000003</v>
      </c>
      <c r="G77" s="98">
        <f t="shared" ca="1" si="1"/>
        <v>10.180975335622854</v>
      </c>
      <c r="H77" s="48">
        <v>280</v>
      </c>
      <c r="I77" s="48">
        <v>3200</v>
      </c>
      <c r="J77" s="48">
        <f ca="1">IFERROR(__xludf.DUMMYFUNCTION("IMPORTRANGE(""https://docs.google.com/spreadsheets/d/1IYY_tgx_IHuhSq3AJ5eI5OnqOPBNLWSHKh2a30DoXe8/edit?usp=sharing"",""กระบี่!J234"")"),60)</f>
        <v>60</v>
      </c>
      <c r="K77" s="48">
        <f ca="1">IFERROR(__xludf.DUMMYFUNCTION("IMPORTRANGE(""https://docs.google.com/spreadsheets/d/1IYY_tgx_IHuhSq3AJ5eI5OnqOPBNLWSHKh2a30DoXe8/edit?usp=sharing"",""กระบี่!J235"")"),1175.31)</f>
        <v>1175.31</v>
      </c>
      <c r="L77" s="98">
        <f t="shared" ca="1" si="3"/>
        <v>36.728437499999998</v>
      </c>
      <c r="M77" s="48">
        <f ca="1">IFERROR(__xludf.DUMMYFUNCTION("IMPORTRANGE(""https://docs.google.com/spreadsheets/d/1IYY_tgx_IHuhSq3AJ5eI5OnqOPBNLWSHKh2a30DoXe8/edit?usp=sharing"",""กระบี่!J236"")"),20)</f>
        <v>20</v>
      </c>
      <c r="N77" s="48">
        <f ca="1">IFERROR(__xludf.DUMMYFUNCTION("IMPORTRANGE(""https://docs.google.com/spreadsheets/d/1IYY_tgx_IHuhSq3AJ5eI5OnqOPBNLWSHKh2a30DoXe8/edit?usp=sharing"",""กระบี่!J237"")"),164.1)</f>
        <v>164.1</v>
      </c>
      <c r="O77" s="98">
        <f t="shared" ca="1" si="5"/>
        <v>7.1428571428571432</v>
      </c>
      <c r="P77" s="48">
        <f ca="1">IFERROR(__xludf.DUMMYFUNCTION("IMPORTRANGE(""https://docs.google.com/spreadsheets/d/1IYY_tgx_IHuhSq3AJ5eI5OnqOPBNLWSHKh2a30DoXe8/edit?usp=sharing"",""กระบี่!J238"")"),0)</f>
        <v>0</v>
      </c>
      <c r="Q77" s="48">
        <f ca="1">IFERROR(__xludf.DUMMYFUNCTION("IMPORTRANGE(""https://docs.google.com/spreadsheets/d/1IYY_tgx_IHuhSq3AJ5eI5OnqOPBNLWSHKh2a30DoXe8/edit?usp=sharing"",""กระบี่!J239"")"),0)</f>
        <v>0</v>
      </c>
      <c r="R77" s="98">
        <f t="shared" ca="1" si="7"/>
        <v>0</v>
      </c>
      <c r="S77" s="48">
        <f ca="1">IFERROR(__xludf.DUMMYFUNCTION("IMPORTRANGE(""https://docs.google.com/spreadsheets/d/1IYY_tgx_IHuhSq3AJ5eI5OnqOPBNLWSHKh2a30DoXe8/edit?usp=sharing"",""กระบี่!J240"")"),6)</f>
        <v>6</v>
      </c>
      <c r="T77" s="48">
        <f ca="1">IFERROR(__xludf.DUMMYFUNCTION("IMPORTRANGE(""https://docs.google.com/spreadsheets/d/1IYY_tgx_IHuhSq3AJ5eI5OnqOPBNLWSHKh2a30DoXe8/edit?usp=sharing"",""กระบี่!J241"")"),57.94)</f>
        <v>57.94</v>
      </c>
      <c r="U77" s="98">
        <f t="shared" ca="1" si="9"/>
        <v>2.1428571428571428</v>
      </c>
      <c r="V77" s="81"/>
      <c r="W77" s="81"/>
      <c r="X77" s="81"/>
      <c r="Y77" s="81"/>
      <c r="Z77" s="81"/>
    </row>
    <row r="78" spans="1:26" ht="24" customHeight="1" x14ac:dyDescent="0.5">
      <c r="A78" s="52">
        <v>2</v>
      </c>
      <c r="B78" s="53" t="s">
        <v>93</v>
      </c>
      <c r="C78" s="54">
        <f t="shared" si="53"/>
        <v>624360</v>
      </c>
      <c r="D78" s="55">
        <v>194400</v>
      </c>
      <c r="E78" s="55">
        <v>429960</v>
      </c>
      <c r="F78" s="55">
        <f ca="1">IFERROR(__xludf.DUMMYFUNCTION("IMPORTRANGE(""https://docs.google.com/spreadsheets/d/1IYY_tgx_IHuhSq3AJ5eI5OnqOPBNLWSHKh2a30DoXe8/edit?usp=sharing"",""ชุมพร!M228"")"),0)</f>
        <v>0</v>
      </c>
      <c r="G78" s="99">
        <f t="shared" ca="1" si="1"/>
        <v>0</v>
      </c>
      <c r="H78" s="55">
        <v>240</v>
      </c>
      <c r="I78" s="55">
        <v>2510</v>
      </c>
      <c r="J78" s="55">
        <f ca="1">IFERROR(__xludf.DUMMYFUNCTION("IMPORTRANGE(""https://docs.google.com/spreadsheets/d/1IYY_tgx_IHuhSq3AJ5eI5OnqOPBNLWSHKh2a30DoXe8/edit?usp=sharing"",""ชุมพร!J234"")"),0)</f>
        <v>0</v>
      </c>
      <c r="K78" s="55">
        <f ca="1">IFERROR(__xludf.DUMMYFUNCTION("IMPORTRANGE(""https://docs.google.com/spreadsheets/d/1IYY_tgx_IHuhSq3AJ5eI5OnqOPBNLWSHKh2a30DoXe8/edit?usp=sharing"",""ชุมพร!J235"")"),0)</f>
        <v>0</v>
      </c>
      <c r="L78" s="99">
        <f t="shared" ca="1" si="3"/>
        <v>0</v>
      </c>
      <c r="M78" s="55">
        <f ca="1">IFERROR(__xludf.DUMMYFUNCTION("IMPORTRANGE(""https://docs.google.com/spreadsheets/d/1IYY_tgx_IHuhSq3AJ5eI5OnqOPBNLWSHKh2a30DoXe8/edit?usp=sharing"",""ชุมพร!J236"")"),12)</f>
        <v>12</v>
      </c>
      <c r="N78" s="55">
        <f ca="1">IFERROR(__xludf.DUMMYFUNCTION("IMPORTRANGE(""https://docs.google.com/spreadsheets/d/1IYY_tgx_IHuhSq3AJ5eI5OnqOPBNLWSHKh2a30DoXe8/edit?usp=sharing"",""ชุมพร!J237"")"),165.41)</f>
        <v>165.41</v>
      </c>
      <c r="O78" s="99">
        <f t="shared" ca="1" si="5"/>
        <v>5</v>
      </c>
      <c r="P78" s="55">
        <f ca="1">IFERROR(__xludf.DUMMYFUNCTION("IMPORTRANGE(""https://docs.google.com/spreadsheets/d/1IYY_tgx_IHuhSq3AJ5eI5OnqOPBNLWSHKh2a30DoXe8/edit?usp=sharing"",""ชุมพร!J238"")"),10)</f>
        <v>10</v>
      </c>
      <c r="Q78" s="55">
        <f ca="1">IFERROR(__xludf.DUMMYFUNCTION("IMPORTRANGE(""https://docs.google.com/spreadsheets/d/1IYY_tgx_IHuhSq3AJ5eI5OnqOPBNLWSHKh2a30DoXe8/edit?usp=sharing"",""ชุมพร!J239"")"),145.78)</f>
        <v>145.78</v>
      </c>
      <c r="R78" s="99">
        <f t="shared" ca="1" si="7"/>
        <v>4.166666666666667</v>
      </c>
      <c r="S78" s="55">
        <f ca="1">IFERROR(__xludf.DUMMYFUNCTION("IMPORTRANGE(""https://docs.google.com/spreadsheets/d/1IYY_tgx_IHuhSq3AJ5eI5OnqOPBNLWSHKh2a30DoXe8/edit?usp=sharing"",""ชุมพร!J240"")"),10)</f>
        <v>10</v>
      </c>
      <c r="T78" s="55">
        <f ca="1">IFERROR(__xludf.DUMMYFUNCTION("IMPORTRANGE(""https://docs.google.com/spreadsheets/d/1IYY_tgx_IHuhSq3AJ5eI5OnqOPBNLWSHKh2a30DoXe8/edit?usp=sharing"",""ชุมพร!J241"")"),145.78)</f>
        <v>145.78</v>
      </c>
      <c r="U78" s="99">
        <f t="shared" ca="1" si="9"/>
        <v>4.166666666666667</v>
      </c>
      <c r="V78" s="81"/>
      <c r="W78" s="81"/>
      <c r="X78" s="81"/>
      <c r="Y78" s="81"/>
      <c r="Z78" s="81"/>
    </row>
    <row r="79" spans="1:26" ht="24" customHeight="1" x14ac:dyDescent="0.5">
      <c r="A79" s="52">
        <v>3</v>
      </c>
      <c r="B79" s="53" t="s">
        <v>94</v>
      </c>
      <c r="C79" s="54">
        <f t="shared" si="53"/>
        <v>739550</v>
      </c>
      <c r="D79" s="55">
        <v>388800</v>
      </c>
      <c r="E79" s="55">
        <v>350750</v>
      </c>
      <c r="F79" s="55">
        <f ca="1">IFERROR(__xludf.DUMMYFUNCTION("IMPORTRANGE(""https://docs.google.com/spreadsheets/d/1IYY_tgx_IHuhSq3AJ5eI5OnqOPBNLWSHKh2a30DoXe8/edit?usp=sharing"",""ตรัง!M228"")"),43306)</f>
        <v>43306</v>
      </c>
      <c r="G79" s="99">
        <f t="shared" ca="1" si="1"/>
        <v>5.8557230748428095</v>
      </c>
      <c r="H79" s="55">
        <v>163</v>
      </c>
      <c r="I79" s="55">
        <v>1840</v>
      </c>
      <c r="J79" s="55">
        <f ca="1">IFERROR(__xludf.DUMMYFUNCTION("IMPORTRANGE(""https://docs.google.com/spreadsheets/d/1IYY_tgx_IHuhSq3AJ5eI5OnqOPBNLWSHKh2a30DoXe8/edit?usp=sharing"",""ตรัง!J234"")"),24)</f>
        <v>24</v>
      </c>
      <c r="K79" s="55">
        <f ca="1">IFERROR(__xludf.DUMMYFUNCTION("IMPORTRANGE(""https://docs.google.com/spreadsheets/d/1IYY_tgx_IHuhSq3AJ5eI5OnqOPBNLWSHKh2a30DoXe8/edit?usp=sharing"",""ตรัง!J235"")"),162.15)</f>
        <v>162.15</v>
      </c>
      <c r="L79" s="99">
        <f t="shared" ca="1" si="3"/>
        <v>8.8125</v>
      </c>
      <c r="M79" s="55">
        <f ca="1">IFERROR(__xludf.DUMMYFUNCTION("IMPORTRANGE(""https://docs.google.com/spreadsheets/d/1IYY_tgx_IHuhSq3AJ5eI5OnqOPBNLWSHKh2a30DoXe8/edit?usp=sharing"",""ตรัง!J236"")"),1)</f>
        <v>1</v>
      </c>
      <c r="N79" s="55">
        <f ca="1">IFERROR(__xludf.DUMMYFUNCTION("IMPORTRANGE(""https://docs.google.com/spreadsheets/d/1IYY_tgx_IHuhSq3AJ5eI5OnqOPBNLWSHKh2a30DoXe8/edit?usp=sharing"",""ตรัง!J237"")"),8.78)</f>
        <v>8.7799999999999994</v>
      </c>
      <c r="O79" s="99">
        <f t="shared" ca="1" si="5"/>
        <v>0.61349693251533743</v>
      </c>
      <c r="P79" s="55">
        <f ca="1">IFERROR(__xludf.DUMMYFUNCTION("IMPORTRANGE(""https://docs.google.com/spreadsheets/d/1IYY_tgx_IHuhSq3AJ5eI5OnqOPBNLWSHKh2a30DoXe8/edit?usp=sharing"",""ตรัง!J238"")"),0)</f>
        <v>0</v>
      </c>
      <c r="Q79" s="55">
        <f ca="1">IFERROR(__xludf.DUMMYFUNCTION("IMPORTRANGE(""https://docs.google.com/spreadsheets/d/1IYY_tgx_IHuhSq3AJ5eI5OnqOPBNLWSHKh2a30DoXe8/edit?usp=sharing"",""ตรัง!J239"")"),0)</f>
        <v>0</v>
      </c>
      <c r="R79" s="99">
        <f t="shared" ca="1" si="7"/>
        <v>0</v>
      </c>
      <c r="S79" s="55">
        <f ca="1">IFERROR(__xludf.DUMMYFUNCTION("IMPORTRANGE(""https://docs.google.com/spreadsheets/d/1IYY_tgx_IHuhSq3AJ5eI5OnqOPBNLWSHKh2a30DoXe8/edit?usp=sharing"",""ตรัง!J240"")"),1)</f>
        <v>1</v>
      </c>
      <c r="T79" s="55">
        <f ca="1">IFERROR(__xludf.DUMMYFUNCTION("IMPORTRANGE(""https://docs.google.com/spreadsheets/d/1IYY_tgx_IHuhSq3AJ5eI5OnqOPBNLWSHKh2a30DoXe8/edit?usp=sharing"",""ตรัง!J241"")"),8.78)</f>
        <v>8.7799999999999994</v>
      </c>
      <c r="U79" s="99">
        <f t="shared" ca="1" si="9"/>
        <v>0.61349693251533743</v>
      </c>
      <c r="V79" s="81"/>
      <c r="W79" s="81"/>
      <c r="X79" s="81"/>
      <c r="Y79" s="81"/>
      <c r="Z79" s="81"/>
    </row>
    <row r="80" spans="1:26" ht="24" customHeight="1" x14ac:dyDescent="0.5">
      <c r="A80" s="52">
        <v>4</v>
      </c>
      <c r="B80" s="53" t="s">
        <v>95</v>
      </c>
      <c r="C80" s="54">
        <f t="shared" si="53"/>
        <v>667340</v>
      </c>
      <c r="D80" s="55">
        <v>194400</v>
      </c>
      <c r="E80" s="55">
        <v>472940</v>
      </c>
      <c r="F80" s="55">
        <f ca="1">IFERROR(__xludf.DUMMYFUNCTION("IMPORTRANGE(""https://docs.google.com/spreadsheets/d/1IYY_tgx_IHuhSq3AJ5eI5OnqOPBNLWSHKh2a30DoXe8/edit?usp=sharing"",""นครศรีธรรมราช!M228"")"),0)</f>
        <v>0</v>
      </c>
      <c r="G80" s="99">
        <f t="shared" ca="1" si="1"/>
        <v>0</v>
      </c>
      <c r="H80" s="55">
        <v>310</v>
      </c>
      <c r="I80" s="55">
        <v>2720</v>
      </c>
      <c r="J80" s="55">
        <f ca="1">IFERROR(__xludf.DUMMYFUNCTION("IMPORTRANGE(""https://docs.google.com/spreadsheets/d/1IYY_tgx_IHuhSq3AJ5eI5OnqOPBNLWSHKh2a30DoXe8/edit?usp=sharing"",""นครศรีธรรมราช!J234"")"),0)</f>
        <v>0</v>
      </c>
      <c r="K80" s="55">
        <f ca="1">IFERROR(__xludf.DUMMYFUNCTION("IMPORTRANGE(""https://docs.google.com/spreadsheets/d/1IYY_tgx_IHuhSq3AJ5eI5OnqOPBNLWSHKh2a30DoXe8/edit?usp=sharing"",""นครศรีธรรมราช!J235"")"),0)</f>
        <v>0</v>
      </c>
      <c r="L80" s="99">
        <f t="shared" ca="1" si="3"/>
        <v>0</v>
      </c>
      <c r="M80" s="55">
        <f ca="1">IFERROR(__xludf.DUMMYFUNCTION("IMPORTRANGE(""https://docs.google.com/spreadsheets/d/1IYY_tgx_IHuhSq3AJ5eI5OnqOPBNLWSHKh2a30DoXe8/edit?usp=sharing"",""นครศรีธรรมราช!J236"")"),0)</f>
        <v>0</v>
      </c>
      <c r="N80" s="55">
        <f ca="1">IFERROR(__xludf.DUMMYFUNCTION("IMPORTRANGE(""https://docs.google.com/spreadsheets/d/1IYY_tgx_IHuhSq3AJ5eI5OnqOPBNLWSHKh2a30DoXe8/edit?usp=sharing"",""นครศรีธรรมราช!J237"")"),0)</f>
        <v>0</v>
      </c>
      <c r="O80" s="99">
        <f t="shared" ca="1" si="5"/>
        <v>0</v>
      </c>
      <c r="P80" s="55">
        <f ca="1">IFERROR(__xludf.DUMMYFUNCTION("IMPORTRANGE(""https://docs.google.com/spreadsheets/d/1IYY_tgx_IHuhSq3AJ5eI5OnqOPBNLWSHKh2a30DoXe8/edit?usp=sharing"",""นครศรีธรรมราช!J238"")"),0)</f>
        <v>0</v>
      </c>
      <c r="Q80" s="55">
        <f ca="1">IFERROR(__xludf.DUMMYFUNCTION("IMPORTRANGE(""https://docs.google.com/spreadsheets/d/1IYY_tgx_IHuhSq3AJ5eI5OnqOPBNLWSHKh2a30DoXe8/edit?usp=sharing"",""นครศรีธรรมราช!J239"")"),0)</f>
        <v>0</v>
      </c>
      <c r="R80" s="99">
        <f t="shared" ca="1" si="7"/>
        <v>0</v>
      </c>
      <c r="S80" s="55">
        <f ca="1">IFERROR(__xludf.DUMMYFUNCTION("IMPORTRANGE(""https://docs.google.com/spreadsheets/d/1IYY_tgx_IHuhSq3AJ5eI5OnqOPBNLWSHKh2a30DoXe8/edit?usp=sharing"",""นครศรีธรรมราช!J240"")"),0)</f>
        <v>0</v>
      </c>
      <c r="T80" s="55">
        <f ca="1">IFERROR(__xludf.DUMMYFUNCTION("IMPORTRANGE(""https://docs.google.com/spreadsheets/d/1IYY_tgx_IHuhSq3AJ5eI5OnqOPBNLWSHKh2a30DoXe8/edit?usp=sharing"",""นครศรีธรรมราช!J241"")"),0)</f>
        <v>0</v>
      </c>
      <c r="U80" s="99">
        <f t="shared" ca="1" si="9"/>
        <v>0</v>
      </c>
      <c r="V80" s="81"/>
      <c r="W80" s="81"/>
      <c r="X80" s="81"/>
      <c r="Y80" s="81"/>
      <c r="Z80" s="81"/>
    </row>
    <row r="81" spans="1:26" ht="24" customHeight="1" x14ac:dyDescent="0.5">
      <c r="A81" s="52">
        <v>5</v>
      </c>
      <c r="B81" s="53" t="s">
        <v>96</v>
      </c>
      <c r="C81" s="54">
        <f t="shared" si="53"/>
        <v>721520</v>
      </c>
      <c r="D81" s="55">
        <v>506800</v>
      </c>
      <c r="E81" s="55">
        <v>214720</v>
      </c>
      <c r="F81" s="55">
        <f ca="1">IFERROR(__xludf.DUMMYFUNCTION("IMPORTRANGE(""https://docs.google.com/spreadsheets/d/1IYY_tgx_IHuhSq3AJ5eI5OnqOPBNLWSHKh2a30DoXe8/edit?usp=sharing"",""นราธิวาส!M228"")"),36110)</f>
        <v>36110</v>
      </c>
      <c r="G81" s="99">
        <f t="shared" ca="1" si="1"/>
        <v>5.0047122740880363</v>
      </c>
      <c r="H81" s="55">
        <v>65</v>
      </c>
      <c r="I81" s="55">
        <v>165</v>
      </c>
      <c r="J81" s="55">
        <f ca="1">IFERROR(__xludf.DUMMYFUNCTION("IMPORTRANGE(""https://docs.google.com/spreadsheets/d/1IYY_tgx_IHuhSq3AJ5eI5OnqOPBNLWSHKh2a30DoXe8/edit?usp=sharing"",""นราธิวาส!J234"")"),0)</f>
        <v>0</v>
      </c>
      <c r="K81" s="55">
        <f ca="1">IFERROR(__xludf.DUMMYFUNCTION("IMPORTRANGE(""https://docs.google.com/spreadsheets/d/1IYY_tgx_IHuhSq3AJ5eI5OnqOPBNLWSHKh2a30DoXe8/edit?usp=sharing"",""นราธิวาส!J235"")"),0)</f>
        <v>0</v>
      </c>
      <c r="L81" s="99">
        <f t="shared" ca="1" si="3"/>
        <v>0</v>
      </c>
      <c r="M81" s="55">
        <f ca="1">IFERROR(__xludf.DUMMYFUNCTION("IMPORTRANGE(""https://docs.google.com/spreadsheets/d/1IYY_tgx_IHuhSq3AJ5eI5OnqOPBNLWSHKh2a30DoXe8/edit?usp=sharing"",""นราธิวาส!J236"")"),0)</f>
        <v>0</v>
      </c>
      <c r="N81" s="55">
        <f ca="1">IFERROR(__xludf.DUMMYFUNCTION("IMPORTRANGE(""https://docs.google.com/spreadsheets/d/1IYY_tgx_IHuhSq3AJ5eI5OnqOPBNLWSHKh2a30DoXe8/edit?usp=sharing"",""นราธิวาส!J237"")"),0)</f>
        <v>0</v>
      </c>
      <c r="O81" s="99">
        <f t="shared" ca="1" si="5"/>
        <v>0</v>
      </c>
      <c r="P81" s="55">
        <f ca="1">IFERROR(__xludf.DUMMYFUNCTION("IMPORTRANGE(""https://docs.google.com/spreadsheets/d/1IYY_tgx_IHuhSq3AJ5eI5OnqOPBNLWSHKh2a30DoXe8/edit?usp=sharing"",""นราธิวาส!J238"")"),0)</f>
        <v>0</v>
      </c>
      <c r="Q81" s="55">
        <f ca="1">IFERROR(__xludf.DUMMYFUNCTION("IMPORTRANGE(""https://docs.google.com/spreadsheets/d/1IYY_tgx_IHuhSq3AJ5eI5OnqOPBNLWSHKh2a30DoXe8/edit?usp=sharing"",""นราธิวาส!J239"")"),0)</f>
        <v>0</v>
      </c>
      <c r="R81" s="99">
        <f t="shared" ca="1" si="7"/>
        <v>0</v>
      </c>
      <c r="S81" s="55">
        <f ca="1">IFERROR(__xludf.DUMMYFUNCTION("IMPORTRANGE(""https://docs.google.com/spreadsheets/d/1IYY_tgx_IHuhSq3AJ5eI5OnqOPBNLWSHKh2a30DoXe8/edit?usp=sharing"",""นราธิวาส!J240"")"),0)</f>
        <v>0</v>
      </c>
      <c r="T81" s="55">
        <f ca="1">IFERROR(__xludf.DUMMYFUNCTION("IMPORTRANGE(""https://docs.google.com/spreadsheets/d/1IYY_tgx_IHuhSq3AJ5eI5OnqOPBNLWSHKh2a30DoXe8/edit?usp=sharing"",""นราธิวาส!J241"")"),0)</f>
        <v>0</v>
      </c>
      <c r="U81" s="99">
        <f t="shared" ca="1" si="9"/>
        <v>0</v>
      </c>
      <c r="V81" s="81"/>
      <c r="W81" s="81"/>
      <c r="X81" s="81"/>
      <c r="Y81" s="81"/>
      <c r="Z81" s="81"/>
    </row>
    <row r="82" spans="1:26" ht="24" customHeight="1" x14ac:dyDescent="0.5">
      <c r="A82" s="52">
        <v>6</v>
      </c>
      <c r="B82" s="53" t="s">
        <v>97</v>
      </c>
      <c r="C82" s="54">
        <f t="shared" si="53"/>
        <v>695140</v>
      </c>
      <c r="D82" s="55">
        <v>417600</v>
      </c>
      <c r="E82" s="55">
        <v>277540</v>
      </c>
      <c r="F82" s="55">
        <f ca="1">IFERROR(__xludf.DUMMYFUNCTION("IMPORTRANGE(""https://docs.google.com/spreadsheets/d/1IYY_tgx_IHuhSq3AJ5eI5OnqOPBNLWSHKh2a30DoXe8/edit?usp=sharing"",""ปัตตานี!M228"")"),0)</f>
        <v>0</v>
      </c>
      <c r="G82" s="99">
        <f t="shared" ca="1" si="1"/>
        <v>0</v>
      </c>
      <c r="H82" s="55">
        <v>210</v>
      </c>
      <c r="I82" s="55">
        <v>944</v>
      </c>
      <c r="J82" s="55">
        <f ca="1">IFERROR(__xludf.DUMMYFUNCTION("IMPORTRANGE(""https://docs.google.com/spreadsheets/d/1IYY_tgx_IHuhSq3AJ5eI5OnqOPBNLWSHKh2a30DoXe8/edit?usp=sharing"",""ปัตตานี!J234"")"),0)</f>
        <v>0</v>
      </c>
      <c r="K82" s="55">
        <f ca="1">IFERROR(__xludf.DUMMYFUNCTION("IMPORTRANGE(""https://docs.google.com/spreadsheets/d/1IYY_tgx_IHuhSq3AJ5eI5OnqOPBNLWSHKh2a30DoXe8/edit?usp=sharing"",""ปัตตานี!J235"")"),0)</f>
        <v>0</v>
      </c>
      <c r="L82" s="99">
        <f t="shared" ca="1" si="3"/>
        <v>0</v>
      </c>
      <c r="M82" s="55">
        <f ca="1">IFERROR(__xludf.DUMMYFUNCTION("IMPORTRANGE(""https://docs.google.com/spreadsheets/d/1IYY_tgx_IHuhSq3AJ5eI5OnqOPBNLWSHKh2a30DoXe8/edit?usp=sharing"",""ปัตตานี!J236"")"),1)</f>
        <v>1</v>
      </c>
      <c r="N82" s="55">
        <f ca="1">IFERROR(__xludf.DUMMYFUNCTION("IMPORTRANGE(""https://docs.google.com/spreadsheets/d/1IYY_tgx_IHuhSq3AJ5eI5OnqOPBNLWSHKh2a30DoXe8/edit?usp=sharing"",""ปัตตานี!J237"")"),11.43)</f>
        <v>11.43</v>
      </c>
      <c r="O82" s="99">
        <f t="shared" ca="1" si="5"/>
        <v>0.47619047619047616</v>
      </c>
      <c r="P82" s="55">
        <f ca="1">IFERROR(__xludf.DUMMYFUNCTION("IMPORTRANGE(""https://docs.google.com/spreadsheets/d/1IYY_tgx_IHuhSq3AJ5eI5OnqOPBNLWSHKh2a30DoXe8/edit?usp=sharing"",""ปัตตานี!J238"")"),0)</f>
        <v>0</v>
      </c>
      <c r="Q82" s="55">
        <f ca="1">IFERROR(__xludf.DUMMYFUNCTION("IMPORTRANGE(""https://docs.google.com/spreadsheets/d/1IYY_tgx_IHuhSq3AJ5eI5OnqOPBNLWSHKh2a30DoXe8/edit?usp=sharing"",""ปัตตานี!J239"")"),0)</f>
        <v>0</v>
      </c>
      <c r="R82" s="99">
        <f t="shared" ca="1" si="7"/>
        <v>0</v>
      </c>
      <c r="S82" s="55">
        <f ca="1">IFERROR(__xludf.DUMMYFUNCTION("IMPORTRANGE(""https://docs.google.com/spreadsheets/d/1IYY_tgx_IHuhSq3AJ5eI5OnqOPBNLWSHKh2a30DoXe8/edit?usp=sharing"",""ปัตตานี!J240"")"),0)</f>
        <v>0</v>
      </c>
      <c r="T82" s="55">
        <f ca="1">IFERROR(__xludf.DUMMYFUNCTION("IMPORTRANGE(""https://docs.google.com/spreadsheets/d/1IYY_tgx_IHuhSq3AJ5eI5OnqOPBNLWSHKh2a30DoXe8/edit?usp=sharing"",""ปัตตานี!J241"")"),0)</f>
        <v>0</v>
      </c>
      <c r="U82" s="99">
        <f t="shared" ca="1" si="9"/>
        <v>0</v>
      </c>
      <c r="V82" s="81"/>
      <c r="W82" s="81"/>
      <c r="X82" s="81"/>
      <c r="Y82" s="81"/>
      <c r="Z82" s="81"/>
    </row>
    <row r="83" spans="1:26" ht="24" customHeight="1" x14ac:dyDescent="0.5">
      <c r="A83" s="52">
        <v>7</v>
      </c>
      <c r="B83" s="53" t="s">
        <v>98</v>
      </c>
      <c r="C83" s="54">
        <f t="shared" si="53"/>
        <v>743010</v>
      </c>
      <c r="D83" s="55">
        <v>492000</v>
      </c>
      <c r="E83" s="55">
        <v>251010</v>
      </c>
      <c r="F83" s="55">
        <f ca="1">IFERROR(__xludf.DUMMYFUNCTION("IMPORTRANGE(""https://docs.google.com/spreadsheets/d/1IYY_tgx_IHuhSq3AJ5eI5OnqOPBNLWSHKh2a30DoXe8/edit?usp=sharing"",""พังงา!M228"")"),0)</f>
        <v>0</v>
      </c>
      <c r="G83" s="99">
        <f t="shared" ca="1" si="1"/>
        <v>0</v>
      </c>
      <c r="H83" s="55">
        <v>110</v>
      </c>
      <c r="I83" s="55">
        <v>665</v>
      </c>
      <c r="J83" s="55">
        <f ca="1">IFERROR(__xludf.DUMMYFUNCTION("IMPORTRANGE(""https://docs.google.com/spreadsheets/d/1IYY_tgx_IHuhSq3AJ5eI5OnqOPBNLWSHKh2a30DoXe8/edit?usp=sharing"",""พังงา!J234"")"),17)</f>
        <v>17</v>
      </c>
      <c r="K83" s="55">
        <f ca="1">IFERROR(__xludf.DUMMYFUNCTION("IMPORTRANGE(""https://docs.google.com/spreadsheets/d/1IYY_tgx_IHuhSq3AJ5eI5OnqOPBNLWSHKh2a30DoXe8/edit?usp=sharing"",""พังงา!J235"")"),136.69)</f>
        <v>136.69</v>
      </c>
      <c r="L83" s="99">
        <f t="shared" ca="1" si="3"/>
        <v>20.554887218045113</v>
      </c>
      <c r="M83" s="55">
        <f ca="1">IFERROR(__xludf.DUMMYFUNCTION("IMPORTRANGE(""https://docs.google.com/spreadsheets/d/1IYY_tgx_IHuhSq3AJ5eI5OnqOPBNLWSHKh2a30DoXe8/edit?usp=sharing"",""พังงา!J236"")"),8)</f>
        <v>8</v>
      </c>
      <c r="N83" s="55">
        <f ca="1">IFERROR(__xludf.DUMMYFUNCTION("IMPORTRANGE(""https://docs.google.com/spreadsheets/d/1IYY_tgx_IHuhSq3AJ5eI5OnqOPBNLWSHKh2a30DoXe8/edit?usp=sharing"",""พังงา!J237"")"),44.89)</f>
        <v>44.89</v>
      </c>
      <c r="O83" s="99">
        <f t="shared" ca="1" si="5"/>
        <v>7.2727272727272725</v>
      </c>
      <c r="P83" s="55">
        <f ca="1">IFERROR(__xludf.DUMMYFUNCTION("IMPORTRANGE(""https://docs.google.com/spreadsheets/d/1IYY_tgx_IHuhSq3AJ5eI5OnqOPBNLWSHKh2a30DoXe8/edit?usp=sharing"",""พังงา!J238"")"),0)</f>
        <v>0</v>
      </c>
      <c r="Q83" s="55">
        <f ca="1">IFERROR(__xludf.DUMMYFUNCTION("IMPORTRANGE(""https://docs.google.com/spreadsheets/d/1IYY_tgx_IHuhSq3AJ5eI5OnqOPBNLWSHKh2a30DoXe8/edit?usp=sharing"",""พังงา!J239"")"),0)</f>
        <v>0</v>
      </c>
      <c r="R83" s="99">
        <f t="shared" ca="1" si="7"/>
        <v>0</v>
      </c>
      <c r="S83" s="55">
        <f ca="1">IFERROR(__xludf.DUMMYFUNCTION("IMPORTRANGE(""https://docs.google.com/spreadsheets/d/1IYY_tgx_IHuhSq3AJ5eI5OnqOPBNLWSHKh2a30DoXe8/edit?usp=sharing"",""พังงา!J240"")"),0)</f>
        <v>0</v>
      </c>
      <c r="T83" s="55">
        <f ca="1">IFERROR(__xludf.DUMMYFUNCTION("IMPORTRANGE(""https://docs.google.com/spreadsheets/d/1IYY_tgx_IHuhSq3AJ5eI5OnqOPBNLWSHKh2a30DoXe8/edit?usp=sharing"",""พังงา!J241"")"),0)</f>
        <v>0</v>
      </c>
      <c r="U83" s="99">
        <f t="shared" ca="1" si="9"/>
        <v>0</v>
      </c>
      <c r="V83" s="81"/>
      <c r="W83" s="81"/>
      <c r="X83" s="81"/>
      <c r="Y83" s="81"/>
      <c r="Z83" s="81"/>
    </row>
    <row r="84" spans="1:26" ht="24" customHeight="1" x14ac:dyDescent="0.5">
      <c r="A84" s="52">
        <v>8</v>
      </c>
      <c r="B84" s="53" t="s">
        <v>99</v>
      </c>
      <c r="C84" s="54">
        <f t="shared" si="53"/>
        <v>580620</v>
      </c>
      <c r="D84" s="55">
        <v>306000</v>
      </c>
      <c r="E84" s="55">
        <v>274620</v>
      </c>
      <c r="F84" s="55">
        <f ca="1">IFERROR(__xludf.DUMMYFUNCTION("IMPORTRANGE(""https://docs.google.com/spreadsheets/d/1IYY_tgx_IHuhSq3AJ5eI5OnqOPBNLWSHKh2a30DoXe8/edit?usp=sharing"",""พัทลุง!M228"")"),10574.15)</f>
        <v>10574.15</v>
      </c>
      <c r="G84" s="99">
        <f t="shared" ca="1" si="1"/>
        <v>1.821182529020702</v>
      </c>
      <c r="H84" s="55">
        <v>165</v>
      </c>
      <c r="I84" s="55">
        <v>700</v>
      </c>
      <c r="J84" s="55">
        <f ca="1">IFERROR(__xludf.DUMMYFUNCTION("IMPORTRANGE(""https://docs.google.com/spreadsheets/d/1IYY_tgx_IHuhSq3AJ5eI5OnqOPBNLWSHKh2a30DoXe8/edit?usp=sharing"",""พัทลุง!J234"")"),34)</f>
        <v>34</v>
      </c>
      <c r="K84" s="55">
        <f ca="1">IFERROR(__xludf.DUMMYFUNCTION("IMPORTRANGE(""https://docs.google.com/spreadsheets/d/1IYY_tgx_IHuhSq3AJ5eI5OnqOPBNLWSHKh2a30DoXe8/edit?usp=sharing"",""พัทลุง!J235"")"),192.14)</f>
        <v>192.14</v>
      </c>
      <c r="L84" s="99">
        <f t="shared" ca="1" si="3"/>
        <v>27.44857142857143</v>
      </c>
      <c r="M84" s="55">
        <f ca="1">IFERROR(__xludf.DUMMYFUNCTION("IMPORTRANGE(""https://docs.google.com/spreadsheets/d/1IYY_tgx_IHuhSq3AJ5eI5OnqOPBNLWSHKh2a30DoXe8/edit?usp=sharing"",""พัทลุง!J236"")"),24)</f>
        <v>24</v>
      </c>
      <c r="N84" s="55">
        <f ca="1">IFERROR(__xludf.DUMMYFUNCTION("IMPORTRANGE(""https://docs.google.com/spreadsheets/d/1IYY_tgx_IHuhSq3AJ5eI5OnqOPBNLWSHKh2a30DoXe8/edit?usp=sharing"",""พัทลุง!J237"")"),164.47)</f>
        <v>164.47</v>
      </c>
      <c r="O84" s="99">
        <f t="shared" ca="1" si="5"/>
        <v>14.545454545454545</v>
      </c>
      <c r="P84" s="55">
        <f ca="1">IFERROR(__xludf.DUMMYFUNCTION("IMPORTRANGE(""https://docs.google.com/spreadsheets/d/1IYY_tgx_IHuhSq3AJ5eI5OnqOPBNLWSHKh2a30DoXe8/edit?usp=sharing"",""พัทลุง!J238"")"),0)</f>
        <v>0</v>
      </c>
      <c r="Q84" s="55">
        <f ca="1">IFERROR(__xludf.DUMMYFUNCTION("IMPORTRANGE(""https://docs.google.com/spreadsheets/d/1IYY_tgx_IHuhSq3AJ5eI5OnqOPBNLWSHKh2a30DoXe8/edit?usp=sharing"",""พัทลุง!J239"")"),0)</f>
        <v>0</v>
      </c>
      <c r="R84" s="99">
        <f t="shared" ca="1" si="7"/>
        <v>0</v>
      </c>
      <c r="S84" s="55">
        <f ca="1">IFERROR(__xludf.DUMMYFUNCTION("IMPORTRANGE(""https://docs.google.com/spreadsheets/d/1IYY_tgx_IHuhSq3AJ5eI5OnqOPBNLWSHKh2a30DoXe8/edit?usp=sharing"",""พัทลุง!J240"")"),6)</f>
        <v>6</v>
      </c>
      <c r="T84" s="55">
        <f ca="1">IFERROR(__xludf.DUMMYFUNCTION("IMPORTRANGE(""https://docs.google.com/spreadsheets/d/1IYY_tgx_IHuhSq3AJ5eI5OnqOPBNLWSHKh2a30DoXe8/edit?usp=sharing"",""พัทลุง!J241"")"),52.5)</f>
        <v>52.5</v>
      </c>
      <c r="U84" s="99">
        <f t="shared" ca="1" si="9"/>
        <v>3.6363636363636362</v>
      </c>
      <c r="V84" s="81"/>
      <c r="W84" s="81"/>
      <c r="X84" s="81"/>
      <c r="Y84" s="81"/>
      <c r="Z84" s="81"/>
    </row>
    <row r="85" spans="1:26" ht="24" customHeight="1" x14ac:dyDescent="0.5">
      <c r="A85" s="52">
        <v>9</v>
      </c>
      <c r="B85" s="53" t="s">
        <v>100</v>
      </c>
      <c r="C85" s="54">
        <f t="shared" si="53"/>
        <v>696600</v>
      </c>
      <c r="D85" s="55">
        <v>495500</v>
      </c>
      <c r="E85" s="55">
        <v>201100</v>
      </c>
      <c r="F85" s="55">
        <f ca="1">IFERROR(__xludf.DUMMYFUNCTION("IMPORTRANGE(""https://docs.google.com/spreadsheets/d/1IYY_tgx_IHuhSq3AJ5eI5OnqOPBNLWSHKh2a30DoXe8/edit?usp=sharing"",""ภูเก็ต!M228"")"),100819.61)</f>
        <v>100819.61</v>
      </c>
      <c r="G85" s="99">
        <f t="shared" ca="1" si="1"/>
        <v>14.473099339649727</v>
      </c>
      <c r="H85" s="55">
        <v>25</v>
      </c>
      <c r="I85" s="55">
        <v>200</v>
      </c>
      <c r="J85" s="55">
        <f ca="1">IFERROR(__xludf.DUMMYFUNCTION("IMPORTRANGE(""https://docs.google.com/spreadsheets/d/1IYY_tgx_IHuhSq3AJ5eI5OnqOPBNLWSHKh2a30DoXe8/edit?usp=sharing"",""ภูเก็ต!J234"")"),0)</f>
        <v>0</v>
      </c>
      <c r="K85" s="55">
        <f ca="1">IFERROR(__xludf.DUMMYFUNCTION("IMPORTRANGE(""https://docs.google.com/spreadsheets/d/1IYY_tgx_IHuhSq3AJ5eI5OnqOPBNLWSHKh2a30DoXe8/edit?usp=sharing"",""ภูเก็ต!J235"")"),0)</f>
        <v>0</v>
      </c>
      <c r="L85" s="99">
        <f t="shared" ca="1" si="3"/>
        <v>0</v>
      </c>
      <c r="M85" s="55">
        <f ca="1">IFERROR(__xludf.DUMMYFUNCTION("IMPORTRANGE(""https://docs.google.com/spreadsheets/d/1IYY_tgx_IHuhSq3AJ5eI5OnqOPBNLWSHKh2a30DoXe8/edit?usp=sharing"",""ภูเก็ต!J236"")"),0)</f>
        <v>0</v>
      </c>
      <c r="N85" s="55">
        <f ca="1">IFERROR(__xludf.DUMMYFUNCTION("IMPORTRANGE(""https://docs.google.com/spreadsheets/d/1IYY_tgx_IHuhSq3AJ5eI5OnqOPBNLWSHKh2a30DoXe8/edit?usp=sharing"",""ภูเก็ต!J237"")"),0)</f>
        <v>0</v>
      </c>
      <c r="O85" s="99">
        <f t="shared" ca="1" si="5"/>
        <v>0</v>
      </c>
      <c r="P85" s="55">
        <f ca="1">IFERROR(__xludf.DUMMYFUNCTION("IMPORTRANGE(""https://docs.google.com/spreadsheets/d/1IYY_tgx_IHuhSq3AJ5eI5OnqOPBNLWSHKh2a30DoXe8/edit?usp=sharing"",""ภูเก็ต!J238"")"),0)</f>
        <v>0</v>
      </c>
      <c r="Q85" s="55">
        <f ca="1">IFERROR(__xludf.DUMMYFUNCTION("IMPORTRANGE(""https://docs.google.com/spreadsheets/d/1IYY_tgx_IHuhSq3AJ5eI5OnqOPBNLWSHKh2a30DoXe8/edit?usp=sharing"",""ภูเก็ต!J239"")"),0)</f>
        <v>0</v>
      </c>
      <c r="R85" s="99">
        <f t="shared" ca="1" si="7"/>
        <v>0</v>
      </c>
      <c r="S85" s="55">
        <f ca="1">IFERROR(__xludf.DUMMYFUNCTION("IMPORTRANGE(""https://docs.google.com/spreadsheets/d/1IYY_tgx_IHuhSq3AJ5eI5OnqOPBNLWSHKh2a30DoXe8/edit?usp=sharing"",""ภูเก็ต!J240"")"),0)</f>
        <v>0</v>
      </c>
      <c r="T85" s="55">
        <f ca="1">IFERROR(__xludf.DUMMYFUNCTION("IMPORTRANGE(""https://docs.google.com/spreadsheets/d/1IYY_tgx_IHuhSq3AJ5eI5OnqOPBNLWSHKh2a30DoXe8/edit?usp=sharing"",""ภูเก็ต!J241"")"),0)</f>
        <v>0</v>
      </c>
      <c r="U85" s="99">
        <f t="shared" ca="1" si="9"/>
        <v>0</v>
      </c>
      <c r="V85" s="81"/>
      <c r="W85" s="81"/>
      <c r="X85" s="81"/>
      <c r="Y85" s="81"/>
      <c r="Z85" s="81"/>
    </row>
    <row r="86" spans="1:26" ht="24" customHeight="1" x14ac:dyDescent="0.5">
      <c r="A86" s="52">
        <v>10</v>
      </c>
      <c r="B86" s="53" t="s">
        <v>101</v>
      </c>
      <c r="C86" s="54">
        <f t="shared" si="53"/>
        <v>891050</v>
      </c>
      <c r="D86" s="55">
        <v>624000</v>
      </c>
      <c r="E86" s="55">
        <v>267050</v>
      </c>
      <c r="F86" s="55">
        <f ca="1">IFERROR(__xludf.DUMMYFUNCTION("IMPORTRANGE(""https://docs.google.com/spreadsheets/d/1IYY_tgx_IHuhSq3AJ5eI5OnqOPBNLWSHKh2a30DoXe8/edit?usp=sharing"",""ยะลา!M228"")"),0)</f>
        <v>0</v>
      </c>
      <c r="G86" s="99">
        <f t="shared" ca="1" si="1"/>
        <v>0</v>
      </c>
      <c r="H86" s="55">
        <v>100</v>
      </c>
      <c r="I86" s="55">
        <v>1040</v>
      </c>
      <c r="J86" s="55">
        <f ca="1">IFERROR(__xludf.DUMMYFUNCTION("IMPORTRANGE(""https://docs.google.com/spreadsheets/d/1IYY_tgx_IHuhSq3AJ5eI5OnqOPBNLWSHKh2a30DoXe8/edit?usp=sharing"",""ยะลา!J234"")"),0)</f>
        <v>0</v>
      </c>
      <c r="K86" s="55">
        <f ca="1">IFERROR(__xludf.DUMMYFUNCTION("IMPORTRANGE(""https://docs.google.com/spreadsheets/d/1IYY_tgx_IHuhSq3AJ5eI5OnqOPBNLWSHKh2a30DoXe8/edit?usp=sharing"",""ยะลา!J235"")"),0)</f>
        <v>0</v>
      </c>
      <c r="L86" s="99">
        <f t="shared" ca="1" si="3"/>
        <v>0</v>
      </c>
      <c r="M86" s="55">
        <f ca="1">IFERROR(__xludf.DUMMYFUNCTION("IMPORTRANGE(""https://docs.google.com/spreadsheets/d/1IYY_tgx_IHuhSq3AJ5eI5OnqOPBNLWSHKh2a30DoXe8/edit?usp=sharing"",""ยะลา!J236"")"),0)</f>
        <v>0</v>
      </c>
      <c r="N86" s="55">
        <f ca="1">IFERROR(__xludf.DUMMYFUNCTION("IMPORTRANGE(""https://docs.google.com/spreadsheets/d/1IYY_tgx_IHuhSq3AJ5eI5OnqOPBNLWSHKh2a30DoXe8/edit?usp=sharing"",""ยะลา!J237"")"),0)</f>
        <v>0</v>
      </c>
      <c r="O86" s="99">
        <f t="shared" ca="1" si="5"/>
        <v>0</v>
      </c>
      <c r="P86" s="55">
        <f ca="1">IFERROR(__xludf.DUMMYFUNCTION("IMPORTRANGE(""https://docs.google.com/spreadsheets/d/1IYY_tgx_IHuhSq3AJ5eI5OnqOPBNLWSHKh2a30DoXe8/edit?usp=sharing"",""ยะลา!J238"")"),0)</f>
        <v>0</v>
      </c>
      <c r="Q86" s="55">
        <f ca="1">IFERROR(__xludf.DUMMYFUNCTION("IMPORTRANGE(""https://docs.google.com/spreadsheets/d/1IYY_tgx_IHuhSq3AJ5eI5OnqOPBNLWSHKh2a30DoXe8/edit?usp=sharing"",""ยะลา!J239"")"),0)</f>
        <v>0</v>
      </c>
      <c r="R86" s="99">
        <f t="shared" ca="1" si="7"/>
        <v>0</v>
      </c>
      <c r="S86" s="55">
        <f ca="1">IFERROR(__xludf.DUMMYFUNCTION("IMPORTRANGE(""https://docs.google.com/spreadsheets/d/1IYY_tgx_IHuhSq3AJ5eI5OnqOPBNLWSHKh2a30DoXe8/edit?usp=sharing"",""ยะลา!J240"")"),0)</f>
        <v>0</v>
      </c>
      <c r="T86" s="55">
        <f ca="1">IFERROR(__xludf.DUMMYFUNCTION("IMPORTRANGE(""https://docs.google.com/spreadsheets/d/1IYY_tgx_IHuhSq3AJ5eI5OnqOPBNLWSHKh2a30DoXe8/edit?usp=sharing"",""ยะลา!J241"")"),0)</f>
        <v>0</v>
      </c>
      <c r="U86" s="99">
        <f t="shared" ca="1" si="9"/>
        <v>0</v>
      </c>
      <c r="V86" s="81"/>
      <c r="W86" s="81"/>
      <c r="X86" s="81"/>
      <c r="Y86" s="81"/>
      <c r="Z86" s="81"/>
    </row>
    <row r="87" spans="1:26" ht="24" customHeight="1" x14ac:dyDescent="0.5">
      <c r="A87" s="52">
        <v>11</v>
      </c>
      <c r="B87" s="53" t="s">
        <v>102</v>
      </c>
      <c r="C87" s="54">
        <f t="shared" si="53"/>
        <v>1029350</v>
      </c>
      <c r="D87" s="55">
        <v>777000</v>
      </c>
      <c r="E87" s="55">
        <v>252350</v>
      </c>
      <c r="F87" s="55">
        <f ca="1">IFERROR(__xludf.DUMMYFUNCTION("IMPORTRANGE(""https://docs.google.com/spreadsheets/d/1IYY_tgx_IHuhSq3AJ5eI5OnqOPBNLWSHKh2a30DoXe8/edit?usp=sharing"",""ระนอง!M228"")"),67020)</f>
        <v>67020</v>
      </c>
      <c r="G87" s="99">
        <f t="shared" ca="1" si="1"/>
        <v>6.5109049400106862</v>
      </c>
      <c r="H87" s="55">
        <v>75</v>
      </c>
      <c r="I87" s="55">
        <v>540</v>
      </c>
      <c r="J87" s="55">
        <f ca="1">IFERROR(__xludf.DUMMYFUNCTION("IMPORTRANGE(""https://docs.google.com/spreadsheets/d/1IYY_tgx_IHuhSq3AJ5eI5OnqOPBNLWSHKh2a30DoXe8/edit?usp=sharing"",""ระนอง!J234"")"),21)</f>
        <v>21</v>
      </c>
      <c r="K87" s="55">
        <f ca="1">IFERROR(__xludf.DUMMYFUNCTION("IMPORTRANGE(""https://docs.google.com/spreadsheets/d/1IYY_tgx_IHuhSq3AJ5eI5OnqOPBNLWSHKh2a30DoXe8/edit?usp=sharing"",""ระนอง!J235"")"),135.35)</f>
        <v>135.35</v>
      </c>
      <c r="L87" s="99">
        <f t="shared" ca="1" si="3"/>
        <v>25.064814814814813</v>
      </c>
      <c r="M87" s="55">
        <f ca="1">IFERROR(__xludf.DUMMYFUNCTION("IMPORTRANGE(""https://docs.google.com/spreadsheets/d/1IYY_tgx_IHuhSq3AJ5eI5OnqOPBNLWSHKh2a30DoXe8/edit?usp=sharing"",""ระนอง!J236"")"),0)</f>
        <v>0</v>
      </c>
      <c r="N87" s="55">
        <f ca="1">IFERROR(__xludf.DUMMYFUNCTION("IMPORTRANGE(""https://docs.google.com/spreadsheets/d/1IYY_tgx_IHuhSq3AJ5eI5OnqOPBNLWSHKh2a30DoXe8/edit?usp=sharing"",""ระนอง!J237"")"),0)</f>
        <v>0</v>
      </c>
      <c r="O87" s="99">
        <f t="shared" ca="1" si="5"/>
        <v>0</v>
      </c>
      <c r="P87" s="55">
        <f ca="1">IFERROR(__xludf.DUMMYFUNCTION("IMPORTRANGE(""https://docs.google.com/spreadsheets/d/1IYY_tgx_IHuhSq3AJ5eI5OnqOPBNLWSHKh2a30DoXe8/edit?usp=sharing"",""ระนอง!J238"")"),0)</f>
        <v>0</v>
      </c>
      <c r="Q87" s="55">
        <f ca="1">IFERROR(__xludf.DUMMYFUNCTION("IMPORTRANGE(""https://docs.google.com/spreadsheets/d/1IYY_tgx_IHuhSq3AJ5eI5OnqOPBNLWSHKh2a30DoXe8/edit?usp=sharing"",""ระนอง!J239"")"),0)</f>
        <v>0</v>
      </c>
      <c r="R87" s="99">
        <f t="shared" ca="1" si="7"/>
        <v>0</v>
      </c>
      <c r="S87" s="55">
        <f ca="1">IFERROR(__xludf.DUMMYFUNCTION("IMPORTRANGE(""https://docs.google.com/spreadsheets/d/1IYY_tgx_IHuhSq3AJ5eI5OnqOPBNLWSHKh2a30DoXe8/edit?usp=sharing"",""ระนอง!J240"")"),0)</f>
        <v>0</v>
      </c>
      <c r="T87" s="55">
        <f ca="1">IFERROR(__xludf.DUMMYFUNCTION("IMPORTRANGE(""https://docs.google.com/spreadsheets/d/1IYY_tgx_IHuhSq3AJ5eI5OnqOPBNLWSHKh2a30DoXe8/edit?usp=sharing"",""ระนอง!J241"")"),0)</f>
        <v>0</v>
      </c>
      <c r="U87" s="99">
        <f t="shared" ca="1" si="9"/>
        <v>0</v>
      </c>
      <c r="V87" s="81"/>
      <c r="W87" s="81"/>
      <c r="X87" s="81"/>
      <c r="Y87" s="81"/>
      <c r="Z87" s="81"/>
    </row>
    <row r="88" spans="1:26" ht="24" customHeight="1" x14ac:dyDescent="0.5">
      <c r="A88" s="52">
        <v>12</v>
      </c>
      <c r="B88" s="53" t="s">
        <v>103</v>
      </c>
      <c r="C88" s="54">
        <f t="shared" si="53"/>
        <v>1126610</v>
      </c>
      <c r="D88" s="55">
        <v>773000</v>
      </c>
      <c r="E88" s="55">
        <v>353610</v>
      </c>
      <c r="F88" s="55">
        <f ca="1">IFERROR(__xludf.DUMMYFUNCTION("IMPORTRANGE(""https://docs.google.com/spreadsheets/d/1IYY_tgx_IHuhSq3AJ5eI5OnqOPBNLWSHKh2a30DoXe8/edit?usp=sharing"",""สงขลา!M228"")"),121240.11)</f>
        <v>121240.11</v>
      </c>
      <c r="G88" s="99">
        <f t="shared" ca="1" si="1"/>
        <v>10.761497767639201</v>
      </c>
      <c r="H88" s="55">
        <v>210</v>
      </c>
      <c r="I88" s="55">
        <v>1720</v>
      </c>
      <c r="J88" s="55">
        <f ca="1">IFERROR(__xludf.DUMMYFUNCTION("IMPORTRANGE(""https://docs.google.com/spreadsheets/d/1IYY_tgx_IHuhSq3AJ5eI5OnqOPBNLWSHKh2a30DoXe8/edit?usp=sharing"",""สงขลา!J234"")"),8)</f>
        <v>8</v>
      </c>
      <c r="K88" s="55">
        <f ca="1">IFERROR(__xludf.DUMMYFUNCTION("IMPORTRANGE(""https://docs.google.com/spreadsheets/d/1IYY_tgx_IHuhSq3AJ5eI5OnqOPBNLWSHKh2a30DoXe8/edit?usp=sharing"",""สงขลา!J235"")"),30.52)</f>
        <v>30.52</v>
      </c>
      <c r="L88" s="99">
        <f t="shared" ca="1" si="3"/>
        <v>1.7744186046511627</v>
      </c>
      <c r="M88" s="55">
        <f ca="1">IFERROR(__xludf.DUMMYFUNCTION("IMPORTRANGE(""https://docs.google.com/spreadsheets/d/1IYY_tgx_IHuhSq3AJ5eI5OnqOPBNLWSHKh2a30DoXe8/edit?usp=sharing"",""สงขลา!J236"")"),0)</f>
        <v>0</v>
      </c>
      <c r="N88" s="55">
        <f ca="1">IFERROR(__xludf.DUMMYFUNCTION("IMPORTRANGE(""https://docs.google.com/spreadsheets/d/1IYY_tgx_IHuhSq3AJ5eI5OnqOPBNLWSHKh2a30DoXe8/edit?usp=sharing"",""สงขลา!J237"")"),0)</f>
        <v>0</v>
      </c>
      <c r="O88" s="99">
        <f t="shared" ca="1" si="5"/>
        <v>0</v>
      </c>
      <c r="P88" s="55">
        <f ca="1">IFERROR(__xludf.DUMMYFUNCTION("IMPORTRANGE(""https://docs.google.com/spreadsheets/d/1IYY_tgx_IHuhSq3AJ5eI5OnqOPBNLWSHKh2a30DoXe8/edit?usp=sharing"",""สงขลา!J238"")"),0)</f>
        <v>0</v>
      </c>
      <c r="Q88" s="55">
        <f ca="1">IFERROR(__xludf.DUMMYFUNCTION("IMPORTRANGE(""https://docs.google.com/spreadsheets/d/1IYY_tgx_IHuhSq3AJ5eI5OnqOPBNLWSHKh2a30DoXe8/edit?usp=sharing"",""สงขลา!J239"")"),0)</f>
        <v>0</v>
      </c>
      <c r="R88" s="99">
        <f t="shared" ca="1" si="7"/>
        <v>0</v>
      </c>
      <c r="S88" s="55">
        <f ca="1">IFERROR(__xludf.DUMMYFUNCTION("IMPORTRANGE(""https://docs.google.com/spreadsheets/d/1IYY_tgx_IHuhSq3AJ5eI5OnqOPBNLWSHKh2a30DoXe8/edit?usp=sharing"",""สงขลา!J240"")"),0)</f>
        <v>0</v>
      </c>
      <c r="T88" s="55">
        <f ca="1">IFERROR(__xludf.DUMMYFUNCTION("IMPORTRANGE(""https://docs.google.com/spreadsheets/d/1IYY_tgx_IHuhSq3AJ5eI5OnqOPBNLWSHKh2a30DoXe8/edit?usp=sharing"",""สงขลา!J241"")"),0)</f>
        <v>0</v>
      </c>
      <c r="U88" s="99">
        <f t="shared" ca="1" si="9"/>
        <v>0</v>
      </c>
      <c r="V88" s="81"/>
      <c r="W88" s="81"/>
      <c r="X88" s="81"/>
      <c r="Y88" s="81"/>
      <c r="Z88" s="81"/>
    </row>
    <row r="89" spans="1:26" ht="24" customHeight="1" x14ac:dyDescent="0.5">
      <c r="A89" s="52">
        <v>13</v>
      </c>
      <c r="B89" s="53" t="s">
        <v>104</v>
      </c>
      <c r="C89" s="54">
        <f t="shared" si="53"/>
        <v>757350</v>
      </c>
      <c r="D89" s="55">
        <v>530800</v>
      </c>
      <c r="E89" s="55">
        <v>226550</v>
      </c>
      <c r="F89" s="55">
        <f ca="1">IFERROR(__xludf.DUMMYFUNCTION("IMPORTRANGE(""https://docs.google.com/spreadsheets/d/1IYY_tgx_IHuhSq3AJ5eI5OnqOPBNLWSHKh2a30DoXe8/edit?usp=sharing"",""สตูล!M228"")"),0)</f>
        <v>0</v>
      </c>
      <c r="G89" s="99">
        <f t="shared" ca="1" si="1"/>
        <v>0</v>
      </c>
      <c r="H89" s="55">
        <v>50</v>
      </c>
      <c r="I89" s="55">
        <v>480</v>
      </c>
      <c r="J89" s="55">
        <f ca="1">IFERROR(__xludf.DUMMYFUNCTION("IMPORTRANGE(""https://docs.google.com/spreadsheets/d/1IYY_tgx_IHuhSq3AJ5eI5OnqOPBNLWSHKh2a30DoXe8/edit?usp=sharing"",""สตูล!J234"")"),15)</f>
        <v>15</v>
      </c>
      <c r="K89" s="55">
        <f ca="1">IFERROR(__xludf.DUMMYFUNCTION("IMPORTRANGE(""https://docs.google.com/spreadsheets/d/1IYY_tgx_IHuhSq3AJ5eI5OnqOPBNLWSHKh2a30DoXe8/edit?usp=sharing"",""สตูล!J235"")"),78.58)</f>
        <v>78.58</v>
      </c>
      <c r="L89" s="99">
        <f t="shared" ca="1" si="3"/>
        <v>16.370833333333334</v>
      </c>
      <c r="M89" s="55">
        <f ca="1">IFERROR(__xludf.DUMMYFUNCTION("IMPORTRANGE(""https://docs.google.com/spreadsheets/d/1IYY_tgx_IHuhSq3AJ5eI5OnqOPBNLWSHKh2a30DoXe8/edit?usp=sharing"",""สตูล!J236"")"),15)</f>
        <v>15</v>
      </c>
      <c r="N89" s="55">
        <f ca="1">IFERROR(__xludf.DUMMYFUNCTION("IMPORTRANGE(""https://docs.google.com/spreadsheets/d/1IYY_tgx_IHuhSq3AJ5eI5OnqOPBNLWSHKh2a30DoXe8/edit?usp=sharing"",""สตูล!J237"")"),78.58)</f>
        <v>78.58</v>
      </c>
      <c r="O89" s="99">
        <f t="shared" ca="1" si="5"/>
        <v>30</v>
      </c>
      <c r="P89" s="55">
        <f ca="1">IFERROR(__xludf.DUMMYFUNCTION("IMPORTRANGE(""https://docs.google.com/spreadsheets/d/1IYY_tgx_IHuhSq3AJ5eI5OnqOPBNLWSHKh2a30DoXe8/edit?usp=sharing"",""สตูล!J238"")"),0)</f>
        <v>0</v>
      </c>
      <c r="Q89" s="55">
        <f ca="1">IFERROR(__xludf.DUMMYFUNCTION("IMPORTRANGE(""https://docs.google.com/spreadsheets/d/1IYY_tgx_IHuhSq3AJ5eI5OnqOPBNLWSHKh2a30DoXe8/edit?usp=sharing"",""สตูล!J239"")"),0)</f>
        <v>0</v>
      </c>
      <c r="R89" s="99">
        <f t="shared" ca="1" si="7"/>
        <v>0</v>
      </c>
      <c r="S89" s="55">
        <f ca="1">IFERROR(__xludf.DUMMYFUNCTION("IMPORTRANGE(""https://docs.google.com/spreadsheets/d/1IYY_tgx_IHuhSq3AJ5eI5OnqOPBNLWSHKh2a30DoXe8/edit?usp=sharing"",""สตูล!J240"")"),13)</f>
        <v>13</v>
      </c>
      <c r="T89" s="55">
        <f ca="1">IFERROR(__xludf.DUMMYFUNCTION("IMPORTRANGE(""https://docs.google.com/spreadsheets/d/1IYY_tgx_IHuhSq3AJ5eI5OnqOPBNLWSHKh2a30DoXe8/edit?usp=sharing"",""สตูล!J241"")"),71.28)</f>
        <v>71.28</v>
      </c>
      <c r="U89" s="99">
        <f t="shared" ca="1" si="9"/>
        <v>26</v>
      </c>
      <c r="V89" s="81"/>
      <c r="W89" s="81"/>
      <c r="X89" s="81"/>
      <c r="Y89" s="81"/>
      <c r="Z89" s="81"/>
    </row>
    <row r="90" spans="1:26" ht="24" customHeight="1" x14ac:dyDescent="0.5">
      <c r="A90" s="59">
        <v>14</v>
      </c>
      <c r="B90" s="60" t="s">
        <v>105</v>
      </c>
      <c r="C90" s="61">
        <f t="shared" si="53"/>
        <v>1816010</v>
      </c>
      <c r="D90" s="62">
        <v>923400</v>
      </c>
      <c r="E90" s="62">
        <v>892610</v>
      </c>
      <c r="F90" s="62">
        <f ca="1">IFERROR(__xludf.DUMMYFUNCTION("IMPORTRANGE(""https://docs.google.com/spreadsheets/d/1IYY_tgx_IHuhSq3AJ5eI5OnqOPBNLWSHKh2a30DoXe8/edit?usp=sharing"",""สุราษฎร์ธานี!M228"")"),0)</f>
        <v>0</v>
      </c>
      <c r="G90" s="100">
        <f t="shared" ca="1" si="1"/>
        <v>0</v>
      </c>
      <c r="H90" s="62">
        <v>550</v>
      </c>
      <c r="I90" s="62">
        <v>5600</v>
      </c>
      <c r="J90" s="62">
        <f ca="1">IFERROR(__xludf.DUMMYFUNCTION("IMPORTRANGE(""https://docs.google.com/spreadsheets/d/1IYY_tgx_IHuhSq3AJ5eI5OnqOPBNLWSHKh2a30DoXe8/edit?usp=sharing"",""สุราษฎร์ธานี!J234"")"),0)</f>
        <v>0</v>
      </c>
      <c r="K90" s="62">
        <f ca="1">IFERROR(__xludf.DUMMYFUNCTION("IMPORTRANGE(""https://docs.google.com/spreadsheets/d/1IYY_tgx_IHuhSq3AJ5eI5OnqOPBNLWSHKh2a30DoXe8/edit?usp=sharing"",""สุราษฎร์ธานี!J235"")"),0)</f>
        <v>0</v>
      </c>
      <c r="L90" s="100">
        <f t="shared" ca="1" si="3"/>
        <v>0</v>
      </c>
      <c r="M90" s="62">
        <f ca="1">IFERROR(__xludf.DUMMYFUNCTION("IMPORTRANGE(""https://docs.google.com/spreadsheets/d/1IYY_tgx_IHuhSq3AJ5eI5OnqOPBNLWSHKh2a30DoXe8/edit?usp=sharing"",""สุราษฎร์ธานี!J236"")"),63)</f>
        <v>63</v>
      </c>
      <c r="N90" s="62">
        <f ca="1">IFERROR(__xludf.DUMMYFUNCTION("IMPORTRANGE(""https://docs.google.com/spreadsheets/d/1IYY_tgx_IHuhSq3AJ5eI5OnqOPBNLWSHKh2a30DoXe8/edit?usp=sharing"",""สุราษฎร์ธานี!J237"")"),1138.01)</f>
        <v>1138.01</v>
      </c>
      <c r="O90" s="100">
        <f t="shared" ca="1" si="5"/>
        <v>11.454545454545455</v>
      </c>
      <c r="P90" s="62">
        <f ca="1">IFERROR(__xludf.DUMMYFUNCTION("IMPORTRANGE(""https://docs.google.com/spreadsheets/d/1IYY_tgx_IHuhSq3AJ5eI5OnqOPBNLWSHKh2a30DoXe8/edit?usp=sharing"",""สุราษฎร์ธานี!J238"")"),0)</f>
        <v>0</v>
      </c>
      <c r="Q90" s="62">
        <f ca="1">IFERROR(__xludf.DUMMYFUNCTION("IMPORTRANGE(""https://docs.google.com/spreadsheets/d/1IYY_tgx_IHuhSq3AJ5eI5OnqOPBNLWSHKh2a30DoXe8/edit?usp=sharing"",""สุราษฎร์ธานี!J239"")"),0)</f>
        <v>0</v>
      </c>
      <c r="R90" s="100">
        <f t="shared" ca="1" si="7"/>
        <v>0</v>
      </c>
      <c r="S90" s="62">
        <f ca="1">IFERROR(__xludf.DUMMYFUNCTION("IMPORTRANGE(""https://docs.google.com/spreadsheets/d/1IYY_tgx_IHuhSq3AJ5eI5OnqOPBNLWSHKh2a30DoXe8/edit?usp=sharing"",""สุราษฎร์ธานี!J240"")"),63)</f>
        <v>63</v>
      </c>
      <c r="T90" s="62">
        <f ca="1">IFERROR(__xludf.DUMMYFUNCTION("IMPORTRANGE(""https://docs.google.com/spreadsheets/d/1IYY_tgx_IHuhSq3AJ5eI5OnqOPBNLWSHKh2a30DoXe8/edit?usp=sharing"",""สุราษฎร์ธานี!J241"")"),1138.01)</f>
        <v>1138.01</v>
      </c>
      <c r="U90" s="100">
        <f t="shared" ca="1" si="9"/>
        <v>11.454545454545455</v>
      </c>
      <c r="V90" s="81"/>
      <c r="W90" s="81"/>
      <c r="X90" s="81"/>
      <c r="Y90" s="81"/>
      <c r="Z90" s="81"/>
    </row>
    <row r="91" spans="1:26" ht="24" customHeight="1" x14ac:dyDescent="0.5">
      <c r="A91" s="572" t="s">
        <v>106</v>
      </c>
      <c r="B91" s="571"/>
      <c r="C91" s="35">
        <f t="shared" ref="C91:F91" si="54">+C92+C93+C94+C95+C96+C97+C98+C99+C100+C101+C102+C103+C104+C105</f>
        <v>43871240</v>
      </c>
      <c r="D91" s="35">
        <f t="shared" si="54"/>
        <v>29026200</v>
      </c>
      <c r="E91" s="35">
        <f t="shared" si="54"/>
        <v>14845040</v>
      </c>
      <c r="F91" s="35">
        <f t="shared" ca="1" si="54"/>
        <v>4777598</v>
      </c>
      <c r="G91" s="92">
        <f t="shared" ca="1" si="1"/>
        <v>10.890045505894067</v>
      </c>
      <c r="H91" s="35">
        <f t="shared" ref="H91:K91" si="55">+H92+H93+H94+H95+H96+H97+H98+H99+H100+H101+H102+H103+H104+H105</f>
        <v>0</v>
      </c>
      <c r="I91" s="35">
        <f t="shared" si="55"/>
        <v>0</v>
      </c>
      <c r="J91" s="35">
        <f t="shared" si="55"/>
        <v>0</v>
      </c>
      <c r="K91" s="35">
        <f t="shared" si="55"/>
        <v>0</v>
      </c>
      <c r="L91" s="92">
        <f t="shared" si="3"/>
        <v>0</v>
      </c>
      <c r="M91" s="35">
        <f t="shared" ref="M91:N91" si="56">+M92+M93+M94+M95+M96+M97+M98+M99+M100+M101+M102+M103+M104+M105</f>
        <v>0</v>
      </c>
      <c r="N91" s="35">
        <f t="shared" si="56"/>
        <v>0</v>
      </c>
      <c r="O91" s="92">
        <f t="shared" si="5"/>
        <v>0</v>
      </c>
      <c r="P91" s="35">
        <f t="shared" ref="P91:Q91" si="57">+P92+P93+P94+P95+P96+P97+P98+P99+P100+P101+P102+P103+P104+P105</f>
        <v>0</v>
      </c>
      <c r="Q91" s="35">
        <f t="shared" si="57"/>
        <v>0</v>
      </c>
      <c r="R91" s="92">
        <f t="shared" si="7"/>
        <v>0</v>
      </c>
      <c r="S91" s="35">
        <f t="shared" ref="S91:T91" si="58">+S92+S93+S94+S95+S96+S97+S98+S99+S100+S101+S102+S103+S104+S105</f>
        <v>0</v>
      </c>
      <c r="T91" s="35">
        <f t="shared" si="58"/>
        <v>0</v>
      </c>
      <c r="U91" s="92">
        <f t="shared" si="9"/>
        <v>0</v>
      </c>
      <c r="V91" s="81"/>
      <c r="W91" s="81"/>
      <c r="X91" s="81"/>
      <c r="Y91" s="81"/>
      <c r="Z91" s="81"/>
    </row>
    <row r="92" spans="1:26" ht="24" customHeight="1" x14ac:dyDescent="0.5">
      <c r="A92" s="68">
        <v>1</v>
      </c>
      <c r="B92" s="69" t="s">
        <v>107</v>
      </c>
      <c r="C92" s="47">
        <f t="shared" ref="C92:C105" si="59">+D92+E92</f>
        <v>132000</v>
      </c>
      <c r="D92" s="48">
        <v>132000</v>
      </c>
      <c r="E92" s="48">
        <v>0</v>
      </c>
      <c r="F92" s="48">
        <f ca="1">IFERROR(__xludf.DUMMYFUNCTION("IMPORTRANGE(""https://docs.google.com/spreadsheets/d/1Yj_ptqi66GCucihVvJfMjLAmec39IyEx_6qawtMGysU/edit?usp=sharing"",""สบก!DM96"")"),72000)</f>
        <v>72000</v>
      </c>
      <c r="G92" s="98">
        <f t="shared" ca="1" si="1"/>
        <v>54.545454545454547</v>
      </c>
      <c r="H92" s="48">
        <v>0</v>
      </c>
      <c r="I92" s="48">
        <v>0</v>
      </c>
      <c r="J92" s="48">
        <v>0</v>
      </c>
      <c r="K92" s="48">
        <v>0</v>
      </c>
      <c r="L92" s="98">
        <f t="shared" si="3"/>
        <v>0</v>
      </c>
      <c r="M92" s="48">
        <v>0</v>
      </c>
      <c r="N92" s="48">
        <v>0</v>
      </c>
      <c r="O92" s="98">
        <f t="shared" si="5"/>
        <v>0</v>
      </c>
      <c r="P92" s="48">
        <v>0</v>
      </c>
      <c r="Q92" s="48">
        <v>0</v>
      </c>
      <c r="R92" s="98">
        <f t="shared" si="7"/>
        <v>0</v>
      </c>
      <c r="S92" s="48">
        <v>0</v>
      </c>
      <c r="T92" s="48">
        <v>0</v>
      </c>
      <c r="U92" s="98">
        <f t="shared" si="9"/>
        <v>0</v>
      </c>
      <c r="V92" s="81"/>
      <c r="W92" s="81"/>
      <c r="X92" s="81"/>
      <c r="Y92" s="81"/>
      <c r="Z92" s="81"/>
    </row>
    <row r="93" spans="1:26" ht="24" customHeight="1" x14ac:dyDescent="0.5">
      <c r="A93" s="70">
        <v>2</v>
      </c>
      <c r="B93" s="71" t="s">
        <v>108</v>
      </c>
      <c r="C93" s="54">
        <f t="shared" si="59"/>
        <v>0</v>
      </c>
      <c r="D93" s="55">
        <v>0</v>
      </c>
      <c r="E93" s="55">
        <v>0</v>
      </c>
      <c r="F93" s="55">
        <f ca="1">IFERROR(__xludf.DUMMYFUNCTION("IMPORTRANGE(""https://docs.google.com/spreadsheets/d/1Yj_ptqi66GCucihVvJfMjLAmec39IyEx_6qawtMGysU/edit?usp=sharing"",""สบก!DM97"")"),0)</f>
        <v>0</v>
      </c>
      <c r="G93" s="99">
        <f t="shared" si="1"/>
        <v>0</v>
      </c>
      <c r="H93" s="55">
        <v>0</v>
      </c>
      <c r="I93" s="55">
        <v>0</v>
      </c>
      <c r="J93" s="55">
        <v>0</v>
      </c>
      <c r="K93" s="55">
        <v>0</v>
      </c>
      <c r="L93" s="99">
        <f t="shared" si="3"/>
        <v>0</v>
      </c>
      <c r="M93" s="55">
        <v>0</v>
      </c>
      <c r="N93" s="55">
        <v>0</v>
      </c>
      <c r="O93" s="99">
        <f t="shared" si="5"/>
        <v>0</v>
      </c>
      <c r="P93" s="55">
        <v>0</v>
      </c>
      <c r="Q93" s="55">
        <v>0</v>
      </c>
      <c r="R93" s="99">
        <f t="shared" si="7"/>
        <v>0</v>
      </c>
      <c r="S93" s="55">
        <v>0</v>
      </c>
      <c r="T93" s="55">
        <v>0</v>
      </c>
      <c r="U93" s="99">
        <f t="shared" si="9"/>
        <v>0</v>
      </c>
      <c r="V93" s="81"/>
      <c r="W93" s="81"/>
      <c r="X93" s="81"/>
      <c r="Y93" s="81"/>
      <c r="Z93" s="81"/>
    </row>
    <row r="94" spans="1:26" ht="24" customHeight="1" x14ac:dyDescent="0.5">
      <c r="A94" s="70">
        <v>3</v>
      </c>
      <c r="B94" s="71" t="s">
        <v>109</v>
      </c>
      <c r="C94" s="54">
        <f t="shared" si="59"/>
        <v>8747000</v>
      </c>
      <c r="D94" s="55">
        <v>8747000</v>
      </c>
      <c r="E94" s="55">
        <v>0</v>
      </c>
      <c r="F94" s="55">
        <f ca="1">IFERROR(__xludf.DUMMYFUNCTION("IMPORTRANGE(""https://docs.google.com/spreadsheets/d/1Yj_ptqi66GCucihVvJfMjLAmec39IyEx_6qawtMGysU/edit?usp=sharing"",""สบก!DM98"")"),1479104)</f>
        <v>1479104</v>
      </c>
      <c r="G94" s="99">
        <f t="shared" ca="1" si="1"/>
        <v>16.909843374871386</v>
      </c>
      <c r="H94" s="55">
        <v>0</v>
      </c>
      <c r="I94" s="55">
        <v>0</v>
      </c>
      <c r="J94" s="55">
        <v>0</v>
      </c>
      <c r="K94" s="55">
        <v>0</v>
      </c>
      <c r="L94" s="99">
        <f t="shared" si="3"/>
        <v>0</v>
      </c>
      <c r="M94" s="55">
        <v>0</v>
      </c>
      <c r="N94" s="55">
        <v>0</v>
      </c>
      <c r="O94" s="99">
        <f t="shared" si="5"/>
        <v>0</v>
      </c>
      <c r="P94" s="55">
        <v>0</v>
      </c>
      <c r="Q94" s="55">
        <v>0</v>
      </c>
      <c r="R94" s="99">
        <f t="shared" si="7"/>
        <v>0</v>
      </c>
      <c r="S94" s="55">
        <v>0</v>
      </c>
      <c r="T94" s="55">
        <v>0</v>
      </c>
      <c r="U94" s="99">
        <f t="shared" si="9"/>
        <v>0</v>
      </c>
      <c r="V94" s="81"/>
      <c r="W94" s="81"/>
      <c r="X94" s="81"/>
      <c r="Y94" s="81"/>
      <c r="Z94" s="81"/>
    </row>
    <row r="95" spans="1:26" ht="24" customHeight="1" x14ac:dyDescent="0.5">
      <c r="A95" s="70">
        <f t="shared" ref="A95:A105" si="60">+A94+1</f>
        <v>4</v>
      </c>
      <c r="B95" s="71" t="s">
        <v>110</v>
      </c>
      <c r="C95" s="54">
        <f t="shared" si="59"/>
        <v>5190500</v>
      </c>
      <c r="D95" s="55">
        <v>5190500</v>
      </c>
      <c r="E95" s="55">
        <v>0</v>
      </c>
      <c r="F95" s="55">
        <f ca="1">IFERROR(__xludf.DUMMYFUNCTION("IMPORTRANGE(""https://docs.google.com/spreadsheets/d/1Yj_ptqi66GCucihVvJfMjLAmec39IyEx_6qawtMGysU/edit?usp=sharing"",""สบก!DM99"")"),420146)</f>
        <v>420146</v>
      </c>
      <c r="G95" s="99">
        <f t="shared" ca="1" si="1"/>
        <v>8.0945188324824198</v>
      </c>
      <c r="H95" s="55">
        <v>0</v>
      </c>
      <c r="I95" s="55">
        <v>0</v>
      </c>
      <c r="J95" s="55">
        <v>0</v>
      </c>
      <c r="K95" s="55">
        <v>0</v>
      </c>
      <c r="L95" s="99">
        <f t="shared" si="3"/>
        <v>0</v>
      </c>
      <c r="M95" s="55">
        <v>0</v>
      </c>
      <c r="N95" s="55">
        <v>0</v>
      </c>
      <c r="O95" s="99">
        <f t="shared" si="5"/>
        <v>0</v>
      </c>
      <c r="P95" s="55">
        <v>0</v>
      </c>
      <c r="Q95" s="55">
        <v>0</v>
      </c>
      <c r="R95" s="99">
        <f t="shared" si="7"/>
        <v>0</v>
      </c>
      <c r="S95" s="55">
        <v>0</v>
      </c>
      <c r="T95" s="55">
        <v>0</v>
      </c>
      <c r="U95" s="99">
        <f t="shared" si="9"/>
        <v>0</v>
      </c>
      <c r="V95" s="81"/>
      <c r="W95" s="81"/>
      <c r="X95" s="81"/>
      <c r="Y95" s="81"/>
      <c r="Z95" s="81"/>
    </row>
    <row r="96" spans="1:26" ht="24" customHeight="1" x14ac:dyDescent="0.5">
      <c r="A96" s="70">
        <f t="shared" si="60"/>
        <v>5</v>
      </c>
      <c r="B96" s="71" t="s">
        <v>111</v>
      </c>
      <c r="C96" s="54">
        <f t="shared" si="59"/>
        <v>1439600</v>
      </c>
      <c r="D96" s="55">
        <v>1439600</v>
      </c>
      <c r="E96" s="55">
        <v>0</v>
      </c>
      <c r="F96" s="55">
        <f ca="1">IFERROR(__xludf.DUMMYFUNCTION("IMPORTRANGE(""https://docs.google.com/spreadsheets/d/1Yj_ptqi66GCucihVvJfMjLAmec39IyEx_6qawtMGysU/edit?usp=sharing"",""สบก!DM100"")"),118700)</f>
        <v>118700</v>
      </c>
      <c r="G96" s="99">
        <f t="shared" ca="1" si="1"/>
        <v>8.2453459294248397</v>
      </c>
      <c r="H96" s="55">
        <v>0</v>
      </c>
      <c r="I96" s="55">
        <v>0</v>
      </c>
      <c r="J96" s="55">
        <v>0</v>
      </c>
      <c r="K96" s="55">
        <v>0</v>
      </c>
      <c r="L96" s="99">
        <f t="shared" si="3"/>
        <v>0</v>
      </c>
      <c r="M96" s="55">
        <v>0</v>
      </c>
      <c r="N96" s="55">
        <v>0</v>
      </c>
      <c r="O96" s="99">
        <f t="shared" si="5"/>
        <v>0</v>
      </c>
      <c r="P96" s="55">
        <v>0</v>
      </c>
      <c r="Q96" s="55">
        <v>0</v>
      </c>
      <c r="R96" s="99">
        <f t="shared" si="7"/>
        <v>0</v>
      </c>
      <c r="S96" s="55">
        <v>0</v>
      </c>
      <c r="T96" s="55">
        <v>0</v>
      </c>
      <c r="U96" s="99">
        <f t="shared" si="9"/>
        <v>0</v>
      </c>
      <c r="V96" s="81"/>
      <c r="W96" s="81"/>
      <c r="X96" s="81"/>
      <c r="Y96" s="81"/>
      <c r="Z96" s="81"/>
    </row>
    <row r="97" spans="1:26" ht="24" customHeight="1" x14ac:dyDescent="0.5">
      <c r="A97" s="70">
        <f t="shared" si="60"/>
        <v>6</v>
      </c>
      <c r="B97" s="71" t="s">
        <v>112</v>
      </c>
      <c r="C97" s="54">
        <f t="shared" si="59"/>
        <v>11660240</v>
      </c>
      <c r="D97" s="55">
        <v>2507600</v>
      </c>
      <c r="E97" s="55">
        <v>9152640</v>
      </c>
      <c r="F97" s="55">
        <f ca="1">IFERROR(__xludf.DUMMYFUNCTION("IMPORTRANGE(""https://docs.google.com/spreadsheets/d/1Yj_ptqi66GCucihVvJfMjLAmec39IyEx_6qawtMGysU/edit?usp=sharing"",""สบก!DM101"")"),115183)</f>
        <v>115183</v>
      </c>
      <c r="G97" s="99">
        <f t="shared" ca="1" si="1"/>
        <v>0.9878270087065103</v>
      </c>
      <c r="H97" s="55">
        <v>0</v>
      </c>
      <c r="I97" s="55">
        <v>0</v>
      </c>
      <c r="J97" s="55">
        <v>0</v>
      </c>
      <c r="K97" s="55">
        <v>0</v>
      </c>
      <c r="L97" s="99">
        <f t="shared" si="3"/>
        <v>0</v>
      </c>
      <c r="M97" s="55">
        <v>0</v>
      </c>
      <c r="N97" s="55">
        <v>0</v>
      </c>
      <c r="O97" s="99">
        <f t="shared" si="5"/>
        <v>0</v>
      </c>
      <c r="P97" s="55">
        <v>0</v>
      </c>
      <c r="Q97" s="55">
        <v>0</v>
      </c>
      <c r="R97" s="99">
        <f t="shared" si="7"/>
        <v>0</v>
      </c>
      <c r="S97" s="55">
        <v>0</v>
      </c>
      <c r="T97" s="55">
        <v>0</v>
      </c>
      <c r="U97" s="99">
        <f t="shared" si="9"/>
        <v>0</v>
      </c>
      <c r="V97" s="81"/>
      <c r="W97" s="81"/>
      <c r="X97" s="81"/>
      <c r="Y97" s="81"/>
      <c r="Z97" s="81"/>
    </row>
    <row r="98" spans="1:26" ht="24" customHeight="1" x14ac:dyDescent="0.5">
      <c r="A98" s="70">
        <f t="shared" si="60"/>
        <v>7</v>
      </c>
      <c r="B98" s="71" t="s">
        <v>113</v>
      </c>
      <c r="C98" s="54">
        <f t="shared" si="59"/>
        <v>0</v>
      </c>
      <c r="D98" s="55">
        <v>0</v>
      </c>
      <c r="E98" s="55">
        <v>0</v>
      </c>
      <c r="F98" s="55">
        <f ca="1">IFERROR(__xludf.DUMMYFUNCTION("IMPORTRANGE(""https://docs.google.com/spreadsheets/d/1Yj_ptqi66GCucihVvJfMjLAmec39IyEx_6qawtMGysU/edit?usp=sharing"",""สบก!DM102"")"),0)</f>
        <v>0</v>
      </c>
      <c r="G98" s="99">
        <f t="shared" si="1"/>
        <v>0</v>
      </c>
      <c r="H98" s="55">
        <v>0</v>
      </c>
      <c r="I98" s="55">
        <v>0</v>
      </c>
      <c r="J98" s="55">
        <v>0</v>
      </c>
      <c r="K98" s="55">
        <v>0</v>
      </c>
      <c r="L98" s="99">
        <f t="shared" si="3"/>
        <v>0</v>
      </c>
      <c r="M98" s="55">
        <v>0</v>
      </c>
      <c r="N98" s="55">
        <v>0</v>
      </c>
      <c r="O98" s="99">
        <f t="shared" si="5"/>
        <v>0</v>
      </c>
      <c r="P98" s="55">
        <v>0</v>
      </c>
      <c r="Q98" s="55">
        <v>0</v>
      </c>
      <c r="R98" s="99">
        <f t="shared" si="7"/>
        <v>0</v>
      </c>
      <c r="S98" s="55">
        <v>0</v>
      </c>
      <c r="T98" s="55">
        <v>0</v>
      </c>
      <c r="U98" s="99">
        <f t="shared" si="9"/>
        <v>0</v>
      </c>
      <c r="V98" s="81"/>
      <c r="W98" s="81"/>
      <c r="X98" s="81"/>
      <c r="Y98" s="81"/>
      <c r="Z98" s="81"/>
    </row>
    <row r="99" spans="1:26" ht="24" customHeight="1" x14ac:dyDescent="0.5">
      <c r="A99" s="70">
        <f t="shared" si="60"/>
        <v>8</v>
      </c>
      <c r="B99" s="71" t="s">
        <v>114</v>
      </c>
      <c r="C99" s="54">
        <f t="shared" si="59"/>
        <v>2812700</v>
      </c>
      <c r="D99" s="55">
        <v>2812700</v>
      </c>
      <c r="E99" s="55">
        <v>0</v>
      </c>
      <c r="F99" s="55">
        <f ca="1">IFERROR(__xludf.DUMMYFUNCTION("IMPORTRANGE(""https://docs.google.com/spreadsheets/d/1Yj_ptqi66GCucihVvJfMjLAmec39IyEx_6qawtMGysU/edit?usp=sharing"",""สบก!DM103"")"),478621)</f>
        <v>478621</v>
      </c>
      <c r="G99" s="99">
        <f t="shared" ca="1" si="1"/>
        <v>17.016425498631207</v>
      </c>
      <c r="H99" s="55">
        <v>0</v>
      </c>
      <c r="I99" s="55">
        <v>0</v>
      </c>
      <c r="J99" s="55">
        <v>0</v>
      </c>
      <c r="K99" s="55">
        <v>0</v>
      </c>
      <c r="L99" s="99">
        <f t="shared" si="3"/>
        <v>0</v>
      </c>
      <c r="M99" s="55">
        <v>0</v>
      </c>
      <c r="N99" s="55">
        <v>0</v>
      </c>
      <c r="O99" s="99">
        <f t="shared" si="5"/>
        <v>0</v>
      </c>
      <c r="P99" s="55">
        <v>0</v>
      </c>
      <c r="Q99" s="55">
        <v>0</v>
      </c>
      <c r="R99" s="99">
        <f t="shared" si="7"/>
        <v>0</v>
      </c>
      <c r="S99" s="55">
        <v>0</v>
      </c>
      <c r="T99" s="55">
        <v>0</v>
      </c>
      <c r="U99" s="99">
        <f t="shared" si="9"/>
        <v>0</v>
      </c>
      <c r="V99" s="81"/>
      <c r="W99" s="81"/>
      <c r="X99" s="81"/>
      <c r="Y99" s="81"/>
      <c r="Z99" s="81"/>
    </row>
    <row r="100" spans="1:26" ht="24" customHeight="1" x14ac:dyDescent="0.5">
      <c r="A100" s="70">
        <f t="shared" si="60"/>
        <v>9</v>
      </c>
      <c r="B100" s="71" t="s">
        <v>115</v>
      </c>
      <c r="C100" s="54">
        <f t="shared" si="59"/>
        <v>4028300</v>
      </c>
      <c r="D100" s="55">
        <v>1381200</v>
      </c>
      <c r="E100" s="55">
        <v>2647100</v>
      </c>
      <c r="F100" s="55">
        <f ca="1">IFERROR(__xludf.DUMMYFUNCTION("IMPORTRANGE(""https://docs.google.com/spreadsheets/d/1Yj_ptqi66GCucihVvJfMjLAmec39IyEx_6qawtMGysU/edit?usp=sharing"",""สบก!DM104"")"),924800)</f>
        <v>924800</v>
      </c>
      <c r="G100" s="99">
        <f t="shared" ca="1" si="1"/>
        <v>22.957575155772908</v>
      </c>
      <c r="H100" s="55">
        <v>0</v>
      </c>
      <c r="I100" s="55">
        <v>0</v>
      </c>
      <c r="J100" s="55">
        <v>0</v>
      </c>
      <c r="K100" s="55">
        <v>0</v>
      </c>
      <c r="L100" s="99">
        <f t="shared" si="3"/>
        <v>0</v>
      </c>
      <c r="M100" s="55">
        <v>0</v>
      </c>
      <c r="N100" s="55">
        <v>0</v>
      </c>
      <c r="O100" s="99">
        <f t="shared" si="5"/>
        <v>0</v>
      </c>
      <c r="P100" s="55">
        <v>0</v>
      </c>
      <c r="Q100" s="55">
        <v>0</v>
      </c>
      <c r="R100" s="99">
        <f t="shared" si="7"/>
        <v>0</v>
      </c>
      <c r="S100" s="55">
        <v>0</v>
      </c>
      <c r="T100" s="55">
        <v>0</v>
      </c>
      <c r="U100" s="99">
        <f t="shared" si="9"/>
        <v>0</v>
      </c>
      <c r="V100" s="81"/>
      <c r="W100" s="81"/>
      <c r="X100" s="81"/>
      <c r="Y100" s="81"/>
      <c r="Z100" s="81"/>
    </row>
    <row r="101" spans="1:26" ht="24" customHeight="1" x14ac:dyDescent="0.5">
      <c r="A101" s="70">
        <f t="shared" si="60"/>
        <v>10</v>
      </c>
      <c r="B101" s="71" t="s">
        <v>116</v>
      </c>
      <c r="C101" s="54">
        <f t="shared" si="59"/>
        <v>6052900</v>
      </c>
      <c r="D101" s="55">
        <v>3007600</v>
      </c>
      <c r="E101" s="55">
        <v>3045300</v>
      </c>
      <c r="F101" s="55">
        <f ca="1">IFERROR(__xludf.DUMMYFUNCTION("IMPORTRANGE(""https://docs.google.com/spreadsheets/d/1Yj_ptqi66GCucihVvJfMjLAmec39IyEx_6qawtMGysU/edit?usp=sharing"",""สบก!DM105"")"),726668)</f>
        <v>726668</v>
      </c>
      <c r="G101" s="99">
        <f t="shared" ca="1" si="1"/>
        <v>12.005286722067108</v>
      </c>
      <c r="H101" s="55">
        <v>0</v>
      </c>
      <c r="I101" s="55">
        <v>0</v>
      </c>
      <c r="J101" s="55">
        <v>0</v>
      </c>
      <c r="K101" s="55">
        <v>0</v>
      </c>
      <c r="L101" s="99">
        <f t="shared" si="3"/>
        <v>0</v>
      </c>
      <c r="M101" s="55">
        <v>0</v>
      </c>
      <c r="N101" s="55">
        <v>0</v>
      </c>
      <c r="O101" s="99">
        <f t="shared" si="5"/>
        <v>0</v>
      </c>
      <c r="P101" s="55">
        <v>0</v>
      </c>
      <c r="Q101" s="55">
        <v>0</v>
      </c>
      <c r="R101" s="99">
        <f t="shared" si="7"/>
        <v>0</v>
      </c>
      <c r="S101" s="55">
        <v>0</v>
      </c>
      <c r="T101" s="55">
        <v>0</v>
      </c>
      <c r="U101" s="99">
        <f t="shared" si="9"/>
        <v>0</v>
      </c>
      <c r="V101" s="81"/>
      <c r="W101" s="81"/>
      <c r="X101" s="81"/>
      <c r="Y101" s="81"/>
      <c r="Z101" s="81"/>
    </row>
    <row r="102" spans="1:26" ht="24" customHeight="1" x14ac:dyDescent="0.5">
      <c r="A102" s="70">
        <f t="shared" si="60"/>
        <v>11</v>
      </c>
      <c r="B102" s="71" t="s">
        <v>117</v>
      </c>
      <c r="C102" s="54">
        <f t="shared" si="59"/>
        <v>1617200</v>
      </c>
      <c r="D102" s="55">
        <v>1617200</v>
      </c>
      <c r="E102" s="55">
        <v>0</v>
      </c>
      <c r="F102" s="55">
        <f ca="1">IFERROR(__xludf.DUMMYFUNCTION("IMPORTRANGE(""https://docs.google.com/spreadsheets/d/1Yj_ptqi66GCucihVvJfMjLAmec39IyEx_6qawtMGysU/edit?usp=sharing"",""สบก!DM106"")"),118613)</f>
        <v>118613</v>
      </c>
      <c r="G102" s="99">
        <f t="shared" ca="1" si="1"/>
        <v>7.3344669799653719</v>
      </c>
      <c r="H102" s="55">
        <v>0</v>
      </c>
      <c r="I102" s="55">
        <v>0</v>
      </c>
      <c r="J102" s="55">
        <v>0</v>
      </c>
      <c r="K102" s="55">
        <v>0</v>
      </c>
      <c r="L102" s="99">
        <f t="shared" si="3"/>
        <v>0</v>
      </c>
      <c r="M102" s="55">
        <v>0</v>
      </c>
      <c r="N102" s="55">
        <v>0</v>
      </c>
      <c r="O102" s="99">
        <f t="shared" si="5"/>
        <v>0</v>
      </c>
      <c r="P102" s="55">
        <v>0</v>
      </c>
      <c r="Q102" s="55">
        <v>0</v>
      </c>
      <c r="R102" s="99">
        <f t="shared" si="7"/>
        <v>0</v>
      </c>
      <c r="S102" s="55">
        <v>0</v>
      </c>
      <c r="T102" s="55">
        <v>0</v>
      </c>
      <c r="U102" s="99">
        <f t="shared" si="9"/>
        <v>0</v>
      </c>
      <c r="V102" s="81"/>
      <c r="W102" s="81"/>
      <c r="X102" s="81"/>
      <c r="Y102" s="81"/>
      <c r="Z102" s="81"/>
    </row>
    <row r="103" spans="1:26" ht="24" customHeight="1" x14ac:dyDescent="0.5">
      <c r="A103" s="70">
        <f t="shared" si="60"/>
        <v>12</v>
      </c>
      <c r="B103" s="71" t="s">
        <v>118</v>
      </c>
      <c r="C103" s="54">
        <f t="shared" si="59"/>
        <v>2190800</v>
      </c>
      <c r="D103" s="55">
        <v>2190800</v>
      </c>
      <c r="E103" s="55">
        <v>0</v>
      </c>
      <c r="F103" s="55">
        <f ca="1">IFERROR(__xludf.DUMMYFUNCTION("IMPORTRANGE(""https://docs.google.com/spreadsheets/d/1Yj_ptqi66GCucihVvJfMjLAmec39IyEx_6qawtMGysU/edit?usp=sharing"",""สบก!DM107"")"),323763)</f>
        <v>323763</v>
      </c>
      <c r="G103" s="99">
        <f t="shared" ca="1" si="1"/>
        <v>14.778300164323534</v>
      </c>
      <c r="H103" s="55">
        <v>0</v>
      </c>
      <c r="I103" s="55">
        <v>0</v>
      </c>
      <c r="J103" s="55">
        <v>0</v>
      </c>
      <c r="K103" s="55">
        <v>0</v>
      </c>
      <c r="L103" s="99">
        <f t="shared" si="3"/>
        <v>0</v>
      </c>
      <c r="M103" s="55">
        <v>0</v>
      </c>
      <c r="N103" s="55">
        <v>0</v>
      </c>
      <c r="O103" s="99">
        <f t="shared" si="5"/>
        <v>0</v>
      </c>
      <c r="P103" s="55">
        <v>0</v>
      </c>
      <c r="Q103" s="55">
        <v>0</v>
      </c>
      <c r="R103" s="99">
        <f t="shared" si="7"/>
        <v>0</v>
      </c>
      <c r="S103" s="55">
        <v>0</v>
      </c>
      <c r="T103" s="55">
        <v>0</v>
      </c>
      <c r="U103" s="99">
        <f t="shared" si="9"/>
        <v>0</v>
      </c>
      <c r="V103" s="81"/>
      <c r="W103" s="81"/>
      <c r="X103" s="81"/>
      <c r="Y103" s="81"/>
      <c r="Z103" s="81"/>
    </row>
    <row r="104" spans="1:26" ht="24" customHeight="1" x14ac:dyDescent="0.5">
      <c r="A104" s="70">
        <f t="shared" si="60"/>
        <v>13</v>
      </c>
      <c r="B104" s="71" t="s">
        <v>119</v>
      </c>
      <c r="C104" s="54">
        <f t="shared" si="59"/>
        <v>0</v>
      </c>
      <c r="D104" s="55">
        <v>0</v>
      </c>
      <c r="E104" s="55">
        <v>0</v>
      </c>
      <c r="F104" s="55">
        <f ca="1">IFERROR(__xludf.DUMMYFUNCTION("IMPORTRANGE(""https://docs.google.com/spreadsheets/d/1Yj_ptqi66GCucihVvJfMjLAmec39IyEx_6qawtMGysU/edit?usp=sharing"",""สบก!DM108"")"),0)</f>
        <v>0</v>
      </c>
      <c r="G104" s="99">
        <f t="shared" si="1"/>
        <v>0</v>
      </c>
      <c r="H104" s="55">
        <v>0</v>
      </c>
      <c r="I104" s="55">
        <v>0</v>
      </c>
      <c r="J104" s="55">
        <v>0</v>
      </c>
      <c r="K104" s="55">
        <v>0</v>
      </c>
      <c r="L104" s="99">
        <f t="shared" si="3"/>
        <v>0</v>
      </c>
      <c r="M104" s="55">
        <v>0</v>
      </c>
      <c r="N104" s="55">
        <v>0</v>
      </c>
      <c r="O104" s="99">
        <f t="shared" si="5"/>
        <v>0</v>
      </c>
      <c r="P104" s="55">
        <v>0</v>
      </c>
      <c r="Q104" s="55">
        <v>0</v>
      </c>
      <c r="R104" s="99">
        <f t="shared" si="7"/>
        <v>0</v>
      </c>
      <c r="S104" s="55">
        <v>0</v>
      </c>
      <c r="T104" s="55">
        <v>0</v>
      </c>
      <c r="U104" s="99">
        <f t="shared" si="9"/>
        <v>0</v>
      </c>
      <c r="V104" s="81"/>
      <c r="W104" s="81"/>
      <c r="X104" s="81"/>
      <c r="Y104" s="81"/>
      <c r="Z104" s="81"/>
    </row>
    <row r="105" spans="1:26" ht="24" customHeight="1" x14ac:dyDescent="0.5">
      <c r="A105" s="72">
        <f t="shared" si="60"/>
        <v>14</v>
      </c>
      <c r="B105" s="73" t="s">
        <v>120</v>
      </c>
      <c r="C105" s="61">
        <f t="shared" si="59"/>
        <v>0</v>
      </c>
      <c r="D105" s="62">
        <v>0</v>
      </c>
      <c r="E105" s="62">
        <v>0</v>
      </c>
      <c r="F105" s="62">
        <f ca="1">IFERROR(__xludf.DUMMYFUNCTION("IMPORTRANGE(""https://docs.google.com/spreadsheets/d/1Yj_ptqi66GCucihVvJfMjLAmec39IyEx_6qawtMGysU/edit?usp=sharing"",""สบก!DM109"")"),0)</f>
        <v>0</v>
      </c>
      <c r="G105" s="100">
        <f t="shared" si="1"/>
        <v>0</v>
      </c>
      <c r="H105" s="55">
        <v>0</v>
      </c>
      <c r="I105" s="55">
        <v>0</v>
      </c>
      <c r="J105" s="62">
        <v>0</v>
      </c>
      <c r="K105" s="62">
        <v>0</v>
      </c>
      <c r="L105" s="100">
        <f t="shared" si="3"/>
        <v>0</v>
      </c>
      <c r="M105" s="62">
        <v>0</v>
      </c>
      <c r="N105" s="62">
        <v>0</v>
      </c>
      <c r="O105" s="100">
        <f t="shared" si="5"/>
        <v>0</v>
      </c>
      <c r="P105" s="62">
        <v>0</v>
      </c>
      <c r="Q105" s="62">
        <v>0</v>
      </c>
      <c r="R105" s="100">
        <f t="shared" si="7"/>
        <v>0</v>
      </c>
      <c r="S105" s="62">
        <v>0</v>
      </c>
      <c r="T105" s="62">
        <v>0</v>
      </c>
      <c r="U105" s="100">
        <f t="shared" si="9"/>
        <v>0</v>
      </c>
      <c r="V105" s="81"/>
      <c r="W105" s="81"/>
      <c r="X105" s="81"/>
      <c r="Y105" s="81"/>
      <c r="Z105" s="81"/>
    </row>
    <row r="106" spans="1:26" ht="24" customHeight="1" x14ac:dyDescent="0.5">
      <c r="A106" s="572" t="s">
        <v>121</v>
      </c>
      <c r="B106" s="571"/>
      <c r="C106" s="35">
        <f t="shared" ref="C106:F106" si="61">+C107+C108+C109+C110+C111+C112+C113+C114</f>
        <v>1095600</v>
      </c>
      <c r="D106" s="35">
        <f t="shared" si="61"/>
        <v>1095600</v>
      </c>
      <c r="E106" s="35">
        <f t="shared" si="61"/>
        <v>0</v>
      </c>
      <c r="F106" s="35">
        <f t="shared" si="61"/>
        <v>0</v>
      </c>
      <c r="G106" s="92">
        <f t="shared" si="1"/>
        <v>0</v>
      </c>
      <c r="H106" s="35">
        <f t="shared" ref="H106:K106" si="62">+H107+H108+H109+H110+H111+H112+H113+H114</f>
        <v>0</v>
      </c>
      <c r="I106" s="35">
        <f t="shared" si="62"/>
        <v>0</v>
      </c>
      <c r="J106" s="35">
        <f t="shared" si="62"/>
        <v>0</v>
      </c>
      <c r="K106" s="35">
        <f t="shared" si="62"/>
        <v>0</v>
      </c>
      <c r="L106" s="92">
        <f t="shared" si="3"/>
        <v>0</v>
      </c>
      <c r="M106" s="35">
        <f t="shared" ref="M106:N106" si="63">+M107+M108+M109+M110+M111+M112+M113+M114</f>
        <v>0</v>
      </c>
      <c r="N106" s="35">
        <f t="shared" si="63"/>
        <v>0</v>
      </c>
      <c r="O106" s="92">
        <f t="shared" si="5"/>
        <v>0</v>
      </c>
      <c r="P106" s="35">
        <f t="shared" ref="P106:Q106" si="64">+P107+P108+P109+P110+P111+P112+P113+P114</f>
        <v>0</v>
      </c>
      <c r="Q106" s="35">
        <f t="shared" si="64"/>
        <v>0</v>
      </c>
      <c r="R106" s="92">
        <f t="shared" si="7"/>
        <v>0</v>
      </c>
      <c r="S106" s="35">
        <f t="shared" ref="S106:T106" si="65">+S107+S108+S109+S110+S111+S112+S113+S114</f>
        <v>0</v>
      </c>
      <c r="T106" s="35">
        <f t="shared" si="65"/>
        <v>0</v>
      </c>
      <c r="U106" s="92">
        <f t="shared" si="9"/>
        <v>0</v>
      </c>
      <c r="V106" s="81"/>
      <c r="W106" s="81"/>
      <c r="X106" s="81"/>
      <c r="Y106" s="81"/>
      <c r="Z106" s="81"/>
    </row>
    <row r="107" spans="1:26" ht="24" customHeight="1" x14ac:dyDescent="0.5">
      <c r="A107" s="68">
        <v>1</v>
      </c>
      <c r="B107" s="74" t="s">
        <v>122</v>
      </c>
      <c r="C107" s="47">
        <f t="shared" ref="C107:C114" si="66">+D107+E107</f>
        <v>595600</v>
      </c>
      <c r="D107" s="48">
        <v>595600</v>
      </c>
      <c r="E107" s="48">
        <v>0</v>
      </c>
      <c r="F107" s="48">
        <v>0</v>
      </c>
      <c r="G107" s="98">
        <f t="shared" si="1"/>
        <v>0</v>
      </c>
      <c r="H107" s="48">
        <v>0</v>
      </c>
      <c r="I107" s="48">
        <v>0</v>
      </c>
      <c r="J107" s="48">
        <v>0</v>
      </c>
      <c r="K107" s="48">
        <v>0</v>
      </c>
      <c r="L107" s="98">
        <f t="shared" si="3"/>
        <v>0</v>
      </c>
      <c r="M107" s="48">
        <v>0</v>
      </c>
      <c r="N107" s="48">
        <v>0</v>
      </c>
      <c r="O107" s="98">
        <f t="shared" si="5"/>
        <v>0</v>
      </c>
      <c r="P107" s="48">
        <v>0</v>
      </c>
      <c r="Q107" s="48">
        <v>0</v>
      </c>
      <c r="R107" s="98">
        <f t="shared" si="7"/>
        <v>0</v>
      </c>
      <c r="S107" s="48">
        <v>0</v>
      </c>
      <c r="T107" s="48">
        <v>0</v>
      </c>
      <c r="U107" s="98">
        <f t="shared" si="9"/>
        <v>0</v>
      </c>
      <c r="V107" s="81"/>
      <c r="W107" s="81"/>
      <c r="X107" s="81"/>
      <c r="Y107" s="81"/>
      <c r="Z107" s="81"/>
    </row>
    <row r="108" spans="1:26" ht="24" customHeight="1" x14ac:dyDescent="0.5">
      <c r="A108" s="70">
        <v>2</v>
      </c>
      <c r="B108" s="75" t="s">
        <v>123</v>
      </c>
      <c r="C108" s="54">
        <f t="shared" si="66"/>
        <v>0</v>
      </c>
      <c r="D108" s="55">
        <v>0</v>
      </c>
      <c r="E108" s="55">
        <v>0</v>
      </c>
      <c r="F108" s="55">
        <v>0</v>
      </c>
      <c r="G108" s="99">
        <f t="shared" si="1"/>
        <v>0</v>
      </c>
      <c r="H108" s="55">
        <v>0</v>
      </c>
      <c r="I108" s="55">
        <v>0</v>
      </c>
      <c r="J108" s="55">
        <v>0</v>
      </c>
      <c r="K108" s="55">
        <v>0</v>
      </c>
      <c r="L108" s="99">
        <f t="shared" si="3"/>
        <v>0</v>
      </c>
      <c r="M108" s="55">
        <v>0</v>
      </c>
      <c r="N108" s="55">
        <v>0</v>
      </c>
      <c r="O108" s="99">
        <f t="shared" si="5"/>
        <v>0</v>
      </c>
      <c r="P108" s="55">
        <v>0</v>
      </c>
      <c r="Q108" s="55">
        <v>0</v>
      </c>
      <c r="R108" s="99">
        <f t="shared" si="7"/>
        <v>0</v>
      </c>
      <c r="S108" s="55">
        <v>0</v>
      </c>
      <c r="T108" s="55">
        <v>0</v>
      </c>
      <c r="U108" s="99">
        <f t="shared" si="9"/>
        <v>0</v>
      </c>
      <c r="V108" s="81"/>
      <c r="W108" s="81"/>
      <c r="X108" s="81"/>
      <c r="Y108" s="81"/>
      <c r="Z108" s="81"/>
    </row>
    <row r="109" spans="1:26" ht="24" customHeight="1" x14ac:dyDescent="0.5">
      <c r="A109" s="70">
        <v>3</v>
      </c>
      <c r="B109" s="75" t="s">
        <v>124</v>
      </c>
      <c r="C109" s="54">
        <f t="shared" si="66"/>
        <v>0</v>
      </c>
      <c r="D109" s="55">
        <v>0</v>
      </c>
      <c r="E109" s="55">
        <v>0</v>
      </c>
      <c r="F109" s="55">
        <v>0</v>
      </c>
      <c r="G109" s="99">
        <f t="shared" si="1"/>
        <v>0</v>
      </c>
      <c r="H109" s="55">
        <v>0</v>
      </c>
      <c r="I109" s="55">
        <v>0</v>
      </c>
      <c r="J109" s="55">
        <v>0</v>
      </c>
      <c r="K109" s="55">
        <v>0</v>
      </c>
      <c r="L109" s="99">
        <f t="shared" si="3"/>
        <v>0</v>
      </c>
      <c r="M109" s="55">
        <v>0</v>
      </c>
      <c r="N109" s="55">
        <v>0</v>
      </c>
      <c r="O109" s="99">
        <f t="shared" si="5"/>
        <v>0</v>
      </c>
      <c r="P109" s="55">
        <v>0</v>
      </c>
      <c r="Q109" s="55">
        <v>0</v>
      </c>
      <c r="R109" s="99">
        <f t="shared" si="7"/>
        <v>0</v>
      </c>
      <c r="S109" s="55">
        <v>0</v>
      </c>
      <c r="T109" s="55">
        <v>0</v>
      </c>
      <c r="U109" s="99">
        <f t="shared" si="9"/>
        <v>0</v>
      </c>
      <c r="V109" s="81"/>
      <c r="W109" s="81"/>
      <c r="X109" s="81"/>
      <c r="Y109" s="81"/>
      <c r="Z109" s="81"/>
    </row>
    <row r="110" spans="1:26" ht="24" customHeight="1" x14ac:dyDescent="0.5">
      <c r="A110" s="70">
        <f t="shared" ref="A110:A112" si="67">+A109+1</f>
        <v>4</v>
      </c>
      <c r="B110" s="75" t="s">
        <v>125</v>
      </c>
      <c r="C110" s="54">
        <f t="shared" si="66"/>
        <v>0</v>
      </c>
      <c r="D110" s="55">
        <v>0</v>
      </c>
      <c r="E110" s="55">
        <v>0</v>
      </c>
      <c r="F110" s="55">
        <v>0</v>
      </c>
      <c r="G110" s="99">
        <f t="shared" si="1"/>
        <v>0</v>
      </c>
      <c r="H110" s="55">
        <v>0</v>
      </c>
      <c r="I110" s="55">
        <v>0</v>
      </c>
      <c r="J110" s="55">
        <v>0</v>
      </c>
      <c r="K110" s="55">
        <v>0</v>
      </c>
      <c r="L110" s="99">
        <f t="shared" si="3"/>
        <v>0</v>
      </c>
      <c r="M110" s="55">
        <v>0</v>
      </c>
      <c r="N110" s="55">
        <v>0</v>
      </c>
      <c r="O110" s="99">
        <f t="shared" si="5"/>
        <v>0</v>
      </c>
      <c r="P110" s="55">
        <v>0</v>
      </c>
      <c r="Q110" s="55">
        <v>0</v>
      </c>
      <c r="R110" s="99">
        <f t="shared" si="7"/>
        <v>0</v>
      </c>
      <c r="S110" s="55">
        <v>0</v>
      </c>
      <c r="T110" s="55">
        <v>0</v>
      </c>
      <c r="U110" s="99">
        <f t="shared" si="9"/>
        <v>0</v>
      </c>
      <c r="V110" s="81"/>
      <c r="W110" s="81"/>
      <c r="X110" s="81"/>
      <c r="Y110" s="81"/>
      <c r="Z110" s="81"/>
    </row>
    <row r="111" spans="1:26" ht="24" customHeight="1" x14ac:dyDescent="0.5">
      <c r="A111" s="70">
        <f t="shared" si="67"/>
        <v>5</v>
      </c>
      <c r="B111" s="75" t="s">
        <v>126</v>
      </c>
      <c r="C111" s="54">
        <f t="shared" si="66"/>
        <v>0</v>
      </c>
      <c r="D111" s="55">
        <v>0</v>
      </c>
      <c r="E111" s="55">
        <v>0</v>
      </c>
      <c r="F111" s="55">
        <v>0</v>
      </c>
      <c r="G111" s="99">
        <f t="shared" si="1"/>
        <v>0</v>
      </c>
      <c r="H111" s="55">
        <v>0</v>
      </c>
      <c r="I111" s="55">
        <v>0</v>
      </c>
      <c r="J111" s="55">
        <v>0</v>
      </c>
      <c r="K111" s="55">
        <v>0</v>
      </c>
      <c r="L111" s="99">
        <f t="shared" si="3"/>
        <v>0</v>
      </c>
      <c r="M111" s="55">
        <v>0</v>
      </c>
      <c r="N111" s="55">
        <v>0</v>
      </c>
      <c r="O111" s="99">
        <f t="shared" si="5"/>
        <v>0</v>
      </c>
      <c r="P111" s="55">
        <v>0</v>
      </c>
      <c r="Q111" s="55">
        <v>0</v>
      </c>
      <c r="R111" s="99">
        <f t="shared" si="7"/>
        <v>0</v>
      </c>
      <c r="S111" s="55">
        <v>0</v>
      </c>
      <c r="T111" s="55">
        <v>0</v>
      </c>
      <c r="U111" s="99">
        <f t="shared" si="9"/>
        <v>0</v>
      </c>
      <c r="V111" s="81"/>
      <c r="W111" s="81"/>
      <c r="X111" s="81"/>
      <c r="Y111" s="81"/>
      <c r="Z111" s="81"/>
    </row>
    <row r="112" spans="1:26" ht="24" customHeight="1" x14ac:dyDescent="0.5">
      <c r="A112" s="70">
        <f t="shared" si="67"/>
        <v>6</v>
      </c>
      <c r="B112" s="75" t="s">
        <v>127</v>
      </c>
      <c r="C112" s="54">
        <f t="shared" si="66"/>
        <v>500000</v>
      </c>
      <c r="D112" s="55">
        <v>500000</v>
      </c>
      <c r="E112" s="55">
        <v>0</v>
      </c>
      <c r="F112" s="55">
        <v>0</v>
      </c>
      <c r="G112" s="99">
        <f t="shared" si="1"/>
        <v>0</v>
      </c>
      <c r="H112" s="55">
        <v>0</v>
      </c>
      <c r="I112" s="55">
        <v>0</v>
      </c>
      <c r="J112" s="55">
        <v>0</v>
      </c>
      <c r="K112" s="55">
        <v>0</v>
      </c>
      <c r="L112" s="99">
        <f t="shared" si="3"/>
        <v>0</v>
      </c>
      <c r="M112" s="55">
        <v>0</v>
      </c>
      <c r="N112" s="55">
        <v>0</v>
      </c>
      <c r="O112" s="99">
        <f t="shared" si="5"/>
        <v>0</v>
      </c>
      <c r="P112" s="55">
        <v>0</v>
      </c>
      <c r="Q112" s="55">
        <v>0</v>
      </c>
      <c r="R112" s="99">
        <f t="shared" si="7"/>
        <v>0</v>
      </c>
      <c r="S112" s="55">
        <v>0</v>
      </c>
      <c r="T112" s="55">
        <v>0</v>
      </c>
      <c r="U112" s="99">
        <f t="shared" si="9"/>
        <v>0</v>
      </c>
      <c r="V112" s="81"/>
      <c r="W112" s="81"/>
      <c r="X112" s="81"/>
      <c r="Y112" s="81"/>
      <c r="Z112" s="81"/>
    </row>
    <row r="113" spans="1:26" ht="24" customHeight="1" x14ac:dyDescent="0.5">
      <c r="A113" s="70">
        <v>7</v>
      </c>
      <c r="B113" s="75" t="s">
        <v>128</v>
      </c>
      <c r="C113" s="54">
        <f t="shared" si="66"/>
        <v>0</v>
      </c>
      <c r="D113" s="55">
        <v>0</v>
      </c>
      <c r="E113" s="55">
        <v>0</v>
      </c>
      <c r="F113" s="55">
        <v>0</v>
      </c>
      <c r="G113" s="99">
        <f t="shared" si="1"/>
        <v>0</v>
      </c>
      <c r="H113" s="55">
        <v>0</v>
      </c>
      <c r="I113" s="55">
        <v>0</v>
      </c>
      <c r="J113" s="55">
        <v>0</v>
      </c>
      <c r="K113" s="55">
        <v>0</v>
      </c>
      <c r="L113" s="99">
        <f t="shared" si="3"/>
        <v>0</v>
      </c>
      <c r="M113" s="55">
        <v>0</v>
      </c>
      <c r="N113" s="55">
        <v>0</v>
      </c>
      <c r="O113" s="99">
        <f t="shared" si="5"/>
        <v>0</v>
      </c>
      <c r="P113" s="55">
        <v>0</v>
      </c>
      <c r="Q113" s="55">
        <v>0</v>
      </c>
      <c r="R113" s="99">
        <f t="shared" si="7"/>
        <v>0</v>
      </c>
      <c r="S113" s="55">
        <v>0</v>
      </c>
      <c r="T113" s="55">
        <v>0</v>
      </c>
      <c r="U113" s="99">
        <f t="shared" si="9"/>
        <v>0</v>
      </c>
      <c r="V113" s="81"/>
      <c r="W113" s="81"/>
      <c r="X113" s="81"/>
      <c r="Y113" s="81"/>
      <c r="Z113" s="81"/>
    </row>
    <row r="114" spans="1:26" ht="24" customHeight="1" x14ac:dyDescent="0.5">
      <c r="A114" s="76">
        <v>8</v>
      </c>
      <c r="B114" s="77" t="s">
        <v>129</v>
      </c>
      <c r="C114" s="78">
        <f t="shared" si="66"/>
        <v>0</v>
      </c>
      <c r="D114" s="79">
        <v>0</v>
      </c>
      <c r="E114" s="79">
        <v>0</v>
      </c>
      <c r="F114" s="79">
        <v>0</v>
      </c>
      <c r="G114" s="104">
        <f t="shared" si="1"/>
        <v>0</v>
      </c>
      <c r="H114" s="79">
        <v>0</v>
      </c>
      <c r="I114" s="79">
        <v>0</v>
      </c>
      <c r="J114" s="79">
        <v>0</v>
      </c>
      <c r="K114" s="79">
        <v>0</v>
      </c>
      <c r="L114" s="104">
        <f t="shared" si="3"/>
        <v>0</v>
      </c>
      <c r="M114" s="79">
        <v>0</v>
      </c>
      <c r="N114" s="79">
        <v>0</v>
      </c>
      <c r="O114" s="104">
        <f t="shared" si="5"/>
        <v>0</v>
      </c>
      <c r="P114" s="79">
        <v>0</v>
      </c>
      <c r="Q114" s="79">
        <v>0</v>
      </c>
      <c r="R114" s="104">
        <f t="shared" si="7"/>
        <v>0</v>
      </c>
      <c r="S114" s="79">
        <v>0</v>
      </c>
      <c r="T114" s="79">
        <v>0</v>
      </c>
      <c r="U114" s="104">
        <f t="shared" si="9"/>
        <v>0</v>
      </c>
      <c r="V114" s="81"/>
      <c r="W114" s="81"/>
      <c r="X114" s="81"/>
      <c r="Y114" s="81"/>
      <c r="Z114" s="81"/>
    </row>
    <row r="115" spans="1:26" ht="24" customHeight="1" x14ac:dyDescent="0.55000000000000004">
      <c r="A115" s="467" t="s">
        <v>321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81"/>
      <c r="W115" s="81"/>
      <c r="X115" s="81"/>
      <c r="Y115" s="81"/>
      <c r="Z115" s="81"/>
    </row>
    <row r="116" spans="1:26" ht="24" customHeight="1" x14ac:dyDescent="0.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81"/>
      <c r="W116" s="81"/>
      <c r="X116" s="81"/>
      <c r="Y116" s="81"/>
      <c r="Z116" s="81"/>
    </row>
    <row r="117" spans="1:26" ht="24" customHeight="1" x14ac:dyDescent="0.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81"/>
      <c r="W117" s="81"/>
      <c r="X117" s="81"/>
      <c r="Y117" s="81"/>
      <c r="Z117" s="81"/>
    </row>
    <row r="118" spans="1:26" ht="24" customHeight="1" x14ac:dyDescent="0.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81"/>
      <c r="W118" s="81"/>
      <c r="X118" s="81"/>
      <c r="Y118" s="81"/>
      <c r="Z118" s="81"/>
    </row>
    <row r="119" spans="1:26" ht="24" customHeight="1" x14ac:dyDescent="0.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81"/>
      <c r="W119" s="81"/>
      <c r="X119" s="81"/>
      <c r="Y119" s="81"/>
      <c r="Z119" s="81"/>
    </row>
    <row r="120" spans="1:26" ht="24" customHeight="1" x14ac:dyDescent="0.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81"/>
      <c r="W120" s="81"/>
      <c r="X120" s="81"/>
      <c r="Y120" s="81"/>
      <c r="Z120" s="81"/>
    </row>
    <row r="121" spans="1:26" ht="24" customHeight="1" x14ac:dyDescent="0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81"/>
      <c r="W121" s="81"/>
      <c r="X121" s="81"/>
      <c r="Y121" s="81"/>
      <c r="Z121" s="81"/>
    </row>
    <row r="122" spans="1:26" ht="24" customHeight="1" x14ac:dyDescent="0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81"/>
      <c r="W122" s="81"/>
      <c r="X122" s="81"/>
      <c r="Y122" s="81"/>
      <c r="Z122" s="81"/>
    </row>
    <row r="123" spans="1:26" ht="24" customHeight="1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81"/>
      <c r="W123" s="81"/>
      <c r="X123" s="81"/>
      <c r="Y123" s="81"/>
      <c r="Z123" s="81"/>
    </row>
    <row r="124" spans="1:26" ht="24" customHeight="1" x14ac:dyDescent="0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81"/>
      <c r="W124" s="81"/>
      <c r="X124" s="81"/>
      <c r="Y124" s="81"/>
      <c r="Z124" s="81"/>
    </row>
    <row r="125" spans="1:26" ht="24" customHeight="1" x14ac:dyDescent="0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81"/>
      <c r="W125" s="81"/>
      <c r="X125" s="81"/>
      <c r="Y125" s="81"/>
      <c r="Z125" s="81"/>
    </row>
    <row r="126" spans="1:26" ht="24" customHeight="1" x14ac:dyDescent="0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81"/>
      <c r="W126" s="81"/>
      <c r="X126" s="81"/>
      <c r="Y126" s="81"/>
      <c r="Z126" s="81"/>
    </row>
    <row r="127" spans="1:26" ht="24" customHeight="1" x14ac:dyDescent="0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81"/>
      <c r="W127" s="81"/>
      <c r="X127" s="81"/>
      <c r="Y127" s="81"/>
      <c r="Z127" s="81"/>
    </row>
    <row r="128" spans="1:26" ht="24" customHeight="1" x14ac:dyDescent="0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81"/>
      <c r="W128" s="81"/>
      <c r="X128" s="81"/>
      <c r="Y128" s="81"/>
      <c r="Z128" s="81"/>
    </row>
    <row r="129" spans="1:26" ht="24" customHeight="1" x14ac:dyDescent="0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81"/>
      <c r="W129" s="81"/>
      <c r="X129" s="81"/>
      <c r="Y129" s="81"/>
      <c r="Z129" s="81"/>
    </row>
    <row r="130" spans="1:26" ht="24" customHeight="1" x14ac:dyDescent="0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81"/>
      <c r="W130" s="81"/>
      <c r="X130" s="81"/>
      <c r="Y130" s="81"/>
      <c r="Z130" s="81"/>
    </row>
    <row r="131" spans="1:26" ht="24" customHeight="1" x14ac:dyDescent="0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81"/>
      <c r="W131" s="81"/>
      <c r="X131" s="81"/>
      <c r="Y131" s="81"/>
      <c r="Z131" s="81"/>
    </row>
    <row r="132" spans="1:26" ht="24" customHeight="1" x14ac:dyDescent="0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81"/>
      <c r="W132" s="81"/>
      <c r="X132" s="81"/>
      <c r="Y132" s="81"/>
      <c r="Z132" s="81"/>
    </row>
    <row r="133" spans="1:26" ht="24" customHeight="1" x14ac:dyDescent="0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81"/>
      <c r="W133" s="81"/>
      <c r="X133" s="81"/>
      <c r="Y133" s="81"/>
      <c r="Z133" s="81"/>
    </row>
    <row r="134" spans="1:26" ht="24" customHeight="1" x14ac:dyDescent="0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81"/>
      <c r="W134" s="81"/>
      <c r="X134" s="81"/>
      <c r="Y134" s="81"/>
      <c r="Z134" s="81"/>
    </row>
    <row r="135" spans="1:26" ht="24" customHeight="1" x14ac:dyDescent="0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81"/>
      <c r="W135" s="81"/>
      <c r="X135" s="81"/>
      <c r="Y135" s="81"/>
      <c r="Z135" s="81"/>
    </row>
    <row r="136" spans="1:26" ht="24" customHeight="1" x14ac:dyDescent="0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81"/>
      <c r="W136" s="81"/>
      <c r="X136" s="81"/>
      <c r="Y136" s="81"/>
      <c r="Z136" s="81"/>
    </row>
    <row r="137" spans="1:26" ht="24" customHeight="1" x14ac:dyDescent="0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81"/>
      <c r="W137" s="81"/>
      <c r="X137" s="81"/>
      <c r="Y137" s="81"/>
      <c r="Z137" s="81"/>
    </row>
    <row r="138" spans="1:26" ht="24" customHeight="1" x14ac:dyDescent="0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81"/>
      <c r="W138" s="81"/>
      <c r="X138" s="81"/>
      <c r="Y138" s="81"/>
      <c r="Z138" s="81"/>
    </row>
    <row r="139" spans="1:26" ht="24" customHeight="1" x14ac:dyDescent="0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81"/>
      <c r="W139" s="81"/>
      <c r="X139" s="81"/>
      <c r="Y139" s="81"/>
      <c r="Z139" s="81"/>
    </row>
    <row r="140" spans="1:26" ht="24" customHeight="1" x14ac:dyDescent="0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81"/>
      <c r="W140" s="81"/>
      <c r="X140" s="81"/>
      <c r="Y140" s="81"/>
      <c r="Z140" s="81"/>
    </row>
    <row r="141" spans="1:26" ht="24" customHeight="1" x14ac:dyDescent="0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81"/>
      <c r="W141" s="81"/>
      <c r="X141" s="81"/>
      <c r="Y141" s="81"/>
      <c r="Z141" s="81"/>
    </row>
    <row r="142" spans="1:26" ht="24" customHeight="1" x14ac:dyDescent="0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81"/>
      <c r="W142" s="81"/>
      <c r="X142" s="81"/>
      <c r="Y142" s="81"/>
      <c r="Z142" s="81"/>
    </row>
    <row r="143" spans="1:26" ht="24" customHeight="1" x14ac:dyDescent="0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81"/>
      <c r="W143" s="81"/>
      <c r="X143" s="81"/>
      <c r="Y143" s="81"/>
      <c r="Z143" s="81"/>
    </row>
    <row r="144" spans="1:26" ht="24" customHeight="1" x14ac:dyDescent="0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81"/>
      <c r="W144" s="81"/>
      <c r="X144" s="81"/>
      <c r="Y144" s="81"/>
      <c r="Z144" s="81"/>
    </row>
    <row r="145" spans="1:26" ht="24" customHeight="1" x14ac:dyDescent="0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81"/>
      <c r="W145" s="81"/>
      <c r="X145" s="81"/>
      <c r="Y145" s="81"/>
      <c r="Z145" s="81"/>
    </row>
    <row r="146" spans="1:26" ht="24" customHeight="1" x14ac:dyDescent="0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81"/>
      <c r="W146" s="81"/>
      <c r="X146" s="81"/>
      <c r="Y146" s="81"/>
      <c r="Z146" s="81"/>
    </row>
    <row r="147" spans="1:26" ht="24" customHeight="1" x14ac:dyDescent="0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81"/>
      <c r="W147" s="81"/>
      <c r="X147" s="81"/>
      <c r="Y147" s="81"/>
      <c r="Z147" s="81"/>
    </row>
    <row r="148" spans="1:26" ht="24" customHeight="1" x14ac:dyDescent="0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81"/>
      <c r="W148" s="81"/>
      <c r="X148" s="81"/>
      <c r="Y148" s="81"/>
      <c r="Z148" s="81"/>
    </row>
    <row r="149" spans="1:26" ht="24" customHeight="1" x14ac:dyDescent="0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81"/>
      <c r="W149" s="81"/>
      <c r="X149" s="81"/>
      <c r="Y149" s="81"/>
      <c r="Z149" s="81"/>
    </row>
    <row r="150" spans="1:26" ht="24" customHeight="1" x14ac:dyDescent="0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81"/>
      <c r="W150" s="81"/>
      <c r="X150" s="81"/>
      <c r="Y150" s="81"/>
      <c r="Z150" s="81"/>
    </row>
    <row r="151" spans="1:26" ht="24" customHeight="1" x14ac:dyDescent="0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81"/>
      <c r="W151" s="81"/>
      <c r="X151" s="81"/>
      <c r="Y151" s="81"/>
      <c r="Z151" s="81"/>
    </row>
    <row r="152" spans="1:26" ht="24" customHeight="1" x14ac:dyDescent="0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81"/>
      <c r="W152" s="81"/>
      <c r="X152" s="81"/>
      <c r="Y152" s="81"/>
      <c r="Z152" s="81"/>
    </row>
    <row r="153" spans="1:26" ht="24" customHeight="1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81"/>
      <c r="W153" s="81"/>
      <c r="X153" s="81"/>
      <c r="Y153" s="81"/>
      <c r="Z153" s="81"/>
    </row>
    <row r="154" spans="1:26" ht="24" customHeight="1" x14ac:dyDescent="0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81"/>
      <c r="W154" s="81"/>
      <c r="X154" s="81"/>
      <c r="Y154" s="81"/>
      <c r="Z154" s="81"/>
    </row>
    <row r="155" spans="1:26" ht="24" customHeight="1" x14ac:dyDescent="0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81"/>
      <c r="W155" s="81"/>
      <c r="X155" s="81"/>
      <c r="Y155" s="81"/>
      <c r="Z155" s="81"/>
    </row>
    <row r="156" spans="1:26" ht="24" customHeight="1" x14ac:dyDescent="0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81"/>
      <c r="W156" s="81"/>
      <c r="X156" s="81"/>
      <c r="Y156" s="81"/>
      <c r="Z156" s="81"/>
    </row>
    <row r="157" spans="1:26" ht="24" customHeight="1" x14ac:dyDescent="0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81"/>
      <c r="W157" s="81"/>
      <c r="X157" s="81"/>
      <c r="Y157" s="81"/>
      <c r="Z157" s="81"/>
    </row>
    <row r="158" spans="1:26" ht="24" customHeight="1" x14ac:dyDescent="0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81"/>
      <c r="W158" s="81"/>
      <c r="X158" s="81"/>
      <c r="Y158" s="81"/>
      <c r="Z158" s="81"/>
    </row>
    <row r="159" spans="1:26" ht="24" customHeight="1" x14ac:dyDescent="0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81"/>
      <c r="W159" s="81"/>
      <c r="X159" s="81"/>
      <c r="Y159" s="81"/>
      <c r="Z159" s="81"/>
    </row>
    <row r="160" spans="1:26" ht="24" customHeight="1" x14ac:dyDescent="0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81"/>
      <c r="W160" s="81"/>
      <c r="X160" s="81"/>
      <c r="Y160" s="81"/>
      <c r="Z160" s="81"/>
    </row>
    <row r="161" spans="1:26" ht="24" customHeight="1" x14ac:dyDescent="0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81"/>
      <c r="W161" s="81"/>
      <c r="X161" s="81"/>
      <c r="Y161" s="81"/>
      <c r="Z161" s="81"/>
    </row>
    <row r="162" spans="1:26" ht="24" customHeight="1" x14ac:dyDescent="0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81"/>
      <c r="W162" s="81"/>
      <c r="X162" s="81"/>
      <c r="Y162" s="81"/>
      <c r="Z162" s="81"/>
    </row>
    <row r="163" spans="1:26" ht="24" customHeight="1" x14ac:dyDescent="0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81"/>
      <c r="W163" s="81"/>
      <c r="X163" s="81"/>
      <c r="Y163" s="81"/>
      <c r="Z163" s="81"/>
    </row>
    <row r="164" spans="1:26" ht="24" customHeight="1" x14ac:dyDescent="0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81"/>
      <c r="W164" s="81"/>
      <c r="X164" s="81"/>
      <c r="Y164" s="81"/>
      <c r="Z164" s="81"/>
    </row>
    <row r="165" spans="1:26" ht="24" customHeight="1" x14ac:dyDescent="0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81"/>
      <c r="W165" s="81"/>
      <c r="X165" s="81"/>
      <c r="Y165" s="81"/>
      <c r="Z165" s="81"/>
    </row>
    <row r="166" spans="1:26" ht="24" customHeight="1" x14ac:dyDescent="0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81"/>
      <c r="W166" s="81"/>
      <c r="X166" s="81"/>
      <c r="Y166" s="81"/>
      <c r="Z166" s="81"/>
    </row>
    <row r="167" spans="1:26" ht="24" customHeight="1" x14ac:dyDescent="0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81"/>
      <c r="W167" s="81"/>
      <c r="X167" s="81"/>
      <c r="Y167" s="81"/>
      <c r="Z167" s="81"/>
    </row>
    <row r="168" spans="1:26" ht="24" customHeight="1" x14ac:dyDescent="0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81"/>
      <c r="W168" s="81"/>
      <c r="X168" s="81"/>
      <c r="Y168" s="81"/>
      <c r="Z168" s="81"/>
    </row>
    <row r="169" spans="1:26" ht="24" customHeight="1" x14ac:dyDescent="0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81"/>
      <c r="W169" s="81"/>
      <c r="X169" s="81"/>
      <c r="Y169" s="81"/>
      <c r="Z169" s="81"/>
    </row>
    <row r="170" spans="1:26" ht="24" customHeight="1" x14ac:dyDescent="0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81"/>
      <c r="W170" s="81"/>
      <c r="X170" s="81"/>
      <c r="Y170" s="81"/>
      <c r="Z170" s="81"/>
    </row>
    <row r="171" spans="1:26" ht="24" customHeight="1" x14ac:dyDescent="0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81"/>
      <c r="W171" s="81"/>
      <c r="X171" s="81"/>
      <c r="Y171" s="81"/>
      <c r="Z171" s="81"/>
    </row>
    <row r="172" spans="1:26" ht="24" customHeight="1" x14ac:dyDescent="0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81"/>
      <c r="W172" s="81"/>
      <c r="X172" s="81"/>
      <c r="Y172" s="81"/>
      <c r="Z172" s="81"/>
    </row>
    <row r="173" spans="1:26" ht="24" customHeight="1" x14ac:dyDescent="0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81"/>
      <c r="W173" s="81"/>
      <c r="X173" s="81"/>
      <c r="Y173" s="81"/>
      <c r="Z173" s="81"/>
    </row>
    <row r="174" spans="1:26" ht="24" customHeight="1" x14ac:dyDescent="0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81"/>
      <c r="W174" s="81"/>
      <c r="X174" s="81"/>
      <c r="Y174" s="81"/>
      <c r="Z174" s="81"/>
    </row>
    <row r="175" spans="1:26" ht="24" customHeight="1" x14ac:dyDescent="0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81"/>
      <c r="W175" s="81"/>
      <c r="X175" s="81"/>
      <c r="Y175" s="81"/>
      <c r="Z175" s="81"/>
    </row>
    <row r="176" spans="1:26" ht="24" customHeight="1" x14ac:dyDescent="0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81"/>
      <c r="W176" s="81"/>
      <c r="X176" s="81"/>
      <c r="Y176" s="81"/>
      <c r="Z176" s="81"/>
    </row>
    <row r="177" spans="1:26" ht="24" customHeight="1" x14ac:dyDescent="0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81"/>
      <c r="W177" s="81"/>
      <c r="X177" s="81"/>
      <c r="Y177" s="81"/>
      <c r="Z177" s="81"/>
    </row>
    <row r="178" spans="1:26" ht="24" customHeight="1" x14ac:dyDescent="0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81"/>
      <c r="W178" s="81"/>
      <c r="X178" s="81"/>
      <c r="Y178" s="81"/>
      <c r="Z178" s="81"/>
    </row>
    <row r="179" spans="1:26" ht="24" customHeight="1" x14ac:dyDescent="0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81"/>
      <c r="W179" s="81"/>
      <c r="X179" s="81"/>
      <c r="Y179" s="81"/>
      <c r="Z179" s="81"/>
    </row>
    <row r="180" spans="1:26" ht="24" customHeight="1" x14ac:dyDescent="0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81"/>
      <c r="W180" s="81"/>
      <c r="X180" s="81"/>
      <c r="Y180" s="81"/>
      <c r="Z180" s="81"/>
    </row>
    <row r="181" spans="1:26" ht="24" customHeight="1" x14ac:dyDescent="0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81"/>
      <c r="W181" s="81"/>
      <c r="X181" s="81"/>
      <c r="Y181" s="81"/>
      <c r="Z181" s="81"/>
    </row>
    <row r="182" spans="1:26" ht="24" customHeight="1" x14ac:dyDescent="0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81"/>
      <c r="W182" s="81"/>
      <c r="X182" s="81"/>
      <c r="Y182" s="81"/>
      <c r="Z182" s="81"/>
    </row>
    <row r="183" spans="1:26" ht="24" customHeight="1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81"/>
      <c r="W183" s="81"/>
      <c r="X183" s="81"/>
      <c r="Y183" s="81"/>
      <c r="Z183" s="81"/>
    </row>
    <row r="184" spans="1:26" ht="24" customHeight="1" x14ac:dyDescent="0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81"/>
      <c r="W184" s="81"/>
      <c r="X184" s="81"/>
      <c r="Y184" s="81"/>
      <c r="Z184" s="81"/>
    </row>
    <row r="185" spans="1:26" ht="24" customHeight="1" x14ac:dyDescent="0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81"/>
      <c r="W185" s="81"/>
      <c r="X185" s="81"/>
      <c r="Y185" s="81"/>
      <c r="Z185" s="81"/>
    </row>
    <row r="186" spans="1:26" ht="24" customHeight="1" x14ac:dyDescent="0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81"/>
      <c r="W186" s="81"/>
      <c r="X186" s="81"/>
      <c r="Y186" s="81"/>
      <c r="Z186" s="81"/>
    </row>
    <row r="187" spans="1:26" ht="24" customHeight="1" x14ac:dyDescent="0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81"/>
      <c r="W187" s="81"/>
      <c r="X187" s="81"/>
      <c r="Y187" s="81"/>
      <c r="Z187" s="81"/>
    </row>
    <row r="188" spans="1:26" ht="24" customHeight="1" x14ac:dyDescent="0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81"/>
      <c r="W188" s="81"/>
      <c r="X188" s="81"/>
      <c r="Y188" s="81"/>
      <c r="Z188" s="81"/>
    </row>
    <row r="189" spans="1:26" ht="24" customHeight="1" x14ac:dyDescent="0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81"/>
      <c r="W189" s="81"/>
      <c r="X189" s="81"/>
      <c r="Y189" s="81"/>
      <c r="Z189" s="81"/>
    </row>
    <row r="190" spans="1:26" ht="24" customHeight="1" x14ac:dyDescent="0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81"/>
      <c r="W190" s="81"/>
      <c r="X190" s="81"/>
      <c r="Y190" s="81"/>
      <c r="Z190" s="81"/>
    </row>
    <row r="191" spans="1:26" ht="24" customHeight="1" x14ac:dyDescent="0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81"/>
      <c r="W191" s="81"/>
      <c r="X191" s="81"/>
      <c r="Y191" s="81"/>
      <c r="Z191" s="81"/>
    </row>
    <row r="192" spans="1:26" ht="24" customHeight="1" x14ac:dyDescent="0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81"/>
      <c r="W192" s="81"/>
      <c r="X192" s="81"/>
      <c r="Y192" s="81"/>
      <c r="Z192" s="81"/>
    </row>
    <row r="193" spans="1:26" ht="24" customHeight="1" x14ac:dyDescent="0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81"/>
      <c r="W193" s="81"/>
      <c r="X193" s="81"/>
      <c r="Y193" s="81"/>
      <c r="Z193" s="81"/>
    </row>
    <row r="194" spans="1:26" ht="24" customHeight="1" x14ac:dyDescent="0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81"/>
      <c r="W194" s="81"/>
      <c r="X194" s="81"/>
      <c r="Y194" s="81"/>
      <c r="Z194" s="81"/>
    </row>
    <row r="195" spans="1:26" ht="24" customHeight="1" x14ac:dyDescent="0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81"/>
      <c r="W195" s="81"/>
      <c r="X195" s="81"/>
      <c r="Y195" s="81"/>
      <c r="Z195" s="81"/>
    </row>
    <row r="196" spans="1:26" ht="24" customHeight="1" x14ac:dyDescent="0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81"/>
      <c r="W196" s="81"/>
      <c r="X196" s="81"/>
      <c r="Y196" s="81"/>
      <c r="Z196" s="81"/>
    </row>
    <row r="197" spans="1:26" ht="24" customHeight="1" x14ac:dyDescent="0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81"/>
      <c r="W197" s="81"/>
      <c r="X197" s="81"/>
      <c r="Y197" s="81"/>
      <c r="Z197" s="81"/>
    </row>
    <row r="198" spans="1:26" ht="24" customHeight="1" x14ac:dyDescent="0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81"/>
      <c r="W198" s="81"/>
      <c r="X198" s="81"/>
      <c r="Y198" s="81"/>
      <c r="Z198" s="81"/>
    </row>
    <row r="199" spans="1:26" ht="24" customHeight="1" x14ac:dyDescent="0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81"/>
      <c r="W199" s="81"/>
      <c r="X199" s="81"/>
      <c r="Y199" s="81"/>
      <c r="Z199" s="81"/>
    </row>
    <row r="200" spans="1:26" ht="24" customHeight="1" x14ac:dyDescent="0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81"/>
      <c r="W200" s="81"/>
      <c r="X200" s="81"/>
      <c r="Y200" s="81"/>
      <c r="Z200" s="81"/>
    </row>
    <row r="201" spans="1:26" ht="24" customHeight="1" x14ac:dyDescent="0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81"/>
      <c r="W201" s="81"/>
      <c r="X201" s="81"/>
      <c r="Y201" s="81"/>
      <c r="Z201" s="81"/>
    </row>
    <row r="202" spans="1:26" ht="24" customHeight="1" x14ac:dyDescent="0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81"/>
      <c r="W202" s="81"/>
      <c r="X202" s="81"/>
      <c r="Y202" s="81"/>
      <c r="Z202" s="81"/>
    </row>
    <row r="203" spans="1:26" ht="24" customHeight="1" x14ac:dyDescent="0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81"/>
      <c r="W203" s="81"/>
      <c r="X203" s="81"/>
      <c r="Y203" s="81"/>
      <c r="Z203" s="81"/>
    </row>
    <row r="204" spans="1:26" ht="24" customHeight="1" x14ac:dyDescent="0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81"/>
      <c r="W204" s="81"/>
      <c r="X204" s="81"/>
      <c r="Y204" s="81"/>
      <c r="Z204" s="81"/>
    </row>
    <row r="205" spans="1:26" ht="24" customHeight="1" x14ac:dyDescent="0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81"/>
      <c r="W205" s="81"/>
      <c r="X205" s="81"/>
      <c r="Y205" s="81"/>
      <c r="Z205" s="81"/>
    </row>
    <row r="206" spans="1:26" ht="24" customHeight="1" x14ac:dyDescent="0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81"/>
      <c r="W206" s="81"/>
      <c r="X206" s="81"/>
      <c r="Y206" s="81"/>
      <c r="Z206" s="81"/>
    </row>
    <row r="207" spans="1:26" ht="24" customHeight="1" x14ac:dyDescent="0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81"/>
      <c r="W207" s="81"/>
      <c r="X207" s="81"/>
      <c r="Y207" s="81"/>
      <c r="Z207" s="81"/>
    </row>
    <row r="208" spans="1:26" ht="24" customHeight="1" x14ac:dyDescent="0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81"/>
      <c r="W208" s="81"/>
      <c r="X208" s="81"/>
      <c r="Y208" s="81"/>
      <c r="Z208" s="81"/>
    </row>
    <row r="209" spans="1:26" ht="24" customHeight="1" x14ac:dyDescent="0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81"/>
      <c r="W209" s="81"/>
      <c r="X209" s="81"/>
      <c r="Y209" s="81"/>
      <c r="Z209" s="81"/>
    </row>
    <row r="210" spans="1:26" ht="24" customHeight="1" x14ac:dyDescent="0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81"/>
      <c r="W210" s="81"/>
      <c r="X210" s="81"/>
      <c r="Y210" s="81"/>
      <c r="Z210" s="81"/>
    </row>
    <row r="211" spans="1:26" ht="24" customHeight="1" x14ac:dyDescent="0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81"/>
      <c r="W211" s="81"/>
      <c r="X211" s="81"/>
      <c r="Y211" s="81"/>
      <c r="Z211" s="81"/>
    </row>
    <row r="212" spans="1:26" ht="24" customHeight="1" x14ac:dyDescent="0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81"/>
      <c r="W212" s="81"/>
      <c r="X212" s="81"/>
      <c r="Y212" s="81"/>
      <c r="Z212" s="81"/>
    </row>
    <row r="213" spans="1:26" ht="24" customHeight="1" x14ac:dyDescent="0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81"/>
      <c r="W213" s="81"/>
      <c r="X213" s="81"/>
      <c r="Y213" s="81"/>
      <c r="Z213" s="81"/>
    </row>
    <row r="214" spans="1:26" ht="24" customHeight="1" x14ac:dyDescent="0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81"/>
      <c r="W214" s="81"/>
      <c r="X214" s="81"/>
      <c r="Y214" s="81"/>
      <c r="Z214" s="81"/>
    </row>
    <row r="215" spans="1:26" ht="24" customHeight="1" x14ac:dyDescent="0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81"/>
      <c r="W215" s="81"/>
      <c r="X215" s="81"/>
      <c r="Y215" s="81"/>
      <c r="Z215" s="81"/>
    </row>
    <row r="216" spans="1:26" ht="24" customHeight="1" x14ac:dyDescent="0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81"/>
      <c r="W216" s="81"/>
      <c r="X216" s="81"/>
      <c r="Y216" s="81"/>
      <c r="Z216" s="81"/>
    </row>
    <row r="217" spans="1:26" ht="24" customHeight="1" x14ac:dyDescent="0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81"/>
      <c r="W217" s="81"/>
      <c r="X217" s="81"/>
      <c r="Y217" s="81"/>
      <c r="Z217" s="81"/>
    </row>
    <row r="218" spans="1:26" ht="24" customHeight="1" x14ac:dyDescent="0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81"/>
      <c r="W218" s="81"/>
      <c r="X218" s="81"/>
      <c r="Y218" s="81"/>
      <c r="Z218" s="81"/>
    </row>
    <row r="219" spans="1:26" ht="24" customHeight="1" x14ac:dyDescent="0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81"/>
      <c r="W219" s="81"/>
      <c r="X219" s="81"/>
      <c r="Y219" s="81"/>
      <c r="Z219" s="81"/>
    </row>
    <row r="220" spans="1:26" ht="24" customHeight="1" x14ac:dyDescent="0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81"/>
      <c r="W220" s="81"/>
      <c r="X220" s="81"/>
      <c r="Y220" s="81"/>
      <c r="Z220" s="81"/>
    </row>
    <row r="221" spans="1:26" ht="24" customHeight="1" x14ac:dyDescent="0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81"/>
      <c r="W221" s="81"/>
      <c r="X221" s="81"/>
      <c r="Y221" s="81"/>
      <c r="Z221" s="81"/>
    </row>
    <row r="222" spans="1:26" ht="24" customHeight="1" x14ac:dyDescent="0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81"/>
      <c r="W222" s="81"/>
      <c r="X222" s="81"/>
      <c r="Y222" s="81"/>
      <c r="Z222" s="81"/>
    </row>
    <row r="223" spans="1:26" ht="24" customHeight="1" x14ac:dyDescent="0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81"/>
      <c r="W223" s="81"/>
      <c r="X223" s="81"/>
      <c r="Y223" s="81"/>
      <c r="Z223" s="81"/>
    </row>
    <row r="224" spans="1:26" ht="24" customHeight="1" x14ac:dyDescent="0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81"/>
      <c r="W224" s="81"/>
      <c r="X224" s="81"/>
      <c r="Y224" s="81"/>
      <c r="Z224" s="81"/>
    </row>
    <row r="225" spans="1:26" ht="24" customHeight="1" x14ac:dyDescent="0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81"/>
      <c r="W225" s="81"/>
      <c r="X225" s="81"/>
      <c r="Y225" s="81"/>
      <c r="Z225" s="81"/>
    </row>
    <row r="226" spans="1:26" ht="24" customHeight="1" x14ac:dyDescent="0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81"/>
      <c r="W226" s="81"/>
      <c r="X226" s="81"/>
      <c r="Y226" s="81"/>
      <c r="Z226" s="81"/>
    </row>
    <row r="227" spans="1:26" ht="24" customHeight="1" x14ac:dyDescent="0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81"/>
      <c r="W227" s="81"/>
      <c r="X227" s="81"/>
      <c r="Y227" s="81"/>
      <c r="Z227" s="81"/>
    </row>
    <row r="228" spans="1:26" ht="24" customHeight="1" x14ac:dyDescent="0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81"/>
      <c r="W228" s="81"/>
      <c r="X228" s="81"/>
      <c r="Y228" s="81"/>
      <c r="Z228" s="81"/>
    </row>
    <row r="229" spans="1:26" ht="24" customHeight="1" x14ac:dyDescent="0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81"/>
      <c r="W229" s="81"/>
      <c r="X229" s="81"/>
      <c r="Y229" s="81"/>
      <c r="Z229" s="81"/>
    </row>
    <row r="230" spans="1:26" ht="24" customHeight="1" x14ac:dyDescent="0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81"/>
      <c r="W230" s="81"/>
      <c r="X230" s="81"/>
      <c r="Y230" s="81"/>
      <c r="Z230" s="81"/>
    </row>
    <row r="231" spans="1:26" ht="24" customHeight="1" x14ac:dyDescent="0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81"/>
      <c r="W231" s="81"/>
      <c r="X231" s="81"/>
      <c r="Y231" s="81"/>
      <c r="Z231" s="81"/>
    </row>
    <row r="232" spans="1:26" ht="24" customHeight="1" x14ac:dyDescent="0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81"/>
      <c r="W232" s="81"/>
      <c r="X232" s="81"/>
      <c r="Y232" s="81"/>
      <c r="Z232" s="81"/>
    </row>
    <row r="233" spans="1:26" ht="24" customHeight="1" x14ac:dyDescent="0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81"/>
      <c r="W233" s="81"/>
      <c r="X233" s="81"/>
      <c r="Y233" s="81"/>
      <c r="Z233" s="81"/>
    </row>
    <row r="234" spans="1:26" ht="24" customHeight="1" x14ac:dyDescent="0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81"/>
      <c r="W234" s="81"/>
      <c r="X234" s="81"/>
      <c r="Y234" s="81"/>
      <c r="Z234" s="81"/>
    </row>
    <row r="235" spans="1:26" ht="24" customHeight="1" x14ac:dyDescent="0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81"/>
      <c r="W235" s="81"/>
      <c r="X235" s="81"/>
      <c r="Y235" s="81"/>
      <c r="Z235" s="81"/>
    </row>
    <row r="236" spans="1:26" ht="24" customHeight="1" x14ac:dyDescent="0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81"/>
      <c r="W236" s="81"/>
      <c r="X236" s="81"/>
      <c r="Y236" s="81"/>
      <c r="Z236" s="81"/>
    </row>
    <row r="237" spans="1:26" ht="24" customHeight="1" x14ac:dyDescent="0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81"/>
      <c r="W237" s="81"/>
      <c r="X237" s="81"/>
      <c r="Y237" s="81"/>
      <c r="Z237" s="81"/>
    </row>
    <row r="238" spans="1:26" ht="24" customHeight="1" x14ac:dyDescent="0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81"/>
      <c r="W238" s="81"/>
      <c r="X238" s="81"/>
      <c r="Y238" s="81"/>
      <c r="Z238" s="81"/>
    </row>
    <row r="239" spans="1:26" ht="24" customHeight="1" x14ac:dyDescent="0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81"/>
      <c r="W239" s="81"/>
      <c r="X239" s="81"/>
      <c r="Y239" s="81"/>
      <c r="Z239" s="81"/>
    </row>
    <row r="240" spans="1:26" ht="24" customHeight="1" x14ac:dyDescent="0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81"/>
      <c r="W240" s="81"/>
      <c r="X240" s="81"/>
      <c r="Y240" s="81"/>
      <c r="Z240" s="81"/>
    </row>
    <row r="241" spans="1:26" ht="24" customHeight="1" x14ac:dyDescent="0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81"/>
      <c r="W241" s="81"/>
      <c r="X241" s="81"/>
      <c r="Y241" s="81"/>
      <c r="Z241" s="81"/>
    </row>
    <row r="242" spans="1:26" ht="24" customHeight="1" x14ac:dyDescent="0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81"/>
      <c r="W242" s="81"/>
      <c r="X242" s="81"/>
      <c r="Y242" s="81"/>
      <c r="Z242" s="81"/>
    </row>
    <row r="243" spans="1:26" ht="24" customHeight="1" x14ac:dyDescent="0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81"/>
      <c r="W243" s="81"/>
      <c r="X243" s="81"/>
      <c r="Y243" s="81"/>
      <c r="Z243" s="81"/>
    </row>
    <row r="244" spans="1:26" ht="24" customHeight="1" x14ac:dyDescent="0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81"/>
      <c r="W244" s="81"/>
      <c r="X244" s="81"/>
      <c r="Y244" s="81"/>
      <c r="Z244" s="81"/>
    </row>
    <row r="245" spans="1:26" ht="24" customHeight="1" x14ac:dyDescent="0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81"/>
      <c r="W245" s="81"/>
      <c r="X245" s="81"/>
      <c r="Y245" s="81"/>
      <c r="Z245" s="81"/>
    </row>
    <row r="246" spans="1:26" ht="24" customHeight="1" x14ac:dyDescent="0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81"/>
      <c r="W246" s="81"/>
      <c r="X246" s="81"/>
      <c r="Y246" s="81"/>
      <c r="Z246" s="81"/>
    </row>
    <row r="247" spans="1:26" ht="24" customHeight="1" x14ac:dyDescent="0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81"/>
      <c r="W247" s="81"/>
      <c r="X247" s="81"/>
      <c r="Y247" s="81"/>
      <c r="Z247" s="81"/>
    </row>
    <row r="248" spans="1:26" ht="24" customHeight="1" x14ac:dyDescent="0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81"/>
      <c r="W248" s="81"/>
      <c r="X248" s="81"/>
      <c r="Y248" s="81"/>
      <c r="Z248" s="81"/>
    </row>
    <row r="249" spans="1:26" ht="24" customHeight="1" x14ac:dyDescent="0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81"/>
      <c r="W249" s="81"/>
      <c r="X249" s="81"/>
      <c r="Y249" s="81"/>
      <c r="Z249" s="81"/>
    </row>
    <row r="250" spans="1:26" ht="24" customHeight="1" x14ac:dyDescent="0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81"/>
      <c r="W250" s="81"/>
      <c r="X250" s="81"/>
      <c r="Y250" s="81"/>
      <c r="Z250" s="81"/>
    </row>
    <row r="251" spans="1:26" ht="24" customHeight="1" x14ac:dyDescent="0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81"/>
      <c r="W251" s="81"/>
      <c r="X251" s="81"/>
      <c r="Y251" s="81"/>
      <c r="Z251" s="81"/>
    </row>
    <row r="252" spans="1:26" ht="24" customHeight="1" x14ac:dyDescent="0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81"/>
      <c r="W252" s="81"/>
      <c r="X252" s="81"/>
      <c r="Y252" s="81"/>
      <c r="Z252" s="81"/>
    </row>
    <row r="253" spans="1:26" ht="24" customHeight="1" x14ac:dyDescent="0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81"/>
      <c r="W253" s="81"/>
      <c r="X253" s="81"/>
      <c r="Y253" s="81"/>
      <c r="Z253" s="81"/>
    </row>
    <row r="254" spans="1:26" ht="24" customHeight="1" x14ac:dyDescent="0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81"/>
      <c r="W254" s="81"/>
      <c r="X254" s="81"/>
      <c r="Y254" s="81"/>
      <c r="Z254" s="81"/>
    </row>
    <row r="255" spans="1:26" ht="24" customHeight="1" x14ac:dyDescent="0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81"/>
      <c r="W255" s="81"/>
      <c r="X255" s="81"/>
      <c r="Y255" s="81"/>
      <c r="Z255" s="81"/>
    </row>
    <row r="256" spans="1:26" ht="24" customHeight="1" x14ac:dyDescent="0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81"/>
      <c r="W256" s="81"/>
      <c r="X256" s="81"/>
      <c r="Y256" s="81"/>
      <c r="Z256" s="81"/>
    </row>
    <row r="257" spans="1:26" ht="24" customHeight="1" x14ac:dyDescent="0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81"/>
      <c r="W257" s="81"/>
      <c r="X257" s="81"/>
      <c r="Y257" s="81"/>
      <c r="Z257" s="81"/>
    </row>
    <row r="258" spans="1:26" ht="24" customHeight="1" x14ac:dyDescent="0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81"/>
      <c r="W258" s="81"/>
      <c r="X258" s="81"/>
      <c r="Y258" s="81"/>
      <c r="Z258" s="81"/>
    </row>
    <row r="259" spans="1:26" ht="24" customHeight="1" x14ac:dyDescent="0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81"/>
      <c r="W259" s="81"/>
      <c r="X259" s="81"/>
      <c r="Y259" s="81"/>
      <c r="Z259" s="81"/>
    </row>
    <row r="260" spans="1:26" ht="24" customHeight="1" x14ac:dyDescent="0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81"/>
      <c r="W260" s="81"/>
      <c r="X260" s="81"/>
      <c r="Y260" s="81"/>
      <c r="Z260" s="81"/>
    </row>
    <row r="261" spans="1:26" ht="24" customHeight="1" x14ac:dyDescent="0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81"/>
      <c r="W261" s="81"/>
      <c r="X261" s="81"/>
      <c r="Y261" s="81"/>
      <c r="Z261" s="81"/>
    </row>
    <row r="262" spans="1:26" ht="24" customHeight="1" x14ac:dyDescent="0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81"/>
      <c r="W262" s="81"/>
      <c r="X262" s="81"/>
      <c r="Y262" s="81"/>
      <c r="Z262" s="81"/>
    </row>
    <row r="263" spans="1:26" ht="24" customHeight="1" x14ac:dyDescent="0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81"/>
      <c r="W263" s="81"/>
      <c r="X263" s="81"/>
      <c r="Y263" s="81"/>
      <c r="Z263" s="81"/>
    </row>
    <row r="264" spans="1:26" ht="24" customHeight="1" x14ac:dyDescent="0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81"/>
      <c r="W264" s="81"/>
      <c r="X264" s="81"/>
      <c r="Y264" s="81"/>
      <c r="Z264" s="81"/>
    </row>
    <row r="265" spans="1:26" ht="24" customHeight="1" x14ac:dyDescent="0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81"/>
      <c r="W265" s="81"/>
      <c r="X265" s="81"/>
      <c r="Y265" s="81"/>
      <c r="Z265" s="81"/>
    </row>
    <row r="266" spans="1:26" ht="24" customHeight="1" x14ac:dyDescent="0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81"/>
      <c r="W266" s="81"/>
      <c r="X266" s="81"/>
      <c r="Y266" s="81"/>
      <c r="Z266" s="81"/>
    </row>
    <row r="267" spans="1:26" ht="24" customHeight="1" x14ac:dyDescent="0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81"/>
      <c r="W267" s="81"/>
      <c r="X267" s="81"/>
      <c r="Y267" s="81"/>
      <c r="Z267" s="81"/>
    </row>
    <row r="268" spans="1:26" ht="24" customHeight="1" x14ac:dyDescent="0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81"/>
      <c r="W268" s="81"/>
      <c r="X268" s="81"/>
      <c r="Y268" s="81"/>
      <c r="Z268" s="81"/>
    </row>
    <row r="269" spans="1:26" ht="24" customHeight="1" x14ac:dyDescent="0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81"/>
      <c r="W269" s="81"/>
      <c r="X269" s="81"/>
      <c r="Y269" s="81"/>
      <c r="Z269" s="81"/>
    </row>
    <row r="270" spans="1:26" ht="24" customHeight="1" x14ac:dyDescent="0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81"/>
      <c r="W270" s="81"/>
      <c r="X270" s="81"/>
      <c r="Y270" s="81"/>
      <c r="Z270" s="81"/>
    </row>
    <row r="271" spans="1:26" ht="24" customHeight="1" x14ac:dyDescent="0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81"/>
      <c r="W271" s="81"/>
      <c r="X271" s="81"/>
      <c r="Y271" s="81"/>
      <c r="Z271" s="81"/>
    </row>
    <row r="272" spans="1:26" ht="24" customHeight="1" x14ac:dyDescent="0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81"/>
      <c r="W272" s="81"/>
      <c r="X272" s="81"/>
      <c r="Y272" s="81"/>
      <c r="Z272" s="81"/>
    </row>
    <row r="273" spans="1:26" ht="24" customHeight="1" x14ac:dyDescent="0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81"/>
      <c r="W273" s="81"/>
      <c r="X273" s="81"/>
      <c r="Y273" s="81"/>
      <c r="Z273" s="81"/>
    </row>
    <row r="274" spans="1:26" ht="24" customHeight="1" x14ac:dyDescent="0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81"/>
      <c r="W274" s="81"/>
      <c r="X274" s="81"/>
      <c r="Y274" s="81"/>
      <c r="Z274" s="81"/>
    </row>
    <row r="275" spans="1:26" ht="24" customHeight="1" x14ac:dyDescent="0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81"/>
      <c r="W275" s="81"/>
      <c r="X275" s="81"/>
      <c r="Y275" s="81"/>
      <c r="Z275" s="81"/>
    </row>
    <row r="276" spans="1:26" ht="24" customHeight="1" x14ac:dyDescent="0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81"/>
      <c r="W276" s="81"/>
      <c r="X276" s="81"/>
      <c r="Y276" s="81"/>
      <c r="Z276" s="81"/>
    </row>
    <row r="277" spans="1:26" ht="24" customHeight="1" x14ac:dyDescent="0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81"/>
      <c r="W277" s="81"/>
      <c r="X277" s="81"/>
      <c r="Y277" s="81"/>
      <c r="Z277" s="81"/>
    </row>
    <row r="278" spans="1:26" ht="24" customHeight="1" x14ac:dyDescent="0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81"/>
      <c r="W278" s="81"/>
      <c r="X278" s="81"/>
      <c r="Y278" s="81"/>
      <c r="Z278" s="81"/>
    </row>
    <row r="279" spans="1:26" ht="24" customHeight="1" x14ac:dyDescent="0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81"/>
      <c r="W279" s="81"/>
      <c r="X279" s="81"/>
      <c r="Y279" s="81"/>
      <c r="Z279" s="81"/>
    </row>
    <row r="280" spans="1:26" ht="24" customHeight="1" x14ac:dyDescent="0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81"/>
      <c r="W280" s="81"/>
      <c r="X280" s="81"/>
      <c r="Y280" s="81"/>
      <c r="Z280" s="81"/>
    </row>
    <row r="281" spans="1:26" ht="24" customHeight="1" x14ac:dyDescent="0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81"/>
      <c r="W281" s="81"/>
      <c r="X281" s="81"/>
      <c r="Y281" s="81"/>
      <c r="Z281" s="81"/>
    </row>
    <row r="282" spans="1:26" ht="24" customHeight="1" x14ac:dyDescent="0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81"/>
      <c r="W282" s="81"/>
      <c r="X282" s="81"/>
      <c r="Y282" s="81"/>
      <c r="Z282" s="81"/>
    </row>
    <row r="283" spans="1:26" ht="24" customHeight="1" x14ac:dyDescent="0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81"/>
      <c r="W283" s="81"/>
      <c r="X283" s="81"/>
      <c r="Y283" s="81"/>
      <c r="Z283" s="81"/>
    </row>
    <row r="284" spans="1:26" ht="24" customHeight="1" x14ac:dyDescent="0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81"/>
      <c r="W284" s="81"/>
      <c r="X284" s="81"/>
      <c r="Y284" s="81"/>
      <c r="Z284" s="81"/>
    </row>
    <row r="285" spans="1:26" ht="24" customHeight="1" x14ac:dyDescent="0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81"/>
      <c r="W285" s="81"/>
      <c r="X285" s="81"/>
      <c r="Y285" s="81"/>
      <c r="Z285" s="81"/>
    </row>
    <row r="286" spans="1:26" ht="24" customHeight="1" x14ac:dyDescent="0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81"/>
      <c r="W286" s="81"/>
      <c r="X286" s="81"/>
      <c r="Y286" s="81"/>
      <c r="Z286" s="81"/>
    </row>
    <row r="287" spans="1:26" ht="24" customHeight="1" x14ac:dyDescent="0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81"/>
      <c r="W287" s="81"/>
      <c r="X287" s="81"/>
      <c r="Y287" s="81"/>
      <c r="Z287" s="81"/>
    </row>
    <row r="288" spans="1:26" ht="24" customHeight="1" x14ac:dyDescent="0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81"/>
      <c r="W288" s="81"/>
      <c r="X288" s="81"/>
      <c r="Y288" s="81"/>
      <c r="Z288" s="81"/>
    </row>
    <row r="289" spans="1:26" ht="24" customHeight="1" x14ac:dyDescent="0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81"/>
      <c r="W289" s="81"/>
      <c r="X289" s="81"/>
      <c r="Y289" s="81"/>
      <c r="Z289" s="81"/>
    </row>
    <row r="290" spans="1:26" ht="24" customHeight="1" x14ac:dyDescent="0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81"/>
      <c r="W290" s="81"/>
      <c r="X290" s="81"/>
      <c r="Y290" s="81"/>
      <c r="Z290" s="81"/>
    </row>
    <row r="291" spans="1:26" ht="24" customHeight="1" x14ac:dyDescent="0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81"/>
      <c r="W291" s="81"/>
      <c r="X291" s="81"/>
      <c r="Y291" s="81"/>
      <c r="Z291" s="81"/>
    </row>
    <row r="292" spans="1:26" ht="24" customHeight="1" x14ac:dyDescent="0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81"/>
      <c r="W292" s="81"/>
      <c r="X292" s="81"/>
      <c r="Y292" s="81"/>
      <c r="Z292" s="81"/>
    </row>
    <row r="293" spans="1:26" ht="24" customHeight="1" x14ac:dyDescent="0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81"/>
      <c r="W293" s="81"/>
      <c r="X293" s="81"/>
      <c r="Y293" s="81"/>
      <c r="Z293" s="81"/>
    </row>
    <row r="294" spans="1:26" ht="24" customHeight="1" x14ac:dyDescent="0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81"/>
      <c r="W294" s="81"/>
      <c r="X294" s="81"/>
      <c r="Y294" s="81"/>
      <c r="Z294" s="81"/>
    </row>
    <row r="295" spans="1:26" ht="24" customHeight="1" x14ac:dyDescent="0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81"/>
      <c r="W295" s="81"/>
      <c r="X295" s="81"/>
      <c r="Y295" s="81"/>
      <c r="Z295" s="81"/>
    </row>
    <row r="296" spans="1:26" ht="24" customHeight="1" x14ac:dyDescent="0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81"/>
      <c r="W296" s="81"/>
      <c r="X296" s="81"/>
      <c r="Y296" s="81"/>
      <c r="Z296" s="81"/>
    </row>
    <row r="297" spans="1:26" ht="24" customHeight="1" x14ac:dyDescent="0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81"/>
      <c r="W297" s="81"/>
      <c r="X297" s="81"/>
      <c r="Y297" s="81"/>
      <c r="Z297" s="81"/>
    </row>
    <row r="298" spans="1:26" ht="24" customHeight="1" x14ac:dyDescent="0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81"/>
      <c r="W298" s="81"/>
      <c r="X298" s="81"/>
      <c r="Y298" s="81"/>
      <c r="Z298" s="81"/>
    </row>
    <row r="299" spans="1:26" ht="24" customHeight="1" x14ac:dyDescent="0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81"/>
      <c r="W299" s="81"/>
      <c r="X299" s="81"/>
      <c r="Y299" s="81"/>
      <c r="Z299" s="81"/>
    </row>
    <row r="300" spans="1:26" ht="24" customHeight="1" x14ac:dyDescent="0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81"/>
      <c r="W300" s="81"/>
      <c r="X300" s="81"/>
      <c r="Y300" s="81"/>
      <c r="Z300" s="81"/>
    </row>
    <row r="301" spans="1:26" ht="24" customHeight="1" x14ac:dyDescent="0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81"/>
      <c r="W301" s="81"/>
      <c r="X301" s="81"/>
      <c r="Y301" s="81"/>
      <c r="Z301" s="81"/>
    </row>
    <row r="302" spans="1:26" ht="24" customHeight="1" x14ac:dyDescent="0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81"/>
      <c r="W302" s="81"/>
      <c r="X302" s="81"/>
      <c r="Y302" s="81"/>
      <c r="Z302" s="81"/>
    </row>
    <row r="303" spans="1:26" ht="24" customHeight="1" x14ac:dyDescent="0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81"/>
      <c r="W303" s="81"/>
      <c r="X303" s="81"/>
      <c r="Y303" s="81"/>
      <c r="Z303" s="81"/>
    </row>
    <row r="304" spans="1:26" ht="24" customHeight="1" x14ac:dyDescent="0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81"/>
      <c r="W304" s="81"/>
      <c r="X304" s="81"/>
      <c r="Y304" s="81"/>
      <c r="Z304" s="81"/>
    </row>
    <row r="305" spans="1:26" ht="24" customHeight="1" x14ac:dyDescent="0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81"/>
      <c r="W305" s="81"/>
      <c r="X305" s="81"/>
      <c r="Y305" s="81"/>
      <c r="Z305" s="81"/>
    </row>
    <row r="306" spans="1:26" ht="24" customHeight="1" x14ac:dyDescent="0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81"/>
      <c r="W306" s="81"/>
      <c r="X306" s="81"/>
      <c r="Y306" s="81"/>
      <c r="Z306" s="81"/>
    </row>
    <row r="307" spans="1:26" ht="24" customHeight="1" x14ac:dyDescent="0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81"/>
      <c r="W307" s="81"/>
      <c r="X307" s="81"/>
      <c r="Y307" s="81"/>
      <c r="Z307" s="81"/>
    </row>
    <row r="308" spans="1:26" ht="24" customHeight="1" x14ac:dyDescent="0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81"/>
      <c r="W308" s="81"/>
      <c r="X308" s="81"/>
      <c r="Y308" s="81"/>
      <c r="Z308" s="81"/>
    </row>
    <row r="309" spans="1:26" ht="24" customHeight="1" x14ac:dyDescent="0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81"/>
      <c r="W309" s="81"/>
      <c r="X309" s="81"/>
      <c r="Y309" s="81"/>
      <c r="Z309" s="81"/>
    </row>
    <row r="310" spans="1:26" ht="24" customHeight="1" x14ac:dyDescent="0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81"/>
      <c r="W310" s="81"/>
      <c r="X310" s="81"/>
      <c r="Y310" s="81"/>
      <c r="Z310" s="81"/>
    </row>
    <row r="311" spans="1:26" ht="24" customHeight="1" x14ac:dyDescent="0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81"/>
      <c r="W311" s="81"/>
      <c r="X311" s="81"/>
      <c r="Y311" s="81"/>
      <c r="Z311" s="81"/>
    </row>
    <row r="312" spans="1:26" ht="24" customHeight="1" x14ac:dyDescent="0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81"/>
      <c r="W312" s="81"/>
      <c r="X312" s="81"/>
      <c r="Y312" s="81"/>
      <c r="Z312" s="81"/>
    </row>
    <row r="313" spans="1:26" ht="24" customHeight="1" x14ac:dyDescent="0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81"/>
      <c r="W313" s="81"/>
      <c r="X313" s="81"/>
      <c r="Y313" s="81"/>
      <c r="Z313" s="81"/>
    </row>
    <row r="314" spans="1:26" ht="24" customHeight="1" x14ac:dyDescent="0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81"/>
      <c r="W314" s="81"/>
      <c r="X314" s="81"/>
      <c r="Y314" s="81"/>
      <c r="Z314" s="81"/>
    </row>
    <row r="315" spans="1:26" ht="24" customHeight="1" x14ac:dyDescent="0.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 ht="24" customHeight="1" x14ac:dyDescent="0.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 ht="24" customHeight="1" x14ac:dyDescent="0.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 ht="24" customHeight="1" x14ac:dyDescent="0.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 ht="24" customHeight="1" x14ac:dyDescent="0.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 ht="24" customHeight="1" x14ac:dyDescent="0.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 ht="24" customHeight="1" x14ac:dyDescent="0.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 ht="24" customHeight="1" x14ac:dyDescent="0.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 ht="24" customHeight="1" x14ac:dyDescent="0.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 ht="24" customHeight="1" x14ac:dyDescent="0.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 ht="24" customHeight="1" x14ac:dyDescent="0.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 ht="24" customHeight="1" x14ac:dyDescent="0.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 ht="24" customHeight="1" x14ac:dyDescent="0.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 ht="24" customHeight="1" x14ac:dyDescent="0.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 ht="24" customHeight="1" x14ac:dyDescent="0.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 ht="24" customHeight="1" x14ac:dyDescent="0.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 ht="24" customHeight="1" x14ac:dyDescent="0.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 ht="24" customHeight="1" x14ac:dyDescent="0.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 ht="24" customHeight="1" x14ac:dyDescent="0.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 ht="24" customHeight="1" x14ac:dyDescent="0.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 ht="24" customHeight="1" x14ac:dyDescent="0.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 ht="24" customHeight="1" x14ac:dyDescent="0.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 ht="24" customHeight="1" x14ac:dyDescent="0.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 ht="24" customHeight="1" x14ac:dyDescent="0.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 ht="24" customHeight="1" x14ac:dyDescent="0.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 ht="24" customHeight="1" x14ac:dyDescent="0.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 ht="24" customHeight="1" x14ac:dyDescent="0.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 ht="24" customHeight="1" x14ac:dyDescent="0.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 ht="24" customHeight="1" x14ac:dyDescent="0.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 ht="24" customHeight="1" x14ac:dyDescent="0.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 ht="24" customHeight="1" x14ac:dyDescent="0.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 ht="24" customHeight="1" x14ac:dyDescent="0.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 ht="24" customHeight="1" x14ac:dyDescent="0.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 ht="24" customHeight="1" x14ac:dyDescent="0.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 ht="24" customHeight="1" x14ac:dyDescent="0.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 ht="24" customHeight="1" x14ac:dyDescent="0.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 ht="24" customHeight="1" x14ac:dyDescent="0.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 ht="24" customHeight="1" x14ac:dyDescent="0.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 ht="24" customHeight="1" x14ac:dyDescent="0.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 ht="24" customHeight="1" x14ac:dyDescent="0.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 ht="24" customHeight="1" x14ac:dyDescent="0.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 ht="24" customHeight="1" x14ac:dyDescent="0.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 ht="24" customHeight="1" x14ac:dyDescent="0.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 ht="24" customHeight="1" x14ac:dyDescent="0.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 ht="24" customHeight="1" x14ac:dyDescent="0.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 ht="24" customHeight="1" x14ac:dyDescent="0.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 ht="24" customHeight="1" x14ac:dyDescent="0.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 ht="24" customHeight="1" x14ac:dyDescent="0.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 ht="24" customHeight="1" x14ac:dyDescent="0.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 ht="24" customHeight="1" x14ac:dyDescent="0.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 ht="24" customHeight="1" x14ac:dyDescent="0.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 ht="24" customHeight="1" x14ac:dyDescent="0.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 ht="24" customHeight="1" x14ac:dyDescent="0.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 ht="24" customHeight="1" x14ac:dyDescent="0.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 ht="24" customHeight="1" x14ac:dyDescent="0.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 ht="24" customHeight="1" x14ac:dyDescent="0.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 ht="24" customHeight="1" x14ac:dyDescent="0.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 ht="24" customHeight="1" x14ac:dyDescent="0.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 ht="24" customHeight="1" x14ac:dyDescent="0.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 ht="24" customHeight="1" x14ac:dyDescent="0.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 ht="24" customHeight="1" x14ac:dyDescent="0.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 ht="24" customHeight="1" x14ac:dyDescent="0.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 ht="24" customHeight="1" x14ac:dyDescent="0.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 ht="24" customHeight="1" x14ac:dyDescent="0.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 ht="24" customHeight="1" x14ac:dyDescent="0.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 ht="24" customHeight="1" x14ac:dyDescent="0.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 ht="24" customHeight="1" x14ac:dyDescent="0.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 ht="24" customHeight="1" x14ac:dyDescent="0.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 ht="24" customHeight="1" x14ac:dyDescent="0.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 ht="24" customHeight="1" x14ac:dyDescent="0.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 ht="24" customHeight="1" x14ac:dyDescent="0.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 ht="24" customHeight="1" x14ac:dyDescent="0.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 ht="24" customHeight="1" x14ac:dyDescent="0.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 ht="24" customHeight="1" x14ac:dyDescent="0.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 ht="24" customHeight="1" x14ac:dyDescent="0.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 ht="24" customHeight="1" x14ac:dyDescent="0.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ht="24" customHeight="1" x14ac:dyDescent="0.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 ht="24" customHeight="1" x14ac:dyDescent="0.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 ht="24" customHeight="1" x14ac:dyDescent="0.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 ht="24" customHeight="1" x14ac:dyDescent="0.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 ht="24" customHeight="1" x14ac:dyDescent="0.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 ht="24" customHeight="1" x14ac:dyDescent="0.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 ht="24" customHeight="1" x14ac:dyDescent="0.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 ht="24" customHeight="1" x14ac:dyDescent="0.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 ht="24" customHeight="1" x14ac:dyDescent="0.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 ht="24" customHeight="1" x14ac:dyDescent="0.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 ht="24" customHeight="1" x14ac:dyDescent="0.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 ht="24" customHeight="1" x14ac:dyDescent="0.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 ht="24" customHeight="1" x14ac:dyDescent="0.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 ht="24" customHeight="1" x14ac:dyDescent="0.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 ht="24" customHeight="1" x14ac:dyDescent="0.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 ht="24" customHeight="1" x14ac:dyDescent="0.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 ht="24" customHeight="1" x14ac:dyDescent="0.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 ht="24" customHeight="1" x14ac:dyDescent="0.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 ht="24" customHeight="1" x14ac:dyDescent="0.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 ht="24" customHeight="1" x14ac:dyDescent="0.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 ht="24" customHeight="1" x14ac:dyDescent="0.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 ht="24" customHeight="1" x14ac:dyDescent="0.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 ht="24" customHeight="1" x14ac:dyDescent="0.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 ht="24" customHeight="1" x14ac:dyDescent="0.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 ht="24" customHeight="1" x14ac:dyDescent="0.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 ht="24" customHeight="1" x14ac:dyDescent="0.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 ht="24" customHeight="1" x14ac:dyDescent="0.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 ht="24" customHeight="1" x14ac:dyDescent="0.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 ht="24" customHeight="1" x14ac:dyDescent="0.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 ht="24" customHeight="1" x14ac:dyDescent="0.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 ht="24" customHeight="1" x14ac:dyDescent="0.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 ht="24" customHeight="1" x14ac:dyDescent="0.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 ht="24" customHeight="1" x14ac:dyDescent="0.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 ht="24" customHeight="1" x14ac:dyDescent="0.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 ht="24" customHeight="1" x14ac:dyDescent="0.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 ht="24" customHeight="1" x14ac:dyDescent="0.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 ht="24" customHeight="1" x14ac:dyDescent="0.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 ht="24" customHeight="1" x14ac:dyDescent="0.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 ht="24" customHeight="1" x14ac:dyDescent="0.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 ht="24" customHeight="1" x14ac:dyDescent="0.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 ht="24" customHeight="1" x14ac:dyDescent="0.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 ht="24" customHeight="1" x14ac:dyDescent="0.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 ht="24" customHeight="1" x14ac:dyDescent="0.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 ht="24" customHeight="1" x14ac:dyDescent="0.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 ht="24" customHeight="1" x14ac:dyDescent="0.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 ht="24" customHeight="1" x14ac:dyDescent="0.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 ht="24" customHeight="1" x14ac:dyDescent="0.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 ht="24" customHeight="1" x14ac:dyDescent="0.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 ht="24" customHeight="1" x14ac:dyDescent="0.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 ht="24" customHeight="1" x14ac:dyDescent="0.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 ht="24" customHeight="1" x14ac:dyDescent="0.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 ht="24" customHeight="1" x14ac:dyDescent="0.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 ht="24" customHeight="1" x14ac:dyDescent="0.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 ht="24" customHeight="1" x14ac:dyDescent="0.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 ht="24" customHeight="1" x14ac:dyDescent="0.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 ht="24" customHeight="1" x14ac:dyDescent="0.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 ht="24" customHeight="1" x14ac:dyDescent="0.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 ht="24" customHeight="1" x14ac:dyDescent="0.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 ht="24" customHeight="1" x14ac:dyDescent="0.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 ht="24" customHeight="1" x14ac:dyDescent="0.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 ht="24" customHeight="1" x14ac:dyDescent="0.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 ht="24" customHeight="1" x14ac:dyDescent="0.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 ht="24" customHeight="1" x14ac:dyDescent="0.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 ht="24" customHeight="1" x14ac:dyDescent="0.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 ht="24" customHeight="1" x14ac:dyDescent="0.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 ht="24" customHeight="1" x14ac:dyDescent="0.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 ht="24" customHeight="1" x14ac:dyDescent="0.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 ht="24" customHeight="1" x14ac:dyDescent="0.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 ht="24" customHeight="1" x14ac:dyDescent="0.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 ht="24" customHeight="1" x14ac:dyDescent="0.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 ht="24" customHeight="1" x14ac:dyDescent="0.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 ht="24" customHeight="1" x14ac:dyDescent="0.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 ht="24" customHeight="1" x14ac:dyDescent="0.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 ht="24" customHeight="1" x14ac:dyDescent="0.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 ht="24" customHeight="1" x14ac:dyDescent="0.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 ht="24" customHeight="1" x14ac:dyDescent="0.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 ht="24" customHeight="1" x14ac:dyDescent="0.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 ht="24" customHeight="1" x14ac:dyDescent="0.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 ht="24" customHeight="1" x14ac:dyDescent="0.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 ht="24" customHeight="1" x14ac:dyDescent="0.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 ht="24" customHeight="1" x14ac:dyDescent="0.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 ht="24" customHeight="1" x14ac:dyDescent="0.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 ht="24" customHeight="1" x14ac:dyDescent="0.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 ht="24" customHeight="1" x14ac:dyDescent="0.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 ht="24" customHeight="1" x14ac:dyDescent="0.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 ht="24" customHeight="1" x14ac:dyDescent="0.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 ht="24" customHeight="1" x14ac:dyDescent="0.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 ht="24" customHeight="1" x14ac:dyDescent="0.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 ht="24" customHeight="1" x14ac:dyDescent="0.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 ht="24" customHeight="1" x14ac:dyDescent="0.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 ht="24" customHeight="1" x14ac:dyDescent="0.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 ht="24" customHeight="1" x14ac:dyDescent="0.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 ht="24" customHeight="1" x14ac:dyDescent="0.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 ht="24" customHeight="1" x14ac:dyDescent="0.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 ht="24" customHeight="1" x14ac:dyDescent="0.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 ht="24" customHeight="1" x14ac:dyDescent="0.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 ht="24" customHeight="1" x14ac:dyDescent="0.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 ht="24" customHeight="1" x14ac:dyDescent="0.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 ht="24" customHeight="1" x14ac:dyDescent="0.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 ht="24" customHeight="1" x14ac:dyDescent="0.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 ht="24" customHeight="1" x14ac:dyDescent="0.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 ht="24" customHeight="1" x14ac:dyDescent="0.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 ht="24" customHeight="1" x14ac:dyDescent="0.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 ht="24" customHeight="1" x14ac:dyDescent="0.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 ht="24" customHeight="1" x14ac:dyDescent="0.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 ht="24" customHeight="1" x14ac:dyDescent="0.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 ht="24" customHeight="1" x14ac:dyDescent="0.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 ht="24" customHeight="1" x14ac:dyDescent="0.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 ht="24" customHeight="1" x14ac:dyDescent="0.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 ht="24" customHeight="1" x14ac:dyDescent="0.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 ht="24" customHeight="1" x14ac:dyDescent="0.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 ht="24" customHeight="1" x14ac:dyDescent="0.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 ht="24" customHeight="1" x14ac:dyDescent="0.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 ht="24" customHeight="1" x14ac:dyDescent="0.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 ht="24" customHeight="1" x14ac:dyDescent="0.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 ht="24" customHeight="1" x14ac:dyDescent="0.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 ht="24" customHeight="1" x14ac:dyDescent="0.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 ht="24" customHeight="1" x14ac:dyDescent="0.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 ht="24" customHeight="1" x14ac:dyDescent="0.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 ht="24" customHeight="1" x14ac:dyDescent="0.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 ht="24" customHeight="1" x14ac:dyDescent="0.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 ht="24" customHeight="1" x14ac:dyDescent="0.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 ht="24" customHeight="1" x14ac:dyDescent="0.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 ht="24" customHeight="1" x14ac:dyDescent="0.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 ht="24" customHeight="1" x14ac:dyDescent="0.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 ht="24" customHeight="1" x14ac:dyDescent="0.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 ht="24" customHeight="1" x14ac:dyDescent="0.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 ht="24" customHeight="1" x14ac:dyDescent="0.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 ht="24" customHeight="1" x14ac:dyDescent="0.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 ht="24" customHeight="1" x14ac:dyDescent="0.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 ht="24" customHeight="1" x14ac:dyDescent="0.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 ht="24" customHeight="1" x14ac:dyDescent="0.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 ht="24" customHeight="1" x14ac:dyDescent="0.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 ht="24" customHeight="1" x14ac:dyDescent="0.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 ht="24" customHeight="1" x14ac:dyDescent="0.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 ht="24" customHeight="1" x14ac:dyDescent="0.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 ht="24" customHeight="1" x14ac:dyDescent="0.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 ht="24" customHeight="1" x14ac:dyDescent="0.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 ht="24" customHeight="1" x14ac:dyDescent="0.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 ht="24" customHeight="1" x14ac:dyDescent="0.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 ht="24" customHeight="1" x14ac:dyDescent="0.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 ht="24" customHeight="1" x14ac:dyDescent="0.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 ht="24" customHeight="1" x14ac:dyDescent="0.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 ht="24" customHeight="1" x14ac:dyDescent="0.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 ht="24" customHeight="1" x14ac:dyDescent="0.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 ht="24" customHeight="1" x14ac:dyDescent="0.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 ht="24" customHeight="1" x14ac:dyDescent="0.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 ht="24" customHeight="1" x14ac:dyDescent="0.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 ht="24" customHeight="1" x14ac:dyDescent="0.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 ht="24" customHeight="1" x14ac:dyDescent="0.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 ht="24" customHeight="1" x14ac:dyDescent="0.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 ht="24" customHeight="1" x14ac:dyDescent="0.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 ht="24" customHeight="1" x14ac:dyDescent="0.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 ht="24" customHeight="1" x14ac:dyDescent="0.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 ht="24" customHeight="1" x14ac:dyDescent="0.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 ht="24" customHeight="1" x14ac:dyDescent="0.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 ht="24" customHeight="1" x14ac:dyDescent="0.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 ht="24" customHeight="1" x14ac:dyDescent="0.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 ht="24" customHeight="1" x14ac:dyDescent="0.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 ht="24" customHeight="1" x14ac:dyDescent="0.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 ht="24" customHeight="1" x14ac:dyDescent="0.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 ht="24" customHeight="1" x14ac:dyDescent="0.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 ht="24" customHeight="1" x14ac:dyDescent="0.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 ht="24" customHeight="1" x14ac:dyDescent="0.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 ht="24" customHeight="1" x14ac:dyDescent="0.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 ht="24" customHeight="1" x14ac:dyDescent="0.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 ht="24" customHeight="1" x14ac:dyDescent="0.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 ht="24" customHeight="1" x14ac:dyDescent="0.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 ht="24" customHeight="1" x14ac:dyDescent="0.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 ht="24" customHeight="1" x14ac:dyDescent="0.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 ht="24" customHeight="1" x14ac:dyDescent="0.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 ht="24" customHeight="1" x14ac:dyDescent="0.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 ht="24" customHeight="1" x14ac:dyDescent="0.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 ht="24" customHeight="1" x14ac:dyDescent="0.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 ht="24" customHeight="1" x14ac:dyDescent="0.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 ht="24" customHeight="1" x14ac:dyDescent="0.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 ht="24" customHeight="1" x14ac:dyDescent="0.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 ht="24" customHeight="1" x14ac:dyDescent="0.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 ht="24" customHeight="1" x14ac:dyDescent="0.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 ht="24" customHeight="1" x14ac:dyDescent="0.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 ht="24" customHeight="1" x14ac:dyDescent="0.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 ht="24" customHeight="1" x14ac:dyDescent="0.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 ht="24" customHeight="1" x14ac:dyDescent="0.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 ht="24" customHeight="1" x14ac:dyDescent="0.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 ht="24" customHeight="1" x14ac:dyDescent="0.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 ht="24" customHeight="1" x14ac:dyDescent="0.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 ht="24" customHeight="1" x14ac:dyDescent="0.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 ht="24" customHeight="1" x14ac:dyDescent="0.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 ht="24" customHeight="1" x14ac:dyDescent="0.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 ht="24" customHeight="1" x14ac:dyDescent="0.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 ht="24" customHeight="1" x14ac:dyDescent="0.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 ht="24" customHeight="1" x14ac:dyDescent="0.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 ht="24" customHeight="1" x14ac:dyDescent="0.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 ht="24" customHeight="1" x14ac:dyDescent="0.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 ht="24" customHeight="1" x14ac:dyDescent="0.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 ht="24" customHeight="1" x14ac:dyDescent="0.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 ht="24" customHeight="1" x14ac:dyDescent="0.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 ht="24" customHeight="1" x14ac:dyDescent="0.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 ht="24" customHeight="1" x14ac:dyDescent="0.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 ht="24" customHeight="1" x14ac:dyDescent="0.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 ht="24" customHeight="1" x14ac:dyDescent="0.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 ht="24" customHeight="1" x14ac:dyDescent="0.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 ht="24" customHeight="1" x14ac:dyDescent="0.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 ht="24" customHeight="1" x14ac:dyDescent="0.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 ht="24" customHeight="1" x14ac:dyDescent="0.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 ht="24" customHeight="1" x14ac:dyDescent="0.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 ht="24" customHeight="1" x14ac:dyDescent="0.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 ht="24" customHeight="1" x14ac:dyDescent="0.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 ht="24" customHeight="1" x14ac:dyDescent="0.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 ht="24" customHeight="1" x14ac:dyDescent="0.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 ht="24" customHeight="1" x14ac:dyDescent="0.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 ht="24" customHeight="1" x14ac:dyDescent="0.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 ht="24" customHeight="1" x14ac:dyDescent="0.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 ht="24" customHeight="1" x14ac:dyDescent="0.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 ht="24" customHeight="1" x14ac:dyDescent="0.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 ht="24" customHeight="1" x14ac:dyDescent="0.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 ht="24" customHeight="1" x14ac:dyDescent="0.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 ht="24" customHeight="1" x14ac:dyDescent="0.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 ht="24" customHeight="1" x14ac:dyDescent="0.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 ht="24" customHeight="1" x14ac:dyDescent="0.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 ht="24" customHeight="1" x14ac:dyDescent="0.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 ht="24" customHeight="1" x14ac:dyDescent="0.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 ht="24" customHeight="1" x14ac:dyDescent="0.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 ht="24" customHeight="1" x14ac:dyDescent="0.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 ht="24" customHeight="1" x14ac:dyDescent="0.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 ht="24" customHeight="1" x14ac:dyDescent="0.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 ht="24" customHeight="1" x14ac:dyDescent="0.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 ht="24" customHeight="1" x14ac:dyDescent="0.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 ht="24" customHeight="1" x14ac:dyDescent="0.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 ht="24" customHeight="1" x14ac:dyDescent="0.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 ht="24" customHeight="1" x14ac:dyDescent="0.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 ht="24" customHeight="1" x14ac:dyDescent="0.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 ht="24" customHeight="1" x14ac:dyDescent="0.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 ht="24" customHeight="1" x14ac:dyDescent="0.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 ht="24" customHeight="1" x14ac:dyDescent="0.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 ht="24" customHeight="1" x14ac:dyDescent="0.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 ht="24" customHeight="1" x14ac:dyDescent="0.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 ht="24" customHeight="1" x14ac:dyDescent="0.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 ht="24" customHeight="1" x14ac:dyDescent="0.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 ht="24" customHeight="1" x14ac:dyDescent="0.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 ht="24" customHeight="1" x14ac:dyDescent="0.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 ht="24" customHeight="1" x14ac:dyDescent="0.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 ht="24" customHeight="1" x14ac:dyDescent="0.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 ht="24" customHeight="1" x14ac:dyDescent="0.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 ht="24" customHeight="1" x14ac:dyDescent="0.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 ht="24" customHeight="1" x14ac:dyDescent="0.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 ht="24" customHeight="1" x14ac:dyDescent="0.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 ht="24" customHeight="1" x14ac:dyDescent="0.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 ht="24" customHeight="1" x14ac:dyDescent="0.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 ht="24" customHeight="1" x14ac:dyDescent="0.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 ht="24" customHeight="1" x14ac:dyDescent="0.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 ht="24" customHeight="1" x14ac:dyDescent="0.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 ht="24" customHeight="1" x14ac:dyDescent="0.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 ht="24" customHeight="1" x14ac:dyDescent="0.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 ht="24" customHeight="1" x14ac:dyDescent="0.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 ht="24" customHeight="1" x14ac:dyDescent="0.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 ht="24" customHeight="1" x14ac:dyDescent="0.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 ht="24" customHeight="1" x14ac:dyDescent="0.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 ht="24" customHeight="1" x14ac:dyDescent="0.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 ht="24" customHeight="1" x14ac:dyDescent="0.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 ht="24" customHeight="1" x14ac:dyDescent="0.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 ht="24" customHeight="1" x14ac:dyDescent="0.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 ht="24" customHeight="1" x14ac:dyDescent="0.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 ht="24" customHeight="1" x14ac:dyDescent="0.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 ht="24" customHeight="1" x14ac:dyDescent="0.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 ht="24" customHeight="1" x14ac:dyDescent="0.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 ht="24" customHeight="1" x14ac:dyDescent="0.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 ht="24" customHeight="1" x14ac:dyDescent="0.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 ht="24" customHeight="1" x14ac:dyDescent="0.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 ht="24" customHeight="1" x14ac:dyDescent="0.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 ht="24" customHeight="1" x14ac:dyDescent="0.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 ht="24" customHeight="1" x14ac:dyDescent="0.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 ht="24" customHeight="1" x14ac:dyDescent="0.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 ht="24" customHeight="1" x14ac:dyDescent="0.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 ht="24" customHeight="1" x14ac:dyDescent="0.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 ht="24" customHeight="1" x14ac:dyDescent="0.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 ht="24" customHeight="1" x14ac:dyDescent="0.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 ht="24" customHeight="1" x14ac:dyDescent="0.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 ht="24" customHeight="1" x14ac:dyDescent="0.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 ht="24" customHeight="1" x14ac:dyDescent="0.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 ht="24" customHeight="1" x14ac:dyDescent="0.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 ht="24" customHeight="1" x14ac:dyDescent="0.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 ht="24" customHeight="1" x14ac:dyDescent="0.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 ht="24" customHeight="1" x14ac:dyDescent="0.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 ht="24" customHeight="1" x14ac:dyDescent="0.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 ht="24" customHeight="1" x14ac:dyDescent="0.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 ht="24" customHeight="1" x14ac:dyDescent="0.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 ht="24" customHeight="1" x14ac:dyDescent="0.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 ht="24" customHeight="1" x14ac:dyDescent="0.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 ht="24" customHeight="1" x14ac:dyDescent="0.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 ht="24" customHeight="1" x14ac:dyDescent="0.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 ht="24" customHeight="1" x14ac:dyDescent="0.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 ht="24" customHeight="1" x14ac:dyDescent="0.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 ht="24" customHeight="1" x14ac:dyDescent="0.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 ht="24" customHeight="1" x14ac:dyDescent="0.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 ht="24" customHeight="1" x14ac:dyDescent="0.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 ht="24" customHeight="1" x14ac:dyDescent="0.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 ht="24" customHeight="1" x14ac:dyDescent="0.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 ht="24" customHeight="1" x14ac:dyDescent="0.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 ht="24" customHeight="1" x14ac:dyDescent="0.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 ht="24" customHeight="1" x14ac:dyDescent="0.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 ht="24" customHeight="1" x14ac:dyDescent="0.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 ht="24" customHeight="1" x14ac:dyDescent="0.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 ht="24" customHeight="1" x14ac:dyDescent="0.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 ht="24" customHeight="1" x14ac:dyDescent="0.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 ht="24" customHeight="1" x14ac:dyDescent="0.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 ht="24" customHeight="1" x14ac:dyDescent="0.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 ht="24" customHeight="1" x14ac:dyDescent="0.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 ht="24" customHeight="1" x14ac:dyDescent="0.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 ht="24" customHeight="1" x14ac:dyDescent="0.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 ht="24" customHeight="1" x14ac:dyDescent="0.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 ht="24" customHeight="1" x14ac:dyDescent="0.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 ht="24" customHeight="1" x14ac:dyDescent="0.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 ht="24" customHeight="1" x14ac:dyDescent="0.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 ht="24" customHeight="1" x14ac:dyDescent="0.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 ht="24" customHeight="1" x14ac:dyDescent="0.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 ht="24" customHeight="1" x14ac:dyDescent="0.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 ht="24" customHeight="1" x14ac:dyDescent="0.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 ht="24" customHeight="1" x14ac:dyDescent="0.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 ht="24" customHeight="1" x14ac:dyDescent="0.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 ht="24" customHeight="1" x14ac:dyDescent="0.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 ht="24" customHeight="1" x14ac:dyDescent="0.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 ht="24" customHeight="1" x14ac:dyDescent="0.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 ht="24" customHeight="1" x14ac:dyDescent="0.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 ht="24" customHeight="1" x14ac:dyDescent="0.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 ht="24" customHeight="1" x14ac:dyDescent="0.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 ht="24" customHeight="1" x14ac:dyDescent="0.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 ht="24" customHeight="1" x14ac:dyDescent="0.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 ht="24" customHeight="1" x14ac:dyDescent="0.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 ht="24" customHeight="1" x14ac:dyDescent="0.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 ht="24" customHeight="1" x14ac:dyDescent="0.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 ht="24" customHeight="1" x14ac:dyDescent="0.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 ht="24" customHeight="1" x14ac:dyDescent="0.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 ht="24" customHeight="1" x14ac:dyDescent="0.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 ht="24" customHeight="1" x14ac:dyDescent="0.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 ht="24" customHeight="1" x14ac:dyDescent="0.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 ht="24" customHeight="1" x14ac:dyDescent="0.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 ht="24" customHeight="1" x14ac:dyDescent="0.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 ht="24" customHeight="1" x14ac:dyDescent="0.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 ht="24" customHeight="1" x14ac:dyDescent="0.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 ht="24" customHeight="1" x14ac:dyDescent="0.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 ht="24" customHeight="1" x14ac:dyDescent="0.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 ht="24" customHeight="1" x14ac:dyDescent="0.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 ht="24" customHeight="1" x14ac:dyDescent="0.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 ht="24" customHeight="1" x14ac:dyDescent="0.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 ht="24" customHeight="1" x14ac:dyDescent="0.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 ht="24" customHeight="1" x14ac:dyDescent="0.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 ht="24" customHeight="1" x14ac:dyDescent="0.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 ht="24" customHeight="1" x14ac:dyDescent="0.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 ht="24" customHeight="1" x14ac:dyDescent="0.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 ht="24" customHeight="1" x14ac:dyDescent="0.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 ht="24" customHeight="1" x14ac:dyDescent="0.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 ht="24" customHeight="1" x14ac:dyDescent="0.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 ht="24" customHeight="1" x14ac:dyDescent="0.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 ht="24" customHeight="1" x14ac:dyDescent="0.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 ht="24" customHeight="1" x14ac:dyDescent="0.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 ht="24" customHeight="1" x14ac:dyDescent="0.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 ht="24" customHeight="1" x14ac:dyDescent="0.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 ht="24" customHeight="1" x14ac:dyDescent="0.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 ht="24" customHeight="1" x14ac:dyDescent="0.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 ht="24" customHeight="1" x14ac:dyDescent="0.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 ht="24" customHeight="1" x14ac:dyDescent="0.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 ht="24" customHeight="1" x14ac:dyDescent="0.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 ht="24" customHeight="1" x14ac:dyDescent="0.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 ht="24" customHeight="1" x14ac:dyDescent="0.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 ht="24" customHeight="1" x14ac:dyDescent="0.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 ht="24" customHeight="1" x14ac:dyDescent="0.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 ht="24" customHeight="1" x14ac:dyDescent="0.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 ht="24" customHeight="1" x14ac:dyDescent="0.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 ht="24" customHeight="1" x14ac:dyDescent="0.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 ht="24" customHeight="1" x14ac:dyDescent="0.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 ht="24" customHeight="1" x14ac:dyDescent="0.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 ht="24" customHeight="1" x14ac:dyDescent="0.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 ht="24" customHeight="1" x14ac:dyDescent="0.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 ht="24" customHeight="1" x14ac:dyDescent="0.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 ht="24" customHeight="1" x14ac:dyDescent="0.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 ht="24" customHeight="1" x14ac:dyDescent="0.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 ht="24" customHeight="1" x14ac:dyDescent="0.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 ht="24" customHeight="1" x14ac:dyDescent="0.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 ht="24" customHeight="1" x14ac:dyDescent="0.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 ht="24" customHeight="1" x14ac:dyDescent="0.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 ht="24" customHeight="1" x14ac:dyDescent="0.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 ht="24" customHeight="1" x14ac:dyDescent="0.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 ht="24" customHeight="1" x14ac:dyDescent="0.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 ht="24" customHeight="1" x14ac:dyDescent="0.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 ht="24" customHeight="1" x14ac:dyDescent="0.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 ht="24" customHeight="1" x14ac:dyDescent="0.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 ht="24" customHeight="1" x14ac:dyDescent="0.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 ht="24" customHeight="1" x14ac:dyDescent="0.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 ht="24" customHeight="1" x14ac:dyDescent="0.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 ht="24" customHeight="1" x14ac:dyDescent="0.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 ht="24" customHeight="1" x14ac:dyDescent="0.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 ht="24" customHeight="1" x14ac:dyDescent="0.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 ht="24" customHeight="1" x14ac:dyDescent="0.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 ht="24" customHeight="1" x14ac:dyDescent="0.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 ht="24" customHeight="1" x14ac:dyDescent="0.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 ht="24" customHeight="1" x14ac:dyDescent="0.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 ht="24" customHeight="1" x14ac:dyDescent="0.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 ht="24" customHeight="1" x14ac:dyDescent="0.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 ht="24" customHeight="1" x14ac:dyDescent="0.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 ht="24" customHeight="1" x14ac:dyDescent="0.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 ht="24" customHeight="1" x14ac:dyDescent="0.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 ht="24" customHeight="1" x14ac:dyDescent="0.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 ht="24" customHeight="1" x14ac:dyDescent="0.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 ht="24" customHeight="1" x14ac:dyDescent="0.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 ht="24" customHeight="1" x14ac:dyDescent="0.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 ht="24" customHeight="1" x14ac:dyDescent="0.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 ht="24" customHeight="1" x14ac:dyDescent="0.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 ht="24" customHeight="1" x14ac:dyDescent="0.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 ht="24" customHeight="1" x14ac:dyDescent="0.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 ht="24" customHeight="1" x14ac:dyDescent="0.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 ht="24" customHeight="1" x14ac:dyDescent="0.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 ht="24" customHeight="1" x14ac:dyDescent="0.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 ht="24" customHeight="1" x14ac:dyDescent="0.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 ht="24" customHeight="1" x14ac:dyDescent="0.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 ht="24" customHeight="1" x14ac:dyDescent="0.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 ht="24" customHeight="1" x14ac:dyDescent="0.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 ht="24" customHeight="1" x14ac:dyDescent="0.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 ht="24" customHeight="1" x14ac:dyDescent="0.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 ht="24" customHeight="1" x14ac:dyDescent="0.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 ht="24" customHeight="1" x14ac:dyDescent="0.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 ht="24" customHeight="1" x14ac:dyDescent="0.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 ht="24" customHeight="1" x14ac:dyDescent="0.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 ht="24" customHeight="1" x14ac:dyDescent="0.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 ht="24" customHeight="1" x14ac:dyDescent="0.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 ht="24" customHeight="1" x14ac:dyDescent="0.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 ht="24" customHeight="1" x14ac:dyDescent="0.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 ht="24" customHeight="1" x14ac:dyDescent="0.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 ht="24" customHeight="1" x14ac:dyDescent="0.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 ht="24" customHeight="1" x14ac:dyDescent="0.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 ht="24" customHeight="1" x14ac:dyDescent="0.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 ht="24" customHeight="1" x14ac:dyDescent="0.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 ht="24" customHeight="1" x14ac:dyDescent="0.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 ht="24" customHeight="1" x14ac:dyDescent="0.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 ht="24" customHeight="1" x14ac:dyDescent="0.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 ht="24" customHeight="1" x14ac:dyDescent="0.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 ht="24" customHeight="1" x14ac:dyDescent="0.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 ht="24" customHeight="1" x14ac:dyDescent="0.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 ht="24" customHeight="1" x14ac:dyDescent="0.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 ht="24" customHeight="1" x14ac:dyDescent="0.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 ht="24" customHeight="1" x14ac:dyDescent="0.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 ht="24" customHeight="1" x14ac:dyDescent="0.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 ht="24" customHeight="1" x14ac:dyDescent="0.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 ht="24" customHeight="1" x14ac:dyDescent="0.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 ht="24" customHeight="1" x14ac:dyDescent="0.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 ht="24" customHeight="1" x14ac:dyDescent="0.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 ht="24" customHeight="1" x14ac:dyDescent="0.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 ht="24" customHeight="1" x14ac:dyDescent="0.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 ht="24" customHeight="1" x14ac:dyDescent="0.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 ht="24" customHeight="1" x14ac:dyDescent="0.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 ht="24" customHeight="1" x14ac:dyDescent="0.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 ht="24" customHeight="1" x14ac:dyDescent="0.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 ht="24" customHeight="1" x14ac:dyDescent="0.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 ht="24" customHeight="1" x14ac:dyDescent="0.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 ht="24" customHeight="1" x14ac:dyDescent="0.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 ht="24" customHeight="1" x14ac:dyDescent="0.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 ht="24" customHeight="1" x14ac:dyDescent="0.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 ht="24" customHeight="1" x14ac:dyDescent="0.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 ht="24" customHeight="1" x14ac:dyDescent="0.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 ht="24" customHeight="1" x14ac:dyDescent="0.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 ht="24" customHeight="1" x14ac:dyDescent="0.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 ht="24" customHeight="1" x14ac:dyDescent="0.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 ht="24" customHeight="1" x14ac:dyDescent="0.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 ht="24" customHeight="1" x14ac:dyDescent="0.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 ht="24" customHeight="1" x14ac:dyDescent="0.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 ht="24" customHeight="1" x14ac:dyDescent="0.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 ht="24" customHeight="1" x14ac:dyDescent="0.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 ht="24" customHeight="1" x14ac:dyDescent="0.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 ht="24" customHeight="1" x14ac:dyDescent="0.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 ht="24" customHeight="1" x14ac:dyDescent="0.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 ht="24" customHeight="1" x14ac:dyDescent="0.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 ht="24" customHeight="1" x14ac:dyDescent="0.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 ht="24" customHeight="1" x14ac:dyDescent="0.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 ht="24" customHeight="1" x14ac:dyDescent="0.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 ht="24" customHeight="1" x14ac:dyDescent="0.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 ht="24" customHeight="1" x14ac:dyDescent="0.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 ht="24" customHeight="1" x14ac:dyDescent="0.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 ht="24" customHeight="1" x14ac:dyDescent="0.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 ht="24" customHeight="1" x14ac:dyDescent="0.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 ht="24" customHeight="1" x14ac:dyDescent="0.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 ht="24" customHeight="1" x14ac:dyDescent="0.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 ht="24" customHeight="1" x14ac:dyDescent="0.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 ht="24" customHeight="1" x14ac:dyDescent="0.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 ht="24" customHeight="1" x14ac:dyDescent="0.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 ht="24" customHeight="1" x14ac:dyDescent="0.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 ht="24" customHeight="1" x14ac:dyDescent="0.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 ht="24" customHeight="1" x14ac:dyDescent="0.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 ht="24" customHeight="1" x14ac:dyDescent="0.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 ht="24" customHeight="1" x14ac:dyDescent="0.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 ht="24" customHeight="1" x14ac:dyDescent="0.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 ht="24" customHeight="1" x14ac:dyDescent="0.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 ht="24" customHeight="1" x14ac:dyDescent="0.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 ht="24" customHeight="1" x14ac:dyDescent="0.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 ht="24" customHeight="1" x14ac:dyDescent="0.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 ht="24" customHeight="1" x14ac:dyDescent="0.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 ht="24" customHeight="1" x14ac:dyDescent="0.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 ht="24" customHeight="1" x14ac:dyDescent="0.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 ht="24" customHeight="1" x14ac:dyDescent="0.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 ht="24" customHeight="1" x14ac:dyDescent="0.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 ht="24" customHeight="1" x14ac:dyDescent="0.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 ht="24" customHeight="1" x14ac:dyDescent="0.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 ht="24" customHeight="1" x14ac:dyDescent="0.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 ht="24" customHeight="1" x14ac:dyDescent="0.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 ht="24" customHeight="1" x14ac:dyDescent="0.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 ht="24" customHeight="1" x14ac:dyDescent="0.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 ht="24" customHeight="1" x14ac:dyDescent="0.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 ht="24" customHeight="1" x14ac:dyDescent="0.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 ht="24" customHeight="1" x14ac:dyDescent="0.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 ht="24" customHeight="1" x14ac:dyDescent="0.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 ht="24" customHeight="1" x14ac:dyDescent="0.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 ht="24" customHeight="1" x14ac:dyDescent="0.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 ht="24" customHeight="1" x14ac:dyDescent="0.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 ht="24" customHeight="1" x14ac:dyDescent="0.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 ht="24" customHeight="1" x14ac:dyDescent="0.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 ht="24" customHeight="1" x14ac:dyDescent="0.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 ht="24" customHeight="1" x14ac:dyDescent="0.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 ht="24" customHeight="1" x14ac:dyDescent="0.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 ht="24" customHeight="1" x14ac:dyDescent="0.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 ht="24" customHeight="1" x14ac:dyDescent="0.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 ht="24" customHeight="1" x14ac:dyDescent="0.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 ht="24" customHeight="1" x14ac:dyDescent="0.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 ht="24" customHeight="1" x14ac:dyDescent="0.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 ht="24" customHeight="1" x14ac:dyDescent="0.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 ht="24" customHeight="1" x14ac:dyDescent="0.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 ht="24" customHeight="1" x14ac:dyDescent="0.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 ht="24" customHeight="1" x14ac:dyDescent="0.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 ht="24" customHeight="1" x14ac:dyDescent="0.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 ht="24" customHeight="1" x14ac:dyDescent="0.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 ht="24" customHeight="1" x14ac:dyDescent="0.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 ht="24" customHeight="1" x14ac:dyDescent="0.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 ht="24" customHeight="1" x14ac:dyDescent="0.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 ht="24" customHeight="1" x14ac:dyDescent="0.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 ht="24" customHeight="1" x14ac:dyDescent="0.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 ht="24" customHeight="1" x14ac:dyDescent="0.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 ht="24" customHeight="1" x14ac:dyDescent="0.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 ht="24" customHeight="1" x14ac:dyDescent="0.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 ht="24" customHeight="1" x14ac:dyDescent="0.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 ht="24" customHeight="1" x14ac:dyDescent="0.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 ht="24" customHeight="1" x14ac:dyDescent="0.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 ht="24" customHeight="1" x14ac:dyDescent="0.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 ht="24" customHeight="1" x14ac:dyDescent="0.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 ht="24" customHeight="1" x14ac:dyDescent="0.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 ht="24" customHeight="1" x14ac:dyDescent="0.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 ht="24" customHeight="1" x14ac:dyDescent="0.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 ht="24" customHeight="1" x14ac:dyDescent="0.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 ht="24" customHeight="1" x14ac:dyDescent="0.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 ht="24" customHeight="1" x14ac:dyDescent="0.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 ht="24" customHeight="1" x14ac:dyDescent="0.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 ht="24" customHeight="1" x14ac:dyDescent="0.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 ht="24" customHeight="1" x14ac:dyDescent="0.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 ht="24" customHeight="1" x14ac:dyDescent="0.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 ht="24" customHeight="1" x14ac:dyDescent="0.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 ht="24" customHeight="1" x14ac:dyDescent="0.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 ht="24" customHeight="1" x14ac:dyDescent="0.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 ht="24" customHeight="1" x14ac:dyDescent="0.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 ht="24" customHeight="1" x14ac:dyDescent="0.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 ht="24" customHeight="1" x14ac:dyDescent="0.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 ht="24" customHeight="1" x14ac:dyDescent="0.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 ht="24" customHeight="1" x14ac:dyDescent="0.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 ht="24" customHeight="1" x14ac:dyDescent="0.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 ht="24" customHeight="1" x14ac:dyDescent="0.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 ht="24" customHeight="1" x14ac:dyDescent="0.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 ht="24" customHeight="1" x14ac:dyDescent="0.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 ht="24" customHeight="1" x14ac:dyDescent="0.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 ht="24" customHeight="1" x14ac:dyDescent="0.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 ht="24" customHeight="1" x14ac:dyDescent="0.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 ht="24" customHeight="1" x14ac:dyDescent="0.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 ht="24" customHeight="1" x14ac:dyDescent="0.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 ht="24" customHeight="1" x14ac:dyDescent="0.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 ht="24" customHeight="1" x14ac:dyDescent="0.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 ht="24" customHeight="1" x14ac:dyDescent="0.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 ht="24" customHeight="1" x14ac:dyDescent="0.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 ht="24" customHeight="1" x14ac:dyDescent="0.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 ht="24" customHeight="1" x14ac:dyDescent="0.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 ht="24" customHeight="1" x14ac:dyDescent="0.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 ht="24" customHeight="1" x14ac:dyDescent="0.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 ht="24" customHeight="1" x14ac:dyDescent="0.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 ht="24" customHeight="1" x14ac:dyDescent="0.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 ht="24" customHeight="1" x14ac:dyDescent="0.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 ht="24" customHeight="1" x14ac:dyDescent="0.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 ht="24" customHeight="1" x14ac:dyDescent="0.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 ht="24" customHeight="1" x14ac:dyDescent="0.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 ht="24" customHeight="1" x14ac:dyDescent="0.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 ht="24" customHeight="1" x14ac:dyDescent="0.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 ht="24" customHeight="1" x14ac:dyDescent="0.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 ht="24" customHeight="1" x14ac:dyDescent="0.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 ht="24" customHeight="1" x14ac:dyDescent="0.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 ht="24" customHeight="1" x14ac:dyDescent="0.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 ht="24" customHeight="1" x14ac:dyDescent="0.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 ht="24" customHeight="1" x14ac:dyDescent="0.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 ht="24" customHeight="1" x14ac:dyDescent="0.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 ht="24" customHeight="1" x14ac:dyDescent="0.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 ht="24" customHeight="1" x14ac:dyDescent="0.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 ht="24" customHeight="1" x14ac:dyDescent="0.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 ht="24" customHeight="1" x14ac:dyDescent="0.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 ht="24" customHeight="1" x14ac:dyDescent="0.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 ht="24" customHeight="1" x14ac:dyDescent="0.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 ht="24" customHeight="1" x14ac:dyDescent="0.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 ht="24" customHeight="1" x14ac:dyDescent="0.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 ht="24" customHeight="1" x14ac:dyDescent="0.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 ht="24" customHeight="1" x14ac:dyDescent="0.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 ht="24" customHeight="1" x14ac:dyDescent="0.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 ht="24" customHeight="1" x14ac:dyDescent="0.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 ht="24" customHeight="1" x14ac:dyDescent="0.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 ht="24" customHeight="1" x14ac:dyDescent="0.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 ht="24" customHeight="1" x14ac:dyDescent="0.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 ht="24" customHeight="1" x14ac:dyDescent="0.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 ht="24" customHeight="1" x14ac:dyDescent="0.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 ht="24" customHeight="1" x14ac:dyDescent="0.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  <row r="1000" spans="1:26" ht="24" customHeight="1" x14ac:dyDescent="0.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</row>
  </sheetData>
  <mergeCells count="24">
    <mergeCell ref="A6:B8"/>
    <mergeCell ref="A91:B91"/>
    <mergeCell ref="A106:B106"/>
    <mergeCell ref="D7:D8"/>
    <mergeCell ref="F7:G7"/>
    <mergeCell ref="A9:B9"/>
    <mergeCell ref="A15:B15"/>
    <mergeCell ref="A33:B33"/>
    <mergeCell ref="A54:B54"/>
    <mergeCell ref="A76:B76"/>
    <mergeCell ref="C6:E6"/>
    <mergeCell ref="F6:G6"/>
    <mergeCell ref="A2:B4"/>
    <mergeCell ref="C2:U2"/>
    <mergeCell ref="C3:U3"/>
    <mergeCell ref="C4:U4"/>
    <mergeCell ref="C5:G5"/>
    <mergeCell ref="H5:U5"/>
    <mergeCell ref="H6:I6"/>
    <mergeCell ref="J6:U6"/>
    <mergeCell ref="J7:L7"/>
    <mergeCell ref="M7:O7"/>
    <mergeCell ref="P7:R7"/>
    <mergeCell ref="S7:U7"/>
  </mergeCells>
  <printOptions horizontalCentered="1"/>
  <pageMargins left="0.20866141699999999" right="0.20866141699999999" top="0.74803149606299202" bottom="0.24803149599999999" header="0" footer="0"/>
  <pageSetup paperSize="9" scale="60" orientation="landscape" r:id="rId1"/>
  <rowBreaks count="5" manualBreakCount="5">
    <brk id="32" man="1"/>
    <brk id="53" man="1"/>
    <brk id="75" max="16383" man="1"/>
    <brk id="90" man="1"/>
    <brk id="7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A6139-0490-4D94-8298-229DD7E2F13C}">
  <sheetPr>
    <tabColor rgb="FFFFD965"/>
  </sheetPr>
  <dimension ref="A1:AB115"/>
  <sheetViews>
    <sheetView view="pageBreakPreview" zoomScale="115" zoomScaleNormal="55" zoomScaleSheetLayoutView="115" workbookViewId="0">
      <pane xSplit="2" ySplit="9" topLeftCell="C13" activePane="bottomRight" state="frozen"/>
      <selection activeCell="Z5" sqref="Z5:AB6"/>
      <selection pane="topRight" activeCell="Z5" sqref="Z5:AB6"/>
      <selection pane="bottomLeft" activeCell="Z5" sqref="Z5:AB6"/>
      <selection pane="bottomRight" activeCell="O59" sqref="O59"/>
    </sheetView>
  </sheetViews>
  <sheetFormatPr defaultColWidth="12.625" defaultRowHeight="24" customHeight="1" x14ac:dyDescent="0.5"/>
  <cols>
    <col min="1" max="1" width="4.375" style="203" customWidth="1"/>
    <col min="2" max="2" width="27.75" style="203" customWidth="1"/>
    <col min="3" max="3" width="9.75" style="203" customWidth="1"/>
    <col min="4" max="4" width="7.75" style="203" customWidth="1"/>
    <col min="5" max="6" width="9.75" style="203" customWidth="1"/>
    <col min="7" max="13" width="6.75" style="203" customWidth="1"/>
    <col min="14" max="14" width="12.5" style="203" bestFit="1" customWidth="1"/>
    <col min="15" max="15" width="13.125" style="203" bestFit="1" customWidth="1"/>
    <col min="16" max="27" width="6.75" style="203" customWidth="1"/>
    <col min="28" max="28" width="16" style="203" customWidth="1"/>
    <col min="29" max="16384" width="12.625" style="203"/>
  </cols>
  <sheetData>
    <row r="1" spans="1:28" ht="24" customHeight="1" thickBot="1" x14ac:dyDescent="0.55000000000000004">
      <c r="A1" s="196" t="s">
        <v>324</v>
      </c>
      <c r="B1" s="197"/>
      <c r="C1" s="198"/>
      <c r="D1" s="198"/>
      <c r="E1" s="198"/>
      <c r="F1" s="198"/>
      <c r="G1" s="199"/>
      <c r="H1" s="200"/>
      <c r="I1" s="200"/>
      <c r="J1" s="201"/>
      <c r="K1" s="197"/>
      <c r="L1" s="198"/>
      <c r="M1" s="197"/>
      <c r="N1" s="198"/>
      <c r="O1" s="198"/>
      <c r="P1" s="197"/>
      <c r="Q1" s="198"/>
      <c r="R1" s="199"/>
      <c r="S1" s="197"/>
      <c r="T1" s="198"/>
      <c r="U1" s="197"/>
      <c r="V1" s="197"/>
      <c r="W1" s="197"/>
      <c r="X1" s="199"/>
      <c r="Y1" s="197"/>
      <c r="Z1" s="197"/>
      <c r="AA1" s="197"/>
      <c r="AB1" s="202"/>
    </row>
    <row r="2" spans="1:28" ht="24" customHeight="1" x14ac:dyDescent="0.5">
      <c r="A2" s="703" t="s">
        <v>0</v>
      </c>
      <c r="B2" s="704"/>
      <c r="C2" s="707" t="s">
        <v>201</v>
      </c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8"/>
      <c r="AB2" s="204"/>
    </row>
    <row r="3" spans="1:28" ht="24" customHeight="1" x14ac:dyDescent="0.5">
      <c r="A3" s="705"/>
      <c r="B3" s="706"/>
      <c r="C3" s="705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6"/>
      <c r="AA3" s="709"/>
      <c r="AB3" s="204"/>
    </row>
    <row r="4" spans="1:28" ht="24" customHeight="1" x14ac:dyDescent="0.5">
      <c r="A4" s="705"/>
      <c r="B4" s="706"/>
      <c r="C4" s="710" t="s">
        <v>202</v>
      </c>
      <c r="D4" s="701"/>
      <c r="E4" s="701"/>
      <c r="F4" s="701"/>
      <c r="G4" s="711"/>
      <c r="H4" s="715" t="s">
        <v>203</v>
      </c>
      <c r="I4" s="716"/>
      <c r="J4" s="716"/>
      <c r="K4" s="716"/>
      <c r="L4" s="716"/>
      <c r="M4" s="716"/>
      <c r="N4" s="716"/>
      <c r="O4" s="716"/>
      <c r="P4" s="716"/>
      <c r="Q4" s="716"/>
      <c r="R4" s="717"/>
      <c r="S4" s="718" t="s">
        <v>204</v>
      </c>
      <c r="T4" s="701"/>
      <c r="U4" s="701"/>
      <c r="V4" s="701"/>
      <c r="W4" s="701"/>
      <c r="X4" s="701"/>
      <c r="Y4" s="701"/>
      <c r="Z4" s="701"/>
      <c r="AA4" s="702"/>
      <c r="AB4" s="204"/>
    </row>
    <row r="5" spans="1:28" ht="24" customHeight="1" x14ac:dyDescent="0.5">
      <c r="A5" s="705"/>
      <c r="B5" s="706"/>
      <c r="C5" s="712"/>
      <c r="D5" s="713"/>
      <c r="E5" s="713"/>
      <c r="F5" s="713"/>
      <c r="G5" s="714"/>
      <c r="H5" s="721" t="s">
        <v>328</v>
      </c>
      <c r="I5" s="722"/>
      <c r="J5" s="723"/>
      <c r="K5" s="727" t="s">
        <v>305</v>
      </c>
      <c r="L5" s="716"/>
      <c r="M5" s="716"/>
      <c r="N5" s="716"/>
      <c r="O5" s="717"/>
      <c r="P5" s="728" t="s">
        <v>316</v>
      </c>
      <c r="Q5" s="722"/>
      <c r="R5" s="723"/>
      <c r="S5" s="719"/>
      <c r="T5" s="713"/>
      <c r="U5" s="713"/>
      <c r="V5" s="713"/>
      <c r="W5" s="713"/>
      <c r="X5" s="713"/>
      <c r="Y5" s="713"/>
      <c r="Z5" s="713"/>
      <c r="AA5" s="720"/>
      <c r="AB5" s="204"/>
    </row>
    <row r="6" spans="1:28" ht="24" customHeight="1" x14ac:dyDescent="0.5">
      <c r="A6" s="705"/>
      <c r="B6" s="706"/>
      <c r="C6" s="732" t="s">
        <v>6</v>
      </c>
      <c r="D6" s="716"/>
      <c r="E6" s="717"/>
      <c r="F6" s="733" t="s">
        <v>7</v>
      </c>
      <c r="G6" s="711"/>
      <c r="H6" s="724"/>
      <c r="I6" s="725"/>
      <c r="J6" s="726"/>
      <c r="K6" s="727" t="s">
        <v>12</v>
      </c>
      <c r="L6" s="716"/>
      <c r="M6" s="717"/>
      <c r="N6" s="463" t="s">
        <v>317</v>
      </c>
      <c r="O6" s="464" t="s">
        <v>318</v>
      </c>
      <c r="P6" s="729"/>
      <c r="Q6" s="730"/>
      <c r="R6" s="731"/>
      <c r="S6" s="734" t="s">
        <v>12</v>
      </c>
      <c r="T6" s="716"/>
      <c r="U6" s="717"/>
      <c r="V6" s="700" t="s">
        <v>205</v>
      </c>
      <c r="W6" s="701"/>
      <c r="X6" s="711"/>
      <c r="Y6" s="700" t="s">
        <v>206</v>
      </c>
      <c r="Z6" s="701"/>
      <c r="AA6" s="702"/>
      <c r="AB6" s="205"/>
    </row>
    <row r="7" spans="1:28" ht="24" customHeight="1" x14ac:dyDescent="0.5">
      <c r="A7" s="741" t="s">
        <v>207</v>
      </c>
      <c r="B7" s="706"/>
      <c r="C7" s="150" t="s">
        <v>12</v>
      </c>
      <c r="D7" s="744" t="s">
        <v>13</v>
      </c>
      <c r="E7" s="151" t="s">
        <v>14</v>
      </c>
      <c r="F7" s="746" t="s">
        <v>15</v>
      </c>
      <c r="G7" s="714"/>
      <c r="H7" s="206" t="s">
        <v>16</v>
      </c>
      <c r="I7" s="747" t="s">
        <v>17</v>
      </c>
      <c r="J7" s="717"/>
      <c r="K7" s="207" t="s">
        <v>16</v>
      </c>
      <c r="L7" s="748" t="s">
        <v>17</v>
      </c>
      <c r="M7" s="714"/>
      <c r="N7" s="208" t="s">
        <v>17</v>
      </c>
      <c r="O7" s="208" t="s">
        <v>17</v>
      </c>
      <c r="P7" s="206" t="s">
        <v>16</v>
      </c>
      <c r="Q7" s="749" t="s">
        <v>17</v>
      </c>
      <c r="R7" s="717"/>
      <c r="S7" s="206" t="s">
        <v>16</v>
      </c>
      <c r="T7" s="735" t="s">
        <v>17</v>
      </c>
      <c r="U7" s="717"/>
      <c r="V7" s="206" t="s">
        <v>16</v>
      </c>
      <c r="W7" s="735" t="s">
        <v>17</v>
      </c>
      <c r="X7" s="717"/>
      <c r="Y7" s="206" t="s">
        <v>16</v>
      </c>
      <c r="Z7" s="735" t="s">
        <v>17</v>
      </c>
      <c r="AA7" s="736"/>
      <c r="AB7" s="205"/>
    </row>
    <row r="8" spans="1:28" ht="24" customHeight="1" thickBot="1" x14ac:dyDescent="0.55000000000000004">
      <c r="A8" s="742"/>
      <c r="B8" s="743"/>
      <c r="C8" s="152"/>
      <c r="D8" s="745"/>
      <c r="E8" s="153"/>
      <c r="F8" s="154" t="s">
        <v>18</v>
      </c>
      <c r="G8" s="155" t="s">
        <v>19</v>
      </c>
      <c r="H8" s="156" t="s">
        <v>22</v>
      </c>
      <c r="I8" s="157" t="s">
        <v>21</v>
      </c>
      <c r="J8" s="158" t="s">
        <v>19</v>
      </c>
      <c r="K8" s="159" t="s">
        <v>21</v>
      </c>
      <c r="L8" s="157" t="s">
        <v>21</v>
      </c>
      <c r="M8" s="158" t="s">
        <v>19</v>
      </c>
      <c r="N8" s="157" t="s">
        <v>21</v>
      </c>
      <c r="O8" s="157" t="s">
        <v>21</v>
      </c>
      <c r="P8" s="156" t="s">
        <v>22</v>
      </c>
      <c r="Q8" s="157" t="s">
        <v>21</v>
      </c>
      <c r="R8" s="158" t="s">
        <v>19</v>
      </c>
      <c r="S8" s="159" t="s">
        <v>198</v>
      </c>
      <c r="T8" s="160" t="s">
        <v>199</v>
      </c>
      <c r="U8" s="160" t="s">
        <v>19</v>
      </c>
      <c r="V8" s="159" t="s">
        <v>198</v>
      </c>
      <c r="W8" s="160" t="s">
        <v>199</v>
      </c>
      <c r="X8" s="161" t="s">
        <v>19</v>
      </c>
      <c r="Y8" s="159" t="s">
        <v>198</v>
      </c>
      <c r="Z8" s="160" t="s">
        <v>199</v>
      </c>
      <c r="AA8" s="162" t="s">
        <v>19</v>
      </c>
      <c r="AB8" s="163"/>
    </row>
    <row r="9" spans="1:28" ht="24" customHeight="1" x14ac:dyDescent="0.5">
      <c r="A9" s="737" t="s">
        <v>24</v>
      </c>
      <c r="B9" s="738"/>
      <c r="C9" s="209">
        <f t="shared" ref="C9:E9" si="0">C10+C11</f>
        <v>22445100</v>
      </c>
      <c r="D9" s="210">
        <f t="shared" si="0"/>
        <v>0</v>
      </c>
      <c r="E9" s="211">
        <f t="shared" si="0"/>
        <v>22445100</v>
      </c>
      <c r="F9" s="164">
        <f ca="1">+F10+F11</f>
        <v>325926.41000000003</v>
      </c>
      <c r="G9" s="165">
        <f t="shared" ref="G9:G114" ca="1" si="1">IF(C9&gt;0,F9*100/C9,0)</f>
        <v>1.4521049583205246</v>
      </c>
      <c r="H9" s="166">
        <f t="shared" ref="H9:I9" si="2">H10+H11</f>
        <v>120</v>
      </c>
      <c r="I9" s="462">
        <f t="shared" si="2"/>
        <v>120</v>
      </c>
      <c r="J9" s="167">
        <f t="shared" ref="J9:J114" si="3">IF(H9&gt;0,I9*100/H9,0)</f>
        <v>100</v>
      </c>
      <c r="K9" s="168">
        <f t="shared" ref="K9:L9" ca="1" si="4">K10+K11</f>
        <v>2805</v>
      </c>
      <c r="L9" s="169">
        <f t="shared" ca="1" si="4"/>
        <v>0</v>
      </c>
      <c r="M9" s="167">
        <f t="shared" ref="M9:M114" ca="1" si="5">IF(K9&gt;0,L9*100/K9,0)</f>
        <v>0</v>
      </c>
      <c r="N9" s="169">
        <f t="shared" ref="N9:Q9" ca="1" si="6">N10+N11</f>
        <v>185</v>
      </c>
      <c r="O9" s="169">
        <f t="shared" ca="1" si="6"/>
        <v>0</v>
      </c>
      <c r="P9" s="168">
        <f t="shared" si="6"/>
        <v>100</v>
      </c>
      <c r="Q9" s="169">
        <f t="shared" si="6"/>
        <v>0</v>
      </c>
      <c r="R9" s="167">
        <f t="shared" ref="R9:R114" si="7">IF(P9&gt;0,Q9*100/P9,0)</f>
        <v>0</v>
      </c>
      <c r="S9" s="168">
        <f t="shared" ref="S9:T9" si="8">S10+S11</f>
        <v>8480</v>
      </c>
      <c r="T9" s="169">
        <f t="shared" ca="1" si="8"/>
        <v>0</v>
      </c>
      <c r="U9" s="167">
        <f t="shared" ref="U9:U114" ca="1" si="9">IF(S9&gt;0,T9*100/S9,0)</f>
        <v>0</v>
      </c>
      <c r="V9" s="168">
        <f t="shared" ref="V9:W9" si="10">V10+V11</f>
        <v>3939</v>
      </c>
      <c r="W9" s="169">
        <f t="shared" ca="1" si="10"/>
        <v>0</v>
      </c>
      <c r="X9" s="167">
        <f t="shared" ref="X9:X114" ca="1" si="11">IF(V9&gt;0,W9*100/V9,0)</f>
        <v>0</v>
      </c>
      <c r="Y9" s="168">
        <f t="shared" ref="Y9:Z9" si="12">Y10+Y11</f>
        <v>4541</v>
      </c>
      <c r="Z9" s="169">
        <f t="shared" ca="1" si="12"/>
        <v>0</v>
      </c>
      <c r="AA9" s="170">
        <f t="shared" ref="AA9:AA114" ca="1" si="13">IF(Y9&gt;0,Z9*100/Y9,0)</f>
        <v>0</v>
      </c>
      <c r="AB9" s="163"/>
    </row>
    <row r="10" spans="1:28" ht="24" customHeight="1" x14ac:dyDescent="0.5">
      <c r="A10" s="171" t="s">
        <v>25</v>
      </c>
      <c r="B10" s="172"/>
      <c r="C10" s="173">
        <f t="shared" ref="C10:F10" si="14">+C15+C33+C54+C76</f>
        <v>19697940</v>
      </c>
      <c r="D10" s="174">
        <f t="shared" si="14"/>
        <v>0</v>
      </c>
      <c r="E10" s="174">
        <f t="shared" si="14"/>
        <v>19697940</v>
      </c>
      <c r="F10" s="174">
        <f t="shared" ca="1" si="14"/>
        <v>325926.41000000003</v>
      </c>
      <c r="G10" s="175">
        <f t="shared" ca="1" si="1"/>
        <v>1.6546218030921003</v>
      </c>
      <c r="H10" s="174">
        <f t="shared" ref="H10:I10" si="15">+H15+H33+H54+H76</f>
        <v>0</v>
      </c>
      <c r="I10" s="174">
        <f t="shared" si="15"/>
        <v>0</v>
      </c>
      <c r="J10" s="176">
        <f t="shared" si="3"/>
        <v>0</v>
      </c>
      <c r="K10" s="177">
        <f t="shared" ref="K10" ca="1" si="16">+K15+K33+K54+K76</f>
        <v>2805</v>
      </c>
      <c r="L10" s="174">
        <f ca="1">+L15+L33+L54+L76</f>
        <v>0</v>
      </c>
      <c r="M10" s="176">
        <f t="shared" ca="1" si="5"/>
        <v>0</v>
      </c>
      <c r="N10" s="177">
        <f t="shared" ref="N10:Q10" ca="1" si="17">+N15+N33+N54+N76</f>
        <v>185</v>
      </c>
      <c r="O10" s="177">
        <f t="shared" ca="1" si="17"/>
        <v>0</v>
      </c>
      <c r="P10" s="177">
        <f t="shared" si="17"/>
        <v>0</v>
      </c>
      <c r="Q10" s="177">
        <f t="shared" si="17"/>
        <v>0</v>
      </c>
      <c r="R10" s="176">
        <f t="shared" si="7"/>
        <v>0</v>
      </c>
      <c r="S10" s="177">
        <f t="shared" ref="S10:T10" si="18">+S15+S33+S54+S76</f>
        <v>8480</v>
      </c>
      <c r="T10" s="177">
        <f t="shared" ca="1" si="18"/>
        <v>0</v>
      </c>
      <c r="U10" s="176">
        <f t="shared" ca="1" si="9"/>
        <v>0</v>
      </c>
      <c r="V10" s="177">
        <f t="shared" ref="V10:W10" si="19">+V15+V33+V54+V76</f>
        <v>3939</v>
      </c>
      <c r="W10" s="177">
        <f t="shared" ca="1" si="19"/>
        <v>0</v>
      </c>
      <c r="X10" s="176">
        <f t="shared" ca="1" si="11"/>
        <v>0</v>
      </c>
      <c r="Y10" s="177">
        <f t="shared" ref="Y10:Z10" si="20">+Y15+Y33+Y54+Y76</f>
        <v>4541</v>
      </c>
      <c r="Z10" s="177">
        <f t="shared" ca="1" si="20"/>
        <v>0</v>
      </c>
      <c r="AA10" s="175">
        <f t="shared" ca="1" si="13"/>
        <v>0</v>
      </c>
      <c r="AB10" s="178"/>
    </row>
    <row r="11" spans="1:28" ht="24" customHeight="1" x14ac:dyDescent="0.5">
      <c r="A11" s="179" t="s">
        <v>26</v>
      </c>
      <c r="B11" s="180"/>
      <c r="C11" s="181">
        <f t="shared" ref="C11:F11" si="21">+C12+C13</f>
        <v>2747160</v>
      </c>
      <c r="D11" s="182">
        <f t="shared" si="21"/>
        <v>0</v>
      </c>
      <c r="E11" s="182">
        <f t="shared" si="21"/>
        <v>2747160</v>
      </c>
      <c r="F11" s="182">
        <f t="shared" si="21"/>
        <v>0</v>
      </c>
      <c r="G11" s="183">
        <f t="shared" si="1"/>
        <v>0</v>
      </c>
      <c r="H11" s="182">
        <f t="shared" ref="H11:I11" si="22">+H12+H13</f>
        <v>120</v>
      </c>
      <c r="I11" s="182">
        <f t="shared" si="22"/>
        <v>120</v>
      </c>
      <c r="J11" s="183">
        <f t="shared" si="3"/>
        <v>100</v>
      </c>
      <c r="K11" s="182">
        <f t="shared" ref="K11:L11" si="23">+K12+K13</f>
        <v>0</v>
      </c>
      <c r="L11" s="182">
        <f t="shared" si="23"/>
        <v>0</v>
      </c>
      <c r="M11" s="183">
        <f t="shared" si="5"/>
        <v>0</v>
      </c>
      <c r="N11" s="182">
        <f t="shared" ref="N11:Q11" si="24">+N12+N13</f>
        <v>0</v>
      </c>
      <c r="O11" s="182">
        <f t="shared" si="24"/>
        <v>0</v>
      </c>
      <c r="P11" s="182">
        <f t="shared" si="24"/>
        <v>100</v>
      </c>
      <c r="Q11" s="182">
        <f t="shared" si="24"/>
        <v>0</v>
      </c>
      <c r="R11" s="183">
        <f t="shared" si="7"/>
        <v>0</v>
      </c>
      <c r="S11" s="182">
        <f t="shared" ref="S11:T11" si="25">+S12+S13</f>
        <v>0</v>
      </c>
      <c r="T11" s="182">
        <f t="shared" si="25"/>
        <v>0</v>
      </c>
      <c r="U11" s="183">
        <f t="shared" si="9"/>
        <v>0</v>
      </c>
      <c r="V11" s="182">
        <f t="shared" ref="V11:W11" si="26">+V12+V13</f>
        <v>0</v>
      </c>
      <c r="W11" s="182">
        <f t="shared" si="26"/>
        <v>0</v>
      </c>
      <c r="X11" s="183">
        <f t="shared" si="11"/>
        <v>0</v>
      </c>
      <c r="Y11" s="182">
        <f t="shared" ref="Y11:Z11" si="27">+Y12+Y13</f>
        <v>0</v>
      </c>
      <c r="Z11" s="182">
        <f t="shared" si="27"/>
        <v>0</v>
      </c>
      <c r="AA11" s="183">
        <f t="shared" si="13"/>
        <v>0</v>
      </c>
      <c r="AB11" s="184"/>
    </row>
    <row r="12" spans="1:28" ht="24" customHeight="1" x14ac:dyDescent="0.5">
      <c r="A12" s="179" t="s">
        <v>27</v>
      </c>
      <c r="B12" s="180"/>
      <c r="C12" s="181">
        <f t="shared" ref="C12:F12" si="28">+C91</f>
        <v>2747160</v>
      </c>
      <c r="D12" s="182">
        <f t="shared" si="28"/>
        <v>0</v>
      </c>
      <c r="E12" s="182">
        <f t="shared" si="28"/>
        <v>2747160</v>
      </c>
      <c r="F12" s="182">
        <f t="shared" si="28"/>
        <v>0</v>
      </c>
      <c r="G12" s="183">
        <f t="shared" si="1"/>
        <v>0</v>
      </c>
      <c r="H12" s="182">
        <f t="shared" ref="H12:I12" si="29">+H91</f>
        <v>120</v>
      </c>
      <c r="I12" s="182">
        <f t="shared" si="29"/>
        <v>120</v>
      </c>
      <c r="J12" s="183">
        <f t="shared" si="3"/>
        <v>100</v>
      </c>
      <c r="K12" s="182">
        <f t="shared" ref="K12:L12" si="30">+K91</f>
        <v>0</v>
      </c>
      <c r="L12" s="182">
        <f t="shared" si="30"/>
        <v>0</v>
      </c>
      <c r="M12" s="183">
        <f t="shared" si="5"/>
        <v>0</v>
      </c>
      <c r="N12" s="182">
        <f t="shared" ref="N12:Q12" si="31">+N91</f>
        <v>0</v>
      </c>
      <c r="O12" s="182">
        <f t="shared" si="31"/>
        <v>0</v>
      </c>
      <c r="P12" s="182">
        <f t="shared" si="31"/>
        <v>100</v>
      </c>
      <c r="Q12" s="182">
        <f t="shared" si="31"/>
        <v>0</v>
      </c>
      <c r="R12" s="183">
        <f t="shared" si="7"/>
        <v>0</v>
      </c>
      <c r="S12" s="182">
        <f t="shared" ref="S12:T12" si="32">+S91</f>
        <v>0</v>
      </c>
      <c r="T12" s="182">
        <f t="shared" si="32"/>
        <v>0</v>
      </c>
      <c r="U12" s="183">
        <f t="shared" si="9"/>
        <v>0</v>
      </c>
      <c r="V12" s="182">
        <f t="shared" ref="V12:W12" si="33">+V91</f>
        <v>0</v>
      </c>
      <c r="W12" s="182">
        <f t="shared" si="33"/>
        <v>0</v>
      </c>
      <c r="X12" s="183">
        <f t="shared" si="11"/>
        <v>0</v>
      </c>
      <c r="Y12" s="182">
        <f t="shared" ref="Y12:Z12" si="34">+Y91</f>
        <v>0</v>
      </c>
      <c r="Z12" s="182">
        <f t="shared" si="34"/>
        <v>0</v>
      </c>
      <c r="AA12" s="183">
        <f t="shared" si="13"/>
        <v>0</v>
      </c>
      <c r="AB12" s="184"/>
    </row>
    <row r="13" spans="1:28" ht="24" customHeight="1" x14ac:dyDescent="0.5">
      <c r="A13" s="179" t="s">
        <v>28</v>
      </c>
      <c r="B13" s="180"/>
      <c r="C13" s="181">
        <f t="shared" ref="C13:E13" si="35">+C106</f>
        <v>0</v>
      </c>
      <c r="D13" s="182">
        <f t="shared" si="35"/>
        <v>0</v>
      </c>
      <c r="E13" s="182">
        <f t="shared" si="35"/>
        <v>0</v>
      </c>
      <c r="F13" s="182"/>
      <c r="G13" s="183">
        <f t="shared" si="1"/>
        <v>0</v>
      </c>
      <c r="H13" s="182">
        <f t="shared" ref="H13:I13" si="36">+H106</f>
        <v>0</v>
      </c>
      <c r="I13" s="182">
        <f t="shared" si="36"/>
        <v>0</v>
      </c>
      <c r="J13" s="183">
        <f t="shared" si="3"/>
        <v>0</v>
      </c>
      <c r="K13" s="182">
        <f t="shared" ref="K13:L13" si="37">+K106</f>
        <v>0</v>
      </c>
      <c r="L13" s="182">
        <f t="shared" si="37"/>
        <v>0</v>
      </c>
      <c r="M13" s="183">
        <f t="shared" si="5"/>
        <v>0</v>
      </c>
      <c r="N13" s="182">
        <f t="shared" ref="N13:Q13" si="38">+N106</f>
        <v>0</v>
      </c>
      <c r="O13" s="182">
        <f t="shared" si="38"/>
        <v>0</v>
      </c>
      <c r="P13" s="182">
        <f t="shared" si="38"/>
        <v>0</v>
      </c>
      <c r="Q13" s="182">
        <f t="shared" si="38"/>
        <v>0</v>
      </c>
      <c r="R13" s="183">
        <f t="shared" si="7"/>
        <v>0</v>
      </c>
      <c r="S13" s="182">
        <f t="shared" ref="S13:T13" si="39">+S106</f>
        <v>0</v>
      </c>
      <c r="T13" s="182">
        <f t="shared" si="39"/>
        <v>0</v>
      </c>
      <c r="U13" s="183">
        <f t="shared" si="9"/>
        <v>0</v>
      </c>
      <c r="V13" s="182">
        <f t="shared" ref="V13:W13" si="40">+V106</f>
        <v>0</v>
      </c>
      <c r="W13" s="182">
        <f t="shared" si="40"/>
        <v>0</v>
      </c>
      <c r="X13" s="183">
        <f t="shared" si="11"/>
        <v>0</v>
      </c>
      <c r="Y13" s="182">
        <f t="shared" ref="Y13:Z13" si="41">+Y106</f>
        <v>0</v>
      </c>
      <c r="Z13" s="182">
        <f t="shared" si="41"/>
        <v>0</v>
      </c>
      <c r="AA13" s="183">
        <f t="shared" si="13"/>
        <v>0</v>
      </c>
      <c r="AB13" s="184"/>
    </row>
    <row r="14" spans="1:28" ht="24" customHeight="1" x14ac:dyDescent="0.5">
      <c r="A14" s="185" t="s">
        <v>208</v>
      </c>
      <c r="B14" s="186"/>
      <c r="C14" s="187">
        <v>0</v>
      </c>
      <c r="D14" s="188">
        <v>0</v>
      </c>
      <c r="E14" s="188">
        <v>0</v>
      </c>
      <c r="F14" s="188"/>
      <c r="G14" s="189">
        <f t="shared" si="1"/>
        <v>0</v>
      </c>
      <c r="H14" s="188">
        <v>0</v>
      </c>
      <c r="I14" s="188">
        <v>0</v>
      </c>
      <c r="J14" s="189">
        <f t="shared" si="3"/>
        <v>0</v>
      </c>
      <c r="K14" s="188">
        <v>0</v>
      </c>
      <c r="L14" s="188">
        <v>0</v>
      </c>
      <c r="M14" s="189">
        <f t="shared" si="5"/>
        <v>0</v>
      </c>
      <c r="N14" s="188">
        <v>0</v>
      </c>
      <c r="O14" s="188">
        <v>0</v>
      </c>
      <c r="P14" s="188">
        <v>0</v>
      </c>
      <c r="Q14" s="188">
        <v>0</v>
      </c>
      <c r="R14" s="189">
        <f t="shared" si="7"/>
        <v>0</v>
      </c>
      <c r="S14" s="188">
        <v>0</v>
      </c>
      <c r="T14" s="188">
        <v>0</v>
      </c>
      <c r="U14" s="189">
        <f t="shared" si="9"/>
        <v>0</v>
      </c>
      <c r="V14" s="188">
        <v>0</v>
      </c>
      <c r="W14" s="188">
        <v>0</v>
      </c>
      <c r="X14" s="189">
        <f t="shared" si="11"/>
        <v>0</v>
      </c>
      <c r="Y14" s="188">
        <v>0</v>
      </c>
      <c r="Z14" s="188">
        <v>0</v>
      </c>
      <c r="AA14" s="189">
        <f t="shared" si="13"/>
        <v>0</v>
      </c>
      <c r="AB14" s="163"/>
    </row>
    <row r="15" spans="1:28" ht="24" customHeight="1" x14ac:dyDescent="0.5">
      <c r="A15" s="739" t="s">
        <v>30</v>
      </c>
      <c r="B15" s="716"/>
      <c r="C15" s="190">
        <f t="shared" ref="C15:F15" si="42">SUM(C16:C32)</f>
        <v>5304900</v>
      </c>
      <c r="D15" s="177">
        <f t="shared" si="42"/>
        <v>0</v>
      </c>
      <c r="E15" s="177">
        <f t="shared" si="42"/>
        <v>5304900</v>
      </c>
      <c r="F15" s="176">
        <f t="shared" ca="1" si="42"/>
        <v>177620.98</v>
      </c>
      <c r="G15" s="176">
        <f t="shared" ca="1" si="1"/>
        <v>3.3482436992214746</v>
      </c>
      <c r="H15" s="177">
        <f t="shared" ref="H15:I15" si="43">SUM(H16:H32)</f>
        <v>0</v>
      </c>
      <c r="I15" s="177">
        <f t="shared" si="43"/>
        <v>0</v>
      </c>
      <c r="J15" s="176">
        <f t="shared" si="3"/>
        <v>0</v>
      </c>
      <c r="K15" s="177">
        <f t="shared" ref="K15" ca="1" si="44">SUM(K16:K32)</f>
        <v>790</v>
      </c>
      <c r="L15" s="177">
        <f ca="1">SUM(L16:L32)</f>
        <v>0</v>
      </c>
      <c r="M15" s="176">
        <f t="shared" ca="1" si="5"/>
        <v>0</v>
      </c>
      <c r="N15" s="177">
        <f t="shared" ref="N15:Q15" ca="1" si="45">SUM(N16:N32)</f>
        <v>85</v>
      </c>
      <c r="O15" s="177">
        <f t="shared" ca="1" si="45"/>
        <v>0</v>
      </c>
      <c r="P15" s="177">
        <f t="shared" si="45"/>
        <v>0</v>
      </c>
      <c r="Q15" s="177">
        <f t="shared" si="45"/>
        <v>0</v>
      </c>
      <c r="R15" s="176">
        <f t="shared" si="7"/>
        <v>0</v>
      </c>
      <c r="S15" s="177">
        <f t="shared" ref="S15:T15" si="46">SUM(S16:S32)</f>
        <v>1850</v>
      </c>
      <c r="T15" s="177">
        <f t="shared" ca="1" si="46"/>
        <v>0</v>
      </c>
      <c r="U15" s="176">
        <f t="shared" ca="1" si="9"/>
        <v>0</v>
      </c>
      <c r="V15" s="177">
        <f t="shared" ref="V15:W15" si="47">SUM(V16:V32)</f>
        <v>768</v>
      </c>
      <c r="W15" s="176">
        <f t="shared" ca="1" si="47"/>
        <v>0</v>
      </c>
      <c r="X15" s="176">
        <f t="shared" ca="1" si="11"/>
        <v>0</v>
      </c>
      <c r="Y15" s="177">
        <f t="shared" ref="Y15:Z15" si="48">SUM(Y16:Y32)</f>
        <v>1082</v>
      </c>
      <c r="Z15" s="176">
        <f t="shared" ca="1" si="48"/>
        <v>0</v>
      </c>
      <c r="AA15" s="176">
        <f t="shared" ca="1" si="13"/>
        <v>0</v>
      </c>
      <c r="AB15" s="184"/>
    </row>
    <row r="16" spans="1:28" ht="24" customHeight="1" x14ac:dyDescent="0.5">
      <c r="A16" s="545">
        <v>1</v>
      </c>
      <c r="B16" s="191" t="s">
        <v>31</v>
      </c>
      <c r="C16" s="213">
        <f t="shared" ref="C16:C32" si="49">+D16+E16</f>
        <v>0</v>
      </c>
      <c r="D16" s="193">
        <v>0</v>
      </c>
      <c r="E16" s="193">
        <v>0</v>
      </c>
      <c r="F16" s="192">
        <f ca="1">IFERROR(__xludf.DUMMYFUNCTION("IMPORTRANGE(""https://docs.google.com/spreadsheets/d/11923uPwbBZFjjGgGUA6NLw09EwE0CqkOc4q9oUmW1yo/edit?usp=sharing"",""กำแพงเพชร!M244"")"),0)</f>
        <v>0</v>
      </c>
      <c r="G16" s="192">
        <f t="shared" si="1"/>
        <v>0</v>
      </c>
      <c r="H16" s="193">
        <v>0</v>
      </c>
      <c r="I16" s="192">
        <v>0</v>
      </c>
      <c r="J16" s="192">
        <f t="shared" si="3"/>
        <v>0</v>
      </c>
      <c r="K16" s="214">
        <f ca="1">IFERROR(__xludf.DUMMYFUNCTION("IMPORTRANGE(""https://docs.google.com/spreadsheets/d/1C3CXT74ZlgGe6_JY_1olB1XN4rF0dxEuIIF-xsYjHgg/edit?usp=sharing"",""งบกองทุน!H20"")"),0)</f>
        <v>0</v>
      </c>
      <c r="L16" s="193">
        <f t="shared" ref="L16:L32" ca="1" si="50">SUM(O16)</f>
        <v>0</v>
      </c>
      <c r="M16" s="192">
        <f t="shared" ca="1" si="5"/>
        <v>0</v>
      </c>
      <c r="N16" s="193">
        <f ca="1">IFERROR(__xludf.DUMMYFUNCTION("IMPORTRANGE(""https://docs.google.com/spreadsheets/d/11923uPwbBZFjjGgGUA6NLw09EwE0CqkOc4q9oUmW1yo/edit?usp=sharing"",""กำแพงเพชร!j265"")"),0)</f>
        <v>0</v>
      </c>
      <c r="O16" s="193">
        <f ca="1">IFERROR(__xludf.DUMMYFUNCTION("IMPORTRANGE(""https://docs.google.com/spreadsheets/d/11923uPwbBZFjjGgGUA6NLw09EwE0CqkOc4q9oUmW1yo/edit?usp=sharing"",""กำแพงเพชร!j267"")"),0)</f>
        <v>0</v>
      </c>
      <c r="P16" s="193">
        <v>0</v>
      </c>
      <c r="Q16" s="193">
        <v>0</v>
      </c>
      <c r="R16" s="192">
        <f t="shared" si="7"/>
        <v>0</v>
      </c>
      <c r="S16" s="214">
        <f t="shared" ref="S16:S32" si="51">+V16+Y16</f>
        <v>0</v>
      </c>
      <c r="T16" s="193">
        <f t="shared" ref="T16:T114" ca="1" si="52">SUM(W16,Z16)</f>
        <v>0</v>
      </c>
      <c r="U16" s="215">
        <f t="shared" si="9"/>
        <v>0</v>
      </c>
      <c r="V16" s="214">
        <v>0</v>
      </c>
      <c r="W16" s="193">
        <f ca="1">IFERROR(__xludf.DUMMYFUNCTION("IMPORTRANGE(""https://docs.google.com/spreadsheets/d/11923uPwbBZFjjGgGUA6NLw09EwE0CqkOc4q9oUmW1yo/edit?usp=sharing"",""กำแพงเพชร!j271"")"),0)</f>
        <v>0</v>
      </c>
      <c r="X16" s="215">
        <f t="shared" si="11"/>
        <v>0</v>
      </c>
      <c r="Y16" s="214">
        <v>0</v>
      </c>
      <c r="Z16" s="193">
        <f ca="1">IFERROR(__xludf.DUMMYFUNCTION("IMPORTRANGE(""https://docs.google.com/spreadsheets/d/11923uPwbBZFjjGgGUA6NLw09EwE0CqkOc4q9oUmW1yo/edit?usp=sharing"",""กำแพงเพชร!j272"")"),0)</f>
        <v>0</v>
      </c>
      <c r="AA16" s="215">
        <f t="shared" si="13"/>
        <v>0</v>
      </c>
      <c r="AB16" s="184"/>
    </row>
    <row r="17" spans="1:28" ht="24" customHeight="1" x14ac:dyDescent="0.5">
      <c r="A17" s="546">
        <v>2</v>
      </c>
      <c r="B17" s="194" t="s">
        <v>32</v>
      </c>
      <c r="C17" s="217">
        <f t="shared" si="49"/>
        <v>532200</v>
      </c>
      <c r="D17" s="218">
        <v>0</v>
      </c>
      <c r="E17" s="218">
        <v>532200</v>
      </c>
      <c r="F17" s="219">
        <f ca="1">IFERROR(__xludf.DUMMYFUNCTION("IMPORTRANGE(""https://docs.google.com/spreadsheets/d/11923uPwbBZFjjGgGUA6NLw09EwE0CqkOc4q9oUmW1yo/edit?usp=sharing"",""เชียงราย!M244"")"),0)</f>
        <v>0</v>
      </c>
      <c r="G17" s="219">
        <f t="shared" ca="1" si="1"/>
        <v>0</v>
      </c>
      <c r="H17" s="218">
        <v>0</v>
      </c>
      <c r="I17" s="219">
        <v>0</v>
      </c>
      <c r="J17" s="219">
        <f t="shared" si="3"/>
        <v>0</v>
      </c>
      <c r="K17" s="220">
        <f ca="1">IFERROR(__xludf.DUMMYFUNCTION("IMPORTRANGE(""https://docs.google.com/spreadsheets/d/1C3CXT74ZlgGe6_JY_1olB1XN4rF0dxEuIIF-xsYjHgg/edit?usp=sharing"",""งบกองทุน!H21"")"),100)</f>
        <v>100</v>
      </c>
      <c r="L17" s="218">
        <f t="shared" ca="1" si="50"/>
        <v>0</v>
      </c>
      <c r="M17" s="219">
        <f t="shared" ca="1" si="5"/>
        <v>0</v>
      </c>
      <c r="N17" s="218">
        <f ca="1">IFERROR(__xludf.DUMMYFUNCTION("IMPORTRANGE(""https://docs.google.com/spreadsheets/d/11923uPwbBZFjjGgGUA6NLw09EwE0CqkOc4q9oUmW1yo/edit?usp=sharing"",""เชียงราย!j265"")"),0)</f>
        <v>0</v>
      </c>
      <c r="O17" s="218">
        <f ca="1">IFERROR(__xludf.DUMMYFUNCTION("IMPORTRANGE(""https://docs.google.com/spreadsheets/d/11923uPwbBZFjjGgGUA6NLw09EwE0CqkOc4q9oUmW1yo/edit?usp=sharing"",""เชียงราย!j267"")"),0)</f>
        <v>0</v>
      </c>
      <c r="P17" s="218">
        <v>0</v>
      </c>
      <c r="Q17" s="218">
        <v>0</v>
      </c>
      <c r="R17" s="219">
        <f t="shared" si="7"/>
        <v>0</v>
      </c>
      <c r="S17" s="220">
        <f t="shared" si="51"/>
        <v>200</v>
      </c>
      <c r="T17" s="218">
        <f t="shared" ca="1" si="52"/>
        <v>0</v>
      </c>
      <c r="U17" s="221">
        <f t="shared" ca="1" si="9"/>
        <v>0</v>
      </c>
      <c r="V17" s="220">
        <v>100</v>
      </c>
      <c r="W17" s="218">
        <f ca="1">IFERROR(__xludf.DUMMYFUNCTION("IMPORTRANGE(""https://docs.google.com/spreadsheets/d/11923uPwbBZFjjGgGUA6NLw09EwE0CqkOc4q9oUmW1yo/edit?usp=sharing"",""เชียงราย!j271"")"),0)</f>
        <v>0</v>
      </c>
      <c r="X17" s="221">
        <f t="shared" ca="1" si="11"/>
        <v>0</v>
      </c>
      <c r="Y17" s="220">
        <v>100</v>
      </c>
      <c r="Z17" s="218">
        <f ca="1">IFERROR(__xludf.DUMMYFUNCTION("IMPORTRANGE(""https://docs.google.com/spreadsheets/d/11923uPwbBZFjjGgGUA6NLw09EwE0CqkOc4q9oUmW1yo/edit?usp=sharing"",""เชียงราย!j272"")"),0)</f>
        <v>0</v>
      </c>
      <c r="AA17" s="221">
        <f t="shared" ca="1" si="13"/>
        <v>0</v>
      </c>
      <c r="AB17" s="184"/>
    </row>
    <row r="18" spans="1:28" ht="24" customHeight="1" x14ac:dyDescent="0.5">
      <c r="A18" s="546">
        <v>3</v>
      </c>
      <c r="B18" s="194" t="s">
        <v>33</v>
      </c>
      <c r="C18" s="217">
        <f t="shared" si="49"/>
        <v>317760</v>
      </c>
      <c r="D18" s="218">
        <v>0</v>
      </c>
      <c r="E18" s="218">
        <v>317760</v>
      </c>
      <c r="F18" s="219">
        <f ca="1">IFERROR(__xludf.DUMMYFUNCTION("IMPORTRANGE(""https://docs.google.com/spreadsheets/d/11923uPwbBZFjjGgGUA6NLw09EwE0CqkOc4q9oUmW1yo/edit?usp=sharing"",""เชียงใหม่!M244"")"),28645.58)</f>
        <v>28645.58</v>
      </c>
      <c r="G18" s="219">
        <f t="shared" ca="1" si="1"/>
        <v>9.0148476837865061</v>
      </c>
      <c r="H18" s="218">
        <v>0</v>
      </c>
      <c r="I18" s="219">
        <v>0</v>
      </c>
      <c r="J18" s="219">
        <f t="shared" si="3"/>
        <v>0</v>
      </c>
      <c r="K18" s="220">
        <f ca="1">IFERROR(__xludf.DUMMYFUNCTION("IMPORTRANGE(""https://docs.google.com/spreadsheets/d/1C3CXT74ZlgGe6_JY_1olB1XN4rF0dxEuIIF-xsYjHgg/edit?usp=sharing"",""งบกองทุน!H22"")"),40)</f>
        <v>40</v>
      </c>
      <c r="L18" s="218">
        <f t="shared" ca="1" si="50"/>
        <v>0</v>
      </c>
      <c r="M18" s="219">
        <f t="shared" ca="1" si="5"/>
        <v>0</v>
      </c>
      <c r="N18" s="218">
        <f ca="1">IFERROR(__xludf.DUMMYFUNCTION("IMPORTRANGE(""https://docs.google.com/spreadsheets/d/11923uPwbBZFjjGgGUA6NLw09EwE0CqkOc4q9oUmW1yo/edit?usp=sharing"",""เชียงใหม่!j265"")"),20)</f>
        <v>20</v>
      </c>
      <c r="O18" s="218">
        <f ca="1">IFERROR(__xludf.DUMMYFUNCTION("IMPORTRANGE(""https://docs.google.com/spreadsheets/d/11923uPwbBZFjjGgGUA6NLw09EwE0CqkOc4q9oUmW1yo/edit?usp=sharing"",""เชียงใหม่!j267"")"),0)</f>
        <v>0</v>
      </c>
      <c r="P18" s="218">
        <v>0</v>
      </c>
      <c r="Q18" s="218">
        <v>0</v>
      </c>
      <c r="R18" s="219">
        <f t="shared" si="7"/>
        <v>0</v>
      </c>
      <c r="S18" s="220">
        <f t="shared" si="51"/>
        <v>100</v>
      </c>
      <c r="T18" s="218">
        <f t="shared" ca="1" si="52"/>
        <v>0</v>
      </c>
      <c r="U18" s="221">
        <f t="shared" ca="1" si="9"/>
        <v>0</v>
      </c>
      <c r="V18" s="220">
        <v>32</v>
      </c>
      <c r="W18" s="218">
        <f ca="1">IFERROR(__xludf.DUMMYFUNCTION("IMPORTRANGE(""https://docs.google.com/spreadsheets/d/11923uPwbBZFjjGgGUA6NLw09EwE0CqkOc4q9oUmW1yo/edit?usp=sharing"",""เชียงใหม่!j271"")"),0)</f>
        <v>0</v>
      </c>
      <c r="X18" s="221">
        <f t="shared" ca="1" si="11"/>
        <v>0</v>
      </c>
      <c r="Y18" s="220">
        <v>68</v>
      </c>
      <c r="Z18" s="218">
        <f ca="1">IFERROR(__xludf.DUMMYFUNCTION("IMPORTRANGE(""https://docs.google.com/spreadsheets/d/11923uPwbBZFjjGgGUA6NLw09EwE0CqkOc4q9oUmW1yo/edit?usp=sharing"",""เชียงใหม่!j272"")"),0)</f>
        <v>0</v>
      </c>
      <c r="AA18" s="221">
        <f t="shared" ca="1" si="13"/>
        <v>0</v>
      </c>
      <c r="AB18" s="184"/>
    </row>
    <row r="19" spans="1:28" ht="24" customHeight="1" x14ac:dyDescent="0.5">
      <c r="A19" s="546">
        <v>4</v>
      </c>
      <c r="B19" s="194" t="s">
        <v>34</v>
      </c>
      <c r="C19" s="217">
        <f t="shared" si="49"/>
        <v>0</v>
      </c>
      <c r="D19" s="218">
        <v>0</v>
      </c>
      <c r="E19" s="218">
        <v>0</v>
      </c>
      <c r="F19" s="219">
        <f ca="1">IFERROR(__xludf.DUMMYFUNCTION("IMPORTRANGE(""https://docs.google.com/spreadsheets/d/11923uPwbBZFjjGgGUA6NLw09EwE0CqkOc4q9oUmW1yo/edit?usp=sharing"",""ตาก!M244"")"),0)</f>
        <v>0</v>
      </c>
      <c r="G19" s="219">
        <f t="shared" si="1"/>
        <v>0</v>
      </c>
      <c r="H19" s="218">
        <v>0</v>
      </c>
      <c r="I19" s="219">
        <v>0</v>
      </c>
      <c r="J19" s="219">
        <f t="shared" si="3"/>
        <v>0</v>
      </c>
      <c r="K19" s="220">
        <f ca="1">IFERROR(__xludf.DUMMYFUNCTION("IMPORTRANGE(""https://docs.google.com/spreadsheets/d/1C3CXT74ZlgGe6_JY_1olB1XN4rF0dxEuIIF-xsYjHgg/edit?usp=sharing"",""งบกองทุน!H23"")"),0)</f>
        <v>0</v>
      </c>
      <c r="L19" s="218">
        <f t="shared" ca="1" si="50"/>
        <v>0</v>
      </c>
      <c r="M19" s="219">
        <f t="shared" ca="1" si="5"/>
        <v>0</v>
      </c>
      <c r="N19" s="218">
        <f ca="1">IFERROR(__xludf.DUMMYFUNCTION("IMPORTRANGE(""https://docs.google.com/spreadsheets/d/11923uPwbBZFjjGgGUA6NLw09EwE0CqkOc4q9oUmW1yo/edit?usp=sharing"",""ตาก!j265"")"),0)</f>
        <v>0</v>
      </c>
      <c r="O19" s="218">
        <f ca="1">IFERROR(__xludf.DUMMYFUNCTION("IMPORTRANGE(""https://docs.google.com/spreadsheets/d/11923uPwbBZFjjGgGUA6NLw09EwE0CqkOc4q9oUmW1yo/edit?usp=sharing"",""ตาก!j267"")"),0)</f>
        <v>0</v>
      </c>
      <c r="P19" s="218">
        <v>0</v>
      </c>
      <c r="Q19" s="218">
        <v>0</v>
      </c>
      <c r="R19" s="219">
        <f t="shared" si="7"/>
        <v>0</v>
      </c>
      <c r="S19" s="220">
        <f t="shared" si="51"/>
        <v>0</v>
      </c>
      <c r="T19" s="218">
        <f t="shared" ca="1" si="52"/>
        <v>0</v>
      </c>
      <c r="U19" s="221">
        <f t="shared" si="9"/>
        <v>0</v>
      </c>
      <c r="V19" s="220">
        <v>0</v>
      </c>
      <c r="W19" s="218">
        <f ca="1">IFERROR(__xludf.DUMMYFUNCTION("IMPORTRANGE(""https://docs.google.com/spreadsheets/d/11923uPwbBZFjjGgGUA6NLw09EwE0CqkOc4q9oUmW1yo/edit?usp=sharing"",""ตาก!j271"")"),0)</f>
        <v>0</v>
      </c>
      <c r="X19" s="221">
        <f t="shared" si="11"/>
        <v>0</v>
      </c>
      <c r="Y19" s="220">
        <v>0</v>
      </c>
      <c r="Z19" s="218">
        <f ca="1">IFERROR(__xludf.DUMMYFUNCTION("IMPORTRANGE(""https://docs.google.com/spreadsheets/d/11923uPwbBZFjjGgGUA6NLw09EwE0CqkOc4q9oUmW1yo/edit?usp=sharing"",""ตาก!j272"")"),0)</f>
        <v>0</v>
      </c>
      <c r="AA19" s="221">
        <f t="shared" si="13"/>
        <v>0</v>
      </c>
      <c r="AB19" s="184"/>
    </row>
    <row r="20" spans="1:28" ht="24" customHeight="1" x14ac:dyDescent="0.5">
      <c r="A20" s="546">
        <v>5</v>
      </c>
      <c r="B20" s="194" t="s">
        <v>35</v>
      </c>
      <c r="C20" s="217">
        <f t="shared" si="49"/>
        <v>354030</v>
      </c>
      <c r="D20" s="218">
        <v>0</v>
      </c>
      <c r="E20" s="218">
        <v>354030</v>
      </c>
      <c r="F20" s="219">
        <f ca="1">IFERROR(__xludf.DUMMYFUNCTION("IMPORTRANGE(""https://docs.google.com/spreadsheets/d/11923uPwbBZFjjGgGUA6NLw09EwE0CqkOc4q9oUmW1yo/edit?usp=sharing"",""นครสวรรค์!M244"")"),0)</f>
        <v>0</v>
      </c>
      <c r="G20" s="219">
        <f t="shared" ca="1" si="1"/>
        <v>0</v>
      </c>
      <c r="H20" s="218">
        <v>0</v>
      </c>
      <c r="I20" s="219">
        <v>0</v>
      </c>
      <c r="J20" s="219">
        <f t="shared" si="3"/>
        <v>0</v>
      </c>
      <c r="K20" s="220">
        <f ca="1">IFERROR(__xludf.DUMMYFUNCTION("IMPORTRANGE(""https://docs.google.com/spreadsheets/d/1C3CXT74ZlgGe6_JY_1olB1XN4rF0dxEuIIF-xsYjHgg/edit?usp=sharing"",""งบกองทุน!H24"")"),55)</f>
        <v>55</v>
      </c>
      <c r="L20" s="218">
        <f t="shared" ca="1" si="50"/>
        <v>0</v>
      </c>
      <c r="M20" s="219">
        <f t="shared" ca="1" si="5"/>
        <v>0</v>
      </c>
      <c r="N20" s="218">
        <f ca="1">IFERROR(__xludf.DUMMYFUNCTION("IMPORTRANGE(""https://docs.google.com/spreadsheets/d/11923uPwbBZFjjGgGUA6NLw09EwE0CqkOc4q9oUmW1yo/edit?usp=sharing"",""นครสวรรค์!j265"")"),0)</f>
        <v>0</v>
      </c>
      <c r="O20" s="218">
        <f ca="1">IFERROR(__xludf.DUMMYFUNCTION("IMPORTRANGE(""https://docs.google.com/spreadsheets/d/11923uPwbBZFjjGgGUA6NLw09EwE0CqkOc4q9oUmW1yo/edit?usp=sharing"",""นครสวรรค์!j267"")"),0)</f>
        <v>0</v>
      </c>
      <c r="P20" s="218">
        <v>0</v>
      </c>
      <c r="Q20" s="218">
        <v>0</v>
      </c>
      <c r="R20" s="219">
        <f t="shared" si="7"/>
        <v>0</v>
      </c>
      <c r="S20" s="220">
        <f t="shared" si="51"/>
        <v>110</v>
      </c>
      <c r="T20" s="218">
        <f t="shared" ca="1" si="52"/>
        <v>0</v>
      </c>
      <c r="U20" s="221">
        <f t="shared" ca="1" si="9"/>
        <v>0</v>
      </c>
      <c r="V20" s="220">
        <v>40</v>
      </c>
      <c r="W20" s="218">
        <f ca="1">IFERROR(__xludf.DUMMYFUNCTION("IMPORTRANGE(""https://docs.google.com/spreadsheets/d/11923uPwbBZFjjGgGUA6NLw09EwE0CqkOc4q9oUmW1yo/edit?usp=sharing"",""นครสวรรค์!j271"")"),0)</f>
        <v>0</v>
      </c>
      <c r="X20" s="221">
        <f t="shared" ca="1" si="11"/>
        <v>0</v>
      </c>
      <c r="Y20" s="220">
        <v>70</v>
      </c>
      <c r="Z20" s="218">
        <f ca="1">IFERROR(__xludf.DUMMYFUNCTION("IMPORTRANGE(""https://docs.google.com/spreadsheets/d/11923uPwbBZFjjGgGUA6NLw09EwE0CqkOc4q9oUmW1yo/edit?usp=sharing"",""นครสวรรค์!j272"")"),0)</f>
        <v>0</v>
      </c>
      <c r="AA20" s="221">
        <f t="shared" ca="1" si="13"/>
        <v>0</v>
      </c>
      <c r="AB20" s="184"/>
    </row>
    <row r="21" spans="1:28" ht="24" customHeight="1" x14ac:dyDescent="0.5">
      <c r="A21" s="546">
        <v>6</v>
      </c>
      <c r="B21" s="194" t="s">
        <v>36</v>
      </c>
      <c r="C21" s="217">
        <f t="shared" si="49"/>
        <v>346610</v>
      </c>
      <c r="D21" s="218">
        <v>0</v>
      </c>
      <c r="E21" s="218">
        <v>346610</v>
      </c>
      <c r="F21" s="219">
        <f ca="1">IFERROR(__xludf.DUMMYFUNCTION("IMPORTRANGE(""https://docs.google.com/spreadsheets/d/11923uPwbBZFjjGgGUA6NLw09EwE0CqkOc4q9oUmW1yo/edit?usp=sharing"",""น่าน!M244"")"),10449)</f>
        <v>10449</v>
      </c>
      <c r="G21" s="219">
        <f t="shared" ca="1" si="1"/>
        <v>3.0146273910158392</v>
      </c>
      <c r="H21" s="218">
        <v>0</v>
      </c>
      <c r="I21" s="219">
        <v>0</v>
      </c>
      <c r="J21" s="219">
        <f t="shared" si="3"/>
        <v>0</v>
      </c>
      <c r="K21" s="220">
        <f ca="1">IFERROR(__xludf.DUMMYFUNCTION("IMPORTRANGE(""https://docs.google.com/spreadsheets/d/1C3CXT74ZlgGe6_JY_1olB1XN4rF0dxEuIIF-xsYjHgg/edit?usp=sharing"",""งบกองทุน!H25"")"),45)</f>
        <v>45</v>
      </c>
      <c r="L21" s="218">
        <f t="shared" ca="1" si="50"/>
        <v>0</v>
      </c>
      <c r="M21" s="219">
        <f t="shared" ca="1" si="5"/>
        <v>0</v>
      </c>
      <c r="N21" s="218">
        <f ca="1">IFERROR(__xludf.DUMMYFUNCTION("IMPORTRANGE(""https://docs.google.com/spreadsheets/d/11923uPwbBZFjjGgGUA6NLw09EwE0CqkOc4q9oUmW1yo/edit?usp=sharing"",""น่าน!j265"")"),0)</f>
        <v>0</v>
      </c>
      <c r="O21" s="218">
        <f ca="1">IFERROR(__xludf.DUMMYFUNCTION("IMPORTRANGE(""https://docs.google.com/spreadsheets/d/11923uPwbBZFjjGgGUA6NLw09EwE0CqkOc4q9oUmW1yo/edit?usp=sharing"",""น่าน!j267"")"),0)</f>
        <v>0</v>
      </c>
      <c r="P21" s="218">
        <v>0</v>
      </c>
      <c r="Q21" s="218">
        <v>0</v>
      </c>
      <c r="R21" s="219">
        <f t="shared" si="7"/>
        <v>0</v>
      </c>
      <c r="S21" s="220">
        <f t="shared" si="51"/>
        <v>120</v>
      </c>
      <c r="T21" s="218">
        <f t="shared" ca="1" si="52"/>
        <v>0</v>
      </c>
      <c r="U21" s="221">
        <f t="shared" ca="1" si="9"/>
        <v>0</v>
      </c>
      <c r="V21" s="220">
        <v>60</v>
      </c>
      <c r="W21" s="218">
        <f ca="1">IFERROR(__xludf.DUMMYFUNCTION("IMPORTRANGE(""https://docs.google.com/spreadsheets/d/11923uPwbBZFjjGgGUA6NLw09EwE0CqkOc4q9oUmW1yo/edit?usp=sharing"",""น่าน!j271"")"),0)</f>
        <v>0</v>
      </c>
      <c r="X21" s="221">
        <f t="shared" ca="1" si="11"/>
        <v>0</v>
      </c>
      <c r="Y21" s="220">
        <v>60</v>
      </c>
      <c r="Z21" s="218">
        <f ca="1">IFERROR(__xludf.DUMMYFUNCTION("IMPORTRANGE(""https://docs.google.com/spreadsheets/d/11923uPwbBZFjjGgGUA6NLw09EwE0CqkOc4q9oUmW1yo/edit?usp=sharing"",""น่าน!j272"")"),0)</f>
        <v>0</v>
      </c>
      <c r="AA21" s="221">
        <f t="shared" ca="1" si="13"/>
        <v>0</v>
      </c>
      <c r="AB21" s="184"/>
    </row>
    <row r="22" spans="1:28" ht="24" customHeight="1" x14ac:dyDescent="0.5">
      <c r="A22" s="546">
        <v>7</v>
      </c>
      <c r="B22" s="194" t="s">
        <v>37</v>
      </c>
      <c r="C22" s="217">
        <f t="shared" si="49"/>
        <v>363980</v>
      </c>
      <c r="D22" s="218">
        <v>0</v>
      </c>
      <c r="E22" s="218">
        <v>363980</v>
      </c>
      <c r="F22" s="219">
        <f ca="1">IFERROR(__xludf.DUMMYFUNCTION("IMPORTRANGE(""https://docs.google.com/spreadsheets/d/11923uPwbBZFjjGgGUA6NLw09EwE0CqkOc4q9oUmW1yo/edit?usp=sharing"",""พะเยา!M244"")"),0)</f>
        <v>0</v>
      </c>
      <c r="G22" s="219">
        <f t="shared" ca="1" si="1"/>
        <v>0</v>
      </c>
      <c r="H22" s="218">
        <v>0</v>
      </c>
      <c r="I22" s="219">
        <v>0</v>
      </c>
      <c r="J22" s="219">
        <f t="shared" si="3"/>
        <v>0</v>
      </c>
      <c r="K22" s="220">
        <f ca="1">IFERROR(__xludf.DUMMYFUNCTION("IMPORTRANGE(""https://docs.google.com/spreadsheets/d/1C3CXT74ZlgGe6_JY_1olB1XN4rF0dxEuIIF-xsYjHgg/edit?usp=sharing"",""งบกองทุน!H26"")"),60)</f>
        <v>60</v>
      </c>
      <c r="L22" s="218">
        <f t="shared" ca="1" si="50"/>
        <v>0</v>
      </c>
      <c r="M22" s="219">
        <f t="shared" ca="1" si="5"/>
        <v>0</v>
      </c>
      <c r="N22" s="218">
        <f ca="1">IFERROR(__xludf.DUMMYFUNCTION("IMPORTRANGE(""https://docs.google.com/spreadsheets/d/11923uPwbBZFjjGgGUA6NLw09EwE0CqkOc4q9oUmW1yo/edit?usp=sharing"",""พะเยา!j265"")"),0)</f>
        <v>0</v>
      </c>
      <c r="O22" s="218">
        <f ca="1">IFERROR(__xludf.DUMMYFUNCTION("IMPORTRANGE(""https://docs.google.com/spreadsheets/d/11923uPwbBZFjjGgGUA6NLw09EwE0CqkOc4q9oUmW1yo/edit?usp=sharing"",""พะเยา!j267"")"),0)</f>
        <v>0</v>
      </c>
      <c r="P22" s="218">
        <v>0</v>
      </c>
      <c r="Q22" s="218">
        <v>0</v>
      </c>
      <c r="R22" s="219">
        <f t="shared" si="7"/>
        <v>0</v>
      </c>
      <c r="S22" s="220">
        <f t="shared" si="51"/>
        <v>105</v>
      </c>
      <c r="T22" s="218">
        <f t="shared" ca="1" si="52"/>
        <v>0</v>
      </c>
      <c r="U22" s="221">
        <f t="shared" ca="1" si="9"/>
        <v>0</v>
      </c>
      <c r="V22" s="220">
        <v>30</v>
      </c>
      <c r="W22" s="218">
        <f ca="1">IFERROR(__xludf.DUMMYFUNCTION("IMPORTRANGE(""https://docs.google.com/spreadsheets/d/11923uPwbBZFjjGgGUA6NLw09EwE0CqkOc4q9oUmW1yo/edit?usp=sharing"",""พะเยา!j271"")"),0)</f>
        <v>0</v>
      </c>
      <c r="X22" s="221">
        <f t="shared" ca="1" si="11"/>
        <v>0</v>
      </c>
      <c r="Y22" s="220">
        <v>75</v>
      </c>
      <c r="Z22" s="218">
        <f ca="1">IFERROR(__xludf.DUMMYFUNCTION("IMPORTRANGE(""https://docs.google.com/spreadsheets/d/11923uPwbBZFjjGgGUA6NLw09EwE0CqkOc4q9oUmW1yo/edit?usp=sharing"",""พะเยา!j272"")"),0)</f>
        <v>0</v>
      </c>
      <c r="AA22" s="221">
        <f t="shared" ca="1" si="13"/>
        <v>0</v>
      </c>
      <c r="AB22" s="184"/>
    </row>
    <row r="23" spans="1:28" ht="24" customHeight="1" x14ac:dyDescent="0.5">
      <c r="A23" s="546">
        <v>8</v>
      </c>
      <c r="B23" s="194" t="s">
        <v>38</v>
      </c>
      <c r="C23" s="217">
        <f t="shared" si="49"/>
        <v>406480</v>
      </c>
      <c r="D23" s="218">
        <v>0</v>
      </c>
      <c r="E23" s="218">
        <v>406480</v>
      </c>
      <c r="F23" s="219">
        <f ca="1">IFERROR(__xludf.DUMMYFUNCTION("IMPORTRANGE(""https://docs.google.com/spreadsheets/d/11923uPwbBZFjjGgGUA6NLw09EwE0CqkOc4q9oUmW1yo/edit?usp=sharing"",""พิจิตร!M244"")"),10451.7)</f>
        <v>10451.700000000001</v>
      </c>
      <c r="G23" s="219">
        <f t="shared" ca="1" si="1"/>
        <v>2.5712704192088176</v>
      </c>
      <c r="H23" s="218">
        <v>0</v>
      </c>
      <c r="I23" s="219">
        <v>0</v>
      </c>
      <c r="J23" s="219">
        <f t="shared" si="3"/>
        <v>0</v>
      </c>
      <c r="K23" s="220">
        <f ca="1">IFERROR(__xludf.DUMMYFUNCTION("IMPORTRANGE(""https://docs.google.com/spreadsheets/d/1C3CXT74ZlgGe6_JY_1olB1XN4rF0dxEuIIF-xsYjHgg/edit?usp=sharing"",""งบกองทุน!H27"")"),60)</f>
        <v>60</v>
      </c>
      <c r="L23" s="218">
        <f t="shared" ca="1" si="50"/>
        <v>0</v>
      </c>
      <c r="M23" s="219">
        <f t="shared" ca="1" si="5"/>
        <v>0</v>
      </c>
      <c r="N23" s="218">
        <f ca="1">IFERROR(__xludf.DUMMYFUNCTION("IMPORTRANGE(""https://docs.google.com/spreadsheets/d/11923uPwbBZFjjGgGUA6NLw09EwE0CqkOc4q9oUmW1yo/edit?usp=sharing"",""พิจิตร!j265"")"),0)</f>
        <v>0</v>
      </c>
      <c r="O23" s="218">
        <f ca="1">IFERROR(__xludf.DUMMYFUNCTION("IMPORTRANGE(""https://docs.google.com/spreadsheets/d/11923uPwbBZFjjGgGUA6NLw09EwE0CqkOc4q9oUmW1yo/edit?usp=sharing"",""พิจิตร!j267"")"),0)</f>
        <v>0</v>
      </c>
      <c r="P23" s="218">
        <v>0</v>
      </c>
      <c r="Q23" s="218">
        <v>0</v>
      </c>
      <c r="R23" s="219">
        <f t="shared" si="7"/>
        <v>0</v>
      </c>
      <c r="S23" s="220">
        <f t="shared" si="51"/>
        <v>160</v>
      </c>
      <c r="T23" s="218">
        <f t="shared" ca="1" si="52"/>
        <v>0</v>
      </c>
      <c r="U23" s="221">
        <f t="shared" ca="1" si="9"/>
        <v>0</v>
      </c>
      <c r="V23" s="220">
        <v>60</v>
      </c>
      <c r="W23" s="218">
        <f ca="1">IFERROR(__xludf.DUMMYFUNCTION("IMPORTRANGE(""https://docs.google.com/spreadsheets/d/11923uPwbBZFjjGgGUA6NLw09EwE0CqkOc4q9oUmW1yo/edit?usp=sharing"",""พิจิตร!j271"")"),0)</f>
        <v>0</v>
      </c>
      <c r="X23" s="221">
        <f t="shared" ca="1" si="11"/>
        <v>0</v>
      </c>
      <c r="Y23" s="220">
        <v>100</v>
      </c>
      <c r="Z23" s="218">
        <f ca="1">IFERROR(__xludf.DUMMYFUNCTION("IMPORTRANGE(""https://docs.google.com/spreadsheets/d/11923uPwbBZFjjGgGUA6NLw09EwE0CqkOc4q9oUmW1yo/edit?usp=sharing"",""พิจิตร!j272"")"),0)</f>
        <v>0</v>
      </c>
      <c r="AA23" s="221">
        <f t="shared" ca="1" si="13"/>
        <v>0</v>
      </c>
      <c r="AB23" s="184"/>
    </row>
    <row r="24" spans="1:28" ht="24" customHeight="1" x14ac:dyDescent="0.5">
      <c r="A24" s="546">
        <v>9</v>
      </c>
      <c r="B24" s="194" t="s">
        <v>39</v>
      </c>
      <c r="C24" s="217">
        <f t="shared" si="49"/>
        <v>0</v>
      </c>
      <c r="D24" s="218">
        <v>0</v>
      </c>
      <c r="E24" s="218">
        <v>0</v>
      </c>
      <c r="F24" s="219">
        <f ca="1">IFERROR(__xludf.DUMMYFUNCTION("IMPORTRANGE(""https://docs.google.com/spreadsheets/d/11923uPwbBZFjjGgGUA6NLw09EwE0CqkOc4q9oUmW1yo/edit?usp=sharing"",""พิษณุโลก!M244"")"),0)</f>
        <v>0</v>
      </c>
      <c r="G24" s="219">
        <f t="shared" si="1"/>
        <v>0</v>
      </c>
      <c r="H24" s="218">
        <v>0</v>
      </c>
      <c r="I24" s="219">
        <v>0</v>
      </c>
      <c r="J24" s="219">
        <f t="shared" si="3"/>
        <v>0</v>
      </c>
      <c r="K24" s="220">
        <f ca="1">IFERROR(__xludf.DUMMYFUNCTION("IMPORTRANGE(""https://docs.google.com/spreadsheets/d/1C3CXT74ZlgGe6_JY_1olB1XN4rF0dxEuIIF-xsYjHgg/edit?usp=sharing"",""งบกองทุน!H28"")"),0)</f>
        <v>0</v>
      </c>
      <c r="L24" s="218">
        <f t="shared" ca="1" si="50"/>
        <v>0</v>
      </c>
      <c r="M24" s="219">
        <f t="shared" ca="1" si="5"/>
        <v>0</v>
      </c>
      <c r="N24" s="218">
        <f ca="1">IFERROR(__xludf.DUMMYFUNCTION("IMPORTRANGE(""https://docs.google.com/spreadsheets/d/11923uPwbBZFjjGgGUA6NLw09EwE0CqkOc4q9oUmW1yo/edit?usp=sharing"",""พิษณุโลก!j265"")"),0)</f>
        <v>0</v>
      </c>
      <c r="O24" s="218">
        <f ca="1">IFERROR(__xludf.DUMMYFUNCTION("IMPORTRANGE(""https://docs.google.com/spreadsheets/d/11923uPwbBZFjjGgGUA6NLw09EwE0CqkOc4q9oUmW1yo/edit?usp=sharing"",""พิษณุโลก!j267"")"),0)</f>
        <v>0</v>
      </c>
      <c r="P24" s="218">
        <v>0</v>
      </c>
      <c r="Q24" s="218">
        <v>0</v>
      </c>
      <c r="R24" s="219">
        <f t="shared" si="7"/>
        <v>0</v>
      </c>
      <c r="S24" s="220">
        <f t="shared" si="51"/>
        <v>0</v>
      </c>
      <c r="T24" s="218">
        <f t="shared" ca="1" si="52"/>
        <v>0</v>
      </c>
      <c r="U24" s="221">
        <f t="shared" si="9"/>
        <v>0</v>
      </c>
      <c r="V24" s="220">
        <v>0</v>
      </c>
      <c r="W24" s="218">
        <f ca="1">IFERROR(__xludf.DUMMYFUNCTION("IMPORTRANGE(""https://docs.google.com/spreadsheets/d/11923uPwbBZFjjGgGUA6NLw09EwE0CqkOc4q9oUmW1yo/edit?usp=sharing"",""พิษณุโลก!j271"")"),0)</f>
        <v>0</v>
      </c>
      <c r="X24" s="221">
        <f t="shared" si="11"/>
        <v>0</v>
      </c>
      <c r="Y24" s="220">
        <v>0</v>
      </c>
      <c r="Z24" s="218">
        <f ca="1">IFERROR(__xludf.DUMMYFUNCTION("IMPORTRANGE(""https://docs.google.com/spreadsheets/d/11923uPwbBZFjjGgGUA6NLw09EwE0CqkOc4q9oUmW1yo/edit?usp=sharing"",""พิษณุโลก!j272"")"),0)</f>
        <v>0</v>
      </c>
      <c r="AA24" s="221">
        <f t="shared" si="13"/>
        <v>0</v>
      </c>
      <c r="AB24" s="184"/>
    </row>
    <row r="25" spans="1:28" ht="24" customHeight="1" x14ac:dyDescent="0.5">
      <c r="A25" s="546">
        <v>10</v>
      </c>
      <c r="B25" s="194" t="s">
        <v>40</v>
      </c>
      <c r="C25" s="217">
        <f t="shared" si="49"/>
        <v>664130</v>
      </c>
      <c r="D25" s="218">
        <v>0</v>
      </c>
      <c r="E25" s="218">
        <v>664130</v>
      </c>
      <c r="F25" s="219">
        <f ca="1">IFERROR(__xludf.DUMMYFUNCTION("IMPORTRANGE(""https://docs.google.com/spreadsheets/d/11923uPwbBZFjjGgGUA6NLw09EwE0CqkOc4q9oUmW1yo/edit?usp=sharing"",""เพชรบูรณ์!M244"")"),93672)</f>
        <v>93672</v>
      </c>
      <c r="G25" s="219">
        <f t="shared" ca="1" si="1"/>
        <v>14.10446749883306</v>
      </c>
      <c r="H25" s="218">
        <v>0</v>
      </c>
      <c r="I25" s="219">
        <v>0</v>
      </c>
      <c r="J25" s="219">
        <f t="shared" si="3"/>
        <v>0</v>
      </c>
      <c r="K25" s="220">
        <f ca="1">IFERROR(__xludf.DUMMYFUNCTION("IMPORTRANGE(""https://docs.google.com/spreadsheets/d/1C3CXT74ZlgGe6_JY_1olB1XN4rF0dxEuIIF-xsYjHgg/edit?usp=sharing"",""งบกองทุน!H29"")"),95)</f>
        <v>95</v>
      </c>
      <c r="L25" s="218">
        <f t="shared" ca="1" si="50"/>
        <v>0</v>
      </c>
      <c r="M25" s="219">
        <f t="shared" ca="1" si="5"/>
        <v>0</v>
      </c>
      <c r="N25" s="218">
        <f ca="1">IFERROR(__xludf.DUMMYFUNCTION("IMPORTRANGE(""https://docs.google.com/spreadsheets/d/11923uPwbBZFjjGgGUA6NLw09EwE0CqkOc4q9oUmW1yo/edit?usp=sharing"",""เพชรบูรณ์!j265"")"),65)</f>
        <v>65</v>
      </c>
      <c r="O25" s="218">
        <f ca="1">IFERROR(__xludf.DUMMYFUNCTION("IMPORTRANGE(""https://docs.google.com/spreadsheets/d/11923uPwbBZFjjGgGUA6NLw09EwE0CqkOc4q9oUmW1yo/edit?usp=sharing"",""เพชรบูรณ์!j267"")"),0)</f>
        <v>0</v>
      </c>
      <c r="P25" s="218">
        <v>0</v>
      </c>
      <c r="Q25" s="218">
        <v>0</v>
      </c>
      <c r="R25" s="219">
        <f t="shared" si="7"/>
        <v>0</v>
      </c>
      <c r="S25" s="220">
        <f t="shared" si="51"/>
        <v>425</v>
      </c>
      <c r="T25" s="218">
        <f t="shared" ca="1" si="52"/>
        <v>0</v>
      </c>
      <c r="U25" s="221">
        <f t="shared" ca="1" si="9"/>
        <v>0</v>
      </c>
      <c r="V25" s="220">
        <v>150</v>
      </c>
      <c r="W25" s="218">
        <f ca="1">IFERROR(__xludf.DUMMYFUNCTION("IMPORTRANGE(""https://docs.google.com/spreadsheets/d/11923uPwbBZFjjGgGUA6NLw09EwE0CqkOc4q9oUmW1yo/edit?usp=sharing"",""เพชรบูรณ์!j271"")"),0)</f>
        <v>0</v>
      </c>
      <c r="X25" s="221">
        <f t="shared" ca="1" si="11"/>
        <v>0</v>
      </c>
      <c r="Y25" s="220">
        <v>275</v>
      </c>
      <c r="Z25" s="218">
        <f ca="1">IFERROR(__xludf.DUMMYFUNCTION("IMPORTRANGE(""https://docs.google.com/spreadsheets/d/11923uPwbBZFjjGgGUA6NLw09EwE0CqkOc4q9oUmW1yo/edit?usp=sharing"",""เพชรบูรณ์!j272"")"),0)</f>
        <v>0</v>
      </c>
      <c r="AA25" s="221">
        <f t="shared" ca="1" si="13"/>
        <v>0</v>
      </c>
      <c r="AB25" s="184"/>
    </row>
    <row r="26" spans="1:28" ht="24" customHeight="1" x14ac:dyDescent="0.5">
      <c r="A26" s="546">
        <v>11</v>
      </c>
      <c r="B26" s="194" t="s">
        <v>41</v>
      </c>
      <c r="C26" s="217">
        <f t="shared" si="49"/>
        <v>348030</v>
      </c>
      <c r="D26" s="218">
        <v>0</v>
      </c>
      <c r="E26" s="218">
        <v>348030</v>
      </c>
      <c r="F26" s="219">
        <f ca="1">IFERROR(__xludf.DUMMYFUNCTION("IMPORTRANGE(""https://docs.google.com/spreadsheets/d/11923uPwbBZFjjGgGUA6NLw09EwE0CqkOc4q9oUmW1yo/edit?usp=sharing"",""แพร่!M244"")"),0)</f>
        <v>0</v>
      </c>
      <c r="G26" s="219">
        <f t="shared" ca="1" si="1"/>
        <v>0</v>
      </c>
      <c r="H26" s="218">
        <v>0</v>
      </c>
      <c r="I26" s="219">
        <v>0</v>
      </c>
      <c r="J26" s="219">
        <f t="shared" si="3"/>
        <v>0</v>
      </c>
      <c r="K26" s="220">
        <f ca="1">IFERROR(__xludf.DUMMYFUNCTION("IMPORTRANGE(""https://docs.google.com/spreadsheets/d/1C3CXT74ZlgGe6_JY_1olB1XN4rF0dxEuIIF-xsYjHgg/edit?usp=sharing"",""งบกองทุน!H30"")"),55)</f>
        <v>55</v>
      </c>
      <c r="L26" s="218">
        <f t="shared" ca="1" si="50"/>
        <v>0</v>
      </c>
      <c r="M26" s="219">
        <f t="shared" ca="1" si="5"/>
        <v>0</v>
      </c>
      <c r="N26" s="218">
        <f ca="1">IFERROR(__xludf.DUMMYFUNCTION("IMPORTRANGE(""https://docs.google.com/spreadsheets/d/11923uPwbBZFjjGgGUA6NLw09EwE0CqkOc4q9oUmW1yo/edit?usp=sharing"",""แพร่!j265"")"),0)</f>
        <v>0</v>
      </c>
      <c r="O26" s="218">
        <f ca="1">IFERROR(__xludf.DUMMYFUNCTION("IMPORTRANGE(""https://docs.google.com/spreadsheets/d/11923uPwbBZFjjGgGUA6NLw09EwE0CqkOc4q9oUmW1yo/edit?usp=sharing"",""แพร่!j267"")"),0)</f>
        <v>0</v>
      </c>
      <c r="P26" s="218">
        <v>0</v>
      </c>
      <c r="Q26" s="218">
        <v>0</v>
      </c>
      <c r="R26" s="219">
        <f t="shared" si="7"/>
        <v>0</v>
      </c>
      <c r="S26" s="220">
        <f t="shared" si="51"/>
        <v>90</v>
      </c>
      <c r="T26" s="218">
        <f t="shared" ca="1" si="52"/>
        <v>0</v>
      </c>
      <c r="U26" s="221">
        <f t="shared" ca="1" si="9"/>
        <v>0</v>
      </c>
      <c r="V26" s="220">
        <v>50</v>
      </c>
      <c r="W26" s="218">
        <f ca="1">IFERROR(__xludf.DUMMYFUNCTION("IMPORTRANGE(""https://docs.google.com/spreadsheets/d/11923uPwbBZFjjGgGUA6NLw09EwE0CqkOc4q9oUmW1yo/edit?usp=sharing"",""แพร่!j271"")"),0)</f>
        <v>0</v>
      </c>
      <c r="X26" s="221">
        <f t="shared" ca="1" si="11"/>
        <v>0</v>
      </c>
      <c r="Y26" s="220">
        <v>40</v>
      </c>
      <c r="Z26" s="218">
        <f ca="1">IFERROR(__xludf.DUMMYFUNCTION("IMPORTRANGE(""https://docs.google.com/spreadsheets/d/11923uPwbBZFjjGgGUA6NLw09EwE0CqkOc4q9oUmW1yo/edit?usp=sharing"",""แพร่!j272"")"),0)</f>
        <v>0</v>
      </c>
      <c r="AA26" s="221">
        <f t="shared" ca="1" si="13"/>
        <v>0</v>
      </c>
      <c r="AB26" s="184"/>
    </row>
    <row r="27" spans="1:28" ht="24" customHeight="1" x14ac:dyDescent="0.5">
      <c r="A27" s="546">
        <v>12</v>
      </c>
      <c r="B27" s="194" t="s">
        <v>42</v>
      </c>
      <c r="C27" s="217">
        <f t="shared" si="49"/>
        <v>353580</v>
      </c>
      <c r="D27" s="218">
        <v>0</v>
      </c>
      <c r="E27" s="218">
        <v>353580</v>
      </c>
      <c r="F27" s="219">
        <f ca="1">IFERROR(__xludf.DUMMYFUNCTION("IMPORTRANGE(""https://docs.google.com/spreadsheets/d/11923uPwbBZFjjGgGUA6NLw09EwE0CqkOc4q9oUmW1yo/edit?usp=sharing"",""แม่ฮ่องสอน!M244"")"),10236)</f>
        <v>10236</v>
      </c>
      <c r="G27" s="219">
        <f t="shared" ca="1" si="1"/>
        <v>2.8949601221788561</v>
      </c>
      <c r="H27" s="218">
        <v>0</v>
      </c>
      <c r="I27" s="219">
        <v>0</v>
      </c>
      <c r="J27" s="219">
        <f t="shared" si="3"/>
        <v>0</v>
      </c>
      <c r="K27" s="220">
        <f ca="1">IFERROR(__xludf.DUMMYFUNCTION("IMPORTRANGE(""https://docs.google.com/spreadsheets/d/1C3CXT74ZlgGe6_JY_1olB1XN4rF0dxEuIIF-xsYjHgg/edit?usp=sharing"",""งบกองทุน!H31"")"),50)</f>
        <v>50</v>
      </c>
      <c r="L27" s="218">
        <f t="shared" ca="1" si="50"/>
        <v>0</v>
      </c>
      <c r="M27" s="219">
        <f t="shared" ca="1" si="5"/>
        <v>0</v>
      </c>
      <c r="N27" s="218">
        <f ca="1">IFERROR(__xludf.DUMMYFUNCTION("IMPORTRANGE(""https://docs.google.com/spreadsheets/d/11923uPwbBZFjjGgGUA6NLw09EwE0CqkOc4q9oUmW1yo/edit?usp=sharing"",""แม่ฮ่องสอน!j265"")"),0)</f>
        <v>0</v>
      </c>
      <c r="O27" s="218">
        <f ca="1">IFERROR(__xludf.DUMMYFUNCTION("IMPORTRANGE(""https://docs.google.com/spreadsheets/d/11923uPwbBZFjjGgGUA6NLw09EwE0CqkOc4q9oUmW1yo/edit?usp=sharing"",""แม่ฮ่องสอน!j267"")"),0)</f>
        <v>0</v>
      </c>
      <c r="P27" s="218">
        <v>0</v>
      </c>
      <c r="Q27" s="218">
        <v>0</v>
      </c>
      <c r="R27" s="219">
        <f t="shared" si="7"/>
        <v>0</v>
      </c>
      <c r="S27" s="220">
        <f t="shared" si="51"/>
        <v>110</v>
      </c>
      <c r="T27" s="218">
        <f t="shared" ca="1" si="52"/>
        <v>0</v>
      </c>
      <c r="U27" s="221">
        <f t="shared" ca="1" si="9"/>
        <v>0</v>
      </c>
      <c r="V27" s="220">
        <v>60</v>
      </c>
      <c r="W27" s="218">
        <f ca="1">IFERROR(__xludf.DUMMYFUNCTION("IMPORTRANGE(""https://docs.google.com/spreadsheets/d/11923uPwbBZFjjGgGUA6NLw09EwE0CqkOc4q9oUmW1yo/edit?usp=sharing"",""แม่ฮ่องสอน!j271"")"),0)</f>
        <v>0</v>
      </c>
      <c r="X27" s="221">
        <f t="shared" ca="1" si="11"/>
        <v>0</v>
      </c>
      <c r="Y27" s="220">
        <v>50</v>
      </c>
      <c r="Z27" s="218">
        <f ca="1">IFERROR(__xludf.DUMMYFUNCTION("IMPORTRANGE(""https://docs.google.com/spreadsheets/d/11923uPwbBZFjjGgGUA6NLw09EwE0CqkOc4q9oUmW1yo/edit?usp=sharing"",""แม่ฮ่องสอน!j272"")"),0)</f>
        <v>0</v>
      </c>
      <c r="AA27" s="221">
        <f t="shared" ca="1" si="13"/>
        <v>0</v>
      </c>
      <c r="AB27" s="184"/>
    </row>
    <row r="28" spans="1:28" ht="24" customHeight="1" x14ac:dyDescent="0.5">
      <c r="A28" s="546">
        <v>13</v>
      </c>
      <c r="B28" s="194" t="s">
        <v>43</v>
      </c>
      <c r="C28" s="217">
        <f t="shared" si="49"/>
        <v>230720</v>
      </c>
      <c r="D28" s="218">
        <v>0</v>
      </c>
      <c r="E28" s="218">
        <v>230720</v>
      </c>
      <c r="F28" s="219">
        <f ca="1">IFERROR(__xludf.DUMMYFUNCTION("IMPORTRANGE(""https://docs.google.com/spreadsheets/d/11923uPwbBZFjjGgGUA6NLw09EwE0CqkOc4q9oUmW1yo/edit?usp=sharing"",""ลำปาง!M244"")"),9286.7)</f>
        <v>9286.7000000000007</v>
      </c>
      <c r="G28" s="219">
        <f t="shared" ca="1" si="1"/>
        <v>4.025095353675451</v>
      </c>
      <c r="H28" s="218">
        <v>0</v>
      </c>
      <c r="I28" s="219">
        <v>0</v>
      </c>
      <c r="J28" s="219">
        <f t="shared" si="3"/>
        <v>0</v>
      </c>
      <c r="K28" s="220">
        <f ca="1">IFERROR(__xludf.DUMMYFUNCTION("IMPORTRANGE(""https://docs.google.com/spreadsheets/d/1C3CXT74ZlgGe6_JY_1olB1XN4rF0dxEuIIF-xsYjHgg/edit?usp=sharing"",""งบกองทุน!H32"")"),10)</f>
        <v>10</v>
      </c>
      <c r="L28" s="218">
        <f t="shared" ca="1" si="50"/>
        <v>0</v>
      </c>
      <c r="M28" s="219">
        <f t="shared" ca="1" si="5"/>
        <v>0</v>
      </c>
      <c r="N28" s="218">
        <f ca="1">IFERROR(__xludf.DUMMYFUNCTION("IMPORTRANGE(""https://docs.google.com/spreadsheets/d/11923uPwbBZFjjGgGUA6NLw09EwE0CqkOc4q9oUmW1yo/edit?usp=sharing"",""ลำปาง!j265"")"),0)</f>
        <v>0</v>
      </c>
      <c r="O28" s="218">
        <f ca="1">IFERROR(__xludf.DUMMYFUNCTION("IMPORTRANGE(""https://docs.google.com/spreadsheets/d/11923uPwbBZFjjGgGUA6NLw09EwE0CqkOc4q9oUmW1yo/edit?usp=sharing"",""ลำปาง!j267"")"),0)</f>
        <v>0</v>
      </c>
      <c r="P28" s="218">
        <v>0</v>
      </c>
      <c r="Q28" s="218">
        <v>0</v>
      </c>
      <c r="R28" s="219">
        <f t="shared" si="7"/>
        <v>0</v>
      </c>
      <c r="S28" s="220">
        <f t="shared" si="51"/>
        <v>50</v>
      </c>
      <c r="T28" s="218">
        <f t="shared" ca="1" si="52"/>
        <v>0</v>
      </c>
      <c r="U28" s="221">
        <f t="shared" ca="1" si="9"/>
        <v>0</v>
      </c>
      <c r="V28" s="220">
        <v>0</v>
      </c>
      <c r="W28" s="218">
        <f ca="1">IFERROR(__xludf.DUMMYFUNCTION("IMPORTRANGE(""https://docs.google.com/spreadsheets/d/11923uPwbBZFjjGgGUA6NLw09EwE0CqkOc4q9oUmW1yo/edit?usp=sharing"",""ลำปาง!j271"")"),0)</f>
        <v>0</v>
      </c>
      <c r="X28" s="221">
        <f t="shared" si="11"/>
        <v>0</v>
      </c>
      <c r="Y28" s="220">
        <v>50</v>
      </c>
      <c r="Z28" s="218">
        <f ca="1">IFERROR(__xludf.DUMMYFUNCTION("IMPORTRANGE(""https://docs.google.com/spreadsheets/d/11923uPwbBZFjjGgGUA6NLw09EwE0CqkOc4q9oUmW1yo/edit?usp=sharing"",""ลำปาง!j272"")"),0)</f>
        <v>0</v>
      </c>
      <c r="AA28" s="221">
        <f t="shared" ca="1" si="13"/>
        <v>0</v>
      </c>
      <c r="AB28" s="184"/>
    </row>
    <row r="29" spans="1:28" ht="24" customHeight="1" x14ac:dyDescent="0.5">
      <c r="A29" s="546">
        <v>14</v>
      </c>
      <c r="B29" s="194" t="s">
        <v>44</v>
      </c>
      <c r="C29" s="217">
        <f t="shared" si="49"/>
        <v>459380</v>
      </c>
      <c r="D29" s="218">
        <v>0</v>
      </c>
      <c r="E29" s="218">
        <v>459380</v>
      </c>
      <c r="F29" s="219">
        <f ca="1">IFERROR(__xludf.DUMMYFUNCTION("IMPORTRANGE(""https://docs.google.com/spreadsheets/d/11923uPwbBZFjjGgGUA6NLw09EwE0CqkOc4q9oUmW1yo/edit?usp=sharing"",""ลำพูน!M244"")"),0)</f>
        <v>0</v>
      </c>
      <c r="G29" s="219">
        <f t="shared" ca="1" si="1"/>
        <v>0</v>
      </c>
      <c r="H29" s="218">
        <v>0</v>
      </c>
      <c r="I29" s="219">
        <v>0</v>
      </c>
      <c r="J29" s="219">
        <f t="shared" si="3"/>
        <v>0</v>
      </c>
      <c r="K29" s="220">
        <f ca="1">IFERROR(__xludf.DUMMYFUNCTION("IMPORTRANGE(""https://docs.google.com/spreadsheets/d/1C3CXT74ZlgGe6_JY_1olB1XN4rF0dxEuIIF-xsYjHgg/edit?usp=sharing"",""งบกองทุน!H33"")"),70)</f>
        <v>70</v>
      </c>
      <c r="L29" s="218">
        <f t="shared" ca="1" si="50"/>
        <v>0</v>
      </c>
      <c r="M29" s="219">
        <f t="shared" ca="1" si="5"/>
        <v>0</v>
      </c>
      <c r="N29" s="218">
        <f ca="1">IFERROR(__xludf.DUMMYFUNCTION("IMPORTRANGE(""https://docs.google.com/spreadsheets/d/11923uPwbBZFjjGgGUA6NLw09EwE0CqkOc4q9oUmW1yo/edit?usp=sharing"",""ลำพูน!j265"")"),0)</f>
        <v>0</v>
      </c>
      <c r="O29" s="218">
        <f ca="1">IFERROR(__xludf.DUMMYFUNCTION("IMPORTRANGE(""https://docs.google.com/spreadsheets/d/11923uPwbBZFjjGgGUA6NLw09EwE0CqkOc4q9oUmW1yo/edit?usp=sharing"",""ลำพูน!j267"")"),0)</f>
        <v>0</v>
      </c>
      <c r="P29" s="218">
        <v>0</v>
      </c>
      <c r="Q29" s="218">
        <v>0</v>
      </c>
      <c r="R29" s="219">
        <f t="shared" si="7"/>
        <v>0</v>
      </c>
      <c r="S29" s="220">
        <f t="shared" si="51"/>
        <v>200</v>
      </c>
      <c r="T29" s="218">
        <f t="shared" ca="1" si="52"/>
        <v>0</v>
      </c>
      <c r="U29" s="221">
        <f t="shared" ca="1" si="9"/>
        <v>0</v>
      </c>
      <c r="V29" s="220">
        <v>100</v>
      </c>
      <c r="W29" s="218">
        <f ca="1">IFERROR(__xludf.DUMMYFUNCTION("IMPORTRANGE(""https://docs.google.com/spreadsheets/d/11923uPwbBZFjjGgGUA6NLw09EwE0CqkOc4q9oUmW1yo/edit?usp=sharing"",""ลำพูน!j271"")"),0)</f>
        <v>0</v>
      </c>
      <c r="X29" s="221">
        <f t="shared" ca="1" si="11"/>
        <v>0</v>
      </c>
      <c r="Y29" s="220">
        <v>100</v>
      </c>
      <c r="Z29" s="218">
        <f ca="1">IFERROR(__xludf.DUMMYFUNCTION("IMPORTRANGE(""https://docs.google.com/spreadsheets/d/11923uPwbBZFjjGgGUA6NLw09EwE0CqkOc4q9oUmW1yo/edit?usp=sharing"",""ลำพูน!j272"")"),0)</f>
        <v>0</v>
      </c>
      <c r="AA29" s="221">
        <f t="shared" ca="1" si="13"/>
        <v>0</v>
      </c>
      <c r="AB29" s="184"/>
    </row>
    <row r="30" spans="1:28" ht="24" customHeight="1" x14ac:dyDescent="0.5">
      <c r="A30" s="546">
        <v>15</v>
      </c>
      <c r="B30" s="194" t="s">
        <v>45</v>
      </c>
      <c r="C30" s="217">
        <f t="shared" si="49"/>
        <v>367080</v>
      </c>
      <c r="D30" s="218">
        <v>0</v>
      </c>
      <c r="E30" s="218">
        <v>367080</v>
      </c>
      <c r="F30" s="219">
        <f ca="1">IFERROR(__xludf.DUMMYFUNCTION("IMPORTRANGE(""https://docs.google.com/spreadsheets/d/11923uPwbBZFjjGgGUA6NLw09EwE0CqkOc4q9oUmW1yo/edit?usp=sharing"",""สุโขทัย!M244"")"),0)</f>
        <v>0</v>
      </c>
      <c r="G30" s="219">
        <f t="shared" ca="1" si="1"/>
        <v>0</v>
      </c>
      <c r="H30" s="218">
        <v>0</v>
      </c>
      <c r="I30" s="219">
        <v>0</v>
      </c>
      <c r="J30" s="219">
        <f t="shared" si="3"/>
        <v>0</v>
      </c>
      <c r="K30" s="220">
        <f ca="1">IFERROR(__xludf.DUMMYFUNCTION("IMPORTRANGE(""https://docs.google.com/spreadsheets/d/1C3CXT74ZlgGe6_JY_1olB1XN4rF0dxEuIIF-xsYjHgg/edit?usp=sharing"",""งบกองทุน!H34"")"),80)</f>
        <v>80</v>
      </c>
      <c r="L30" s="218">
        <f t="shared" ca="1" si="50"/>
        <v>0</v>
      </c>
      <c r="M30" s="219">
        <f t="shared" ca="1" si="5"/>
        <v>0</v>
      </c>
      <c r="N30" s="218">
        <f ca="1">IFERROR(__xludf.DUMMYFUNCTION("IMPORTRANGE(""https://docs.google.com/spreadsheets/d/11923uPwbBZFjjGgGUA6NLw09EwE0CqkOc4q9oUmW1yo/edit?usp=sharing"",""สุโขทัย!j265"")"),0)</f>
        <v>0</v>
      </c>
      <c r="O30" s="218">
        <f ca="1">IFERROR(__xludf.DUMMYFUNCTION("IMPORTRANGE(""https://docs.google.com/spreadsheets/d/11923uPwbBZFjjGgGUA6NLw09EwE0CqkOc4q9oUmW1yo/edit?usp=sharing"",""สุโขทัย!j267"")"),0)</f>
        <v>0</v>
      </c>
      <c r="P30" s="218">
        <v>0</v>
      </c>
      <c r="Q30" s="218">
        <v>0</v>
      </c>
      <c r="R30" s="219">
        <f t="shared" si="7"/>
        <v>0</v>
      </c>
      <c r="S30" s="220">
        <f t="shared" si="51"/>
        <v>80</v>
      </c>
      <c r="T30" s="218">
        <f t="shared" ca="1" si="52"/>
        <v>0</v>
      </c>
      <c r="U30" s="221">
        <f t="shared" ca="1" si="9"/>
        <v>0</v>
      </c>
      <c r="V30" s="220">
        <v>46</v>
      </c>
      <c r="W30" s="218">
        <f ca="1">IFERROR(__xludf.DUMMYFUNCTION("IMPORTRANGE(""https://docs.google.com/spreadsheets/d/11923uPwbBZFjjGgGUA6NLw09EwE0CqkOc4q9oUmW1yo/edit?usp=sharing"",""สุโขทัย!j271"")"),0)</f>
        <v>0</v>
      </c>
      <c r="X30" s="221">
        <f t="shared" ca="1" si="11"/>
        <v>0</v>
      </c>
      <c r="Y30" s="220">
        <v>34</v>
      </c>
      <c r="Z30" s="218">
        <f ca="1">IFERROR(__xludf.DUMMYFUNCTION("IMPORTRANGE(""https://docs.google.com/spreadsheets/d/11923uPwbBZFjjGgGUA6NLw09EwE0CqkOc4q9oUmW1yo/edit?usp=sharing"",""สุโขทัย!j272"")"),0)</f>
        <v>0</v>
      </c>
      <c r="AA30" s="221">
        <f t="shared" ca="1" si="13"/>
        <v>0</v>
      </c>
      <c r="AB30" s="184"/>
    </row>
    <row r="31" spans="1:28" ht="24" customHeight="1" x14ac:dyDescent="0.5">
      <c r="A31" s="546">
        <v>16</v>
      </c>
      <c r="B31" s="194" t="s">
        <v>46</v>
      </c>
      <c r="C31" s="217">
        <f t="shared" si="49"/>
        <v>257760</v>
      </c>
      <c r="D31" s="218">
        <v>0</v>
      </c>
      <c r="E31" s="218">
        <v>257760</v>
      </c>
      <c r="F31" s="219">
        <f ca="1">IFERROR(__xludf.DUMMYFUNCTION("IMPORTRANGE(""https://docs.google.com/spreadsheets/d/11923uPwbBZFjjGgGUA6NLw09EwE0CqkOc4q9oUmW1yo/edit?usp=sharing"",""อุตรดิตถ์!M244"")"),0)</f>
        <v>0</v>
      </c>
      <c r="G31" s="219">
        <f t="shared" ca="1" si="1"/>
        <v>0</v>
      </c>
      <c r="H31" s="218">
        <v>0</v>
      </c>
      <c r="I31" s="219">
        <v>0</v>
      </c>
      <c r="J31" s="219">
        <f t="shared" si="3"/>
        <v>0</v>
      </c>
      <c r="K31" s="220">
        <f ca="1">IFERROR(__xludf.DUMMYFUNCTION("IMPORTRANGE(""https://docs.google.com/spreadsheets/d/1C3CXT74ZlgGe6_JY_1olB1XN4rF0dxEuIIF-xsYjHgg/edit?usp=sharing"",""งบกองทุน!H35"")"),30)</f>
        <v>30</v>
      </c>
      <c r="L31" s="218">
        <f t="shared" ca="1" si="50"/>
        <v>0</v>
      </c>
      <c r="M31" s="219">
        <f t="shared" ca="1" si="5"/>
        <v>0</v>
      </c>
      <c r="N31" s="218">
        <f ca="1">IFERROR(__xludf.DUMMYFUNCTION("IMPORTRANGE(""https://docs.google.com/spreadsheets/d/11923uPwbBZFjjGgGUA6NLw09EwE0CqkOc4q9oUmW1yo/edit?usp=sharing"",""อุตรดิตถ์!j265"")"),0)</f>
        <v>0</v>
      </c>
      <c r="O31" s="218">
        <f ca="1">IFERROR(__xludf.DUMMYFUNCTION("IMPORTRANGE(""https://docs.google.com/spreadsheets/d/11923uPwbBZFjjGgGUA6NLw09EwE0CqkOc4q9oUmW1yo/edit?usp=sharing"",""อุตรดิตถ์!j267"")"),0)</f>
        <v>0</v>
      </c>
      <c r="P31" s="218">
        <v>0</v>
      </c>
      <c r="Q31" s="218">
        <v>0</v>
      </c>
      <c r="R31" s="219">
        <f t="shared" si="7"/>
        <v>0</v>
      </c>
      <c r="S31" s="220">
        <f t="shared" si="51"/>
        <v>30</v>
      </c>
      <c r="T31" s="218">
        <f t="shared" ca="1" si="52"/>
        <v>0</v>
      </c>
      <c r="U31" s="221">
        <f t="shared" ca="1" si="9"/>
        <v>0</v>
      </c>
      <c r="V31" s="220">
        <v>20</v>
      </c>
      <c r="W31" s="218">
        <f ca="1">IFERROR(__xludf.DUMMYFUNCTION("IMPORTRANGE(""https://docs.google.com/spreadsheets/d/11923uPwbBZFjjGgGUA6NLw09EwE0CqkOc4q9oUmW1yo/edit?usp=sharing"",""อุตรดิตถ์!j271"")"),0)</f>
        <v>0</v>
      </c>
      <c r="X31" s="221">
        <f t="shared" ca="1" si="11"/>
        <v>0</v>
      </c>
      <c r="Y31" s="220">
        <v>10</v>
      </c>
      <c r="Z31" s="218">
        <f ca="1">IFERROR(__xludf.DUMMYFUNCTION("IMPORTRANGE(""https://docs.google.com/spreadsheets/d/11923uPwbBZFjjGgGUA6NLw09EwE0CqkOc4q9oUmW1yo/edit?usp=sharing"",""อุตรดิตถ์!j272"")"),0)</f>
        <v>0</v>
      </c>
      <c r="AA31" s="221">
        <f t="shared" ca="1" si="13"/>
        <v>0</v>
      </c>
      <c r="AB31" s="184"/>
    </row>
    <row r="32" spans="1:28" ht="24" customHeight="1" x14ac:dyDescent="0.5">
      <c r="A32" s="547">
        <v>17</v>
      </c>
      <c r="B32" s="535" t="s">
        <v>47</v>
      </c>
      <c r="C32" s="536">
        <f t="shared" si="49"/>
        <v>303160</v>
      </c>
      <c r="D32" s="537">
        <v>0</v>
      </c>
      <c r="E32" s="537">
        <v>303160</v>
      </c>
      <c r="F32" s="538">
        <f ca="1">IFERROR(__xludf.DUMMYFUNCTION("IMPORTRANGE(""https://docs.google.com/spreadsheets/d/11923uPwbBZFjjGgGUA6NLw09EwE0CqkOc4q9oUmW1yo/edit?usp=sharing"",""อุทัยธานี!M244"")"),14880)</f>
        <v>14880</v>
      </c>
      <c r="G32" s="538">
        <f t="shared" ca="1" si="1"/>
        <v>4.9082992479218897</v>
      </c>
      <c r="H32" s="537">
        <v>0</v>
      </c>
      <c r="I32" s="538">
        <v>0</v>
      </c>
      <c r="J32" s="538">
        <f t="shared" si="3"/>
        <v>0</v>
      </c>
      <c r="K32" s="539">
        <f ca="1">IFERROR(__xludf.DUMMYFUNCTION("IMPORTRANGE(""https://docs.google.com/spreadsheets/d/1C3CXT74ZlgGe6_JY_1olB1XN4rF0dxEuIIF-xsYjHgg/edit?usp=sharing"",""งบกองทุน!H36"")"),40)</f>
        <v>40</v>
      </c>
      <c r="L32" s="537">
        <f t="shared" ca="1" si="50"/>
        <v>0</v>
      </c>
      <c r="M32" s="538">
        <f t="shared" ca="1" si="5"/>
        <v>0</v>
      </c>
      <c r="N32" s="537">
        <f ca="1">IFERROR(__xludf.DUMMYFUNCTION("IMPORTRANGE(""https://docs.google.com/spreadsheets/d/11923uPwbBZFjjGgGUA6NLw09EwE0CqkOc4q9oUmW1yo/edit?usp=sharing"",""อุทัยธานี!j265"")"),0)</f>
        <v>0</v>
      </c>
      <c r="O32" s="537">
        <f ca="1">IFERROR(__xludf.DUMMYFUNCTION("IMPORTRANGE(""https://docs.google.com/spreadsheets/d/11923uPwbBZFjjGgGUA6NLw09EwE0CqkOc4q9oUmW1yo/edit?usp=sharing"",""อุทัยธานี!j267"")"),0)</f>
        <v>0</v>
      </c>
      <c r="P32" s="537">
        <v>0</v>
      </c>
      <c r="Q32" s="537">
        <v>0</v>
      </c>
      <c r="R32" s="538">
        <f t="shared" si="7"/>
        <v>0</v>
      </c>
      <c r="S32" s="539">
        <f t="shared" si="51"/>
        <v>70</v>
      </c>
      <c r="T32" s="537">
        <f t="shared" ca="1" si="52"/>
        <v>0</v>
      </c>
      <c r="U32" s="540">
        <f t="shared" ca="1" si="9"/>
        <v>0</v>
      </c>
      <c r="V32" s="539">
        <v>20</v>
      </c>
      <c r="W32" s="537">
        <f ca="1">IFERROR(__xludf.DUMMYFUNCTION("IMPORTRANGE(""https://docs.google.com/spreadsheets/d/11923uPwbBZFjjGgGUA6NLw09EwE0CqkOc4q9oUmW1yo/edit?usp=sharing"",""อุทัยธานี!j271"")"),0)</f>
        <v>0</v>
      </c>
      <c r="X32" s="540">
        <f t="shared" ca="1" si="11"/>
        <v>0</v>
      </c>
      <c r="Y32" s="539">
        <v>50</v>
      </c>
      <c r="Z32" s="537">
        <f ca="1">IFERROR(__xludf.DUMMYFUNCTION("IMPORTRANGE(""https://docs.google.com/spreadsheets/d/11923uPwbBZFjjGgGUA6NLw09EwE0CqkOc4q9oUmW1yo/edit?usp=sharing"",""อุทัยธานี!j272"")"),0)</f>
        <v>0</v>
      </c>
      <c r="AA32" s="540">
        <f t="shared" ca="1" si="13"/>
        <v>0</v>
      </c>
      <c r="AB32" s="184"/>
    </row>
    <row r="33" spans="1:28" ht="24" customHeight="1" x14ac:dyDescent="0.5">
      <c r="A33" s="740" t="s">
        <v>48</v>
      </c>
      <c r="B33" s="713"/>
      <c r="C33" s="173">
        <f t="shared" ref="C33:F33" si="53">SUM(C34:C53)</f>
        <v>9976370</v>
      </c>
      <c r="D33" s="174">
        <f t="shared" si="53"/>
        <v>0</v>
      </c>
      <c r="E33" s="174">
        <f t="shared" si="53"/>
        <v>9976370</v>
      </c>
      <c r="F33" s="175">
        <f t="shared" ca="1" si="53"/>
        <v>66843.430000000008</v>
      </c>
      <c r="G33" s="175">
        <f t="shared" ca="1" si="1"/>
        <v>0.67001755147413344</v>
      </c>
      <c r="H33" s="174">
        <f t="shared" ref="H33:I33" si="54">SUM(H34:H53)</f>
        <v>0</v>
      </c>
      <c r="I33" s="175">
        <f t="shared" si="54"/>
        <v>0</v>
      </c>
      <c r="J33" s="175">
        <f t="shared" si="3"/>
        <v>0</v>
      </c>
      <c r="K33" s="174">
        <f ca="1">SUM(K34:K53)</f>
        <v>1466</v>
      </c>
      <c r="L33" s="174">
        <f ca="1">SUM(L34:L53)</f>
        <v>0</v>
      </c>
      <c r="M33" s="175">
        <f t="shared" ca="1" si="5"/>
        <v>0</v>
      </c>
      <c r="N33" s="174">
        <f t="shared" ref="N33:Q33" ca="1" si="55">SUM(N34:N53)</f>
        <v>100</v>
      </c>
      <c r="O33" s="174">
        <f t="shared" ca="1" si="55"/>
        <v>0</v>
      </c>
      <c r="P33" s="174">
        <f t="shared" si="55"/>
        <v>0</v>
      </c>
      <c r="Q33" s="174">
        <f t="shared" si="55"/>
        <v>0</v>
      </c>
      <c r="R33" s="175">
        <f t="shared" si="7"/>
        <v>0</v>
      </c>
      <c r="S33" s="174">
        <f>SUM(S34:S53)</f>
        <v>5203</v>
      </c>
      <c r="T33" s="174">
        <f t="shared" ca="1" si="52"/>
        <v>0</v>
      </c>
      <c r="U33" s="175">
        <f t="shared" ca="1" si="9"/>
        <v>0</v>
      </c>
      <c r="V33" s="174">
        <f t="shared" ref="V33:W33" si="56">SUM(V34:V53)</f>
        <v>2614</v>
      </c>
      <c r="W33" s="174">
        <f t="shared" ca="1" si="56"/>
        <v>0</v>
      </c>
      <c r="X33" s="175">
        <f t="shared" ca="1" si="11"/>
        <v>0</v>
      </c>
      <c r="Y33" s="174">
        <f t="shared" ref="Y33:Z33" si="57">SUM(Y34:Y53)</f>
        <v>2589</v>
      </c>
      <c r="Z33" s="174">
        <f t="shared" ca="1" si="57"/>
        <v>0</v>
      </c>
      <c r="AA33" s="175">
        <f t="shared" ca="1" si="13"/>
        <v>0</v>
      </c>
      <c r="AB33" s="184"/>
    </row>
    <row r="34" spans="1:28" ht="24" customHeight="1" x14ac:dyDescent="0.5">
      <c r="A34" s="545">
        <v>1</v>
      </c>
      <c r="B34" s="191" t="s">
        <v>49</v>
      </c>
      <c r="C34" s="213">
        <f t="shared" ref="C34:C53" si="58">+D34+E34</f>
        <v>576480</v>
      </c>
      <c r="D34" s="193">
        <v>0</v>
      </c>
      <c r="E34" s="193">
        <v>576480</v>
      </c>
      <c r="F34" s="192">
        <f ca="1">IFERROR(__xludf.DUMMYFUNCTION("IMPORTRANGE(""https://docs.google.com/spreadsheets/d/1XL5vhW3sbDhbH9Cz0tuDiY8C3ctxq1tqvaCgkFb8cCA/edit?usp=sharing"",""กาฬสินธุ์!M244"")"),0)</f>
        <v>0</v>
      </c>
      <c r="G34" s="192">
        <f t="shared" ca="1" si="1"/>
        <v>0</v>
      </c>
      <c r="H34" s="193">
        <v>0</v>
      </c>
      <c r="I34" s="192">
        <v>0</v>
      </c>
      <c r="J34" s="192">
        <f t="shared" si="3"/>
        <v>0</v>
      </c>
      <c r="K34" s="214">
        <f ca="1">IFERROR(__xludf.DUMMYFUNCTION("IMPORTRANGE(""https://docs.google.com/spreadsheets/d/1C3CXT74ZlgGe6_JY_1olB1XN4rF0dxEuIIF-xsYjHgg/edit?usp=sharing"",""งบกองทุน!H38"")"),60)</f>
        <v>60</v>
      </c>
      <c r="L34" s="193">
        <f t="shared" ref="L34:L53" ca="1" si="59">SUM(O34)</f>
        <v>0</v>
      </c>
      <c r="M34" s="192">
        <f t="shared" ca="1" si="5"/>
        <v>0</v>
      </c>
      <c r="N34" s="193">
        <f ca="1">IFERROR(__xludf.DUMMYFUNCTION("IMPORTRANGE(""https://docs.google.com/spreadsheets/d/1XL5vhW3sbDhbH9Cz0tuDiY8C3ctxq1tqvaCgkFb8cCA/edit?usp=sharing"",""กาฬสินธุ์!j265"")"),0)</f>
        <v>0</v>
      </c>
      <c r="O34" s="193">
        <f ca="1">IFERROR(__xludf.DUMMYFUNCTION("IMPORTRANGE(""https://docs.google.com/spreadsheets/d/1XL5vhW3sbDhbH9Cz0tuDiY8C3ctxq1tqvaCgkFb8cCA/edit?usp=sharing"",""กาฬสินธุ์!j267"")"),0)</f>
        <v>0</v>
      </c>
      <c r="P34" s="193">
        <v>0</v>
      </c>
      <c r="Q34" s="193">
        <v>0</v>
      </c>
      <c r="R34" s="192">
        <f t="shared" si="7"/>
        <v>0</v>
      </c>
      <c r="S34" s="214">
        <f t="shared" ref="S34:S53" si="60">+V34+Y34</f>
        <v>300</v>
      </c>
      <c r="T34" s="193">
        <f t="shared" ca="1" si="52"/>
        <v>0</v>
      </c>
      <c r="U34" s="215">
        <f t="shared" ca="1" si="9"/>
        <v>0</v>
      </c>
      <c r="V34" s="214">
        <v>300</v>
      </c>
      <c r="W34" s="193">
        <f ca="1">IFERROR(__xludf.DUMMYFUNCTION("IMPORTRANGE(""https://docs.google.com/spreadsheets/d/1XL5vhW3sbDhbH9Cz0tuDiY8C3ctxq1tqvaCgkFb8cCA/edit?usp=sharing"",""กาฬสินธุ์!j271"")"),0)</f>
        <v>0</v>
      </c>
      <c r="X34" s="215">
        <f t="shared" ca="1" si="11"/>
        <v>0</v>
      </c>
      <c r="Y34" s="214">
        <v>0</v>
      </c>
      <c r="Z34" s="193">
        <f ca="1">IFERROR(__xludf.DUMMYFUNCTION("IMPORTRANGE(""https://docs.google.com/spreadsheets/d/1XL5vhW3sbDhbH9Cz0tuDiY8C3ctxq1tqvaCgkFb8cCA/edit?usp=sharing"",""กาฬสินธุ์!j272"")"),0)</f>
        <v>0</v>
      </c>
      <c r="AA34" s="215">
        <f t="shared" si="13"/>
        <v>0</v>
      </c>
      <c r="AB34" s="184"/>
    </row>
    <row r="35" spans="1:28" ht="24" customHeight="1" x14ac:dyDescent="0.5">
      <c r="A35" s="546">
        <v>2</v>
      </c>
      <c r="B35" s="194" t="s">
        <v>50</v>
      </c>
      <c r="C35" s="217">
        <f t="shared" si="58"/>
        <v>349530</v>
      </c>
      <c r="D35" s="218">
        <v>0</v>
      </c>
      <c r="E35" s="218">
        <v>349530</v>
      </c>
      <c r="F35" s="219">
        <f ca="1">IFERROR(__xludf.DUMMYFUNCTION("IMPORTRANGE(""https://docs.google.com/spreadsheets/d/1XL5vhW3sbDhbH9Cz0tuDiY8C3ctxq1tqvaCgkFb8cCA/edit?usp=sharing"",""ขอนแก่น!M244"")"),0)</f>
        <v>0</v>
      </c>
      <c r="G35" s="219">
        <f t="shared" ca="1" si="1"/>
        <v>0</v>
      </c>
      <c r="H35" s="218">
        <v>0</v>
      </c>
      <c r="I35" s="219">
        <v>0</v>
      </c>
      <c r="J35" s="219">
        <f t="shared" si="3"/>
        <v>0</v>
      </c>
      <c r="K35" s="220">
        <f ca="1">IFERROR(__xludf.DUMMYFUNCTION("IMPORTRANGE(""https://docs.google.com/spreadsheets/d/1C3CXT74ZlgGe6_JY_1olB1XN4rF0dxEuIIF-xsYjHgg/edit?usp=sharing"",""งบกองทุน!H39"")"),55)</f>
        <v>55</v>
      </c>
      <c r="L35" s="218">
        <f t="shared" ca="1" si="59"/>
        <v>0</v>
      </c>
      <c r="M35" s="219">
        <f t="shared" ca="1" si="5"/>
        <v>0</v>
      </c>
      <c r="N35" s="218">
        <f ca="1">IFERROR(__xludf.DUMMYFUNCTION("IMPORTRANGE(""https://docs.google.com/spreadsheets/d/1XL5vhW3sbDhbH9Cz0tuDiY8C3ctxq1tqvaCgkFb8cCA/edit?usp=sharing"",""ขอนแก่น!j265"")"),0)</f>
        <v>0</v>
      </c>
      <c r="O35" s="218">
        <f ca="1">IFERROR(__xludf.DUMMYFUNCTION("IMPORTRANGE(""https://docs.google.com/spreadsheets/d/1XL5vhW3sbDhbH9Cz0tuDiY8C3ctxq1tqvaCgkFb8cCA/edit?usp=sharing"",""ขอนแก่น!j267"")"),0)</f>
        <v>0</v>
      </c>
      <c r="P35" s="218">
        <v>0</v>
      </c>
      <c r="Q35" s="218">
        <v>0</v>
      </c>
      <c r="R35" s="219">
        <f t="shared" si="7"/>
        <v>0</v>
      </c>
      <c r="S35" s="220">
        <f t="shared" si="60"/>
        <v>95</v>
      </c>
      <c r="T35" s="218">
        <f t="shared" ca="1" si="52"/>
        <v>0</v>
      </c>
      <c r="U35" s="221">
        <f t="shared" ca="1" si="9"/>
        <v>0</v>
      </c>
      <c r="V35" s="220">
        <v>60</v>
      </c>
      <c r="W35" s="218">
        <f ca="1">IFERROR(__xludf.DUMMYFUNCTION("IMPORTRANGE(""https://docs.google.com/spreadsheets/d/1XL5vhW3sbDhbH9Cz0tuDiY8C3ctxq1tqvaCgkFb8cCA/edit?usp=sharing"",""ขอนแก่น!j271"")"),0)</f>
        <v>0</v>
      </c>
      <c r="X35" s="221">
        <f t="shared" ca="1" si="11"/>
        <v>0</v>
      </c>
      <c r="Y35" s="220">
        <v>35</v>
      </c>
      <c r="Z35" s="218">
        <f ca="1">IFERROR(__xludf.DUMMYFUNCTION("IMPORTRANGE(""https://docs.google.com/spreadsheets/d/1XL5vhW3sbDhbH9Cz0tuDiY8C3ctxq1tqvaCgkFb8cCA/edit?usp=sharing"",""ขอนแก่น!j272"")"),0)</f>
        <v>0</v>
      </c>
      <c r="AA35" s="221">
        <f t="shared" ca="1" si="13"/>
        <v>0</v>
      </c>
      <c r="AB35" s="184"/>
    </row>
    <row r="36" spans="1:28" ht="24" customHeight="1" x14ac:dyDescent="0.5">
      <c r="A36" s="546">
        <v>3</v>
      </c>
      <c r="B36" s="194" t="s">
        <v>51</v>
      </c>
      <c r="C36" s="217">
        <f t="shared" si="58"/>
        <v>0</v>
      </c>
      <c r="D36" s="218">
        <v>0</v>
      </c>
      <c r="E36" s="218">
        <v>0</v>
      </c>
      <c r="F36" s="219">
        <f ca="1">IFERROR(__xludf.DUMMYFUNCTION("IMPORTRANGE(""https://docs.google.com/spreadsheets/d/1XL5vhW3sbDhbH9Cz0tuDiY8C3ctxq1tqvaCgkFb8cCA/edit?usp=sharing"",""ชัยภูมิ!M244"")"),0)</f>
        <v>0</v>
      </c>
      <c r="G36" s="219">
        <f t="shared" si="1"/>
        <v>0</v>
      </c>
      <c r="H36" s="218">
        <v>0</v>
      </c>
      <c r="I36" s="219">
        <v>0</v>
      </c>
      <c r="J36" s="219">
        <f t="shared" si="3"/>
        <v>0</v>
      </c>
      <c r="K36" s="220">
        <f ca="1">IFERROR(__xludf.DUMMYFUNCTION("IMPORTRANGE(""https://docs.google.com/spreadsheets/d/1C3CXT74ZlgGe6_JY_1olB1XN4rF0dxEuIIF-xsYjHgg/edit?usp=sharing"",""งบกองทุน!H40"")"),0)</f>
        <v>0</v>
      </c>
      <c r="L36" s="218">
        <f t="shared" ca="1" si="59"/>
        <v>0</v>
      </c>
      <c r="M36" s="219">
        <f t="shared" ca="1" si="5"/>
        <v>0</v>
      </c>
      <c r="N36" s="218">
        <f ca="1">IFERROR(__xludf.DUMMYFUNCTION("IMPORTRANGE(""https://docs.google.com/spreadsheets/d/1XL5vhW3sbDhbH9Cz0tuDiY8C3ctxq1tqvaCgkFb8cCA/edit?usp=sharing"",""ชัยภูมิ!j265"")"),0)</f>
        <v>0</v>
      </c>
      <c r="O36" s="218">
        <f ca="1">IFERROR(__xludf.DUMMYFUNCTION("IMPORTRANGE(""https://docs.google.com/spreadsheets/d/1XL5vhW3sbDhbH9Cz0tuDiY8C3ctxq1tqvaCgkFb8cCA/edit?usp=sharing"",""ชัยภูมิ!j267"")"),0)</f>
        <v>0</v>
      </c>
      <c r="P36" s="218">
        <v>0</v>
      </c>
      <c r="Q36" s="218">
        <v>0</v>
      </c>
      <c r="R36" s="219">
        <f t="shared" si="7"/>
        <v>0</v>
      </c>
      <c r="S36" s="220">
        <f t="shared" si="60"/>
        <v>0</v>
      </c>
      <c r="T36" s="218">
        <f t="shared" ca="1" si="52"/>
        <v>0</v>
      </c>
      <c r="U36" s="221">
        <f t="shared" si="9"/>
        <v>0</v>
      </c>
      <c r="V36" s="220">
        <v>0</v>
      </c>
      <c r="W36" s="218">
        <f ca="1">IFERROR(__xludf.DUMMYFUNCTION("IMPORTRANGE(""https://docs.google.com/spreadsheets/d/1XL5vhW3sbDhbH9Cz0tuDiY8C3ctxq1tqvaCgkFb8cCA/edit?usp=sharing"",""ชัยภูมิ!j271"")"),0)</f>
        <v>0</v>
      </c>
      <c r="X36" s="221">
        <f t="shared" si="11"/>
        <v>0</v>
      </c>
      <c r="Y36" s="220">
        <v>0</v>
      </c>
      <c r="Z36" s="218">
        <f ca="1">IFERROR(__xludf.DUMMYFUNCTION("IMPORTRANGE(""https://docs.google.com/spreadsheets/d/1XL5vhW3sbDhbH9Cz0tuDiY8C3ctxq1tqvaCgkFb8cCA/edit?usp=sharing"",""ชัยภูมิ!j272"")"),0)</f>
        <v>0</v>
      </c>
      <c r="AA36" s="221">
        <f t="shared" si="13"/>
        <v>0</v>
      </c>
      <c r="AB36" s="184"/>
    </row>
    <row r="37" spans="1:28" ht="24" customHeight="1" x14ac:dyDescent="0.5">
      <c r="A37" s="546">
        <v>4</v>
      </c>
      <c r="B37" s="194" t="s">
        <v>52</v>
      </c>
      <c r="C37" s="217">
        <f t="shared" si="58"/>
        <v>300160</v>
      </c>
      <c r="D37" s="218">
        <v>0</v>
      </c>
      <c r="E37" s="218">
        <v>300160</v>
      </c>
      <c r="F37" s="219">
        <f ca="1">IFERROR(__xludf.DUMMYFUNCTION("IMPORTRANGE(""https://docs.google.com/spreadsheets/d/1XL5vhW3sbDhbH9Cz0tuDiY8C3ctxq1tqvaCgkFb8cCA/edit?usp=sharing"",""นครพนม!M244"")"),8871)</f>
        <v>8871</v>
      </c>
      <c r="G37" s="219">
        <f t="shared" ca="1" si="1"/>
        <v>2.9554237739872069</v>
      </c>
      <c r="H37" s="218">
        <v>0</v>
      </c>
      <c r="I37" s="219">
        <v>0</v>
      </c>
      <c r="J37" s="219">
        <f t="shared" si="3"/>
        <v>0</v>
      </c>
      <c r="K37" s="220">
        <f ca="1">IFERROR(__xludf.DUMMYFUNCTION("IMPORTRANGE(""https://docs.google.com/spreadsheets/d/1C3CXT74ZlgGe6_JY_1olB1XN4rF0dxEuIIF-xsYjHgg/edit?usp=sharing"",""งบกองทุน!H41"")"),40)</f>
        <v>40</v>
      </c>
      <c r="L37" s="218">
        <f t="shared" ca="1" si="59"/>
        <v>0</v>
      </c>
      <c r="M37" s="219">
        <f t="shared" ca="1" si="5"/>
        <v>0</v>
      </c>
      <c r="N37" s="218">
        <f ca="1">IFERROR(__xludf.DUMMYFUNCTION("IMPORTRANGE(""https://docs.google.com/spreadsheets/d/1XL5vhW3sbDhbH9Cz0tuDiY8C3ctxq1tqvaCgkFb8cCA/edit?usp=sharing"",""นครพนม!j265"")"),0)</f>
        <v>0</v>
      </c>
      <c r="O37" s="218">
        <f ca="1">IFERROR(__xludf.DUMMYFUNCTION("IMPORTRANGE(""https://docs.google.com/spreadsheets/d/1XL5vhW3sbDhbH9Cz0tuDiY8C3ctxq1tqvaCgkFb8cCA/edit?usp=sharing"",""นครพนม!j267"")"),0)</f>
        <v>0</v>
      </c>
      <c r="P37" s="218">
        <v>0</v>
      </c>
      <c r="Q37" s="218">
        <v>0</v>
      </c>
      <c r="R37" s="219">
        <f t="shared" si="7"/>
        <v>0</v>
      </c>
      <c r="S37" s="220">
        <f t="shared" si="60"/>
        <v>80</v>
      </c>
      <c r="T37" s="218">
        <f t="shared" ca="1" si="52"/>
        <v>0</v>
      </c>
      <c r="U37" s="221">
        <f t="shared" ca="1" si="9"/>
        <v>0</v>
      </c>
      <c r="V37" s="220">
        <v>20</v>
      </c>
      <c r="W37" s="218">
        <f ca="1">IFERROR(__xludf.DUMMYFUNCTION("IMPORTRANGE(""https://docs.google.com/spreadsheets/d/1XL5vhW3sbDhbH9Cz0tuDiY8C3ctxq1tqvaCgkFb8cCA/edit?usp=sharing"",""นครพนม!j271"")"),0)</f>
        <v>0</v>
      </c>
      <c r="X37" s="221">
        <f t="shared" ca="1" si="11"/>
        <v>0</v>
      </c>
      <c r="Y37" s="220">
        <v>60</v>
      </c>
      <c r="Z37" s="218">
        <f ca="1">IFERROR(__xludf.DUMMYFUNCTION("IMPORTRANGE(""https://docs.google.com/spreadsheets/d/1XL5vhW3sbDhbH9Cz0tuDiY8C3ctxq1tqvaCgkFb8cCA/edit?usp=sharing"",""นครพนม!j272"")"),0)</f>
        <v>0</v>
      </c>
      <c r="AA37" s="221">
        <f t="shared" ca="1" si="13"/>
        <v>0</v>
      </c>
      <c r="AB37" s="184"/>
    </row>
    <row r="38" spans="1:28" ht="24" customHeight="1" x14ac:dyDescent="0.5">
      <c r="A38" s="546">
        <v>5</v>
      </c>
      <c r="B38" s="194" t="s">
        <v>53</v>
      </c>
      <c r="C38" s="217">
        <f t="shared" si="58"/>
        <v>529200</v>
      </c>
      <c r="D38" s="218">
        <v>0</v>
      </c>
      <c r="E38" s="218">
        <v>529200</v>
      </c>
      <c r="F38" s="219">
        <f ca="1">IFERROR(__xludf.DUMMYFUNCTION("IMPORTRANGE(""https://docs.google.com/spreadsheets/d/1XL5vhW3sbDhbH9Cz0tuDiY8C3ctxq1tqvaCgkFb8cCA/edit?usp=sharing"",""นครราชสีมา!M244"")"),0)</f>
        <v>0</v>
      </c>
      <c r="G38" s="219">
        <f t="shared" ca="1" si="1"/>
        <v>0</v>
      </c>
      <c r="H38" s="218">
        <v>0</v>
      </c>
      <c r="I38" s="219">
        <v>0</v>
      </c>
      <c r="J38" s="219">
        <f t="shared" si="3"/>
        <v>0</v>
      </c>
      <c r="K38" s="220">
        <f ca="1">IFERROR(__xludf.DUMMYFUNCTION("IMPORTRANGE(""https://docs.google.com/spreadsheets/d/1C3CXT74ZlgGe6_JY_1olB1XN4rF0dxEuIIF-xsYjHgg/edit?usp=sharing"",""งบกองทุน!H42"")"),100)</f>
        <v>100</v>
      </c>
      <c r="L38" s="218">
        <f t="shared" ca="1" si="59"/>
        <v>0</v>
      </c>
      <c r="M38" s="219">
        <f t="shared" ca="1" si="5"/>
        <v>0</v>
      </c>
      <c r="N38" s="218">
        <f ca="1">IFERROR(__xludf.DUMMYFUNCTION("IMPORTRANGE(""https://docs.google.com/spreadsheets/d/1XL5vhW3sbDhbH9Cz0tuDiY8C3ctxq1tqvaCgkFb8cCA/edit?usp=sharing"",""นครราชสีมา!j265"")"),100)</f>
        <v>100</v>
      </c>
      <c r="O38" s="218" t="str">
        <f ca="1">IFERROR(__xludf.DUMMYFUNCTION("IMPORTRANGE(""https://docs.google.com/spreadsheets/d/1XL5vhW3sbDhbH9Cz0tuDiY8C3ctxq1tqvaCgkFb8cCA/edit?usp=sharing"",""นครราชสีมา!j267"")"),"")</f>
        <v/>
      </c>
      <c r="P38" s="218">
        <v>0</v>
      </c>
      <c r="Q38" s="218">
        <v>0</v>
      </c>
      <c r="R38" s="219">
        <f t="shared" si="7"/>
        <v>0</v>
      </c>
      <c r="S38" s="220">
        <f t="shared" si="60"/>
        <v>200</v>
      </c>
      <c r="T38" s="218">
        <f t="shared" ca="1" si="52"/>
        <v>0</v>
      </c>
      <c r="U38" s="221">
        <f t="shared" ca="1" si="9"/>
        <v>0</v>
      </c>
      <c r="V38" s="220">
        <v>140</v>
      </c>
      <c r="W38" s="218">
        <f ca="1">IFERROR(__xludf.DUMMYFUNCTION("IMPORTRANGE(""https://docs.google.com/spreadsheets/d/1XL5vhW3sbDhbH9Cz0tuDiY8C3ctxq1tqvaCgkFb8cCA/edit?usp=sharing"",""นครราชสีมา!j271"")"),0)</f>
        <v>0</v>
      </c>
      <c r="X38" s="221">
        <f t="shared" ca="1" si="11"/>
        <v>0</v>
      </c>
      <c r="Y38" s="220">
        <v>60</v>
      </c>
      <c r="Z38" s="218">
        <f ca="1">IFERROR(__xludf.DUMMYFUNCTION("IMPORTRANGE(""https://docs.google.com/spreadsheets/d/1XL5vhW3sbDhbH9Cz0tuDiY8C3ctxq1tqvaCgkFb8cCA/edit?usp=sharing"",""นครราชสีมา!j272"")"),0)</f>
        <v>0</v>
      </c>
      <c r="AA38" s="221">
        <f t="shared" ca="1" si="13"/>
        <v>0</v>
      </c>
      <c r="AB38" s="184"/>
    </row>
    <row r="39" spans="1:28" ht="24" customHeight="1" x14ac:dyDescent="0.5">
      <c r="A39" s="546">
        <v>6</v>
      </c>
      <c r="B39" s="194" t="s">
        <v>54</v>
      </c>
      <c r="C39" s="217">
        <f t="shared" si="58"/>
        <v>452180</v>
      </c>
      <c r="D39" s="218">
        <v>0</v>
      </c>
      <c r="E39" s="218">
        <v>452180</v>
      </c>
      <c r="F39" s="219">
        <f ca="1">IFERROR(__xludf.DUMMYFUNCTION("IMPORTRANGE(""https://docs.google.com/spreadsheets/d/1XL5vhW3sbDhbH9Cz0tuDiY8C3ctxq1tqvaCgkFb8cCA/edit?usp=sharing"",""บึงกาฬ!M244"")"),0)</f>
        <v>0</v>
      </c>
      <c r="G39" s="219">
        <f t="shared" ca="1" si="1"/>
        <v>0</v>
      </c>
      <c r="H39" s="218">
        <v>0</v>
      </c>
      <c r="I39" s="219">
        <v>0</v>
      </c>
      <c r="J39" s="219">
        <f t="shared" si="3"/>
        <v>0</v>
      </c>
      <c r="K39" s="220">
        <f ca="1">IFERROR(__xludf.DUMMYFUNCTION("IMPORTRANGE(""https://docs.google.com/spreadsheets/d/1C3CXT74ZlgGe6_JY_1olB1XN4rF0dxEuIIF-xsYjHgg/edit?usp=sharing"",""งบกองทุน!H43"")"),90)</f>
        <v>90</v>
      </c>
      <c r="L39" s="218">
        <f t="shared" ca="1" si="59"/>
        <v>0</v>
      </c>
      <c r="M39" s="219">
        <f t="shared" ca="1" si="5"/>
        <v>0</v>
      </c>
      <c r="N39" s="218">
        <f ca="1">IFERROR(__xludf.DUMMYFUNCTION("IMPORTRANGE(""https://docs.google.com/spreadsheets/d/1XL5vhW3sbDhbH9Cz0tuDiY8C3ctxq1tqvaCgkFb8cCA/edit?usp=sharing"",""บึงกาฬ!j265"")"),0)</f>
        <v>0</v>
      </c>
      <c r="O39" s="218">
        <f ca="1">IFERROR(__xludf.DUMMYFUNCTION("IMPORTRANGE(""https://docs.google.com/spreadsheets/d/1XL5vhW3sbDhbH9Cz0tuDiY8C3ctxq1tqvaCgkFb8cCA/edit?usp=sharing"",""บึงกาฬ!j267"")"),0)</f>
        <v>0</v>
      </c>
      <c r="P39" s="218">
        <v>0</v>
      </c>
      <c r="Q39" s="218">
        <v>0</v>
      </c>
      <c r="R39" s="219">
        <f t="shared" si="7"/>
        <v>0</v>
      </c>
      <c r="S39" s="220">
        <f t="shared" si="60"/>
        <v>150</v>
      </c>
      <c r="T39" s="218">
        <f t="shared" ca="1" si="52"/>
        <v>0</v>
      </c>
      <c r="U39" s="221">
        <f t="shared" ca="1" si="9"/>
        <v>0</v>
      </c>
      <c r="V39" s="220">
        <v>90</v>
      </c>
      <c r="W39" s="218">
        <f ca="1">IFERROR(__xludf.DUMMYFUNCTION("IMPORTRANGE(""https://docs.google.com/spreadsheets/d/1XL5vhW3sbDhbH9Cz0tuDiY8C3ctxq1tqvaCgkFb8cCA/edit?usp=sharing"",""บึงกาฬ!j271"")"),0)</f>
        <v>0</v>
      </c>
      <c r="X39" s="221">
        <f t="shared" ca="1" si="11"/>
        <v>0</v>
      </c>
      <c r="Y39" s="220">
        <v>60</v>
      </c>
      <c r="Z39" s="218">
        <f ca="1">IFERROR(__xludf.DUMMYFUNCTION("IMPORTRANGE(""https://docs.google.com/spreadsheets/d/1XL5vhW3sbDhbH9Cz0tuDiY8C3ctxq1tqvaCgkFb8cCA/edit?usp=sharing"",""บึงกาฬ!j272"")"),0)</f>
        <v>0</v>
      </c>
      <c r="AA39" s="221">
        <f t="shared" ca="1" si="13"/>
        <v>0</v>
      </c>
      <c r="AB39" s="184"/>
    </row>
    <row r="40" spans="1:28" ht="24" customHeight="1" x14ac:dyDescent="0.5">
      <c r="A40" s="546">
        <v>7</v>
      </c>
      <c r="B40" s="194" t="s">
        <v>55</v>
      </c>
      <c r="C40" s="217">
        <f t="shared" si="58"/>
        <v>810030</v>
      </c>
      <c r="D40" s="218">
        <v>0</v>
      </c>
      <c r="E40" s="218">
        <v>810030</v>
      </c>
      <c r="F40" s="219">
        <f ca="1">IFERROR(__xludf.DUMMYFUNCTION("IMPORTRANGE(""https://docs.google.com/spreadsheets/d/1XL5vhW3sbDhbH9Cz0tuDiY8C3ctxq1tqvaCgkFb8cCA/edit?usp=sharing"",""บุรีรัมย์!M244"")"),9899.99)</f>
        <v>9899.99</v>
      </c>
      <c r="G40" s="219">
        <f t="shared" ca="1" si="1"/>
        <v>1.2221757218868436</v>
      </c>
      <c r="H40" s="218">
        <v>0</v>
      </c>
      <c r="I40" s="219">
        <v>0</v>
      </c>
      <c r="J40" s="219">
        <f t="shared" si="3"/>
        <v>0</v>
      </c>
      <c r="K40" s="220">
        <f ca="1">IFERROR(__xludf.DUMMYFUNCTION("IMPORTRANGE(""https://docs.google.com/spreadsheets/d/1C3CXT74ZlgGe6_JY_1olB1XN4rF0dxEuIIF-xsYjHgg/edit?usp=sharing"",""งบกองทุน!H44"")"),55)</f>
        <v>55</v>
      </c>
      <c r="L40" s="218">
        <f t="shared" ca="1" si="59"/>
        <v>0</v>
      </c>
      <c r="M40" s="219">
        <f t="shared" ca="1" si="5"/>
        <v>0</v>
      </c>
      <c r="N40" s="218">
        <f ca="1">IFERROR(__xludf.DUMMYFUNCTION("IMPORTRANGE(""https://docs.google.com/spreadsheets/d/1XL5vhW3sbDhbH9Cz0tuDiY8C3ctxq1tqvaCgkFb8cCA/edit?usp=sharing"",""บุรีรัมย์!j265"")"),0)</f>
        <v>0</v>
      </c>
      <c r="O40" s="218">
        <f ca="1">IFERROR(__xludf.DUMMYFUNCTION("IMPORTRANGE(""https://docs.google.com/spreadsheets/d/1XL5vhW3sbDhbH9Cz0tuDiY8C3ctxq1tqvaCgkFb8cCA/edit?usp=sharing"",""บุรีรัมย์!j267"")"),0)</f>
        <v>0</v>
      </c>
      <c r="P40" s="218">
        <v>0</v>
      </c>
      <c r="Q40" s="218">
        <v>0</v>
      </c>
      <c r="R40" s="219">
        <f t="shared" si="7"/>
        <v>0</v>
      </c>
      <c r="S40" s="220">
        <f t="shared" si="60"/>
        <v>550</v>
      </c>
      <c r="T40" s="218">
        <f t="shared" ca="1" si="52"/>
        <v>0</v>
      </c>
      <c r="U40" s="221">
        <f t="shared" ca="1" si="9"/>
        <v>0</v>
      </c>
      <c r="V40" s="220">
        <v>550</v>
      </c>
      <c r="W40" s="218">
        <f ca="1">IFERROR(__xludf.DUMMYFUNCTION("IMPORTRANGE(""https://docs.google.com/spreadsheets/d/1XL5vhW3sbDhbH9Cz0tuDiY8C3ctxq1tqvaCgkFb8cCA/edit?usp=sharing"",""บุรีรัมย์!j271"")"),0)</f>
        <v>0</v>
      </c>
      <c r="X40" s="221">
        <f t="shared" ca="1" si="11"/>
        <v>0</v>
      </c>
      <c r="Y40" s="220">
        <v>0</v>
      </c>
      <c r="Z40" s="218">
        <f ca="1">IFERROR(__xludf.DUMMYFUNCTION("IMPORTRANGE(""https://docs.google.com/spreadsheets/d/1XL5vhW3sbDhbH9Cz0tuDiY8C3ctxq1tqvaCgkFb8cCA/edit?usp=sharing"",""บุรีรัมย์!j272"")"),0)</f>
        <v>0</v>
      </c>
      <c r="AA40" s="221">
        <f t="shared" si="13"/>
        <v>0</v>
      </c>
      <c r="AB40" s="184"/>
    </row>
    <row r="41" spans="1:28" ht="24" customHeight="1" x14ac:dyDescent="0.5">
      <c r="A41" s="546">
        <v>8</v>
      </c>
      <c r="B41" s="194" t="s">
        <v>56</v>
      </c>
      <c r="C41" s="217">
        <f t="shared" si="58"/>
        <v>616300</v>
      </c>
      <c r="D41" s="218">
        <v>0</v>
      </c>
      <c r="E41" s="218">
        <v>616300</v>
      </c>
      <c r="F41" s="219">
        <f ca="1">IFERROR(__xludf.DUMMYFUNCTION("IMPORTRANGE(""https://docs.google.com/spreadsheets/d/1XL5vhW3sbDhbH9Cz0tuDiY8C3ctxq1tqvaCgkFb8cCA/edit?usp=sharing"",""มหาสารคาม!M244"")"),9935.48)</f>
        <v>9935.48</v>
      </c>
      <c r="G41" s="219">
        <f t="shared" ca="1" si="1"/>
        <v>1.6121174752555574</v>
      </c>
      <c r="H41" s="218">
        <v>0</v>
      </c>
      <c r="I41" s="219">
        <v>0</v>
      </c>
      <c r="J41" s="219">
        <f t="shared" si="3"/>
        <v>0</v>
      </c>
      <c r="K41" s="220">
        <f ca="1">IFERROR(__xludf.DUMMYFUNCTION("IMPORTRANGE(""https://docs.google.com/spreadsheets/d/1C3CXT74ZlgGe6_JY_1olB1XN4rF0dxEuIIF-xsYjHgg/edit?usp=sharing"",""งบกองทุน!H45"")"),140)</f>
        <v>140</v>
      </c>
      <c r="L41" s="218">
        <f t="shared" ca="1" si="59"/>
        <v>0</v>
      </c>
      <c r="M41" s="219">
        <f t="shared" ca="1" si="5"/>
        <v>0</v>
      </c>
      <c r="N41" s="218">
        <f ca="1">IFERROR(__xludf.DUMMYFUNCTION("IMPORTRANGE(""https://docs.google.com/spreadsheets/d/1XL5vhW3sbDhbH9Cz0tuDiY8C3ctxq1tqvaCgkFb8cCA/edit?usp=sharing"",""มหาสารคาม!j265"")"),0)</f>
        <v>0</v>
      </c>
      <c r="O41" s="218">
        <f ca="1">IFERROR(__xludf.DUMMYFUNCTION("IMPORTRANGE(""https://docs.google.com/spreadsheets/d/1XL5vhW3sbDhbH9Cz0tuDiY8C3ctxq1tqvaCgkFb8cCA/edit?usp=sharing"",""มหาสารคาม!j267"")"),0)</f>
        <v>0</v>
      </c>
      <c r="P41" s="218">
        <v>0</v>
      </c>
      <c r="Q41" s="218">
        <v>0</v>
      </c>
      <c r="R41" s="219">
        <f t="shared" si="7"/>
        <v>0</v>
      </c>
      <c r="S41" s="220">
        <f t="shared" si="60"/>
        <v>300</v>
      </c>
      <c r="T41" s="218">
        <f t="shared" ca="1" si="52"/>
        <v>0</v>
      </c>
      <c r="U41" s="221">
        <f t="shared" ca="1" si="9"/>
        <v>0</v>
      </c>
      <c r="V41" s="220">
        <v>25</v>
      </c>
      <c r="W41" s="218">
        <f ca="1">IFERROR(__xludf.DUMMYFUNCTION("IMPORTRANGE(""https://docs.google.com/spreadsheets/d/1XL5vhW3sbDhbH9Cz0tuDiY8C3ctxq1tqvaCgkFb8cCA/edit?usp=sharing"",""มหาสารคาม!j271"")"),0)</f>
        <v>0</v>
      </c>
      <c r="X41" s="221">
        <f t="shared" ca="1" si="11"/>
        <v>0</v>
      </c>
      <c r="Y41" s="220">
        <v>275</v>
      </c>
      <c r="Z41" s="218">
        <f ca="1">IFERROR(__xludf.DUMMYFUNCTION("IMPORTRANGE(""https://docs.google.com/spreadsheets/d/1XL5vhW3sbDhbH9Cz0tuDiY8C3ctxq1tqvaCgkFb8cCA/edit?usp=sharing"",""มหาสารคาม!j272"")"),0)</f>
        <v>0</v>
      </c>
      <c r="AA41" s="221">
        <f t="shared" ca="1" si="13"/>
        <v>0</v>
      </c>
      <c r="AB41" s="184"/>
    </row>
    <row r="42" spans="1:28" ht="24" customHeight="1" x14ac:dyDescent="0.5">
      <c r="A42" s="546">
        <v>9</v>
      </c>
      <c r="B42" s="194" t="s">
        <v>57</v>
      </c>
      <c r="C42" s="217">
        <f t="shared" si="58"/>
        <v>445930</v>
      </c>
      <c r="D42" s="218">
        <v>0</v>
      </c>
      <c r="E42" s="218">
        <v>445930</v>
      </c>
      <c r="F42" s="219">
        <f ca="1">IFERROR(__xludf.DUMMYFUNCTION("IMPORTRANGE(""https://docs.google.com/spreadsheets/d/1XL5vhW3sbDhbH9Cz0tuDiY8C3ctxq1tqvaCgkFb8cCA/edit?usp=sharing"",""มุกดาหาร!M244"")"),0)</f>
        <v>0</v>
      </c>
      <c r="G42" s="219">
        <f t="shared" ca="1" si="1"/>
        <v>0</v>
      </c>
      <c r="H42" s="218">
        <v>0</v>
      </c>
      <c r="I42" s="219">
        <v>0</v>
      </c>
      <c r="J42" s="219">
        <f t="shared" si="3"/>
        <v>0</v>
      </c>
      <c r="K42" s="220">
        <f ca="1">IFERROR(__xludf.DUMMYFUNCTION("IMPORTRANGE(""https://docs.google.com/spreadsheets/d/1C3CXT74ZlgGe6_JY_1olB1XN4rF0dxEuIIF-xsYjHgg/edit?usp=sharing"",""งบกองทุน!H46"")"),65)</f>
        <v>65</v>
      </c>
      <c r="L42" s="218">
        <f t="shared" ca="1" si="59"/>
        <v>0</v>
      </c>
      <c r="M42" s="219">
        <f t="shared" ca="1" si="5"/>
        <v>0</v>
      </c>
      <c r="N42" s="218">
        <f ca="1">IFERROR(__xludf.DUMMYFUNCTION("IMPORTRANGE(""https://docs.google.com/spreadsheets/d/1XL5vhW3sbDhbH9Cz0tuDiY8C3ctxq1tqvaCgkFb8cCA/edit?usp=sharing"",""มุกดาหาร!j265"")"),0)</f>
        <v>0</v>
      </c>
      <c r="O42" s="218">
        <f ca="1">IFERROR(__xludf.DUMMYFUNCTION("IMPORTRANGE(""https://docs.google.com/spreadsheets/d/1XL5vhW3sbDhbH9Cz0tuDiY8C3ctxq1tqvaCgkFb8cCA/edit?usp=sharing"",""มุกดาหาร!j267"")"),0)</f>
        <v>0</v>
      </c>
      <c r="P42" s="218">
        <v>0</v>
      </c>
      <c r="Q42" s="218">
        <v>0</v>
      </c>
      <c r="R42" s="219">
        <f t="shared" si="7"/>
        <v>0</v>
      </c>
      <c r="S42" s="220">
        <f t="shared" si="60"/>
        <v>190</v>
      </c>
      <c r="T42" s="218">
        <f t="shared" ca="1" si="52"/>
        <v>0</v>
      </c>
      <c r="U42" s="221">
        <f t="shared" ca="1" si="9"/>
        <v>0</v>
      </c>
      <c r="V42" s="220">
        <v>100</v>
      </c>
      <c r="W42" s="218">
        <f ca="1">IFERROR(__xludf.DUMMYFUNCTION("IMPORTRANGE(""https://docs.google.com/spreadsheets/d/1XL5vhW3sbDhbH9Cz0tuDiY8C3ctxq1tqvaCgkFb8cCA/edit?usp=sharing"",""มุกดาหาร!j271"")"),0)</f>
        <v>0</v>
      </c>
      <c r="X42" s="221">
        <f t="shared" ca="1" si="11"/>
        <v>0</v>
      </c>
      <c r="Y42" s="220">
        <v>90</v>
      </c>
      <c r="Z42" s="218">
        <f ca="1">IFERROR(__xludf.DUMMYFUNCTION("IMPORTRANGE(""https://docs.google.com/spreadsheets/d/1XL5vhW3sbDhbH9Cz0tuDiY8C3ctxq1tqvaCgkFb8cCA/edit?usp=sharing"",""มุกดาหาร!j272"")"),0)</f>
        <v>0</v>
      </c>
      <c r="AA42" s="221">
        <f t="shared" ca="1" si="13"/>
        <v>0</v>
      </c>
      <c r="AB42" s="184"/>
    </row>
    <row r="43" spans="1:28" ht="24" customHeight="1" x14ac:dyDescent="0.5">
      <c r="A43" s="546">
        <v>10</v>
      </c>
      <c r="B43" s="194" t="s">
        <v>58</v>
      </c>
      <c r="C43" s="217">
        <f t="shared" si="58"/>
        <v>667900</v>
      </c>
      <c r="D43" s="218">
        <v>0</v>
      </c>
      <c r="E43" s="218">
        <v>667900</v>
      </c>
      <c r="F43" s="219">
        <f ca="1">IFERROR(__xludf.DUMMYFUNCTION("IMPORTRANGE(""https://docs.google.com/spreadsheets/d/1XL5vhW3sbDhbH9Cz0tuDiY8C3ctxq1tqvaCgkFb8cCA/edit?usp=sharing"",""ยโสธร!M244"")"),0)</f>
        <v>0</v>
      </c>
      <c r="G43" s="219">
        <f t="shared" ca="1" si="1"/>
        <v>0</v>
      </c>
      <c r="H43" s="218">
        <v>0</v>
      </c>
      <c r="I43" s="219">
        <v>0</v>
      </c>
      <c r="J43" s="219">
        <f t="shared" si="3"/>
        <v>0</v>
      </c>
      <c r="K43" s="220">
        <f ca="1">IFERROR(__xludf.DUMMYFUNCTION("IMPORTRANGE(""https://docs.google.com/spreadsheets/d/1C3CXT74ZlgGe6_JY_1olB1XN4rF0dxEuIIF-xsYjHgg/edit?usp=sharing"",""งบกองทุน!H47"")"),130)</f>
        <v>130</v>
      </c>
      <c r="L43" s="218">
        <f t="shared" ca="1" si="59"/>
        <v>0</v>
      </c>
      <c r="M43" s="219">
        <f t="shared" ca="1" si="5"/>
        <v>0</v>
      </c>
      <c r="N43" s="218">
        <f ca="1">IFERROR(__xludf.DUMMYFUNCTION("IMPORTRANGE(""https://docs.google.com/spreadsheets/d/1XL5vhW3sbDhbH9Cz0tuDiY8C3ctxq1tqvaCgkFb8cCA/edit?usp=sharing"",""ยโสธร!j265"")"),0)</f>
        <v>0</v>
      </c>
      <c r="O43" s="218">
        <f ca="1">IFERROR(__xludf.DUMMYFUNCTION("IMPORTRANGE(""https://docs.google.com/spreadsheets/d/1XL5vhW3sbDhbH9Cz0tuDiY8C3ctxq1tqvaCgkFb8cCA/edit?usp=sharing"",""ยโสธร!j267"")"),0)</f>
        <v>0</v>
      </c>
      <c r="P43" s="218">
        <v>0</v>
      </c>
      <c r="Q43" s="218">
        <v>0</v>
      </c>
      <c r="R43" s="219">
        <f t="shared" si="7"/>
        <v>0</v>
      </c>
      <c r="S43" s="220">
        <f t="shared" si="60"/>
        <v>360</v>
      </c>
      <c r="T43" s="218">
        <f t="shared" ca="1" si="52"/>
        <v>0</v>
      </c>
      <c r="U43" s="221">
        <f t="shared" ca="1" si="9"/>
        <v>0</v>
      </c>
      <c r="V43" s="220">
        <v>100</v>
      </c>
      <c r="W43" s="218">
        <f ca="1">IFERROR(__xludf.DUMMYFUNCTION("IMPORTRANGE(""https://docs.google.com/spreadsheets/d/1XL5vhW3sbDhbH9Cz0tuDiY8C3ctxq1tqvaCgkFb8cCA/edit?usp=sharing"",""ยโสธร!j271"")"),0)</f>
        <v>0</v>
      </c>
      <c r="X43" s="221">
        <f t="shared" ca="1" si="11"/>
        <v>0</v>
      </c>
      <c r="Y43" s="220">
        <v>260</v>
      </c>
      <c r="Z43" s="218">
        <f ca="1">IFERROR(__xludf.DUMMYFUNCTION("IMPORTRANGE(""https://docs.google.com/spreadsheets/d/1XL5vhW3sbDhbH9Cz0tuDiY8C3ctxq1tqvaCgkFb8cCA/edit?usp=sharing"",""ยโสธร!j272"")"),0)</f>
        <v>0</v>
      </c>
      <c r="AA43" s="221">
        <f t="shared" ca="1" si="13"/>
        <v>0</v>
      </c>
      <c r="AB43" s="184"/>
    </row>
    <row r="44" spans="1:28" ht="24" customHeight="1" x14ac:dyDescent="0.5">
      <c r="A44" s="546">
        <v>11</v>
      </c>
      <c r="B44" s="194" t="s">
        <v>59</v>
      </c>
      <c r="C44" s="217">
        <f t="shared" si="58"/>
        <v>644830</v>
      </c>
      <c r="D44" s="218">
        <v>0</v>
      </c>
      <c r="E44" s="218">
        <v>644830</v>
      </c>
      <c r="F44" s="219">
        <f ca="1">IFERROR(__xludf.DUMMYFUNCTION("IMPORTRANGE(""https://docs.google.com/spreadsheets/d/1XL5vhW3sbDhbH9Cz0tuDiY8C3ctxq1tqvaCgkFb8cCA/edit?usp=sharing"",""ร้อยเอ็ด!M244"")"),0)</f>
        <v>0</v>
      </c>
      <c r="G44" s="219">
        <f t="shared" ca="1" si="1"/>
        <v>0</v>
      </c>
      <c r="H44" s="218">
        <v>0</v>
      </c>
      <c r="I44" s="219">
        <v>0</v>
      </c>
      <c r="J44" s="219">
        <f t="shared" si="3"/>
        <v>0</v>
      </c>
      <c r="K44" s="220">
        <f ca="1">IFERROR(__xludf.DUMMYFUNCTION("IMPORTRANGE(""https://docs.google.com/spreadsheets/d/1C3CXT74ZlgGe6_JY_1olB1XN4rF0dxEuIIF-xsYjHgg/edit?usp=sharing"",""งบกองทุน!H48"")"),85)</f>
        <v>85</v>
      </c>
      <c r="L44" s="218">
        <f t="shared" ca="1" si="59"/>
        <v>0</v>
      </c>
      <c r="M44" s="219">
        <f t="shared" ca="1" si="5"/>
        <v>0</v>
      </c>
      <c r="N44" s="218">
        <f ca="1">IFERROR(__xludf.DUMMYFUNCTION("IMPORTRANGE(""https://docs.google.com/spreadsheets/d/1XL5vhW3sbDhbH9Cz0tuDiY8C3ctxq1tqvaCgkFb8cCA/edit?usp=sharing"",""ร้อยเอ็ด!j265"")"),0)</f>
        <v>0</v>
      </c>
      <c r="O44" s="218">
        <f ca="1">IFERROR(__xludf.DUMMYFUNCTION("IMPORTRANGE(""https://docs.google.com/spreadsheets/d/1XL5vhW3sbDhbH9Cz0tuDiY8C3ctxq1tqvaCgkFb8cCA/edit?usp=sharing"",""ร้อยเอ็ด!j267"")"),0)</f>
        <v>0</v>
      </c>
      <c r="P44" s="218">
        <v>0</v>
      </c>
      <c r="Q44" s="218">
        <v>0</v>
      </c>
      <c r="R44" s="219">
        <f t="shared" si="7"/>
        <v>0</v>
      </c>
      <c r="S44" s="220">
        <f t="shared" si="60"/>
        <v>403</v>
      </c>
      <c r="T44" s="218">
        <f t="shared" ca="1" si="52"/>
        <v>0</v>
      </c>
      <c r="U44" s="221">
        <f t="shared" ca="1" si="9"/>
        <v>0</v>
      </c>
      <c r="V44" s="220">
        <v>180</v>
      </c>
      <c r="W44" s="218">
        <f ca="1">IFERROR(__xludf.DUMMYFUNCTION("IMPORTRANGE(""https://docs.google.com/spreadsheets/d/1XL5vhW3sbDhbH9Cz0tuDiY8C3ctxq1tqvaCgkFb8cCA/edit?usp=sharing"",""ร้อยเอ็ด!j271"")"),0)</f>
        <v>0</v>
      </c>
      <c r="X44" s="221">
        <f t="shared" ca="1" si="11"/>
        <v>0</v>
      </c>
      <c r="Y44" s="220">
        <v>223</v>
      </c>
      <c r="Z44" s="218">
        <f ca="1">IFERROR(__xludf.DUMMYFUNCTION("IMPORTRANGE(""https://docs.google.com/spreadsheets/d/1XL5vhW3sbDhbH9Cz0tuDiY8C3ctxq1tqvaCgkFb8cCA/edit?usp=sharing"",""ร้อยเอ็ด!j272"")"),0)</f>
        <v>0</v>
      </c>
      <c r="AA44" s="221">
        <f t="shared" ca="1" si="13"/>
        <v>0</v>
      </c>
      <c r="AB44" s="184"/>
    </row>
    <row r="45" spans="1:28" ht="24" customHeight="1" x14ac:dyDescent="0.5">
      <c r="A45" s="546">
        <v>12</v>
      </c>
      <c r="B45" s="194" t="s">
        <v>60</v>
      </c>
      <c r="C45" s="217">
        <f t="shared" si="58"/>
        <v>509680</v>
      </c>
      <c r="D45" s="218">
        <v>0</v>
      </c>
      <c r="E45" s="218">
        <v>509680</v>
      </c>
      <c r="F45" s="219">
        <f ca="1">IFERROR(__xludf.DUMMYFUNCTION("IMPORTRANGE(""https://docs.google.com/spreadsheets/d/1XL5vhW3sbDhbH9Cz0tuDiY8C3ctxq1tqvaCgkFb8cCA/edit?usp=sharing"",""เลย!M244"")"),11000)</f>
        <v>11000</v>
      </c>
      <c r="G45" s="219">
        <f t="shared" ca="1" si="1"/>
        <v>2.158216920420656</v>
      </c>
      <c r="H45" s="218">
        <v>0</v>
      </c>
      <c r="I45" s="219">
        <v>0</v>
      </c>
      <c r="J45" s="219">
        <f t="shared" si="3"/>
        <v>0</v>
      </c>
      <c r="K45" s="220">
        <f ca="1">IFERROR(__xludf.DUMMYFUNCTION("IMPORTRANGE(""https://docs.google.com/spreadsheets/d/1C3CXT74ZlgGe6_JY_1olB1XN4rF0dxEuIIF-xsYjHgg/edit?usp=sharing"",""งบกองทุน!H49"")"),90)</f>
        <v>90</v>
      </c>
      <c r="L45" s="218">
        <f t="shared" ca="1" si="59"/>
        <v>0</v>
      </c>
      <c r="M45" s="219">
        <f t="shared" ca="1" si="5"/>
        <v>0</v>
      </c>
      <c r="N45" s="218">
        <f ca="1">IFERROR(__xludf.DUMMYFUNCTION("IMPORTRANGE(""https://docs.google.com/spreadsheets/d/1XL5vhW3sbDhbH9Cz0tuDiY8C3ctxq1tqvaCgkFb8cCA/edit?usp=sharing"",""เลย!j265"")"),0)</f>
        <v>0</v>
      </c>
      <c r="O45" s="218">
        <f ca="1">IFERROR(__xludf.DUMMYFUNCTION("IMPORTRANGE(""https://docs.google.com/spreadsheets/d/1XL5vhW3sbDhbH9Cz0tuDiY8C3ctxq1tqvaCgkFb8cCA/edit?usp=sharing"",""เลย!j267"")"),0)</f>
        <v>0</v>
      </c>
      <c r="P45" s="218">
        <v>0</v>
      </c>
      <c r="Q45" s="218">
        <v>0</v>
      </c>
      <c r="R45" s="219">
        <f t="shared" si="7"/>
        <v>0</v>
      </c>
      <c r="S45" s="220">
        <f t="shared" si="60"/>
        <v>235</v>
      </c>
      <c r="T45" s="218">
        <f t="shared" ca="1" si="52"/>
        <v>0</v>
      </c>
      <c r="U45" s="221">
        <f t="shared" ca="1" si="9"/>
        <v>0</v>
      </c>
      <c r="V45" s="220">
        <v>100</v>
      </c>
      <c r="W45" s="218">
        <f ca="1">IFERROR(__xludf.DUMMYFUNCTION("IMPORTRANGE(""https://docs.google.com/spreadsheets/d/1XL5vhW3sbDhbH9Cz0tuDiY8C3ctxq1tqvaCgkFb8cCA/edit?usp=sharing"",""เลย!j271"")"),0)</f>
        <v>0</v>
      </c>
      <c r="X45" s="221">
        <f t="shared" ca="1" si="11"/>
        <v>0</v>
      </c>
      <c r="Y45" s="220">
        <v>135</v>
      </c>
      <c r="Z45" s="218">
        <f ca="1">IFERROR(__xludf.DUMMYFUNCTION("IMPORTRANGE(""https://docs.google.com/spreadsheets/d/1XL5vhW3sbDhbH9Cz0tuDiY8C3ctxq1tqvaCgkFb8cCA/edit?usp=sharing"",""เลย!j272"")"),0)</f>
        <v>0</v>
      </c>
      <c r="AA45" s="221">
        <f t="shared" ca="1" si="13"/>
        <v>0</v>
      </c>
      <c r="AB45" s="184"/>
    </row>
    <row r="46" spans="1:28" ht="24" customHeight="1" x14ac:dyDescent="0.5">
      <c r="A46" s="546">
        <v>13</v>
      </c>
      <c r="B46" s="194" t="s">
        <v>61</v>
      </c>
      <c r="C46" s="217">
        <f t="shared" si="58"/>
        <v>373160</v>
      </c>
      <c r="D46" s="218">
        <v>0</v>
      </c>
      <c r="E46" s="218">
        <v>373160</v>
      </c>
      <c r="F46" s="219">
        <f ca="1">IFERROR(__xludf.DUMMYFUNCTION("IMPORTRANGE(""https://docs.google.com/spreadsheets/d/1XL5vhW3sbDhbH9Cz0tuDiY8C3ctxq1tqvaCgkFb8cCA/edit?usp=sharing"",""ศรีสะเกษ!M244"")"),0)</f>
        <v>0</v>
      </c>
      <c r="G46" s="219">
        <f t="shared" ca="1" si="1"/>
        <v>0</v>
      </c>
      <c r="H46" s="218">
        <v>0</v>
      </c>
      <c r="I46" s="219">
        <v>0</v>
      </c>
      <c r="J46" s="219">
        <f t="shared" si="3"/>
        <v>0</v>
      </c>
      <c r="K46" s="220">
        <f ca="1">IFERROR(__xludf.DUMMYFUNCTION("IMPORTRANGE(""https://docs.google.com/spreadsheets/d/1C3CXT74ZlgGe6_JY_1olB1XN4rF0dxEuIIF-xsYjHgg/edit?usp=sharing"",""งบกองทุน!H50"")"),40)</f>
        <v>40</v>
      </c>
      <c r="L46" s="218">
        <f t="shared" ca="1" si="59"/>
        <v>0</v>
      </c>
      <c r="M46" s="219">
        <f t="shared" ca="1" si="5"/>
        <v>0</v>
      </c>
      <c r="N46" s="218">
        <f ca="1">IFERROR(__xludf.DUMMYFUNCTION("IMPORTRANGE(""https://docs.google.com/spreadsheets/d/1XL5vhW3sbDhbH9Cz0tuDiY8C3ctxq1tqvaCgkFb8cCA/edit?usp=sharing"",""ศรีสะเกษ!j265"")"),0)</f>
        <v>0</v>
      </c>
      <c r="O46" s="218">
        <f ca="1">IFERROR(__xludf.DUMMYFUNCTION("IMPORTRANGE(""https://docs.google.com/spreadsheets/d/1XL5vhW3sbDhbH9Cz0tuDiY8C3ctxq1tqvaCgkFb8cCA/edit?usp=sharing"",""ศรีสะเกษ!j267"")"),0)</f>
        <v>0</v>
      </c>
      <c r="P46" s="218">
        <v>0</v>
      </c>
      <c r="Q46" s="218">
        <v>0</v>
      </c>
      <c r="R46" s="219">
        <f t="shared" si="7"/>
        <v>0</v>
      </c>
      <c r="S46" s="220">
        <f t="shared" si="60"/>
        <v>200</v>
      </c>
      <c r="T46" s="218">
        <f t="shared" ca="1" si="52"/>
        <v>0</v>
      </c>
      <c r="U46" s="221">
        <f t="shared" ca="1" si="9"/>
        <v>0</v>
      </c>
      <c r="V46" s="220">
        <v>0</v>
      </c>
      <c r="W46" s="218">
        <f ca="1">IFERROR(__xludf.DUMMYFUNCTION("IMPORTRANGE(""https://docs.google.com/spreadsheets/d/1XL5vhW3sbDhbH9Cz0tuDiY8C3ctxq1tqvaCgkFb8cCA/edit?usp=sharing"",""ศรีสะเกษ!j271"")"),0)</f>
        <v>0</v>
      </c>
      <c r="X46" s="221">
        <f t="shared" si="11"/>
        <v>0</v>
      </c>
      <c r="Y46" s="220">
        <v>200</v>
      </c>
      <c r="Z46" s="218">
        <f ca="1">IFERROR(__xludf.DUMMYFUNCTION("IMPORTRANGE(""https://docs.google.com/spreadsheets/d/1XL5vhW3sbDhbH9Cz0tuDiY8C3ctxq1tqvaCgkFb8cCA/edit?usp=sharing"",""ศรีสะเกษ!j272"")"),0)</f>
        <v>0</v>
      </c>
      <c r="AA46" s="221">
        <f t="shared" ca="1" si="13"/>
        <v>0</v>
      </c>
      <c r="AB46" s="184"/>
    </row>
    <row r="47" spans="1:28" ht="24" customHeight="1" x14ac:dyDescent="0.5">
      <c r="A47" s="546">
        <v>14</v>
      </c>
      <c r="B47" s="194" t="s">
        <v>62</v>
      </c>
      <c r="C47" s="217">
        <f t="shared" si="58"/>
        <v>374170</v>
      </c>
      <c r="D47" s="218">
        <v>0</v>
      </c>
      <c r="E47" s="218">
        <v>374170</v>
      </c>
      <c r="F47" s="219">
        <f ca="1">IFERROR(__xludf.DUMMYFUNCTION("IMPORTRANGE(""https://docs.google.com/spreadsheets/d/1XL5vhW3sbDhbH9Cz0tuDiY8C3ctxq1tqvaCgkFb8cCA/edit?usp=sharing"",""สกลนคร!M244"")"),10432.26)</f>
        <v>10432.26</v>
      </c>
      <c r="G47" s="219">
        <f t="shared" ca="1" si="1"/>
        <v>2.7881070101825371</v>
      </c>
      <c r="H47" s="218">
        <v>0</v>
      </c>
      <c r="I47" s="219">
        <v>0</v>
      </c>
      <c r="J47" s="219">
        <f t="shared" si="3"/>
        <v>0</v>
      </c>
      <c r="K47" s="220">
        <f ca="1">IFERROR(__xludf.DUMMYFUNCTION("IMPORTRANGE(""https://docs.google.com/spreadsheets/d/1C3CXT74ZlgGe6_JY_1olB1XN4rF0dxEuIIF-xsYjHgg/edit?usp=sharing"",""งบกองทุน!H51"")"),61)</f>
        <v>61</v>
      </c>
      <c r="L47" s="218">
        <f t="shared" ca="1" si="59"/>
        <v>0</v>
      </c>
      <c r="M47" s="219">
        <f t="shared" ca="1" si="5"/>
        <v>0</v>
      </c>
      <c r="N47" s="218">
        <f ca="1">IFERROR(__xludf.DUMMYFUNCTION("IMPORTRANGE(""https://docs.google.com/spreadsheets/d/1XL5vhW3sbDhbH9Cz0tuDiY8C3ctxq1tqvaCgkFb8cCA/edit?usp=sharing"",""สกลนคร!j265"")"),0)</f>
        <v>0</v>
      </c>
      <c r="O47" s="218">
        <f ca="1">IFERROR(__xludf.DUMMYFUNCTION("IMPORTRANGE(""https://docs.google.com/spreadsheets/d/1XL5vhW3sbDhbH9Cz0tuDiY8C3ctxq1tqvaCgkFb8cCA/edit?usp=sharing"",""สกลนคร!j267"")"),0)</f>
        <v>0</v>
      </c>
      <c r="P47" s="218">
        <v>0</v>
      </c>
      <c r="Q47" s="218">
        <v>0</v>
      </c>
      <c r="R47" s="219">
        <f t="shared" si="7"/>
        <v>0</v>
      </c>
      <c r="S47" s="220">
        <f t="shared" si="60"/>
        <v>116</v>
      </c>
      <c r="T47" s="218">
        <f t="shared" ca="1" si="52"/>
        <v>0</v>
      </c>
      <c r="U47" s="221">
        <f t="shared" ca="1" si="9"/>
        <v>0</v>
      </c>
      <c r="V47" s="220">
        <v>34</v>
      </c>
      <c r="W47" s="218">
        <f ca="1">IFERROR(__xludf.DUMMYFUNCTION("IMPORTRANGE(""https://docs.google.com/spreadsheets/d/1XL5vhW3sbDhbH9Cz0tuDiY8C3ctxq1tqvaCgkFb8cCA/edit?usp=sharing"",""สกลนคร!j271"")"),0)</f>
        <v>0</v>
      </c>
      <c r="X47" s="221">
        <f t="shared" ca="1" si="11"/>
        <v>0</v>
      </c>
      <c r="Y47" s="220">
        <v>82</v>
      </c>
      <c r="Z47" s="218">
        <f ca="1">IFERROR(__xludf.DUMMYFUNCTION("IMPORTRANGE(""https://docs.google.com/spreadsheets/d/1XL5vhW3sbDhbH9Cz0tuDiY8C3ctxq1tqvaCgkFb8cCA/edit?usp=sharing"",""สกลนคร!j272"")"),0)</f>
        <v>0</v>
      </c>
      <c r="AA47" s="221">
        <f t="shared" ca="1" si="13"/>
        <v>0</v>
      </c>
      <c r="AB47" s="184"/>
    </row>
    <row r="48" spans="1:28" ht="24" customHeight="1" x14ac:dyDescent="0.5">
      <c r="A48" s="546">
        <v>15</v>
      </c>
      <c r="B48" s="194" t="s">
        <v>63</v>
      </c>
      <c r="C48" s="217">
        <f t="shared" si="58"/>
        <v>195420</v>
      </c>
      <c r="D48" s="218">
        <v>0</v>
      </c>
      <c r="E48" s="218">
        <v>195420</v>
      </c>
      <c r="F48" s="219">
        <f ca="1">IFERROR(__xludf.DUMMYFUNCTION("IMPORTRANGE(""https://docs.google.com/spreadsheets/d/1XL5vhW3sbDhbH9Cz0tuDiY8C3ctxq1tqvaCgkFb8cCA/edit?usp=sharing"",""สุรินทร์!M244"")"),0)</f>
        <v>0</v>
      </c>
      <c r="G48" s="219">
        <f t="shared" ca="1" si="1"/>
        <v>0</v>
      </c>
      <c r="H48" s="218">
        <v>0</v>
      </c>
      <c r="I48" s="219">
        <v>0</v>
      </c>
      <c r="J48" s="219">
        <f t="shared" si="3"/>
        <v>0</v>
      </c>
      <c r="K48" s="220">
        <f ca="1">IFERROR(__xludf.DUMMYFUNCTION("IMPORTRANGE(""https://docs.google.com/spreadsheets/d/1C3CXT74ZlgGe6_JY_1olB1XN4rF0dxEuIIF-xsYjHgg/edit?usp=sharing"",""งบกองทุน!H52"")"),15)</f>
        <v>15</v>
      </c>
      <c r="L48" s="218">
        <f t="shared" ca="1" si="59"/>
        <v>0</v>
      </c>
      <c r="M48" s="219">
        <f t="shared" ca="1" si="5"/>
        <v>0</v>
      </c>
      <c r="N48" s="218">
        <f ca="1">IFERROR(__xludf.DUMMYFUNCTION("IMPORTRANGE(""https://docs.google.com/spreadsheets/d/1XL5vhW3sbDhbH9Cz0tuDiY8C3ctxq1tqvaCgkFb8cCA/edit?usp=sharing"",""สุรินทร์!j265"")"),0)</f>
        <v>0</v>
      </c>
      <c r="O48" s="218">
        <f ca="1">IFERROR(__xludf.DUMMYFUNCTION("IMPORTRANGE(""https://docs.google.com/spreadsheets/d/1XL5vhW3sbDhbH9Cz0tuDiY8C3ctxq1tqvaCgkFb8cCA/edit?usp=sharing"",""สุรินทร์!j267"")"),0)</f>
        <v>0</v>
      </c>
      <c r="P48" s="218">
        <v>0</v>
      </c>
      <c r="Q48" s="218">
        <v>0</v>
      </c>
      <c r="R48" s="219">
        <f t="shared" si="7"/>
        <v>0</v>
      </c>
      <c r="S48" s="220">
        <f t="shared" si="60"/>
        <v>150</v>
      </c>
      <c r="T48" s="218">
        <f t="shared" ca="1" si="52"/>
        <v>0</v>
      </c>
      <c r="U48" s="221">
        <f t="shared" ca="1" si="9"/>
        <v>0</v>
      </c>
      <c r="V48" s="220">
        <v>150</v>
      </c>
      <c r="W48" s="218">
        <f ca="1">IFERROR(__xludf.DUMMYFUNCTION("IMPORTRANGE(""https://docs.google.com/spreadsheets/d/1XL5vhW3sbDhbH9Cz0tuDiY8C3ctxq1tqvaCgkFb8cCA/edit?usp=sharing"",""สุรินทร์!j271"")"),0)</f>
        <v>0</v>
      </c>
      <c r="X48" s="221">
        <f t="shared" ca="1" si="11"/>
        <v>0</v>
      </c>
      <c r="Y48" s="220">
        <v>0</v>
      </c>
      <c r="Z48" s="218">
        <f ca="1">IFERROR(__xludf.DUMMYFUNCTION("IMPORTRANGE(""https://docs.google.com/spreadsheets/d/1XL5vhW3sbDhbH9Cz0tuDiY8C3ctxq1tqvaCgkFb8cCA/edit?usp=sharing"",""สุรินทร์!j272"")"),0)</f>
        <v>0</v>
      </c>
      <c r="AA48" s="221">
        <f t="shared" si="13"/>
        <v>0</v>
      </c>
      <c r="AB48" s="184"/>
    </row>
    <row r="49" spans="1:28" ht="24" customHeight="1" x14ac:dyDescent="0.5">
      <c r="A49" s="546">
        <v>16</v>
      </c>
      <c r="B49" s="194" t="s">
        <v>64</v>
      </c>
      <c r="C49" s="217">
        <f t="shared" si="58"/>
        <v>635180</v>
      </c>
      <c r="D49" s="218">
        <v>0</v>
      </c>
      <c r="E49" s="218">
        <v>635180</v>
      </c>
      <c r="F49" s="219">
        <f ca="1">IFERROR(__xludf.DUMMYFUNCTION("IMPORTRANGE(""https://docs.google.com/spreadsheets/d/1XL5vhW3sbDhbH9Cz0tuDiY8C3ctxq1tqvaCgkFb8cCA/edit?usp=sharing"",""หนองคาย!M244"")"),0)</f>
        <v>0</v>
      </c>
      <c r="G49" s="219">
        <f t="shared" ca="1" si="1"/>
        <v>0</v>
      </c>
      <c r="H49" s="218">
        <v>0</v>
      </c>
      <c r="I49" s="219">
        <v>0</v>
      </c>
      <c r="J49" s="219">
        <f t="shared" si="3"/>
        <v>0</v>
      </c>
      <c r="K49" s="220">
        <f ca="1">IFERROR(__xludf.DUMMYFUNCTION("IMPORTRANGE(""https://docs.google.com/spreadsheets/d/1C3CXT74ZlgGe6_JY_1olB1XN4rF0dxEuIIF-xsYjHgg/edit?usp=sharing"",""งบกองทุน!H53"")"),90)</f>
        <v>90</v>
      </c>
      <c r="L49" s="218">
        <f t="shared" ca="1" si="59"/>
        <v>0</v>
      </c>
      <c r="M49" s="219">
        <f t="shared" ca="1" si="5"/>
        <v>0</v>
      </c>
      <c r="N49" s="218">
        <f ca="1">IFERROR(__xludf.DUMMYFUNCTION("IMPORTRANGE(""https://docs.google.com/spreadsheets/d/1XL5vhW3sbDhbH9Cz0tuDiY8C3ctxq1tqvaCgkFb8cCA/edit?usp=sharing"",""หนองคาย!j265"")"),0)</f>
        <v>0</v>
      </c>
      <c r="O49" s="218">
        <f ca="1">IFERROR(__xludf.DUMMYFUNCTION("IMPORTRANGE(""https://docs.google.com/spreadsheets/d/1XL5vhW3sbDhbH9Cz0tuDiY8C3ctxq1tqvaCgkFb8cCA/edit?usp=sharing"",""หนองคาย!j267"")"),0)</f>
        <v>0</v>
      </c>
      <c r="P49" s="218">
        <v>0</v>
      </c>
      <c r="Q49" s="218">
        <v>0</v>
      </c>
      <c r="R49" s="219">
        <f t="shared" si="7"/>
        <v>0</v>
      </c>
      <c r="S49" s="220">
        <f t="shared" si="60"/>
        <v>400</v>
      </c>
      <c r="T49" s="218">
        <f t="shared" ca="1" si="52"/>
        <v>0</v>
      </c>
      <c r="U49" s="221">
        <f t="shared" ca="1" si="9"/>
        <v>0</v>
      </c>
      <c r="V49" s="220">
        <v>100</v>
      </c>
      <c r="W49" s="218">
        <f ca="1">IFERROR(__xludf.DUMMYFUNCTION("IMPORTRANGE(""https://docs.google.com/spreadsheets/d/1XL5vhW3sbDhbH9Cz0tuDiY8C3ctxq1tqvaCgkFb8cCA/edit?usp=sharing"",""หนองคาย!j271"")"),0)</f>
        <v>0</v>
      </c>
      <c r="X49" s="221">
        <f t="shared" ca="1" si="11"/>
        <v>0</v>
      </c>
      <c r="Y49" s="220">
        <v>300</v>
      </c>
      <c r="Z49" s="218">
        <f ca="1">IFERROR(__xludf.DUMMYFUNCTION("IMPORTRANGE(""https://docs.google.com/spreadsheets/d/1XL5vhW3sbDhbH9Cz0tuDiY8C3ctxq1tqvaCgkFb8cCA/edit?usp=sharing"",""หนองคาย!j272"")"),0)</f>
        <v>0</v>
      </c>
      <c r="AA49" s="221">
        <f t="shared" ca="1" si="13"/>
        <v>0</v>
      </c>
      <c r="AB49" s="184"/>
    </row>
    <row r="50" spans="1:28" ht="24" customHeight="1" x14ac:dyDescent="0.5">
      <c r="A50" s="546">
        <v>17</v>
      </c>
      <c r="B50" s="194" t="s">
        <v>65</v>
      </c>
      <c r="C50" s="217">
        <f t="shared" si="58"/>
        <v>615580</v>
      </c>
      <c r="D50" s="218">
        <v>0</v>
      </c>
      <c r="E50" s="218">
        <v>615580</v>
      </c>
      <c r="F50" s="219">
        <f ca="1">IFERROR(__xludf.DUMMYFUNCTION("IMPORTRANGE(""https://docs.google.com/spreadsheets/d/1XL5vhW3sbDhbH9Cz0tuDiY8C3ctxq1tqvaCgkFb8cCA/edit?usp=sharing"",""หนองบัวลำภู!M244"")"),5866)</f>
        <v>5866</v>
      </c>
      <c r="G50" s="219">
        <f t="shared" ca="1" si="1"/>
        <v>0.95292244712303842</v>
      </c>
      <c r="H50" s="218">
        <v>0</v>
      </c>
      <c r="I50" s="219">
        <v>0</v>
      </c>
      <c r="J50" s="219">
        <f t="shared" si="3"/>
        <v>0</v>
      </c>
      <c r="K50" s="220">
        <f ca="1">IFERROR(__xludf.DUMMYFUNCTION("IMPORTRANGE(""https://docs.google.com/spreadsheets/d/1C3CXT74ZlgGe6_JY_1olB1XN4rF0dxEuIIF-xsYjHgg/edit?usp=sharing"",""งบกองทุน!H54"")"),90)</f>
        <v>90</v>
      </c>
      <c r="L50" s="218">
        <f t="shared" ca="1" si="59"/>
        <v>0</v>
      </c>
      <c r="M50" s="219">
        <f t="shared" ca="1" si="5"/>
        <v>0</v>
      </c>
      <c r="N50" s="218">
        <f ca="1">IFERROR(__xludf.DUMMYFUNCTION("IMPORTRANGE(""https://docs.google.com/spreadsheets/d/1XL5vhW3sbDhbH9Cz0tuDiY8C3ctxq1tqvaCgkFb8cCA/edit?usp=sharing"",""หนองบัวลำภู!j265"")"),0)</f>
        <v>0</v>
      </c>
      <c r="O50" s="218">
        <f ca="1">IFERROR(__xludf.DUMMYFUNCTION("IMPORTRANGE(""https://docs.google.com/spreadsheets/d/1XL5vhW3sbDhbH9Cz0tuDiY8C3ctxq1tqvaCgkFb8cCA/edit?usp=sharing"",""หนองบัวลำภู!j267"")"),0)</f>
        <v>0</v>
      </c>
      <c r="P50" s="218">
        <v>0</v>
      </c>
      <c r="Q50" s="218">
        <v>0</v>
      </c>
      <c r="R50" s="219">
        <f t="shared" si="7"/>
        <v>0</v>
      </c>
      <c r="S50" s="220">
        <f t="shared" si="60"/>
        <v>392</v>
      </c>
      <c r="T50" s="218">
        <f t="shared" ca="1" si="52"/>
        <v>0</v>
      </c>
      <c r="U50" s="221">
        <f t="shared" ca="1" si="9"/>
        <v>0</v>
      </c>
      <c r="V50" s="220">
        <v>20</v>
      </c>
      <c r="W50" s="218">
        <f ca="1">IFERROR(__xludf.DUMMYFUNCTION("IMPORTRANGE(""https://docs.google.com/spreadsheets/d/1XL5vhW3sbDhbH9Cz0tuDiY8C3ctxq1tqvaCgkFb8cCA/edit?usp=sharing"",""หนองบัวลำภู!j271"")"),0)</f>
        <v>0</v>
      </c>
      <c r="X50" s="221">
        <f t="shared" ca="1" si="11"/>
        <v>0</v>
      </c>
      <c r="Y50" s="220">
        <v>372</v>
      </c>
      <c r="Z50" s="218">
        <f ca="1">IFERROR(__xludf.DUMMYFUNCTION("IMPORTRANGE(""https://docs.google.com/spreadsheets/d/1XL5vhW3sbDhbH9Cz0tuDiY8C3ctxq1tqvaCgkFb8cCA/edit?usp=sharing"",""หนองบัวลำภู!j272"")"),0)</f>
        <v>0</v>
      </c>
      <c r="AA50" s="221">
        <f t="shared" ca="1" si="13"/>
        <v>0</v>
      </c>
      <c r="AB50" s="184"/>
    </row>
    <row r="51" spans="1:28" ht="24" customHeight="1" x14ac:dyDescent="0.5">
      <c r="A51" s="546">
        <v>18</v>
      </c>
      <c r="B51" s="194" t="s">
        <v>66</v>
      </c>
      <c r="C51" s="217">
        <f t="shared" si="58"/>
        <v>323260</v>
      </c>
      <c r="D51" s="218">
        <v>0</v>
      </c>
      <c r="E51" s="218">
        <v>323260</v>
      </c>
      <c r="F51" s="219">
        <f ca="1">IFERROR(__xludf.DUMMYFUNCTION("IMPORTRANGE(""https://docs.google.com/spreadsheets/d/1XL5vhW3sbDhbH9Cz0tuDiY8C3ctxq1tqvaCgkFb8cCA/edit?usp=sharing"",""อำนาจเจริญ!M244"")"),0)</f>
        <v>0</v>
      </c>
      <c r="G51" s="219">
        <f t="shared" ca="1" si="1"/>
        <v>0</v>
      </c>
      <c r="H51" s="218">
        <v>0</v>
      </c>
      <c r="I51" s="219">
        <v>0</v>
      </c>
      <c r="J51" s="219">
        <f t="shared" si="3"/>
        <v>0</v>
      </c>
      <c r="K51" s="220">
        <f ca="1">IFERROR(__xludf.DUMMYFUNCTION("IMPORTRANGE(""https://docs.google.com/spreadsheets/d/1C3CXT74ZlgGe6_JY_1olB1XN4rF0dxEuIIF-xsYjHgg/edit?usp=sharing"",""งบกองทุน!H55"")"),30)</f>
        <v>30</v>
      </c>
      <c r="L51" s="218">
        <f t="shared" ca="1" si="59"/>
        <v>0</v>
      </c>
      <c r="M51" s="219">
        <f t="shared" ca="1" si="5"/>
        <v>0</v>
      </c>
      <c r="N51" s="218">
        <f ca="1">IFERROR(__xludf.DUMMYFUNCTION("IMPORTRANGE(""https://docs.google.com/spreadsheets/d/1XL5vhW3sbDhbH9Cz0tuDiY8C3ctxq1tqvaCgkFb8cCA/edit?usp=sharing"",""อำนาจเจริญ!j265"")"),0)</f>
        <v>0</v>
      </c>
      <c r="O51" s="218">
        <f ca="1">IFERROR(__xludf.DUMMYFUNCTION("IMPORTRANGE(""https://docs.google.com/spreadsheets/d/1XL5vhW3sbDhbH9Cz0tuDiY8C3ctxq1tqvaCgkFb8cCA/edit?usp=sharing"",""อำนาจเจริญ!j267"")"),0)</f>
        <v>0</v>
      </c>
      <c r="P51" s="218">
        <v>0</v>
      </c>
      <c r="Q51" s="218">
        <v>0</v>
      </c>
      <c r="R51" s="219">
        <f t="shared" si="7"/>
        <v>0</v>
      </c>
      <c r="S51" s="220">
        <f t="shared" si="60"/>
        <v>120</v>
      </c>
      <c r="T51" s="218">
        <f t="shared" ca="1" si="52"/>
        <v>0</v>
      </c>
      <c r="U51" s="221">
        <f t="shared" ca="1" si="9"/>
        <v>0</v>
      </c>
      <c r="V51" s="220">
        <v>45</v>
      </c>
      <c r="W51" s="218">
        <f ca="1">IFERROR(__xludf.DUMMYFUNCTION("IMPORTRANGE(""https://docs.google.com/spreadsheets/d/1XL5vhW3sbDhbH9Cz0tuDiY8C3ctxq1tqvaCgkFb8cCA/edit?usp=sharing"",""อำนาจเจริญ!j271"")"),0)</f>
        <v>0</v>
      </c>
      <c r="X51" s="221">
        <f t="shared" ca="1" si="11"/>
        <v>0</v>
      </c>
      <c r="Y51" s="220">
        <v>75</v>
      </c>
      <c r="Z51" s="218">
        <f ca="1">IFERROR(__xludf.DUMMYFUNCTION("IMPORTRANGE(""https://docs.google.com/spreadsheets/d/1XL5vhW3sbDhbH9Cz0tuDiY8C3ctxq1tqvaCgkFb8cCA/edit?usp=sharing"",""อำนาจเจริญ!j272"")"),0)</f>
        <v>0</v>
      </c>
      <c r="AA51" s="221">
        <f t="shared" ca="1" si="13"/>
        <v>0</v>
      </c>
      <c r="AB51" s="184"/>
    </row>
    <row r="52" spans="1:28" ht="24" customHeight="1" x14ac:dyDescent="0.5">
      <c r="A52" s="546">
        <v>19</v>
      </c>
      <c r="B52" s="194" t="s">
        <v>67</v>
      </c>
      <c r="C52" s="217">
        <f t="shared" si="58"/>
        <v>1007200</v>
      </c>
      <c r="D52" s="218">
        <v>0</v>
      </c>
      <c r="E52" s="218">
        <v>1007200</v>
      </c>
      <c r="F52" s="219">
        <f ca="1">IFERROR(__xludf.DUMMYFUNCTION("IMPORTRANGE(""https://docs.google.com/spreadsheets/d/1XL5vhW3sbDhbH9Cz0tuDiY8C3ctxq1tqvaCgkFb8cCA/edit?usp=sharing"",""อุดรธานี!M244"")"),10838.7)</f>
        <v>10838.7</v>
      </c>
      <c r="G52" s="219">
        <f t="shared" ca="1" si="1"/>
        <v>1.0761219221604448</v>
      </c>
      <c r="H52" s="218">
        <v>0</v>
      </c>
      <c r="I52" s="219">
        <v>0</v>
      </c>
      <c r="J52" s="219">
        <f t="shared" si="3"/>
        <v>0</v>
      </c>
      <c r="K52" s="220">
        <f ca="1">IFERROR(__xludf.DUMMYFUNCTION("IMPORTRANGE(""https://docs.google.com/spreadsheets/d/1C3CXT74ZlgGe6_JY_1olB1XN4rF0dxEuIIF-xsYjHgg/edit?usp=sharing"",""งบกองทุน!H56"")"),140)</f>
        <v>140</v>
      </c>
      <c r="L52" s="218">
        <f t="shared" ca="1" si="59"/>
        <v>0</v>
      </c>
      <c r="M52" s="219">
        <f t="shared" ca="1" si="5"/>
        <v>0</v>
      </c>
      <c r="N52" s="218">
        <f ca="1">IFERROR(__xludf.DUMMYFUNCTION("IMPORTRANGE(""https://docs.google.com/spreadsheets/d/1XL5vhW3sbDhbH9Cz0tuDiY8C3ctxq1tqvaCgkFb8cCA/edit?usp=sharing"",""อุดรธานี!j265"")"),0)</f>
        <v>0</v>
      </c>
      <c r="O52" s="218">
        <f ca="1">IFERROR(__xludf.DUMMYFUNCTION("IMPORTRANGE(""https://docs.google.com/spreadsheets/d/1XL5vhW3sbDhbH9Cz0tuDiY8C3ctxq1tqvaCgkFb8cCA/edit?usp=sharing"",""อุดรธานี!j267"")"),0)</f>
        <v>0</v>
      </c>
      <c r="P52" s="218">
        <v>0</v>
      </c>
      <c r="Q52" s="218">
        <v>0</v>
      </c>
      <c r="R52" s="219">
        <f t="shared" si="7"/>
        <v>0</v>
      </c>
      <c r="S52" s="220">
        <f t="shared" si="60"/>
        <v>662</v>
      </c>
      <c r="T52" s="218">
        <f t="shared" ca="1" si="52"/>
        <v>0</v>
      </c>
      <c r="U52" s="221">
        <f t="shared" ca="1" si="9"/>
        <v>0</v>
      </c>
      <c r="V52" s="220">
        <v>500</v>
      </c>
      <c r="W52" s="218">
        <f ca="1">IFERROR(__xludf.DUMMYFUNCTION("IMPORTRANGE(""https://docs.google.com/spreadsheets/d/1XL5vhW3sbDhbH9Cz0tuDiY8C3ctxq1tqvaCgkFb8cCA/edit?usp=sharing"",""อุดรธานี!j271"")"),0)</f>
        <v>0</v>
      </c>
      <c r="X52" s="221">
        <f t="shared" ca="1" si="11"/>
        <v>0</v>
      </c>
      <c r="Y52" s="220">
        <v>162</v>
      </c>
      <c r="Z52" s="218">
        <f ca="1">IFERROR(__xludf.DUMMYFUNCTION("IMPORTRANGE(""https://docs.google.com/spreadsheets/d/1XL5vhW3sbDhbH9Cz0tuDiY8C3ctxq1tqvaCgkFb8cCA/edit?usp=sharing"",""อุดรธานี!j272"")"),0)</f>
        <v>0</v>
      </c>
      <c r="AA52" s="221">
        <f t="shared" ca="1" si="13"/>
        <v>0</v>
      </c>
      <c r="AB52" s="184"/>
    </row>
    <row r="53" spans="1:28" ht="24" customHeight="1" x14ac:dyDescent="0.5">
      <c r="A53" s="547">
        <v>20</v>
      </c>
      <c r="B53" s="535" t="s">
        <v>68</v>
      </c>
      <c r="C53" s="536">
        <f t="shared" si="58"/>
        <v>550180</v>
      </c>
      <c r="D53" s="537">
        <v>0</v>
      </c>
      <c r="E53" s="537">
        <v>550180</v>
      </c>
      <c r="F53" s="538">
        <f ca="1">IFERROR(__xludf.DUMMYFUNCTION("IMPORTRANGE(""https://docs.google.com/spreadsheets/d/1XL5vhW3sbDhbH9Cz0tuDiY8C3ctxq1tqvaCgkFb8cCA/edit?usp=sharing"",""อุบลราชธานี!M244"")"),0)</f>
        <v>0</v>
      </c>
      <c r="G53" s="538">
        <f t="shared" ca="1" si="1"/>
        <v>0</v>
      </c>
      <c r="H53" s="537">
        <v>0</v>
      </c>
      <c r="I53" s="538">
        <v>0</v>
      </c>
      <c r="J53" s="538">
        <f t="shared" si="3"/>
        <v>0</v>
      </c>
      <c r="K53" s="539">
        <f ca="1">IFERROR(__xludf.DUMMYFUNCTION("IMPORTRANGE(""https://docs.google.com/spreadsheets/d/1C3CXT74ZlgGe6_JY_1olB1XN4rF0dxEuIIF-xsYjHgg/edit?usp=sharing"",""งบกองทุน!H57"")"),90)</f>
        <v>90</v>
      </c>
      <c r="L53" s="537">
        <f t="shared" ca="1" si="59"/>
        <v>0</v>
      </c>
      <c r="M53" s="538">
        <f t="shared" ca="1" si="5"/>
        <v>0</v>
      </c>
      <c r="N53" s="537">
        <f ca="1">IFERROR(__xludf.DUMMYFUNCTION("IMPORTRANGE(""https://docs.google.com/spreadsheets/d/1XL5vhW3sbDhbH9Cz0tuDiY8C3ctxq1tqvaCgkFb8cCA/edit?usp=sharing"",""อุบลราชธานี!j265"")"),0)</f>
        <v>0</v>
      </c>
      <c r="O53" s="537">
        <f ca="1">IFERROR(__xludf.DUMMYFUNCTION("IMPORTRANGE(""https://docs.google.com/spreadsheets/d/1XL5vhW3sbDhbH9Cz0tuDiY8C3ctxq1tqvaCgkFb8cCA/edit?usp=sharing"",""อุบลราชธานี!j267"")"),0)</f>
        <v>0</v>
      </c>
      <c r="P53" s="537">
        <v>0</v>
      </c>
      <c r="Q53" s="537">
        <v>0</v>
      </c>
      <c r="R53" s="538">
        <f t="shared" si="7"/>
        <v>0</v>
      </c>
      <c r="S53" s="539">
        <f t="shared" si="60"/>
        <v>300</v>
      </c>
      <c r="T53" s="537">
        <f t="shared" ca="1" si="52"/>
        <v>0</v>
      </c>
      <c r="U53" s="540">
        <f t="shared" ca="1" si="9"/>
        <v>0</v>
      </c>
      <c r="V53" s="539">
        <v>100</v>
      </c>
      <c r="W53" s="537">
        <f ca="1">IFERROR(__xludf.DUMMYFUNCTION("IMPORTRANGE(""https://docs.google.com/spreadsheets/d/1XL5vhW3sbDhbH9Cz0tuDiY8C3ctxq1tqvaCgkFb8cCA/edit?usp=sharing"",""อุบลราชธานี!j271"")"),0)</f>
        <v>0</v>
      </c>
      <c r="X53" s="540">
        <f t="shared" ca="1" si="11"/>
        <v>0</v>
      </c>
      <c r="Y53" s="539">
        <v>200</v>
      </c>
      <c r="Z53" s="537">
        <f ca="1">IFERROR(__xludf.DUMMYFUNCTION("IMPORTRANGE(""https://docs.google.com/spreadsheets/d/1XL5vhW3sbDhbH9Cz0tuDiY8C3ctxq1tqvaCgkFb8cCA/edit?usp=sharing"",""อุบลราชธานี!j272"")"),0)</f>
        <v>0</v>
      </c>
      <c r="AA53" s="540">
        <f t="shared" ca="1" si="13"/>
        <v>0</v>
      </c>
      <c r="AB53" s="184"/>
    </row>
    <row r="54" spans="1:28" ht="24" customHeight="1" x14ac:dyDescent="0.5">
      <c r="A54" s="750" t="s">
        <v>69</v>
      </c>
      <c r="B54" s="713"/>
      <c r="C54" s="173">
        <f t="shared" ref="C54:F54" si="61">SUM(C55:C75)</f>
        <v>2223740</v>
      </c>
      <c r="D54" s="174">
        <f t="shared" si="61"/>
        <v>0</v>
      </c>
      <c r="E54" s="174">
        <f t="shared" si="61"/>
        <v>2223740</v>
      </c>
      <c r="F54" s="175">
        <f t="shared" ca="1" si="61"/>
        <v>32606</v>
      </c>
      <c r="G54" s="175">
        <f t="shared" ca="1" si="1"/>
        <v>1.4662685385881442</v>
      </c>
      <c r="H54" s="174">
        <f t="shared" ref="H54:I54" si="62">SUM(H55:H75)</f>
        <v>0</v>
      </c>
      <c r="I54" s="175">
        <f t="shared" si="62"/>
        <v>0</v>
      </c>
      <c r="J54" s="175">
        <f t="shared" si="3"/>
        <v>0</v>
      </c>
      <c r="K54" s="174">
        <f ca="1">SUM(K55:K75)</f>
        <v>292</v>
      </c>
      <c r="L54" s="174">
        <f ca="1">SUM(L55:L75)</f>
        <v>0</v>
      </c>
      <c r="M54" s="175">
        <f t="shared" ca="1" si="5"/>
        <v>0</v>
      </c>
      <c r="N54" s="174">
        <f t="shared" ref="N54:Q54" ca="1" si="63">SUM(N55:N75)</f>
        <v>0</v>
      </c>
      <c r="O54" s="174">
        <f t="shared" ca="1" si="63"/>
        <v>0</v>
      </c>
      <c r="P54" s="174">
        <f t="shared" si="63"/>
        <v>0</v>
      </c>
      <c r="Q54" s="174">
        <f t="shared" si="63"/>
        <v>0</v>
      </c>
      <c r="R54" s="175">
        <f t="shared" si="7"/>
        <v>0</v>
      </c>
      <c r="S54" s="174">
        <f>SUM(S55:S75)</f>
        <v>634</v>
      </c>
      <c r="T54" s="174">
        <f t="shared" ca="1" si="52"/>
        <v>0</v>
      </c>
      <c r="U54" s="175">
        <f t="shared" ca="1" si="9"/>
        <v>0</v>
      </c>
      <c r="V54" s="174">
        <f t="shared" ref="V54:W54" si="64">SUM(V55:V75)</f>
        <v>307</v>
      </c>
      <c r="W54" s="174">
        <f t="shared" ca="1" si="64"/>
        <v>0</v>
      </c>
      <c r="X54" s="175">
        <f t="shared" ca="1" si="11"/>
        <v>0</v>
      </c>
      <c r="Y54" s="174">
        <f t="shared" ref="Y54:Z54" si="65">SUM(Y55:Y75)</f>
        <v>327</v>
      </c>
      <c r="Z54" s="174">
        <f t="shared" ca="1" si="65"/>
        <v>0</v>
      </c>
      <c r="AA54" s="175">
        <f t="shared" ca="1" si="13"/>
        <v>0</v>
      </c>
      <c r="AB54" s="184"/>
    </row>
    <row r="55" spans="1:28" ht="24" customHeight="1" x14ac:dyDescent="0.5">
      <c r="A55" s="545">
        <v>1</v>
      </c>
      <c r="B55" s="191" t="s">
        <v>70</v>
      </c>
      <c r="C55" s="213">
        <f t="shared" ref="C55:C75" si="66">+D55+E55</f>
        <v>380760</v>
      </c>
      <c r="D55" s="193">
        <v>0</v>
      </c>
      <c r="E55" s="193">
        <v>380760</v>
      </c>
      <c r="F55" s="192">
        <f ca="1">IFERROR(__xludf.DUMMYFUNCTION("IMPORTRANGE(""https://docs.google.com/spreadsheets/d/1SX6NBoVAgQJ6U1MVXOaj8PK2l7WJ3RER9xtqwdhxkhw/edit?usp=sharing"",""กาญจนบุรี!M244"")"),0)</f>
        <v>0</v>
      </c>
      <c r="G55" s="192">
        <f t="shared" ca="1" si="1"/>
        <v>0</v>
      </c>
      <c r="H55" s="193">
        <v>0</v>
      </c>
      <c r="I55" s="192">
        <v>0</v>
      </c>
      <c r="J55" s="192">
        <f t="shared" si="3"/>
        <v>0</v>
      </c>
      <c r="K55" s="214">
        <f ca="1">IFERROR(__xludf.DUMMYFUNCTION("IMPORTRANGE(""https://docs.google.com/spreadsheets/d/1C3CXT74ZlgGe6_JY_1olB1XN4rF0dxEuIIF-xsYjHgg/edit?usp=sharing"",""งบกองทุน!H59"")"),30)</f>
        <v>30</v>
      </c>
      <c r="L55" s="193">
        <f t="shared" ref="L55:L75" ca="1" si="67">SUM(O55)</f>
        <v>0</v>
      </c>
      <c r="M55" s="192">
        <f t="shared" ca="1" si="5"/>
        <v>0</v>
      </c>
      <c r="N55" s="193">
        <f ca="1">IFERROR(__xludf.DUMMYFUNCTION("IMPORTRANGE(""https://docs.google.com/spreadsheets/d/1SX6NBoVAgQJ6U1MVXOaj8PK2l7WJ3RER9xtqwdhxkhw/edit?usp=sharing"",""กาญจนบุรี!J265"")"),0)</f>
        <v>0</v>
      </c>
      <c r="O55" s="193">
        <f ca="1">IFERROR(__xludf.DUMMYFUNCTION("IMPORTRANGE(""https://docs.google.com/spreadsheets/d/1SX6NBoVAgQJ6U1MVXOaj8PK2l7WJ3RER9xtqwdhxkhw/edit?usp=sharing"",""กาญจนบุรี!J267"")"),0)</f>
        <v>0</v>
      </c>
      <c r="P55" s="193">
        <v>0</v>
      </c>
      <c r="Q55" s="193">
        <v>0</v>
      </c>
      <c r="R55" s="192">
        <f t="shared" si="7"/>
        <v>0</v>
      </c>
      <c r="S55" s="214">
        <f t="shared" ref="S55:S75" si="68">+V55+Y55</f>
        <v>150</v>
      </c>
      <c r="T55" s="193">
        <f t="shared" ca="1" si="52"/>
        <v>0</v>
      </c>
      <c r="U55" s="215">
        <f t="shared" ca="1" si="9"/>
        <v>0</v>
      </c>
      <c r="V55" s="214">
        <v>150</v>
      </c>
      <c r="W55" s="193">
        <f ca="1">IFERROR(__xludf.DUMMYFUNCTION("IMPORTRANGE(""https://docs.google.com/spreadsheets/d/1SX6NBoVAgQJ6U1MVXOaj8PK2l7WJ3RER9xtqwdhxkhw/edit?usp=sharing"",""กาญจนบุรี!J271"")"),0)</f>
        <v>0</v>
      </c>
      <c r="X55" s="215">
        <f t="shared" ca="1" si="11"/>
        <v>0</v>
      </c>
      <c r="Y55" s="214">
        <v>0</v>
      </c>
      <c r="Z55" s="193">
        <f ca="1">IFERROR(__xludf.DUMMYFUNCTION("IMPORTRANGE(""https://docs.google.com/spreadsheets/d/1SX6NBoVAgQJ6U1MVXOaj8PK2l7WJ3RER9xtqwdhxkhw/edit?usp=sharing"",""กาญจนบุรี!J272"")"),0)</f>
        <v>0</v>
      </c>
      <c r="AA55" s="215">
        <f t="shared" si="13"/>
        <v>0</v>
      </c>
      <c r="AB55" s="184"/>
    </row>
    <row r="56" spans="1:28" ht="24" customHeight="1" x14ac:dyDescent="0.5">
      <c r="A56" s="546">
        <v>2</v>
      </c>
      <c r="B56" s="194" t="s">
        <v>71</v>
      </c>
      <c r="C56" s="217">
        <f t="shared" si="66"/>
        <v>0</v>
      </c>
      <c r="D56" s="218">
        <v>0</v>
      </c>
      <c r="E56" s="218">
        <v>0</v>
      </c>
      <c r="F56" s="219">
        <f ca="1">IFERROR(__xludf.DUMMYFUNCTION("IMPORTRANGE(""https://docs.google.com/spreadsheets/d/1SX6NBoVAgQJ6U1MVXOaj8PK2l7WJ3RER9xtqwdhxkhw/edit?usp=sharing"",""จันทบุรี!M244"")"),0)</f>
        <v>0</v>
      </c>
      <c r="G56" s="219">
        <f t="shared" si="1"/>
        <v>0</v>
      </c>
      <c r="H56" s="218">
        <v>0</v>
      </c>
      <c r="I56" s="219">
        <v>0</v>
      </c>
      <c r="J56" s="219">
        <f t="shared" si="3"/>
        <v>0</v>
      </c>
      <c r="K56" s="220">
        <f ca="1">IFERROR(__xludf.DUMMYFUNCTION("IMPORTRANGE(""https://docs.google.com/spreadsheets/d/1C3CXT74ZlgGe6_JY_1olB1XN4rF0dxEuIIF-xsYjHgg/edit?usp=sharing"",""งบกองทุน!H60"")"),0)</f>
        <v>0</v>
      </c>
      <c r="L56" s="218">
        <f t="shared" ca="1" si="67"/>
        <v>0</v>
      </c>
      <c r="M56" s="219">
        <f t="shared" ca="1" si="5"/>
        <v>0</v>
      </c>
      <c r="N56" s="218">
        <f ca="1">IFERROR(__xludf.DUMMYFUNCTION("IMPORTRANGE(""https://docs.google.com/spreadsheets/d/1SX6NBoVAgQJ6U1MVXOaj8PK2l7WJ3RER9xtqwdhxkhw/edit?usp=sharing"",""จันทบุรี!J265"")"),0)</f>
        <v>0</v>
      </c>
      <c r="O56" s="218">
        <f ca="1">IFERROR(__xludf.DUMMYFUNCTION("IMPORTRANGE(""https://docs.google.com/spreadsheets/d/1SX6NBoVAgQJ6U1MVXOaj8PK2l7WJ3RER9xtqwdhxkhw/edit?usp=sharing"",""จันทบุรี!J267"")"),0)</f>
        <v>0</v>
      </c>
      <c r="P56" s="218">
        <v>0</v>
      </c>
      <c r="Q56" s="218">
        <v>0</v>
      </c>
      <c r="R56" s="219">
        <f t="shared" si="7"/>
        <v>0</v>
      </c>
      <c r="S56" s="220">
        <f t="shared" si="68"/>
        <v>0</v>
      </c>
      <c r="T56" s="218">
        <f t="shared" ca="1" si="52"/>
        <v>0</v>
      </c>
      <c r="U56" s="221">
        <f t="shared" si="9"/>
        <v>0</v>
      </c>
      <c r="V56" s="220">
        <v>0</v>
      </c>
      <c r="W56" s="218">
        <f ca="1">IFERROR(__xludf.DUMMYFUNCTION("IMPORTRANGE(""https://docs.google.com/spreadsheets/d/1SX6NBoVAgQJ6U1MVXOaj8PK2l7WJ3RER9xtqwdhxkhw/edit?usp=sharing"",""จันทบุรี!J271"")"),0)</f>
        <v>0</v>
      </c>
      <c r="X56" s="221">
        <f t="shared" si="11"/>
        <v>0</v>
      </c>
      <c r="Y56" s="220">
        <v>0</v>
      </c>
      <c r="Z56" s="218">
        <f ca="1">IFERROR(__xludf.DUMMYFUNCTION("IMPORTRANGE(""https://docs.google.com/spreadsheets/d/1SX6NBoVAgQJ6U1MVXOaj8PK2l7WJ3RER9xtqwdhxkhw/edit?usp=sharing"",""จันทบุรี!J272"")"),0)</f>
        <v>0</v>
      </c>
      <c r="AA56" s="221">
        <f t="shared" si="13"/>
        <v>0</v>
      </c>
      <c r="AB56" s="184"/>
    </row>
    <row r="57" spans="1:28" ht="24" customHeight="1" x14ac:dyDescent="0.5">
      <c r="A57" s="546">
        <v>3</v>
      </c>
      <c r="B57" s="194" t="s">
        <v>72</v>
      </c>
      <c r="C57" s="217">
        <f t="shared" si="66"/>
        <v>324540</v>
      </c>
      <c r="D57" s="218">
        <v>0</v>
      </c>
      <c r="E57" s="218">
        <v>324540</v>
      </c>
      <c r="F57" s="219">
        <f ca="1">IFERROR(__xludf.DUMMYFUNCTION("IMPORTRANGE(""https://docs.google.com/spreadsheets/d/1SX6NBoVAgQJ6U1MVXOaj8PK2l7WJ3RER9xtqwdhxkhw/edit?usp=sharing"",""ฉะเชิงเทรา!M244"")"),19493)</f>
        <v>19493</v>
      </c>
      <c r="G57" s="219">
        <f t="shared" ca="1" si="1"/>
        <v>6.0063474456153321</v>
      </c>
      <c r="H57" s="218">
        <v>0</v>
      </c>
      <c r="I57" s="219">
        <v>0</v>
      </c>
      <c r="J57" s="219">
        <f t="shared" si="3"/>
        <v>0</v>
      </c>
      <c r="K57" s="220">
        <f ca="1">IFERROR(__xludf.DUMMYFUNCTION("IMPORTRANGE(""https://docs.google.com/spreadsheets/d/1C3CXT74ZlgGe6_JY_1olB1XN4rF0dxEuIIF-xsYjHgg/edit?usp=sharing"",""งบกองทุน!H61"")"),54)</f>
        <v>54</v>
      </c>
      <c r="L57" s="218">
        <f t="shared" ca="1" si="67"/>
        <v>0</v>
      </c>
      <c r="M57" s="219">
        <f t="shared" ca="1" si="5"/>
        <v>0</v>
      </c>
      <c r="N57" s="218">
        <f ca="1">IFERROR(__xludf.DUMMYFUNCTION("IMPORTRANGE(""https://docs.google.com/spreadsheets/d/1SX6NBoVAgQJ6U1MVXOaj8PK2l7WJ3RER9xtqwdhxkhw/edit?usp=sharing"",""ฉะเชิงเทรา!J265"")"),0)</f>
        <v>0</v>
      </c>
      <c r="O57" s="218">
        <f ca="1">IFERROR(__xludf.DUMMYFUNCTION("IMPORTRANGE(""https://docs.google.com/spreadsheets/d/1SX6NBoVAgQJ6U1MVXOaj8PK2l7WJ3RER9xtqwdhxkhw/edit?usp=sharing"",""ฉะเชิงเทรา!J267"")"),0)</f>
        <v>0</v>
      </c>
      <c r="P57" s="218">
        <v>0</v>
      </c>
      <c r="Q57" s="218">
        <v>0</v>
      </c>
      <c r="R57" s="219">
        <f t="shared" si="7"/>
        <v>0</v>
      </c>
      <c r="S57" s="220">
        <f t="shared" si="68"/>
        <v>64</v>
      </c>
      <c r="T57" s="218">
        <f t="shared" ca="1" si="52"/>
        <v>0</v>
      </c>
      <c r="U57" s="221">
        <f t="shared" ca="1" si="9"/>
        <v>0</v>
      </c>
      <c r="V57" s="220">
        <v>20</v>
      </c>
      <c r="W57" s="218">
        <f ca="1">IFERROR(__xludf.DUMMYFUNCTION("IMPORTRANGE(""https://docs.google.com/spreadsheets/d/1SX6NBoVAgQJ6U1MVXOaj8PK2l7WJ3RER9xtqwdhxkhw/edit?usp=sharing"",""ฉะเชิงเทรา!J271"")"),0)</f>
        <v>0</v>
      </c>
      <c r="X57" s="221">
        <f t="shared" ca="1" si="11"/>
        <v>0</v>
      </c>
      <c r="Y57" s="220">
        <v>44</v>
      </c>
      <c r="Z57" s="218">
        <f ca="1">IFERROR(__xludf.DUMMYFUNCTION("IMPORTRANGE(""https://docs.google.com/spreadsheets/d/1SX6NBoVAgQJ6U1MVXOaj8PK2l7WJ3RER9xtqwdhxkhw/edit?usp=sharing"",""ฉะเชิงเทรา!J272"")"),0)</f>
        <v>0</v>
      </c>
      <c r="AA57" s="221">
        <f t="shared" ca="1" si="13"/>
        <v>0</v>
      </c>
      <c r="AB57" s="184"/>
    </row>
    <row r="58" spans="1:28" ht="24" customHeight="1" x14ac:dyDescent="0.5">
      <c r="A58" s="546">
        <v>4</v>
      </c>
      <c r="B58" s="194" t="s">
        <v>73</v>
      </c>
      <c r="C58" s="217">
        <f t="shared" si="66"/>
        <v>221120</v>
      </c>
      <c r="D58" s="218">
        <v>0</v>
      </c>
      <c r="E58" s="218">
        <v>221120</v>
      </c>
      <c r="F58" s="219">
        <f ca="1">IFERROR(__xludf.DUMMYFUNCTION("IMPORTRANGE(""https://docs.google.com/spreadsheets/d/1SX6NBoVAgQJ6U1MVXOaj8PK2l7WJ3RER9xtqwdhxkhw/edit?usp=sharing"",""ชลบุรี!M244"")"),11113)</f>
        <v>11113</v>
      </c>
      <c r="G58" s="219">
        <f t="shared" ca="1" si="1"/>
        <v>5.0257778581765553</v>
      </c>
      <c r="H58" s="218">
        <v>0</v>
      </c>
      <c r="I58" s="219">
        <v>0</v>
      </c>
      <c r="J58" s="219">
        <f t="shared" si="3"/>
        <v>0</v>
      </c>
      <c r="K58" s="220">
        <f ca="1">IFERROR(__xludf.DUMMYFUNCTION("IMPORTRANGE(""https://docs.google.com/spreadsheets/d/1C3CXT74ZlgGe6_JY_1olB1XN4rF0dxEuIIF-xsYjHgg/edit?usp=sharing"",""งบกองทุน!H62"")"),20)</f>
        <v>20</v>
      </c>
      <c r="L58" s="218">
        <f t="shared" ca="1" si="67"/>
        <v>0</v>
      </c>
      <c r="M58" s="219">
        <f t="shared" ca="1" si="5"/>
        <v>0</v>
      </c>
      <c r="N58" s="218">
        <f ca="1">IFERROR(__xludf.DUMMYFUNCTION("IMPORTRANGE(""https://docs.google.com/spreadsheets/d/1SX6NBoVAgQJ6U1MVXOaj8PK2l7WJ3RER9xtqwdhxkhw/edit?usp=sharing"",""ชลบุรี!J265"")"),0)</f>
        <v>0</v>
      </c>
      <c r="O58" s="218">
        <f ca="1">IFERROR(__xludf.DUMMYFUNCTION("IMPORTRANGE(""https://docs.google.com/spreadsheets/d/1SX6NBoVAgQJ6U1MVXOaj8PK2l7WJ3RER9xtqwdhxkhw/edit?usp=sharing"",""ชลบุรี!J267"")"),0)</f>
        <v>0</v>
      </c>
      <c r="P58" s="218">
        <v>0</v>
      </c>
      <c r="Q58" s="218">
        <v>0</v>
      </c>
      <c r="R58" s="219">
        <f t="shared" si="7"/>
        <v>0</v>
      </c>
      <c r="S58" s="220">
        <f t="shared" si="68"/>
        <v>20</v>
      </c>
      <c r="T58" s="218">
        <f t="shared" ca="1" si="52"/>
        <v>0</v>
      </c>
      <c r="U58" s="221">
        <f t="shared" ca="1" si="9"/>
        <v>0</v>
      </c>
      <c r="V58" s="220">
        <v>0</v>
      </c>
      <c r="W58" s="218">
        <f ca="1">IFERROR(__xludf.DUMMYFUNCTION("IMPORTRANGE(""https://docs.google.com/spreadsheets/d/1SX6NBoVAgQJ6U1MVXOaj8PK2l7WJ3RER9xtqwdhxkhw/edit?usp=sharing"",""ชลบุรี!J271"")"),0)</f>
        <v>0</v>
      </c>
      <c r="X58" s="221">
        <f t="shared" si="11"/>
        <v>0</v>
      </c>
      <c r="Y58" s="220">
        <v>20</v>
      </c>
      <c r="Z58" s="218">
        <f ca="1">IFERROR(__xludf.DUMMYFUNCTION("IMPORTRANGE(""https://docs.google.com/spreadsheets/d/1SX6NBoVAgQJ6U1MVXOaj8PK2l7WJ3RER9xtqwdhxkhw/edit?usp=sharing"",""ชลบุรี!J272"")"),0)</f>
        <v>0</v>
      </c>
      <c r="AA58" s="221">
        <f t="shared" ca="1" si="13"/>
        <v>0</v>
      </c>
      <c r="AB58" s="184"/>
    </row>
    <row r="59" spans="1:28" ht="24" customHeight="1" x14ac:dyDescent="0.5">
      <c r="A59" s="546">
        <v>5</v>
      </c>
      <c r="B59" s="194" t="s">
        <v>74</v>
      </c>
      <c r="C59" s="217">
        <f t="shared" si="66"/>
        <v>49720</v>
      </c>
      <c r="D59" s="218">
        <v>0</v>
      </c>
      <c r="E59" s="218">
        <v>49720</v>
      </c>
      <c r="F59" s="219">
        <f ca="1">IFERROR(__xludf.DUMMYFUNCTION("IMPORTRANGE(""https://docs.google.com/spreadsheets/d/1SX6NBoVAgQJ6U1MVXOaj8PK2l7WJ3RER9xtqwdhxkhw/edit?usp=sharing"",""ชัยนาท!M244"")"),0)</f>
        <v>0</v>
      </c>
      <c r="G59" s="219">
        <f t="shared" ca="1" si="1"/>
        <v>0</v>
      </c>
      <c r="H59" s="218">
        <v>0</v>
      </c>
      <c r="I59" s="219">
        <v>0</v>
      </c>
      <c r="J59" s="219">
        <f t="shared" si="3"/>
        <v>0</v>
      </c>
      <c r="K59" s="220">
        <f ca="1">IFERROR(__xludf.DUMMYFUNCTION("IMPORTRANGE(""https://docs.google.com/spreadsheets/d/1C3CXT74ZlgGe6_JY_1olB1XN4rF0dxEuIIF-xsYjHgg/edit?usp=sharing"",""งบกองทุน!H63"")"),10)</f>
        <v>10</v>
      </c>
      <c r="L59" s="218">
        <f t="shared" ca="1" si="67"/>
        <v>0</v>
      </c>
      <c r="M59" s="219">
        <f t="shared" ca="1" si="5"/>
        <v>0</v>
      </c>
      <c r="N59" s="218">
        <f ca="1">IFERROR(__xludf.DUMMYFUNCTION("IMPORTRANGE(""https://docs.google.com/spreadsheets/d/1SX6NBoVAgQJ6U1MVXOaj8PK2l7WJ3RER9xtqwdhxkhw/edit?usp=sharing"",""ชัยนาท!J265"")"),0)</f>
        <v>0</v>
      </c>
      <c r="O59" s="218">
        <f ca="1">IFERROR(__xludf.DUMMYFUNCTION("IMPORTRANGE(""https://docs.google.com/spreadsheets/d/1SX6NBoVAgQJ6U1MVXOaj8PK2l7WJ3RER9xtqwdhxkhw/edit?usp=sharing"",""ชัยนาท!J267"")"),0)</f>
        <v>0</v>
      </c>
      <c r="P59" s="218">
        <v>0</v>
      </c>
      <c r="Q59" s="218">
        <v>0</v>
      </c>
      <c r="R59" s="219">
        <f t="shared" si="7"/>
        <v>0</v>
      </c>
      <c r="S59" s="220">
        <f t="shared" si="68"/>
        <v>10</v>
      </c>
      <c r="T59" s="218">
        <f t="shared" ca="1" si="52"/>
        <v>0</v>
      </c>
      <c r="U59" s="221">
        <f t="shared" ca="1" si="9"/>
        <v>0</v>
      </c>
      <c r="V59" s="220">
        <v>10</v>
      </c>
      <c r="W59" s="218">
        <f ca="1">IFERROR(__xludf.DUMMYFUNCTION("IMPORTRANGE(""https://docs.google.com/spreadsheets/d/1SX6NBoVAgQJ6U1MVXOaj8PK2l7WJ3RER9xtqwdhxkhw/edit?usp=sharing"",""ชัยนาท!J271"")"),0)</f>
        <v>0</v>
      </c>
      <c r="X59" s="221">
        <f t="shared" ca="1" si="11"/>
        <v>0</v>
      </c>
      <c r="Y59" s="220">
        <v>0</v>
      </c>
      <c r="Z59" s="218">
        <f ca="1">IFERROR(__xludf.DUMMYFUNCTION("IMPORTRANGE(""https://docs.google.com/spreadsheets/d/1SX6NBoVAgQJ6U1MVXOaj8PK2l7WJ3RER9xtqwdhxkhw/edit?usp=sharing"",""ชัยนาท!J272"")"),0)</f>
        <v>0</v>
      </c>
      <c r="AA59" s="221">
        <f t="shared" si="13"/>
        <v>0</v>
      </c>
      <c r="AB59" s="184"/>
    </row>
    <row r="60" spans="1:28" ht="24" customHeight="1" x14ac:dyDescent="0.5">
      <c r="A60" s="546">
        <v>6</v>
      </c>
      <c r="B60" s="194" t="s">
        <v>75</v>
      </c>
      <c r="C60" s="217">
        <f t="shared" si="66"/>
        <v>0</v>
      </c>
      <c r="D60" s="218">
        <v>0</v>
      </c>
      <c r="E60" s="218">
        <v>0</v>
      </c>
      <c r="F60" s="219">
        <f ca="1">IFERROR(__xludf.DUMMYFUNCTION("IMPORTRANGE(""https://docs.google.com/spreadsheets/d/1SX6NBoVAgQJ6U1MVXOaj8PK2l7WJ3RER9xtqwdhxkhw/edit?usp=sharing"",""ตราด!M244"")"),0)</f>
        <v>0</v>
      </c>
      <c r="G60" s="219">
        <f t="shared" si="1"/>
        <v>0</v>
      </c>
      <c r="H60" s="218">
        <v>0</v>
      </c>
      <c r="I60" s="219">
        <v>0</v>
      </c>
      <c r="J60" s="219">
        <f t="shared" si="3"/>
        <v>0</v>
      </c>
      <c r="K60" s="220">
        <f ca="1">IFERROR(__xludf.DUMMYFUNCTION("IMPORTRANGE(""https://docs.google.com/spreadsheets/d/1C3CXT74ZlgGe6_JY_1olB1XN4rF0dxEuIIF-xsYjHgg/edit?usp=sharing"",""งบกองทุน!H64"")"),0)</f>
        <v>0</v>
      </c>
      <c r="L60" s="218">
        <f t="shared" ca="1" si="67"/>
        <v>0</v>
      </c>
      <c r="M60" s="219">
        <f t="shared" ca="1" si="5"/>
        <v>0</v>
      </c>
      <c r="N60" s="218">
        <f ca="1">IFERROR(__xludf.DUMMYFUNCTION("IMPORTRANGE(""https://docs.google.com/spreadsheets/d/1SX6NBoVAgQJ6U1MVXOaj8PK2l7WJ3RER9xtqwdhxkhw/edit?usp=sharing"",""ตราด!J265"")"),0)</f>
        <v>0</v>
      </c>
      <c r="O60" s="218">
        <f ca="1">IFERROR(__xludf.DUMMYFUNCTION("IMPORTRANGE(""https://docs.google.com/spreadsheets/d/1SX6NBoVAgQJ6U1MVXOaj8PK2l7WJ3RER9xtqwdhxkhw/edit?usp=sharing"",""ตราด!J267"")"),0)</f>
        <v>0</v>
      </c>
      <c r="P60" s="218">
        <v>0</v>
      </c>
      <c r="Q60" s="218">
        <v>0</v>
      </c>
      <c r="R60" s="219">
        <f t="shared" si="7"/>
        <v>0</v>
      </c>
      <c r="S60" s="220">
        <f t="shared" si="68"/>
        <v>0</v>
      </c>
      <c r="T60" s="218">
        <f t="shared" ca="1" si="52"/>
        <v>0</v>
      </c>
      <c r="U60" s="221">
        <f t="shared" si="9"/>
        <v>0</v>
      </c>
      <c r="V60" s="220">
        <v>0</v>
      </c>
      <c r="W60" s="218">
        <f ca="1">IFERROR(__xludf.DUMMYFUNCTION("IMPORTRANGE(""https://docs.google.com/spreadsheets/d/1SX6NBoVAgQJ6U1MVXOaj8PK2l7WJ3RER9xtqwdhxkhw/edit?usp=sharing"",""ตราด!J271"")"),0)</f>
        <v>0</v>
      </c>
      <c r="X60" s="221">
        <f t="shared" si="11"/>
        <v>0</v>
      </c>
      <c r="Y60" s="220">
        <v>0</v>
      </c>
      <c r="Z60" s="218">
        <f ca="1">IFERROR(__xludf.DUMMYFUNCTION("IMPORTRANGE(""https://docs.google.com/spreadsheets/d/1SX6NBoVAgQJ6U1MVXOaj8PK2l7WJ3RER9xtqwdhxkhw/edit?usp=sharing"",""ตราด!J272"")"),0)</f>
        <v>0</v>
      </c>
      <c r="AA60" s="221">
        <f t="shared" si="13"/>
        <v>0</v>
      </c>
      <c r="AB60" s="184"/>
    </row>
    <row r="61" spans="1:28" ht="24" customHeight="1" x14ac:dyDescent="0.5">
      <c r="A61" s="546">
        <v>7</v>
      </c>
      <c r="B61" s="194" t="s">
        <v>76</v>
      </c>
      <c r="C61" s="217">
        <f t="shared" si="66"/>
        <v>78920</v>
      </c>
      <c r="D61" s="218">
        <v>0</v>
      </c>
      <c r="E61" s="218">
        <v>78920</v>
      </c>
      <c r="F61" s="219">
        <f ca="1">IFERROR(__xludf.DUMMYFUNCTION("IMPORTRANGE(""https://docs.google.com/spreadsheets/d/1SX6NBoVAgQJ6U1MVXOaj8PK2l7WJ3RER9xtqwdhxkhw/edit?usp=sharing"",""นครนายก!M244"")"),0)</f>
        <v>0</v>
      </c>
      <c r="G61" s="219">
        <f t="shared" ca="1" si="1"/>
        <v>0</v>
      </c>
      <c r="H61" s="218">
        <v>0</v>
      </c>
      <c r="I61" s="219">
        <v>0</v>
      </c>
      <c r="J61" s="219">
        <f t="shared" si="3"/>
        <v>0</v>
      </c>
      <c r="K61" s="220">
        <f ca="1">IFERROR(__xludf.DUMMYFUNCTION("IMPORTRANGE(""https://docs.google.com/spreadsheets/d/1C3CXT74ZlgGe6_JY_1olB1XN4rF0dxEuIIF-xsYjHgg/edit?usp=sharing"",""งบกองทุน!H65"")"),15)</f>
        <v>15</v>
      </c>
      <c r="L61" s="218">
        <f t="shared" ca="1" si="67"/>
        <v>0</v>
      </c>
      <c r="M61" s="219">
        <f t="shared" ca="1" si="5"/>
        <v>0</v>
      </c>
      <c r="N61" s="218">
        <f ca="1">IFERROR(__xludf.DUMMYFUNCTION("IMPORTRANGE(""https://docs.google.com/spreadsheets/d/1SX6NBoVAgQJ6U1MVXOaj8PK2l7WJ3RER9xtqwdhxkhw/edit?usp=sharing"",""นครนายก!J265"")"),0)</f>
        <v>0</v>
      </c>
      <c r="O61" s="218">
        <f ca="1">IFERROR(__xludf.DUMMYFUNCTION("IMPORTRANGE(""https://docs.google.com/spreadsheets/d/1SX6NBoVAgQJ6U1MVXOaj8PK2l7WJ3RER9xtqwdhxkhw/edit?usp=sharing"",""นครนายก!J267"")"),0)</f>
        <v>0</v>
      </c>
      <c r="P61" s="218">
        <v>0</v>
      </c>
      <c r="Q61" s="218">
        <v>0</v>
      </c>
      <c r="R61" s="219">
        <f t="shared" si="7"/>
        <v>0</v>
      </c>
      <c r="S61" s="220">
        <f t="shared" si="68"/>
        <v>25</v>
      </c>
      <c r="T61" s="218">
        <f t="shared" ca="1" si="52"/>
        <v>0</v>
      </c>
      <c r="U61" s="221">
        <f t="shared" ca="1" si="9"/>
        <v>0</v>
      </c>
      <c r="V61" s="220">
        <v>20</v>
      </c>
      <c r="W61" s="218">
        <f ca="1">IFERROR(__xludf.DUMMYFUNCTION("IMPORTRANGE(""https://docs.google.com/spreadsheets/d/1SX6NBoVAgQJ6U1MVXOaj8PK2l7WJ3RER9xtqwdhxkhw/edit?usp=sharing"",""นครนายก!J271"")"),0)</f>
        <v>0</v>
      </c>
      <c r="X61" s="221">
        <f t="shared" ca="1" si="11"/>
        <v>0</v>
      </c>
      <c r="Y61" s="220">
        <v>5</v>
      </c>
      <c r="Z61" s="218">
        <f ca="1">IFERROR(__xludf.DUMMYFUNCTION("IMPORTRANGE(""https://docs.google.com/spreadsheets/d/1SX6NBoVAgQJ6U1MVXOaj8PK2l7WJ3RER9xtqwdhxkhw/edit?usp=sharing"",""นครนายก!J272"")"),0)</f>
        <v>0</v>
      </c>
      <c r="AA61" s="221">
        <f t="shared" ca="1" si="13"/>
        <v>0</v>
      </c>
      <c r="AB61" s="184"/>
    </row>
    <row r="62" spans="1:28" ht="24" customHeight="1" x14ac:dyDescent="0.5">
      <c r="A62" s="546">
        <v>8</v>
      </c>
      <c r="B62" s="194" t="s">
        <v>77</v>
      </c>
      <c r="C62" s="217">
        <f t="shared" si="66"/>
        <v>0</v>
      </c>
      <c r="D62" s="218">
        <v>0</v>
      </c>
      <c r="E62" s="218">
        <v>0</v>
      </c>
      <c r="F62" s="219">
        <f ca="1">IFERROR(__xludf.DUMMYFUNCTION("IMPORTRANGE(""https://docs.google.com/spreadsheets/d/1SX6NBoVAgQJ6U1MVXOaj8PK2l7WJ3RER9xtqwdhxkhw/edit?usp=sharing"",""นครปฐม!M244"")"),0)</f>
        <v>0</v>
      </c>
      <c r="G62" s="219">
        <f t="shared" si="1"/>
        <v>0</v>
      </c>
      <c r="H62" s="218">
        <v>0</v>
      </c>
      <c r="I62" s="219">
        <v>0</v>
      </c>
      <c r="J62" s="219">
        <f t="shared" si="3"/>
        <v>0</v>
      </c>
      <c r="K62" s="220">
        <f ca="1">IFERROR(__xludf.DUMMYFUNCTION("IMPORTRANGE(""https://docs.google.com/spreadsheets/d/1C3CXT74ZlgGe6_JY_1olB1XN4rF0dxEuIIF-xsYjHgg/edit?usp=sharing"",""งบกองทุน!H66"")"),0)</f>
        <v>0</v>
      </c>
      <c r="L62" s="218">
        <f t="shared" ca="1" si="67"/>
        <v>0</v>
      </c>
      <c r="M62" s="219">
        <f t="shared" ca="1" si="5"/>
        <v>0</v>
      </c>
      <c r="N62" s="218">
        <f ca="1">IFERROR(__xludf.DUMMYFUNCTION("IMPORTRANGE(""https://docs.google.com/spreadsheets/d/1SX6NBoVAgQJ6U1MVXOaj8PK2l7WJ3RER9xtqwdhxkhw/edit?usp=sharing"",""นครปฐม!J265"")"),0)</f>
        <v>0</v>
      </c>
      <c r="O62" s="218">
        <f ca="1">IFERROR(__xludf.DUMMYFUNCTION("IMPORTRANGE(""https://docs.google.com/spreadsheets/d/1SX6NBoVAgQJ6U1MVXOaj8PK2l7WJ3RER9xtqwdhxkhw/edit?usp=sharing"",""นครปฐม!J267"")"),0)</f>
        <v>0</v>
      </c>
      <c r="P62" s="218">
        <v>0</v>
      </c>
      <c r="Q62" s="218">
        <v>0</v>
      </c>
      <c r="R62" s="219">
        <f t="shared" si="7"/>
        <v>0</v>
      </c>
      <c r="S62" s="220">
        <f t="shared" si="68"/>
        <v>0</v>
      </c>
      <c r="T62" s="218">
        <f t="shared" ca="1" si="52"/>
        <v>0</v>
      </c>
      <c r="U62" s="221">
        <f t="shared" si="9"/>
        <v>0</v>
      </c>
      <c r="V62" s="220">
        <v>0</v>
      </c>
      <c r="W62" s="218">
        <f ca="1">IFERROR(__xludf.DUMMYFUNCTION("IMPORTRANGE(""https://docs.google.com/spreadsheets/d/1SX6NBoVAgQJ6U1MVXOaj8PK2l7WJ3RER9xtqwdhxkhw/edit?usp=sharing"",""นครปฐม!J271"")"),0)</f>
        <v>0</v>
      </c>
      <c r="X62" s="221">
        <f t="shared" si="11"/>
        <v>0</v>
      </c>
      <c r="Y62" s="220">
        <v>0</v>
      </c>
      <c r="Z62" s="218">
        <f ca="1">IFERROR(__xludf.DUMMYFUNCTION("IMPORTRANGE(""https://docs.google.com/spreadsheets/d/1SX6NBoVAgQJ6U1MVXOaj8PK2l7WJ3RER9xtqwdhxkhw/edit?usp=sharing"",""นครปฐม!J272"")"),0)</f>
        <v>0</v>
      </c>
      <c r="AA62" s="221">
        <f t="shared" si="13"/>
        <v>0</v>
      </c>
      <c r="AB62" s="184"/>
    </row>
    <row r="63" spans="1:28" ht="24" customHeight="1" x14ac:dyDescent="0.5">
      <c r="A63" s="546">
        <v>9</v>
      </c>
      <c r="B63" s="194" t="s">
        <v>78</v>
      </c>
      <c r="C63" s="217">
        <f t="shared" si="66"/>
        <v>47160</v>
      </c>
      <c r="D63" s="218">
        <v>0</v>
      </c>
      <c r="E63" s="218">
        <v>47160</v>
      </c>
      <c r="F63" s="219">
        <f ca="1">IFERROR(__xludf.DUMMYFUNCTION("IMPORTRANGE(""https://docs.google.com/spreadsheets/d/1SX6NBoVAgQJ6U1MVXOaj8PK2l7WJ3RER9xtqwdhxkhw/edit?usp=sharing"",""ปทุมธานี!M244"")"),0)</f>
        <v>0</v>
      </c>
      <c r="G63" s="219">
        <f t="shared" ca="1" si="1"/>
        <v>0</v>
      </c>
      <c r="H63" s="218">
        <v>0</v>
      </c>
      <c r="I63" s="219">
        <v>0</v>
      </c>
      <c r="J63" s="219">
        <f t="shared" si="3"/>
        <v>0</v>
      </c>
      <c r="K63" s="220">
        <f ca="1">IFERROR(__xludf.DUMMYFUNCTION("IMPORTRANGE(""https://docs.google.com/spreadsheets/d/1C3CXT74ZlgGe6_JY_1olB1XN4rF0dxEuIIF-xsYjHgg/edit?usp=sharing"",""งบกองทุน!H67"")"),6)</f>
        <v>6</v>
      </c>
      <c r="L63" s="218">
        <f t="shared" ca="1" si="67"/>
        <v>0</v>
      </c>
      <c r="M63" s="219">
        <f t="shared" ca="1" si="5"/>
        <v>0</v>
      </c>
      <c r="N63" s="218">
        <f ca="1">IFERROR(__xludf.DUMMYFUNCTION("IMPORTRANGE(""https://docs.google.com/spreadsheets/d/1SX6NBoVAgQJ6U1MVXOaj8PK2l7WJ3RER9xtqwdhxkhw/edit?usp=sharing"",""ปทุมธานี!J265"")"),0)</f>
        <v>0</v>
      </c>
      <c r="O63" s="218">
        <f ca="1">IFERROR(__xludf.DUMMYFUNCTION("IMPORTRANGE(""https://docs.google.com/spreadsheets/d/1SX6NBoVAgQJ6U1MVXOaj8PK2l7WJ3RER9xtqwdhxkhw/edit?usp=sharing"",""ปทุมธานี!J267"")"),0)</f>
        <v>0</v>
      </c>
      <c r="P63" s="218">
        <v>0</v>
      </c>
      <c r="Q63" s="218">
        <v>0</v>
      </c>
      <c r="R63" s="219">
        <f t="shared" si="7"/>
        <v>0</v>
      </c>
      <c r="S63" s="220">
        <f t="shared" si="68"/>
        <v>12</v>
      </c>
      <c r="T63" s="218">
        <f t="shared" ca="1" si="52"/>
        <v>0</v>
      </c>
      <c r="U63" s="221">
        <f t="shared" ca="1" si="9"/>
        <v>0</v>
      </c>
      <c r="V63" s="220">
        <v>12</v>
      </c>
      <c r="W63" s="218">
        <f ca="1">IFERROR(__xludf.DUMMYFUNCTION("IMPORTRANGE(""https://docs.google.com/spreadsheets/d/1SX6NBoVAgQJ6U1MVXOaj8PK2l7WJ3RER9xtqwdhxkhw/edit?usp=sharing"",""ปทุมธานี!J271"")"),0)</f>
        <v>0</v>
      </c>
      <c r="X63" s="221">
        <f t="shared" ca="1" si="11"/>
        <v>0</v>
      </c>
      <c r="Y63" s="220">
        <v>0</v>
      </c>
      <c r="Z63" s="218">
        <f ca="1">IFERROR(__xludf.DUMMYFUNCTION("IMPORTRANGE(""https://docs.google.com/spreadsheets/d/1SX6NBoVAgQJ6U1MVXOaj8PK2l7WJ3RER9xtqwdhxkhw/edit?usp=sharing"",""ปทุมธานี!J272"")"),0)</f>
        <v>0</v>
      </c>
      <c r="AA63" s="221">
        <f t="shared" si="13"/>
        <v>0</v>
      </c>
      <c r="AB63" s="184"/>
    </row>
    <row r="64" spans="1:28" ht="24" customHeight="1" x14ac:dyDescent="0.5">
      <c r="A64" s="546">
        <v>10</v>
      </c>
      <c r="B64" s="194" t="s">
        <v>79</v>
      </c>
      <c r="C64" s="217">
        <f t="shared" si="66"/>
        <v>0</v>
      </c>
      <c r="D64" s="218">
        <v>0</v>
      </c>
      <c r="E64" s="218">
        <v>0</v>
      </c>
      <c r="F64" s="219">
        <f ca="1">IFERROR(__xludf.DUMMYFUNCTION("IMPORTRANGE(""https://docs.google.com/spreadsheets/d/1SX6NBoVAgQJ6U1MVXOaj8PK2l7WJ3RER9xtqwdhxkhw/edit?usp=sharing"",""ประจวบคีรีขันธ์!M244"")"),0)</f>
        <v>0</v>
      </c>
      <c r="G64" s="219">
        <f t="shared" si="1"/>
        <v>0</v>
      </c>
      <c r="H64" s="218">
        <v>0</v>
      </c>
      <c r="I64" s="219">
        <v>0</v>
      </c>
      <c r="J64" s="219">
        <f t="shared" si="3"/>
        <v>0</v>
      </c>
      <c r="K64" s="220">
        <f ca="1">IFERROR(__xludf.DUMMYFUNCTION("IMPORTRANGE(""https://docs.google.com/spreadsheets/d/1C3CXT74ZlgGe6_JY_1olB1XN4rF0dxEuIIF-xsYjHgg/edit?usp=sharing"",""งบกองทุน!H68"")"),0)</f>
        <v>0</v>
      </c>
      <c r="L64" s="218">
        <f t="shared" ca="1" si="67"/>
        <v>0</v>
      </c>
      <c r="M64" s="219">
        <f t="shared" ca="1" si="5"/>
        <v>0</v>
      </c>
      <c r="N64" s="218">
        <f ca="1">IFERROR(__xludf.DUMMYFUNCTION("IMPORTRANGE(""https://docs.google.com/spreadsheets/d/1SX6NBoVAgQJ6U1MVXOaj8PK2l7WJ3RER9xtqwdhxkhw/edit?usp=sharing"",""ประจวบคีรีขันธ์!J265"")"),0)</f>
        <v>0</v>
      </c>
      <c r="O64" s="218">
        <f ca="1">IFERROR(__xludf.DUMMYFUNCTION("IMPORTRANGE(""https://docs.google.com/spreadsheets/d/1SX6NBoVAgQJ6U1MVXOaj8PK2l7WJ3RER9xtqwdhxkhw/edit?usp=sharing"",""ประจวบคีรีขันธ์!J267"")"),0)</f>
        <v>0</v>
      </c>
      <c r="P64" s="218">
        <v>0</v>
      </c>
      <c r="Q64" s="218">
        <v>0</v>
      </c>
      <c r="R64" s="219">
        <f t="shared" si="7"/>
        <v>0</v>
      </c>
      <c r="S64" s="220">
        <f t="shared" si="68"/>
        <v>0</v>
      </c>
      <c r="T64" s="218">
        <f t="shared" ca="1" si="52"/>
        <v>0</v>
      </c>
      <c r="U64" s="221">
        <f t="shared" si="9"/>
        <v>0</v>
      </c>
      <c r="V64" s="220">
        <v>0</v>
      </c>
      <c r="W64" s="218">
        <f ca="1">IFERROR(__xludf.DUMMYFUNCTION("IMPORTRANGE(""https://docs.google.com/spreadsheets/d/1SX6NBoVAgQJ6U1MVXOaj8PK2l7WJ3RER9xtqwdhxkhw/edit?usp=sharing"",""ประจวบคีรีขันธ์!J271"")"),0)</f>
        <v>0</v>
      </c>
      <c r="X64" s="221">
        <f t="shared" si="11"/>
        <v>0</v>
      </c>
      <c r="Y64" s="220">
        <v>0</v>
      </c>
      <c r="Z64" s="218">
        <f ca="1">IFERROR(__xludf.DUMMYFUNCTION("IMPORTRANGE(""https://docs.google.com/spreadsheets/d/1SX6NBoVAgQJ6U1MVXOaj8PK2l7WJ3RER9xtqwdhxkhw/edit?usp=sharing"",""ประจวบคีรีขันธ์!J272"")"),0)</f>
        <v>0</v>
      </c>
      <c r="AA64" s="221">
        <f t="shared" si="13"/>
        <v>0</v>
      </c>
      <c r="AB64" s="184"/>
    </row>
    <row r="65" spans="1:28" ht="24" customHeight="1" x14ac:dyDescent="0.5">
      <c r="A65" s="546">
        <v>11</v>
      </c>
      <c r="B65" s="194" t="s">
        <v>80</v>
      </c>
      <c r="C65" s="217">
        <f t="shared" si="66"/>
        <v>93120</v>
      </c>
      <c r="D65" s="218">
        <v>0</v>
      </c>
      <c r="E65" s="218">
        <v>93120</v>
      </c>
      <c r="F65" s="219">
        <f ca="1">IFERROR(__xludf.DUMMYFUNCTION("IMPORTRANGE(""https://docs.google.com/spreadsheets/d/1SX6NBoVAgQJ6U1MVXOaj8PK2l7WJ3RER9xtqwdhxkhw/edit?usp=sharing"",""ปราจีนบุรี!M244"")"),0)</f>
        <v>0</v>
      </c>
      <c r="G65" s="219">
        <f t="shared" ca="1" si="1"/>
        <v>0</v>
      </c>
      <c r="H65" s="218">
        <v>0</v>
      </c>
      <c r="I65" s="219">
        <v>0</v>
      </c>
      <c r="J65" s="219">
        <f t="shared" si="3"/>
        <v>0</v>
      </c>
      <c r="K65" s="220">
        <f ca="1">IFERROR(__xludf.DUMMYFUNCTION("IMPORTRANGE(""https://docs.google.com/spreadsheets/d/1C3CXT74ZlgGe6_JY_1olB1XN4rF0dxEuIIF-xsYjHgg/edit?usp=sharing"",""งบกองทุน!H69"")"),20)</f>
        <v>20</v>
      </c>
      <c r="L65" s="218">
        <f t="shared" ca="1" si="67"/>
        <v>0</v>
      </c>
      <c r="M65" s="219">
        <f t="shared" ca="1" si="5"/>
        <v>0</v>
      </c>
      <c r="N65" s="218">
        <f ca="1">IFERROR(__xludf.DUMMYFUNCTION("IMPORTRANGE(""https://docs.google.com/spreadsheets/d/1SX6NBoVAgQJ6U1MVXOaj8PK2l7WJ3RER9xtqwdhxkhw/edit?usp=sharing"",""ปราจีนบุรี!J265"")"),0)</f>
        <v>0</v>
      </c>
      <c r="O65" s="218">
        <f ca="1">IFERROR(__xludf.DUMMYFUNCTION("IMPORTRANGE(""https://docs.google.com/spreadsheets/d/1SX6NBoVAgQJ6U1MVXOaj8PK2l7WJ3RER9xtqwdhxkhw/edit?usp=sharing"",""ปราจีนบุรี!J267"")"),0)</f>
        <v>0</v>
      </c>
      <c r="P65" s="218">
        <v>0</v>
      </c>
      <c r="Q65" s="218">
        <v>0</v>
      </c>
      <c r="R65" s="219">
        <f t="shared" si="7"/>
        <v>0</v>
      </c>
      <c r="S65" s="220">
        <f t="shared" si="68"/>
        <v>60</v>
      </c>
      <c r="T65" s="218">
        <f t="shared" ca="1" si="52"/>
        <v>0</v>
      </c>
      <c r="U65" s="221">
        <f t="shared" ca="1" si="9"/>
        <v>0</v>
      </c>
      <c r="V65" s="220">
        <v>0</v>
      </c>
      <c r="W65" s="218">
        <f ca="1">IFERROR(__xludf.DUMMYFUNCTION("IMPORTRANGE(""https://docs.google.com/spreadsheets/d/1SX6NBoVAgQJ6U1MVXOaj8PK2l7WJ3RER9xtqwdhxkhw/edit?usp=sharing"",""ปราจีนบุรี!J271"")"),0)</f>
        <v>0</v>
      </c>
      <c r="X65" s="221">
        <f t="shared" si="11"/>
        <v>0</v>
      </c>
      <c r="Y65" s="220">
        <v>60</v>
      </c>
      <c r="Z65" s="218">
        <f ca="1">IFERROR(__xludf.DUMMYFUNCTION("IMPORTRANGE(""https://docs.google.com/spreadsheets/d/1SX6NBoVAgQJ6U1MVXOaj8PK2l7WJ3RER9xtqwdhxkhw/edit?usp=sharing"",""ปราจีนบุรี!J272"")"),0)</f>
        <v>0</v>
      </c>
      <c r="AA65" s="221">
        <f t="shared" ca="1" si="13"/>
        <v>0</v>
      </c>
      <c r="AB65" s="184"/>
    </row>
    <row r="66" spans="1:28" ht="24" customHeight="1" x14ac:dyDescent="0.5">
      <c r="A66" s="546">
        <v>12</v>
      </c>
      <c r="B66" s="194" t="s">
        <v>81</v>
      </c>
      <c r="C66" s="217">
        <f t="shared" si="66"/>
        <v>0</v>
      </c>
      <c r="D66" s="218">
        <v>0</v>
      </c>
      <c r="E66" s="218">
        <v>0</v>
      </c>
      <c r="F66" s="219">
        <f ca="1">IFERROR(__xludf.DUMMYFUNCTION("IMPORTRANGE(""https://docs.google.com/spreadsheets/d/1SX6NBoVAgQJ6U1MVXOaj8PK2l7WJ3RER9xtqwdhxkhw/edit?usp=sharing"",""พระนครศรีอยุธยา!M244"")"),0)</f>
        <v>0</v>
      </c>
      <c r="G66" s="219">
        <f t="shared" si="1"/>
        <v>0</v>
      </c>
      <c r="H66" s="218">
        <v>0</v>
      </c>
      <c r="I66" s="219">
        <v>0</v>
      </c>
      <c r="J66" s="219">
        <f t="shared" si="3"/>
        <v>0</v>
      </c>
      <c r="K66" s="220">
        <f ca="1">IFERROR(__xludf.DUMMYFUNCTION("IMPORTRANGE(""https://docs.google.com/spreadsheets/d/1C3CXT74ZlgGe6_JY_1olB1XN4rF0dxEuIIF-xsYjHgg/edit?usp=sharing"",""งบกองทุน!H70"")"),0)</f>
        <v>0</v>
      </c>
      <c r="L66" s="218">
        <f t="shared" ca="1" si="67"/>
        <v>0</v>
      </c>
      <c r="M66" s="219">
        <f t="shared" ca="1" si="5"/>
        <v>0</v>
      </c>
      <c r="N66" s="218">
        <f ca="1">IFERROR(__xludf.DUMMYFUNCTION("IMPORTRANGE(""https://docs.google.com/spreadsheets/d/1SX6NBoVAgQJ6U1MVXOaj8PK2l7WJ3RER9xtqwdhxkhw/edit?usp=sharing"",""พระนครศรีอยุธยา!J265"")"),0)</f>
        <v>0</v>
      </c>
      <c r="O66" s="218">
        <f ca="1">IFERROR(__xludf.DUMMYFUNCTION("IMPORTRANGE(""https://docs.google.com/spreadsheets/d/1SX6NBoVAgQJ6U1MVXOaj8PK2l7WJ3RER9xtqwdhxkhw/edit?usp=sharing"",""พระนครศรีอยุธยา!J267"")"),0)</f>
        <v>0</v>
      </c>
      <c r="P66" s="218">
        <v>0</v>
      </c>
      <c r="Q66" s="218">
        <v>0</v>
      </c>
      <c r="R66" s="219">
        <f t="shared" si="7"/>
        <v>0</v>
      </c>
      <c r="S66" s="220">
        <f t="shared" si="68"/>
        <v>0</v>
      </c>
      <c r="T66" s="218">
        <f t="shared" ca="1" si="52"/>
        <v>0</v>
      </c>
      <c r="U66" s="221">
        <f t="shared" si="9"/>
        <v>0</v>
      </c>
      <c r="V66" s="220">
        <v>0</v>
      </c>
      <c r="W66" s="218">
        <f ca="1">IFERROR(__xludf.DUMMYFUNCTION("IMPORTRANGE(""https://docs.google.com/spreadsheets/d/1SX6NBoVAgQJ6U1MVXOaj8PK2l7WJ3RER9xtqwdhxkhw/edit?usp=sharing"",""พระนครศรีอยุธยา!J271"")"),0)</f>
        <v>0</v>
      </c>
      <c r="X66" s="221">
        <f t="shared" si="11"/>
        <v>0</v>
      </c>
      <c r="Y66" s="220">
        <v>0</v>
      </c>
      <c r="Z66" s="218">
        <f ca="1">IFERROR(__xludf.DUMMYFUNCTION("IMPORTRANGE(""https://docs.google.com/spreadsheets/d/1SX6NBoVAgQJ6U1MVXOaj8PK2l7WJ3RER9xtqwdhxkhw/edit?usp=sharing"",""พระนครศรีอยุธยา!J272"")"),0)</f>
        <v>0</v>
      </c>
      <c r="AA66" s="221">
        <f t="shared" si="13"/>
        <v>0</v>
      </c>
      <c r="AB66" s="184"/>
    </row>
    <row r="67" spans="1:28" ht="24" customHeight="1" x14ac:dyDescent="0.5">
      <c r="A67" s="546">
        <v>13</v>
      </c>
      <c r="B67" s="194" t="s">
        <v>82</v>
      </c>
      <c r="C67" s="217">
        <f t="shared" si="66"/>
        <v>0</v>
      </c>
      <c r="D67" s="218">
        <v>0</v>
      </c>
      <c r="E67" s="218">
        <v>0</v>
      </c>
      <c r="F67" s="219">
        <f ca="1">IFERROR(__xludf.DUMMYFUNCTION("IMPORTRANGE(""https://docs.google.com/spreadsheets/d/1SX6NBoVAgQJ6U1MVXOaj8PK2l7WJ3RER9xtqwdhxkhw/edit?usp=sharing"",""เพชรบุรี!M244"")"),0)</f>
        <v>0</v>
      </c>
      <c r="G67" s="219">
        <f t="shared" si="1"/>
        <v>0</v>
      </c>
      <c r="H67" s="218">
        <v>0</v>
      </c>
      <c r="I67" s="219">
        <v>0</v>
      </c>
      <c r="J67" s="219">
        <f t="shared" si="3"/>
        <v>0</v>
      </c>
      <c r="K67" s="220">
        <f ca="1">IFERROR(__xludf.DUMMYFUNCTION("IMPORTRANGE(""https://docs.google.com/spreadsheets/d/1C3CXT74ZlgGe6_JY_1olB1XN4rF0dxEuIIF-xsYjHgg/edit?usp=sharing"",""งบกองทุน!H71"")"),0)</f>
        <v>0</v>
      </c>
      <c r="L67" s="218">
        <f t="shared" ca="1" si="67"/>
        <v>0</v>
      </c>
      <c r="M67" s="219">
        <f t="shared" ca="1" si="5"/>
        <v>0</v>
      </c>
      <c r="N67" s="218">
        <f ca="1">IFERROR(__xludf.DUMMYFUNCTION("IMPORTRANGE(""https://docs.google.com/spreadsheets/d/1SX6NBoVAgQJ6U1MVXOaj8PK2l7WJ3RER9xtqwdhxkhw/edit?usp=sharing"",""เพชรบุรี!J265"")"),0)</f>
        <v>0</v>
      </c>
      <c r="O67" s="218">
        <f ca="1">IFERROR(__xludf.DUMMYFUNCTION("IMPORTRANGE(""https://docs.google.com/spreadsheets/d/1SX6NBoVAgQJ6U1MVXOaj8PK2l7WJ3RER9xtqwdhxkhw/edit?usp=sharing"",""เพชรบุรี!J267"")"),0)</f>
        <v>0</v>
      </c>
      <c r="P67" s="218">
        <v>0</v>
      </c>
      <c r="Q67" s="218">
        <v>0</v>
      </c>
      <c r="R67" s="219">
        <f t="shared" si="7"/>
        <v>0</v>
      </c>
      <c r="S67" s="220">
        <f t="shared" si="68"/>
        <v>0</v>
      </c>
      <c r="T67" s="218">
        <f t="shared" ca="1" si="52"/>
        <v>0</v>
      </c>
      <c r="U67" s="221">
        <f t="shared" si="9"/>
        <v>0</v>
      </c>
      <c r="V67" s="220">
        <v>0</v>
      </c>
      <c r="W67" s="218">
        <f ca="1">IFERROR(__xludf.DUMMYFUNCTION("IMPORTRANGE(""https://docs.google.com/spreadsheets/d/1SX6NBoVAgQJ6U1MVXOaj8PK2l7WJ3RER9xtqwdhxkhw/edit?usp=sharing"",""เพชรบุรี!J271"")"),0)</f>
        <v>0</v>
      </c>
      <c r="X67" s="221">
        <f t="shared" si="11"/>
        <v>0</v>
      </c>
      <c r="Y67" s="220">
        <v>0</v>
      </c>
      <c r="Z67" s="218">
        <f ca="1">IFERROR(__xludf.DUMMYFUNCTION("IMPORTRANGE(""https://docs.google.com/spreadsheets/d/1SX6NBoVAgQJ6U1MVXOaj8PK2l7WJ3RER9xtqwdhxkhw/edit?usp=sharing"",""เพชรบุรี!J272"")"),0)</f>
        <v>0</v>
      </c>
      <c r="AA67" s="221">
        <f t="shared" si="13"/>
        <v>0</v>
      </c>
      <c r="AB67" s="184"/>
    </row>
    <row r="68" spans="1:28" ht="24" customHeight="1" x14ac:dyDescent="0.5">
      <c r="A68" s="546">
        <v>14</v>
      </c>
      <c r="B68" s="194" t="s">
        <v>83</v>
      </c>
      <c r="C68" s="217">
        <f t="shared" si="66"/>
        <v>280560</v>
      </c>
      <c r="D68" s="218">
        <v>0</v>
      </c>
      <c r="E68" s="218">
        <v>280560</v>
      </c>
      <c r="F68" s="219">
        <f ca="1">IFERROR(__xludf.DUMMYFUNCTION("IMPORTRANGE(""https://docs.google.com/spreadsheets/d/1SX6NBoVAgQJ6U1MVXOaj8PK2l7WJ3RER9xtqwdhxkhw/edit?usp=sharing"",""ระยอง!M244"")"),0)</f>
        <v>0</v>
      </c>
      <c r="G68" s="219">
        <f t="shared" ca="1" si="1"/>
        <v>0</v>
      </c>
      <c r="H68" s="218">
        <v>0</v>
      </c>
      <c r="I68" s="219">
        <v>0</v>
      </c>
      <c r="J68" s="219">
        <f t="shared" si="3"/>
        <v>0</v>
      </c>
      <c r="K68" s="220">
        <f ca="1">IFERROR(__xludf.DUMMYFUNCTION("IMPORTRANGE(""https://docs.google.com/spreadsheets/d/1C3CXT74ZlgGe6_JY_1olB1XN4rF0dxEuIIF-xsYjHgg/edit?usp=sharing"",""งบกองทุน!H72"")"),25)</f>
        <v>25</v>
      </c>
      <c r="L68" s="218">
        <f t="shared" ca="1" si="67"/>
        <v>0</v>
      </c>
      <c r="M68" s="219">
        <f t="shared" ca="1" si="5"/>
        <v>0</v>
      </c>
      <c r="N68" s="218">
        <f ca="1">IFERROR(__xludf.DUMMYFUNCTION("IMPORTRANGE(""https://docs.google.com/spreadsheets/d/1SX6NBoVAgQJ6U1MVXOaj8PK2l7WJ3RER9xtqwdhxkhw/edit?usp=sharing"",""ระยอง!J265"")"),0)</f>
        <v>0</v>
      </c>
      <c r="O68" s="218">
        <f ca="1">IFERROR(__xludf.DUMMYFUNCTION("IMPORTRANGE(""https://docs.google.com/spreadsheets/d/1SX6NBoVAgQJ6U1MVXOaj8PK2l7WJ3RER9xtqwdhxkhw/edit?usp=sharing"",""ระยอง!J267"")"),0)</f>
        <v>0</v>
      </c>
      <c r="P68" s="218">
        <v>0</v>
      </c>
      <c r="Q68" s="218">
        <v>0</v>
      </c>
      <c r="R68" s="219">
        <f t="shared" si="7"/>
        <v>0</v>
      </c>
      <c r="S68" s="220">
        <f t="shared" si="68"/>
        <v>80</v>
      </c>
      <c r="T68" s="218">
        <f t="shared" ca="1" si="52"/>
        <v>0</v>
      </c>
      <c r="U68" s="221">
        <f t="shared" ca="1" si="9"/>
        <v>0</v>
      </c>
      <c r="V68" s="220">
        <v>15</v>
      </c>
      <c r="W68" s="218">
        <f ca="1">IFERROR(__xludf.DUMMYFUNCTION("IMPORTRANGE(""https://docs.google.com/spreadsheets/d/1SX6NBoVAgQJ6U1MVXOaj8PK2l7WJ3RER9xtqwdhxkhw/edit?usp=sharing"",""ระยอง!J271"")"),0)</f>
        <v>0</v>
      </c>
      <c r="X68" s="221">
        <f t="shared" ca="1" si="11"/>
        <v>0</v>
      </c>
      <c r="Y68" s="220">
        <v>65</v>
      </c>
      <c r="Z68" s="218">
        <f ca="1">IFERROR(__xludf.DUMMYFUNCTION("IMPORTRANGE(""https://docs.google.com/spreadsheets/d/1SX6NBoVAgQJ6U1MVXOaj8PK2l7WJ3RER9xtqwdhxkhw/edit?usp=sharing"",""ระยอง!J272"")"),0)</f>
        <v>0</v>
      </c>
      <c r="AA68" s="221">
        <f t="shared" ca="1" si="13"/>
        <v>0</v>
      </c>
      <c r="AB68" s="184"/>
    </row>
    <row r="69" spans="1:28" ht="24" customHeight="1" x14ac:dyDescent="0.5">
      <c r="A69" s="546">
        <v>15</v>
      </c>
      <c r="B69" s="194" t="s">
        <v>84</v>
      </c>
      <c r="C69" s="217">
        <f t="shared" si="66"/>
        <v>0</v>
      </c>
      <c r="D69" s="218">
        <v>0</v>
      </c>
      <c r="E69" s="218">
        <v>0</v>
      </c>
      <c r="F69" s="219">
        <f ca="1">IFERROR(__xludf.DUMMYFUNCTION("IMPORTRANGE(""https://docs.google.com/spreadsheets/d/1SX6NBoVAgQJ6U1MVXOaj8PK2l7WJ3RER9xtqwdhxkhw/edit?usp=sharing"",""ราชบุรี!M244"")"),0)</f>
        <v>0</v>
      </c>
      <c r="G69" s="219">
        <f t="shared" si="1"/>
        <v>0</v>
      </c>
      <c r="H69" s="218">
        <v>0</v>
      </c>
      <c r="I69" s="219">
        <v>0</v>
      </c>
      <c r="J69" s="219">
        <f t="shared" si="3"/>
        <v>0</v>
      </c>
      <c r="K69" s="220">
        <f ca="1">IFERROR(__xludf.DUMMYFUNCTION("IMPORTRANGE(""https://docs.google.com/spreadsheets/d/1C3CXT74ZlgGe6_JY_1olB1XN4rF0dxEuIIF-xsYjHgg/edit?usp=sharing"",""งบกองทุน!H73"")"),0)</f>
        <v>0</v>
      </c>
      <c r="L69" s="218">
        <f t="shared" ca="1" si="67"/>
        <v>0</v>
      </c>
      <c r="M69" s="219">
        <f t="shared" ca="1" si="5"/>
        <v>0</v>
      </c>
      <c r="N69" s="218">
        <f ca="1">IFERROR(__xludf.DUMMYFUNCTION("IMPORTRANGE(""https://docs.google.com/spreadsheets/d/1SX6NBoVAgQJ6U1MVXOaj8PK2l7WJ3RER9xtqwdhxkhw/edit?usp=sharing"",""ราชบุรี!J265"")"),0)</f>
        <v>0</v>
      </c>
      <c r="O69" s="218">
        <f ca="1">IFERROR(__xludf.DUMMYFUNCTION("IMPORTRANGE(""https://docs.google.com/spreadsheets/d/1SX6NBoVAgQJ6U1MVXOaj8PK2l7WJ3RER9xtqwdhxkhw/edit?usp=sharing"",""ราชบุรี!J267"")"),0)</f>
        <v>0</v>
      </c>
      <c r="P69" s="218">
        <v>0</v>
      </c>
      <c r="Q69" s="218">
        <v>0</v>
      </c>
      <c r="R69" s="219">
        <f t="shared" si="7"/>
        <v>0</v>
      </c>
      <c r="S69" s="220">
        <f t="shared" si="68"/>
        <v>0</v>
      </c>
      <c r="T69" s="218">
        <f t="shared" ca="1" si="52"/>
        <v>0</v>
      </c>
      <c r="U69" s="221">
        <f t="shared" si="9"/>
        <v>0</v>
      </c>
      <c r="V69" s="220">
        <v>0</v>
      </c>
      <c r="W69" s="218">
        <f ca="1">IFERROR(__xludf.DUMMYFUNCTION("IMPORTRANGE(""https://docs.google.com/spreadsheets/d/1SX6NBoVAgQJ6U1MVXOaj8PK2l7WJ3RER9xtqwdhxkhw/edit?usp=sharing"",""ราชบุรี!J271"")"),0)</f>
        <v>0</v>
      </c>
      <c r="X69" s="221">
        <f t="shared" si="11"/>
        <v>0</v>
      </c>
      <c r="Y69" s="220">
        <v>0</v>
      </c>
      <c r="Z69" s="218">
        <f ca="1">IFERROR(__xludf.DUMMYFUNCTION("IMPORTRANGE(""https://docs.google.com/spreadsheets/d/1SX6NBoVAgQJ6U1MVXOaj8PK2l7WJ3RER9xtqwdhxkhw/edit?usp=sharing"",""ราชบุรี!J272"")"),0)</f>
        <v>0</v>
      </c>
      <c r="AA69" s="221">
        <f t="shared" si="13"/>
        <v>0</v>
      </c>
      <c r="AB69" s="184"/>
    </row>
    <row r="70" spans="1:28" ht="24" customHeight="1" x14ac:dyDescent="0.5">
      <c r="A70" s="546">
        <v>16</v>
      </c>
      <c r="B70" s="194" t="s">
        <v>85</v>
      </c>
      <c r="C70" s="217">
        <f t="shared" si="66"/>
        <v>289160</v>
      </c>
      <c r="D70" s="218">
        <v>0</v>
      </c>
      <c r="E70" s="218">
        <v>289160</v>
      </c>
      <c r="F70" s="219">
        <f ca="1">IFERROR(__xludf.DUMMYFUNCTION("IMPORTRANGE(""https://docs.google.com/spreadsheets/d/1SX6NBoVAgQJ6U1MVXOaj8PK2l7WJ3RER9xtqwdhxkhw/edit?usp=sharing"",""ลพบุรี!M244"")"),0)</f>
        <v>0</v>
      </c>
      <c r="G70" s="219">
        <f t="shared" ca="1" si="1"/>
        <v>0</v>
      </c>
      <c r="H70" s="218">
        <v>0</v>
      </c>
      <c r="I70" s="219">
        <v>0</v>
      </c>
      <c r="J70" s="219">
        <f t="shared" si="3"/>
        <v>0</v>
      </c>
      <c r="K70" s="220">
        <f ca="1">IFERROR(__xludf.DUMMYFUNCTION("IMPORTRANGE(""https://docs.google.com/spreadsheets/d/1C3CXT74ZlgGe6_JY_1olB1XN4rF0dxEuIIF-xsYjHgg/edit?usp=sharing"",""งบกองทุน!H74"")"),40)</f>
        <v>40</v>
      </c>
      <c r="L70" s="218">
        <f t="shared" ca="1" si="67"/>
        <v>0</v>
      </c>
      <c r="M70" s="219">
        <f t="shared" ca="1" si="5"/>
        <v>0</v>
      </c>
      <c r="N70" s="218">
        <f ca="1">IFERROR(__xludf.DUMMYFUNCTION("IMPORTRANGE(""https://docs.google.com/spreadsheets/d/1SX6NBoVAgQJ6U1MVXOaj8PK2l7WJ3RER9xtqwdhxkhw/edit?usp=sharing"",""ลพบุรี!J265"")"),0)</f>
        <v>0</v>
      </c>
      <c r="O70" s="218">
        <f ca="1">IFERROR(__xludf.DUMMYFUNCTION("IMPORTRANGE(""https://docs.google.com/spreadsheets/d/1SX6NBoVAgQJ6U1MVXOaj8PK2l7WJ3RER9xtqwdhxkhw/edit?usp=sharing"",""ลพบุรี!J267"")"),0)</f>
        <v>0</v>
      </c>
      <c r="P70" s="218">
        <v>0</v>
      </c>
      <c r="Q70" s="218">
        <v>0</v>
      </c>
      <c r="R70" s="219">
        <f t="shared" si="7"/>
        <v>0</v>
      </c>
      <c r="S70" s="220">
        <f t="shared" si="68"/>
        <v>60</v>
      </c>
      <c r="T70" s="218">
        <f t="shared" ca="1" si="52"/>
        <v>0</v>
      </c>
      <c r="U70" s="221">
        <f t="shared" ca="1" si="9"/>
        <v>0</v>
      </c>
      <c r="V70" s="220">
        <v>30</v>
      </c>
      <c r="W70" s="218">
        <f ca="1">IFERROR(__xludf.DUMMYFUNCTION("IMPORTRANGE(""https://docs.google.com/spreadsheets/d/1SX6NBoVAgQJ6U1MVXOaj8PK2l7WJ3RER9xtqwdhxkhw/edit?usp=sharing"",""ลพบุรี!J271"")"),0)</f>
        <v>0</v>
      </c>
      <c r="X70" s="221">
        <f t="shared" ca="1" si="11"/>
        <v>0</v>
      </c>
      <c r="Y70" s="220">
        <v>30</v>
      </c>
      <c r="Z70" s="218">
        <f ca="1">IFERROR(__xludf.DUMMYFUNCTION("IMPORTRANGE(""https://docs.google.com/spreadsheets/d/1SX6NBoVAgQJ6U1MVXOaj8PK2l7WJ3RER9xtqwdhxkhw/edit?usp=sharing"",""ลพบุรี!J272"")"),0)</f>
        <v>0</v>
      </c>
      <c r="AA70" s="221">
        <f t="shared" ca="1" si="13"/>
        <v>0</v>
      </c>
      <c r="AB70" s="184"/>
    </row>
    <row r="71" spans="1:28" ht="24" customHeight="1" x14ac:dyDescent="0.5">
      <c r="A71" s="546">
        <v>17</v>
      </c>
      <c r="B71" s="194" t="s">
        <v>86</v>
      </c>
      <c r="C71" s="217">
        <f t="shared" si="66"/>
        <v>0</v>
      </c>
      <c r="D71" s="218">
        <v>0</v>
      </c>
      <c r="E71" s="218">
        <v>0</v>
      </c>
      <c r="F71" s="219">
        <f ca="1">IFERROR(__xludf.DUMMYFUNCTION("IMPORTRANGE(""https://docs.google.com/spreadsheets/d/1SX6NBoVAgQJ6U1MVXOaj8PK2l7WJ3RER9xtqwdhxkhw/edit?usp=sharing"",""สระแก้ว!M244"")"),0)</f>
        <v>0</v>
      </c>
      <c r="G71" s="219">
        <f t="shared" si="1"/>
        <v>0</v>
      </c>
      <c r="H71" s="218">
        <v>0</v>
      </c>
      <c r="I71" s="219">
        <v>0</v>
      </c>
      <c r="J71" s="219">
        <f t="shared" si="3"/>
        <v>0</v>
      </c>
      <c r="K71" s="220">
        <f ca="1">IFERROR(__xludf.DUMMYFUNCTION("IMPORTRANGE(""https://docs.google.com/spreadsheets/d/1C3CXT74ZlgGe6_JY_1olB1XN4rF0dxEuIIF-xsYjHgg/edit?usp=sharing"",""งบกองทุน!H75"")"),0)</f>
        <v>0</v>
      </c>
      <c r="L71" s="218">
        <f t="shared" ca="1" si="67"/>
        <v>0</v>
      </c>
      <c r="M71" s="219">
        <f t="shared" ca="1" si="5"/>
        <v>0</v>
      </c>
      <c r="N71" s="218">
        <f ca="1">IFERROR(__xludf.DUMMYFUNCTION("IMPORTRANGE(""https://docs.google.com/spreadsheets/d/1SX6NBoVAgQJ6U1MVXOaj8PK2l7WJ3RER9xtqwdhxkhw/edit?usp=sharing"",""สระแก้ว!J265"")"),0)</f>
        <v>0</v>
      </c>
      <c r="O71" s="218">
        <f ca="1">IFERROR(__xludf.DUMMYFUNCTION("IMPORTRANGE(""https://docs.google.com/spreadsheets/d/1SX6NBoVAgQJ6U1MVXOaj8PK2l7WJ3RER9xtqwdhxkhw/edit?usp=sharing"",""สระแก้ว!J267"")"),0)</f>
        <v>0</v>
      </c>
      <c r="P71" s="218">
        <v>0</v>
      </c>
      <c r="Q71" s="218">
        <v>0</v>
      </c>
      <c r="R71" s="219">
        <f t="shared" si="7"/>
        <v>0</v>
      </c>
      <c r="S71" s="220">
        <f t="shared" si="68"/>
        <v>0</v>
      </c>
      <c r="T71" s="218">
        <f t="shared" ca="1" si="52"/>
        <v>0</v>
      </c>
      <c r="U71" s="221">
        <f t="shared" si="9"/>
        <v>0</v>
      </c>
      <c r="V71" s="220">
        <v>0</v>
      </c>
      <c r="W71" s="218">
        <f ca="1">IFERROR(__xludf.DUMMYFUNCTION("IMPORTRANGE(""https://docs.google.com/spreadsheets/d/1SX6NBoVAgQJ6U1MVXOaj8PK2l7WJ3RER9xtqwdhxkhw/edit?usp=sharing"",""สระแก้ว!J271"")"),0)</f>
        <v>0</v>
      </c>
      <c r="X71" s="221">
        <f t="shared" si="11"/>
        <v>0</v>
      </c>
      <c r="Y71" s="220">
        <v>0</v>
      </c>
      <c r="Z71" s="218">
        <f ca="1">IFERROR(__xludf.DUMMYFUNCTION("IMPORTRANGE(""https://docs.google.com/spreadsheets/d/1SX6NBoVAgQJ6U1MVXOaj8PK2l7WJ3RER9xtqwdhxkhw/edit?usp=sharing"",""สระแก้ว!J272"")"),0)</f>
        <v>0</v>
      </c>
      <c r="AA71" s="221">
        <f t="shared" si="13"/>
        <v>0</v>
      </c>
      <c r="AB71" s="184"/>
    </row>
    <row r="72" spans="1:28" ht="24" customHeight="1" x14ac:dyDescent="0.5">
      <c r="A72" s="546">
        <v>18</v>
      </c>
      <c r="B72" s="194" t="s">
        <v>87</v>
      </c>
      <c r="C72" s="217">
        <f t="shared" si="66"/>
        <v>93120</v>
      </c>
      <c r="D72" s="218">
        <v>0</v>
      </c>
      <c r="E72" s="218">
        <v>93120</v>
      </c>
      <c r="F72" s="219">
        <f ca="1">IFERROR(__xludf.DUMMYFUNCTION("IMPORTRANGE(""https://docs.google.com/spreadsheets/d/1SX6NBoVAgQJ6U1MVXOaj8PK2l7WJ3RER9xtqwdhxkhw/edit?usp=sharing"",""สระบุรี!M244"")"),0)</f>
        <v>0</v>
      </c>
      <c r="G72" s="219">
        <f t="shared" ca="1" si="1"/>
        <v>0</v>
      </c>
      <c r="H72" s="218">
        <v>0</v>
      </c>
      <c r="I72" s="219">
        <v>0</v>
      </c>
      <c r="J72" s="219">
        <f t="shared" si="3"/>
        <v>0</v>
      </c>
      <c r="K72" s="220">
        <f ca="1">IFERROR(__xludf.DUMMYFUNCTION("IMPORTRANGE(""https://docs.google.com/spreadsheets/d/1C3CXT74ZlgGe6_JY_1olB1XN4rF0dxEuIIF-xsYjHgg/edit?usp=sharing"",""งบกองทุน!H76"")"),20)</f>
        <v>20</v>
      </c>
      <c r="L72" s="218">
        <f t="shared" ca="1" si="67"/>
        <v>0</v>
      </c>
      <c r="M72" s="219">
        <f t="shared" ca="1" si="5"/>
        <v>0</v>
      </c>
      <c r="N72" s="218">
        <f ca="1">IFERROR(__xludf.DUMMYFUNCTION("IMPORTRANGE(""https://docs.google.com/spreadsheets/d/1SX6NBoVAgQJ6U1MVXOaj8PK2l7WJ3RER9xtqwdhxkhw/edit?usp=sharing"",""สระบุรี!J265"")"),0)</f>
        <v>0</v>
      </c>
      <c r="O72" s="218">
        <f ca="1">IFERROR(__xludf.DUMMYFUNCTION("IMPORTRANGE(""https://docs.google.com/spreadsheets/d/1SX6NBoVAgQJ6U1MVXOaj8PK2l7WJ3RER9xtqwdhxkhw/edit?usp=sharing"",""สระบุรี!J267"")"),0)</f>
        <v>0</v>
      </c>
      <c r="P72" s="218">
        <v>0</v>
      </c>
      <c r="Q72" s="218">
        <v>0</v>
      </c>
      <c r="R72" s="219">
        <f t="shared" si="7"/>
        <v>0</v>
      </c>
      <c r="S72" s="220">
        <f t="shared" si="68"/>
        <v>60</v>
      </c>
      <c r="T72" s="218">
        <f t="shared" ca="1" si="52"/>
        <v>0</v>
      </c>
      <c r="U72" s="221">
        <f t="shared" ca="1" si="9"/>
        <v>0</v>
      </c>
      <c r="V72" s="220">
        <v>0</v>
      </c>
      <c r="W72" s="218">
        <f ca="1">IFERROR(__xludf.DUMMYFUNCTION("IMPORTRANGE(""https://docs.google.com/spreadsheets/d/1SX6NBoVAgQJ6U1MVXOaj8PK2l7WJ3RER9xtqwdhxkhw/edit?usp=sharing"",""สระบุรี!J271"")"),0)</f>
        <v>0</v>
      </c>
      <c r="X72" s="221">
        <f t="shared" si="11"/>
        <v>0</v>
      </c>
      <c r="Y72" s="220">
        <v>60</v>
      </c>
      <c r="Z72" s="218">
        <f ca="1">IFERROR(__xludf.DUMMYFUNCTION("IMPORTRANGE(""https://docs.google.com/spreadsheets/d/1SX6NBoVAgQJ6U1MVXOaj8PK2l7WJ3RER9xtqwdhxkhw/edit?usp=sharing"",""สระบุรี!J272"")"),0)</f>
        <v>0</v>
      </c>
      <c r="AA72" s="221">
        <f t="shared" ca="1" si="13"/>
        <v>0</v>
      </c>
      <c r="AB72" s="184"/>
    </row>
    <row r="73" spans="1:28" ht="24" customHeight="1" x14ac:dyDescent="0.5">
      <c r="A73" s="546">
        <v>19</v>
      </c>
      <c r="B73" s="194" t="s">
        <v>88</v>
      </c>
      <c r="C73" s="217">
        <f t="shared" si="66"/>
        <v>0</v>
      </c>
      <c r="D73" s="218">
        <v>0</v>
      </c>
      <c r="E73" s="218">
        <v>0</v>
      </c>
      <c r="F73" s="219">
        <f ca="1">IFERROR(__xludf.DUMMYFUNCTION("IMPORTRANGE(""https://docs.google.com/spreadsheets/d/1SX6NBoVAgQJ6U1MVXOaj8PK2l7WJ3RER9xtqwdhxkhw/edit?usp=sharing"",""สิงห์บุรี!M244"")"),0)</f>
        <v>0</v>
      </c>
      <c r="G73" s="219">
        <f t="shared" si="1"/>
        <v>0</v>
      </c>
      <c r="H73" s="218">
        <v>0</v>
      </c>
      <c r="I73" s="219">
        <v>0</v>
      </c>
      <c r="J73" s="219">
        <f t="shared" si="3"/>
        <v>0</v>
      </c>
      <c r="K73" s="220">
        <f ca="1">IFERROR(__xludf.DUMMYFUNCTION("IMPORTRANGE(""https://docs.google.com/spreadsheets/d/1C3CXT74ZlgGe6_JY_1olB1XN4rF0dxEuIIF-xsYjHgg/edit?usp=sharing"",""งบกองทุน!H77"")"),0)</f>
        <v>0</v>
      </c>
      <c r="L73" s="218">
        <f t="shared" ca="1" si="67"/>
        <v>0</v>
      </c>
      <c r="M73" s="219">
        <f t="shared" ca="1" si="5"/>
        <v>0</v>
      </c>
      <c r="N73" s="218">
        <f ca="1">IFERROR(__xludf.DUMMYFUNCTION("IMPORTRANGE(""https://docs.google.com/spreadsheets/d/1SX6NBoVAgQJ6U1MVXOaj8PK2l7WJ3RER9xtqwdhxkhw/edit?usp=sharing"",""สิงห์บุรี!J265"")"),0)</f>
        <v>0</v>
      </c>
      <c r="O73" s="218">
        <f ca="1">IFERROR(__xludf.DUMMYFUNCTION("IMPORTRANGE(""https://docs.google.com/spreadsheets/d/1SX6NBoVAgQJ6U1MVXOaj8PK2l7WJ3RER9xtqwdhxkhw/edit?usp=sharing"",""สิงห์บุรี!J267"")"),0)</f>
        <v>0</v>
      </c>
      <c r="P73" s="218">
        <v>0</v>
      </c>
      <c r="Q73" s="218">
        <v>0</v>
      </c>
      <c r="R73" s="219">
        <f t="shared" si="7"/>
        <v>0</v>
      </c>
      <c r="S73" s="220">
        <f t="shared" si="68"/>
        <v>0</v>
      </c>
      <c r="T73" s="218">
        <f t="shared" ca="1" si="52"/>
        <v>0</v>
      </c>
      <c r="U73" s="221">
        <f t="shared" si="9"/>
        <v>0</v>
      </c>
      <c r="V73" s="220">
        <v>0</v>
      </c>
      <c r="W73" s="218">
        <f ca="1">IFERROR(__xludf.DUMMYFUNCTION("IMPORTRANGE(""https://docs.google.com/spreadsheets/d/1SX6NBoVAgQJ6U1MVXOaj8PK2l7WJ3RER9xtqwdhxkhw/edit?usp=sharing"",""สิงห์บุรี!J271"")"),0)</f>
        <v>0</v>
      </c>
      <c r="X73" s="221">
        <f t="shared" si="11"/>
        <v>0</v>
      </c>
      <c r="Y73" s="220">
        <v>0</v>
      </c>
      <c r="Z73" s="218">
        <f ca="1">IFERROR(__xludf.DUMMYFUNCTION("IMPORTRANGE(""https://docs.google.com/spreadsheets/d/1SX6NBoVAgQJ6U1MVXOaj8PK2l7WJ3RER9xtqwdhxkhw/edit?usp=sharing"",""สิงห์บุรี!J272"")"),0)</f>
        <v>0</v>
      </c>
      <c r="AA73" s="221">
        <f t="shared" si="13"/>
        <v>0</v>
      </c>
      <c r="AB73" s="184"/>
    </row>
    <row r="74" spans="1:28" ht="24" customHeight="1" x14ac:dyDescent="0.5">
      <c r="A74" s="546">
        <v>20</v>
      </c>
      <c r="B74" s="194" t="s">
        <v>89</v>
      </c>
      <c r="C74" s="217">
        <f t="shared" si="66"/>
        <v>295840</v>
      </c>
      <c r="D74" s="218">
        <v>0</v>
      </c>
      <c r="E74" s="218">
        <v>295840</v>
      </c>
      <c r="F74" s="219">
        <f ca="1">IFERROR(__xludf.DUMMYFUNCTION("IMPORTRANGE(""https://docs.google.com/spreadsheets/d/1SX6NBoVAgQJ6U1MVXOaj8PK2l7WJ3RER9xtqwdhxkhw/edit?usp=sharing"",""สุพรรณบุรี!M244"")"),2000)</f>
        <v>2000</v>
      </c>
      <c r="G74" s="219">
        <f t="shared" ca="1" si="1"/>
        <v>0.67604110329908063</v>
      </c>
      <c r="H74" s="218">
        <v>0</v>
      </c>
      <c r="I74" s="219">
        <v>0</v>
      </c>
      <c r="J74" s="219">
        <f t="shared" si="3"/>
        <v>0</v>
      </c>
      <c r="K74" s="220">
        <f ca="1">IFERROR(__xludf.DUMMYFUNCTION("IMPORTRANGE(""https://docs.google.com/spreadsheets/d/1C3CXT74ZlgGe6_JY_1olB1XN4rF0dxEuIIF-xsYjHgg/edit?usp=sharing"",""งบกองทุน!H78"")"),42)</f>
        <v>42</v>
      </c>
      <c r="L74" s="218">
        <f t="shared" ca="1" si="67"/>
        <v>0</v>
      </c>
      <c r="M74" s="219">
        <f t="shared" ca="1" si="5"/>
        <v>0</v>
      </c>
      <c r="N74" s="218">
        <f ca="1">IFERROR(__xludf.DUMMYFUNCTION("IMPORTRANGE(""https://docs.google.com/spreadsheets/d/1SX6NBoVAgQJ6U1MVXOaj8PK2l7WJ3RER9xtqwdhxkhw/edit?usp=sharing"",""สุพรรณบุรี!J265"")"),0)</f>
        <v>0</v>
      </c>
      <c r="O74" s="218">
        <f ca="1">IFERROR(__xludf.DUMMYFUNCTION("IMPORTRANGE(""https://docs.google.com/spreadsheets/d/1SX6NBoVAgQJ6U1MVXOaj8PK2l7WJ3RER9xtqwdhxkhw/edit?usp=sharing"",""สุพรรณบุรี!J267"")"),0)</f>
        <v>0</v>
      </c>
      <c r="P74" s="218">
        <v>0</v>
      </c>
      <c r="Q74" s="218">
        <v>0</v>
      </c>
      <c r="R74" s="219">
        <f t="shared" si="7"/>
        <v>0</v>
      </c>
      <c r="S74" s="220">
        <f t="shared" si="68"/>
        <v>63</v>
      </c>
      <c r="T74" s="218">
        <f t="shared" ca="1" si="52"/>
        <v>0</v>
      </c>
      <c r="U74" s="221">
        <f t="shared" ca="1" si="9"/>
        <v>0</v>
      </c>
      <c r="V74" s="220">
        <v>20</v>
      </c>
      <c r="W74" s="218">
        <f ca="1">IFERROR(__xludf.DUMMYFUNCTION("IMPORTRANGE(""https://docs.google.com/spreadsheets/d/1SX6NBoVAgQJ6U1MVXOaj8PK2l7WJ3RER9xtqwdhxkhw/edit?usp=sharing"",""สุพรรณบุรี!J271"")"),0)</f>
        <v>0</v>
      </c>
      <c r="X74" s="221">
        <f t="shared" ca="1" si="11"/>
        <v>0</v>
      </c>
      <c r="Y74" s="220">
        <v>43</v>
      </c>
      <c r="Z74" s="218">
        <f ca="1">IFERROR(__xludf.DUMMYFUNCTION("IMPORTRANGE(""https://docs.google.com/spreadsheets/d/1SX6NBoVAgQJ6U1MVXOaj8PK2l7WJ3RER9xtqwdhxkhw/edit?usp=sharing"",""สุพรรณบุรี!J272"")"),0)</f>
        <v>0</v>
      </c>
      <c r="AA74" s="221">
        <f t="shared" ca="1" si="13"/>
        <v>0</v>
      </c>
      <c r="AB74" s="184"/>
    </row>
    <row r="75" spans="1:28" ht="24" customHeight="1" x14ac:dyDescent="0.5">
      <c r="A75" s="547">
        <v>21</v>
      </c>
      <c r="B75" s="535" t="s">
        <v>90</v>
      </c>
      <c r="C75" s="536">
        <f t="shared" si="66"/>
        <v>69720</v>
      </c>
      <c r="D75" s="537">
        <v>0</v>
      </c>
      <c r="E75" s="537">
        <v>69720</v>
      </c>
      <c r="F75" s="538">
        <f ca="1">IFERROR(__xludf.DUMMYFUNCTION("IMPORTRANGE(""https://docs.google.com/spreadsheets/d/1SX6NBoVAgQJ6U1MVXOaj8PK2l7WJ3RER9xtqwdhxkhw/edit?usp=sharing"",""อ่างทอง!M244"")"),0)</f>
        <v>0</v>
      </c>
      <c r="G75" s="538">
        <f t="shared" ca="1" si="1"/>
        <v>0</v>
      </c>
      <c r="H75" s="537">
        <v>0</v>
      </c>
      <c r="I75" s="538">
        <v>0</v>
      </c>
      <c r="J75" s="538">
        <f t="shared" si="3"/>
        <v>0</v>
      </c>
      <c r="K75" s="539">
        <f ca="1">IFERROR(__xludf.DUMMYFUNCTION("IMPORTRANGE(""https://docs.google.com/spreadsheets/d/1C3CXT74ZlgGe6_JY_1olB1XN4rF0dxEuIIF-xsYjHgg/edit?usp=sharing"",""งบกองทุน!H79"")"),10)</f>
        <v>10</v>
      </c>
      <c r="L75" s="537">
        <f t="shared" ca="1" si="67"/>
        <v>0</v>
      </c>
      <c r="M75" s="538">
        <f t="shared" ca="1" si="5"/>
        <v>0</v>
      </c>
      <c r="N75" s="537">
        <f ca="1">IFERROR(__xludf.DUMMYFUNCTION("IMPORTRANGE(""https://docs.google.com/spreadsheets/d/1SX6NBoVAgQJ6U1MVXOaj8PK2l7WJ3RER9xtqwdhxkhw/edit?usp=sharing"",""อ่างทอง!J265"")"),0)</f>
        <v>0</v>
      </c>
      <c r="O75" s="537">
        <f ca="1">IFERROR(__xludf.DUMMYFUNCTION("IMPORTRANGE(""https://docs.google.com/spreadsheets/d/1SX6NBoVAgQJ6U1MVXOaj8PK2l7WJ3RER9xtqwdhxkhw/edit?usp=sharing"",""อ่างทอง!J267"")"),0)</f>
        <v>0</v>
      </c>
      <c r="P75" s="537">
        <v>0</v>
      </c>
      <c r="Q75" s="537">
        <v>0</v>
      </c>
      <c r="R75" s="538">
        <f t="shared" si="7"/>
        <v>0</v>
      </c>
      <c r="S75" s="539">
        <f t="shared" si="68"/>
        <v>30</v>
      </c>
      <c r="T75" s="537">
        <f t="shared" ca="1" si="52"/>
        <v>0</v>
      </c>
      <c r="U75" s="540">
        <f t="shared" ca="1" si="9"/>
        <v>0</v>
      </c>
      <c r="V75" s="539">
        <v>30</v>
      </c>
      <c r="W75" s="537">
        <f ca="1">IFERROR(__xludf.DUMMYFUNCTION("IMPORTRANGE(""https://docs.google.com/spreadsheets/d/1SX6NBoVAgQJ6U1MVXOaj8PK2l7WJ3RER9xtqwdhxkhw/edit?usp=sharing"",""อ่างทอง!J271"")"),0)</f>
        <v>0</v>
      </c>
      <c r="X75" s="540">
        <f t="shared" ca="1" si="11"/>
        <v>0</v>
      </c>
      <c r="Y75" s="539">
        <v>0</v>
      </c>
      <c r="Z75" s="537">
        <f ca="1">IFERROR(__xludf.DUMMYFUNCTION("IMPORTRANGE(""https://docs.google.com/spreadsheets/d/1SX6NBoVAgQJ6U1MVXOaj8PK2l7WJ3RER9xtqwdhxkhw/edit?usp=sharing"",""อ่างทอง!J272"")"),0)</f>
        <v>0</v>
      </c>
      <c r="AA75" s="540">
        <f t="shared" si="13"/>
        <v>0</v>
      </c>
      <c r="AB75" s="184"/>
    </row>
    <row r="76" spans="1:28" ht="24" customHeight="1" x14ac:dyDescent="0.5">
      <c r="A76" s="740" t="s">
        <v>91</v>
      </c>
      <c r="B76" s="713"/>
      <c r="C76" s="173">
        <f t="shared" ref="C76:F76" si="69">SUM(C77:C90)</f>
        <v>2192930</v>
      </c>
      <c r="D76" s="174">
        <f t="shared" si="69"/>
        <v>0</v>
      </c>
      <c r="E76" s="174">
        <f t="shared" si="69"/>
        <v>2192930</v>
      </c>
      <c r="F76" s="175">
        <f t="shared" ca="1" si="69"/>
        <v>48856</v>
      </c>
      <c r="G76" s="175">
        <f t="shared" ca="1" si="1"/>
        <v>2.227886891054434</v>
      </c>
      <c r="H76" s="174">
        <f t="shared" ref="H76:I76" si="70">SUM(H77:H90)</f>
        <v>0</v>
      </c>
      <c r="I76" s="175">
        <f t="shared" si="70"/>
        <v>0</v>
      </c>
      <c r="J76" s="175">
        <f t="shared" si="3"/>
        <v>0</v>
      </c>
      <c r="K76" s="174">
        <f ca="1">SUM(K77:K90)</f>
        <v>257</v>
      </c>
      <c r="L76" s="174">
        <f ca="1">SUM(L77:L90)</f>
        <v>0</v>
      </c>
      <c r="M76" s="175">
        <f t="shared" ca="1" si="5"/>
        <v>0</v>
      </c>
      <c r="N76" s="174">
        <f t="shared" ref="N76:Q76" ca="1" si="71">SUM(N77:N90)</f>
        <v>0</v>
      </c>
      <c r="O76" s="174">
        <f t="shared" ca="1" si="71"/>
        <v>0</v>
      </c>
      <c r="P76" s="174">
        <f t="shared" si="71"/>
        <v>0</v>
      </c>
      <c r="Q76" s="174">
        <f t="shared" si="71"/>
        <v>0</v>
      </c>
      <c r="R76" s="175">
        <f t="shared" si="7"/>
        <v>0</v>
      </c>
      <c r="S76" s="174">
        <f>SUM(S77:S90)</f>
        <v>793</v>
      </c>
      <c r="T76" s="174">
        <f t="shared" ca="1" si="52"/>
        <v>0</v>
      </c>
      <c r="U76" s="175">
        <f t="shared" ca="1" si="9"/>
        <v>0</v>
      </c>
      <c r="V76" s="174">
        <f t="shared" ref="V76:W76" si="72">SUM(V77:V90)</f>
        <v>250</v>
      </c>
      <c r="W76" s="174">
        <f t="shared" ca="1" si="72"/>
        <v>0</v>
      </c>
      <c r="X76" s="175">
        <f t="shared" ca="1" si="11"/>
        <v>0</v>
      </c>
      <c r="Y76" s="174">
        <f t="shared" ref="Y76:Z76" si="73">SUM(Y77:Y90)</f>
        <v>543</v>
      </c>
      <c r="Z76" s="174">
        <f t="shared" ca="1" si="73"/>
        <v>0</v>
      </c>
      <c r="AA76" s="175">
        <f t="shared" ca="1" si="13"/>
        <v>0</v>
      </c>
      <c r="AB76" s="184"/>
    </row>
    <row r="77" spans="1:28" ht="24" customHeight="1" x14ac:dyDescent="0.5">
      <c r="A77" s="545">
        <v>1</v>
      </c>
      <c r="B77" s="191" t="s">
        <v>92</v>
      </c>
      <c r="C77" s="213">
        <f t="shared" ref="C77:C90" si="74">+D77+E77</f>
        <v>0</v>
      </c>
      <c r="D77" s="193">
        <v>0</v>
      </c>
      <c r="E77" s="193">
        <v>0</v>
      </c>
      <c r="F77" s="192">
        <f ca="1">IFERROR(__xludf.DUMMYFUNCTION("IMPORTRANGE(""https://docs.google.com/spreadsheets/d/1IYY_tgx_IHuhSq3AJ5eI5OnqOPBNLWSHKh2a30DoXe8/edit?usp=sharing"",""กระบี่!M244"")"),0)</f>
        <v>0</v>
      </c>
      <c r="G77" s="192">
        <f t="shared" si="1"/>
        <v>0</v>
      </c>
      <c r="H77" s="193">
        <v>0</v>
      </c>
      <c r="I77" s="192">
        <v>0</v>
      </c>
      <c r="J77" s="192">
        <f t="shared" si="3"/>
        <v>0</v>
      </c>
      <c r="K77" s="214">
        <f ca="1">IFERROR(__xludf.DUMMYFUNCTION("IMPORTRANGE(""https://docs.google.com/spreadsheets/d/1C3CXT74ZlgGe6_JY_1olB1XN4rF0dxEuIIF-xsYjHgg/edit?usp=sharing"",""งบกองทุน!H81"")"),0)</f>
        <v>0</v>
      </c>
      <c r="L77" s="193">
        <f t="shared" ref="L77:L90" ca="1" si="75">SUM(O77)</f>
        <v>0</v>
      </c>
      <c r="M77" s="192">
        <f t="shared" ca="1" si="5"/>
        <v>0</v>
      </c>
      <c r="N77" s="193">
        <f ca="1">IFERROR(__xludf.DUMMYFUNCTION("IMPORTRANGE(""https://docs.google.com/spreadsheets/d/1IYY_tgx_IHuhSq3AJ5eI5OnqOPBNLWSHKh2a30DoXe8/edit?usp=sharing"",""กระบี่!J265"")"),0)</f>
        <v>0</v>
      </c>
      <c r="O77" s="193">
        <f ca="1">IFERROR(__xludf.DUMMYFUNCTION("IMPORTRANGE(""https://docs.google.com/spreadsheets/d/1IYY_tgx_IHuhSq3AJ5eI5OnqOPBNLWSHKh2a30DoXe8/edit?usp=sharing"",""กระบี่!J267"")"),0)</f>
        <v>0</v>
      </c>
      <c r="P77" s="193">
        <v>0</v>
      </c>
      <c r="Q77" s="193">
        <v>0</v>
      </c>
      <c r="R77" s="192">
        <f t="shared" si="7"/>
        <v>0</v>
      </c>
      <c r="S77" s="214">
        <f t="shared" ref="S77:S90" si="76">+V77+Y77</f>
        <v>0</v>
      </c>
      <c r="T77" s="193">
        <f t="shared" ca="1" si="52"/>
        <v>0</v>
      </c>
      <c r="U77" s="215">
        <f t="shared" si="9"/>
        <v>0</v>
      </c>
      <c r="V77" s="214">
        <v>0</v>
      </c>
      <c r="W77" s="193">
        <f ca="1">IFERROR(__xludf.DUMMYFUNCTION("IMPORTRANGE(""https://docs.google.com/spreadsheets/d/1IYY_tgx_IHuhSq3AJ5eI5OnqOPBNLWSHKh2a30DoXe8/edit?usp=sharing"",""กระบี่!J271"")"),0)</f>
        <v>0</v>
      </c>
      <c r="X77" s="215">
        <f t="shared" si="11"/>
        <v>0</v>
      </c>
      <c r="Y77" s="214">
        <v>0</v>
      </c>
      <c r="Z77" s="193">
        <f ca="1">IFERROR(__xludf.DUMMYFUNCTION("IMPORTRANGE(""https://docs.google.com/spreadsheets/d/1IYY_tgx_IHuhSq3AJ5eI5OnqOPBNLWSHKh2a30DoXe8/edit?usp=sharing"",""กระบี่!J272"")"),0)</f>
        <v>0</v>
      </c>
      <c r="AA77" s="215">
        <f t="shared" si="13"/>
        <v>0</v>
      </c>
      <c r="AB77" s="184"/>
    </row>
    <row r="78" spans="1:28" ht="24" customHeight="1" x14ac:dyDescent="0.5">
      <c r="A78" s="546">
        <v>2</v>
      </c>
      <c r="B78" s="194" t="s">
        <v>93</v>
      </c>
      <c r="C78" s="217">
        <f t="shared" si="74"/>
        <v>369210</v>
      </c>
      <c r="D78" s="218">
        <v>0</v>
      </c>
      <c r="E78" s="218">
        <v>369210</v>
      </c>
      <c r="F78" s="219">
        <f ca="1">IFERROR(__xludf.DUMMYFUNCTION("IMPORTRANGE(""https://docs.google.com/spreadsheets/d/1IYY_tgx_IHuhSq3AJ5eI5OnqOPBNLWSHKh2a30DoXe8/edit?usp=sharing"",""ชุมพร!M244"")"),9542)</f>
        <v>9542</v>
      </c>
      <c r="G78" s="219">
        <f t="shared" ca="1" si="1"/>
        <v>2.5844370412502369</v>
      </c>
      <c r="H78" s="218">
        <v>0</v>
      </c>
      <c r="I78" s="219">
        <v>0</v>
      </c>
      <c r="J78" s="219">
        <f t="shared" si="3"/>
        <v>0</v>
      </c>
      <c r="K78" s="220">
        <f ca="1">IFERROR(__xludf.DUMMYFUNCTION("IMPORTRANGE(""https://docs.google.com/spreadsheets/d/1C3CXT74ZlgGe6_JY_1olB1XN4rF0dxEuIIF-xsYjHgg/edit?usp=sharing"",""งบกองทุน!H82"")"),35)</f>
        <v>35</v>
      </c>
      <c r="L78" s="218">
        <f t="shared" ca="1" si="75"/>
        <v>0</v>
      </c>
      <c r="M78" s="219">
        <f t="shared" ca="1" si="5"/>
        <v>0</v>
      </c>
      <c r="N78" s="218">
        <f ca="1">IFERROR(__xludf.DUMMYFUNCTION("IMPORTRANGE(""https://docs.google.com/spreadsheets/d/1IYY_tgx_IHuhSq3AJ5eI5OnqOPBNLWSHKh2a30DoXe8/edit?usp=sharing"",""ชุมพร!J265"")"),0)</f>
        <v>0</v>
      </c>
      <c r="O78" s="218">
        <f ca="1">IFERROR(__xludf.DUMMYFUNCTION("IMPORTRANGE(""https://docs.google.com/spreadsheets/d/1IYY_tgx_IHuhSq3AJ5eI5OnqOPBNLWSHKh2a30DoXe8/edit?usp=sharing"",""ชุมพร!J267"")"),0)</f>
        <v>0</v>
      </c>
      <c r="P78" s="218">
        <v>0</v>
      </c>
      <c r="Q78" s="218">
        <v>0</v>
      </c>
      <c r="R78" s="219">
        <f t="shared" si="7"/>
        <v>0</v>
      </c>
      <c r="S78" s="220">
        <f t="shared" si="76"/>
        <v>175</v>
      </c>
      <c r="T78" s="218">
        <f t="shared" ca="1" si="52"/>
        <v>0</v>
      </c>
      <c r="U78" s="221">
        <f t="shared" ca="1" si="9"/>
        <v>0</v>
      </c>
      <c r="V78" s="220">
        <v>50</v>
      </c>
      <c r="W78" s="218">
        <f ca="1">IFERROR(__xludf.DUMMYFUNCTION("IMPORTRANGE(""https://docs.google.com/spreadsheets/d/1IYY_tgx_IHuhSq3AJ5eI5OnqOPBNLWSHKh2a30DoXe8/edit?usp=sharing"",""ชุมพร!J271"")"),0)</f>
        <v>0</v>
      </c>
      <c r="X78" s="221">
        <f t="shared" ca="1" si="11"/>
        <v>0</v>
      </c>
      <c r="Y78" s="220">
        <v>125</v>
      </c>
      <c r="Z78" s="218">
        <f ca="1">IFERROR(__xludf.DUMMYFUNCTION("IMPORTRANGE(""https://docs.google.com/spreadsheets/d/1IYY_tgx_IHuhSq3AJ5eI5OnqOPBNLWSHKh2a30DoXe8/edit?usp=sharing"",""ชุมพร!J272"")"),0)</f>
        <v>0</v>
      </c>
      <c r="AA78" s="221">
        <f t="shared" ca="1" si="13"/>
        <v>0</v>
      </c>
      <c r="AB78" s="184"/>
    </row>
    <row r="79" spans="1:28" ht="24" customHeight="1" x14ac:dyDescent="0.5">
      <c r="A79" s="546">
        <v>3</v>
      </c>
      <c r="B79" s="194" t="s">
        <v>94</v>
      </c>
      <c r="C79" s="217">
        <f t="shared" si="74"/>
        <v>274060</v>
      </c>
      <c r="D79" s="218">
        <v>0</v>
      </c>
      <c r="E79" s="218">
        <v>274060</v>
      </c>
      <c r="F79" s="219">
        <f ca="1">IFERROR(__xludf.DUMMYFUNCTION("IMPORTRANGE(""https://docs.google.com/spreadsheets/d/1IYY_tgx_IHuhSq3AJ5eI5OnqOPBNLWSHKh2a30DoXe8/edit?usp=sharing"",""ตรัง!M244"")"),9899)</f>
        <v>9899</v>
      </c>
      <c r="G79" s="219">
        <f t="shared" ca="1" si="1"/>
        <v>3.6119827774939792</v>
      </c>
      <c r="H79" s="218">
        <v>0</v>
      </c>
      <c r="I79" s="219">
        <v>0</v>
      </c>
      <c r="J79" s="219">
        <f t="shared" si="3"/>
        <v>0</v>
      </c>
      <c r="K79" s="220">
        <f ca="1">IFERROR(__xludf.DUMMYFUNCTION("IMPORTRANGE(""https://docs.google.com/spreadsheets/d/1C3CXT74ZlgGe6_JY_1olB1XN4rF0dxEuIIF-xsYjHgg/edit?usp=sharing"",""งบกองทุน!H83"")"),25)</f>
        <v>25</v>
      </c>
      <c r="L79" s="218">
        <f t="shared" ca="1" si="75"/>
        <v>0</v>
      </c>
      <c r="M79" s="219">
        <f t="shared" ca="1" si="5"/>
        <v>0</v>
      </c>
      <c r="N79" s="218">
        <f ca="1">IFERROR(__xludf.DUMMYFUNCTION("IMPORTRANGE(""https://docs.google.com/spreadsheets/d/1IYY_tgx_IHuhSq3AJ5eI5OnqOPBNLWSHKh2a30DoXe8/edit?usp=sharing"",""ตรัง!J265"")"),0)</f>
        <v>0</v>
      </c>
      <c r="O79" s="218">
        <f ca="1">IFERROR(__xludf.DUMMYFUNCTION("IMPORTRANGE(""https://docs.google.com/spreadsheets/d/1IYY_tgx_IHuhSq3AJ5eI5OnqOPBNLWSHKh2a30DoXe8/edit?usp=sharing"",""ตรัง!J267"")"),0)</f>
        <v>0</v>
      </c>
      <c r="P79" s="218">
        <v>0</v>
      </c>
      <c r="Q79" s="218">
        <v>0</v>
      </c>
      <c r="R79" s="219">
        <f t="shared" si="7"/>
        <v>0</v>
      </c>
      <c r="S79" s="220">
        <f t="shared" si="76"/>
        <v>70</v>
      </c>
      <c r="T79" s="218">
        <f t="shared" ca="1" si="52"/>
        <v>0</v>
      </c>
      <c r="U79" s="221">
        <f t="shared" ca="1" si="9"/>
        <v>0</v>
      </c>
      <c r="V79" s="220">
        <v>0</v>
      </c>
      <c r="W79" s="218">
        <f ca="1">IFERROR(__xludf.DUMMYFUNCTION("IMPORTRANGE(""https://docs.google.com/spreadsheets/d/1IYY_tgx_IHuhSq3AJ5eI5OnqOPBNLWSHKh2a30DoXe8/edit?usp=sharing"",""ตรัง!J271"")"),0)</f>
        <v>0</v>
      </c>
      <c r="X79" s="221">
        <f t="shared" si="11"/>
        <v>0</v>
      </c>
      <c r="Y79" s="220">
        <v>70</v>
      </c>
      <c r="Z79" s="218">
        <f ca="1">IFERROR(__xludf.DUMMYFUNCTION("IMPORTRANGE(""https://docs.google.com/spreadsheets/d/1IYY_tgx_IHuhSq3AJ5eI5OnqOPBNLWSHKh2a30DoXe8/edit?usp=sharing"",""ตรัง!J272"")"),0)</f>
        <v>0</v>
      </c>
      <c r="AA79" s="221">
        <f t="shared" ca="1" si="13"/>
        <v>0</v>
      </c>
      <c r="AB79" s="184"/>
    </row>
    <row r="80" spans="1:28" ht="24" customHeight="1" x14ac:dyDescent="0.5">
      <c r="A80" s="546">
        <v>4</v>
      </c>
      <c r="B80" s="194" t="s">
        <v>95</v>
      </c>
      <c r="C80" s="217">
        <f t="shared" si="74"/>
        <v>0</v>
      </c>
      <c r="D80" s="218">
        <v>0</v>
      </c>
      <c r="E80" s="218">
        <v>0</v>
      </c>
      <c r="F80" s="219">
        <f ca="1">IFERROR(__xludf.DUMMYFUNCTION("IMPORTRANGE(""https://docs.google.com/spreadsheets/d/1IYY_tgx_IHuhSq3AJ5eI5OnqOPBNLWSHKh2a30DoXe8/edit?usp=sharing"",""นครศรีธรรมราช!M244"")"),0)</f>
        <v>0</v>
      </c>
      <c r="G80" s="219">
        <f t="shared" si="1"/>
        <v>0</v>
      </c>
      <c r="H80" s="218">
        <v>0</v>
      </c>
      <c r="I80" s="219">
        <v>0</v>
      </c>
      <c r="J80" s="219">
        <f t="shared" si="3"/>
        <v>0</v>
      </c>
      <c r="K80" s="220">
        <f ca="1">IFERROR(__xludf.DUMMYFUNCTION("IMPORTRANGE(""https://docs.google.com/spreadsheets/d/1C3CXT74ZlgGe6_JY_1olB1XN4rF0dxEuIIF-xsYjHgg/edit?usp=sharing"",""งบกองทุน!H84"")"),0)</f>
        <v>0</v>
      </c>
      <c r="L80" s="218">
        <f t="shared" ca="1" si="75"/>
        <v>0</v>
      </c>
      <c r="M80" s="219">
        <f t="shared" ca="1" si="5"/>
        <v>0</v>
      </c>
      <c r="N80" s="218">
        <f ca="1">IFERROR(__xludf.DUMMYFUNCTION("IMPORTRANGE(""https://docs.google.com/spreadsheets/d/1IYY_tgx_IHuhSq3AJ5eI5OnqOPBNLWSHKh2a30DoXe8/edit?usp=sharing"",""นครศรีธรรมราช!J265"")"),0)</f>
        <v>0</v>
      </c>
      <c r="O80" s="218">
        <f ca="1">IFERROR(__xludf.DUMMYFUNCTION("IMPORTRANGE(""https://docs.google.com/spreadsheets/d/1IYY_tgx_IHuhSq3AJ5eI5OnqOPBNLWSHKh2a30DoXe8/edit?usp=sharing"",""นครศรีธรรมราช!J267"")"),0)</f>
        <v>0</v>
      </c>
      <c r="P80" s="218">
        <v>0</v>
      </c>
      <c r="Q80" s="218">
        <v>0</v>
      </c>
      <c r="R80" s="219">
        <f t="shared" si="7"/>
        <v>0</v>
      </c>
      <c r="S80" s="220">
        <f t="shared" si="76"/>
        <v>0</v>
      </c>
      <c r="T80" s="218">
        <f t="shared" ca="1" si="52"/>
        <v>0</v>
      </c>
      <c r="U80" s="221">
        <f t="shared" si="9"/>
        <v>0</v>
      </c>
      <c r="V80" s="220">
        <v>0</v>
      </c>
      <c r="W80" s="218">
        <f ca="1">IFERROR(__xludf.DUMMYFUNCTION("IMPORTRANGE(""https://docs.google.com/spreadsheets/d/1IYY_tgx_IHuhSq3AJ5eI5OnqOPBNLWSHKh2a30DoXe8/edit?usp=sharing"",""นครศรีธรรมราช!J271"")"),0)</f>
        <v>0</v>
      </c>
      <c r="X80" s="221">
        <f t="shared" si="11"/>
        <v>0</v>
      </c>
      <c r="Y80" s="220">
        <v>0</v>
      </c>
      <c r="Z80" s="218">
        <f ca="1">IFERROR(__xludf.DUMMYFUNCTION("IMPORTRANGE(""https://docs.google.com/spreadsheets/d/1IYY_tgx_IHuhSq3AJ5eI5OnqOPBNLWSHKh2a30DoXe8/edit?usp=sharing"",""นครศรีธรรมราช!J272"")"),0)</f>
        <v>0</v>
      </c>
      <c r="AA80" s="221">
        <f t="shared" si="13"/>
        <v>0</v>
      </c>
      <c r="AB80" s="184"/>
    </row>
    <row r="81" spans="1:28" ht="24" customHeight="1" x14ac:dyDescent="0.5">
      <c r="A81" s="546">
        <v>5</v>
      </c>
      <c r="B81" s="194" t="s">
        <v>96</v>
      </c>
      <c r="C81" s="217">
        <f t="shared" si="74"/>
        <v>0</v>
      </c>
      <c r="D81" s="218">
        <v>0</v>
      </c>
      <c r="E81" s="218">
        <v>0</v>
      </c>
      <c r="F81" s="219">
        <f ca="1">IFERROR(__xludf.DUMMYFUNCTION("IMPORTRANGE(""https://docs.google.com/spreadsheets/d/1IYY_tgx_IHuhSq3AJ5eI5OnqOPBNLWSHKh2a30DoXe8/edit?usp=sharing"",""นราธิวาส!M244"")"),0)</f>
        <v>0</v>
      </c>
      <c r="G81" s="219">
        <f t="shared" si="1"/>
        <v>0</v>
      </c>
      <c r="H81" s="218">
        <v>0</v>
      </c>
      <c r="I81" s="219">
        <v>0</v>
      </c>
      <c r="J81" s="219">
        <f t="shared" si="3"/>
        <v>0</v>
      </c>
      <c r="K81" s="220">
        <f ca="1">IFERROR(__xludf.DUMMYFUNCTION("IMPORTRANGE(""https://docs.google.com/spreadsheets/d/1C3CXT74ZlgGe6_JY_1olB1XN4rF0dxEuIIF-xsYjHgg/edit?usp=sharing"",""งบกองทุน!H85"")"),0)</f>
        <v>0</v>
      </c>
      <c r="L81" s="218">
        <f t="shared" ca="1" si="75"/>
        <v>0</v>
      </c>
      <c r="M81" s="219">
        <f t="shared" ca="1" si="5"/>
        <v>0</v>
      </c>
      <c r="N81" s="218">
        <f ca="1">IFERROR(__xludf.DUMMYFUNCTION("IMPORTRANGE(""https://docs.google.com/spreadsheets/d/1IYY_tgx_IHuhSq3AJ5eI5OnqOPBNLWSHKh2a30DoXe8/edit?usp=sharing"",""นราธิวาส!J265"")"),0)</f>
        <v>0</v>
      </c>
      <c r="O81" s="218">
        <f ca="1">IFERROR(__xludf.DUMMYFUNCTION("IMPORTRANGE(""https://docs.google.com/spreadsheets/d/1IYY_tgx_IHuhSq3AJ5eI5OnqOPBNLWSHKh2a30DoXe8/edit?usp=sharing"",""นราธิวาส!J267"")"),0)</f>
        <v>0</v>
      </c>
      <c r="P81" s="218">
        <v>0</v>
      </c>
      <c r="Q81" s="218">
        <v>0</v>
      </c>
      <c r="R81" s="219">
        <f t="shared" si="7"/>
        <v>0</v>
      </c>
      <c r="S81" s="220">
        <f t="shared" si="76"/>
        <v>0</v>
      </c>
      <c r="T81" s="218">
        <f t="shared" ca="1" si="52"/>
        <v>0</v>
      </c>
      <c r="U81" s="221">
        <f t="shared" si="9"/>
        <v>0</v>
      </c>
      <c r="V81" s="220">
        <v>0</v>
      </c>
      <c r="W81" s="218">
        <f ca="1">IFERROR(__xludf.DUMMYFUNCTION("IMPORTRANGE(""https://docs.google.com/spreadsheets/d/1IYY_tgx_IHuhSq3AJ5eI5OnqOPBNLWSHKh2a30DoXe8/edit?usp=sharing"",""นราธิวาส!J271"")"),0)</f>
        <v>0</v>
      </c>
      <c r="X81" s="221">
        <f t="shared" si="11"/>
        <v>0</v>
      </c>
      <c r="Y81" s="220">
        <v>0</v>
      </c>
      <c r="Z81" s="218">
        <f ca="1">IFERROR(__xludf.DUMMYFUNCTION("IMPORTRANGE(""https://docs.google.com/spreadsheets/d/1IYY_tgx_IHuhSq3AJ5eI5OnqOPBNLWSHKh2a30DoXe8/edit?usp=sharing"",""นราธิวาส!J272"")"),0)</f>
        <v>0</v>
      </c>
      <c r="AA81" s="221">
        <f t="shared" si="13"/>
        <v>0</v>
      </c>
      <c r="AB81" s="184"/>
    </row>
    <row r="82" spans="1:28" ht="24" customHeight="1" x14ac:dyDescent="0.5">
      <c r="A82" s="546">
        <v>6</v>
      </c>
      <c r="B82" s="194" t="s">
        <v>97</v>
      </c>
      <c r="C82" s="217">
        <f t="shared" si="74"/>
        <v>215720</v>
      </c>
      <c r="D82" s="218">
        <v>0</v>
      </c>
      <c r="E82" s="218">
        <v>215720</v>
      </c>
      <c r="F82" s="219">
        <f ca="1">IFERROR(__xludf.DUMMYFUNCTION("IMPORTRANGE(""https://docs.google.com/spreadsheets/d/1IYY_tgx_IHuhSq3AJ5eI5OnqOPBNLWSHKh2a30DoXe8/edit?usp=sharing"",""ปัตตานี!M244"")"),0)</f>
        <v>0</v>
      </c>
      <c r="G82" s="219">
        <f t="shared" ca="1" si="1"/>
        <v>0</v>
      </c>
      <c r="H82" s="218">
        <v>0</v>
      </c>
      <c r="I82" s="219">
        <v>0</v>
      </c>
      <c r="J82" s="219">
        <f t="shared" si="3"/>
        <v>0</v>
      </c>
      <c r="K82" s="220">
        <f ca="1">IFERROR(__xludf.DUMMYFUNCTION("IMPORTRANGE(""https://docs.google.com/spreadsheets/d/1C3CXT74ZlgGe6_JY_1olB1XN4rF0dxEuIIF-xsYjHgg/edit?usp=sharing"",""งบกองทุน!H86"")"),10)</f>
        <v>10</v>
      </c>
      <c r="L82" s="218">
        <f t="shared" ca="1" si="75"/>
        <v>0</v>
      </c>
      <c r="M82" s="219">
        <f t="shared" ca="1" si="5"/>
        <v>0</v>
      </c>
      <c r="N82" s="218">
        <f ca="1">IFERROR(__xludf.DUMMYFUNCTION("IMPORTRANGE(""https://docs.google.com/spreadsheets/d/1IYY_tgx_IHuhSq3AJ5eI5OnqOPBNLWSHKh2a30DoXe8/edit?usp=sharing"",""ปัตตานี!J265"")"),0)</f>
        <v>0</v>
      </c>
      <c r="O82" s="218">
        <f ca="1">IFERROR(__xludf.DUMMYFUNCTION("IMPORTRANGE(""https://docs.google.com/spreadsheets/d/1IYY_tgx_IHuhSq3AJ5eI5OnqOPBNLWSHKh2a30DoXe8/edit?usp=sharing"",""ปัตตานี!J267"")"),0)</f>
        <v>0</v>
      </c>
      <c r="P82" s="218">
        <v>0</v>
      </c>
      <c r="Q82" s="218">
        <v>0</v>
      </c>
      <c r="R82" s="219">
        <f t="shared" si="7"/>
        <v>0</v>
      </c>
      <c r="S82" s="220">
        <f t="shared" si="76"/>
        <v>20</v>
      </c>
      <c r="T82" s="218">
        <f t="shared" ca="1" si="52"/>
        <v>0</v>
      </c>
      <c r="U82" s="221">
        <f t="shared" ca="1" si="9"/>
        <v>0</v>
      </c>
      <c r="V82" s="220">
        <v>20</v>
      </c>
      <c r="W82" s="218">
        <f ca="1">IFERROR(__xludf.DUMMYFUNCTION("IMPORTRANGE(""https://docs.google.com/spreadsheets/d/1IYY_tgx_IHuhSq3AJ5eI5OnqOPBNLWSHKh2a30DoXe8/edit?usp=sharing"",""ปัตตานี!J271"")"),0)</f>
        <v>0</v>
      </c>
      <c r="X82" s="221">
        <f t="shared" ca="1" si="11"/>
        <v>0</v>
      </c>
      <c r="Y82" s="220">
        <v>0</v>
      </c>
      <c r="Z82" s="218">
        <f ca="1">IFERROR(__xludf.DUMMYFUNCTION("IMPORTRANGE(""https://docs.google.com/spreadsheets/d/1IYY_tgx_IHuhSq3AJ5eI5OnqOPBNLWSHKh2a30DoXe8/edit?usp=sharing"",""ปัตตานี!J272"")"),0)</f>
        <v>0</v>
      </c>
      <c r="AA82" s="221">
        <f t="shared" si="13"/>
        <v>0</v>
      </c>
      <c r="AB82" s="184"/>
    </row>
    <row r="83" spans="1:28" ht="24" customHeight="1" x14ac:dyDescent="0.5">
      <c r="A83" s="546">
        <v>7</v>
      </c>
      <c r="B83" s="194" t="s">
        <v>98</v>
      </c>
      <c r="C83" s="217">
        <f t="shared" si="74"/>
        <v>72420</v>
      </c>
      <c r="D83" s="218">
        <v>0</v>
      </c>
      <c r="E83" s="218">
        <v>72420</v>
      </c>
      <c r="F83" s="219">
        <f ca="1">IFERROR(__xludf.DUMMYFUNCTION("IMPORTRANGE(""https://docs.google.com/spreadsheets/d/1IYY_tgx_IHuhSq3AJ5eI5OnqOPBNLWSHKh2a30DoXe8/edit?usp=sharing"",""พังงา!M244"")"),3560)</f>
        <v>3560</v>
      </c>
      <c r="G83" s="219">
        <f t="shared" ca="1" si="1"/>
        <v>4.9157691245512289</v>
      </c>
      <c r="H83" s="218">
        <v>0</v>
      </c>
      <c r="I83" s="219">
        <v>0</v>
      </c>
      <c r="J83" s="219">
        <f t="shared" si="3"/>
        <v>0</v>
      </c>
      <c r="K83" s="220">
        <f ca="1">IFERROR(__xludf.DUMMYFUNCTION("IMPORTRANGE(""https://docs.google.com/spreadsheets/d/1C3CXT74ZlgGe6_JY_1olB1XN4rF0dxEuIIF-xsYjHgg/edit?usp=sharing"",""งบกองทุน!H87"")"),15)</f>
        <v>15</v>
      </c>
      <c r="L83" s="218">
        <f t="shared" ca="1" si="75"/>
        <v>0</v>
      </c>
      <c r="M83" s="219">
        <f t="shared" ca="1" si="5"/>
        <v>0</v>
      </c>
      <c r="N83" s="218">
        <f ca="1">IFERROR(__xludf.DUMMYFUNCTION("IMPORTRANGE(""https://docs.google.com/spreadsheets/d/1IYY_tgx_IHuhSq3AJ5eI5OnqOPBNLWSHKh2a30DoXe8/edit?usp=sharing"",""พังงา!J265"")"),0)</f>
        <v>0</v>
      </c>
      <c r="O83" s="218">
        <f ca="1">IFERROR(__xludf.DUMMYFUNCTION("IMPORTRANGE(""https://docs.google.com/spreadsheets/d/1IYY_tgx_IHuhSq3AJ5eI5OnqOPBNLWSHKh2a30DoXe8/edit?usp=sharing"",""พังงา!J267"")"),0)</f>
        <v>0</v>
      </c>
      <c r="P83" s="218">
        <v>0</v>
      </c>
      <c r="Q83" s="218">
        <v>0</v>
      </c>
      <c r="R83" s="219">
        <f t="shared" si="7"/>
        <v>0</v>
      </c>
      <c r="S83" s="220">
        <f t="shared" si="76"/>
        <v>30</v>
      </c>
      <c r="T83" s="218">
        <f t="shared" ca="1" si="52"/>
        <v>0</v>
      </c>
      <c r="U83" s="221">
        <f t="shared" ca="1" si="9"/>
        <v>0</v>
      </c>
      <c r="V83" s="220">
        <v>20</v>
      </c>
      <c r="W83" s="218">
        <f ca="1">IFERROR(__xludf.DUMMYFUNCTION("IMPORTRANGE(""https://docs.google.com/spreadsheets/d/1IYY_tgx_IHuhSq3AJ5eI5OnqOPBNLWSHKh2a30DoXe8/edit?usp=sharing"",""พังงา!J271"")"),0)</f>
        <v>0</v>
      </c>
      <c r="X83" s="221">
        <f t="shared" ca="1" si="11"/>
        <v>0</v>
      </c>
      <c r="Y83" s="220">
        <v>10</v>
      </c>
      <c r="Z83" s="218">
        <f ca="1">IFERROR(__xludf.DUMMYFUNCTION("IMPORTRANGE(""https://docs.google.com/spreadsheets/d/1IYY_tgx_IHuhSq3AJ5eI5OnqOPBNLWSHKh2a30DoXe8/edit?usp=sharing"",""พังงา!J272"")"),0)</f>
        <v>0</v>
      </c>
      <c r="AA83" s="221">
        <f t="shared" ca="1" si="13"/>
        <v>0</v>
      </c>
      <c r="AB83" s="184"/>
    </row>
    <row r="84" spans="1:28" ht="24" customHeight="1" x14ac:dyDescent="0.5">
      <c r="A84" s="546">
        <v>8</v>
      </c>
      <c r="B84" s="194" t="s">
        <v>99</v>
      </c>
      <c r="C84" s="217">
        <f t="shared" si="74"/>
        <v>334640</v>
      </c>
      <c r="D84" s="218">
        <v>0</v>
      </c>
      <c r="E84" s="218">
        <v>334640</v>
      </c>
      <c r="F84" s="219">
        <f ca="1">IFERROR(__xludf.DUMMYFUNCTION("IMPORTRANGE(""https://docs.google.com/spreadsheets/d/1IYY_tgx_IHuhSq3AJ5eI5OnqOPBNLWSHKh2a30DoXe8/edit?usp=sharing"",""พัทลุง!M244"")"),0)</f>
        <v>0</v>
      </c>
      <c r="G84" s="219">
        <f t="shared" ca="1" si="1"/>
        <v>0</v>
      </c>
      <c r="H84" s="218">
        <v>0</v>
      </c>
      <c r="I84" s="219">
        <v>0</v>
      </c>
      <c r="J84" s="219">
        <f t="shared" si="3"/>
        <v>0</v>
      </c>
      <c r="K84" s="220">
        <f ca="1">IFERROR(__xludf.DUMMYFUNCTION("IMPORTRANGE(""https://docs.google.com/spreadsheets/d/1C3CXT74ZlgGe6_JY_1olB1XN4rF0dxEuIIF-xsYjHgg/edit?usp=sharing"",""งบกองทุน!H88"")"),32)</f>
        <v>32</v>
      </c>
      <c r="L84" s="218">
        <f t="shared" ca="1" si="75"/>
        <v>0</v>
      </c>
      <c r="M84" s="219">
        <f t="shared" ca="1" si="5"/>
        <v>0</v>
      </c>
      <c r="N84" s="218">
        <f ca="1">IFERROR(__xludf.DUMMYFUNCTION("IMPORTRANGE(""https://docs.google.com/spreadsheets/d/1IYY_tgx_IHuhSq3AJ5eI5OnqOPBNLWSHKh2a30DoXe8/edit?usp=sharing"",""พัทลุง!J265"")"),0)</f>
        <v>0</v>
      </c>
      <c r="O84" s="218">
        <f ca="1">IFERROR(__xludf.DUMMYFUNCTION("IMPORTRANGE(""https://docs.google.com/spreadsheets/d/1IYY_tgx_IHuhSq3AJ5eI5OnqOPBNLWSHKh2a30DoXe8/edit?usp=sharing"",""พัทลุง!J267"")"),0)</f>
        <v>0</v>
      </c>
      <c r="P84" s="218">
        <v>0</v>
      </c>
      <c r="Q84" s="218">
        <v>0</v>
      </c>
      <c r="R84" s="219">
        <f t="shared" si="7"/>
        <v>0</v>
      </c>
      <c r="S84" s="220">
        <f t="shared" si="76"/>
        <v>128</v>
      </c>
      <c r="T84" s="218">
        <f t="shared" ca="1" si="52"/>
        <v>0</v>
      </c>
      <c r="U84" s="221">
        <f t="shared" ca="1" si="9"/>
        <v>0</v>
      </c>
      <c r="V84" s="220">
        <v>40</v>
      </c>
      <c r="W84" s="218">
        <f ca="1">IFERROR(__xludf.DUMMYFUNCTION("IMPORTRANGE(""https://docs.google.com/spreadsheets/d/1IYY_tgx_IHuhSq3AJ5eI5OnqOPBNLWSHKh2a30DoXe8/edit?usp=sharing"",""พัทลุง!J271"")"),0)</f>
        <v>0</v>
      </c>
      <c r="X84" s="221">
        <f t="shared" ca="1" si="11"/>
        <v>0</v>
      </c>
      <c r="Y84" s="220">
        <v>88</v>
      </c>
      <c r="Z84" s="218">
        <f ca="1">IFERROR(__xludf.DUMMYFUNCTION("IMPORTRANGE(""https://docs.google.com/spreadsheets/d/1IYY_tgx_IHuhSq3AJ5eI5OnqOPBNLWSHKh2a30DoXe8/edit?usp=sharing"",""พัทลุง!J272"")"),0)</f>
        <v>0</v>
      </c>
      <c r="AA84" s="221">
        <f t="shared" ca="1" si="13"/>
        <v>0</v>
      </c>
      <c r="AB84" s="184"/>
    </row>
    <row r="85" spans="1:28" ht="24" customHeight="1" x14ac:dyDescent="0.5">
      <c r="A85" s="546">
        <v>9</v>
      </c>
      <c r="B85" s="194" t="s">
        <v>100</v>
      </c>
      <c r="C85" s="217">
        <f t="shared" si="74"/>
        <v>89120</v>
      </c>
      <c r="D85" s="218">
        <v>0</v>
      </c>
      <c r="E85" s="218">
        <v>89120</v>
      </c>
      <c r="F85" s="219">
        <f ca="1">IFERROR(__xludf.DUMMYFUNCTION("IMPORTRANGE(""https://docs.google.com/spreadsheets/d/1IYY_tgx_IHuhSq3AJ5eI5OnqOPBNLWSHKh2a30DoXe8/edit?usp=sharing"",""ภูเก็ต!M244"")"),0)</f>
        <v>0</v>
      </c>
      <c r="G85" s="219">
        <f t="shared" ca="1" si="1"/>
        <v>0</v>
      </c>
      <c r="H85" s="218">
        <v>0</v>
      </c>
      <c r="I85" s="219">
        <v>0</v>
      </c>
      <c r="J85" s="219">
        <f t="shared" si="3"/>
        <v>0</v>
      </c>
      <c r="K85" s="220">
        <f ca="1">IFERROR(__xludf.DUMMYFUNCTION("IMPORTRANGE(""https://docs.google.com/spreadsheets/d/1C3CXT74ZlgGe6_JY_1olB1XN4rF0dxEuIIF-xsYjHgg/edit?usp=sharing"",""งบกองทุน!H89"")"),20)</f>
        <v>20</v>
      </c>
      <c r="L85" s="218">
        <f t="shared" ca="1" si="75"/>
        <v>0</v>
      </c>
      <c r="M85" s="219">
        <f t="shared" ca="1" si="5"/>
        <v>0</v>
      </c>
      <c r="N85" s="218">
        <f ca="1">IFERROR(__xludf.DUMMYFUNCTION("IMPORTRANGE(""https://docs.google.com/spreadsheets/d/1IYY_tgx_IHuhSq3AJ5eI5OnqOPBNLWSHKh2a30DoXe8/edit?usp=sharing"",""ภูเก็ต!J265"")"),0)</f>
        <v>0</v>
      </c>
      <c r="O85" s="218">
        <f ca="1">IFERROR(__xludf.DUMMYFUNCTION("IMPORTRANGE(""https://docs.google.com/spreadsheets/d/1IYY_tgx_IHuhSq3AJ5eI5OnqOPBNLWSHKh2a30DoXe8/edit?usp=sharing"",""ภูเก็ต!J267"")"),0)</f>
        <v>0</v>
      </c>
      <c r="P85" s="218">
        <v>0</v>
      </c>
      <c r="Q85" s="218">
        <v>0</v>
      </c>
      <c r="R85" s="219">
        <f t="shared" si="7"/>
        <v>0</v>
      </c>
      <c r="S85" s="220">
        <f t="shared" si="76"/>
        <v>40</v>
      </c>
      <c r="T85" s="218">
        <f t="shared" ca="1" si="52"/>
        <v>0</v>
      </c>
      <c r="U85" s="221">
        <f t="shared" ca="1" si="9"/>
        <v>0</v>
      </c>
      <c r="V85" s="220">
        <v>0</v>
      </c>
      <c r="W85" s="218">
        <f ca="1">IFERROR(__xludf.DUMMYFUNCTION("IMPORTRANGE(""https://docs.google.com/spreadsheets/d/1IYY_tgx_IHuhSq3AJ5eI5OnqOPBNLWSHKh2a30DoXe8/edit?usp=sharing"",""ภูเก็ต!J271"")"),0)</f>
        <v>0</v>
      </c>
      <c r="X85" s="221">
        <f t="shared" si="11"/>
        <v>0</v>
      </c>
      <c r="Y85" s="220">
        <v>40</v>
      </c>
      <c r="Z85" s="218">
        <f ca="1">IFERROR(__xludf.DUMMYFUNCTION("IMPORTRANGE(""https://docs.google.com/spreadsheets/d/1IYY_tgx_IHuhSq3AJ5eI5OnqOPBNLWSHKh2a30DoXe8/edit?usp=sharing"",""ภูเก็ต!J272"")"),0)</f>
        <v>0</v>
      </c>
      <c r="AA85" s="221">
        <f t="shared" ca="1" si="13"/>
        <v>0</v>
      </c>
      <c r="AB85" s="184"/>
    </row>
    <row r="86" spans="1:28" ht="24" customHeight="1" x14ac:dyDescent="0.5">
      <c r="A86" s="546">
        <v>10</v>
      </c>
      <c r="B86" s="194" t="s">
        <v>101</v>
      </c>
      <c r="C86" s="217">
        <f t="shared" si="74"/>
        <v>0</v>
      </c>
      <c r="D86" s="218">
        <v>0</v>
      </c>
      <c r="E86" s="218">
        <v>0</v>
      </c>
      <c r="F86" s="219">
        <f ca="1">IFERROR(__xludf.DUMMYFUNCTION("IMPORTRANGE(""https://docs.google.com/spreadsheets/d/1IYY_tgx_IHuhSq3AJ5eI5OnqOPBNLWSHKh2a30DoXe8/edit?usp=sharing"",""ยะลา!M244"")"),0)</f>
        <v>0</v>
      </c>
      <c r="G86" s="219">
        <f t="shared" si="1"/>
        <v>0</v>
      </c>
      <c r="H86" s="218">
        <v>0</v>
      </c>
      <c r="I86" s="219">
        <v>0</v>
      </c>
      <c r="J86" s="219">
        <f t="shared" si="3"/>
        <v>0</v>
      </c>
      <c r="K86" s="220">
        <f ca="1">IFERROR(__xludf.DUMMYFUNCTION("IMPORTRANGE(""https://docs.google.com/spreadsheets/d/1C3CXT74ZlgGe6_JY_1olB1XN4rF0dxEuIIF-xsYjHgg/edit?usp=sharing"",""งบกองทุน!H90"")"),0)</f>
        <v>0</v>
      </c>
      <c r="L86" s="218">
        <f t="shared" ca="1" si="75"/>
        <v>0</v>
      </c>
      <c r="M86" s="219">
        <f t="shared" ca="1" si="5"/>
        <v>0</v>
      </c>
      <c r="N86" s="218">
        <f ca="1">IFERROR(__xludf.DUMMYFUNCTION("IMPORTRANGE(""https://docs.google.com/spreadsheets/d/1IYY_tgx_IHuhSq3AJ5eI5OnqOPBNLWSHKh2a30DoXe8/edit?usp=sharing"",""ยะลา!J265"")"),0)</f>
        <v>0</v>
      </c>
      <c r="O86" s="218">
        <f ca="1">IFERROR(__xludf.DUMMYFUNCTION("IMPORTRANGE(""https://docs.google.com/spreadsheets/d/1IYY_tgx_IHuhSq3AJ5eI5OnqOPBNLWSHKh2a30DoXe8/edit?usp=sharing"",""ยะลา!J267"")"),0)</f>
        <v>0</v>
      </c>
      <c r="P86" s="218">
        <v>0</v>
      </c>
      <c r="Q86" s="218">
        <v>0</v>
      </c>
      <c r="R86" s="219">
        <f t="shared" si="7"/>
        <v>0</v>
      </c>
      <c r="S86" s="220">
        <f t="shared" si="76"/>
        <v>0</v>
      </c>
      <c r="T86" s="218">
        <f t="shared" ca="1" si="52"/>
        <v>0</v>
      </c>
      <c r="U86" s="221">
        <f t="shared" si="9"/>
        <v>0</v>
      </c>
      <c r="V86" s="220">
        <v>0</v>
      </c>
      <c r="W86" s="218">
        <f ca="1">IFERROR(__xludf.DUMMYFUNCTION("IMPORTRANGE(""https://docs.google.com/spreadsheets/d/1IYY_tgx_IHuhSq3AJ5eI5OnqOPBNLWSHKh2a30DoXe8/edit?usp=sharing"",""ยะลา!J271"")"),0)</f>
        <v>0</v>
      </c>
      <c r="X86" s="221">
        <f t="shared" si="11"/>
        <v>0</v>
      </c>
      <c r="Y86" s="220">
        <v>0</v>
      </c>
      <c r="Z86" s="218">
        <f ca="1">IFERROR(__xludf.DUMMYFUNCTION("IMPORTRANGE(""https://docs.google.com/spreadsheets/d/1IYY_tgx_IHuhSq3AJ5eI5OnqOPBNLWSHKh2a30DoXe8/edit?usp=sharing"",""ยะลา!J272"")"),0)</f>
        <v>0</v>
      </c>
      <c r="AA86" s="221">
        <f t="shared" si="13"/>
        <v>0</v>
      </c>
      <c r="AB86" s="184"/>
    </row>
    <row r="87" spans="1:28" ht="24" customHeight="1" x14ac:dyDescent="0.5">
      <c r="A87" s="546">
        <v>11</v>
      </c>
      <c r="B87" s="194" t="s">
        <v>102</v>
      </c>
      <c r="C87" s="217">
        <f t="shared" si="74"/>
        <v>65120</v>
      </c>
      <c r="D87" s="218">
        <v>0</v>
      </c>
      <c r="E87" s="218">
        <v>65120</v>
      </c>
      <c r="F87" s="219">
        <f ca="1">IFERROR(__xludf.DUMMYFUNCTION("IMPORTRANGE(""https://docs.google.com/spreadsheets/d/1IYY_tgx_IHuhSq3AJ5eI5OnqOPBNLWSHKh2a30DoXe8/edit?usp=sharing"",""ระนอง!M244"")"),0)</f>
        <v>0</v>
      </c>
      <c r="G87" s="219">
        <f t="shared" ca="1" si="1"/>
        <v>0</v>
      </c>
      <c r="H87" s="218">
        <v>0</v>
      </c>
      <c r="I87" s="219">
        <v>0</v>
      </c>
      <c r="J87" s="219">
        <f t="shared" si="3"/>
        <v>0</v>
      </c>
      <c r="K87" s="220">
        <f ca="1">IFERROR(__xludf.DUMMYFUNCTION("IMPORTRANGE(""https://docs.google.com/spreadsheets/d/1C3CXT74ZlgGe6_JY_1olB1XN4rF0dxEuIIF-xsYjHgg/edit?usp=sharing"",""งบกองทุน!H91"")"),20)</f>
        <v>20</v>
      </c>
      <c r="L87" s="218">
        <f t="shared" ca="1" si="75"/>
        <v>0</v>
      </c>
      <c r="M87" s="219">
        <f t="shared" ca="1" si="5"/>
        <v>0</v>
      </c>
      <c r="N87" s="218">
        <f ca="1">IFERROR(__xludf.DUMMYFUNCTION("IMPORTRANGE(""https://docs.google.com/spreadsheets/d/1IYY_tgx_IHuhSq3AJ5eI5OnqOPBNLWSHKh2a30DoXe8/edit?usp=sharing"",""ระนอง!J265"")"),0)</f>
        <v>0</v>
      </c>
      <c r="O87" s="218">
        <f ca="1">IFERROR(__xludf.DUMMYFUNCTION("IMPORTRANGE(""https://docs.google.com/spreadsheets/d/1IYY_tgx_IHuhSq3AJ5eI5OnqOPBNLWSHKh2a30DoXe8/edit?usp=sharing"",""ระนอง!J267"")"),0)</f>
        <v>0</v>
      </c>
      <c r="P87" s="218">
        <v>0</v>
      </c>
      <c r="Q87" s="218">
        <v>0</v>
      </c>
      <c r="R87" s="219">
        <f t="shared" si="7"/>
        <v>0</v>
      </c>
      <c r="S87" s="220">
        <f t="shared" si="76"/>
        <v>20</v>
      </c>
      <c r="T87" s="218">
        <f t="shared" ca="1" si="52"/>
        <v>0</v>
      </c>
      <c r="U87" s="221">
        <f t="shared" ca="1" si="9"/>
        <v>0</v>
      </c>
      <c r="V87" s="220">
        <v>0</v>
      </c>
      <c r="W87" s="218">
        <f ca="1">IFERROR(__xludf.DUMMYFUNCTION("IMPORTRANGE(""https://docs.google.com/spreadsheets/d/1IYY_tgx_IHuhSq3AJ5eI5OnqOPBNLWSHKh2a30DoXe8/edit?usp=sharing"",""ระนอง!J271"")"),0)</f>
        <v>0</v>
      </c>
      <c r="X87" s="221">
        <f t="shared" si="11"/>
        <v>0</v>
      </c>
      <c r="Y87" s="220">
        <v>20</v>
      </c>
      <c r="Z87" s="218">
        <f ca="1">IFERROR(__xludf.DUMMYFUNCTION("IMPORTRANGE(""https://docs.google.com/spreadsheets/d/1IYY_tgx_IHuhSq3AJ5eI5OnqOPBNLWSHKh2a30DoXe8/edit?usp=sharing"",""ระนอง!J272"")"),0)</f>
        <v>0</v>
      </c>
      <c r="AA87" s="221">
        <f t="shared" ca="1" si="13"/>
        <v>0</v>
      </c>
      <c r="AB87" s="184"/>
    </row>
    <row r="88" spans="1:28" ht="24" customHeight="1" x14ac:dyDescent="0.5">
      <c r="A88" s="546">
        <v>12</v>
      </c>
      <c r="B88" s="194" t="s">
        <v>103</v>
      </c>
      <c r="C88" s="217">
        <f t="shared" si="74"/>
        <v>461480</v>
      </c>
      <c r="D88" s="218">
        <v>0</v>
      </c>
      <c r="E88" s="218">
        <v>461480</v>
      </c>
      <c r="F88" s="219">
        <f ca="1">IFERROR(__xludf.DUMMYFUNCTION("IMPORTRANGE(""https://docs.google.com/spreadsheets/d/1IYY_tgx_IHuhSq3AJ5eI5OnqOPBNLWSHKh2a30DoXe8/edit?usp=sharing"",""สงขลา!M244"")"),25855)</f>
        <v>25855</v>
      </c>
      <c r="G88" s="219">
        <f t="shared" ca="1" si="1"/>
        <v>5.6026263326688044</v>
      </c>
      <c r="H88" s="218">
        <v>0</v>
      </c>
      <c r="I88" s="219">
        <v>0</v>
      </c>
      <c r="J88" s="219">
        <f t="shared" si="3"/>
        <v>0</v>
      </c>
      <c r="K88" s="220">
        <f ca="1">IFERROR(__xludf.DUMMYFUNCTION("IMPORTRANGE(""https://docs.google.com/spreadsheets/d/1C3CXT74ZlgGe6_JY_1olB1XN4rF0dxEuIIF-xsYjHgg/edit?usp=sharing"",""งบกองทุน!H92"")"),60)</f>
        <v>60</v>
      </c>
      <c r="L88" s="218">
        <f t="shared" ca="1" si="75"/>
        <v>0</v>
      </c>
      <c r="M88" s="219">
        <f t="shared" ca="1" si="5"/>
        <v>0</v>
      </c>
      <c r="N88" s="218">
        <f ca="1">IFERROR(__xludf.DUMMYFUNCTION("IMPORTRANGE(""https://docs.google.com/spreadsheets/d/1IYY_tgx_IHuhSq3AJ5eI5OnqOPBNLWSHKh2a30DoXe8/edit?usp=sharing"",""สงขลา!J265"")"),0)</f>
        <v>0</v>
      </c>
      <c r="O88" s="218">
        <f ca="1">IFERROR(__xludf.DUMMYFUNCTION("IMPORTRANGE(""https://docs.google.com/spreadsheets/d/1IYY_tgx_IHuhSq3AJ5eI5OnqOPBNLWSHKh2a30DoXe8/edit?usp=sharing"",""สงขลา!J267"")"),0)</f>
        <v>0</v>
      </c>
      <c r="P88" s="218">
        <v>0</v>
      </c>
      <c r="Q88" s="218">
        <v>0</v>
      </c>
      <c r="R88" s="219">
        <f t="shared" si="7"/>
        <v>0</v>
      </c>
      <c r="S88" s="220">
        <f t="shared" si="76"/>
        <v>230</v>
      </c>
      <c r="T88" s="218">
        <f t="shared" ca="1" si="52"/>
        <v>0</v>
      </c>
      <c r="U88" s="221">
        <f t="shared" ca="1" si="9"/>
        <v>0</v>
      </c>
      <c r="V88" s="220">
        <v>80</v>
      </c>
      <c r="W88" s="218">
        <f ca="1">IFERROR(__xludf.DUMMYFUNCTION("IMPORTRANGE(""https://docs.google.com/spreadsheets/d/1IYY_tgx_IHuhSq3AJ5eI5OnqOPBNLWSHKh2a30DoXe8/edit?usp=sharing"",""สงขลา!J271"")"),0)</f>
        <v>0</v>
      </c>
      <c r="X88" s="221">
        <f t="shared" ca="1" si="11"/>
        <v>0</v>
      </c>
      <c r="Y88" s="220">
        <v>150</v>
      </c>
      <c r="Z88" s="218">
        <f ca="1">IFERROR(__xludf.DUMMYFUNCTION("IMPORTRANGE(""https://docs.google.com/spreadsheets/d/1IYY_tgx_IHuhSq3AJ5eI5OnqOPBNLWSHKh2a30DoXe8/edit?usp=sharing"",""สงขลา!J272"")"),0)</f>
        <v>0</v>
      </c>
      <c r="AA88" s="221">
        <f t="shared" ca="1" si="13"/>
        <v>0</v>
      </c>
      <c r="AB88" s="184"/>
    </row>
    <row r="89" spans="1:28" ht="24" customHeight="1" x14ac:dyDescent="0.5">
      <c r="A89" s="546">
        <v>13</v>
      </c>
      <c r="B89" s="194" t="s">
        <v>104</v>
      </c>
      <c r="C89" s="217">
        <f t="shared" si="74"/>
        <v>0</v>
      </c>
      <c r="D89" s="218">
        <v>0</v>
      </c>
      <c r="E89" s="218">
        <v>0</v>
      </c>
      <c r="F89" s="219">
        <f ca="1">IFERROR(__xludf.DUMMYFUNCTION("IMPORTRANGE(""https://docs.google.com/spreadsheets/d/1IYY_tgx_IHuhSq3AJ5eI5OnqOPBNLWSHKh2a30DoXe8/edit?usp=sharing"",""สตูล!M244"")"),0)</f>
        <v>0</v>
      </c>
      <c r="G89" s="219">
        <f t="shared" si="1"/>
        <v>0</v>
      </c>
      <c r="H89" s="218">
        <v>0</v>
      </c>
      <c r="I89" s="219">
        <v>0</v>
      </c>
      <c r="J89" s="219">
        <f t="shared" si="3"/>
        <v>0</v>
      </c>
      <c r="K89" s="220">
        <f ca="1">IFERROR(__xludf.DUMMYFUNCTION("IMPORTRANGE(""https://docs.google.com/spreadsheets/d/1C3CXT74ZlgGe6_JY_1olB1XN4rF0dxEuIIF-xsYjHgg/edit?usp=sharing"",""งบกองทุน!H93"")"),0)</f>
        <v>0</v>
      </c>
      <c r="L89" s="218">
        <f t="shared" ca="1" si="75"/>
        <v>0</v>
      </c>
      <c r="M89" s="219">
        <f t="shared" ca="1" si="5"/>
        <v>0</v>
      </c>
      <c r="N89" s="218">
        <f ca="1">IFERROR(__xludf.DUMMYFUNCTION("IMPORTRANGE(""https://docs.google.com/spreadsheets/d/1IYY_tgx_IHuhSq3AJ5eI5OnqOPBNLWSHKh2a30DoXe8/edit?usp=sharing"",""สตูล!J265"")"),0)</f>
        <v>0</v>
      </c>
      <c r="O89" s="218">
        <f ca="1">IFERROR(__xludf.DUMMYFUNCTION("IMPORTRANGE(""https://docs.google.com/spreadsheets/d/1IYY_tgx_IHuhSq3AJ5eI5OnqOPBNLWSHKh2a30DoXe8/edit?usp=sharing"",""สตูล!J267"")"),0)</f>
        <v>0</v>
      </c>
      <c r="P89" s="218">
        <v>0</v>
      </c>
      <c r="Q89" s="218">
        <v>0</v>
      </c>
      <c r="R89" s="219">
        <f t="shared" si="7"/>
        <v>0</v>
      </c>
      <c r="S89" s="220">
        <f t="shared" si="76"/>
        <v>0</v>
      </c>
      <c r="T89" s="218">
        <f t="shared" ca="1" si="52"/>
        <v>0</v>
      </c>
      <c r="U89" s="221">
        <f t="shared" si="9"/>
        <v>0</v>
      </c>
      <c r="V89" s="220">
        <v>0</v>
      </c>
      <c r="W89" s="218">
        <f ca="1">IFERROR(__xludf.DUMMYFUNCTION("IMPORTRANGE(""https://docs.google.com/spreadsheets/d/1IYY_tgx_IHuhSq3AJ5eI5OnqOPBNLWSHKh2a30DoXe8/edit?usp=sharing"",""สตูล!J271"")"),0)</f>
        <v>0</v>
      </c>
      <c r="X89" s="221">
        <f t="shared" si="11"/>
        <v>0</v>
      </c>
      <c r="Y89" s="220">
        <v>0</v>
      </c>
      <c r="Z89" s="218">
        <f ca="1">IFERROR(__xludf.DUMMYFUNCTION("IMPORTRANGE(""https://docs.google.com/spreadsheets/d/1IYY_tgx_IHuhSq3AJ5eI5OnqOPBNLWSHKh2a30DoXe8/edit?usp=sharing"",""สตูล!J272"")"),0)</f>
        <v>0</v>
      </c>
      <c r="AA89" s="221">
        <f t="shared" si="13"/>
        <v>0</v>
      </c>
      <c r="AB89" s="184"/>
    </row>
    <row r="90" spans="1:28" ht="24" customHeight="1" x14ac:dyDescent="0.5">
      <c r="A90" s="547">
        <v>14</v>
      </c>
      <c r="B90" s="535" t="s">
        <v>105</v>
      </c>
      <c r="C90" s="536">
        <f t="shared" si="74"/>
        <v>311160</v>
      </c>
      <c r="D90" s="537">
        <v>0</v>
      </c>
      <c r="E90" s="537">
        <v>311160</v>
      </c>
      <c r="F90" s="538">
        <f ca="1">IFERROR(__xludf.DUMMYFUNCTION("IMPORTRANGE(""https://docs.google.com/spreadsheets/d/1IYY_tgx_IHuhSq3AJ5eI5OnqOPBNLWSHKh2a30DoXe8/edit?usp=sharing"",""สุราษฎร์ธานี!M244"")"),0)</f>
        <v>0</v>
      </c>
      <c r="G90" s="538">
        <f t="shared" ca="1" si="1"/>
        <v>0</v>
      </c>
      <c r="H90" s="537">
        <v>0</v>
      </c>
      <c r="I90" s="538">
        <v>0</v>
      </c>
      <c r="J90" s="538">
        <f t="shared" si="3"/>
        <v>0</v>
      </c>
      <c r="K90" s="539">
        <f ca="1">IFERROR(__xludf.DUMMYFUNCTION("IMPORTRANGE(""https://docs.google.com/spreadsheets/d/1C3CXT74ZlgGe6_JY_1olB1XN4rF0dxEuIIF-xsYjHgg/edit?usp=sharing"",""งบกองทุน!H94"")"),40)</f>
        <v>40</v>
      </c>
      <c r="L90" s="537">
        <f t="shared" ca="1" si="75"/>
        <v>0</v>
      </c>
      <c r="M90" s="538">
        <f t="shared" ca="1" si="5"/>
        <v>0</v>
      </c>
      <c r="N90" s="537">
        <f ca="1">IFERROR(__xludf.DUMMYFUNCTION("IMPORTRANGE(""https://docs.google.com/spreadsheets/d/1IYY_tgx_IHuhSq3AJ5eI5OnqOPBNLWSHKh2a30DoXe8/edit?usp=sharing"",""สุราษฎร์ธานี!J265"")"),0)</f>
        <v>0</v>
      </c>
      <c r="O90" s="537">
        <f ca="1">IFERROR(__xludf.DUMMYFUNCTION("IMPORTRANGE(""https://docs.google.com/spreadsheets/d/1IYY_tgx_IHuhSq3AJ5eI5OnqOPBNLWSHKh2a30DoXe8/edit?usp=sharing"",""สุราษฎร์ธานี!J267"")"),0)</f>
        <v>0</v>
      </c>
      <c r="P90" s="537">
        <v>0</v>
      </c>
      <c r="Q90" s="537">
        <v>0</v>
      </c>
      <c r="R90" s="538">
        <f t="shared" si="7"/>
        <v>0</v>
      </c>
      <c r="S90" s="539">
        <f t="shared" si="76"/>
        <v>80</v>
      </c>
      <c r="T90" s="537">
        <f t="shared" ca="1" si="52"/>
        <v>0</v>
      </c>
      <c r="U90" s="540">
        <f t="shared" ca="1" si="9"/>
        <v>0</v>
      </c>
      <c r="V90" s="539">
        <v>40</v>
      </c>
      <c r="W90" s="537">
        <f ca="1">IFERROR(__xludf.DUMMYFUNCTION("IMPORTRANGE(""https://docs.google.com/spreadsheets/d/1IYY_tgx_IHuhSq3AJ5eI5OnqOPBNLWSHKh2a30DoXe8/edit?usp=sharing"",""สุราษฎร์ธานี!J271"")"),0)</f>
        <v>0</v>
      </c>
      <c r="X90" s="540">
        <f t="shared" ca="1" si="11"/>
        <v>0</v>
      </c>
      <c r="Y90" s="539">
        <v>40</v>
      </c>
      <c r="Z90" s="537">
        <f ca="1">IFERROR(__xludf.DUMMYFUNCTION("IMPORTRANGE(""https://docs.google.com/spreadsheets/d/1IYY_tgx_IHuhSq3AJ5eI5OnqOPBNLWSHKh2a30DoXe8/edit?usp=sharing"",""สุราษฎร์ธานี!J272"")"),0)</f>
        <v>0</v>
      </c>
      <c r="AA90" s="540">
        <f t="shared" ca="1" si="13"/>
        <v>0</v>
      </c>
      <c r="AB90" s="184"/>
    </row>
    <row r="91" spans="1:28" ht="24" customHeight="1" x14ac:dyDescent="0.5">
      <c r="A91" s="751" t="s">
        <v>106</v>
      </c>
      <c r="B91" s="713"/>
      <c r="C91" s="541">
        <f t="shared" ref="C91:F91" si="77">+C92+C93+C94+C95+C96+C97+C98+C99+C100+C101+C102+C103+C104+C105</f>
        <v>2747160</v>
      </c>
      <c r="D91" s="542">
        <f t="shared" si="77"/>
        <v>0</v>
      </c>
      <c r="E91" s="542">
        <f t="shared" si="77"/>
        <v>2747160</v>
      </c>
      <c r="F91" s="542">
        <f t="shared" si="77"/>
        <v>0</v>
      </c>
      <c r="G91" s="543">
        <f t="shared" si="1"/>
        <v>0</v>
      </c>
      <c r="H91" s="542">
        <f t="shared" ref="H91:I91" si="78">+H92+H93+H94+H95+H96+H97+H98+H99+H100+H101+H102+H103+H104+H105</f>
        <v>120</v>
      </c>
      <c r="I91" s="542">
        <f t="shared" si="78"/>
        <v>120</v>
      </c>
      <c r="J91" s="543">
        <f t="shared" si="3"/>
        <v>100</v>
      </c>
      <c r="K91" s="542">
        <f>+K92+K93+K94+K95+K96+K97+K98+K99+K100+K101+K102+K103+K104+K105</f>
        <v>0</v>
      </c>
      <c r="L91" s="542">
        <f t="shared" ref="L91:L114" si="79">SUM(N91,O91)</f>
        <v>0</v>
      </c>
      <c r="M91" s="543">
        <f t="shared" si="5"/>
        <v>0</v>
      </c>
      <c r="N91" s="542">
        <f t="shared" ref="N91:Q91" si="80">+N92+N93+N94+N95+N96+N97+N98+N99+N100+N101+N102+N103+N104+N105</f>
        <v>0</v>
      </c>
      <c r="O91" s="542">
        <f t="shared" si="80"/>
        <v>0</v>
      </c>
      <c r="P91" s="542">
        <f t="shared" si="80"/>
        <v>100</v>
      </c>
      <c r="Q91" s="542">
        <f t="shared" si="80"/>
        <v>0</v>
      </c>
      <c r="R91" s="543">
        <f t="shared" si="7"/>
        <v>0</v>
      </c>
      <c r="S91" s="542">
        <f>+S92+S93+S94+S95+S96+S97+S98+S99+S100+S101+S102+S103+S104+S105</f>
        <v>0</v>
      </c>
      <c r="T91" s="542">
        <f t="shared" si="52"/>
        <v>0</v>
      </c>
      <c r="U91" s="543">
        <f t="shared" si="9"/>
        <v>0</v>
      </c>
      <c r="V91" s="542">
        <f t="shared" ref="V91:W91" si="81">+V92+V93+V94+V95+V96+V97+V98+V99+V100+V101+V102+V103+V104+V105</f>
        <v>0</v>
      </c>
      <c r="W91" s="542">
        <f t="shared" si="81"/>
        <v>0</v>
      </c>
      <c r="X91" s="543">
        <f t="shared" si="11"/>
        <v>0</v>
      </c>
      <c r="Y91" s="542">
        <f t="shared" ref="Y91:Z91" si="82">+Y92+Y93+Y94+Y95+Y96+Y97+Y98+Y99+Y100+Y101+Y102+Y103+Y104+Y105</f>
        <v>0</v>
      </c>
      <c r="Z91" s="542">
        <f t="shared" si="82"/>
        <v>0</v>
      </c>
      <c r="AA91" s="543">
        <f t="shared" si="13"/>
        <v>0</v>
      </c>
      <c r="AB91" s="184"/>
    </row>
    <row r="92" spans="1:28" ht="24" customHeight="1" x14ac:dyDescent="0.5">
      <c r="A92" s="548">
        <v>1</v>
      </c>
      <c r="B92" s="228" t="s">
        <v>107</v>
      </c>
      <c r="C92" s="213">
        <f t="shared" ref="C92:C105" si="83">+D92+E92</f>
        <v>0</v>
      </c>
      <c r="D92" s="193">
        <v>0</v>
      </c>
      <c r="E92" s="193">
        <v>0</v>
      </c>
      <c r="F92" s="192">
        <v>0</v>
      </c>
      <c r="G92" s="192">
        <f t="shared" si="1"/>
        <v>0</v>
      </c>
      <c r="H92" s="193">
        <v>0</v>
      </c>
      <c r="I92" s="192">
        <v>0</v>
      </c>
      <c r="J92" s="192">
        <f t="shared" si="3"/>
        <v>0</v>
      </c>
      <c r="K92" s="214">
        <v>0</v>
      </c>
      <c r="L92" s="193">
        <f t="shared" si="79"/>
        <v>0</v>
      </c>
      <c r="M92" s="192">
        <f t="shared" si="5"/>
        <v>0</v>
      </c>
      <c r="N92" s="193">
        <v>0</v>
      </c>
      <c r="O92" s="193">
        <v>0</v>
      </c>
      <c r="P92" s="193">
        <v>0</v>
      </c>
      <c r="Q92" s="193">
        <v>0</v>
      </c>
      <c r="R92" s="192">
        <f t="shared" si="7"/>
        <v>0</v>
      </c>
      <c r="S92" s="214">
        <v>0</v>
      </c>
      <c r="T92" s="193">
        <f t="shared" si="52"/>
        <v>0</v>
      </c>
      <c r="U92" s="215">
        <f t="shared" si="9"/>
        <v>0</v>
      </c>
      <c r="V92" s="214">
        <v>0</v>
      </c>
      <c r="W92" s="193">
        <v>0</v>
      </c>
      <c r="X92" s="215">
        <f t="shared" si="11"/>
        <v>0</v>
      </c>
      <c r="Y92" s="214">
        <v>0</v>
      </c>
      <c r="Z92" s="193">
        <v>0</v>
      </c>
      <c r="AA92" s="215">
        <f t="shared" si="13"/>
        <v>0</v>
      </c>
      <c r="AB92" s="184"/>
    </row>
    <row r="93" spans="1:28" ht="24" customHeight="1" x14ac:dyDescent="0.5">
      <c r="A93" s="549">
        <v>2</v>
      </c>
      <c r="B93" s="230" t="s">
        <v>108</v>
      </c>
      <c r="C93" s="217">
        <f t="shared" si="83"/>
        <v>0</v>
      </c>
      <c r="D93" s="218">
        <v>0</v>
      </c>
      <c r="E93" s="218">
        <v>0</v>
      </c>
      <c r="F93" s="219">
        <v>0</v>
      </c>
      <c r="G93" s="219">
        <f t="shared" si="1"/>
        <v>0</v>
      </c>
      <c r="H93" s="218">
        <v>0</v>
      </c>
      <c r="I93" s="219">
        <v>0</v>
      </c>
      <c r="J93" s="219">
        <f t="shared" si="3"/>
        <v>0</v>
      </c>
      <c r="K93" s="220">
        <v>0</v>
      </c>
      <c r="L93" s="218">
        <f t="shared" si="79"/>
        <v>0</v>
      </c>
      <c r="M93" s="219">
        <f t="shared" si="5"/>
        <v>0</v>
      </c>
      <c r="N93" s="218">
        <v>0</v>
      </c>
      <c r="O93" s="218">
        <v>0</v>
      </c>
      <c r="P93" s="218">
        <v>0</v>
      </c>
      <c r="Q93" s="218">
        <v>0</v>
      </c>
      <c r="R93" s="219">
        <f t="shared" si="7"/>
        <v>0</v>
      </c>
      <c r="S93" s="220">
        <v>0</v>
      </c>
      <c r="T93" s="218">
        <f t="shared" si="52"/>
        <v>0</v>
      </c>
      <c r="U93" s="221">
        <f t="shared" si="9"/>
        <v>0</v>
      </c>
      <c r="V93" s="220">
        <v>0</v>
      </c>
      <c r="W93" s="218">
        <v>0</v>
      </c>
      <c r="X93" s="221">
        <f t="shared" si="11"/>
        <v>0</v>
      </c>
      <c r="Y93" s="220">
        <v>0</v>
      </c>
      <c r="Z93" s="218">
        <v>0</v>
      </c>
      <c r="AA93" s="221">
        <f t="shared" si="13"/>
        <v>0</v>
      </c>
      <c r="AB93" s="184"/>
    </row>
    <row r="94" spans="1:28" ht="24" customHeight="1" x14ac:dyDescent="0.5">
      <c r="A94" s="549">
        <v>3</v>
      </c>
      <c r="B94" s="230" t="s">
        <v>109</v>
      </c>
      <c r="C94" s="217">
        <f t="shared" si="83"/>
        <v>0</v>
      </c>
      <c r="D94" s="218">
        <v>0</v>
      </c>
      <c r="E94" s="218">
        <v>0</v>
      </c>
      <c r="F94" s="219">
        <v>0</v>
      </c>
      <c r="G94" s="219">
        <f t="shared" si="1"/>
        <v>0</v>
      </c>
      <c r="H94" s="218">
        <v>0</v>
      </c>
      <c r="I94" s="219">
        <v>0</v>
      </c>
      <c r="J94" s="219">
        <f t="shared" si="3"/>
        <v>0</v>
      </c>
      <c r="K94" s="220">
        <v>0</v>
      </c>
      <c r="L94" s="218">
        <f t="shared" si="79"/>
        <v>0</v>
      </c>
      <c r="M94" s="219">
        <f t="shared" si="5"/>
        <v>0</v>
      </c>
      <c r="N94" s="218">
        <v>0</v>
      </c>
      <c r="O94" s="218">
        <v>0</v>
      </c>
      <c r="P94" s="218">
        <v>0</v>
      </c>
      <c r="Q94" s="218">
        <v>0</v>
      </c>
      <c r="R94" s="219">
        <f t="shared" si="7"/>
        <v>0</v>
      </c>
      <c r="S94" s="220">
        <v>0</v>
      </c>
      <c r="T94" s="218">
        <f t="shared" si="52"/>
        <v>0</v>
      </c>
      <c r="U94" s="221">
        <f t="shared" si="9"/>
        <v>0</v>
      </c>
      <c r="V94" s="220">
        <v>0</v>
      </c>
      <c r="W94" s="218">
        <v>0</v>
      </c>
      <c r="X94" s="221">
        <f t="shared" si="11"/>
        <v>0</v>
      </c>
      <c r="Y94" s="220">
        <v>0</v>
      </c>
      <c r="Z94" s="218">
        <v>0</v>
      </c>
      <c r="AA94" s="221">
        <f t="shared" si="13"/>
        <v>0</v>
      </c>
      <c r="AB94" s="184"/>
    </row>
    <row r="95" spans="1:28" ht="24" customHeight="1" x14ac:dyDescent="0.5">
      <c r="A95" s="549">
        <f t="shared" ref="A95:A105" si="84">+A94+1</f>
        <v>4</v>
      </c>
      <c r="B95" s="230" t="s">
        <v>110</v>
      </c>
      <c r="C95" s="217">
        <f t="shared" si="83"/>
        <v>0</v>
      </c>
      <c r="D95" s="218">
        <v>0</v>
      </c>
      <c r="E95" s="218">
        <v>0</v>
      </c>
      <c r="F95" s="219">
        <v>0</v>
      </c>
      <c r="G95" s="219">
        <f t="shared" si="1"/>
        <v>0</v>
      </c>
      <c r="H95" s="218">
        <v>0</v>
      </c>
      <c r="I95" s="219">
        <v>0</v>
      </c>
      <c r="J95" s="219">
        <f t="shared" si="3"/>
        <v>0</v>
      </c>
      <c r="K95" s="220">
        <v>0</v>
      </c>
      <c r="L95" s="218">
        <f t="shared" si="79"/>
        <v>0</v>
      </c>
      <c r="M95" s="219">
        <f t="shared" si="5"/>
        <v>0</v>
      </c>
      <c r="N95" s="218">
        <v>0</v>
      </c>
      <c r="O95" s="218">
        <v>0</v>
      </c>
      <c r="P95" s="218">
        <v>0</v>
      </c>
      <c r="Q95" s="218">
        <v>0</v>
      </c>
      <c r="R95" s="219">
        <f t="shared" si="7"/>
        <v>0</v>
      </c>
      <c r="S95" s="220">
        <v>0</v>
      </c>
      <c r="T95" s="218">
        <f t="shared" si="52"/>
        <v>0</v>
      </c>
      <c r="U95" s="221">
        <f t="shared" si="9"/>
        <v>0</v>
      </c>
      <c r="V95" s="220">
        <v>0</v>
      </c>
      <c r="W95" s="218">
        <v>0</v>
      </c>
      <c r="X95" s="221">
        <f t="shared" si="11"/>
        <v>0</v>
      </c>
      <c r="Y95" s="220">
        <v>0</v>
      </c>
      <c r="Z95" s="218">
        <v>0</v>
      </c>
      <c r="AA95" s="221">
        <f t="shared" si="13"/>
        <v>0</v>
      </c>
      <c r="AB95" s="184"/>
    </row>
    <row r="96" spans="1:28" ht="24" customHeight="1" x14ac:dyDescent="0.5">
      <c r="A96" s="549">
        <f t="shared" si="84"/>
        <v>5</v>
      </c>
      <c r="B96" s="230" t="s">
        <v>111</v>
      </c>
      <c r="C96" s="217">
        <f t="shared" si="83"/>
        <v>0</v>
      </c>
      <c r="D96" s="218">
        <v>0</v>
      </c>
      <c r="E96" s="218">
        <v>0</v>
      </c>
      <c r="F96" s="219">
        <v>0</v>
      </c>
      <c r="G96" s="219">
        <f t="shared" si="1"/>
        <v>0</v>
      </c>
      <c r="H96" s="218">
        <v>0</v>
      </c>
      <c r="I96" s="219">
        <v>0</v>
      </c>
      <c r="J96" s="219">
        <f t="shared" si="3"/>
        <v>0</v>
      </c>
      <c r="K96" s="220">
        <v>0</v>
      </c>
      <c r="L96" s="218">
        <f t="shared" si="79"/>
        <v>0</v>
      </c>
      <c r="M96" s="219">
        <f t="shared" si="5"/>
        <v>0</v>
      </c>
      <c r="N96" s="218">
        <v>0</v>
      </c>
      <c r="O96" s="218">
        <v>0</v>
      </c>
      <c r="P96" s="218">
        <v>0</v>
      </c>
      <c r="Q96" s="218">
        <v>0</v>
      </c>
      <c r="R96" s="219">
        <f t="shared" si="7"/>
        <v>0</v>
      </c>
      <c r="S96" s="220">
        <v>0</v>
      </c>
      <c r="T96" s="218">
        <f t="shared" si="52"/>
        <v>0</v>
      </c>
      <c r="U96" s="221">
        <f t="shared" si="9"/>
        <v>0</v>
      </c>
      <c r="V96" s="220">
        <v>0</v>
      </c>
      <c r="W96" s="218">
        <v>0</v>
      </c>
      <c r="X96" s="221">
        <f t="shared" si="11"/>
        <v>0</v>
      </c>
      <c r="Y96" s="220">
        <v>0</v>
      </c>
      <c r="Z96" s="218">
        <v>0</v>
      </c>
      <c r="AA96" s="221">
        <f t="shared" si="13"/>
        <v>0</v>
      </c>
      <c r="AB96" s="184"/>
    </row>
    <row r="97" spans="1:28" ht="24" customHeight="1" x14ac:dyDescent="0.5">
      <c r="A97" s="549">
        <f t="shared" si="84"/>
        <v>6</v>
      </c>
      <c r="B97" s="230" t="s">
        <v>112</v>
      </c>
      <c r="C97" s="217">
        <f t="shared" si="83"/>
        <v>0</v>
      </c>
      <c r="D97" s="218">
        <v>0</v>
      </c>
      <c r="E97" s="218">
        <v>0</v>
      </c>
      <c r="F97" s="219">
        <v>0</v>
      </c>
      <c r="G97" s="219">
        <f t="shared" si="1"/>
        <v>0</v>
      </c>
      <c r="H97" s="218">
        <v>0</v>
      </c>
      <c r="I97" s="219">
        <v>0</v>
      </c>
      <c r="J97" s="219">
        <f t="shared" si="3"/>
        <v>0</v>
      </c>
      <c r="K97" s="220">
        <v>0</v>
      </c>
      <c r="L97" s="218">
        <f t="shared" si="79"/>
        <v>0</v>
      </c>
      <c r="M97" s="219">
        <f t="shared" si="5"/>
        <v>0</v>
      </c>
      <c r="N97" s="218">
        <v>0</v>
      </c>
      <c r="O97" s="218">
        <v>0</v>
      </c>
      <c r="P97" s="218">
        <v>0</v>
      </c>
      <c r="Q97" s="218">
        <v>0</v>
      </c>
      <c r="R97" s="219">
        <f t="shared" si="7"/>
        <v>0</v>
      </c>
      <c r="S97" s="220">
        <v>0</v>
      </c>
      <c r="T97" s="218">
        <f t="shared" si="52"/>
        <v>0</v>
      </c>
      <c r="U97" s="221">
        <f t="shared" si="9"/>
        <v>0</v>
      </c>
      <c r="V97" s="220">
        <v>0</v>
      </c>
      <c r="W97" s="218">
        <v>0</v>
      </c>
      <c r="X97" s="221">
        <f t="shared" si="11"/>
        <v>0</v>
      </c>
      <c r="Y97" s="220">
        <v>0</v>
      </c>
      <c r="Z97" s="218">
        <v>0</v>
      </c>
      <c r="AA97" s="221">
        <f t="shared" si="13"/>
        <v>0</v>
      </c>
      <c r="AB97" s="184"/>
    </row>
    <row r="98" spans="1:28" ht="24" customHeight="1" x14ac:dyDescent="0.5">
      <c r="A98" s="549">
        <f t="shared" si="84"/>
        <v>7</v>
      </c>
      <c r="B98" s="230" t="s">
        <v>113</v>
      </c>
      <c r="C98" s="217">
        <f t="shared" si="83"/>
        <v>2747160</v>
      </c>
      <c r="D98" s="218">
        <v>0</v>
      </c>
      <c r="E98" s="218">
        <v>2747160</v>
      </c>
      <c r="F98" s="219">
        <v>0</v>
      </c>
      <c r="G98" s="219">
        <f t="shared" si="1"/>
        <v>0</v>
      </c>
      <c r="H98" s="218">
        <v>120</v>
      </c>
      <c r="I98" s="219">
        <v>120</v>
      </c>
      <c r="J98" s="219">
        <f t="shared" si="3"/>
        <v>100</v>
      </c>
      <c r="K98" s="220">
        <v>0</v>
      </c>
      <c r="L98" s="218">
        <f t="shared" si="79"/>
        <v>0</v>
      </c>
      <c r="M98" s="219">
        <f t="shared" si="5"/>
        <v>0</v>
      </c>
      <c r="N98" s="218">
        <v>0</v>
      </c>
      <c r="O98" s="218">
        <v>0</v>
      </c>
      <c r="P98" s="218">
        <v>100</v>
      </c>
      <c r="Q98" s="218">
        <v>0</v>
      </c>
      <c r="R98" s="219">
        <f t="shared" si="7"/>
        <v>0</v>
      </c>
      <c r="S98" s="220">
        <v>0</v>
      </c>
      <c r="T98" s="218">
        <f t="shared" si="52"/>
        <v>0</v>
      </c>
      <c r="U98" s="221">
        <f t="shared" si="9"/>
        <v>0</v>
      </c>
      <c r="V98" s="220">
        <v>0</v>
      </c>
      <c r="W98" s="218">
        <v>0</v>
      </c>
      <c r="X98" s="221">
        <f t="shared" si="11"/>
        <v>0</v>
      </c>
      <c r="Y98" s="220">
        <v>0</v>
      </c>
      <c r="Z98" s="218">
        <v>0</v>
      </c>
      <c r="AA98" s="221">
        <f t="shared" si="13"/>
        <v>0</v>
      </c>
      <c r="AB98" s="184"/>
    </row>
    <row r="99" spans="1:28" ht="24" customHeight="1" x14ac:dyDescent="0.5">
      <c r="A99" s="549">
        <f t="shared" si="84"/>
        <v>8</v>
      </c>
      <c r="B99" s="230" t="s">
        <v>114</v>
      </c>
      <c r="C99" s="217">
        <f t="shared" si="83"/>
        <v>0</v>
      </c>
      <c r="D99" s="218">
        <v>0</v>
      </c>
      <c r="E99" s="218">
        <v>0</v>
      </c>
      <c r="F99" s="219">
        <v>0</v>
      </c>
      <c r="G99" s="219">
        <f t="shared" si="1"/>
        <v>0</v>
      </c>
      <c r="H99" s="218">
        <v>0</v>
      </c>
      <c r="I99" s="219">
        <v>0</v>
      </c>
      <c r="J99" s="219">
        <f t="shared" si="3"/>
        <v>0</v>
      </c>
      <c r="K99" s="220">
        <v>0</v>
      </c>
      <c r="L99" s="218">
        <f t="shared" si="79"/>
        <v>0</v>
      </c>
      <c r="M99" s="219">
        <f t="shared" si="5"/>
        <v>0</v>
      </c>
      <c r="N99" s="218">
        <v>0</v>
      </c>
      <c r="O99" s="218">
        <v>0</v>
      </c>
      <c r="P99" s="218">
        <v>0</v>
      </c>
      <c r="Q99" s="218">
        <v>0</v>
      </c>
      <c r="R99" s="219">
        <f t="shared" si="7"/>
        <v>0</v>
      </c>
      <c r="S99" s="220">
        <v>0</v>
      </c>
      <c r="T99" s="218">
        <f t="shared" si="52"/>
        <v>0</v>
      </c>
      <c r="U99" s="221">
        <f t="shared" si="9"/>
        <v>0</v>
      </c>
      <c r="V99" s="220">
        <v>0</v>
      </c>
      <c r="W99" s="218">
        <v>0</v>
      </c>
      <c r="X99" s="221">
        <f t="shared" si="11"/>
        <v>0</v>
      </c>
      <c r="Y99" s="220">
        <v>0</v>
      </c>
      <c r="Z99" s="218">
        <v>0</v>
      </c>
      <c r="AA99" s="221">
        <f t="shared" si="13"/>
        <v>0</v>
      </c>
      <c r="AB99" s="184"/>
    </row>
    <row r="100" spans="1:28" ht="24" customHeight="1" x14ac:dyDescent="0.5">
      <c r="A100" s="549">
        <f t="shared" si="84"/>
        <v>9</v>
      </c>
      <c r="B100" s="230" t="s">
        <v>115</v>
      </c>
      <c r="C100" s="217">
        <f t="shared" si="83"/>
        <v>0</v>
      </c>
      <c r="D100" s="218">
        <v>0</v>
      </c>
      <c r="E100" s="218">
        <v>0</v>
      </c>
      <c r="F100" s="219">
        <v>0</v>
      </c>
      <c r="G100" s="219">
        <f t="shared" si="1"/>
        <v>0</v>
      </c>
      <c r="H100" s="218">
        <v>0</v>
      </c>
      <c r="I100" s="219">
        <v>0</v>
      </c>
      <c r="J100" s="219">
        <f t="shared" si="3"/>
        <v>0</v>
      </c>
      <c r="K100" s="220">
        <v>0</v>
      </c>
      <c r="L100" s="218">
        <f t="shared" si="79"/>
        <v>0</v>
      </c>
      <c r="M100" s="219">
        <f t="shared" si="5"/>
        <v>0</v>
      </c>
      <c r="N100" s="218">
        <v>0</v>
      </c>
      <c r="O100" s="218">
        <v>0</v>
      </c>
      <c r="P100" s="218">
        <v>0</v>
      </c>
      <c r="Q100" s="218">
        <v>0</v>
      </c>
      <c r="R100" s="219">
        <f t="shared" si="7"/>
        <v>0</v>
      </c>
      <c r="S100" s="220">
        <v>0</v>
      </c>
      <c r="T100" s="218">
        <f t="shared" si="52"/>
        <v>0</v>
      </c>
      <c r="U100" s="221">
        <f t="shared" si="9"/>
        <v>0</v>
      </c>
      <c r="V100" s="220">
        <v>0</v>
      </c>
      <c r="W100" s="218">
        <v>0</v>
      </c>
      <c r="X100" s="221">
        <f t="shared" si="11"/>
        <v>0</v>
      </c>
      <c r="Y100" s="220">
        <v>0</v>
      </c>
      <c r="Z100" s="218">
        <v>0</v>
      </c>
      <c r="AA100" s="221">
        <f t="shared" si="13"/>
        <v>0</v>
      </c>
      <c r="AB100" s="184"/>
    </row>
    <row r="101" spans="1:28" ht="24" customHeight="1" x14ac:dyDescent="0.5">
      <c r="A101" s="549">
        <f t="shared" si="84"/>
        <v>10</v>
      </c>
      <c r="B101" s="230" t="s">
        <v>116</v>
      </c>
      <c r="C101" s="217">
        <f t="shared" si="83"/>
        <v>0</v>
      </c>
      <c r="D101" s="218">
        <v>0</v>
      </c>
      <c r="E101" s="218">
        <v>0</v>
      </c>
      <c r="F101" s="219">
        <v>0</v>
      </c>
      <c r="G101" s="219">
        <f t="shared" si="1"/>
        <v>0</v>
      </c>
      <c r="H101" s="218">
        <v>0</v>
      </c>
      <c r="I101" s="219">
        <v>0</v>
      </c>
      <c r="J101" s="219">
        <f t="shared" si="3"/>
        <v>0</v>
      </c>
      <c r="K101" s="220">
        <v>0</v>
      </c>
      <c r="L101" s="218">
        <f t="shared" si="79"/>
        <v>0</v>
      </c>
      <c r="M101" s="219">
        <f t="shared" si="5"/>
        <v>0</v>
      </c>
      <c r="N101" s="218">
        <v>0</v>
      </c>
      <c r="O101" s="218">
        <v>0</v>
      </c>
      <c r="P101" s="218">
        <v>0</v>
      </c>
      <c r="Q101" s="218">
        <v>0</v>
      </c>
      <c r="R101" s="219">
        <f t="shared" si="7"/>
        <v>0</v>
      </c>
      <c r="S101" s="220">
        <v>0</v>
      </c>
      <c r="T101" s="218">
        <f t="shared" si="52"/>
        <v>0</v>
      </c>
      <c r="U101" s="221">
        <f t="shared" si="9"/>
        <v>0</v>
      </c>
      <c r="V101" s="220">
        <v>0</v>
      </c>
      <c r="W101" s="218">
        <v>0</v>
      </c>
      <c r="X101" s="221">
        <f t="shared" si="11"/>
        <v>0</v>
      </c>
      <c r="Y101" s="220">
        <v>0</v>
      </c>
      <c r="Z101" s="218">
        <v>0</v>
      </c>
      <c r="AA101" s="221">
        <f t="shared" si="13"/>
        <v>0</v>
      </c>
      <c r="AB101" s="184"/>
    </row>
    <row r="102" spans="1:28" ht="24" customHeight="1" x14ac:dyDescent="0.5">
      <c r="A102" s="549">
        <f t="shared" si="84"/>
        <v>11</v>
      </c>
      <c r="B102" s="230" t="s">
        <v>117</v>
      </c>
      <c r="C102" s="217">
        <f t="shared" si="83"/>
        <v>0</v>
      </c>
      <c r="D102" s="218">
        <v>0</v>
      </c>
      <c r="E102" s="218">
        <v>0</v>
      </c>
      <c r="F102" s="219">
        <v>0</v>
      </c>
      <c r="G102" s="219">
        <f t="shared" si="1"/>
        <v>0</v>
      </c>
      <c r="H102" s="218">
        <v>0</v>
      </c>
      <c r="I102" s="219">
        <v>0</v>
      </c>
      <c r="J102" s="219">
        <f t="shared" si="3"/>
        <v>0</v>
      </c>
      <c r="K102" s="220">
        <v>0</v>
      </c>
      <c r="L102" s="218">
        <f t="shared" si="79"/>
        <v>0</v>
      </c>
      <c r="M102" s="219">
        <f t="shared" si="5"/>
        <v>0</v>
      </c>
      <c r="N102" s="218">
        <v>0</v>
      </c>
      <c r="O102" s="218">
        <v>0</v>
      </c>
      <c r="P102" s="218">
        <v>0</v>
      </c>
      <c r="Q102" s="218">
        <v>0</v>
      </c>
      <c r="R102" s="219">
        <f t="shared" si="7"/>
        <v>0</v>
      </c>
      <c r="S102" s="220">
        <v>0</v>
      </c>
      <c r="T102" s="218">
        <f t="shared" si="52"/>
        <v>0</v>
      </c>
      <c r="U102" s="221">
        <f t="shared" si="9"/>
        <v>0</v>
      </c>
      <c r="V102" s="220">
        <v>0</v>
      </c>
      <c r="W102" s="218">
        <v>0</v>
      </c>
      <c r="X102" s="221">
        <f t="shared" si="11"/>
        <v>0</v>
      </c>
      <c r="Y102" s="220">
        <v>0</v>
      </c>
      <c r="Z102" s="218">
        <v>0</v>
      </c>
      <c r="AA102" s="221">
        <f t="shared" si="13"/>
        <v>0</v>
      </c>
      <c r="AB102" s="184"/>
    </row>
    <row r="103" spans="1:28" ht="24" customHeight="1" x14ac:dyDescent="0.5">
      <c r="A103" s="549">
        <f t="shared" si="84"/>
        <v>12</v>
      </c>
      <c r="B103" s="230" t="s">
        <v>118</v>
      </c>
      <c r="C103" s="217">
        <f t="shared" si="83"/>
        <v>0</v>
      </c>
      <c r="D103" s="218">
        <v>0</v>
      </c>
      <c r="E103" s="218">
        <v>0</v>
      </c>
      <c r="F103" s="219">
        <v>0</v>
      </c>
      <c r="G103" s="219">
        <f t="shared" si="1"/>
        <v>0</v>
      </c>
      <c r="H103" s="218">
        <v>0</v>
      </c>
      <c r="I103" s="219">
        <v>0</v>
      </c>
      <c r="J103" s="219">
        <f t="shared" si="3"/>
        <v>0</v>
      </c>
      <c r="K103" s="220">
        <v>0</v>
      </c>
      <c r="L103" s="218">
        <f t="shared" si="79"/>
        <v>0</v>
      </c>
      <c r="M103" s="219">
        <f t="shared" si="5"/>
        <v>0</v>
      </c>
      <c r="N103" s="218">
        <v>0</v>
      </c>
      <c r="O103" s="218">
        <v>0</v>
      </c>
      <c r="P103" s="218">
        <v>0</v>
      </c>
      <c r="Q103" s="218">
        <v>0</v>
      </c>
      <c r="R103" s="219">
        <f t="shared" si="7"/>
        <v>0</v>
      </c>
      <c r="S103" s="220">
        <v>0</v>
      </c>
      <c r="T103" s="218">
        <f t="shared" si="52"/>
        <v>0</v>
      </c>
      <c r="U103" s="221">
        <f t="shared" si="9"/>
        <v>0</v>
      </c>
      <c r="V103" s="220">
        <v>0</v>
      </c>
      <c r="W103" s="218">
        <v>0</v>
      </c>
      <c r="X103" s="221">
        <f t="shared" si="11"/>
        <v>0</v>
      </c>
      <c r="Y103" s="220">
        <v>0</v>
      </c>
      <c r="Z103" s="218">
        <v>0</v>
      </c>
      <c r="AA103" s="221">
        <f t="shared" si="13"/>
        <v>0</v>
      </c>
      <c r="AB103" s="184"/>
    </row>
    <row r="104" spans="1:28" ht="24" customHeight="1" x14ac:dyDescent="0.5">
      <c r="A104" s="549">
        <f t="shared" si="84"/>
        <v>13</v>
      </c>
      <c r="B104" s="230" t="s">
        <v>119</v>
      </c>
      <c r="C104" s="217">
        <f t="shared" si="83"/>
        <v>0</v>
      </c>
      <c r="D104" s="218">
        <v>0</v>
      </c>
      <c r="E104" s="218">
        <v>0</v>
      </c>
      <c r="F104" s="219">
        <v>0</v>
      </c>
      <c r="G104" s="219">
        <f t="shared" si="1"/>
        <v>0</v>
      </c>
      <c r="H104" s="218">
        <v>0</v>
      </c>
      <c r="I104" s="219">
        <v>0</v>
      </c>
      <c r="J104" s="219">
        <f t="shared" si="3"/>
        <v>0</v>
      </c>
      <c r="K104" s="220">
        <v>0</v>
      </c>
      <c r="L104" s="218">
        <f t="shared" si="79"/>
        <v>0</v>
      </c>
      <c r="M104" s="219">
        <f t="shared" si="5"/>
        <v>0</v>
      </c>
      <c r="N104" s="218">
        <v>0</v>
      </c>
      <c r="O104" s="218">
        <v>0</v>
      </c>
      <c r="P104" s="218">
        <v>0</v>
      </c>
      <c r="Q104" s="218">
        <v>0</v>
      </c>
      <c r="R104" s="219">
        <f t="shared" si="7"/>
        <v>0</v>
      </c>
      <c r="S104" s="220">
        <v>0</v>
      </c>
      <c r="T104" s="218">
        <f t="shared" si="52"/>
        <v>0</v>
      </c>
      <c r="U104" s="221">
        <f t="shared" si="9"/>
        <v>0</v>
      </c>
      <c r="V104" s="220">
        <v>0</v>
      </c>
      <c r="W104" s="218">
        <v>0</v>
      </c>
      <c r="X104" s="221">
        <f t="shared" si="11"/>
        <v>0</v>
      </c>
      <c r="Y104" s="220">
        <v>0</v>
      </c>
      <c r="Z104" s="218">
        <v>0</v>
      </c>
      <c r="AA104" s="221">
        <f t="shared" si="13"/>
        <v>0</v>
      </c>
      <c r="AB104" s="184"/>
    </row>
    <row r="105" spans="1:28" ht="24" customHeight="1" x14ac:dyDescent="0.5">
      <c r="A105" s="550">
        <f t="shared" si="84"/>
        <v>14</v>
      </c>
      <c r="B105" s="544" t="s">
        <v>120</v>
      </c>
      <c r="C105" s="536">
        <f t="shared" si="83"/>
        <v>0</v>
      </c>
      <c r="D105" s="537">
        <v>0</v>
      </c>
      <c r="E105" s="537">
        <v>0</v>
      </c>
      <c r="F105" s="538">
        <v>0</v>
      </c>
      <c r="G105" s="538">
        <f t="shared" si="1"/>
        <v>0</v>
      </c>
      <c r="H105" s="537">
        <v>0</v>
      </c>
      <c r="I105" s="538">
        <v>0</v>
      </c>
      <c r="J105" s="538">
        <f t="shared" si="3"/>
        <v>0</v>
      </c>
      <c r="K105" s="539">
        <v>0</v>
      </c>
      <c r="L105" s="537">
        <f t="shared" si="79"/>
        <v>0</v>
      </c>
      <c r="M105" s="538">
        <f t="shared" si="5"/>
        <v>0</v>
      </c>
      <c r="N105" s="537">
        <v>0</v>
      </c>
      <c r="O105" s="537">
        <v>0</v>
      </c>
      <c r="P105" s="537">
        <v>0</v>
      </c>
      <c r="Q105" s="537">
        <v>0</v>
      </c>
      <c r="R105" s="538">
        <f t="shared" si="7"/>
        <v>0</v>
      </c>
      <c r="S105" s="539">
        <v>0</v>
      </c>
      <c r="T105" s="537">
        <f t="shared" si="52"/>
        <v>0</v>
      </c>
      <c r="U105" s="540">
        <f t="shared" si="9"/>
        <v>0</v>
      </c>
      <c r="V105" s="539">
        <v>0</v>
      </c>
      <c r="W105" s="537">
        <v>0</v>
      </c>
      <c r="X105" s="540">
        <f t="shared" si="11"/>
        <v>0</v>
      </c>
      <c r="Y105" s="539">
        <v>0</v>
      </c>
      <c r="Z105" s="537">
        <v>0</v>
      </c>
      <c r="AA105" s="540">
        <f t="shared" si="13"/>
        <v>0</v>
      </c>
      <c r="AB105" s="184"/>
    </row>
    <row r="106" spans="1:28" ht="24" customHeight="1" x14ac:dyDescent="0.5">
      <c r="A106" s="751" t="s">
        <v>121</v>
      </c>
      <c r="B106" s="713"/>
      <c r="C106" s="541">
        <f t="shared" ref="C106:F106" si="85">+C107+C108+C109+C110+C111+C112+C113+C114</f>
        <v>0</v>
      </c>
      <c r="D106" s="542">
        <f t="shared" si="85"/>
        <v>0</v>
      </c>
      <c r="E106" s="542">
        <f t="shared" si="85"/>
        <v>0</v>
      </c>
      <c r="F106" s="542">
        <f t="shared" si="85"/>
        <v>0</v>
      </c>
      <c r="G106" s="543">
        <f t="shared" si="1"/>
        <v>0</v>
      </c>
      <c r="H106" s="542">
        <f t="shared" ref="H106:I106" si="86">+H107+H108+H109+H110+H111+H112+H113+H114</f>
        <v>0</v>
      </c>
      <c r="I106" s="542">
        <f t="shared" si="86"/>
        <v>0</v>
      </c>
      <c r="J106" s="543">
        <f t="shared" si="3"/>
        <v>0</v>
      </c>
      <c r="K106" s="542">
        <f>+K107+K108+K109+K110+K111+K112+K113+K114</f>
        <v>0</v>
      </c>
      <c r="L106" s="542">
        <f t="shared" si="79"/>
        <v>0</v>
      </c>
      <c r="M106" s="543">
        <f t="shared" si="5"/>
        <v>0</v>
      </c>
      <c r="N106" s="542">
        <f t="shared" ref="N106:Q106" si="87">+N107+N108+N109+N110+N111+N112+N113+N114</f>
        <v>0</v>
      </c>
      <c r="O106" s="542">
        <f t="shared" si="87"/>
        <v>0</v>
      </c>
      <c r="P106" s="542">
        <f t="shared" si="87"/>
        <v>0</v>
      </c>
      <c r="Q106" s="542">
        <f t="shared" si="87"/>
        <v>0</v>
      </c>
      <c r="R106" s="543">
        <f t="shared" si="7"/>
        <v>0</v>
      </c>
      <c r="S106" s="542">
        <f>+S107+S108+S109+S110+S111+S112+S113+S114</f>
        <v>0</v>
      </c>
      <c r="T106" s="542">
        <f t="shared" si="52"/>
        <v>0</v>
      </c>
      <c r="U106" s="543">
        <f t="shared" si="9"/>
        <v>0</v>
      </c>
      <c r="V106" s="542">
        <f t="shared" ref="V106:W106" si="88">+V107+V108+V109+V110+V111+V112+V113+V114</f>
        <v>0</v>
      </c>
      <c r="W106" s="542">
        <f t="shared" si="88"/>
        <v>0</v>
      </c>
      <c r="X106" s="543">
        <f t="shared" si="11"/>
        <v>0</v>
      </c>
      <c r="Y106" s="542">
        <f t="shared" ref="Y106:Z106" si="89">+Y107+Y108+Y109+Y110+Y111+Y112+Y113+Y114</f>
        <v>0</v>
      </c>
      <c r="Z106" s="542">
        <f t="shared" si="89"/>
        <v>0</v>
      </c>
      <c r="AA106" s="543">
        <f t="shared" si="13"/>
        <v>0</v>
      </c>
      <c r="AB106" s="184"/>
    </row>
    <row r="107" spans="1:28" ht="24" customHeight="1" x14ac:dyDescent="0.5">
      <c r="A107" s="548">
        <v>1</v>
      </c>
      <c r="B107" s="228" t="s">
        <v>122</v>
      </c>
      <c r="C107" s="213">
        <f t="shared" ref="C107:C114" si="90">+D107+E107</f>
        <v>0</v>
      </c>
      <c r="D107" s="193">
        <v>0</v>
      </c>
      <c r="E107" s="193">
        <v>0</v>
      </c>
      <c r="F107" s="192">
        <v>0</v>
      </c>
      <c r="G107" s="192">
        <f t="shared" si="1"/>
        <v>0</v>
      </c>
      <c r="H107" s="193">
        <v>0</v>
      </c>
      <c r="I107" s="192">
        <v>0</v>
      </c>
      <c r="J107" s="192">
        <f t="shared" si="3"/>
        <v>0</v>
      </c>
      <c r="K107" s="214">
        <v>0</v>
      </c>
      <c r="L107" s="193">
        <f t="shared" si="79"/>
        <v>0</v>
      </c>
      <c r="M107" s="192">
        <f t="shared" si="5"/>
        <v>0</v>
      </c>
      <c r="N107" s="193">
        <v>0</v>
      </c>
      <c r="O107" s="193">
        <v>0</v>
      </c>
      <c r="P107" s="193">
        <v>0</v>
      </c>
      <c r="Q107" s="193">
        <v>0</v>
      </c>
      <c r="R107" s="192">
        <f t="shared" si="7"/>
        <v>0</v>
      </c>
      <c r="S107" s="214">
        <v>0</v>
      </c>
      <c r="T107" s="193">
        <f t="shared" si="52"/>
        <v>0</v>
      </c>
      <c r="U107" s="215">
        <f t="shared" si="9"/>
        <v>0</v>
      </c>
      <c r="V107" s="214">
        <v>0</v>
      </c>
      <c r="W107" s="193">
        <v>0</v>
      </c>
      <c r="X107" s="215">
        <f t="shared" si="11"/>
        <v>0</v>
      </c>
      <c r="Y107" s="214">
        <v>0</v>
      </c>
      <c r="Z107" s="193">
        <v>0</v>
      </c>
      <c r="AA107" s="215">
        <f t="shared" si="13"/>
        <v>0</v>
      </c>
      <c r="AB107" s="184"/>
    </row>
    <row r="108" spans="1:28" ht="24" customHeight="1" x14ac:dyDescent="0.5">
      <c r="A108" s="549">
        <v>2</v>
      </c>
      <c r="B108" s="230" t="s">
        <v>123</v>
      </c>
      <c r="C108" s="217">
        <f t="shared" si="90"/>
        <v>0</v>
      </c>
      <c r="D108" s="218">
        <v>0</v>
      </c>
      <c r="E108" s="218">
        <v>0</v>
      </c>
      <c r="F108" s="219">
        <v>0</v>
      </c>
      <c r="G108" s="219">
        <f t="shared" si="1"/>
        <v>0</v>
      </c>
      <c r="H108" s="218">
        <v>0</v>
      </c>
      <c r="I108" s="219">
        <v>0</v>
      </c>
      <c r="J108" s="219">
        <f t="shared" si="3"/>
        <v>0</v>
      </c>
      <c r="K108" s="220">
        <v>0</v>
      </c>
      <c r="L108" s="218">
        <f t="shared" si="79"/>
        <v>0</v>
      </c>
      <c r="M108" s="219">
        <f t="shared" si="5"/>
        <v>0</v>
      </c>
      <c r="N108" s="218">
        <v>0</v>
      </c>
      <c r="O108" s="218">
        <v>0</v>
      </c>
      <c r="P108" s="218">
        <v>0</v>
      </c>
      <c r="Q108" s="218">
        <v>0</v>
      </c>
      <c r="R108" s="219">
        <f t="shared" si="7"/>
        <v>0</v>
      </c>
      <c r="S108" s="220">
        <v>0</v>
      </c>
      <c r="T108" s="218">
        <f t="shared" si="52"/>
        <v>0</v>
      </c>
      <c r="U108" s="221">
        <f t="shared" si="9"/>
        <v>0</v>
      </c>
      <c r="V108" s="220">
        <v>0</v>
      </c>
      <c r="W108" s="218">
        <v>0</v>
      </c>
      <c r="X108" s="221">
        <f t="shared" si="11"/>
        <v>0</v>
      </c>
      <c r="Y108" s="220">
        <v>0</v>
      </c>
      <c r="Z108" s="218">
        <v>0</v>
      </c>
      <c r="AA108" s="221">
        <f t="shared" si="13"/>
        <v>0</v>
      </c>
      <c r="AB108" s="184"/>
    </row>
    <row r="109" spans="1:28" ht="24" customHeight="1" x14ac:dyDescent="0.5">
      <c r="A109" s="549">
        <v>3</v>
      </c>
      <c r="B109" s="230" t="s">
        <v>124</v>
      </c>
      <c r="C109" s="217">
        <f t="shared" si="90"/>
        <v>0</v>
      </c>
      <c r="D109" s="218">
        <v>0</v>
      </c>
      <c r="E109" s="218">
        <v>0</v>
      </c>
      <c r="F109" s="219">
        <v>0</v>
      </c>
      <c r="G109" s="219">
        <f t="shared" si="1"/>
        <v>0</v>
      </c>
      <c r="H109" s="218">
        <v>0</v>
      </c>
      <c r="I109" s="219">
        <v>0</v>
      </c>
      <c r="J109" s="219">
        <f t="shared" si="3"/>
        <v>0</v>
      </c>
      <c r="K109" s="220">
        <v>0</v>
      </c>
      <c r="L109" s="218">
        <f t="shared" si="79"/>
        <v>0</v>
      </c>
      <c r="M109" s="219">
        <f t="shared" si="5"/>
        <v>0</v>
      </c>
      <c r="N109" s="218">
        <v>0</v>
      </c>
      <c r="O109" s="218">
        <v>0</v>
      </c>
      <c r="P109" s="218">
        <v>0</v>
      </c>
      <c r="Q109" s="218">
        <v>0</v>
      </c>
      <c r="R109" s="219">
        <f t="shared" si="7"/>
        <v>0</v>
      </c>
      <c r="S109" s="220">
        <v>0</v>
      </c>
      <c r="T109" s="218">
        <f t="shared" si="52"/>
        <v>0</v>
      </c>
      <c r="U109" s="221">
        <f t="shared" si="9"/>
        <v>0</v>
      </c>
      <c r="V109" s="220">
        <v>0</v>
      </c>
      <c r="W109" s="218">
        <v>0</v>
      </c>
      <c r="X109" s="221">
        <f t="shared" si="11"/>
        <v>0</v>
      </c>
      <c r="Y109" s="220">
        <v>0</v>
      </c>
      <c r="Z109" s="218">
        <v>0</v>
      </c>
      <c r="AA109" s="221">
        <f t="shared" si="13"/>
        <v>0</v>
      </c>
      <c r="AB109" s="184"/>
    </row>
    <row r="110" spans="1:28" ht="24" customHeight="1" x14ac:dyDescent="0.5">
      <c r="A110" s="549">
        <f t="shared" ref="A110:A112" si="91">+A109+1</f>
        <v>4</v>
      </c>
      <c r="B110" s="230" t="s">
        <v>125</v>
      </c>
      <c r="C110" s="217">
        <f t="shared" si="90"/>
        <v>0</v>
      </c>
      <c r="D110" s="218">
        <v>0</v>
      </c>
      <c r="E110" s="218">
        <v>0</v>
      </c>
      <c r="F110" s="219">
        <v>0</v>
      </c>
      <c r="G110" s="219">
        <f t="shared" si="1"/>
        <v>0</v>
      </c>
      <c r="H110" s="218">
        <v>0</v>
      </c>
      <c r="I110" s="219">
        <v>0</v>
      </c>
      <c r="J110" s="219">
        <f t="shared" si="3"/>
        <v>0</v>
      </c>
      <c r="K110" s="220">
        <v>0</v>
      </c>
      <c r="L110" s="218">
        <f t="shared" si="79"/>
        <v>0</v>
      </c>
      <c r="M110" s="219">
        <f t="shared" si="5"/>
        <v>0</v>
      </c>
      <c r="N110" s="218">
        <v>0</v>
      </c>
      <c r="O110" s="218">
        <v>0</v>
      </c>
      <c r="P110" s="218">
        <v>0</v>
      </c>
      <c r="Q110" s="218">
        <v>0</v>
      </c>
      <c r="R110" s="219">
        <f t="shared" si="7"/>
        <v>0</v>
      </c>
      <c r="S110" s="220">
        <v>0</v>
      </c>
      <c r="T110" s="218">
        <f t="shared" si="52"/>
        <v>0</v>
      </c>
      <c r="U110" s="221">
        <f t="shared" si="9"/>
        <v>0</v>
      </c>
      <c r="V110" s="220">
        <v>0</v>
      </c>
      <c r="W110" s="218">
        <v>0</v>
      </c>
      <c r="X110" s="221">
        <f t="shared" si="11"/>
        <v>0</v>
      </c>
      <c r="Y110" s="220">
        <v>0</v>
      </c>
      <c r="Z110" s="218">
        <v>0</v>
      </c>
      <c r="AA110" s="221">
        <f t="shared" si="13"/>
        <v>0</v>
      </c>
      <c r="AB110" s="184"/>
    </row>
    <row r="111" spans="1:28" ht="24" customHeight="1" x14ac:dyDescent="0.5">
      <c r="A111" s="549">
        <f t="shared" si="91"/>
        <v>5</v>
      </c>
      <c r="B111" s="230" t="s">
        <v>126</v>
      </c>
      <c r="C111" s="217">
        <f t="shared" si="90"/>
        <v>0</v>
      </c>
      <c r="D111" s="218">
        <v>0</v>
      </c>
      <c r="E111" s="218">
        <v>0</v>
      </c>
      <c r="F111" s="219">
        <v>0</v>
      </c>
      <c r="G111" s="219">
        <f t="shared" si="1"/>
        <v>0</v>
      </c>
      <c r="H111" s="218">
        <v>0</v>
      </c>
      <c r="I111" s="219">
        <v>0</v>
      </c>
      <c r="J111" s="219">
        <f t="shared" si="3"/>
        <v>0</v>
      </c>
      <c r="K111" s="220">
        <v>0</v>
      </c>
      <c r="L111" s="218">
        <f t="shared" si="79"/>
        <v>0</v>
      </c>
      <c r="M111" s="219">
        <f t="shared" si="5"/>
        <v>0</v>
      </c>
      <c r="N111" s="218">
        <v>0</v>
      </c>
      <c r="O111" s="218">
        <v>0</v>
      </c>
      <c r="P111" s="218">
        <v>0</v>
      </c>
      <c r="Q111" s="218">
        <v>0</v>
      </c>
      <c r="R111" s="219">
        <f t="shared" si="7"/>
        <v>0</v>
      </c>
      <c r="S111" s="220">
        <v>0</v>
      </c>
      <c r="T111" s="218">
        <f t="shared" si="52"/>
        <v>0</v>
      </c>
      <c r="U111" s="221">
        <f t="shared" si="9"/>
        <v>0</v>
      </c>
      <c r="V111" s="220">
        <v>0</v>
      </c>
      <c r="W111" s="218">
        <v>0</v>
      </c>
      <c r="X111" s="221">
        <f t="shared" si="11"/>
        <v>0</v>
      </c>
      <c r="Y111" s="220">
        <v>0</v>
      </c>
      <c r="Z111" s="218">
        <v>0</v>
      </c>
      <c r="AA111" s="221">
        <f t="shared" si="13"/>
        <v>0</v>
      </c>
      <c r="AB111" s="184"/>
    </row>
    <row r="112" spans="1:28" ht="24" customHeight="1" x14ac:dyDescent="0.5">
      <c r="A112" s="549">
        <f t="shared" si="91"/>
        <v>6</v>
      </c>
      <c r="B112" s="230" t="s">
        <v>127</v>
      </c>
      <c r="C112" s="217">
        <f t="shared" si="90"/>
        <v>0</v>
      </c>
      <c r="D112" s="218">
        <v>0</v>
      </c>
      <c r="E112" s="218">
        <v>0</v>
      </c>
      <c r="F112" s="219">
        <v>0</v>
      </c>
      <c r="G112" s="219">
        <f t="shared" si="1"/>
        <v>0</v>
      </c>
      <c r="H112" s="218">
        <v>0</v>
      </c>
      <c r="I112" s="219">
        <v>0</v>
      </c>
      <c r="J112" s="219">
        <f t="shared" si="3"/>
        <v>0</v>
      </c>
      <c r="K112" s="220">
        <v>0</v>
      </c>
      <c r="L112" s="218">
        <f t="shared" si="79"/>
        <v>0</v>
      </c>
      <c r="M112" s="219">
        <f t="shared" si="5"/>
        <v>0</v>
      </c>
      <c r="N112" s="218">
        <v>0</v>
      </c>
      <c r="O112" s="218">
        <v>0</v>
      </c>
      <c r="P112" s="218">
        <v>0</v>
      </c>
      <c r="Q112" s="218">
        <v>0</v>
      </c>
      <c r="R112" s="219">
        <f t="shared" si="7"/>
        <v>0</v>
      </c>
      <c r="S112" s="220">
        <v>0</v>
      </c>
      <c r="T112" s="218">
        <f t="shared" si="52"/>
        <v>0</v>
      </c>
      <c r="U112" s="221">
        <f t="shared" si="9"/>
        <v>0</v>
      </c>
      <c r="V112" s="220">
        <v>0</v>
      </c>
      <c r="W112" s="218">
        <v>0</v>
      </c>
      <c r="X112" s="221">
        <f t="shared" si="11"/>
        <v>0</v>
      </c>
      <c r="Y112" s="220">
        <v>0</v>
      </c>
      <c r="Z112" s="218">
        <v>0</v>
      </c>
      <c r="AA112" s="221">
        <f t="shared" si="13"/>
        <v>0</v>
      </c>
      <c r="AB112" s="184"/>
    </row>
    <row r="113" spans="1:28" ht="24" customHeight="1" x14ac:dyDescent="0.5">
      <c r="A113" s="549">
        <v>7</v>
      </c>
      <c r="B113" s="230" t="s">
        <v>128</v>
      </c>
      <c r="C113" s="217">
        <f t="shared" si="90"/>
        <v>0</v>
      </c>
      <c r="D113" s="218">
        <v>0</v>
      </c>
      <c r="E113" s="218">
        <v>0</v>
      </c>
      <c r="F113" s="219">
        <v>0</v>
      </c>
      <c r="G113" s="219">
        <f t="shared" si="1"/>
        <v>0</v>
      </c>
      <c r="H113" s="218">
        <v>0</v>
      </c>
      <c r="I113" s="219">
        <v>0</v>
      </c>
      <c r="J113" s="219">
        <f t="shared" si="3"/>
        <v>0</v>
      </c>
      <c r="K113" s="220">
        <v>0</v>
      </c>
      <c r="L113" s="218">
        <f t="shared" si="79"/>
        <v>0</v>
      </c>
      <c r="M113" s="219">
        <f t="shared" si="5"/>
        <v>0</v>
      </c>
      <c r="N113" s="218">
        <v>0</v>
      </c>
      <c r="O113" s="218">
        <v>0</v>
      </c>
      <c r="P113" s="218">
        <v>0</v>
      </c>
      <c r="Q113" s="218">
        <v>0</v>
      </c>
      <c r="R113" s="219">
        <f t="shared" si="7"/>
        <v>0</v>
      </c>
      <c r="S113" s="220">
        <v>0</v>
      </c>
      <c r="T113" s="218">
        <f t="shared" si="52"/>
        <v>0</v>
      </c>
      <c r="U113" s="221">
        <f t="shared" si="9"/>
        <v>0</v>
      </c>
      <c r="V113" s="220">
        <v>0</v>
      </c>
      <c r="W113" s="218">
        <v>0</v>
      </c>
      <c r="X113" s="221">
        <f t="shared" si="11"/>
        <v>0</v>
      </c>
      <c r="Y113" s="220">
        <v>0</v>
      </c>
      <c r="Z113" s="218">
        <v>0</v>
      </c>
      <c r="AA113" s="221">
        <f t="shared" si="13"/>
        <v>0</v>
      </c>
      <c r="AB113" s="184"/>
    </row>
    <row r="114" spans="1:28" ht="24" customHeight="1" thickBot="1" x14ac:dyDescent="0.55000000000000004">
      <c r="A114" s="551">
        <v>8</v>
      </c>
      <c r="B114" s="534" t="s">
        <v>129</v>
      </c>
      <c r="C114" s="233">
        <f t="shared" si="90"/>
        <v>0</v>
      </c>
      <c r="D114" s="234">
        <v>0</v>
      </c>
      <c r="E114" s="234">
        <v>0</v>
      </c>
      <c r="F114" s="235">
        <v>0</v>
      </c>
      <c r="G114" s="235">
        <f t="shared" si="1"/>
        <v>0</v>
      </c>
      <c r="H114" s="234">
        <v>0</v>
      </c>
      <c r="I114" s="235">
        <v>0</v>
      </c>
      <c r="J114" s="235">
        <f t="shared" si="3"/>
        <v>0</v>
      </c>
      <c r="K114" s="236">
        <v>0</v>
      </c>
      <c r="L114" s="234">
        <f t="shared" si="79"/>
        <v>0</v>
      </c>
      <c r="M114" s="235">
        <f t="shared" si="5"/>
        <v>0</v>
      </c>
      <c r="N114" s="234">
        <v>0</v>
      </c>
      <c r="O114" s="234">
        <v>0</v>
      </c>
      <c r="P114" s="234">
        <v>0</v>
      </c>
      <c r="Q114" s="234">
        <v>0</v>
      </c>
      <c r="R114" s="235">
        <f t="shared" si="7"/>
        <v>0</v>
      </c>
      <c r="S114" s="236">
        <v>0</v>
      </c>
      <c r="T114" s="234">
        <f t="shared" si="52"/>
        <v>0</v>
      </c>
      <c r="U114" s="237">
        <f t="shared" si="9"/>
        <v>0</v>
      </c>
      <c r="V114" s="236">
        <v>0</v>
      </c>
      <c r="W114" s="234">
        <v>0</v>
      </c>
      <c r="X114" s="237">
        <f t="shared" si="11"/>
        <v>0</v>
      </c>
      <c r="Y114" s="236">
        <v>0</v>
      </c>
      <c r="Z114" s="234">
        <v>0</v>
      </c>
      <c r="AA114" s="237">
        <f t="shared" si="13"/>
        <v>0</v>
      </c>
      <c r="AB114" s="184"/>
    </row>
    <row r="115" spans="1:28" ht="24" customHeight="1" x14ac:dyDescent="0.55000000000000004">
      <c r="A115" s="467" t="s">
        <v>322</v>
      </c>
    </row>
  </sheetData>
  <mergeCells count="30">
    <mergeCell ref="A54:B54"/>
    <mergeCell ref="A76:B76"/>
    <mergeCell ref="A91:B91"/>
    <mergeCell ref="A106:B106"/>
    <mergeCell ref="T7:U7"/>
    <mergeCell ref="W7:X7"/>
    <mergeCell ref="Z7:AA7"/>
    <mergeCell ref="A9:B9"/>
    <mergeCell ref="A15:B15"/>
    <mergeCell ref="A33:B33"/>
    <mergeCell ref="A7:B8"/>
    <mergeCell ref="D7:D8"/>
    <mergeCell ref="F7:G7"/>
    <mergeCell ref="I7:J7"/>
    <mergeCell ref="L7:M7"/>
    <mergeCell ref="Q7:R7"/>
    <mergeCell ref="Y6:AA6"/>
    <mergeCell ref="A2:B6"/>
    <mergeCell ref="C2:AA3"/>
    <mergeCell ref="C4:G5"/>
    <mergeCell ref="H4:R4"/>
    <mergeCell ref="S4:AA5"/>
    <mergeCell ref="H5:J6"/>
    <mergeCell ref="K5:O5"/>
    <mergeCell ref="P5:R6"/>
    <mergeCell ref="C6:E6"/>
    <mergeCell ref="F6:G6"/>
    <mergeCell ref="K6:M6"/>
    <mergeCell ref="S6:U6"/>
    <mergeCell ref="V6:X6"/>
  </mergeCells>
  <printOptions horizontalCentered="1"/>
  <pageMargins left="0.19685039370078741" right="0.19685039370078741" top="0.74803149606299213" bottom="0.23622047244094491" header="0" footer="0"/>
  <pageSetup paperSize="9" scale="55" orientation="landscape" r:id="rId1"/>
  <rowBreaks count="4" manualBreakCount="4">
    <brk id="32" max="26" man="1"/>
    <brk id="53" max="26" man="1"/>
    <brk id="75" max="26" man="1"/>
    <brk id="90" max="2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D965"/>
  </sheetPr>
  <dimension ref="A1:Z1000"/>
  <sheetViews>
    <sheetView view="pageBreakPreview" zoomScale="115" zoomScaleNormal="55" zoomScaleSheetLayoutView="115" workbookViewId="0">
      <pane xSplit="2" ySplit="9" topLeftCell="C13" activePane="bottomRight" state="frozen"/>
      <selection activeCell="Z5" sqref="Z5:AB6"/>
      <selection pane="topRight" activeCell="Z5" sqref="Z5:AB6"/>
      <selection pane="bottomLeft" activeCell="Z5" sqref="Z5:AB6"/>
      <selection pane="bottomRight" activeCell="Z5" sqref="Z5:AB6"/>
    </sheetView>
  </sheetViews>
  <sheetFormatPr defaultColWidth="12.625" defaultRowHeight="24" customHeight="1" x14ac:dyDescent="0.5"/>
  <cols>
    <col min="1" max="1" width="4.375" style="6" customWidth="1"/>
    <col min="2" max="2" width="27.75" style="6" customWidth="1"/>
    <col min="3" max="6" width="10.75" style="6" customWidth="1"/>
    <col min="7" max="7" width="13.875" style="6" customWidth="1"/>
    <col min="8" max="16" width="13.125" style="6" customWidth="1"/>
    <col min="17" max="16384" width="12.625" style="6"/>
  </cols>
  <sheetData>
    <row r="1" spans="1:26" ht="24" customHeight="1" x14ac:dyDescent="0.5">
      <c r="A1" s="257" t="s">
        <v>324</v>
      </c>
      <c r="B1" s="258"/>
      <c r="C1" s="259"/>
      <c r="D1" s="259"/>
      <c r="E1" s="259"/>
      <c r="F1" s="259"/>
      <c r="G1" s="259"/>
      <c r="H1" s="258"/>
      <c r="I1" s="259"/>
      <c r="J1" s="258"/>
      <c r="K1" s="258"/>
      <c r="L1" s="258"/>
      <c r="M1" s="258"/>
      <c r="N1" s="258"/>
      <c r="O1" s="259"/>
      <c r="P1" s="260"/>
      <c r="Q1" s="261"/>
      <c r="R1" s="261"/>
      <c r="S1" s="261"/>
      <c r="T1" s="261"/>
      <c r="U1" s="261"/>
      <c r="V1" s="261"/>
      <c r="W1" s="261"/>
      <c r="X1" s="261"/>
      <c r="Y1" s="261"/>
      <c r="Z1" s="261"/>
    </row>
    <row r="2" spans="1:26" ht="24" customHeight="1" x14ac:dyDescent="0.5">
      <c r="A2" s="752" t="s">
        <v>0</v>
      </c>
      <c r="B2" s="627"/>
      <c r="C2" s="753" t="s">
        <v>209</v>
      </c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5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24" customHeight="1" x14ac:dyDescent="0.5">
      <c r="A3" s="628"/>
      <c r="B3" s="629"/>
      <c r="C3" s="756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757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24" customHeight="1" x14ac:dyDescent="0.5">
      <c r="A4" s="628"/>
      <c r="B4" s="629"/>
      <c r="C4" s="758" t="s">
        <v>202</v>
      </c>
      <c r="D4" s="633"/>
      <c r="E4" s="633"/>
      <c r="F4" s="633"/>
      <c r="G4" s="634"/>
      <c r="H4" s="759" t="s">
        <v>210</v>
      </c>
      <c r="I4" s="633"/>
      <c r="J4" s="634"/>
      <c r="K4" s="764" t="s">
        <v>211</v>
      </c>
      <c r="L4" s="633"/>
      <c r="M4" s="633"/>
      <c r="N4" s="633"/>
      <c r="O4" s="633"/>
      <c r="P4" s="765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24" customHeight="1" x14ac:dyDescent="0.5">
      <c r="A5" s="628"/>
      <c r="B5" s="629"/>
      <c r="C5" s="756"/>
      <c r="D5" s="640"/>
      <c r="E5" s="640"/>
      <c r="F5" s="640"/>
      <c r="G5" s="641"/>
      <c r="H5" s="760"/>
      <c r="I5" s="761"/>
      <c r="J5" s="762"/>
      <c r="K5" s="766"/>
      <c r="L5" s="761"/>
      <c r="M5" s="761"/>
      <c r="N5" s="761"/>
      <c r="O5" s="761"/>
      <c r="P5" s="767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24" customHeight="1" x14ac:dyDescent="0.5">
      <c r="A6" s="630"/>
      <c r="B6" s="631"/>
      <c r="C6" s="768" t="s">
        <v>6</v>
      </c>
      <c r="D6" s="581"/>
      <c r="E6" s="567"/>
      <c r="F6" s="602" t="s">
        <v>7</v>
      </c>
      <c r="G6" s="584"/>
      <c r="H6" s="763"/>
      <c r="I6" s="640"/>
      <c r="J6" s="641"/>
      <c r="K6" s="639"/>
      <c r="L6" s="640"/>
      <c r="M6" s="640"/>
      <c r="N6" s="640"/>
      <c r="O6" s="640"/>
      <c r="P6" s="757"/>
      <c r="Q6" s="262"/>
      <c r="R6" s="262"/>
      <c r="S6" s="262"/>
      <c r="T6" s="262"/>
      <c r="U6" s="262"/>
      <c r="V6" s="262"/>
      <c r="W6" s="262"/>
      <c r="X6" s="262"/>
      <c r="Y6" s="262"/>
      <c r="Z6" s="262"/>
    </row>
    <row r="7" spans="1:26" ht="24" customHeight="1" x14ac:dyDescent="0.5">
      <c r="A7" s="773" t="s">
        <v>207</v>
      </c>
      <c r="B7" s="774"/>
      <c r="C7" s="263" t="s">
        <v>12</v>
      </c>
      <c r="D7" s="682" t="s">
        <v>13</v>
      </c>
      <c r="E7" s="10" t="s">
        <v>14</v>
      </c>
      <c r="F7" s="606" t="s">
        <v>15</v>
      </c>
      <c r="G7" s="594"/>
      <c r="H7" s="264" t="s">
        <v>16</v>
      </c>
      <c r="I7" s="770" t="s">
        <v>17</v>
      </c>
      <c r="J7" s="567"/>
      <c r="K7" s="769" t="s">
        <v>16</v>
      </c>
      <c r="L7" s="567"/>
      <c r="M7" s="770" t="s">
        <v>17</v>
      </c>
      <c r="N7" s="581"/>
      <c r="O7" s="581"/>
      <c r="P7" s="697"/>
      <c r="Q7" s="262"/>
      <c r="R7" s="262"/>
      <c r="S7" s="262"/>
      <c r="T7" s="262"/>
      <c r="U7" s="262"/>
      <c r="V7" s="262"/>
      <c r="W7" s="262"/>
      <c r="X7" s="262"/>
      <c r="Y7" s="262"/>
      <c r="Z7" s="262"/>
    </row>
    <row r="8" spans="1:26" ht="24" customHeight="1" x14ac:dyDescent="0.5">
      <c r="A8" s="775"/>
      <c r="B8" s="776"/>
      <c r="C8" s="238"/>
      <c r="D8" s="683"/>
      <c r="E8" s="13"/>
      <c r="F8" s="14" t="s">
        <v>18</v>
      </c>
      <c r="G8" s="14" t="s">
        <v>19</v>
      </c>
      <c r="H8" s="149" t="s">
        <v>22</v>
      </c>
      <c r="I8" s="85" t="s">
        <v>21</v>
      </c>
      <c r="J8" s="85" t="s">
        <v>19</v>
      </c>
      <c r="K8" s="239" t="s">
        <v>199</v>
      </c>
      <c r="L8" s="239" t="s">
        <v>21</v>
      </c>
      <c r="M8" s="85" t="s">
        <v>199</v>
      </c>
      <c r="N8" s="85" t="s">
        <v>19</v>
      </c>
      <c r="O8" s="85" t="s">
        <v>21</v>
      </c>
      <c r="P8" s="240" t="s">
        <v>19</v>
      </c>
      <c r="Q8" s="241"/>
      <c r="R8" s="241"/>
      <c r="S8" s="241"/>
      <c r="T8" s="241"/>
      <c r="U8" s="241"/>
      <c r="V8" s="241"/>
      <c r="W8" s="241"/>
      <c r="X8" s="241"/>
      <c r="Y8" s="241"/>
      <c r="Z8" s="241"/>
    </row>
    <row r="9" spans="1:26" ht="24" customHeight="1" x14ac:dyDescent="0.5">
      <c r="A9" s="771" t="s">
        <v>24</v>
      </c>
      <c r="B9" s="643"/>
      <c r="C9" s="265">
        <f>C10+C11</f>
        <v>46981000</v>
      </c>
      <c r="D9" s="266">
        <f>D10+D11+D14</f>
        <v>0</v>
      </c>
      <c r="E9" s="267">
        <f t="shared" ref="E9:F9" si="0">E10+E11</f>
        <v>46981000</v>
      </c>
      <c r="F9" s="242">
        <f t="shared" ca="1" si="0"/>
        <v>264678.14</v>
      </c>
      <c r="G9" s="243">
        <f t="shared" ref="G9:G114" ca="1" si="1">IF(C9&gt;0,F9*100/C9,0)</f>
        <v>0.56337272514420722</v>
      </c>
      <c r="H9" s="244">
        <f t="shared" ref="H9:I9" si="2">H10+H11</f>
        <v>4500</v>
      </c>
      <c r="I9" s="245">
        <f t="shared" ca="1" si="2"/>
        <v>40</v>
      </c>
      <c r="J9" s="246">
        <f t="shared" ref="J9:J114" ca="1" si="3">IF(H9&gt;0,I9*100/H9,0)</f>
        <v>0.88888888888888884</v>
      </c>
      <c r="K9" s="244">
        <f t="shared" ref="K9:M9" si="4">K10+K11</f>
        <v>45000</v>
      </c>
      <c r="L9" s="244">
        <f t="shared" si="4"/>
        <v>4500</v>
      </c>
      <c r="M9" s="245">
        <f t="shared" ca="1" si="4"/>
        <v>0</v>
      </c>
      <c r="N9" s="246">
        <f t="shared" ref="N9:N114" ca="1" si="5">IF(K9&gt;0,M9*100/K9,0)</f>
        <v>0</v>
      </c>
      <c r="O9" s="247">
        <f ca="1">O10+O11</f>
        <v>0</v>
      </c>
      <c r="P9" s="246">
        <f t="shared" ref="P9:P114" ca="1" si="6">IF(L9&gt;0,O9*100/L9,0)</f>
        <v>0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5">
      <c r="A10" s="27" t="s">
        <v>25</v>
      </c>
      <c r="B10" s="28"/>
      <c r="C10" s="248">
        <f t="shared" ref="C10:F10" si="7">+C15+C33+C54+C76</f>
        <v>45907040</v>
      </c>
      <c r="D10" s="29">
        <f t="shared" si="7"/>
        <v>0</v>
      </c>
      <c r="E10" s="29">
        <f t="shared" si="7"/>
        <v>45907040</v>
      </c>
      <c r="F10" s="29">
        <f t="shared" ca="1" si="7"/>
        <v>264678.14</v>
      </c>
      <c r="G10" s="91">
        <f t="shared" ca="1" si="1"/>
        <v>0.57655239806356495</v>
      </c>
      <c r="H10" s="66">
        <f t="shared" ref="H10:I10" si="8">+H15+H33+H54+H76</f>
        <v>4500</v>
      </c>
      <c r="I10" s="66">
        <f t="shared" ca="1" si="8"/>
        <v>40</v>
      </c>
      <c r="J10" s="91">
        <f t="shared" ca="1" si="3"/>
        <v>0.88888888888888884</v>
      </c>
      <c r="K10" s="66">
        <f t="shared" ref="K10:M10" si="9">+K15+K33+K54+K76</f>
        <v>45000</v>
      </c>
      <c r="L10" s="66">
        <f t="shared" si="9"/>
        <v>4500</v>
      </c>
      <c r="M10" s="66">
        <f t="shared" ca="1" si="9"/>
        <v>0</v>
      </c>
      <c r="N10" s="91">
        <f t="shared" ca="1" si="5"/>
        <v>0</v>
      </c>
      <c r="O10" s="29">
        <f ca="1">+O15+O33+O54+O76</f>
        <v>0</v>
      </c>
      <c r="P10" s="249">
        <f t="shared" ca="1" si="6"/>
        <v>0</v>
      </c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26" ht="24" customHeight="1" x14ac:dyDescent="0.5">
      <c r="A11" s="33" t="s">
        <v>26</v>
      </c>
      <c r="B11" s="34"/>
      <c r="C11" s="250">
        <f t="shared" ref="C11:F11" si="10">+C12+C13</f>
        <v>1073960</v>
      </c>
      <c r="D11" s="35">
        <f t="shared" si="10"/>
        <v>0</v>
      </c>
      <c r="E11" s="35">
        <f t="shared" si="10"/>
        <v>1073960</v>
      </c>
      <c r="F11" s="35">
        <f t="shared" si="10"/>
        <v>0</v>
      </c>
      <c r="G11" s="92">
        <f t="shared" si="1"/>
        <v>0</v>
      </c>
      <c r="H11" s="35">
        <f t="shared" ref="H11:I11" si="11">+H12+H13</f>
        <v>0</v>
      </c>
      <c r="I11" s="35">
        <f t="shared" si="11"/>
        <v>0</v>
      </c>
      <c r="J11" s="92">
        <f t="shared" si="3"/>
        <v>0</v>
      </c>
      <c r="K11" s="35">
        <f t="shared" ref="K11:M11" si="12">+K12+K13</f>
        <v>0</v>
      </c>
      <c r="L11" s="35">
        <f t="shared" si="12"/>
        <v>0</v>
      </c>
      <c r="M11" s="35">
        <f t="shared" si="12"/>
        <v>0</v>
      </c>
      <c r="N11" s="92">
        <f t="shared" si="5"/>
        <v>0</v>
      </c>
      <c r="O11" s="35">
        <f>+O12+O13</f>
        <v>0</v>
      </c>
      <c r="P11" s="251">
        <f t="shared" si="6"/>
        <v>0</v>
      </c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ht="24" customHeight="1" x14ac:dyDescent="0.5">
      <c r="A12" s="33" t="s">
        <v>27</v>
      </c>
      <c r="B12" s="34"/>
      <c r="C12" s="250">
        <f t="shared" ref="C12:F12" si="13">+C91</f>
        <v>1073960</v>
      </c>
      <c r="D12" s="35">
        <f t="shared" si="13"/>
        <v>0</v>
      </c>
      <c r="E12" s="35">
        <f t="shared" si="13"/>
        <v>1073960</v>
      </c>
      <c r="F12" s="35">
        <f t="shared" si="13"/>
        <v>0</v>
      </c>
      <c r="G12" s="92">
        <f t="shared" si="1"/>
        <v>0</v>
      </c>
      <c r="H12" s="35">
        <f t="shared" ref="H12:I12" si="14">+H91</f>
        <v>0</v>
      </c>
      <c r="I12" s="35">
        <f t="shared" si="14"/>
        <v>0</v>
      </c>
      <c r="J12" s="92">
        <f t="shared" si="3"/>
        <v>0</v>
      </c>
      <c r="K12" s="35">
        <f t="shared" ref="K12:M12" si="15">+K91</f>
        <v>0</v>
      </c>
      <c r="L12" s="35">
        <f t="shared" si="15"/>
        <v>0</v>
      </c>
      <c r="M12" s="35">
        <f t="shared" si="15"/>
        <v>0</v>
      </c>
      <c r="N12" s="92">
        <f t="shared" si="5"/>
        <v>0</v>
      </c>
      <c r="O12" s="35">
        <f>+O91</f>
        <v>0</v>
      </c>
      <c r="P12" s="251">
        <f t="shared" si="6"/>
        <v>0</v>
      </c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ht="24" customHeight="1" x14ac:dyDescent="0.5">
      <c r="A13" s="33" t="s">
        <v>28</v>
      </c>
      <c r="B13" s="34"/>
      <c r="C13" s="250">
        <f t="shared" ref="C13:F13" si="16">+C106</f>
        <v>0</v>
      </c>
      <c r="D13" s="35">
        <f t="shared" si="16"/>
        <v>0</v>
      </c>
      <c r="E13" s="35">
        <f t="shared" si="16"/>
        <v>0</v>
      </c>
      <c r="F13" s="35">
        <f t="shared" si="16"/>
        <v>0</v>
      </c>
      <c r="G13" s="92">
        <f t="shared" si="1"/>
        <v>0</v>
      </c>
      <c r="H13" s="35">
        <f t="shared" ref="H13:I13" si="17">+H106</f>
        <v>0</v>
      </c>
      <c r="I13" s="35">
        <f t="shared" si="17"/>
        <v>0</v>
      </c>
      <c r="J13" s="92">
        <f t="shared" si="3"/>
        <v>0</v>
      </c>
      <c r="K13" s="35">
        <f t="shared" ref="K13:M13" si="18">+K106</f>
        <v>0</v>
      </c>
      <c r="L13" s="35">
        <f t="shared" si="18"/>
        <v>0</v>
      </c>
      <c r="M13" s="35">
        <f t="shared" si="18"/>
        <v>0</v>
      </c>
      <c r="N13" s="92">
        <f t="shared" si="5"/>
        <v>0</v>
      </c>
      <c r="O13" s="35">
        <f>+O106</f>
        <v>0</v>
      </c>
      <c r="P13" s="251">
        <f t="shared" si="6"/>
        <v>0</v>
      </c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ht="24" customHeight="1" x14ac:dyDescent="0.5">
      <c r="A14" s="39" t="s">
        <v>208</v>
      </c>
      <c r="B14" s="252"/>
      <c r="C14" s="253">
        <v>0</v>
      </c>
      <c r="D14" s="93">
        <v>0</v>
      </c>
      <c r="E14" s="93">
        <v>0</v>
      </c>
      <c r="F14" s="93">
        <v>0</v>
      </c>
      <c r="G14" s="96">
        <f t="shared" si="1"/>
        <v>0</v>
      </c>
      <c r="H14" s="93">
        <v>0</v>
      </c>
      <c r="I14" s="93">
        <v>0</v>
      </c>
      <c r="J14" s="96">
        <f t="shared" si="3"/>
        <v>0</v>
      </c>
      <c r="K14" s="93">
        <v>0</v>
      </c>
      <c r="L14" s="93">
        <v>0</v>
      </c>
      <c r="M14" s="93">
        <v>0</v>
      </c>
      <c r="N14" s="96">
        <f t="shared" si="5"/>
        <v>0</v>
      </c>
      <c r="O14" s="93">
        <v>0</v>
      </c>
      <c r="P14" s="254">
        <f t="shared" si="6"/>
        <v>0</v>
      </c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 ht="24" customHeight="1" x14ac:dyDescent="0.5">
      <c r="A15" s="777" t="s">
        <v>30</v>
      </c>
      <c r="B15" s="571"/>
      <c r="C15" s="255">
        <f t="shared" ref="C15:F15" si="19">SUM(C16:C32)</f>
        <v>13805300</v>
      </c>
      <c r="D15" s="66">
        <f t="shared" si="19"/>
        <v>0</v>
      </c>
      <c r="E15" s="66">
        <f t="shared" si="19"/>
        <v>13805300</v>
      </c>
      <c r="F15" s="66">
        <f t="shared" ca="1" si="19"/>
        <v>143083.37</v>
      </c>
      <c r="G15" s="101">
        <f t="shared" ca="1" si="1"/>
        <v>1.0364379622318964</v>
      </c>
      <c r="H15" s="66">
        <f t="shared" ref="H15:I15" si="20">SUM(H16:H32)</f>
        <v>1350</v>
      </c>
      <c r="I15" s="66">
        <f t="shared" ca="1" si="20"/>
        <v>0</v>
      </c>
      <c r="J15" s="101">
        <f t="shared" ca="1" si="3"/>
        <v>0</v>
      </c>
      <c r="K15" s="66">
        <f t="shared" ref="K15:M15" si="21">SUM(K16:K32)</f>
        <v>13500</v>
      </c>
      <c r="L15" s="66">
        <f t="shared" si="21"/>
        <v>1350</v>
      </c>
      <c r="M15" s="66">
        <f t="shared" ca="1" si="21"/>
        <v>0</v>
      </c>
      <c r="N15" s="101">
        <f t="shared" ca="1" si="5"/>
        <v>0</v>
      </c>
      <c r="O15" s="66">
        <f ca="1">SUM(O16:O32)</f>
        <v>0</v>
      </c>
      <c r="P15" s="256">
        <f t="shared" ca="1" si="6"/>
        <v>0</v>
      </c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26" ht="24" customHeight="1" x14ac:dyDescent="0.5">
      <c r="A16" s="268">
        <v>1</v>
      </c>
      <c r="B16" s="269" t="s">
        <v>31</v>
      </c>
      <c r="C16" s="270">
        <f t="shared" ref="C16:C32" si="22">+D16+E16</f>
        <v>1028520</v>
      </c>
      <c r="D16" s="48">
        <v>0</v>
      </c>
      <c r="E16" s="48">
        <v>1028520</v>
      </c>
      <c r="F16" s="98">
        <f ca="1">IFERROR(__xludf.DUMMYFUNCTION("IMPORTRANGE(""https://docs.google.com/spreadsheets/d/11923uPwbBZFjjGgGUA6NLw09EwE0CqkOc4q9oUmW1yo/edit?usp=sharing"",""กำแพงเพชร!M278"")"),0)</f>
        <v>0</v>
      </c>
      <c r="G16" s="98">
        <f t="shared" ca="1" si="1"/>
        <v>0</v>
      </c>
      <c r="H16" s="48">
        <v>100</v>
      </c>
      <c r="I16" s="48">
        <f ca="1">IFERROR(__xludf.DUMMYFUNCTION("IMPORTRANGE(""https://docs.google.com/spreadsheets/d/11923uPwbBZFjjGgGUA6NLw09EwE0CqkOc4q9oUmW1yo/edit?usp=sharing"",""กำแพงเพชร!J291"")"),0)</f>
        <v>0</v>
      </c>
      <c r="J16" s="271">
        <f t="shared" ca="1" si="3"/>
        <v>0</v>
      </c>
      <c r="K16" s="48">
        <v>1000</v>
      </c>
      <c r="L16" s="48">
        <v>100</v>
      </c>
      <c r="M16" s="48">
        <f ca="1">IFERROR(__xludf.DUMMYFUNCTION("IMPORTRANGE(""https://docs.google.com/spreadsheets/d/11923uPwbBZFjjGgGUA6NLw09EwE0CqkOc4q9oUmW1yo/edit?usp=sharing"",""กำแพงเพชร!J292"")"),0)</f>
        <v>0</v>
      </c>
      <c r="N16" s="271">
        <f t="shared" ca="1" si="5"/>
        <v>0</v>
      </c>
      <c r="O16" s="48">
        <f ca="1">IFERROR(__xludf.DUMMYFUNCTION("IMPORTRANGE(""https://docs.google.com/spreadsheets/d/11923uPwbBZFjjGgGUA6NLw09EwE0CqkOc4q9oUmW1yo/edit?usp=sharing"",""กำแพงเพชร!J293"")"),0)</f>
        <v>0</v>
      </c>
      <c r="P16" s="272">
        <f t="shared" ca="1" si="6"/>
        <v>0</v>
      </c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 ht="24" customHeight="1" x14ac:dyDescent="0.5">
      <c r="A17" s="273">
        <v>2</v>
      </c>
      <c r="B17" s="274" t="s">
        <v>32</v>
      </c>
      <c r="C17" s="275">
        <f t="shared" si="22"/>
        <v>460140</v>
      </c>
      <c r="D17" s="55">
        <v>0</v>
      </c>
      <c r="E17" s="55">
        <v>460140</v>
      </c>
      <c r="F17" s="99">
        <f ca="1">IFERROR(__xludf.DUMMYFUNCTION("IMPORTRANGE(""https://docs.google.com/spreadsheets/d/11923uPwbBZFjjGgGUA6NLw09EwE0CqkOc4q9oUmW1yo/edit?usp=sharing"",""เชียงราย!M278"")"),0)</f>
        <v>0</v>
      </c>
      <c r="G17" s="99">
        <f t="shared" ca="1" si="1"/>
        <v>0</v>
      </c>
      <c r="H17" s="55">
        <v>50</v>
      </c>
      <c r="I17" s="55">
        <f ca="1">IFERROR(__xludf.DUMMYFUNCTION("IMPORTRANGE(""https://docs.google.com/spreadsheets/d/11923uPwbBZFjjGgGUA6NLw09EwE0CqkOc4q9oUmW1yo/edit?usp=sharing"",""เชียงราย!J291"")"),0)</f>
        <v>0</v>
      </c>
      <c r="J17" s="276">
        <f t="shared" ca="1" si="3"/>
        <v>0</v>
      </c>
      <c r="K17" s="55">
        <v>500</v>
      </c>
      <c r="L17" s="55">
        <v>50</v>
      </c>
      <c r="M17" s="55">
        <f ca="1">IFERROR(__xludf.DUMMYFUNCTION("IMPORTRANGE(""https://docs.google.com/spreadsheets/d/11923uPwbBZFjjGgGUA6NLw09EwE0CqkOc4q9oUmW1yo/edit?usp=sharing"",""เชียงราย!J292"")"),0)</f>
        <v>0</v>
      </c>
      <c r="N17" s="276">
        <f t="shared" ca="1" si="5"/>
        <v>0</v>
      </c>
      <c r="O17" s="55">
        <f ca="1">IFERROR(__xludf.DUMMYFUNCTION("IMPORTRANGE(""https://docs.google.com/spreadsheets/d/11923uPwbBZFjjGgGUA6NLw09EwE0CqkOc4q9oUmW1yo/edit?usp=sharing"",""เชียงราย!J293"")"),0)</f>
        <v>0</v>
      </c>
      <c r="P17" s="277">
        <f t="shared" ca="1" si="6"/>
        <v>0</v>
      </c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ht="24" customHeight="1" x14ac:dyDescent="0.5">
      <c r="A18" s="273">
        <v>3</v>
      </c>
      <c r="B18" s="274" t="s">
        <v>33</v>
      </c>
      <c r="C18" s="275">
        <f t="shared" si="22"/>
        <v>1028520</v>
      </c>
      <c r="D18" s="55">
        <v>0</v>
      </c>
      <c r="E18" s="55">
        <v>1028520</v>
      </c>
      <c r="F18" s="99">
        <f ca="1">IFERROR(__xludf.DUMMYFUNCTION("IMPORTRANGE(""https://docs.google.com/spreadsheets/d/11923uPwbBZFjjGgGUA6NLw09EwE0CqkOc4q9oUmW1yo/edit?usp=sharing"",""เชียงใหม่!M278"")"),22425.58)</f>
        <v>22425.58</v>
      </c>
      <c r="G18" s="99">
        <f t="shared" ca="1" si="1"/>
        <v>2.1803737409092676</v>
      </c>
      <c r="H18" s="55">
        <v>100</v>
      </c>
      <c r="I18" s="55">
        <f ca="1">IFERROR(__xludf.DUMMYFUNCTION("IMPORTRANGE(""https://docs.google.com/spreadsheets/d/11923uPwbBZFjjGgGUA6NLw09EwE0CqkOc4q9oUmW1yo/edit?usp=sharing"",""เชียงใหม่!J291"")"),0)</f>
        <v>0</v>
      </c>
      <c r="J18" s="276">
        <f t="shared" ca="1" si="3"/>
        <v>0</v>
      </c>
      <c r="K18" s="55">
        <v>1000</v>
      </c>
      <c r="L18" s="55">
        <v>100</v>
      </c>
      <c r="M18" s="55">
        <f ca="1">IFERROR(__xludf.DUMMYFUNCTION("IMPORTRANGE(""https://docs.google.com/spreadsheets/d/11923uPwbBZFjjGgGUA6NLw09EwE0CqkOc4q9oUmW1yo/edit?usp=sharing"",""เชียงใหม่!J292"")"),0)</f>
        <v>0</v>
      </c>
      <c r="N18" s="276">
        <f t="shared" ca="1" si="5"/>
        <v>0</v>
      </c>
      <c r="O18" s="55">
        <f ca="1">IFERROR(__xludf.DUMMYFUNCTION("IMPORTRANGE(""https://docs.google.com/spreadsheets/d/11923uPwbBZFjjGgGUA6NLw09EwE0CqkOc4q9oUmW1yo/edit?usp=sharing"",""เชียงใหม่!J293"")"),0)</f>
        <v>0</v>
      </c>
      <c r="P18" s="277">
        <f t="shared" ca="1" si="6"/>
        <v>0</v>
      </c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ht="24" customHeight="1" x14ac:dyDescent="0.5">
      <c r="A19" s="273">
        <v>4</v>
      </c>
      <c r="B19" s="274" t="s">
        <v>34</v>
      </c>
      <c r="C19" s="275">
        <f t="shared" si="22"/>
        <v>460140</v>
      </c>
      <c r="D19" s="55">
        <v>0</v>
      </c>
      <c r="E19" s="55">
        <v>460140</v>
      </c>
      <c r="F19" s="99">
        <f ca="1">IFERROR(__xludf.DUMMYFUNCTION("IMPORTRANGE(""https://docs.google.com/spreadsheets/d/11923uPwbBZFjjGgGUA6NLw09EwE0CqkOc4q9oUmW1yo/edit?usp=sharing"",""ตาก!M278"")"),0)</f>
        <v>0</v>
      </c>
      <c r="G19" s="99">
        <f t="shared" ca="1" si="1"/>
        <v>0</v>
      </c>
      <c r="H19" s="55">
        <v>50</v>
      </c>
      <c r="I19" s="55">
        <f ca="1">IFERROR(__xludf.DUMMYFUNCTION("IMPORTRANGE(""https://docs.google.com/spreadsheets/d/11923uPwbBZFjjGgGUA6NLw09EwE0CqkOc4q9oUmW1yo/edit?usp=sharing"",""ตาก!J291"")"),0)</f>
        <v>0</v>
      </c>
      <c r="J19" s="276">
        <f t="shared" ca="1" si="3"/>
        <v>0</v>
      </c>
      <c r="K19" s="55">
        <v>500</v>
      </c>
      <c r="L19" s="55">
        <v>50</v>
      </c>
      <c r="M19" s="55">
        <f ca="1">IFERROR(__xludf.DUMMYFUNCTION("IMPORTRANGE(""https://docs.google.com/spreadsheets/d/11923uPwbBZFjjGgGUA6NLw09EwE0CqkOc4q9oUmW1yo/edit?usp=sharing"",""ตาก!J292"")"),0)</f>
        <v>0</v>
      </c>
      <c r="N19" s="276">
        <f t="shared" ca="1" si="5"/>
        <v>0</v>
      </c>
      <c r="O19" s="55">
        <f ca="1">IFERROR(__xludf.DUMMYFUNCTION("IMPORTRANGE(""https://docs.google.com/spreadsheets/d/11923uPwbBZFjjGgGUA6NLw09EwE0CqkOc4q9oUmW1yo/edit?usp=sharing"",""ตาก!J293"")"),0)</f>
        <v>0</v>
      </c>
      <c r="P19" s="277">
        <f t="shared" ca="1" si="6"/>
        <v>0</v>
      </c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 ht="24" customHeight="1" x14ac:dyDescent="0.5">
      <c r="A20" s="273">
        <v>5</v>
      </c>
      <c r="B20" s="274" t="s">
        <v>35</v>
      </c>
      <c r="C20" s="275">
        <f t="shared" si="22"/>
        <v>1028520</v>
      </c>
      <c r="D20" s="55">
        <v>0</v>
      </c>
      <c r="E20" s="55">
        <v>1028520</v>
      </c>
      <c r="F20" s="99">
        <f ca="1">IFERROR(__xludf.DUMMYFUNCTION("IMPORTRANGE(""https://docs.google.com/spreadsheets/d/11923uPwbBZFjjGgGUA6NLw09EwE0CqkOc4q9oUmW1yo/edit?usp=sharing"",""นครสวรรค์!M278"")"),0)</f>
        <v>0</v>
      </c>
      <c r="G20" s="99">
        <f t="shared" ca="1" si="1"/>
        <v>0</v>
      </c>
      <c r="H20" s="55">
        <v>100</v>
      </c>
      <c r="I20" s="55">
        <f ca="1">IFERROR(__xludf.DUMMYFUNCTION("IMPORTRANGE(""https://docs.google.com/spreadsheets/d/11923uPwbBZFjjGgGUA6NLw09EwE0CqkOc4q9oUmW1yo/edit?usp=sharing"",""นครสวรรค์!J291"")"),0)</f>
        <v>0</v>
      </c>
      <c r="J20" s="276">
        <f t="shared" ca="1" si="3"/>
        <v>0</v>
      </c>
      <c r="K20" s="55">
        <v>1000</v>
      </c>
      <c r="L20" s="55">
        <v>100</v>
      </c>
      <c r="M20" s="55">
        <f ca="1">IFERROR(__xludf.DUMMYFUNCTION("IMPORTRANGE(""https://docs.google.com/spreadsheets/d/11923uPwbBZFjjGgGUA6NLw09EwE0CqkOc4q9oUmW1yo/edit?usp=sharing"",""นครสวรรค์!J292"")"),0)</f>
        <v>0</v>
      </c>
      <c r="N20" s="276">
        <f t="shared" ca="1" si="5"/>
        <v>0</v>
      </c>
      <c r="O20" s="55">
        <f ca="1">IFERROR(__xludf.DUMMYFUNCTION("IMPORTRANGE(""https://docs.google.com/spreadsheets/d/11923uPwbBZFjjGgGUA6NLw09EwE0CqkOc4q9oUmW1yo/edit?usp=sharing"",""นครสวรรค์!J293"")"),0)</f>
        <v>0</v>
      </c>
      <c r="P20" s="277">
        <f t="shared" ca="1" si="6"/>
        <v>0</v>
      </c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26" ht="24" customHeight="1" x14ac:dyDescent="0.5">
      <c r="A21" s="273">
        <v>6</v>
      </c>
      <c r="B21" s="274" t="s">
        <v>36</v>
      </c>
      <c r="C21" s="275">
        <f t="shared" si="22"/>
        <v>1028520</v>
      </c>
      <c r="D21" s="55">
        <v>0</v>
      </c>
      <c r="E21" s="55">
        <v>1028520</v>
      </c>
      <c r="F21" s="99">
        <f ca="1">IFERROR(__xludf.DUMMYFUNCTION("IMPORTRANGE(""https://docs.google.com/spreadsheets/d/11923uPwbBZFjjGgGUA6NLw09EwE0CqkOc4q9oUmW1yo/edit?usp=sharing"",""น่าน!M278"")"),9558)</f>
        <v>9558</v>
      </c>
      <c r="G21" s="99">
        <f t="shared" ca="1" si="1"/>
        <v>0.92929646482324113</v>
      </c>
      <c r="H21" s="55">
        <v>100</v>
      </c>
      <c r="I21" s="55">
        <f ca="1">IFERROR(__xludf.DUMMYFUNCTION("IMPORTRANGE(""https://docs.google.com/spreadsheets/d/11923uPwbBZFjjGgGUA6NLw09EwE0CqkOc4q9oUmW1yo/edit?usp=sharing"",""น่าน!J291"")"),0)</f>
        <v>0</v>
      </c>
      <c r="J21" s="276">
        <f t="shared" ca="1" si="3"/>
        <v>0</v>
      </c>
      <c r="K21" s="55">
        <v>1000</v>
      </c>
      <c r="L21" s="55">
        <v>100</v>
      </c>
      <c r="M21" s="55">
        <f ca="1">IFERROR(__xludf.DUMMYFUNCTION("IMPORTRANGE(""https://docs.google.com/spreadsheets/d/11923uPwbBZFjjGgGUA6NLw09EwE0CqkOc4q9oUmW1yo/edit?usp=sharing"",""น่าน!J292"")"),0)</f>
        <v>0</v>
      </c>
      <c r="N21" s="276">
        <f t="shared" ca="1" si="5"/>
        <v>0</v>
      </c>
      <c r="O21" s="55">
        <f ca="1">IFERROR(__xludf.DUMMYFUNCTION("IMPORTRANGE(""https://docs.google.com/spreadsheets/d/11923uPwbBZFjjGgGUA6NLw09EwE0CqkOc4q9oUmW1yo/edit?usp=sharing"",""น่าน!J293"")"),0)</f>
        <v>0</v>
      </c>
      <c r="P21" s="277">
        <f t="shared" ca="1" si="6"/>
        <v>0</v>
      </c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1:26" ht="24" customHeight="1" x14ac:dyDescent="0.5">
      <c r="A22" s="273">
        <v>7</v>
      </c>
      <c r="B22" s="274" t="s">
        <v>37</v>
      </c>
      <c r="C22" s="275">
        <f t="shared" si="22"/>
        <v>1028520</v>
      </c>
      <c r="D22" s="55">
        <v>0</v>
      </c>
      <c r="E22" s="55">
        <v>1028520</v>
      </c>
      <c r="F22" s="99">
        <f ca="1">IFERROR(__xludf.DUMMYFUNCTION("IMPORTRANGE(""https://docs.google.com/spreadsheets/d/11923uPwbBZFjjGgGUA6NLw09EwE0CqkOc4q9oUmW1yo/edit?usp=sharing"",""พะเยา!M278"")"),0)</f>
        <v>0</v>
      </c>
      <c r="G22" s="99">
        <f t="shared" ca="1" si="1"/>
        <v>0</v>
      </c>
      <c r="H22" s="55">
        <v>100</v>
      </c>
      <c r="I22" s="55">
        <f ca="1">IFERROR(__xludf.DUMMYFUNCTION("IMPORTRANGE(""https://docs.google.com/spreadsheets/d/11923uPwbBZFjjGgGUA6NLw09EwE0CqkOc4q9oUmW1yo/edit?usp=sharing"",""พะเยา!J291"")"),0)</f>
        <v>0</v>
      </c>
      <c r="J22" s="276">
        <f t="shared" ca="1" si="3"/>
        <v>0</v>
      </c>
      <c r="K22" s="55">
        <v>1000</v>
      </c>
      <c r="L22" s="55">
        <v>100</v>
      </c>
      <c r="M22" s="55">
        <f ca="1">IFERROR(__xludf.DUMMYFUNCTION("IMPORTRANGE(""https://docs.google.com/spreadsheets/d/11923uPwbBZFjjGgGUA6NLw09EwE0CqkOc4q9oUmW1yo/edit?usp=sharing"",""พะเยา!J292"")"),0)</f>
        <v>0</v>
      </c>
      <c r="N22" s="276">
        <f t="shared" ca="1" si="5"/>
        <v>0</v>
      </c>
      <c r="O22" s="55">
        <f ca="1">IFERROR(__xludf.DUMMYFUNCTION("IMPORTRANGE(""https://docs.google.com/spreadsheets/d/11923uPwbBZFjjGgGUA6NLw09EwE0CqkOc4q9oUmW1yo/edit?usp=sharing"",""พะเยา!J293"")"),0)</f>
        <v>0</v>
      </c>
      <c r="P22" s="277">
        <f t="shared" ca="1" si="6"/>
        <v>0</v>
      </c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24" customHeight="1" x14ac:dyDescent="0.5">
      <c r="A23" s="273">
        <v>8</v>
      </c>
      <c r="B23" s="274" t="s">
        <v>38</v>
      </c>
      <c r="C23" s="275">
        <f t="shared" si="22"/>
        <v>207560</v>
      </c>
      <c r="D23" s="55">
        <v>0</v>
      </c>
      <c r="E23" s="55">
        <v>207560</v>
      </c>
      <c r="F23" s="99">
        <f ca="1">IFERROR(__xludf.DUMMYFUNCTION("IMPORTRANGE(""https://docs.google.com/spreadsheets/d/11923uPwbBZFjjGgGUA6NLw09EwE0CqkOc4q9oUmW1yo/edit?usp=sharing"",""พิจิตร!M278"")"),0)</f>
        <v>0</v>
      </c>
      <c r="G23" s="99">
        <f t="shared" ca="1" si="1"/>
        <v>0</v>
      </c>
      <c r="H23" s="55">
        <v>20</v>
      </c>
      <c r="I23" s="55">
        <f ca="1">IFERROR(__xludf.DUMMYFUNCTION("IMPORTRANGE(""https://docs.google.com/spreadsheets/d/11923uPwbBZFjjGgGUA6NLw09EwE0CqkOc4q9oUmW1yo/edit?usp=sharing"",""พิจิตร!J291"")"),0)</f>
        <v>0</v>
      </c>
      <c r="J23" s="276">
        <f t="shared" ca="1" si="3"/>
        <v>0</v>
      </c>
      <c r="K23" s="55">
        <v>200</v>
      </c>
      <c r="L23" s="55">
        <v>20</v>
      </c>
      <c r="M23" s="55">
        <f ca="1">IFERROR(__xludf.DUMMYFUNCTION("IMPORTRANGE(""https://docs.google.com/spreadsheets/d/11923uPwbBZFjjGgGUA6NLw09EwE0CqkOc4q9oUmW1yo/edit?usp=sharing"",""พิจิตร!J292"")"),0)</f>
        <v>0</v>
      </c>
      <c r="N23" s="276">
        <f t="shared" ca="1" si="5"/>
        <v>0</v>
      </c>
      <c r="O23" s="55">
        <f ca="1">IFERROR(__xludf.DUMMYFUNCTION("IMPORTRANGE(""https://docs.google.com/spreadsheets/d/11923uPwbBZFjjGgGUA6NLw09EwE0CqkOc4q9oUmW1yo/edit?usp=sharing"",""พิจิตร!J293"")"),0)</f>
        <v>0</v>
      </c>
      <c r="P23" s="277">
        <f t="shared" ca="1" si="6"/>
        <v>0</v>
      </c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6" ht="24" customHeight="1" x14ac:dyDescent="0.5">
      <c r="A24" s="273">
        <v>9</v>
      </c>
      <c r="B24" s="274" t="s">
        <v>39</v>
      </c>
      <c r="C24" s="275">
        <f t="shared" si="22"/>
        <v>1028520</v>
      </c>
      <c r="D24" s="55">
        <v>0</v>
      </c>
      <c r="E24" s="55">
        <v>1028520</v>
      </c>
      <c r="F24" s="99">
        <f ca="1">IFERROR(__xludf.DUMMYFUNCTION("IMPORTRANGE(""https://docs.google.com/spreadsheets/d/11923uPwbBZFjjGgGUA6NLw09EwE0CqkOc4q9oUmW1yo/edit?usp=sharing"",""พิษณุโลก!M278"")"),36100.09)</f>
        <v>36100.089999999997</v>
      </c>
      <c r="G24" s="99">
        <f t="shared" ca="1" si="1"/>
        <v>3.5099064675455991</v>
      </c>
      <c r="H24" s="55">
        <v>100</v>
      </c>
      <c r="I24" s="55">
        <f ca="1">IFERROR(__xludf.DUMMYFUNCTION("IMPORTRANGE(""https://docs.google.com/spreadsheets/d/11923uPwbBZFjjGgGUA6NLw09EwE0CqkOc4q9oUmW1yo/edit?usp=sharing"",""พิษณุโลก!J291"")"),0)</f>
        <v>0</v>
      </c>
      <c r="J24" s="276">
        <f t="shared" ca="1" si="3"/>
        <v>0</v>
      </c>
      <c r="K24" s="55">
        <v>1000</v>
      </c>
      <c r="L24" s="55">
        <v>100</v>
      </c>
      <c r="M24" s="55">
        <f ca="1">IFERROR(__xludf.DUMMYFUNCTION("IMPORTRANGE(""https://docs.google.com/spreadsheets/d/11923uPwbBZFjjGgGUA6NLw09EwE0CqkOc4q9oUmW1yo/edit?usp=sharing"",""พิษณุโลก!J292"")"),0)</f>
        <v>0</v>
      </c>
      <c r="N24" s="276">
        <f t="shared" ca="1" si="5"/>
        <v>0</v>
      </c>
      <c r="O24" s="55">
        <f ca="1">IFERROR(__xludf.DUMMYFUNCTION("IMPORTRANGE(""https://docs.google.com/spreadsheets/d/11923uPwbBZFjjGgGUA6NLw09EwE0CqkOc4q9oUmW1yo/edit?usp=sharing"",""พิษณุโลก!J293"")"),0)</f>
        <v>0</v>
      </c>
      <c r="P24" s="277">
        <f t="shared" ca="1" si="6"/>
        <v>0</v>
      </c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24" customHeight="1" x14ac:dyDescent="0.5">
      <c r="A25" s="273">
        <v>10</v>
      </c>
      <c r="B25" s="274" t="s">
        <v>40</v>
      </c>
      <c r="C25" s="275">
        <f t="shared" si="22"/>
        <v>1028520</v>
      </c>
      <c r="D25" s="55">
        <v>0</v>
      </c>
      <c r="E25" s="55">
        <v>1028520</v>
      </c>
      <c r="F25" s="99">
        <f ca="1">IFERROR(__xludf.DUMMYFUNCTION("IMPORTRANGE(""https://docs.google.com/spreadsheets/d/11923uPwbBZFjjGgGUA6NLw09EwE0CqkOc4q9oUmW1yo/edit?usp=sharing"",""เพชรบูรณ์!M278"")"),42013)</f>
        <v>42013</v>
      </c>
      <c r="G25" s="99">
        <f t="shared" ca="1" si="1"/>
        <v>4.0848014622953368</v>
      </c>
      <c r="H25" s="55">
        <v>100</v>
      </c>
      <c r="I25" s="55">
        <f ca="1">IFERROR(__xludf.DUMMYFUNCTION("IMPORTRANGE(""https://docs.google.com/spreadsheets/d/11923uPwbBZFjjGgGUA6NLw09EwE0CqkOc4q9oUmW1yo/edit?usp=sharing"",""เพชรบูรณ์!J291"")"),0)</f>
        <v>0</v>
      </c>
      <c r="J25" s="276">
        <f t="shared" ca="1" si="3"/>
        <v>0</v>
      </c>
      <c r="K25" s="55">
        <v>1000</v>
      </c>
      <c r="L25" s="55">
        <v>100</v>
      </c>
      <c r="M25" s="55">
        <f ca="1">IFERROR(__xludf.DUMMYFUNCTION("IMPORTRANGE(""https://docs.google.com/spreadsheets/d/11923uPwbBZFjjGgGUA6NLw09EwE0CqkOc4q9oUmW1yo/edit?usp=sharing"",""เพชรบูรณ์!J292"")"),0)</f>
        <v>0</v>
      </c>
      <c r="N25" s="276">
        <f t="shared" ca="1" si="5"/>
        <v>0</v>
      </c>
      <c r="O25" s="55">
        <f ca="1">IFERROR(__xludf.DUMMYFUNCTION("IMPORTRANGE(""https://docs.google.com/spreadsheets/d/11923uPwbBZFjjGgGUA6NLw09EwE0CqkOc4q9oUmW1yo/edit?usp=sharing"",""เพชรบูรณ์!J293"")"),0)</f>
        <v>0</v>
      </c>
      <c r="P25" s="277">
        <f t="shared" ca="1" si="6"/>
        <v>0</v>
      </c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24" customHeight="1" x14ac:dyDescent="0.5">
      <c r="A26" s="273">
        <v>11</v>
      </c>
      <c r="B26" s="274" t="s">
        <v>41</v>
      </c>
      <c r="C26" s="275">
        <f t="shared" si="22"/>
        <v>1028520</v>
      </c>
      <c r="D26" s="55">
        <v>0</v>
      </c>
      <c r="E26" s="55">
        <v>1028520</v>
      </c>
      <c r="F26" s="99">
        <f ca="1">IFERROR(__xludf.DUMMYFUNCTION("IMPORTRANGE(""https://docs.google.com/spreadsheets/d/11923uPwbBZFjjGgGUA6NLw09EwE0CqkOc4q9oUmW1yo/edit?usp=sharing"",""แพร่!M278"")"),0)</f>
        <v>0</v>
      </c>
      <c r="G26" s="99">
        <f t="shared" ca="1" si="1"/>
        <v>0</v>
      </c>
      <c r="H26" s="55">
        <v>100</v>
      </c>
      <c r="I26" s="55">
        <f ca="1">IFERROR(__xludf.DUMMYFUNCTION("IMPORTRANGE(""https://docs.google.com/spreadsheets/d/11923uPwbBZFjjGgGUA6NLw09EwE0CqkOc4q9oUmW1yo/edit?usp=sharing"",""แพร่!J291"")"),0)</f>
        <v>0</v>
      </c>
      <c r="J26" s="276">
        <f t="shared" ca="1" si="3"/>
        <v>0</v>
      </c>
      <c r="K26" s="55">
        <v>1000</v>
      </c>
      <c r="L26" s="55">
        <v>100</v>
      </c>
      <c r="M26" s="55">
        <f ca="1">IFERROR(__xludf.DUMMYFUNCTION("IMPORTRANGE(""https://docs.google.com/spreadsheets/d/11923uPwbBZFjjGgGUA6NLw09EwE0CqkOc4q9oUmW1yo/edit?usp=sharing"",""แพร่!J292"")"),0)</f>
        <v>0</v>
      </c>
      <c r="N26" s="276">
        <f t="shared" ca="1" si="5"/>
        <v>0</v>
      </c>
      <c r="O26" s="55">
        <f ca="1">IFERROR(__xludf.DUMMYFUNCTION("IMPORTRANGE(""https://docs.google.com/spreadsheets/d/11923uPwbBZFjjGgGUA6NLw09EwE0CqkOc4q9oUmW1yo/edit?usp=sharing"",""แพร่!J293"")"),0)</f>
        <v>0</v>
      </c>
      <c r="P26" s="277">
        <f t="shared" ca="1" si="6"/>
        <v>0</v>
      </c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24" customHeight="1" x14ac:dyDescent="0.5">
      <c r="A27" s="273">
        <v>12</v>
      </c>
      <c r="B27" s="274" t="s">
        <v>42</v>
      </c>
      <c r="C27" s="275">
        <f t="shared" si="22"/>
        <v>127660</v>
      </c>
      <c r="D27" s="55">
        <v>0</v>
      </c>
      <c r="E27" s="55">
        <v>127660</v>
      </c>
      <c r="F27" s="99">
        <f ca="1">IFERROR(__xludf.DUMMYFUNCTION("IMPORTRANGE(""https://docs.google.com/spreadsheets/d/11923uPwbBZFjjGgGUA6NLw09EwE0CqkOc4q9oUmW1yo/edit?usp=sharing"",""แม่ฮ่องสอน!M278"")"),0)</f>
        <v>0</v>
      </c>
      <c r="G27" s="99">
        <f t="shared" ca="1" si="1"/>
        <v>0</v>
      </c>
      <c r="H27" s="55">
        <v>10</v>
      </c>
      <c r="I27" s="55">
        <f ca="1">IFERROR(__xludf.DUMMYFUNCTION("IMPORTRANGE(""https://docs.google.com/spreadsheets/d/11923uPwbBZFjjGgGUA6NLw09EwE0CqkOc4q9oUmW1yo/edit?usp=sharing"",""แม่ฮ่องสอน!J291"")"),0)</f>
        <v>0</v>
      </c>
      <c r="J27" s="276">
        <f t="shared" ca="1" si="3"/>
        <v>0</v>
      </c>
      <c r="K27" s="55">
        <v>100</v>
      </c>
      <c r="L27" s="55">
        <v>10</v>
      </c>
      <c r="M27" s="55">
        <f ca="1">IFERROR(__xludf.DUMMYFUNCTION("IMPORTRANGE(""https://docs.google.com/spreadsheets/d/11923uPwbBZFjjGgGUA6NLw09EwE0CqkOc4q9oUmW1yo/edit?usp=sharing"",""แม่ฮ่องสอน!J292"")"),0)</f>
        <v>0</v>
      </c>
      <c r="N27" s="276">
        <f t="shared" ca="1" si="5"/>
        <v>0</v>
      </c>
      <c r="O27" s="55">
        <f ca="1">IFERROR(__xludf.DUMMYFUNCTION("IMPORTRANGE(""https://docs.google.com/spreadsheets/d/11923uPwbBZFjjGgGUA6NLw09EwE0CqkOc4q9oUmW1yo/edit?usp=sharing"",""แม่ฮ่องสอน!J293"")"),0)</f>
        <v>0</v>
      </c>
      <c r="P27" s="277">
        <f t="shared" ca="1" si="6"/>
        <v>0</v>
      </c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24" customHeight="1" x14ac:dyDescent="0.5">
      <c r="A28" s="273">
        <v>13</v>
      </c>
      <c r="B28" s="274" t="s">
        <v>43</v>
      </c>
      <c r="C28" s="275">
        <f t="shared" si="22"/>
        <v>1028520</v>
      </c>
      <c r="D28" s="55">
        <v>0</v>
      </c>
      <c r="E28" s="55">
        <v>1028520</v>
      </c>
      <c r="F28" s="99">
        <f ca="1">IFERROR(__xludf.DUMMYFUNCTION("IMPORTRANGE(""https://docs.google.com/spreadsheets/d/11923uPwbBZFjjGgGUA6NLw09EwE0CqkOc4q9oUmW1yo/edit?usp=sharing"",""ลำปาง!M278"")"),9406.7)</f>
        <v>9406.7000000000007</v>
      </c>
      <c r="G28" s="99">
        <f t="shared" ca="1" si="1"/>
        <v>0.91458600707813176</v>
      </c>
      <c r="H28" s="55">
        <v>100</v>
      </c>
      <c r="I28" s="55">
        <f ca="1">IFERROR(__xludf.DUMMYFUNCTION("IMPORTRANGE(""https://docs.google.com/spreadsheets/d/11923uPwbBZFjjGgGUA6NLw09EwE0CqkOc4q9oUmW1yo/edit?usp=sharing"",""ลำปาง!J291"")"),0)</f>
        <v>0</v>
      </c>
      <c r="J28" s="276">
        <f t="shared" ca="1" si="3"/>
        <v>0</v>
      </c>
      <c r="K28" s="55">
        <v>1000</v>
      </c>
      <c r="L28" s="55">
        <v>100</v>
      </c>
      <c r="M28" s="55">
        <f ca="1">IFERROR(__xludf.DUMMYFUNCTION("IMPORTRANGE(""https://docs.google.com/spreadsheets/d/11923uPwbBZFjjGgGUA6NLw09EwE0CqkOc4q9oUmW1yo/edit?usp=sharing"",""ลำปาง!J292"")"),0)</f>
        <v>0</v>
      </c>
      <c r="N28" s="276">
        <f t="shared" ca="1" si="5"/>
        <v>0</v>
      </c>
      <c r="O28" s="55">
        <f ca="1">IFERROR(__xludf.DUMMYFUNCTION("IMPORTRANGE(""https://docs.google.com/spreadsheets/d/11923uPwbBZFjjGgGUA6NLw09EwE0CqkOc4q9oUmW1yo/edit?usp=sharing"",""ลำปาง!J293"")"),0)</f>
        <v>0</v>
      </c>
      <c r="P28" s="277">
        <f t="shared" ca="1" si="6"/>
        <v>0</v>
      </c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 ht="24" customHeight="1" x14ac:dyDescent="0.5">
      <c r="A29" s="273">
        <v>14</v>
      </c>
      <c r="B29" s="274" t="s">
        <v>44</v>
      </c>
      <c r="C29" s="275">
        <f t="shared" si="22"/>
        <v>1028520</v>
      </c>
      <c r="D29" s="55">
        <v>0</v>
      </c>
      <c r="E29" s="55">
        <v>1028520</v>
      </c>
      <c r="F29" s="99">
        <f ca="1">IFERROR(__xludf.DUMMYFUNCTION("IMPORTRANGE(""https://docs.google.com/spreadsheets/d/11923uPwbBZFjjGgGUA6NLw09EwE0CqkOc4q9oUmW1yo/edit?usp=sharing"",""ลำพูน!M278"")"),0)</f>
        <v>0</v>
      </c>
      <c r="G29" s="99">
        <f t="shared" ca="1" si="1"/>
        <v>0</v>
      </c>
      <c r="H29" s="55">
        <v>100</v>
      </c>
      <c r="I29" s="55">
        <f ca="1">IFERROR(__xludf.DUMMYFUNCTION("IMPORTRANGE(""https://docs.google.com/spreadsheets/d/11923uPwbBZFjjGgGUA6NLw09EwE0CqkOc4q9oUmW1yo/edit?usp=sharing"",""ลำพูน!J291"")"),0)</f>
        <v>0</v>
      </c>
      <c r="J29" s="276">
        <f t="shared" ca="1" si="3"/>
        <v>0</v>
      </c>
      <c r="K29" s="55">
        <v>1000</v>
      </c>
      <c r="L29" s="55">
        <v>100</v>
      </c>
      <c r="M29" s="55">
        <f ca="1">IFERROR(__xludf.DUMMYFUNCTION("IMPORTRANGE(""https://docs.google.com/spreadsheets/d/11923uPwbBZFjjGgGUA6NLw09EwE0CqkOc4q9oUmW1yo/edit?usp=sharing"",""ลำพูน!J292"")"),0)</f>
        <v>0</v>
      </c>
      <c r="N29" s="276">
        <f t="shared" ca="1" si="5"/>
        <v>0</v>
      </c>
      <c r="O29" s="55">
        <f ca="1">IFERROR(__xludf.DUMMYFUNCTION("IMPORTRANGE(""https://docs.google.com/spreadsheets/d/11923uPwbBZFjjGgGUA6NLw09EwE0CqkOc4q9oUmW1yo/edit?usp=sharing"",""ลำพูน!J293"")"),0)</f>
        <v>0</v>
      </c>
      <c r="P29" s="277">
        <f t="shared" ca="1" si="6"/>
        <v>0</v>
      </c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24" customHeight="1" x14ac:dyDescent="0.5">
      <c r="A30" s="273">
        <v>15</v>
      </c>
      <c r="B30" s="274" t="s">
        <v>45</v>
      </c>
      <c r="C30" s="275">
        <f t="shared" si="22"/>
        <v>207560</v>
      </c>
      <c r="D30" s="55">
        <v>0</v>
      </c>
      <c r="E30" s="55">
        <v>207560</v>
      </c>
      <c r="F30" s="99">
        <f ca="1">IFERROR(__xludf.DUMMYFUNCTION("IMPORTRANGE(""https://docs.google.com/spreadsheets/d/11923uPwbBZFjjGgGUA6NLw09EwE0CqkOc4q9oUmW1yo/edit?usp=sharing"",""สุโขทัย!M278"")"),0)</f>
        <v>0</v>
      </c>
      <c r="G30" s="99">
        <f t="shared" ca="1" si="1"/>
        <v>0</v>
      </c>
      <c r="H30" s="55">
        <v>20</v>
      </c>
      <c r="I30" s="55">
        <f ca="1">IFERROR(__xludf.DUMMYFUNCTION("IMPORTRANGE(""https://docs.google.com/spreadsheets/d/11923uPwbBZFjjGgGUA6NLw09EwE0CqkOc4q9oUmW1yo/edit?usp=sharing"",""สุโขทัย!J291"")"),0)</f>
        <v>0</v>
      </c>
      <c r="J30" s="276">
        <f t="shared" ca="1" si="3"/>
        <v>0</v>
      </c>
      <c r="K30" s="55">
        <v>200</v>
      </c>
      <c r="L30" s="55">
        <v>20</v>
      </c>
      <c r="M30" s="55">
        <f ca="1">IFERROR(__xludf.DUMMYFUNCTION("IMPORTRANGE(""https://docs.google.com/spreadsheets/d/11923uPwbBZFjjGgGUA6NLw09EwE0CqkOc4q9oUmW1yo/edit?usp=sharing"",""สุโขทัย!J292"")"),0)</f>
        <v>0</v>
      </c>
      <c r="N30" s="276">
        <f t="shared" ca="1" si="5"/>
        <v>0</v>
      </c>
      <c r="O30" s="55">
        <f ca="1">IFERROR(__xludf.DUMMYFUNCTION("IMPORTRANGE(""https://docs.google.com/spreadsheets/d/11923uPwbBZFjjGgGUA6NLw09EwE0CqkOc4q9oUmW1yo/edit?usp=sharing"",""สุโขทัย!J293"")"),0)</f>
        <v>0</v>
      </c>
      <c r="P30" s="277">
        <f t="shared" ca="1" si="6"/>
        <v>0</v>
      </c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24" customHeight="1" x14ac:dyDescent="0.5">
      <c r="A31" s="273">
        <v>16</v>
      </c>
      <c r="B31" s="274" t="s">
        <v>46</v>
      </c>
      <c r="C31" s="275">
        <f t="shared" si="22"/>
        <v>1028520</v>
      </c>
      <c r="D31" s="55">
        <v>0</v>
      </c>
      <c r="E31" s="55">
        <v>1028520</v>
      </c>
      <c r="F31" s="99">
        <f ca="1">IFERROR(__xludf.DUMMYFUNCTION("IMPORTRANGE(""https://docs.google.com/spreadsheets/d/11923uPwbBZFjjGgGUA6NLw09EwE0CqkOc4q9oUmW1yo/edit?usp=sharing"",""อุตรดิตถ์!M278"")"),0)</f>
        <v>0</v>
      </c>
      <c r="G31" s="99">
        <f t="shared" ca="1" si="1"/>
        <v>0</v>
      </c>
      <c r="H31" s="55">
        <v>100</v>
      </c>
      <c r="I31" s="55">
        <f ca="1">IFERROR(__xludf.DUMMYFUNCTION("IMPORTRANGE(""https://docs.google.com/spreadsheets/d/11923uPwbBZFjjGgGUA6NLw09EwE0CqkOc4q9oUmW1yo/edit?usp=sharing"",""อุตรดิตถ์!J291"")"),0)</f>
        <v>0</v>
      </c>
      <c r="J31" s="276">
        <f t="shared" ca="1" si="3"/>
        <v>0</v>
      </c>
      <c r="K31" s="55">
        <v>1000</v>
      </c>
      <c r="L31" s="55">
        <v>100</v>
      </c>
      <c r="M31" s="55">
        <f ca="1">IFERROR(__xludf.DUMMYFUNCTION("IMPORTRANGE(""https://docs.google.com/spreadsheets/d/11923uPwbBZFjjGgGUA6NLw09EwE0CqkOc4q9oUmW1yo/edit?usp=sharing"",""อุตรดิตถ์!J292"")"),0)</f>
        <v>0</v>
      </c>
      <c r="N31" s="276">
        <f t="shared" ca="1" si="5"/>
        <v>0</v>
      </c>
      <c r="O31" s="55">
        <f ca="1">IFERROR(__xludf.DUMMYFUNCTION("IMPORTRANGE(""https://docs.google.com/spreadsheets/d/11923uPwbBZFjjGgGUA6NLw09EwE0CqkOc4q9oUmW1yo/edit?usp=sharing"",""อุตรดิตถ์!J293"")"),0)</f>
        <v>0</v>
      </c>
      <c r="P31" s="277">
        <f t="shared" ca="1" si="6"/>
        <v>0</v>
      </c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24" customHeight="1" x14ac:dyDescent="0.5">
      <c r="A32" s="278">
        <v>17</v>
      </c>
      <c r="B32" s="279" t="s">
        <v>47</v>
      </c>
      <c r="C32" s="280">
        <f t="shared" si="22"/>
        <v>1028520</v>
      </c>
      <c r="D32" s="62">
        <v>0</v>
      </c>
      <c r="E32" s="62">
        <v>1028520</v>
      </c>
      <c r="F32" s="100">
        <f ca="1">IFERROR(__xludf.DUMMYFUNCTION("IMPORTRANGE(""https://docs.google.com/spreadsheets/d/11923uPwbBZFjjGgGUA6NLw09EwE0CqkOc4q9oUmW1yo/edit?usp=sharing"",""อุทัยธานี!M278"")"),23580)</f>
        <v>23580</v>
      </c>
      <c r="G32" s="100">
        <f t="shared" ca="1" si="1"/>
        <v>2.2926146307315367</v>
      </c>
      <c r="H32" s="62">
        <v>100</v>
      </c>
      <c r="I32" s="62">
        <f ca="1">IFERROR(__xludf.DUMMYFUNCTION("IMPORTRANGE(""https://docs.google.com/spreadsheets/d/11923uPwbBZFjjGgGUA6NLw09EwE0CqkOc4q9oUmW1yo/edit?usp=sharing"",""อุทัยธานี!J291"")"),0)</f>
        <v>0</v>
      </c>
      <c r="J32" s="281">
        <f t="shared" ca="1" si="3"/>
        <v>0</v>
      </c>
      <c r="K32" s="62">
        <v>1000</v>
      </c>
      <c r="L32" s="62">
        <v>100</v>
      </c>
      <c r="M32" s="62">
        <f ca="1">IFERROR(__xludf.DUMMYFUNCTION("IMPORTRANGE(""https://docs.google.com/spreadsheets/d/11923uPwbBZFjjGgGUA6NLw09EwE0CqkOc4q9oUmW1yo/edit?usp=sharing"",""อุทัยธานี!J292"")"),0)</f>
        <v>0</v>
      </c>
      <c r="N32" s="281">
        <f t="shared" ca="1" si="5"/>
        <v>0</v>
      </c>
      <c r="O32" s="62">
        <f ca="1">IFERROR(__xludf.DUMMYFUNCTION("IMPORTRANGE(""https://docs.google.com/spreadsheets/d/11923uPwbBZFjjGgGUA6NLw09EwE0CqkOc4q9oUmW1yo/edit?usp=sharing"",""อุทัยธานี!J293"")"),0)</f>
        <v>0</v>
      </c>
      <c r="P32" s="282">
        <f t="shared" ca="1" si="6"/>
        <v>0</v>
      </c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24" customHeight="1" x14ac:dyDescent="0.5">
      <c r="A33" s="778" t="s">
        <v>48</v>
      </c>
      <c r="B33" s="569"/>
      <c r="C33" s="255">
        <f t="shared" ref="C33:F33" si="23">SUM(C34:C53)</f>
        <v>18296880</v>
      </c>
      <c r="D33" s="66">
        <f t="shared" si="23"/>
        <v>0</v>
      </c>
      <c r="E33" s="66">
        <f t="shared" si="23"/>
        <v>18296880</v>
      </c>
      <c r="F33" s="101">
        <f t="shared" ca="1" si="23"/>
        <v>62773.819999999992</v>
      </c>
      <c r="G33" s="101">
        <f t="shared" ca="1" si="1"/>
        <v>0.3430848319494908</v>
      </c>
      <c r="H33" s="66">
        <f t="shared" ref="H33:I33" si="24">SUM(H34:H53)</f>
        <v>1800</v>
      </c>
      <c r="I33" s="66">
        <f t="shared" ca="1" si="24"/>
        <v>0</v>
      </c>
      <c r="J33" s="101">
        <f t="shared" ca="1" si="3"/>
        <v>0</v>
      </c>
      <c r="K33" s="66">
        <f t="shared" ref="K33:M33" si="25">SUM(K34:K53)</f>
        <v>18000</v>
      </c>
      <c r="L33" s="66">
        <f t="shared" si="25"/>
        <v>1800</v>
      </c>
      <c r="M33" s="66">
        <f t="shared" ca="1" si="25"/>
        <v>0</v>
      </c>
      <c r="N33" s="101">
        <f t="shared" ca="1" si="5"/>
        <v>0</v>
      </c>
      <c r="O33" s="66">
        <f ca="1">SUM(O34:O53)</f>
        <v>0</v>
      </c>
      <c r="P33" s="256">
        <f t="shared" ca="1" si="6"/>
        <v>0</v>
      </c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24" customHeight="1" x14ac:dyDescent="0.5">
      <c r="A34" s="268">
        <v>1</v>
      </c>
      <c r="B34" s="269" t="s">
        <v>49</v>
      </c>
      <c r="C34" s="270">
        <f t="shared" ref="C34:C53" si="26">+D34+E34</f>
        <v>1028520</v>
      </c>
      <c r="D34" s="48">
        <v>0</v>
      </c>
      <c r="E34" s="48">
        <v>1028520</v>
      </c>
      <c r="F34" s="98">
        <f ca="1">IFERROR(__xludf.DUMMYFUNCTION("IMPORTRANGE(""https://docs.google.com/spreadsheets/d/1XL5vhW3sbDhbH9Cz0tuDiY8C3ctxq1tqvaCgkFb8cCA/edit?usp=sharing"",""กาฬสินธุ์!M278"")"),0)</f>
        <v>0</v>
      </c>
      <c r="G34" s="98">
        <f t="shared" ca="1" si="1"/>
        <v>0</v>
      </c>
      <c r="H34" s="48">
        <v>100</v>
      </c>
      <c r="I34" s="48">
        <f ca="1">IFERROR(__xludf.DUMMYFUNCTION("IMPORTRANGE(""https://docs.google.com/spreadsheets/d/1XL5vhW3sbDhbH9Cz0tuDiY8C3ctxq1tqvaCgkFb8cCA/edit?usp=sharing"",""กาฬสินธุ์!J291"")"),0)</f>
        <v>0</v>
      </c>
      <c r="J34" s="271">
        <f t="shared" ca="1" si="3"/>
        <v>0</v>
      </c>
      <c r="K34" s="48">
        <v>1000</v>
      </c>
      <c r="L34" s="48">
        <v>100</v>
      </c>
      <c r="M34" s="48">
        <f ca="1">IFERROR(__xludf.DUMMYFUNCTION("IMPORTRANGE(""https://docs.google.com/spreadsheets/d/1XL5vhW3sbDhbH9Cz0tuDiY8C3ctxq1tqvaCgkFb8cCA/edit?usp=sharing"",""กาฬสินธุ์!J292"")"),0)</f>
        <v>0</v>
      </c>
      <c r="N34" s="271">
        <f t="shared" ca="1" si="5"/>
        <v>0</v>
      </c>
      <c r="O34" s="48">
        <f ca="1">IFERROR(__xludf.DUMMYFUNCTION("IMPORTRANGE(""https://docs.google.com/spreadsheets/d/1XL5vhW3sbDhbH9Cz0tuDiY8C3ctxq1tqvaCgkFb8cCA/edit?usp=sharing"",""กาฬสินธุ์!J293"")"),0)</f>
        <v>0</v>
      </c>
      <c r="P34" s="272">
        <f t="shared" ca="1" si="6"/>
        <v>0</v>
      </c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24" customHeight="1" x14ac:dyDescent="0.5">
      <c r="A35" s="273">
        <v>2</v>
      </c>
      <c r="B35" s="274" t="s">
        <v>50</v>
      </c>
      <c r="C35" s="275">
        <f t="shared" si="26"/>
        <v>1028520</v>
      </c>
      <c r="D35" s="55">
        <v>0</v>
      </c>
      <c r="E35" s="55">
        <v>1028520</v>
      </c>
      <c r="F35" s="99">
        <f ca="1">IFERROR(__xludf.DUMMYFUNCTION("IMPORTRANGE(""https://docs.google.com/spreadsheets/d/1XL5vhW3sbDhbH9Cz0tuDiY8C3ctxq1tqvaCgkFb8cCA/edit?usp=sharing"",""ขอนแก่น!M278"")"),0)</f>
        <v>0</v>
      </c>
      <c r="G35" s="99">
        <f t="shared" ca="1" si="1"/>
        <v>0</v>
      </c>
      <c r="H35" s="55">
        <v>100</v>
      </c>
      <c r="I35" s="55">
        <f ca="1">IFERROR(__xludf.DUMMYFUNCTION("IMPORTRANGE(""https://docs.google.com/spreadsheets/d/1XL5vhW3sbDhbH9Cz0tuDiY8C3ctxq1tqvaCgkFb8cCA/edit?usp=sharing"",""ขอนแก่น!J291"")"),0)</f>
        <v>0</v>
      </c>
      <c r="J35" s="276">
        <f t="shared" ca="1" si="3"/>
        <v>0</v>
      </c>
      <c r="K35" s="55">
        <v>1000</v>
      </c>
      <c r="L35" s="55">
        <v>100</v>
      </c>
      <c r="M35" s="55">
        <f ca="1">IFERROR(__xludf.DUMMYFUNCTION("IMPORTRANGE(""https://docs.google.com/spreadsheets/d/1XL5vhW3sbDhbH9Cz0tuDiY8C3ctxq1tqvaCgkFb8cCA/edit?usp=sharing"",""ขอนแก่น!J292"")"),0)</f>
        <v>0</v>
      </c>
      <c r="N35" s="276">
        <f t="shared" ca="1" si="5"/>
        <v>0</v>
      </c>
      <c r="O35" s="55">
        <f ca="1">IFERROR(__xludf.DUMMYFUNCTION("IMPORTRANGE(""https://docs.google.com/spreadsheets/d/1XL5vhW3sbDhbH9Cz0tuDiY8C3ctxq1tqvaCgkFb8cCA/edit?usp=sharing"",""ขอนแก่น!J293"")"),0)</f>
        <v>0</v>
      </c>
      <c r="P35" s="277">
        <f t="shared" ca="1" si="6"/>
        <v>0</v>
      </c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ht="24" customHeight="1" x14ac:dyDescent="0.5">
      <c r="A36" s="273">
        <v>3</v>
      </c>
      <c r="B36" s="274" t="s">
        <v>51</v>
      </c>
      <c r="C36" s="275">
        <f t="shared" si="26"/>
        <v>1028520</v>
      </c>
      <c r="D36" s="55">
        <v>0</v>
      </c>
      <c r="E36" s="55">
        <v>1028520</v>
      </c>
      <c r="F36" s="99">
        <f ca="1">IFERROR(__xludf.DUMMYFUNCTION("IMPORTRANGE(""https://docs.google.com/spreadsheets/d/1XL5vhW3sbDhbH9Cz0tuDiY8C3ctxq1tqvaCgkFb8cCA/edit?usp=sharing"",""ชัยภูมิ!M278"")"),0)</f>
        <v>0</v>
      </c>
      <c r="G36" s="99">
        <f t="shared" ca="1" si="1"/>
        <v>0</v>
      </c>
      <c r="H36" s="55">
        <v>100</v>
      </c>
      <c r="I36" s="55">
        <f ca="1">IFERROR(__xludf.DUMMYFUNCTION("IMPORTRANGE(""https://docs.google.com/spreadsheets/d/1XL5vhW3sbDhbH9Cz0tuDiY8C3ctxq1tqvaCgkFb8cCA/edit?usp=sharing"",""ชัยภูมิ!J291"")"),0)</f>
        <v>0</v>
      </c>
      <c r="J36" s="276">
        <f t="shared" ca="1" si="3"/>
        <v>0</v>
      </c>
      <c r="K36" s="55">
        <v>1000</v>
      </c>
      <c r="L36" s="55">
        <v>100</v>
      </c>
      <c r="M36" s="55">
        <f ca="1">IFERROR(__xludf.DUMMYFUNCTION("IMPORTRANGE(""https://docs.google.com/spreadsheets/d/1XL5vhW3sbDhbH9Cz0tuDiY8C3ctxq1tqvaCgkFb8cCA/edit?usp=sharing"",""ชัยภูมิ!J292"")"),0)</f>
        <v>0</v>
      </c>
      <c r="N36" s="276">
        <f t="shared" ca="1" si="5"/>
        <v>0</v>
      </c>
      <c r="O36" s="55">
        <f ca="1">IFERROR(__xludf.DUMMYFUNCTION("IMPORTRANGE(""https://docs.google.com/spreadsheets/d/1XL5vhW3sbDhbH9Cz0tuDiY8C3ctxq1tqvaCgkFb8cCA/edit?usp=sharing"",""ชัยภูมิ!J293"")"),0)</f>
        <v>0</v>
      </c>
      <c r="P36" s="277">
        <f t="shared" ca="1" si="6"/>
        <v>0</v>
      </c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ht="24" customHeight="1" x14ac:dyDescent="0.5">
      <c r="A37" s="273">
        <v>4</v>
      </c>
      <c r="B37" s="274" t="s">
        <v>52</v>
      </c>
      <c r="C37" s="275">
        <f t="shared" si="26"/>
        <v>1028520</v>
      </c>
      <c r="D37" s="55">
        <v>0</v>
      </c>
      <c r="E37" s="55">
        <v>1028520</v>
      </c>
      <c r="F37" s="99">
        <f ca="1">IFERROR(__xludf.DUMMYFUNCTION("IMPORTRANGE(""https://docs.google.com/spreadsheets/d/1XL5vhW3sbDhbH9Cz0tuDiY8C3ctxq1tqvaCgkFb8cCA/edit?usp=sharing"",""นครพนม!M278"")"),8871)</f>
        <v>8871</v>
      </c>
      <c r="G37" s="99">
        <f t="shared" ca="1" si="1"/>
        <v>0.8625014584062537</v>
      </c>
      <c r="H37" s="55">
        <v>100</v>
      </c>
      <c r="I37" s="55">
        <f ca="1">IFERROR(__xludf.DUMMYFUNCTION("IMPORTRANGE(""https://docs.google.com/spreadsheets/d/1XL5vhW3sbDhbH9Cz0tuDiY8C3ctxq1tqvaCgkFb8cCA/edit?usp=sharing"",""นครพนม!J291"")"),0)</f>
        <v>0</v>
      </c>
      <c r="J37" s="276">
        <f t="shared" ca="1" si="3"/>
        <v>0</v>
      </c>
      <c r="K37" s="55">
        <v>1000</v>
      </c>
      <c r="L37" s="55">
        <v>100</v>
      </c>
      <c r="M37" s="55">
        <f ca="1">IFERROR(__xludf.DUMMYFUNCTION("IMPORTRANGE(""https://docs.google.com/spreadsheets/d/1XL5vhW3sbDhbH9Cz0tuDiY8C3ctxq1tqvaCgkFb8cCA/edit?usp=sharing"",""นครพนม!J292"")"),0)</f>
        <v>0</v>
      </c>
      <c r="N37" s="276">
        <f t="shared" ca="1" si="5"/>
        <v>0</v>
      </c>
      <c r="O37" s="55">
        <f ca="1">IFERROR(__xludf.DUMMYFUNCTION("IMPORTRANGE(""https://docs.google.com/spreadsheets/d/1XL5vhW3sbDhbH9Cz0tuDiY8C3ctxq1tqvaCgkFb8cCA/edit?usp=sharing"",""นครพนม!J293"")"),0)</f>
        <v>0</v>
      </c>
      <c r="P37" s="277">
        <f t="shared" ca="1" si="6"/>
        <v>0</v>
      </c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ht="24" customHeight="1" x14ac:dyDescent="0.5">
      <c r="A38" s="273">
        <v>5</v>
      </c>
      <c r="B38" s="274" t="s">
        <v>53</v>
      </c>
      <c r="C38" s="275">
        <f t="shared" si="26"/>
        <v>1028520</v>
      </c>
      <c r="D38" s="55">
        <v>0</v>
      </c>
      <c r="E38" s="55">
        <v>1028520</v>
      </c>
      <c r="F38" s="99">
        <f ca="1">IFERROR(__xludf.DUMMYFUNCTION("IMPORTRANGE(""https://docs.google.com/spreadsheets/d/1XL5vhW3sbDhbH9Cz0tuDiY8C3ctxq1tqvaCgkFb8cCA/edit?usp=sharing"",""นครราชสีมา!M278"")"),3000)</f>
        <v>3000</v>
      </c>
      <c r="G38" s="99">
        <f t="shared" ca="1" si="1"/>
        <v>0.29168125072920315</v>
      </c>
      <c r="H38" s="55">
        <v>100</v>
      </c>
      <c r="I38" s="55">
        <f ca="1">IFERROR(__xludf.DUMMYFUNCTION("IMPORTRANGE(""https://docs.google.com/spreadsheets/d/1XL5vhW3sbDhbH9Cz0tuDiY8C3ctxq1tqvaCgkFb8cCA/edit?usp=sharing"",""นครราชสีมา!J291"")"),0)</f>
        <v>0</v>
      </c>
      <c r="J38" s="276">
        <f t="shared" ca="1" si="3"/>
        <v>0</v>
      </c>
      <c r="K38" s="55">
        <v>1000</v>
      </c>
      <c r="L38" s="55">
        <v>100</v>
      </c>
      <c r="M38" s="55">
        <f ca="1">IFERROR(__xludf.DUMMYFUNCTION("IMPORTRANGE(""https://docs.google.com/spreadsheets/d/1XL5vhW3sbDhbH9Cz0tuDiY8C3ctxq1tqvaCgkFb8cCA/edit?usp=sharing"",""นครราชสีมา!J292"")"),0)</f>
        <v>0</v>
      </c>
      <c r="N38" s="276">
        <f t="shared" ca="1" si="5"/>
        <v>0</v>
      </c>
      <c r="O38" s="55">
        <f ca="1">IFERROR(__xludf.DUMMYFUNCTION("IMPORTRANGE(""https://docs.google.com/spreadsheets/d/1XL5vhW3sbDhbH9Cz0tuDiY8C3ctxq1tqvaCgkFb8cCA/edit?usp=sharing"",""นครราชสีมา!J293"")"),0)</f>
        <v>0</v>
      </c>
      <c r="P38" s="277">
        <f t="shared" ca="1" si="6"/>
        <v>0</v>
      </c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24" customHeight="1" x14ac:dyDescent="0.5">
      <c r="A39" s="273">
        <v>6</v>
      </c>
      <c r="B39" s="274" t="s">
        <v>54</v>
      </c>
      <c r="C39" s="275">
        <f t="shared" si="26"/>
        <v>1028520</v>
      </c>
      <c r="D39" s="55">
        <v>0</v>
      </c>
      <c r="E39" s="55">
        <v>1028520</v>
      </c>
      <c r="F39" s="99">
        <f ca="1">IFERROR(__xludf.DUMMYFUNCTION("IMPORTRANGE(""https://docs.google.com/spreadsheets/d/1XL5vhW3sbDhbH9Cz0tuDiY8C3ctxq1tqvaCgkFb8cCA/edit?usp=sharing"",""บึงกาฬ!M278"")"),0)</f>
        <v>0</v>
      </c>
      <c r="G39" s="99">
        <f t="shared" ca="1" si="1"/>
        <v>0</v>
      </c>
      <c r="H39" s="55">
        <v>100</v>
      </c>
      <c r="I39" s="55">
        <f ca="1">IFERROR(__xludf.DUMMYFUNCTION("IMPORTRANGE(""https://docs.google.com/spreadsheets/d/1XL5vhW3sbDhbH9Cz0tuDiY8C3ctxq1tqvaCgkFb8cCA/edit?usp=sharing"",""บึงกาฬ!J291"")"),0)</f>
        <v>0</v>
      </c>
      <c r="J39" s="276">
        <f t="shared" ca="1" si="3"/>
        <v>0</v>
      </c>
      <c r="K39" s="55">
        <v>1000</v>
      </c>
      <c r="L39" s="55">
        <v>100</v>
      </c>
      <c r="M39" s="55">
        <f ca="1">IFERROR(__xludf.DUMMYFUNCTION("IMPORTRANGE(""https://docs.google.com/spreadsheets/d/1XL5vhW3sbDhbH9Cz0tuDiY8C3ctxq1tqvaCgkFb8cCA/edit?usp=sharing"",""บึงกาฬ!J292"")"),0)</f>
        <v>0</v>
      </c>
      <c r="N39" s="276">
        <f t="shared" ca="1" si="5"/>
        <v>0</v>
      </c>
      <c r="O39" s="55">
        <f ca="1">IFERROR(__xludf.DUMMYFUNCTION("IMPORTRANGE(""https://docs.google.com/spreadsheets/d/1XL5vhW3sbDhbH9Cz0tuDiY8C3ctxq1tqvaCgkFb8cCA/edit?usp=sharing"",""บึงกาฬ!J293"")"),0)</f>
        <v>0</v>
      </c>
      <c r="P39" s="277">
        <f t="shared" ca="1" si="6"/>
        <v>0</v>
      </c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ht="24" customHeight="1" x14ac:dyDescent="0.5">
      <c r="A40" s="273">
        <v>7</v>
      </c>
      <c r="B40" s="274" t="s">
        <v>55</v>
      </c>
      <c r="C40" s="275">
        <f t="shared" si="26"/>
        <v>1028520</v>
      </c>
      <c r="D40" s="55">
        <v>0</v>
      </c>
      <c r="E40" s="55">
        <v>1028520</v>
      </c>
      <c r="F40" s="99">
        <f ca="1">IFERROR(__xludf.DUMMYFUNCTION("IMPORTRANGE(""https://docs.google.com/spreadsheets/d/1XL5vhW3sbDhbH9Cz0tuDiY8C3ctxq1tqvaCgkFb8cCA/edit?usp=sharing"",""บุรีรัมย์!M278"")"),8799.98)</f>
        <v>8799.98</v>
      </c>
      <c r="G40" s="99">
        <f t="shared" ca="1" si="1"/>
        <v>0.85559639093065765</v>
      </c>
      <c r="H40" s="55">
        <v>100</v>
      </c>
      <c r="I40" s="55">
        <f ca="1">IFERROR(__xludf.DUMMYFUNCTION("IMPORTRANGE(""https://docs.google.com/spreadsheets/d/1XL5vhW3sbDhbH9Cz0tuDiY8C3ctxq1tqvaCgkFb8cCA/edit?usp=sharing"",""บุรีรัมย์!J291"")"),0)</f>
        <v>0</v>
      </c>
      <c r="J40" s="276">
        <f t="shared" ca="1" si="3"/>
        <v>0</v>
      </c>
      <c r="K40" s="55">
        <v>1000</v>
      </c>
      <c r="L40" s="55">
        <v>100</v>
      </c>
      <c r="M40" s="55">
        <f ca="1">IFERROR(__xludf.DUMMYFUNCTION("IMPORTRANGE(""https://docs.google.com/spreadsheets/d/1XL5vhW3sbDhbH9Cz0tuDiY8C3ctxq1tqvaCgkFb8cCA/edit?usp=sharing"",""บุรีรัมย์!J292"")"),0)</f>
        <v>0</v>
      </c>
      <c r="N40" s="276">
        <f t="shared" ca="1" si="5"/>
        <v>0</v>
      </c>
      <c r="O40" s="55">
        <f ca="1">IFERROR(__xludf.DUMMYFUNCTION("IMPORTRANGE(""https://docs.google.com/spreadsheets/d/1XL5vhW3sbDhbH9Cz0tuDiY8C3ctxq1tqvaCgkFb8cCA/edit?usp=sharing"",""บุรีรัมย์!J293"")"),0)</f>
        <v>0</v>
      </c>
      <c r="P40" s="277">
        <f t="shared" ca="1" si="6"/>
        <v>0</v>
      </c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24" customHeight="1" x14ac:dyDescent="0.5">
      <c r="A41" s="273">
        <v>8</v>
      </c>
      <c r="B41" s="274" t="s">
        <v>56</v>
      </c>
      <c r="C41" s="275">
        <f t="shared" si="26"/>
        <v>1028520</v>
      </c>
      <c r="D41" s="55">
        <v>0</v>
      </c>
      <c r="E41" s="55">
        <v>1028520</v>
      </c>
      <c r="F41" s="99">
        <f ca="1">IFERROR(__xludf.DUMMYFUNCTION("IMPORTRANGE(""https://docs.google.com/spreadsheets/d/1XL5vhW3sbDhbH9Cz0tuDiY8C3ctxq1tqvaCgkFb8cCA/edit?usp=sharing"",""มหาสารคาม!M278"")"),9580.65)</f>
        <v>9580.65</v>
      </c>
      <c r="G41" s="99">
        <f t="shared" ca="1" si="1"/>
        <v>0.93149865826624667</v>
      </c>
      <c r="H41" s="55">
        <v>100</v>
      </c>
      <c r="I41" s="55">
        <f ca="1">IFERROR(__xludf.DUMMYFUNCTION("IMPORTRANGE(""https://docs.google.com/spreadsheets/d/1XL5vhW3sbDhbH9Cz0tuDiY8C3ctxq1tqvaCgkFb8cCA/edit?usp=sharing"",""มหาสารคาม!J291"")"),0)</f>
        <v>0</v>
      </c>
      <c r="J41" s="276">
        <f t="shared" ca="1" si="3"/>
        <v>0</v>
      </c>
      <c r="K41" s="55">
        <v>1000</v>
      </c>
      <c r="L41" s="55">
        <v>100</v>
      </c>
      <c r="M41" s="55">
        <f ca="1">IFERROR(__xludf.DUMMYFUNCTION("IMPORTRANGE(""https://docs.google.com/spreadsheets/d/1XL5vhW3sbDhbH9Cz0tuDiY8C3ctxq1tqvaCgkFb8cCA/edit?usp=sharing"",""มหาสารคาม!J292"")"),0)</f>
        <v>0</v>
      </c>
      <c r="N41" s="276">
        <f t="shared" ca="1" si="5"/>
        <v>0</v>
      </c>
      <c r="O41" s="55">
        <f ca="1">IFERROR(__xludf.DUMMYFUNCTION("IMPORTRANGE(""https://docs.google.com/spreadsheets/d/1XL5vhW3sbDhbH9Cz0tuDiY8C3ctxq1tqvaCgkFb8cCA/edit?usp=sharing"",""มหาสารคาม!J293"")"),0)</f>
        <v>0</v>
      </c>
      <c r="P41" s="277">
        <f t="shared" ca="1" si="6"/>
        <v>0</v>
      </c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ht="24" customHeight="1" x14ac:dyDescent="0.5">
      <c r="A42" s="273">
        <v>9</v>
      </c>
      <c r="B42" s="274" t="s">
        <v>57</v>
      </c>
      <c r="C42" s="275">
        <f t="shared" si="26"/>
        <v>1028520</v>
      </c>
      <c r="D42" s="55">
        <v>0</v>
      </c>
      <c r="E42" s="55">
        <v>1028520</v>
      </c>
      <c r="F42" s="99">
        <f ca="1">IFERROR(__xludf.DUMMYFUNCTION("IMPORTRANGE(""https://docs.google.com/spreadsheets/d/1XL5vhW3sbDhbH9Cz0tuDiY8C3ctxq1tqvaCgkFb8cCA/edit?usp=sharing"",""มุกดาหาร!M278"")"),0)</f>
        <v>0</v>
      </c>
      <c r="G42" s="99">
        <f t="shared" ca="1" si="1"/>
        <v>0</v>
      </c>
      <c r="H42" s="55">
        <v>100</v>
      </c>
      <c r="I42" s="55">
        <f ca="1">IFERROR(__xludf.DUMMYFUNCTION("IMPORTRANGE(""https://docs.google.com/spreadsheets/d/1XL5vhW3sbDhbH9Cz0tuDiY8C3ctxq1tqvaCgkFb8cCA/edit?usp=sharing"",""มุกดาหาร!J291"")"),0)</f>
        <v>0</v>
      </c>
      <c r="J42" s="276">
        <f t="shared" ca="1" si="3"/>
        <v>0</v>
      </c>
      <c r="K42" s="55">
        <v>1000</v>
      </c>
      <c r="L42" s="55">
        <v>100</v>
      </c>
      <c r="M42" s="55">
        <f ca="1">IFERROR(__xludf.DUMMYFUNCTION("IMPORTRANGE(""https://docs.google.com/spreadsheets/d/1XL5vhW3sbDhbH9Cz0tuDiY8C3ctxq1tqvaCgkFb8cCA/edit?usp=sharing"",""มุกดาหาร!J292"")"),0)</f>
        <v>0</v>
      </c>
      <c r="N42" s="276">
        <f t="shared" ca="1" si="5"/>
        <v>0</v>
      </c>
      <c r="O42" s="55">
        <f ca="1">IFERROR(__xludf.DUMMYFUNCTION("IMPORTRANGE(""https://docs.google.com/spreadsheets/d/1XL5vhW3sbDhbH9Cz0tuDiY8C3ctxq1tqvaCgkFb8cCA/edit?usp=sharing"",""มุกดาหาร!J293"")"),0)</f>
        <v>0</v>
      </c>
      <c r="P42" s="277">
        <f t="shared" ca="1" si="6"/>
        <v>0</v>
      </c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ht="24" customHeight="1" x14ac:dyDescent="0.5">
      <c r="A43" s="273">
        <v>10</v>
      </c>
      <c r="B43" s="274" t="s">
        <v>58</v>
      </c>
      <c r="C43" s="275">
        <f t="shared" si="26"/>
        <v>460140</v>
      </c>
      <c r="D43" s="55">
        <v>0</v>
      </c>
      <c r="E43" s="55">
        <v>460140</v>
      </c>
      <c r="F43" s="99">
        <f ca="1">IFERROR(__xludf.DUMMYFUNCTION("IMPORTRANGE(""https://docs.google.com/spreadsheets/d/1XL5vhW3sbDhbH9Cz0tuDiY8C3ctxq1tqvaCgkFb8cCA/edit?usp=sharing"",""ยโสธร!M278"")"),3000)</f>
        <v>3000</v>
      </c>
      <c r="G43" s="99">
        <f t="shared" ca="1" si="1"/>
        <v>0.65197548572173691</v>
      </c>
      <c r="H43" s="55">
        <v>50</v>
      </c>
      <c r="I43" s="55">
        <f ca="1">IFERROR(__xludf.DUMMYFUNCTION("IMPORTRANGE(""https://docs.google.com/spreadsheets/d/1XL5vhW3sbDhbH9Cz0tuDiY8C3ctxq1tqvaCgkFb8cCA/edit?usp=sharing"",""ยโสธร!J291"")"),0)</f>
        <v>0</v>
      </c>
      <c r="J43" s="276">
        <f t="shared" ca="1" si="3"/>
        <v>0</v>
      </c>
      <c r="K43" s="55">
        <v>500</v>
      </c>
      <c r="L43" s="55">
        <v>50</v>
      </c>
      <c r="M43" s="55">
        <f ca="1">IFERROR(__xludf.DUMMYFUNCTION("IMPORTRANGE(""https://docs.google.com/spreadsheets/d/1XL5vhW3sbDhbH9Cz0tuDiY8C3ctxq1tqvaCgkFb8cCA/edit?usp=sharing"",""ยโสธร!J292"")"),0)</f>
        <v>0</v>
      </c>
      <c r="N43" s="276">
        <f t="shared" ca="1" si="5"/>
        <v>0</v>
      </c>
      <c r="O43" s="55">
        <f ca="1">IFERROR(__xludf.DUMMYFUNCTION("IMPORTRANGE(""https://docs.google.com/spreadsheets/d/1XL5vhW3sbDhbH9Cz0tuDiY8C3ctxq1tqvaCgkFb8cCA/edit?usp=sharing"",""ยโสธร!J293"")"),0)</f>
        <v>0</v>
      </c>
      <c r="P43" s="277">
        <f t="shared" ca="1" si="6"/>
        <v>0</v>
      </c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ht="24" customHeight="1" x14ac:dyDescent="0.5">
      <c r="A44" s="273">
        <v>11</v>
      </c>
      <c r="B44" s="274" t="s">
        <v>59</v>
      </c>
      <c r="C44" s="275">
        <f t="shared" si="26"/>
        <v>1028520</v>
      </c>
      <c r="D44" s="55">
        <v>0</v>
      </c>
      <c r="E44" s="55">
        <v>1028520</v>
      </c>
      <c r="F44" s="99">
        <f ca="1">IFERROR(__xludf.DUMMYFUNCTION("IMPORTRANGE(""https://docs.google.com/spreadsheets/d/1XL5vhW3sbDhbH9Cz0tuDiY8C3ctxq1tqvaCgkFb8cCA/edit?usp=sharing"",""ร้อยเอ็ด!M278"")"),0)</f>
        <v>0</v>
      </c>
      <c r="G44" s="99">
        <f t="shared" ca="1" si="1"/>
        <v>0</v>
      </c>
      <c r="H44" s="55">
        <v>100</v>
      </c>
      <c r="I44" s="55">
        <f ca="1">IFERROR(__xludf.DUMMYFUNCTION("IMPORTRANGE(""https://docs.google.com/spreadsheets/d/1XL5vhW3sbDhbH9Cz0tuDiY8C3ctxq1tqvaCgkFb8cCA/edit?usp=sharing"",""ร้อยเอ็ด!J291"")"),0)</f>
        <v>0</v>
      </c>
      <c r="J44" s="276">
        <f t="shared" ca="1" si="3"/>
        <v>0</v>
      </c>
      <c r="K44" s="55">
        <v>1000</v>
      </c>
      <c r="L44" s="55">
        <v>100</v>
      </c>
      <c r="M44" s="55">
        <f ca="1">IFERROR(__xludf.DUMMYFUNCTION("IMPORTRANGE(""https://docs.google.com/spreadsheets/d/1XL5vhW3sbDhbH9Cz0tuDiY8C3ctxq1tqvaCgkFb8cCA/edit?usp=sharing"",""ร้อยเอ็ด!J292"")"),0)</f>
        <v>0</v>
      </c>
      <c r="N44" s="276">
        <f t="shared" ca="1" si="5"/>
        <v>0</v>
      </c>
      <c r="O44" s="55">
        <f ca="1">IFERROR(__xludf.DUMMYFUNCTION("IMPORTRANGE(""https://docs.google.com/spreadsheets/d/1XL5vhW3sbDhbH9Cz0tuDiY8C3ctxq1tqvaCgkFb8cCA/edit?usp=sharing"",""ร้อยเอ็ด!J293"")"),0)</f>
        <v>0</v>
      </c>
      <c r="P44" s="277">
        <f t="shared" ca="1" si="6"/>
        <v>0</v>
      </c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ht="24" customHeight="1" x14ac:dyDescent="0.5">
      <c r="A45" s="273">
        <v>12</v>
      </c>
      <c r="B45" s="274" t="s">
        <v>60</v>
      </c>
      <c r="C45" s="275">
        <f t="shared" si="26"/>
        <v>1028520</v>
      </c>
      <c r="D45" s="55">
        <v>0</v>
      </c>
      <c r="E45" s="55">
        <v>1028520</v>
      </c>
      <c r="F45" s="99">
        <f ca="1">IFERROR(__xludf.DUMMYFUNCTION("IMPORTRANGE(""https://docs.google.com/spreadsheets/d/1XL5vhW3sbDhbH9Cz0tuDiY8C3ctxq1tqvaCgkFb8cCA/edit?usp=sharing"",""เลย!M278"")"),11000)</f>
        <v>11000</v>
      </c>
      <c r="G45" s="99">
        <f t="shared" ca="1" si="1"/>
        <v>1.0694979193404115</v>
      </c>
      <c r="H45" s="55">
        <v>100</v>
      </c>
      <c r="I45" s="55">
        <f ca="1">IFERROR(__xludf.DUMMYFUNCTION("IMPORTRANGE(""https://docs.google.com/spreadsheets/d/1XL5vhW3sbDhbH9Cz0tuDiY8C3ctxq1tqvaCgkFb8cCA/edit?usp=sharing"",""เลย!J291"")"),0)</f>
        <v>0</v>
      </c>
      <c r="J45" s="276">
        <f t="shared" ca="1" si="3"/>
        <v>0</v>
      </c>
      <c r="K45" s="55">
        <v>1000</v>
      </c>
      <c r="L45" s="55">
        <v>100</v>
      </c>
      <c r="M45" s="55">
        <f ca="1">IFERROR(__xludf.DUMMYFUNCTION("IMPORTRANGE(""https://docs.google.com/spreadsheets/d/1XL5vhW3sbDhbH9Cz0tuDiY8C3ctxq1tqvaCgkFb8cCA/edit?usp=sharing"",""เลย!J292"")"),0)</f>
        <v>0</v>
      </c>
      <c r="N45" s="276">
        <f t="shared" ca="1" si="5"/>
        <v>0</v>
      </c>
      <c r="O45" s="55">
        <f ca="1">IFERROR(__xludf.DUMMYFUNCTION("IMPORTRANGE(""https://docs.google.com/spreadsheets/d/1XL5vhW3sbDhbH9Cz0tuDiY8C3ctxq1tqvaCgkFb8cCA/edit?usp=sharing"",""เลย!J293"")"),0)</f>
        <v>0</v>
      </c>
      <c r="P45" s="277">
        <f t="shared" ca="1" si="6"/>
        <v>0</v>
      </c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ht="24" customHeight="1" x14ac:dyDescent="0.5">
      <c r="A46" s="273">
        <v>13</v>
      </c>
      <c r="B46" s="274" t="s">
        <v>61</v>
      </c>
      <c r="C46" s="275">
        <f t="shared" si="26"/>
        <v>1028520</v>
      </c>
      <c r="D46" s="55">
        <v>0</v>
      </c>
      <c r="E46" s="55">
        <v>1028520</v>
      </c>
      <c r="F46" s="99">
        <f ca="1">IFERROR(__xludf.DUMMYFUNCTION("IMPORTRANGE(""https://docs.google.com/spreadsheets/d/1XL5vhW3sbDhbH9Cz0tuDiY8C3ctxq1tqvaCgkFb8cCA/edit?usp=sharing"",""ศรีสะเกษ!M278"")"),0)</f>
        <v>0</v>
      </c>
      <c r="G46" s="99">
        <f t="shared" ca="1" si="1"/>
        <v>0</v>
      </c>
      <c r="H46" s="55">
        <v>100</v>
      </c>
      <c r="I46" s="55">
        <f ca="1">IFERROR(__xludf.DUMMYFUNCTION("IMPORTRANGE(""https://docs.google.com/spreadsheets/d/1XL5vhW3sbDhbH9Cz0tuDiY8C3ctxq1tqvaCgkFb8cCA/edit?usp=sharing"",""ศรีสะเกษ!J291"")"),0)</f>
        <v>0</v>
      </c>
      <c r="J46" s="276">
        <f t="shared" ca="1" si="3"/>
        <v>0</v>
      </c>
      <c r="K46" s="55">
        <v>1000</v>
      </c>
      <c r="L46" s="55">
        <v>100</v>
      </c>
      <c r="M46" s="55">
        <f ca="1">IFERROR(__xludf.DUMMYFUNCTION("IMPORTRANGE(""https://docs.google.com/spreadsheets/d/1XL5vhW3sbDhbH9Cz0tuDiY8C3ctxq1tqvaCgkFb8cCA/edit?usp=sharing"",""ศรีสะเกษ!J292"")"),0)</f>
        <v>0</v>
      </c>
      <c r="N46" s="276">
        <f t="shared" ca="1" si="5"/>
        <v>0</v>
      </c>
      <c r="O46" s="55">
        <f ca="1">IFERROR(__xludf.DUMMYFUNCTION("IMPORTRANGE(""https://docs.google.com/spreadsheets/d/1XL5vhW3sbDhbH9Cz0tuDiY8C3ctxq1tqvaCgkFb8cCA/edit?usp=sharing"",""ศรีสะเกษ!J293"")"),0)</f>
        <v>0</v>
      </c>
      <c r="P46" s="277">
        <f t="shared" ca="1" si="6"/>
        <v>0</v>
      </c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ht="24" customHeight="1" x14ac:dyDescent="0.5">
      <c r="A47" s="273">
        <v>14</v>
      </c>
      <c r="B47" s="274" t="s">
        <v>62</v>
      </c>
      <c r="C47" s="275">
        <f t="shared" si="26"/>
        <v>460140</v>
      </c>
      <c r="D47" s="55">
        <v>0</v>
      </c>
      <c r="E47" s="55">
        <v>460140</v>
      </c>
      <c r="F47" s="99">
        <f ca="1">IFERROR(__xludf.DUMMYFUNCTION("IMPORTRANGE(""https://docs.google.com/spreadsheets/d/1XL5vhW3sbDhbH9Cz0tuDiY8C3ctxq1tqvaCgkFb8cCA/edit?usp=sharing"",""สกลนคร!M278"")"),0)</f>
        <v>0</v>
      </c>
      <c r="G47" s="99">
        <f t="shared" ca="1" si="1"/>
        <v>0</v>
      </c>
      <c r="H47" s="55">
        <v>50</v>
      </c>
      <c r="I47" s="55">
        <f ca="1">IFERROR(__xludf.DUMMYFUNCTION("IMPORTRANGE(""https://docs.google.com/spreadsheets/d/1XL5vhW3sbDhbH9Cz0tuDiY8C3ctxq1tqvaCgkFb8cCA/edit?usp=sharing"",""สกลนคร!J291"")"),0)</f>
        <v>0</v>
      </c>
      <c r="J47" s="276">
        <f t="shared" ca="1" si="3"/>
        <v>0</v>
      </c>
      <c r="K47" s="55">
        <v>500</v>
      </c>
      <c r="L47" s="55">
        <v>50</v>
      </c>
      <c r="M47" s="55">
        <f ca="1">IFERROR(__xludf.DUMMYFUNCTION("IMPORTRANGE(""https://docs.google.com/spreadsheets/d/1XL5vhW3sbDhbH9Cz0tuDiY8C3ctxq1tqvaCgkFb8cCA/edit?usp=sharing"",""สกลนคร!J292"")"),0)</f>
        <v>0</v>
      </c>
      <c r="N47" s="276">
        <f t="shared" ca="1" si="5"/>
        <v>0</v>
      </c>
      <c r="O47" s="55">
        <f ca="1">IFERROR(__xludf.DUMMYFUNCTION("IMPORTRANGE(""https://docs.google.com/spreadsheets/d/1XL5vhW3sbDhbH9Cz0tuDiY8C3ctxq1tqvaCgkFb8cCA/edit?usp=sharing"",""สกลนคร!J293"")"),0)</f>
        <v>0</v>
      </c>
      <c r="P47" s="277">
        <f t="shared" ca="1" si="6"/>
        <v>0</v>
      </c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24" customHeight="1" x14ac:dyDescent="0.5">
      <c r="A48" s="273">
        <v>15</v>
      </c>
      <c r="B48" s="274" t="s">
        <v>63</v>
      </c>
      <c r="C48" s="275">
        <f t="shared" si="26"/>
        <v>1028520</v>
      </c>
      <c r="D48" s="55">
        <v>0</v>
      </c>
      <c r="E48" s="55">
        <v>1028520</v>
      </c>
      <c r="F48" s="99">
        <f ca="1">IFERROR(__xludf.DUMMYFUNCTION("IMPORTRANGE(""https://docs.google.com/spreadsheets/d/1XL5vhW3sbDhbH9Cz0tuDiY8C3ctxq1tqvaCgkFb8cCA/edit?usp=sharing"",""สุรินทร์!M278"")"),0)</f>
        <v>0</v>
      </c>
      <c r="G48" s="99">
        <f t="shared" ca="1" si="1"/>
        <v>0</v>
      </c>
      <c r="H48" s="55">
        <v>100</v>
      </c>
      <c r="I48" s="55">
        <f ca="1">IFERROR(__xludf.DUMMYFUNCTION("IMPORTRANGE(""https://docs.google.com/spreadsheets/d/1XL5vhW3sbDhbH9Cz0tuDiY8C3ctxq1tqvaCgkFb8cCA/edit?usp=sharing"",""สุรินทร์!J291"")"),0)</f>
        <v>0</v>
      </c>
      <c r="J48" s="276">
        <f t="shared" ca="1" si="3"/>
        <v>0</v>
      </c>
      <c r="K48" s="55">
        <v>1000</v>
      </c>
      <c r="L48" s="55">
        <v>100</v>
      </c>
      <c r="M48" s="55">
        <f ca="1">IFERROR(__xludf.DUMMYFUNCTION("IMPORTRANGE(""https://docs.google.com/spreadsheets/d/1XL5vhW3sbDhbH9Cz0tuDiY8C3ctxq1tqvaCgkFb8cCA/edit?usp=sharing"",""สุรินทร์!J292"")"),0)</f>
        <v>0</v>
      </c>
      <c r="N48" s="276">
        <f t="shared" ca="1" si="5"/>
        <v>0</v>
      </c>
      <c r="O48" s="55">
        <f ca="1">IFERROR(__xludf.DUMMYFUNCTION("IMPORTRANGE(""https://docs.google.com/spreadsheets/d/1XL5vhW3sbDhbH9Cz0tuDiY8C3ctxq1tqvaCgkFb8cCA/edit?usp=sharing"",""สุรินทร์!J293"")"),0)</f>
        <v>0</v>
      </c>
      <c r="P48" s="277">
        <f t="shared" ca="1" si="6"/>
        <v>0</v>
      </c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24" customHeight="1" x14ac:dyDescent="0.5">
      <c r="A49" s="273">
        <v>16</v>
      </c>
      <c r="B49" s="274" t="s">
        <v>64</v>
      </c>
      <c r="C49" s="275">
        <f t="shared" si="26"/>
        <v>460140</v>
      </c>
      <c r="D49" s="55">
        <v>0</v>
      </c>
      <c r="E49" s="55">
        <v>460140</v>
      </c>
      <c r="F49" s="99">
        <f ca="1">IFERROR(__xludf.DUMMYFUNCTION("IMPORTRANGE(""https://docs.google.com/spreadsheets/d/1XL5vhW3sbDhbH9Cz0tuDiY8C3ctxq1tqvaCgkFb8cCA/edit?usp=sharing"",""หนองคาย!M278"")"),0)</f>
        <v>0</v>
      </c>
      <c r="G49" s="99">
        <f t="shared" ca="1" si="1"/>
        <v>0</v>
      </c>
      <c r="H49" s="55">
        <v>50</v>
      </c>
      <c r="I49" s="55">
        <f ca="1">IFERROR(__xludf.DUMMYFUNCTION("IMPORTRANGE(""https://docs.google.com/spreadsheets/d/1XL5vhW3sbDhbH9Cz0tuDiY8C3ctxq1tqvaCgkFb8cCA/edit?usp=sharing"",""หนองคาย!J291"")"),0)</f>
        <v>0</v>
      </c>
      <c r="J49" s="276">
        <f t="shared" ca="1" si="3"/>
        <v>0</v>
      </c>
      <c r="K49" s="55">
        <v>500</v>
      </c>
      <c r="L49" s="55">
        <v>50</v>
      </c>
      <c r="M49" s="55">
        <f ca="1">IFERROR(__xludf.DUMMYFUNCTION("IMPORTRANGE(""https://docs.google.com/spreadsheets/d/1XL5vhW3sbDhbH9Cz0tuDiY8C3ctxq1tqvaCgkFb8cCA/edit?usp=sharing"",""หนองคาย!J292"")"),0)</f>
        <v>0</v>
      </c>
      <c r="N49" s="276">
        <f t="shared" ca="1" si="5"/>
        <v>0</v>
      </c>
      <c r="O49" s="55">
        <f ca="1">IFERROR(__xludf.DUMMYFUNCTION("IMPORTRANGE(""https://docs.google.com/spreadsheets/d/1XL5vhW3sbDhbH9Cz0tuDiY8C3ctxq1tqvaCgkFb8cCA/edit?usp=sharing"",""หนองคาย!J293"")"),0)</f>
        <v>0</v>
      </c>
      <c r="P49" s="277">
        <f t="shared" ca="1" si="6"/>
        <v>0</v>
      </c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24" customHeight="1" x14ac:dyDescent="0.5">
      <c r="A50" s="273">
        <v>17</v>
      </c>
      <c r="B50" s="274" t="s">
        <v>65</v>
      </c>
      <c r="C50" s="275">
        <f t="shared" si="26"/>
        <v>1028520</v>
      </c>
      <c r="D50" s="55">
        <v>0</v>
      </c>
      <c r="E50" s="55">
        <v>1028520</v>
      </c>
      <c r="F50" s="99">
        <f ca="1">IFERROR(__xludf.DUMMYFUNCTION("IMPORTRANGE(""https://docs.google.com/spreadsheets/d/1XL5vhW3sbDhbH9Cz0tuDiY8C3ctxq1tqvaCgkFb8cCA/edit?usp=sharing"",""หนองบัวลำภู!M278"")"),5336.71)</f>
        <v>5336.71</v>
      </c>
      <c r="G50" s="99">
        <f t="shared" ca="1" si="1"/>
        <v>0.51887274919301518</v>
      </c>
      <c r="H50" s="55">
        <v>100</v>
      </c>
      <c r="I50" s="55">
        <f ca="1">IFERROR(__xludf.DUMMYFUNCTION("IMPORTRANGE(""https://docs.google.com/spreadsheets/d/1XL5vhW3sbDhbH9Cz0tuDiY8C3ctxq1tqvaCgkFb8cCA/edit?usp=sharing"",""หนองบัวลำภู!J291"")"),0)</f>
        <v>0</v>
      </c>
      <c r="J50" s="276">
        <f t="shared" ca="1" si="3"/>
        <v>0</v>
      </c>
      <c r="K50" s="55">
        <v>1000</v>
      </c>
      <c r="L50" s="55">
        <v>100</v>
      </c>
      <c r="M50" s="55">
        <f ca="1">IFERROR(__xludf.DUMMYFUNCTION("IMPORTRANGE(""https://docs.google.com/spreadsheets/d/1XL5vhW3sbDhbH9Cz0tuDiY8C3ctxq1tqvaCgkFb8cCA/edit?usp=sharing"",""หนองบัวลำภู!J292"")"),0)</f>
        <v>0</v>
      </c>
      <c r="N50" s="276">
        <f t="shared" ca="1" si="5"/>
        <v>0</v>
      </c>
      <c r="O50" s="55">
        <f ca="1">IFERROR(__xludf.DUMMYFUNCTION("IMPORTRANGE(""https://docs.google.com/spreadsheets/d/1XL5vhW3sbDhbH9Cz0tuDiY8C3ctxq1tqvaCgkFb8cCA/edit?usp=sharing"",""หนองบัวลำภู!J293"")"),0)</f>
        <v>0</v>
      </c>
      <c r="P50" s="277">
        <f t="shared" ca="1" si="6"/>
        <v>0</v>
      </c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ht="24" customHeight="1" x14ac:dyDescent="0.5">
      <c r="A51" s="273">
        <v>18</v>
      </c>
      <c r="B51" s="274" t="s">
        <v>66</v>
      </c>
      <c r="C51" s="275">
        <f t="shared" si="26"/>
        <v>460140</v>
      </c>
      <c r="D51" s="55">
        <v>0</v>
      </c>
      <c r="E51" s="55">
        <v>460140</v>
      </c>
      <c r="F51" s="99">
        <f ca="1">IFERROR(__xludf.DUMMYFUNCTION("IMPORTRANGE(""https://docs.google.com/spreadsheets/d/1XL5vhW3sbDhbH9Cz0tuDiY8C3ctxq1tqvaCgkFb8cCA/edit?usp=sharing"",""อำนาจเจริญ!M278"")"),0)</f>
        <v>0</v>
      </c>
      <c r="G51" s="99">
        <f t="shared" ca="1" si="1"/>
        <v>0</v>
      </c>
      <c r="H51" s="55">
        <v>50</v>
      </c>
      <c r="I51" s="55">
        <f ca="1">IFERROR(__xludf.DUMMYFUNCTION("IMPORTRANGE(""https://docs.google.com/spreadsheets/d/1XL5vhW3sbDhbH9Cz0tuDiY8C3ctxq1tqvaCgkFb8cCA/edit?usp=sharing"",""อำนาจเจริญ!J291"")"),0)</f>
        <v>0</v>
      </c>
      <c r="J51" s="276">
        <f t="shared" ca="1" si="3"/>
        <v>0</v>
      </c>
      <c r="K51" s="55">
        <v>500</v>
      </c>
      <c r="L51" s="55">
        <v>50</v>
      </c>
      <c r="M51" s="55">
        <f ca="1">IFERROR(__xludf.DUMMYFUNCTION("IMPORTRANGE(""https://docs.google.com/spreadsheets/d/1XL5vhW3sbDhbH9Cz0tuDiY8C3ctxq1tqvaCgkFb8cCA/edit?usp=sharing"",""อำนาจเจริญ!J292"")"),0)</f>
        <v>0</v>
      </c>
      <c r="N51" s="276">
        <f t="shared" ca="1" si="5"/>
        <v>0</v>
      </c>
      <c r="O51" s="55">
        <f ca="1">IFERROR(__xludf.DUMMYFUNCTION("IMPORTRANGE(""https://docs.google.com/spreadsheets/d/1XL5vhW3sbDhbH9Cz0tuDiY8C3ctxq1tqvaCgkFb8cCA/edit?usp=sharing"",""อำนาจเจริญ!J293"")"),0)</f>
        <v>0</v>
      </c>
      <c r="P51" s="277">
        <f t="shared" ca="1" si="6"/>
        <v>0</v>
      </c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ht="24" customHeight="1" x14ac:dyDescent="0.5">
      <c r="A52" s="273">
        <v>19</v>
      </c>
      <c r="B52" s="274" t="s">
        <v>67</v>
      </c>
      <c r="C52" s="275">
        <f t="shared" si="26"/>
        <v>1028520</v>
      </c>
      <c r="D52" s="55">
        <v>0</v>
      </c>
      <c r="E52" s="55">
        <v>1028520</v>
      </c>
      <c r="F52" s="99">
        <f ca="1">IFERROR(__xludf.DUMMYFUNCTION("IMPORTRANGE(""https://docs.google.com/spreadsheets/d/1XL5vhW3sbDhbH9Cz0tuDiY8C3ctxq1tqvaCgkFb8cCA/edit?usp=sharing"",""อุดรธานี!M278"")"),9935.48)</f>
        <v>9935.48</v>
      </c>
      <c r="G52" s="99">
        <f t="shared" ca="1" si="1"/>
        <v>0.96599774433166108</v>
      </c>
      <c r="H52" s="55">
        <v>100</v>
      </c>
      <c r="I52" s="55">
        <f ca="1">IFERROR(__xludf.DUMMYFUNCTION("IMPORTRANGE(""https://docs.google.com/spreadsheets/d/1XL5vhW3sbDhbH9Cz0tuDiY8C3ctxq1tqvaCgkFb8cCA/edit?usp=sharing"",""อุดรธานี!J291"")"),0)</f>
        <v>0</v>
      </c>
      <c r="J52" s="276">
        <f t="shared" ca="1" si="3"/>
        <v>0</v>
      </c>
      <c r="K52" s="55">
        <v>1000</v>
      </c>
      <c r="L52" s="55">
        <v>100</v>
      </c>
      <c r="M52" s="55">
        <f ca="1">IFERROR(__xludf.DUMMYFUNCTION("IMPORTRANGE(""https://docs.google.com/spreadsheets/d/1XL5vhW3sbDhbH9Cz0tuDiY8C3ctxq1tqvaCgkFb8cCA/edit?usp=sharing"",""อุดรธานี!J292"")"),0)</f>
        <v>0</v>
      </c>
      <c r="N52" s="276">
        <f t="shared" ca="1" si="5"/>
        <v>0</v>
      </c>
      <c r="O52" s="55">
        <f ca="1">IFERROR(__xludf.DUMMYFUNCTION("IMPORTRANGE(""https://docs.google.com/spreadsheets/d/1XL5vhW3sbDhbH9Cz0tuDiY8C3ctxq1tqvaCgkFb8cCA/edit?usp=sharing"",""อุดรธานี!J293"")"),0)</f>
        <v>0</v>
      </c>
      <c r="P52" s="277">
        <f t="shared" ca="1" si="6"/>
        <v>0</v>
      </c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 ht="24" customHeight="1" x14ac:dyDescent="0.5">
      <c r="A53" s="278">
        <v>20</v>
      </c>
      <c r="B53" s="279" t="s">
        <v>68</v>
      </c>
      <c r="C53" s="280">
        <f t="shared" si="26"/>
        <v>1028520</v>
      </c>
      <c r="D53" s="62">
        <v>0</v>
      </c>
      <c r="E53" s="62">
        <v>1028520</v>
      </c>
      <c r="F53" s="100">
        <f ca="1">IFERROR(__xludf.DUMMYFUNCTION("IMPORTRANGE(""https://docs.google.com/spreadsheets/d/1XL5vhW3sbDhbH9Cz0tuDiY8C3ctxq1tqvaCgkFb8cCA/edit?usp=sharing"",""อุบลราชธานี!M278"")"),3250)</f>
        <v>3250</v>
      </c>
      <c r="G53" s="100">
        <f t="shared" ca="1" si="1"/>
        <v>0.31598802162330336</v>
      </c>
      <c r="H53" s="62">
        <v>100</v>
      </c>
      <c r="I53" s="62">
        <f ca="1">IFERROR(__xludf.DUMMYFUNCTION("IMPORTRANGE(""https://docs.google.com/spreadsheets/d/1XL5vhW3sbDhbH9Cz0tuDiY8C3ctxq1tqvaCgkFb8cCA/edit?usp=sharing"",""อุบลราชธานี!J291"")"),0)</f>
        <v>0</v>
      </c>
      <c r="J53" s="281">
        <f t="shared" ca="1" si="3"/>
        <v>0</v>
      </c>
      <c r="K53" s="62">
        <v>1000</v>
      </c>
      <c r="L53" s="62">
        <v>100</v>
      </c>
      <c r="M53" s="62">
        <f ca="1">IFERROR(__xludf.DUMMYFUNCTION("IMPORTRANGE(""https://docs.google.com/spreadsheets/d/1XL5vhW3sbDhbH9Cz0tuDiY8C3ctxq1tqvaCgkFb8cCA/edit?usp=sharing"",""อุบลราชธานี!J292"")"),0)</f>
        <v>0</v>
      </c>
      <c r="N53" s="281">
        <f t="shared" ca="1" si="5"/>
        <v>0</v>
      </c>
      <c r="O53" s="62">
        <f ca="1">IFERROR(__xludf.DUMMYFUNCTION("IMPORTRANGE(""https://docs.google.com/spreadsheets/d/1XL5vhW3sbDhbH9Cz0tuDiY8C3ctxq1tqvaCgkFb8cCA/edit?usp=sharing"",""อุบลราชธานี!J293"")"),0)</f>
        <v>0</v>
      </c>
      <c r="P53" s="282">
        <f t="shared" ca="1" si="6"/>
        <v>0</v>
      </c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24" customHeight="1" x14ac:dyDescent="0.5">
      <c r="A54" s="779" t="s">
        <v>69</v>
      </c>
      <c r="B54" s="569"/>
      <c r="C54" s="255">
        <f t="shared" ref="C54:F54" si="27">SUM(C55:C75)</f>
        <v>8972320</v>
      </c>
      <c r="D54" s="66">
        <f t="shared" si="27"/>
        <v>0</v>
      </c>
      <c r="E54" s="66">
        <f t="shared" si="27"/>
        <v>8972320</v>
      </c>
      <c r="F54" s="101">
        <f t="shared" ca="1" si="27"/>
        <v>53760.95</v>
      </c>
      <c r="G54" s="101">
        <f t="shared" ca="1" si="1"/>
        <v>0.59918672093728265</v>
      </c>
      <c r="H54" s="66">
        <f t="shared" ref="H54:I54" si="28">SUM(H55:H75)</f>
        <v>880</v>
      </c>
      <c r="I54" s="66">
        <f t="shared" ca="1" si="28"/>
        <v>40</v>
      </c>
      <c r="J54" s="101">
        <f t="shared" ca="1" si="3"/>
        <v>4.5454545454545459</v>
      </c>
      <c r="K54" s="66">
        <f t="shared" ref="K54:M54" si="29">SUM(K55:K75)</f>
        <v>8800</v>
      </c>
      <c r="L54" s="66">
        <f t="shared" si="29"/>
        <v>880</v>
      </c>
      <c r="M54" s="66">
        <f t="shared" ca="1" si="29"/>
        <v>0</v>
      </c>
      <c r="N54" s="101">
        <f t="shared" ca="1" si="5"/>
        <v>0</v>
      </c>
      <c r="O54" s="66">
        <f ca="1">SUM(O55:O75)</f>
        <v>0</v>
      </c>
      <c r="P54" s="256">
        <f t="shared" ca="1" si="6"/>
        <v>0</v>
      </c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 ht="24" customHeight="1" x14ac:dyDescent="0.5">
      <c r="A55" s="268">
        <v>1</v>
      </c>
      <c r="B55" s="269" t="s">
        <v>70</v>
      </c>
      <c r="C55" s="270">
        <f t="shared" ref="C55:C75" si="30">+D55+E55</f>
        <v>1028520</v>
      </c>
      <c r="D55" s="48">
        <v>0</v>
      </c>
      <c r="E55" s="48">
        <v>1028520</v>
      </c>
      <c r="F55" s="98">
        <f ca="1">IFERROR(__xludf.DUMMYFUNCTION("IMPORTRANGE(""https://docs.google.com/spreadsheets/d/1SX6NBoVAgQJ6U1MVXOaj8PK2l7WJ3RER9xtqwdhxkhw/edit?usp=sharing"",""กาญจนบุรี!M278"")"),0)</f>
        <v>0</v>
      </c>
      <c r="G55" s="98">
        <f t="shared" ca="1" si="1"/>
        <v>0</v>
      </c>
      <c r="H55" s="48">
        <v>100</v>
      </c>
      <c r="I55" s="48">
        <f ca="1">IFERROR(__xludf.DUMMYFUNCTION("IMPORTRANGE(""https://docs.google.com/spreadsheets/d/1SX6NBoVAgQJ6U1MVXOaj8PK2l7WJ3RER9xtqwdhxkhw/edit?usp=sharing"",""กาญจนบุรี!J291"")"),0)</f>
        <v>0</v>
      </c>
      <c r="J55" s="271">
        <f t="shared" ca="1" si="3"/>
        <v>0</v>
      </c>
      <c r="K55" s="48">
        <v>1000</v>
      </c>
      <c r="L55" s="48">
        <v>100</v>
      </c>
      <c r="M55" s="48">
        <f ca="1">IFERROR(__xludf.DUMMYFUNCTION("IMPORTRANGE(""https://docs.google.com/spreadsheets/d/1SX6NBoVAgQJ6U1MVXOaj8PK2l7WJ3RER9xtqwdhxkhw/edit?usp=sharing"",""กาญจนบุรี!J292"")"),0)</f>
        <v>0</v>
      </c>
      <c r="N55" s="271">
        <f t="shared" ca="1" si="5"/>
        <v>0</v>
      </c>
      <c r="O55" s="48">
        <f ca="1">IFERROR(__xludf.DUMMYFUNCTION("IMPORTRANGE(""https://docs.google.com/spreadsheets/d/1SX6NBoVAgQJ6U1MVXOaj8PK2l7WJ3RER9xtqwdhxkhw/edit?usp=sharing"",""กาญจนบุรี!J293"")"),0)</f>
        <v>0</v>
      </c>
      <c r="P55" s="272">
        <f t="shared" ca="1" si="6"/>
        <v>0</v>
      </c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 ht="24" customHeight="1" x14ac:dyDescent="0.5">
      <c r="A56" s="273">
        <v>2</v>
      </c>
      <c r="B56" s="274" t="s">
        <v>71</v>
      </c>
      <c r="C56" s="275">
        <f t="shared" si="30"/>
        <v>460140</v>
      </c>
      <c r="D56" s="55">
        <v>0</v>
      </c>
      <c r="E56" s="55">
        <v>460140</v>
      </c>
      <c r="F56" s="99">
        <f ca="1">IFERROR(__xludf.DUMMYFUNCTION("IMPORTRANGE(""https://docs.google.com/spreadsheets/d/1SX6NBoVAgQJ6U1MVXOaj8PK2l7WJ3RER9xtqwdhxkhw/edit?usp=sharing"",""จันทบุรี!M278"")"),0)</f>
        <v>0</v>
      </c>
      <c r="G56" s="99">
        <f t="shared" ca="1" si="1"/>
        <v>0</v>
      </c>
      <c r="H56" s="55">
        <v>50</v>
      </c>
      <c r="I56" s="55">
        <f ca="1">IFERROR(__xludf.DUMMYFUNCTION("IMPORTRANGE(""https://docs.google.com/spreadsheets/d/1SX6NBoVAgQJ6U1MVXOaj8PK2l7WJ3RER9xtqwdhxkhw/edit?usp=sharing"",""จันทบุรี!J291"")"),0)</f>
        <v>0</v>
      </c>
      <c r="J56" s="276">
        <f t="shared" ca="1" si="3"/>
        <v>0</v>
      </c>
      <c r="K56" s="55">
        <v>500</v>
      </c>
      <c r="L56" s="55">
        <v>50</v>
      </c>
      <c r="M56" s="55">
        <f ca="1">IFERROR(__xludf.DUMMYFUNCTION("IMPORTRANGE(""https://docs.google.com/spreadsheets/d/1SX6NBoVAgQJ6U1MVXOaj8PK2l7WJ3RER9xtqwdhxkhw/edit?usp=sharing"",""จันทบุรี!J292"")"),0)</f>
        <v>0</v>
      </c>
      <c r="N56" s="276">
        <f t="shared" ca="1" si="5"/>
        <v>0</v>
      </c>
      <c r="O56" s="55">
        <f ca="1">IFERROR(__xludf.DUMMYFUNCTION("IMPORTRANGE(""https://docs.google.com/spreadsheets/d/1SX6NBoVAgQJ6U1MVXOaj8PK2l7WJ3RER9xtqwdhxkhw/edit?usp=sharing"",""จันทบุรี!J293"")"),0)</f>
        <v>0</v>
      </c>
      <c r="P56" s="277">
        <f t="shared" ca="1" si="6"/>
        <v>0</v>
      </c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 ht="24" customHeight="1" x14ac:dyDescent="0.5">
      <c r="A57" s="273">
        <v>3</v>
      </c>
      <c r="B57" s="274" t="s">
        <v>72</v>
      </c>
      <c r="C57" s="275">
        <f t="shared" si="30"/>
        <v>1028520</v>
      </c>
      <c r="D57" s="55">
        <v>0</v>
      </c>
      <c r="E57" s="55">
        <v>1028520</v>
      </c>
      <c r="F57" s="99">
        <f ca="1">IFERROR(__xludf.DUMMYFUNCTION("IMPORTRANGE(""https://docs.google.com/spreadsheets/d/1SX6NBoVAgQJ6U1MVXOaj8PK2l7WJ3RER9xtqwdhxkhw/edit?usp=sharing"",""ฉะเชิงเทรา!M278"")"),1100)</f>
        <v>1100</v>
      </c>
      <c r="G57" s="99">
        <f t="shared" ca="1" si="1"/>
        <v>0.10694979193404115</v>
      </c>
      <c r="H57" s="55">
        <v>100</v>
      </c>
      <c r="I57" s="55">
        <f ca="1">IFERROR(__xludf.DUMMYFUNCTION("IMPORTRANGE(""https://docs.google.com/spreadsheets/d/1SX6NBoVAgQJ6U1MVXOaj8PK2l7WJ3RER9xtqwdhxkhw/edit?usp=sharing"",""ฉะเชิงเทรา!J291"")"),0)</f>
        <v>0</v>
      </c>
      <c r="J57" s="276">
        <f t="shared" ca="1" si="3"/>
        <v>0</v>
      </c>
      <c r="K57" s="55">
        <v>1000</v>
      </c>
      <c r="L57" s="55">
        <v>100</v>
      </c>
      <c r="M57" s="55">
        <f ca="1">IFERROR(__xludf.DUMMYFUNCTION("IMPORTRANGE(""https://docs.google.com/spreadsheets/d/1SX6NBoVAgQJ6U1MVXOaj8PK2l7WJ3RER9xtqwdhxkhw/edit?usp=sharing"",""ฉะเชิงเทรา!J292"")"),0)</f>
        <v>0</v>
      </c>
      <c r="N57" s="276">
        <f t="shared" ca="1" si="5"/>
        <v>0</v>
      </c>
      <c r="O57" s="55">
        <f ca="1">IFERROR(__xludf.DUMMYFUNCTION("IMPORTRANGE(""https://docs.google.com/spreadsheets/d/1SX6NBoVAgQJ6U1MVXOaj8PK2l7WJ3RER9xtqwdhxkhw/edit?usp=sharing"",""ฉะเชิงเทรา!J293"")"),0)</f>
        <v>0</v>
      </c>
      <c r="P57" s="277">
        <f t="shared" ca="1" si="6"/>
        <v>0</v>
      </c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 ht="24" customHeight="1" x14ac:dyDescent="0.5">
      <c r="A58" s="273">
        <v>4</v>
      </c>
      <c r="B58" s="274" t="s">
        <v>73</v>
      </c>
      <c r="C58" s="275">
        <f t="shared" si="30"/>
        <v>460140</v>
      </c>
      <c r="D58" s="55">
        <v>0</v>
      </c>
      <c r="E58" s="55">
        <v>460140</v>
      </c>
      <c r="F58" s="99">
        <f ca="1">IFERROR(__xludf.DUMMYFUNCTION("IMPORTRANGE(""https://docs.google.com/spreadsheets/d/1SX6NBoVAgQJ6U1MVXOaj8PK2l7WJ3RER9xtqwdhxkhw/edit?usp=sharing"",""ชลบุรี!M278"")"),0)</f>
        <v>0</v>
      </c>
      <c r="G58" s="99">
        <f t="shared" ca="1" si="1"/>
        <v>0</v>
      </c>
      <c r="H58" s="55">
        <v>50</v>
      </c>
      <c r="I58" s="55">
        <f ca="1">IFERROR(__xludf.DUMMYFUNCTION("IMPORTRANGE(""https://docs.google.com/spreadsheets/d/1SX6NBoVAgQJ6U1MVXOaj8PK2l7WJ3RER9xtqwdhxkhw/edit?usp=sharing"",""ชลบุรี!J291"")"),0)</f>
        <v>0</v>
      </c>
      <c r="J58" s="276">
        <f t="shared" ca="1" si="3"/>
        <v>0</v>
      </c>
      <c r="K58" s="55">
        <v>500</v>
      </c>
      <c r="L58" s="55">
        <v>50</v>
      </c>
      <c r="M58" s="55">
        <f ca="1">IFERROR(__xludf.DUMMYFUNCTION("IMPORTRANGE(""https://docs.google.com/spreadsheets/d/1SX6NBoVAgQJ6U1MVXOaj8PK2l7WJ3RER9xtqwdhxkhw/edit?usp=sharing"",""ชลบุรี!J292"")"),0)</f>
        <v>0</v>
      </c>
      <c r="N58" s="276">
        <f t="shared" ca="1" si="5"/>
        <v>0</v>
      </c>
      <c r="O58" s="55">
        <f ca="1">IFERROR(__xludf.DUMMYFUNCTION("IMPORTRANGE(""https://docs.google.com/spreadsheets/d/1SX6NBoVAgQJ6U1MVXOaj8PK2l7WJ3RER9xtqwdhxkhw/edit?usp=sharing"",""ชลบุรี!J293"")"),0)</f>
        <v>0</v>
      </c>
      <c r="P58" s="277">
        <f t="shared" ca="1" si="6"/>
        <v>0</v>
      </c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 ht="24" customHeight="1" x14ac:dyDescent="0.5">
      <c r="A59" s="273">
        <v>5</v>
      </c>
      <c r="B59" s="274" t="s">
        <v>74</v>
      </c>
      <c r="C59" s="275">
        <f t="shared" si="30"/>
        <v>207560</v>
      </c>
      <c r="D59" s="55">
        <v>0</v>
      </c>
      <c r="E59" s="55">
        <v>207560</v>
      </c>
      <c r="F59" s="99">
        <f ca="1">IFERROR(__xludf.DUMMYFUNCTION("IMPORTRANGE(""https://docs.google.com/spreadsheets/d/1SX6NBoVAgQJ6U1MVXOaj8PK2l7WJ3RER9xtqwdhxkhw/edit?usp=sharing"",""ชัยนาท!M278"")"),0)</f>
        <v>0</v>
      </c>
      <c r="G59" s="99">
        <f t="shared" ca="1" si="1"/>
        <v>0</v>
      </c>
      <c r="H59" s="55">
        <v>20</v>
      </c>
      <c r="I59" s="55">
        <f ca="1">IFERROR(__xludf.DUMMYFUNCTION("IMPORTRANGE(""https://docs.google.com/spreadsheets/d/1SX6NBoVAgQJ6U1MVXOaj8PK2l7WJ3RER9xtqwdhxkhw/edit?usp=sharing"",""ชัยนาท!J291"")"),0)</f>
        <v>0</v>
      </c>
      <c r="J59" s="276">
        <f t="shared" ca="1" si="3"/>
        <v>0</v>
      </c>
      <c r="K59" s="55">
        <v>200</v>
      </c>
      <c r="L59" s="55">
        <v>20</v>
      </c>
      <c r="M59" s="55">
        <f ca="1">IFERROR(__xludf.DUMMYFUNCTION("IMPORTRANGE(""https://docs.google.com/spreadsheets/d/1SX6NBoVAgQJ6U1MVXOaj8PK2l7WJ3RER9xtqwdhxkhw/edit?usp=sharing"",""ชัยนาท!J292"")"),0)</f>
        <v>0</v>
      </c>
      <c r="N59" s="276">
        <f t="shared" ca="1" si="5"/>
        <v>0</v>
      </c>
      <c r="O59" s="55">
        <f ca="1">IFERROR(__xludf.DUMMYFUNCTION("IMPORTRANGE(""https://docs.google.com/spreadsheets/d/1SX6NBoVAgQJ6U1MVXOaj8PK2l7WJ3RER9xtqwdhxkhw/edit?usp=sharing"",""ชัยนาท!J293"")"),0)</f>
        <v>0</v>
      </c>
      <c r="P59" s="277">
        <f t="shared" ca="1" si="6"/>
        <v>0</v>
      </c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 ht="24" customHeight="1" x14ac:dyDescent="0.5">
      <c r="A60" s="273">
        <v>6</v>
      </c>
      <c r="B60" s="274" t="s">
        <v>75</v>
      </c>
      <c r="C60" s="275">
        <f t="shared" si="30"/>
        <v>207560</v>
      </c>
      <c r="D60" s="55">
        <v>0</v>
      </c>
      <c r="E60" s="55">
        <v>207560</v>
      </c>
      <c r="F60" s="99">
        <f ca="1">IFERROR(__xludf.DUMMYFUNCTION("IMPORTRANGE(""https://docs.google.com/spreadsheets/d/1SX6NBoVAgQJ6U1MVXOaj8PK2l7WJ3RER9xtqwdhxkhw/edit?usp=sharing"",""ตราด!M278"")"),0)</f>
        <v>0</v>
      </c>
      <c r="G60" s="99">
        <f t="shared" ca="1" si="1"/>
        <v>0</v>
      </c>
      <c r="H60" s="55">
        <v>20</v>
      </c>
      <c r="I60" s="55">
        <f ca="1">IFERROR(__xludf.DUMMYFUNCTION("IMPORTRANGE(""https://docs.google.com/spreadsheets/d/1SX6NBoVAgQJ6U1MVXOaj8PK2l7WJ3RER9xtqwdhxkhw/edit?usp=sharing"",""ตราด!J291"")"),0)</f>
        <v>0</v>
      </c>
      <c r="J60" s="276">
        <f t="shared" ca="1" si="3"/>
        <v>0</v>
      </c>
      <c r="K60" s="55">
        <v>200</v>
      </c>
      <c r="L60" s="55">
        <v>20</v>
      </c>
      <c r="M60" s="55">
        <f ca="1">IFERROR(__xludf.DUMMYFUNCTION("IMPORTRANGE(""https://docs.google.com/spreadsheets/d/1SX6NBoVAgQJ6U1MVXOaj8PK2l7WJ3RER9xtqwdhxkhw/edit?usp=sharing"",""ตราด!J292"")"),0)</f>
        <v>0</v>
      </c>
      <c r="N60" s="276">
        <f t="shared" ca="1" si="5"/>
        <v>0</v>
      </c>
      <c r="O60" s="55">
        <f ca="1">IFERROR(__xludf.DUMMYFUNCTION("IMPORTRANGE(""https://docs.google.com/spreadsheets/d/1SX6NBoVAgQJ6U1MVXOaj8PK2l7WJ3RER9xtqwdhxkhw/edit?usp=sharing"",""ตราด!J293"")"),0)</f>
        <v>0</v>
      </c>
      <c r="P60" s="277">
        <f t="shared" ca="1" si="6"/>
        <v>0</v>
      </c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 ht="24" customHeight="1" x14ac:dyDescent="0.5">
      <c r="A61" s="273">
        <v>7</v>
      </c>
      <c r="B61" s="274" t="s">
        <v>76</v>
      </c>
      <c r="C61" s="275">
        <f t="shared" si="30"/>
        <v>87710</v>
      </c>
      <c r="D61" s="55">
        <v>0</v>
      </c>
      <c r="E61" s="55">
        <v>87710</v>
      </c>
      <c r="F61" s="99">
        <f ca="1">IFERROR(__xludf.DUMMYFUNCTION("IMPORTRANGE(""https://docs.google.com/spreadsheets/d/1SX6NBoVAgQJ6U1MVXOaj8PK2l7WJ3RER9xtqwdhxkhw/edit?usp=sharing"",""นครนายก!M278"")"),0)</f>
        <v>0</v>
      </c>
      <c r="G61" s="99">
        <f t="shared" ca="1" si="1"/>
        <v>0</v>
      </c>
      <c r="H61" s="55">
        <v>5</v>
      </c>
      <c r="I61" s="55">
        <f ca="1">IFERROR(__xludf.DUMMYFUNCTION("IMPORTRANGE(""https://docs.google.com/spreadsheets/d/1SX6NBoVAgQJ6U1MVXOaj8PK2l7WJ3RER9xtqwdhxkhw/edit?usp=sharing"",""นครนายก!J291"")"),0)</f>
        <v>0</v>
      </c>
      <c r="J61" s="276">
        <f t="shared" ca="1" si="3"/>
        <v>0</v>
      </c>
      <c r="K61" s="55">
        <v>50</v>
      </c>
      <c r="L61" s="55">
        <v>5</v>
      </c>
      <c r="M61" s="55">
        <f ca="1">IFERROR(__xludf.DUMMYFUNCTION("IMPORTRANGE(""https://docs.google.com/spreadsheets/d/1SX6NBoVAgQJ6U1MVXOaj8PK2l7WJ3RER9xtqwdhxkhw/edit?usp=sharing"",""นครนายก!J292"")"),0)</f>
        <v>0</v>
      </c>
      <c r="N61" s="276">
        <f t="shared" ca="1" si="5"/>
        <v>0</v>
      </c>
      <c r="O61" s="55">
        <f ca="1">IFERROR(__xludf.DUMMYFUNCTION("IMPORTRANGE(""https://docs.google.com/spreadsheets/d/1SX6NBoVAgQJ6U1MVXOaj8PK2l7WJ3RER9xtqwdhxkhw/edit?usp=sharing"",""นครนายก!J293"")"),0)</f>
        <v>0</v>
      </c>
      <c r="P61" s="277">
        <f t="shared" ca="1" si="6"/>
        <v>0</v>
      </c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ht="24" customHeight="1" x14ac:dyDescent="0.5">
      <c r="A62" s="273">
        <v>8</v>
      </c>
      <c r="B62" s="274" t="s">
        <v>77</v>
      </c>
      <c r="C62" s="275">
        <f t="shared" si="30"/>
        <v>0</v>
      </c>
      <c r="D62" s="55">
        <v>0</v>
      </c>
      <c r="E62" s="55">
        <v>0</v>
      </c>
      <c r="F62" s="99">
        <f ca="1">IFERROR(__xludf.DUMMYFUNCTION("IMPORTRANGE(""https://docs.google.com/spreadsheets/d/1SX6NBoVAgQJ6U1MVXOaj8PK2l7WJ3RER9xtqwdhxkhw/edit?usp=sharing"",""นครปฐม!M278"")"),0)</f>
        <v>0</v>
      </c>
      <c r="G62" s="99">
        <f t="shared" si="1"/>
        <v>0</v>
      </c>
      <c r="H62" s="55">
        <v>0</v>
      </c>
      <c r="I62" s="55">
        <f ca="1">IFERROR(__xludf.DUMMYFUNCTION("IMPORTRANGE(""https://docs.google.com/spreadsheets/d/1SX6NBoVAgQJ6U1MVXOaj8PK2l7WJ3RER9xtqwdhxkhw/edit?usp=sharing"",""นครปฐม!J291"")"),0)</f>
        <v>0</v>
      </c>
      <c r="J62" s="276">
        <f t="shared" si="3"/>
        <v>0</v>
      </c>
      <c r="K62" s="55">
        <v>0</v>
      </c>
      <c r="L62" s="55">
        <v>0</v>
      </c>
      <c r="M62" s="55">
        <f ca="1">IFERROR(__xludf.DUMMYFUNCTION("IMPORTRANGE(""https://docs.google.com/spreadsheets/d/1SX6NBoVAgQJ6U1MVXOaj8PK2l7WJ3RER9xtqwdhxkhw/edit?usp=sharing"",""นครปฐม!J292"")"),0)</f>
        <v>0</v>
      </c>
      <c r="N62" s="276">
        <f t="shared" si="5"/>
        <v>0</v>
      </c>
      <c r="O62" s="55">
        <f ca="1">IFERROR(__xludf.DUMMYFUNCTION("IMPORTRANGE(""https://docs.google.com/spreadsheets/d/1SX6NBoVAgQJ6U1MVXOaj8PK2l7WJ3RER9xtqwdhxkhw/edit?usp=sharing"",""นครปฐม!J293"")"),0)</f>
        <v>0</v>
      </c>
      <c r="P62" s="277">
        <f t="shared" si="6"/>
        <v>0</v>
      </c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ht="24" customHeight="1" x14ac:dyDescent="0.5">
      <c r="A63" s="273">
        <v>9</v>
      </c>
      <c r="B63" s="274" t="s">
        <v>78</v>
      </c>
      <c r="C63" s="275">
        <f t="shared" si="30"/>
        <v>87710</v>
      </c>
      <c r="D63" s="55">
        <v>0</v>
      </c>
      <c r="E63" s="55">
        <v>87710</v>
      </c>
      <c r="F63" s="99">
        <f ca="1">IFERROR(__xludf.DUMMYFUNCTION("IMPORTRANGE(""https://docs.google.com/spreadsheets/d/1SX6NBoVAgQJ6U1MVXOaj8PK2l7WJ3RER9xtqwdhxkhw/edit?usp=sharing"",""ปทุมธานี!M278"")"),32279)</f>
        <v>32279</v>
      </c>
      <c r="G63" s="99">
        <f t="shared" ca="1" si="1"/>
        <v>36.801961007866836</v>
      </c>
      <c r="H63" s="55">
        <v>5</v>
      </c>
      <c r="I63" s="55">
        <f ca="1">IFERROR(__xludf.DUMMYFUNCTION("IMPORTRANGE(""https://docs.google.com/spreadsheets/d/1SX6NBoVAgQJ6U1MVXOaj8PK2l7WJ3RER9xtqwdhxkhw/edit?usp=sharing"",""ปทุมธานี!J291"")"),0)</f>
        <v>0</v>
      </c>
      <c r="J63" s="276">
        <f t="shared" ca="1" si="3"/>
        <v>0</v>
      </c>
      <c r="K63" s="55">
        <v>50</v>
      </c>
      <c r="L63" s="55">
        <v>5</v>
      </c>
      <c r="M63" s="55">
        <f ca="1">IFERROR(__xludf.DUMMYFUNCTION("IMPORTRANGE(""https://docs.google.com/spreadsheets/d/1SX6NBoVAgQJ6U1MVXOaj8PK2l7WJ3RER9xtqwdhxkhw/edit?usp=sharing"",""ปทุมธานี!J292"")"),0)</f>
        <v>0</v>
      </c>
      <c r="N63" s="276">
        <f t="shared" ca="1" si="5"/>
        <v>0</v>
      </c>
      <c r="O63" s="55">
        <f ca="1">IFERROR(__xludf.DUMMYFUNCTION("IMPORTRANGE(""https://docs.google.com/spreadsheets/d/1SX6NBoVAgQJ6U1MVXOaj8PK2l7WJ3RER9xtqwdhxkhw/edit?usp=sharing"",""ปทุมธานี!J293"")"),0)</f>
        <v>0</v>
      </c>
      <c r="P63" s="277">
        <f t="shared" ca="1" si="6"/>
        <v>0</v>
      </c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 ht="24" customHeight="1" x14ac:dyDescent="0.5">
      <c r="A64" s="273">
        <v>10</v>
      </c>
      <c r="B64" s="274" t="s">
        <v>79</v>
      </c>
      <c r="C64" s="275">
        <f t="shared" si="30"/>
        <v>460140</v>
      </c>
      <c r="D64" s="55">
        <v>0</v>
      </c>
      <c r="E64" s="55">
        <v>460140</v>
      </c>
      <c r="F64" s="99">
        <f ca="1">IFERROR(__xludf.DUMMYFUNCTION("IMPORTRANGE(""https://docs.google.com/spreadsheets/d/1SX6NBoVAgQJ6U1MVXOaj8PK2l7WJ3RER9xtqwdhxkhw/edit?usp=sharing"",""ประจวบคีรีขันธ์!M278"")"),0)</f>
        <v>0</v>
      </c>
      <c r="G64" s="99">
        <f t="shared" ca="1" si="1"/>
        <v>0</v>
      </c>
      <c r="H64" s="55">
        <v>50</v>
      </c>
      <c r="I64" s="55">
        <f ca="1">IFERROR(__xludf.DUMMYFUNCTION("IMPORTRANGE(""https://docs.google.com/spreadsheets/d/1SX6NBoVAgQJ6U1MVXOaj8PK2l7WJ3RER9xtqwdhxkhw/edit?usp=sharing"",""ประจวบคีรีขันธ์!J291"")"),0)</f>
        <v>0</v>
      </c>
      <c r="J64" s="276">
        <f t="shared" ca="1" si="3"/>
        <v>0</v>
      </c>
      <c r="K64" s="55">
        <v>500</v>
      </c>
      <c r="L64" s="55">
        <v>50</v>
      </c>
      <c r="M64" s="55">
        <f ca="1">IFERROR(__xludf.DUMMYFUNCTION("IMPORTRANGE(""https://docs.google.com/spreadsheets/d/1SX6NBoVAgQJ6U1MVXOaj8PK2l7WJ3RER9xtqwdhxkhw/edit?usp=sharing"",""ประจวบคีรีขันธ์!J292"")"),0)</f>
        <v>0</v>
      </c>
      <c r="N64" s="276">
        <f t="shared" ca="1" si="5"/>
        <v>0</v>
      </c>
      <c r="O64" s="55">
        <f ca="1">IFERROR(__xludf.DUMMYFUNCTION("IMPORTRANGE(""https://docs.google.com/spreadsheets/d/1SX6NBoVAgQJ6U1MVXOaj8PK2l7WJ3RER9xtqwdhxkhw/edit?usp=sharing"",""ประจวบคีรีขันธ์!J293"")"),0)</f>
        <v>0</v>
      </c>
      <c r="P64" s="277">
        <f t="shared" ca="1" si="6"/>
        <v>0</v>
      </c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 ht="24" customHeight="1" x14ac:dyDescent="0.5">
      <c r="A65" s="273">
        <v>11</v>
      </c>
      <c r="B65" s="274" t="s">
        <v>80</v>
      </c>
      <c r="C65" s="275">
        <f t="shared" si="30"/>
        <v>207560</v>
      </c>
      <c r="D65" s="55">
        <v>0</v>
      </c>
      <c r="E65" s="55">
        <v>207560</v>
      </c>
      <c r="F65" s="99">
        <f ca="1">IFERROR(__xludf.DUMMYFUNCTION("IMPORTRANGE(""https://docs.google.com/spreadsheets/d/1SX6NBoVAgQJ6U1MVXOaj8PK2l7WJ3RER9xtqwdhxkhw/edit?usp=sharing"",""ปราจีนบุรี!M278"")"),0)</f>
        <v>0</v>
      </c>
      <c r="G65" s="99">
        <f t="shared" ca="1" si="1"/>
        <v>0</v>
      </c>
      <c r="H65" s="55">
        <v>20</v>
      </c>
      <c r="I65" s="55">
        <f ca="1">IFERROR(__xludf.DUMMYFUNCTION("IMPORTRANGE(""https://docs.google.com/spreadsheets/d/1SX6NBoVAgQJ6U1MVXOaj8PK2l7WJ3RER9xtqwdhxkhw/edit?usp=sharing"",""ปราจีนบุรี!J291"")"),0)</f>
        <v>0</v>
      </c>
      <c r="J65" s="276">
        <f t="shared" ca="1" si="3"/>
        <v>0</v>
      </c>
      <c r="K65" s="55">
        <v>200</v>
      </c>
      <c r="L65" s="55">
        <v>20</v>
      </c>
      <c r="M65" s="55">
        <f ca="1">IFERROR(__xludf.DUMMYFUNCTION("IMPORTRANGE(""https://docs.google.com/spreadsheets/d/1SX6NBoVAgQJ6U1MVXOaj8PK2l7WJ3RER9xtqwdhxkhw/edit?usp=sharing"",""ปราจีนบุรี!J292"")"),0)</f>
        <v>0</v>
      </c>
      <c r="N65" s="276">
        <f t="shared" ca="1" si="5"/>
        <v>0</v>
      </c>
      <c r="O65" s="55">
        <f ca="1">IFERROR(__xludf.DUMMYFUNCTION("IMPORTRANGE(""https://docs.google.com/spreadsheets/d/1SX6NBoVAgQJ6U1MVXOaj8PK2l7WJ3RER9xtqwdhxkhw/edit?usp=sharing"",""ปราจีนบุรี!J293"")"),0)</f>
        <v>0</v>
      </c>
      <c r="P65" s="277">
        <f t="shared" ca="1" si="6"/>
        <v>0</v>
      </c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 ht="24" customHeight="1" x14ac:dyDescent="0.5">
      <c r="A66" s="273">
        <v>12</v>
      </c>
      <c r="B66" s="274" t="s">
        <v>81</v>
      </c>
      <c r="C66" s="275">
        <f t="shared" si="30"/>
        <v>0</v>
      </c>
      <c r="D66" s="55">
        <v>0</v>
      </c>
      <c r="E66" s="55">
        <v>0</v>
      </c>
      <c r="F66" s="99">
        <f ca="1">IFERROR(__xludf.DUMMYFUNCTION("IMPORTRANGE(""https://docs.google.com/spreadsheets/d/1SX6NBoVAgQJ6U1MVXOaj8PK2l7WJ3RER9xtqwdhxkhw/edit?usp=sharing"",""พระนครศรีอยุธยา!M278"")"),0)</f>
        <v>0</v>
      </c>
      <c r="G66" s="99">
        <f t="shared" si="1"/>
        <v>0</v>
      </c>
      <c r="H66" s="55">
        <v>0</v>
      </c>
      <c r="I66" s="55">
        <f ca="1">IFERROR(__xludf.DUMMYFUNCTION("IMPORTRANGE(""https://docs.google.com/spreadsheets/d/1SX6NBoVAgQJ6U1MVXOaj8PK2l7WJ3RER9xtqwdhxkhw/edit?usp=sharing"",""พระนครศรีอยุธยา!J291"")"),0)</f>
        <v>0</v>
      </c>
      <c r="J66" s="276">
        <f t="shared" si="3"/>
        <v>0</v>
      </c>
      <c r="K66" s="55">
        <v>0</v>
      </c>
      <c r="L66" s="55">
        <v>0</v>
      </c>
      <c r="M66" s="55">
        <f ca="1">IFERROR(__xludf.DUMMYFUNCTION("IMPORTRANGE(""https://docs.google.com/spreadsheets/d/1SX6NBoVAgQJ6U1MVXOaj8PK2l7WJ3RER9xtqwdhxkhw/edit?usp=sharing"",""พระนครศรีอยุธยา!J292"")"),0)</f>
        <v>0</v>
      </c>
      <c r="N66" s="276">
        <f t="shared" si="5"/>
        <v>0</v>
      </c>
      <c r="O66" s="55">
        <f ca="1">IFERROR(__xludf.DUMMYFUNCTION("IMPORTRANGE(""https://docs.google.com/spreadsheets/d/1SX6NBoVAgQJ6U1MVXOaj8PK2l7WJ3RER9xtqwdhxkhw/edit?usp=sharing"",""พระนครศรีอยุธยา!J293"")"),0)</f>
        <v>0</v>
      </c>
      <c r="P66" s="277">
        <f t="shared" si="6"/>
        <v>0</v>
      </c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 ht="24" customHeight="1" x14ac:dyDescent="0.5">
      <c r="A67" s="273">
        <v>13</v>
      </c>
      <c r="B67" s="274" t="s">
        <v>82</v>
      </c>
      <c r="C67" s="275">
        <f t="shared" si="30"/>
        <v>207560</v>
      </c>
      <c r="D67" s="55">
        <v>0</v>
      </c>
      <c r="E67" s="55">
        <v>207560</v>
      </c>
      <c r="F67" s="99">
        <f ca="1">IFERROR(__xludf.DUMMYFUNCTION("IMPORTRANGE(""https://docs.google.com/spreadsheets/d/1SX6NBoVAgQJ6U1MVXOaj8PK2l7WJ3RER9xtqwdhxkhw/edit?usp=sharing"",""เพชรบุรี!M278"")"),0)</f>
        <v>0</v>
      </c>
      <c r="G67" s="99">
        <f t="shared" ca="1" si="1"/>
        <v>0</v>
      </c>
      <c r="H67" s="55">
        <v>20</v>
      </c>
      <c r="I67" s="55">
        <f ca="1">IFERROR(__xludf.DUMMYFUNCTION("IMPORTRANGE(""https://docs.google.com/spreadsheets/d/1SX6NBoVAgQJ6U1MVXOaj8PK2l7WJ3RER9xtqwdhxkhw/edit?usp=sharing"",""เพชรบุรี!J291"")"),0)</f>
        <v>0</v>
      </c>
      <c r="J67" s="276">
        <f t="shared" ca="1" si="3"/>
        <v>0</v>
      </c>
      <c r="K67" s="55">
        <v>200</v>
      </c>
      <c r="L67" s="55">
        <v>20</v>
      </c>
      <c r="M67" s="55">
        <f ca="1">IFERROR(__xludf.DUMMYFUNCTION("IMPORTRANGE(""https://docs.google.com/spreadsheets/d/1SX6NBoVAgQJ6U1MVXOaj8PK2l7WJ3RER9xtqwdhxkhw/edit?usp=sharing"",""เพชรบุรี!J292"")"),0)</f>
        <v>0</v>
      </c>
      <c r="N67" s="276">
        <f t="shared" ca="1" si="5"/>
        <v>0</v>
      </c>
      <c r="O67" s="55">
        <f ca="1">IFERROR(__xludf.DUMMYFUNCTION("IMPORTRANGE(""https://docs.google.com/spreadsheets/d/1SX6NBoVAgQJ6U1MVXOaj8PK2l7WJ3RER9xtqwdhxkhw/edit?usp=sharing"",""เพชรบุรี!J293"")"),0)</f>
        <v>0</v>
      </c>
      <c r="P67" s="277">
        <f t="shared" ca="1" si="6"/>
        <v>0</v>
      </c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ht="24" customHeight="1" x14ac:dyDescent="0.5">
      <c r="A68" s="273">
        <v>14</v>
      </c>
      <c r="B68" s="274" t="s">
        <v>83</v>
      </c>
      <c r="C68" s="275">
        <f t="shared" si="30"/>
        <v>207560</v>
      </c>
      <c r="D68" s="55">
        <v>0</v>
      </c>
      <c r="E68" s="55">
        <v>207560</v>
      </c>
      <c r="F68" s="99">
        <f ca="1">IFERROR(__xludf.DUMMYFUNCTION("IMPORTRANGE(""https://docs.google.com/spreadsheets/d/1SX6NBoVAgQJ6U1MVXOaj8PK2l7WJ3RER9xtqwdhxkhw/edit?usp=sharing"",""ระยอง!M278"")"),0)</f>
        <v>0</v>
      </c>
      <c r="G68" s="99">
        <f t="shared" ca="1" si="1"/>
        <v>0</v>
      </c>
      <c r="H68" s="55">
        <v>20</v>
      </c>
      <c r="I68" s="55">
        <f ca="1">IFERROR(__xludf.DUMMYFUNCTION("IMPORTRANGE(""https://docs.google.com/spreadsheets/d/1SX6NBoVAgQJ6U1MVXOaj8PK2l7WJ3RER9xtqwdhxkhw/edit?usp=sharing"",""ระยอง!J291"")"),0)</f>
        <v>0</v>
      </c>
      <c r="J68" s="276">
        <f t="shared" ca="1" si="3"/>
        <v>0</v>
      </c>
      <c r="K68" s="55">
        <v>200</v>
      </c>
      <c r="L68" s="55">
        <v>20</v>
      </c>
      <c r="M68" s="55">
        <f ca="1">IFERROR(__xludf.DUMMYFUNCTION("IMPORTRANGE(""https://docs.google.com/spreadsheets/d/1SX6NBoVAgQJ6U1MVXOaj8PK2l7WJ3RER9xtqwdhxkhw/edit?usp=sharing"",""ระยอง!J292"")"),0)</f>
        <v>0</v>
      </c>
      <c r="N68" s="276">
        <f t="shared" ca="1" si="5"/>
        <v>0</v>
      </c>
      <c r="O68" s="55">
        <f ca="1">IFERROR(__xludf.DUMMYFUNCTION("IMPORTRANGE(""https://docs.google.com/spreadsheets/d/1SX6NBoVAgQJ6U1MVXOaj8PK2l7WJ3RER9xtqwdhxkhw/edit?usp=sharing"",""ระยอง!J293"")"),0)</f>
        <v>0</v>
      </c>
      <c r="P68" s="277">
        <f t="shared" ca="1" si="6"/>
        <v>0</v>
      </c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 ht="24" customHeight="1" x14ac:dyDescent="0.5">
      <c r="A69" s="273">
        <v>15</v>
      </c>
      <c r="B69" s="274" t="s">
        <v>84</v>
      </c>
      <c r="C69" s="275">
        <f t="shared" si="30"/>
        <v>1028520</v>
      </c>
      <c r="D69" s="55">
        <v>0</v>
      </c>
      <c r="E69" s="55">
        <v>1028520</v>
      </c>
      <c r="F69" s="99">
        <f ca="1">IFERROR(__xludf.DUMMYFUNCTION("IMPORTRANGE(""https://docs.google.com/spreadsheets/d/1SX6NBoVAgQJ6U1MVXOaj8PK2l7WJ3RER9xtqwdhxkhw/edit?usp=sharing"",""ราชบุรี!M278"")"),8640)</f>
        <v>8640</v>
      </c>
      <c r="G69" s="99">
        <f t="shared" ca="1" si="1"/>
        <v>0.84004200210010505</v>
      </c>
      <c r="H69" s="55">
        <v>100</v>
      </c>
      <c r="I69" s="55">
        <f ca="1">IFERROR(__xludf.DUMMYFUNCTION("IMPORTRANGE(""https://docs.google.com/spreadsheets/d/1SX6NBoVAgQJ6U1MVXOaj8PK2l7WJ3RER9xtqwdhxkhw/edit?usp=sharing"",""ราชบุรี!J291"")"),40)</f>
        <v>40</v>
      </c>
      <c r="J69" s="276">
        <f t="shared" ca="1" si="3"/>
        <v>40</v>
      </c>
      <c r="K69" s="55">
        <v>1000</v>
      </c>
      <c r="L69" s="55">
        <v>100</v>
      </c>
      <c r="M69" s="55">
        <f ca="1">IFERROR(__xludf.DUMMYFUNCTION("IMPORTRANGE(""https://docs.google.com/spreadsheets/d/1SX6NBoVAgQJ6U1MVXOaj8PK2l7WJ3RER9xtqwdhxkhw/edit?usp=sharing"",""ราชบุรี!J292"")"),0)</f>
        <v>0</v>
      </c>
      <c r="N69" s="276">
        <f t="shared" ca="1" si="5"/>
        <v>0</v>
      </c>
      <c r="O69" s="55">
        <f ca="1">IFERROR(__xludf.DUMMYFUNCTION("IMPORTRANGE(""https://docs.google.com/spreadsheets/d/1SX6NBoVAgQJ6U1MVXOaj8PK2l7WJ3RER9xtqwdhxkhw/edit?usp=sharing"",""ราชบุรี!J293"")"),0)</f>
        <v>0</v>
      </c>
      <c r="P69" s="277">
        <f t="shared" ca="1" si="6"/>
        <v>0</v>
      </c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 ht="24" customHeight="1" x14ac:dyDescent="0.5">
      <c r="A70" s="273">
        <v>16</v>
      </c>
      <c r="B70" s="274" t="s">
        <v>85</v>
      </c>
      <c r="C70" s="275">
        <f t="shared" si="30"/>
        <v>1028520</v>
      </c>
      <c r="D70" s="55">
        <v>0</v>
      </c>
      <c r="E70" s="55">
        <v>1028520</v>
      </c>
      <c r="F70" s="99">
        <f ca="1">IFERROR(__xludf.DUMMYFUNCTION("IMPORTRANGE(""https://docs.google.com/spreadsheets/d/1SX6NBoVAgQJ6U1MVXOaj8PK2l7WJ3RER9xtqwdhxkhw/edit?usp=sharing"",""ลพบุรี!M278"")"),0)</f>
        <v>0</v>
      </c>
      <c r="G70" s="99">
        <f t="shared" ca="1" si="1"/>
        <v>0</v>
      </c>
      <c r="H70" s="55">
        <v>100</v>
      </c>
      <c r="I70" s="55">
        <f ca="1">IFERROR(__xludf.DUMMYFUNCTION("IMPORTRANGE(""https://docs.google.com/spreadsheets/d/1SX6NBoVAgQJ6U1MVXOaj8PK2l7WJ3RER9xtqwdhxkhw/edit?usp=sharing"",""ลพบุรี!J291"")"),0)</f>
        <v>0</v>
      </c>
      <c r="J70" s="276">
        <f t="shared" ca="1" si="3"/>
        <v>0</v>
      </c>
      <c r="K70" s="55">
        <v>1000</v>
      </c>
      <c r="L70" s="55">
        <v>100</v>
      </c>
      <c r="M70" s="55">
        <f ca="1">IFERROR(__xludf.DUMMYFUNCTION("IMPORTRANGE(""https://docs.google.com/spreadsheets/d/1SX6NBoVAgQJ6U1MVXOaj8PK2l7WJ3RER9xtqwdhxkhw/edit?usp=sharing"",""ลพบุรี!J292"")"),0)</f>
        <v>0</v>
      </c>
      <c r="N70" s="276">
        <f t="shared" ca="1" si="5"/>
        <v>0</v>
      </c>
      <c r="O70" s="55">
        <f ca="1">IFERROR(__xludf.DUMMYFUNCTION("IMPORTRANGE(""https://docs.google.com/spreadsheets/d/1SX6NBoVAgQJ6U1MVXOaj8PK2l7WJ3RER9xtqwdhxkhw/edit?usp=sharing"",""ลพบุรี!J293"")"),0)</f>
        <v>0</v>
      </c>
      <c r="P70" s="277">
        <f t="shared" ca="1" si="6"/>
        <v>0</v>
      </c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 ht="24" customHeight="1" x14ac:dyDescent="0.5">
      <c r="A71" s="273">
        <v>17</v>
      </c>
      <c r="B71" s="274" t="s">
        <v>86</v>
      </c>
      <c r="C71" s="275">
        <f t="shared" si="30"/>
        <v>1028520</v>
      </c>
      <c r="D71" s="55">
        <v>0</v>
      </c>
      <c r="E71" s="55">
        <v>1028520</v>
      </c>
      <c r="F71" s="99">
        <f ca="1">IFERROR(__xludf.DUMMYFUNCTION("IMPORTRANGE(""https://docs.google.com/spreadsheets/d/1SX6NBoVAgQJ6U1MVXOaj8PK2l7WJ3RER9xtqwdhxkhw/edit?usp=sharing"",""สระแก้ว!M278"")"),0)</f>
        <v>0</v>
      </c>
      <c r="G71" s="99">
        <f t="shared" ca="1" si="1"/>
        <v>0</v>
      </c>
      <c r="H71" s="55">
        <v>100</v>
      </c>
      <c r="I71" s="55">
        <f ca="1">IFERROR(__xludf.DUMMYFUNCTION("IMPORTRANGE(""https://docs.google.com/spreadsheets/d/1SX6NBoVAgQJ6U1MVXOaj8PK2l7WJ3RER9xtqwdhxkhw/edit?usp=sharing"",""สระแก้ว!J291"")"),0)</f>
        <v>0</v>
      </c>
      <c r="J71" s="276">
        <f t="shared" ca="1" si="3"/>
        <v>0</v>
      </c>
      <c r="K71" s="55">
        <v>1000</v>
      </c>
      <c r="L71" s="55">
        <v>100</v>
      </c>
      <c r="M71" s="55">
        <f ca="1">IFERROR(__xludf.DUMMYFUNCTION("IMPORTRANGE(""https://docs.google.com/spreadsheets/d/1SX6NBoVAgQJ6U1MVXOaj8PK2l7WJ3RER9xtqwdhxkhw/edit?usp=sharing"",""สระแก้ว!J292"")"),0)</f>
        <v>0</v>
      </c>
      <c r="N71" s="276">
        <f t="shared" ca="1" si="5"/>
        <v>0</v>
      </c>
      <c r="O71" s="55">
        <f ca="1">IFERROR(__xludf.DUMMYFUNCTION("IMPORTRANGE(""https://docs.google.com/spreadsheets/d/1SX6NBoVAgQJ6U1MVXOaj8PK2l7WJ3RER9xtqwdhxkhw/edit?usp=sharing"",""สระแก้ว!J293"")"),0)</f>
        <v>0</v>
      </c>
      <c r="P71" s="277">
        <f t="shared" ca="1" si="6"/>
        <v>0</v>
      </c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 ht="24" customHeight="1" x14ac:dyDescent="0.5">
      <c r="A72" s="273">
        <v>18</v>
      </c>
      <c r="B72" s="274" t="s">
        <v>87</v>
      </c>
      <c r="C72" s="275">
        <f t="shared" si="30"/>
        <v>207560</v>
      </c>
      <c r="D72" s="55">
        <v>0</v>
      </c>
      <c r="E72" s="55">
        <v>207560</v>
      </c>
      <c r="F72" s="99">
        <f ca="1">IFERROR(__xludf.DUMMYFUNCTION("IMPORTRANGE(""https://docs.google.com/spreadsheets/d/1SX6NBoVAgQJ6U1MVXOaj8PK2l7WJ3RER9xtqwdhxkhw/edit?usp=sharing"",""สระบุรี!M278"")"),0)</f>
        <v>0</v>
      </c>
      <c r="G72" s="99">
        <f t="shared" ca="1" si="1"/>
        <v>0</v>
      </c>
      <c r="H72" s="55">
        <v>20</v>
      </c>
      <c r="I72" s="55">
        <f ca="1">IFERROR(__xludf.DUMMYFUNCTION("IMPORTRANGE(""https://docs.google.com/spreadsheets/d/1SX6NBoVAgQJ6U1MVXOaj8PK2l7WJ3RER9xtqwdhxkhw/edit?usp=sharing"",""สระบุรี!J291"")"),0)</f>
        <v>0</v>
      </c>
      <c r="J72" s="276">
        <f t="shared" ca="1" si="3"/>
        <v>0</v>
      </c>
      <c r="K72" s="55">
        <v>200</v>
      </c>
      <c r="L72" s="55">
        <v>20</v>
      </c>
      <c r="M72" s="55">
        <f ca="1">IFERROR(__xludf.DUMMYFUNCTION("IMPORTRANGE(""https://docs.google.com/spreadsheets/d/1SX6NBoVAgQJ6U1MVXOaj8PK2l7WJ3RER9xtqwdhxkhw/edit?usp=sharing"",""สระบุรี!J292"")"),0)</f>
        <v>0</v>
      </c>
      <c r="N72" s="276">
        <f t="shared" ca="1" si="5"/>
        <v>0</v>
      </c>
      <c r="O72" s="55">
        <f ca="1">IFERROR(__xludf.DUMMYFUNCTION("IMPORTRANGE(""https://docs.google.com/spreadsheets/d/1SX6NBoVAgQJ6U1MVXOaj8PK2l7WJ3RER9xtqwdhxkhw/edit?usp=sharing"",""สระบุรี!J293"")"),0)</f>
        <v>0</v>
      </c>
      <c r="P72" s="277">
        <f t="shared" ca="1" si="6"/>
        <v>0</v>
      </c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 ht="24" customHeight="1" x14ac:dyDescent="0.5">
      <c r="A73" s="273">
        <v>19</v>
      </c>
      <c r="B73" s="274" t="s">
        <v>88</v>
      </c>
      <c r="C73" s="275">
        <f t="shared" si="30"/>
        <v>0</v>
      </c>
      <c r="D73" s="55">
        <v>0</v>
      </c>
      <c r="E73" s="55">
        <v>0</v>
      </c>
      <c r="F73" s="99">
        <f ca="1">IFERROR(__xludf.DUMMYFUNCTION("IMPORTRANGE(""https://docs.google.com/spreadsheets/d/1SX6NBoVAgQJ6U1MVXOaj8PK2l7WJ3RER9xtqwdhxkhw/edit?usp=sharing"",""สิงห์บุรี!M278"")"),0)</f>
        <v>0</v>
      </c>
      <c r="G73" s="99">
        <f t="shared" si="1"/>
        <v>0</v>
      </c>
      <c r="H73" s="55">
        <v>0</v>
      </c>
      <c r="I73" s="55">
        <f ca="1">IFERROR(__xludf.DUMMYFUNCTION("IMPORTRANGE(""https://docs.google.com/spreadsheets/d/1SX6NBoVAgQJ6U1MVXOaj8PK2l7WJ3RER9xtqwdhxkhw/edit?usp=sharing"",""สิงห์บุรี!J291"")"),0)</f>
        <v>0</v>
      </c>
      <c r="J73" s="276">
        <f t="shared" si="3"/>
        <v>0</v>
      </c>
      <c r="K73" s="55">
        <v>0</v>
      </c>
      <c r="L73" s="55">
        <v>0</v>
      </c>
      <c r="M73" s="55">
        <f ca="1">IFERROR(__xludf.DUMMYFUNCTION("IMPORTRANGE(""https://docs.google.com/spreadsheets/d/1SX6NBoVAgQJ6U1MVXOaj8PK2l7WJ3RER9xtqwdhxkhw/edit?usp=sharing"",""สิงห์บุรี!J292"")"),0)</f>
        <v>0</v>
      </c>
      <c r="N73" s="276">
        <f t="shared" si="5"/>
        <v>0</v>
      </c>
      <c r="O73" s="55">
        <f ca="1">IFERROR(__xludf.DUMMYFUNCTION("IMPORTRANGE(""https://docs.google.com/spreadsheets/d/1SX6NBoVAgQJ6U1MVXOaj8PK2l7WJ3RER9xtqwdhxkhw/edit?usp=sharing"",""สิงห์บุรี!J293"")"),0)</f>
        <v>0</v>
      </c>
      <c r="P73" s="277">
        <f t="shared" si="6"/>
        <v>0</v>
      </c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 ht="24" customHeight="1" x14ac:dyDescent="0.5">
      <c r="A74" s="273">
        <v>20</v>
      </c>
      <c r="B74" s="274" t="s">
        <v>89</v>
      </c>
      <c r="C74" s="275">
        <f t="shared" si="30"/>
        <v>1028520</v>
      </c>
      <c r="D74" s="55">
        <v>0</v>
      </c>
      <c r="E74" s="55">
        <v>1028520</v>
      </c>
      <c r="F74" s="99">
        <f ca="1">IFERROR(__xludf.DUMMYFUNCTION("IMPORTRANGE(""https://docs.google.com/spreadsheets/d/1SX6NBoVAgQJ6U1MVXOaj8PK2l7WJ3RER9xtqwdhxkhw/edit?usp=sharing"",""สุพรรณบุรี!M278"")"),11741.95)</f>
        <v>11741.95</v>
      </c>
      <c r="G74" s="99">
        <f t="shared" ca="1" si="1"/>
        <v>1.1416355539999221</v>
      </c>
      <c r="H74" s="55">
        <v>100</v>
      </c>
      <c r="I74" s="55">
        <f ca="1">IFERROR(__xludf.DUMMYFUNCTION("IMPORTRANGE(""https://docs.google.com/spreadsheets/d/1SX6NBoVAgQJ6U1MVXOaj8PK2l7WJ3RER9xtqwdhxkhw/edit?usp=sharing"",""สุพรรณบุรี!J291"")"),0)</f>
        <v>0</v>
      </c>
      <c r="J74" s="276">
        <f t="shared" ca="1" si="3"/>
        <v>0</v>
      </c>
      <c r="K74" s="55">
        <v>1000</v>
      </c>
      <c r="L74" s="55">
        <v>100</v>
      </c>
      <c r="M74" s="55">
        <f ca="1">IFERROR(__xludf.DUMMYFUNCTION("IMPORTRANGE(""https://docs.google.com/spreadsheets/d/1SX6NBoVAgQJ6U1MVXOaj8PK2l7WJ3RER9xtqwdhxkhw/edit?usp=sharing"",""สุพรรณบุรี!J292"")"),0)</f>
        <v>0</v>
      </c>
      <c r="N74" s="276">
        <f t="shared" ca="1" si="5"/>
        <v>0</v>
      </c>
      <c r="O74" s="55">
        <f ca="1">IFERROR(__xludf.DUMMYFUNCTION("IMPORTRANGE(""https://docs.google.com/spreadsheets/d/1SX6NBoVAgQJ6U1MVXOaj8PK2l7WJ3RER9xtqwdhxkhw/edit?usp=sharing"",""สุพรรณบุรี!J293"")"),0)</f>
        <v>0</v>
      </c>
      <c r="P74" s="277">
        <f t="shared" ca="1" si="6"/>
        <v>0</v>
      </c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 ht="24" customHeight="1" x14ac:dyDescent="0.5">
      <c r="A75" s="278">
        <v>21</v>
      </c>
      <c r="B75" s="279" t="s">
        <v>90</v>
      </c>
      <c r="C75" s="280">
        <f t="shared" si="30"/>
        <v>0</v>
      </c>
      <c r="D75" s="62">
        <v>0</v>
      </c>
      <c r="E75" s="62">
        <v>0</v>
      </c>
      <c r="F75" s="100">
        <f ca="1">IFERROR(__xludf.DUMMYFUNCTION("IMPORTRANGE(""https://docs.google.com/spreadsheets/d/1SX6NBoVAgQJ6U1MVXOaj8PK2l7WJ3RER9xtqwdhxkhw/edit?usp=sharing"",""อ่างทอง!M278"")"),0)</f>
        <v>0</v>
      </c>
      <c r="G75" s="100">
        <f t="shared" si="1"/>
        <v>0</v>
      </c>
      <c r="H75" s="62">
        <v>0</v>
      </c>
      <c r="I75" s="62">
        <f ca="1">IFERROR(__xludf.DUMMYFUNCTION("IMPORTRANGE(""https://docs.google.com/spreadsheets/d/1SX6NBoVAgQJ6U1MVXOaj8PK2l7WJ3RER9xtqwdhxkhw/edit?usp=sharing"",""อ่างทอง!J291"")"),0)</f>
        <v>0</v>
      </c>
      <c r="J75" s="281">
        <f t="shared" si="3"/>
        <v>0</v>
      </c>
      <c r="K75" s="62">
        <v>0</v>
      </c>
      <c r="L75" s="62">
        <v>0</v>
      </c>
      <c r="M75" s="62">
        <f ca="1">IFERROR(__xludf.DUMMYFUNCTION("IMPORTRANGE(""https://docs.google.com/spreadsheets/d/1SX6NBoVAgQJ6U1MVXOaj8PK2l7WJ3RER9xtqwdhxkhw/edit?usp=sharing"",""อ่างทอง!J292"")"),0)</f>
        <v>0</v>
      </c>
      <c r="N75" s="281">
        <f t="shared" si="5"/>
        <v>0</v>
      </c>
      <c r="O75" s="62">
        <f ca="1">IFERROR(__xludf.DUMMYFUNCTION("IMPORTRANGE(""https://docs.google.com/spreadsheets/d/1SX6NBoVAgQJ6U1MVXOaj8PK2l7WJ3RER9xtqwdhxkhw/edit?usp=sharing"",""อ่างทอง!J293"")"),0)</f>
        <v>0</v>
      </c>
      <c r="P75" s="282">
        <f t="shared" si="6"/>
        <v>0</v>
      </c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 ht="24" customHeight="1" x14ac:dyDescent="0.5">
      <c r="A76" s="777" t="s">
        <v>91</v>
      </c>
      <c r="B76" s="571"/>
      <c r="C76" s="255">
        <f t="shared" ref="C76:F76" si="31">SUM(C77:C90)</f>
        <v>4832540</v>
      </c>
      <c r="D76" s="66">
        <f t="shared" si="31"/>
        <v>0</v>
      </c>
      <c r="E76" s="66">
        <f t="shared" si="31"/>
        <v>4832540</v>
      </c>
      <c r="F76" s="101">
        <f t="shared" ca="1" si="31"/>
        <v>5060</v>
      </c>
      <c r="G76" s="101">
        <f t="shared" ca="1" si="1"/>
        <v>0.10470684153674879</v>
      </c>
      <c r="H76" s="66">
        <f t="shared" ref="H76:I76" si="32">SUM(H77:H90)</f>
        <v>470</v>
      </c>
      <c r="I76" s="66">
        <f t="shared" ca="1" si="32"/>
        <v>0</v>
      </c>
      <c r="J76" s="101">
        <f t="shared" ca="1" si="3"/>
        <v>0</v>
      </c>
      <c r="K76" s="66">
        <f t="shared" ref="K76:M76" si="33">SUM(K77:K90)</f>
        <v>4700</v>
      </c>
      <c r="L76" s="66">
        <f t="shared" si="33"/>
        <v>470</v>
      </c>
      <c r="M76" s="66">
        <f t="shared" ca="1" si="33"/>
        <v>0</v>
      </c>
      <c r="N76" s="101">
        <f t="shared" ca="1" si="5"/>
        <v>0</v>
      </c>
      <c r="O76" s="66">
        <f ca="1">SUM(O77:O90)</f>
        <v>0</v>
      </c>
      <c r="P76" s="256">
        <f t="shared" ca="1" si="6"/>
        <v>0</v>
      </c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 ht="24" customHeight="1" x14ac:dyDescent="0.5">
      <c r="A77" s="268">
        <v>1</v>
      </c>
      <c r="B77" s="269" t="s">
        <v>92</v>
      </c>
      <c r="C77" s="270">
        <f t="shared" ref="C77:C90" si="34">+D77+E77</f>
        <v>293900</v>
      </c>
      <c r="D77" s="48">
        <v>0</v>
      </c>
      <c r="E77" s="48">
        <v>293900</v>
      </c>
      <c r="F77" s="98">
        <f ca="1">IFERROR(__xludf.DUMMYFUNCTION("IMPORTRANGE(""https://docs.google.com/spreadsheets/d/1IYY_tgx_IHuhSq3AJ5eI5OnqOPBNLWSHKh2a30DoXe8/edit?usp=sharing"",""กระบี่!M278"")"),0)</f>
        <v>0</v>
      </c>
      <c r="G77" s="98">
        <f t="shared" ca="1" si="1"/>
        <v>0</v>
      </c>
      <c r="H77" s="48">
        <v>30</v>
      </c>
      <c r="I77" s="48">
        <f ca="1">IFERROR(__xludf.DUMMYFUNCTION("IMPORTRANGE(""https://docs.google.com/spreadsheets/d/1IYY_tgx_IHuhSq3AJ5eI5OnqOPBNLWSHKh2a30DoXe8/edit?usp=sharing"",""กระบี่!J291"")"),0)</f>
        <v>0</v>
      </c>
      <c r="J77" s="271">
        <f t="shared" ca="1" si="3"/>
        <v>0</v>
      </c>
      <c r="K77" s="48">
        <v>300</v>
      </c>
      <c r="L77" s="48">
        <v>30</v>
      </c>
      <c r="M77" s="48">
        <f ca="1">IFERROR(__xludf.DUMMYFUNCTION("IMPORTRANGE(""https://docs.google.com/spreadsheets/d/1IYY_tgx_IHuhSq3AJ5eI5OnqOPBNLWSHKh2a30DoXe8/edit?usp=sharing"",""กระบี่!J292"")"),0)</f>
        <v>0</v>
      </c>
      <c r="N77" s="271">
        <f t="shared" ca="1" si="5"/>
        <v>0</v>
      </c>
      <c r="O77" s="48">
        <f ca="1">IFERROR(__xludf.DUMMYFUNCTION("IMPORTRANGE(""https://docs.google.com/spreadsheets/d/1IYY_tgx_IHuhSq3AJ5eI5OnqOPBNLWSHKh2a30DoXe8/edit?usp=sharing"",""กระบี่!J293"")"),0)</f>
        <v>0</v>
      </c>
      <c r="P77" s="272">
        <f t="shared" ca="1" si="6"/>
        <v>0</v>
      </c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 ht="24" customHeight="1" x14ac:dyDescent="0.5">
      <c r="A78" s="273">
        <v>2</v>
      </c>
      <c r="B78" s="274" t="s">
        <v>93</v>
      </c>
      <c r="C78" s="275">
        <f t="shared" si="34"/>
        <v>460140</v>
      </c>
      <c r="D78" s="55">
        <v>0</v>
      </c>
      <c r="E78" s="55">
        <v>460140</v>
      </c>
      <c r="F78" s="99">
        <f ca="1">IFERROR(__xludf.DUMMYFUNCTION("IMPORTRANGE(""https://docs.google.com/spreadsheets/d/1IYY_tgx_IHuhSq3AJ5eI5OnqOPBNLWSHKh2a30DoXe8/edit?usp=sharing"",""ชุมพร!M278"")"),0)</f>
        <v>0</v>
      </c>
      <c r="G78" s="99">
        <f t="shared" ca="1" si="1"/>
        <v>0</v>
      </c>
      <c r="H78" s="55">
        <v>50</v>
      </c>
      <c r="I78" s="55">
        <f ca="1">IFERROR(__xludf.DUMMYFUNCTION("IMPORTRANGE(""https://docs.google.com/spreadsheets/d/1IYY_tgx_IHuhSq3AJ5eI5OnqOPBNLWSHKh2a30DoXe8/edit?usp=sharing"",""ชุมพร!J291"")"),0)</f>
        <v>0</v>
      </c>
      <c r="J78" s="276">
        <f t="shared" ca="1" si="3"/>
        <v>0</v>
      </c>
      <c r="K78" s="55">
        <v>500</v>
      </c>
      <c r="L78" s="55">
        <v>50</v>
      </c>
      <c r="M78" s="55">
        <f ca="1">IFERROR(__xludf.DUMMYFUNCTION("IMPORTRANGE(""https://docs.google.com/spreadsheets/d/1IYY_tgx_IHuhSq3AJ5eI5OnqOPBNLWSHKh2a30DoXe8/edit?usp=sharing"",""ชุมพร!J292"")"),0)</f>
        <v>0</v>
      </c>
      <c r="N78" s="276">
        <f t="shared" ca="1" si="5"/>
        <v>0</v>
      </c>
      <c r="O78" s="55">
        <f ca="1">IFERROR(__xludf.DUMMYFUNCTION("IMPORTRANGE(""https://docs.google.com/spreadsheets/d/1IYY_tgx_IHuhSq3AJ5eI5OnqOPBNLWSHKh2a30DoXe8/edit?usp=sharing"",""ชุมพร!J293"")"),0)</f>
        <v>0</v>
      </c>
      <c r="P78" s="277">
        <f t="shared" ca="1" si="6"/>
        <v>0</v>
      </c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 ht="24" customHeight="1" x14ac:dyDescent="0.5">
      <c r="A79" s="273">
        <v>3</v>
      </c>
      <c r="B79" s="274" t="s">
        <v>94</v>
      </c>
      <c r="C79" s="275">
        <f t="shared" si="34"/>
        <v>293900</v>
      </c>
      <c r="D79" s="55">
        <v>0</v>
      </c>
      <c r="E79" s="55">
        <v>293900</v>
      </c>
      <c r="F79" s="99">
        <f ca="1">IFERROR(__xludf.DUMMYFUNCTION("IMPORTRANGE(""https://docs.google.com/spreadsheets/d/1IYY_tgx_IHuhSq3AJ5eI5OnqOPBNLWSHKh2a30DoXe8/edit?usp=sharing"",""ตรัง!M278"")"),0)</f>
        <v>0</v>
      </c>
      <c r="G79" s="99">
        <f t="shared" ca="1" si="1"/>
        <v>0</v>
      </c>
      <c r="H79" s="55">
        <v>30</v>
      </c>
      <c r="I79" s="55">
        <f ca="1">IFERROR(__xludf.DUMMYFUNCTION("IMPORTRANGE(""https://docs.google.com/spreadsheets/d/1IYY_tgx_IHuhSq3AJ5eI5OnqOPBNLWSHKh2a30DoXe8/edit?usp=sharing"",""ตรัง!J291"")"),0)</f>
        <v>0</v>
      </c>
      <c r="J79" s="276">
        <f t="shared" ca="1" si="3"/>
        <v>0</v>
      </c>
      <c r="K79" s="55">
        <v>300</v>
      </c>
      <c r="L79" s="55">
        <v>30</v>
      </c>
      <c r="M79" s="55">
        <f ca="1">IFERROR(__xludf.DUMMYFUNCTION("IMPORTRANGE(""https://docs.google.com/spreadsheets/d/1IYY_tgx_IHuhSq3AJ5eI5OnqOPBNLWSHKh2a30DoXe8/edit?usp=sharing"",""ตรัง!J292"")"),0)</f>
        <v>0</v>
      </c>
      <c r="N79" s="276">
        <f t="shared" ca="1" si="5"/>
        <v>0</v>
      </c>
      <c r="O79" s="55">
        <f ca="1">IFERROR(__xludf.DUMMYFUNCTION("IMPORTRANGE(""https://docs.google.com/spreadsheets/d/1IYY_tgx_IHuhSq3AJ5eI5OnqOPBNLWSHKh2a30DoXe8/edit?usp=sharing"",""ตรัง!J293"")"),0)</f>
        <v>0</v>
      </c>
      <c r="P79" s="277">
        <f t="shared" ca="1" si="6"/>
        <v>0</v>
      </c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 ht="24" customHeight="1" x14ac:dyDescent="0.5">
      <c r="A80" s="273">
        <v>4</v>
      </c>
      <c r="B80" s="274" t="s">
        <v>95</v>
      </c>
      <c r="C80" s="275">
        <f t="shared" si="34"/>
        <v>207560</v>
      </c>
      <c r="D80" s="55">
        <v>0</v>
      </c>
      <c r="E80" s="55">
        <v>207560</v>
      </c>
      <c r="F80" s="99">
        <f ca="1">IFERROR(__xludf.DUMMYFUNCTION("IMPORTRANGE(""https://docs.google.com/spreadsheets/d/1IYY_tgx_IHuhSq3AJ5eI5OnqOPBNLWSHKh2a30DoXe8/edit?usp=sharing"",""นครศรีธรรมราช!M278"")"),0)</f>
        <v>0</v>
      </c>
      <c r="G80" s="99">
        <f t="shared" ca="1" si="1"/>
        <v>0</v>
      </c>
      <c r="H80" s="55">
        <v>20</v>
      </c>
      <c r="I80" s="55">
        <f ca="1">IFERROR(__xludf.DUMMYFUNCTION("IMPORTRANGE(""https://docs.google.com/spreadsheets/d/1IYY_tgx_IHuhSq3AJ5eI5OnqOPBNLWSHKh2a30DoXe8/edit?usp=sharing"",""นครศรีธรรมราช!J291"")"),0)</f>
        <v>0</v>
      </c>
      <c r="J80" s="276">
        <f t="shared" ca="1" si="3"/>
        <v>0</v>
      </c>
      <c r="K80" s="55">
        <v>200</v>
      </c>
      <c r="L80" s="55">
        <v>20</v>
      </c>
      <c r="M80" s="55">
        <f ca="1">IFERROR(__xludf.DUMMYFUNCTION("IMPORTRANGE(""https://docs.google.com/spreadsheets/d/1IYY_tgx_IHuhSq3AJ5eI5OnqOPBNLWSHKh2a30DoXe8/edit?usp=sharing"",""นครศรีธรรมราช!J292"")"),0)</f>
        <v>0</v>
      </c>
      <c r="N80" s="276">
        <f t="shared" ca="1" si="5"/>
        <v>0</v>
      </c>
      <c r="O80" s="55">
        <f ca="1">IFERROR(__xludf.DUMMYFUNCTION("IMPORTRANGE(""https://docs.google.com/spreadsheets/d/1IYY_tgx_IHuhSq3AJ5eI5OnqOPBNLWSHKh2a30DoXe8/edit?usp=sharing"",""นครศรีธรรมราช!J293"")"),0)</f>
        <v>0</v>
      </c>
      <c r="P80" s="277">
        <f t="shared" ca="1" si="6"/>
        <v>0</v>
      </c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 ht="24" customHeight="1" x14ac:dyDescent="0.5">
      <c r="A81" s="273">
        <v>5</v>
      </c>
      <c r="B81" s="274" t="s">
        <v>96</v>
      </c>
      <c r="C81" s="275">
        <f t="shared" si="34"/>
        <v>127660</v>
      </c>
      <c r="D81" s="55">
        <v>0</v>
      </c>
      <c r="E81" s="55">
        <v>127660</v>
      </c>
      <c r="F81" s="99">
        <f ca="1">IFERROR(__xludf.DUMMYFUNCTION("IMPORTRANGE(""https://docs.google.com/spreadsheets/d/1IYY_tgx_IHuhSq3AJ5eI5OnqOPBNLWSHKh2a30DoXe8/edit?usp=sharing"",""นราธิวาส!M278"")"),740)</f>
        <v>740</v>
      </c>
      <c r="G81" s="99">
        <f t="shared" ca="1" si="1"/>
        <v>0.57966473445088518</v>
      </c>
      <c r="H81" s="55">
        <v>10</v>
      </c>
      <c r="I81" s="55">
        <f ca="1">IFERROR(__xludf.DUMMYFUNCTION("IMPORTRANGE(""https://docs.google.com/spreadsheets/d/1IYY_tgx_IHuhSq3AJ5eI5OnqOPBNLWSHKh2a30DoXe8/edit?usp=sharing"",""นราธิวาส!J291"")"),0)</f>
        <v>0</v>
      </c>
      <c r="J81" s="276">
        <f t="shared" ca="1" si="3"/>
        <v>0</v>
      </c>
      <c r="K81" s="55">
        <v>100</v>
      </c>
      <c r="L81" s="55">
        <v>10</v>
      </c>
      <c r="M81" s="55">
        <f ca="1">IFERROR(__xludf.DUMMYFUNCTION("IMPORTRANGE(""https://docs.google.com/spreadsheets/d/1IYY_tgx_IHuhSq3AJ5eI5OnqOPBNLWSHKh2a30DoXe8/edit?usp=sharing"",""นราธิวาส!J292"")"),0)</f>
        <v>0</v>
      </c>
      <c r="N81" s="276">
        <f t="shared" ca="1" si="5"/>
        <v>0</v>
      </c>
      <c r="O81" s="55">
        <f ca="1">IFERROR(__xludf.DUMMYFUNCTION("IMPORTRANGE(""https://docs.google.com/spreadsheets/d/1IYY_tgx_IHuhSq3AJ5eI5OnqOPBNLWSHKh2a30DoXe8/edit?usp=sharing"",""นราธิวาส!J293"")"),0)</f>
        <v>0</v>
      </c>
      <c r="P81" s="277">
        <f t="shared" ca="1" si="6"/>
        <v>0</v>
      </c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 ht="24" customHeight="1" x14ac:dyDescent="0.5">
      <c r="A82" s="273">
        <v>6</v>
      </c>
      <c r="B82" s="274" t="s">
        <v>97</v>
      </c>
      <c r="C82" s="275">
        <f t="shared" si="34"/>
        <v>87710</v>
      </c>
      <c r="D82" s="55">
        <v>0</v>
      </c>
      <c r="E82" s="55">
        <v>87710</v>
      </c>
      <c r="F82" s="99">
        <f ca="1">IFERROR(__xludf.DUMMYFUNCTION("IMPORTRANGE(""https://docs.google.com/spreadsheets/d/1IYY_tgx_IHuhSq3AJ5eI5OnqOPBNLWSHKh2a30DoXe8/edit?usp=sharing"",""ปัตตานี!M278"")"),0)</f>
        <v>0</v>
      </c>
      <c r="G82" s="99">
        <f t="shared" ca="1" si="1"/>
        <v>0</v>
      </c>
      <c r="H82" s="55">
        <v>5</v>
      </c>
      <c r="I82" s="55">
        <f ca="1">IFERROR(__xludf.DUMMYFUNCTION("IMPORTRANGE(""https://docs.google.com/spreadsheets/d/1IYY_tgx_IHuhSq3AJ5eI5OnqOPBNLWSHKh2a30DoXe8/edit?usp=sharing"",""ปัตตานี!J291"")"),0)</f>
        <v>0</v>
      </c>
      <c r="J82" s="276">
        <f t="shared" ca="1" si="3"/>
        <v>0</v>
      </c>
      <c r="K82" s="55">
        <v>50</v>
      </c>
      <c r="L82" s="55">
        <v>5</v>
      </c>
      <c r="M82" s="55">
        <f ca="1">IFERROR(__xludf.DUMMYFUNCTION("IMPORTRANGE(""https://docs.google.com/spreadsheets/d/1IYY_tgx_IHuhSq3AJ5eI5OnqOPBNLWSHKh2a30DoXe8/edit?usp=sharing"",""ปัตตานี!J292"")"),0)</f>
        <v>0</v>
      </c>
      <c r="N82" s="276">
        <f t="shared" ca="1" si="5"/>
        <v>0</v>
      </c>
      <c r="O82" s="55">
        <f ca="1">IFERROR(__xludf.DUMMYFUNCTION("IMPORTRANGE(""https://docs.google.com/spreadsheets/d/1IYY_tgx_IHuhSq3AJ5eI5OnqOPBNLWSHKh2a30DoXe8/edit?usp=sharing"",""ปัตตานี!J293"")"),0)</f>
        <v>0</v>
      </c>
      <c r="P82" s="277">
        <f t="shared" ca="1" si="6"/>
        <v>0</v>
      </c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 ht="24" customHeight="1" x14ac:dyDescent="0.5">
      <c r="A83" s="273">
        <v>7</v>
      </c>
      <c r="B83" s="274" t="s">
        <v>98</v>
      </c>
      <c r="C83" s="275">
        <f t="shared" si="34"/>
        <v>460140</v>
      </c>
      <c r="D83" s="55">
        <v>0</v>
      </c>
      <c r="E83" s="55">
        <v>460140</v>
      </c>
      <c r="F83" s="99">
        <f ca="1">IFERROR(__xludf.DUMMYFUNCTION("IMPORTRANGE(""https://docs.google.com/spreadsheets/d/1IYY_tgx_IHuhSq3AJ5eI5OnqOPBNLWSHKh2a30DoXe8/edit?usp=sharing"",""พังงา!M278"")"),0)</f>
        <v>0</v>
      </c>
      <c r="G83" s="99">
        <f t="shared" ca="1" si="1"/>
        <v>0</v>
      </c>
      <c r="H83" s="55">
        <v>50</v>
      </c>
      <c r="I83" s="55">
        <f ca="1">IFERROR(__xludf.DUMMYFUNCTION("IMPORTRANGE(""https://docs.google.com/spreadsheets/d/1IYY_tgx_IHuhSq3AJ5eI5OnqOPBNLWSHKh2a30DoXe8/edit?usp=sharing"",""พังงา!J291"")"),0)</f>
        <v>0</v>
      </c>
      <c r="J83" s="276">
        <f t="shared" ca="1" si="3"/>
        <v>0</v>
      </c>
      <c r="K83" s="55">
        <v>500</v>
      </c>
      <c r="L83" s="55">
        <v>50</v>
      </c>
      <c r="M83" s="55">
        <f ca="1">IFERROR(__xludf.DUMMYFUNCTION("IMPORTRANGE(""https://docs.google.com/spreadsheets/d/1IYY_tgx_IHuhSq3AJ5eI5OnqOPBNLWSHKh2a30DoXe8/edit?usp=sharing"",""พังงา!J292"")"),0)</f>
        <v>0</v>
      </c>
      <c r="N83" s="276">
        <f t="shared" ca="1" si="5"/>
        <v>0</v>
      </c>
      <c r="O83" s="55">
        <f ca="1">IFERROR(__xludf.DUMMYFUNCTION("IMPORTRANGE(""https://docs.google.com/spreadsheets/d/1IYY_tgx_IHuhSq3AJ5eI5OnqOPBNLWSHKh2a30DoXe8/edit?usp=sharing"",""พังงา!J293"")"),0)</f>
        <v>0</v>
      </c>
      <c r="P83" s="277">
        <f t="shared" ca="1" si="6"/>
        <v>0</v>
      </c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 ht="24" customHeight="1" x14ac:dyDescent="0.5">
      <c r="A84" s="273">
        <v>8</v>
      </c>
      <c r="B84" s="274" t="s">
        <v>99</v>
      </c>
      <c r="C84" s="275">
        <f t="shared" si="34"/>
        <v>293900</v>
      </c>
      <c r="D84" s="55">
        <v>0</v>
      </c>
      <c r="E84" s="55">
        <v>293900</v>
      </c>
      <c r="F84" s="99">
        <f ca="1">IFERROR(__xludf.DUMMYFUNCTION("IMPORTRANGE(""https://docs.google.com/spreadsheets/d/1IYY_tgx_IHuhSq3AJ5eI5OnqOPBNLWSHKh2a30DoXe8/edit?usp=sharing"",""พัทลุง!M278"")"),0)</f>
        <v>0</v>
      </c>
      <c r="G84" s="99">
        <f t="shared" ca="1" si="1"/>
        <v>0</v>
      </c>
      <c r="H84" s="55">
        <v>30</v>
      </c>
      <c r="I84" s="55">
        <f ca="1">IFERROR(__xludf.DUMMYFUNCTION("IMPORTRANGE(""https://docs.google.com/spreadsheets/d/1IYY_tgx_IHuhSq3AJ5eI5OnqOPBNLWSHKh2a30DoXe8/edit?usp=sharing"",""พัทลุง!J291"")"),0)</f>
        <v>0</v>
      </c>
      <c r="J84" s="276">
        <f t="shared" ca="1" si="3"/>
        <v>0</v>
      </c>
      <c r="K84" s="55">
        <v>300</v>
      </c>
      <c r="L84" s="55">
        <v>30</v>
      </c>
      <c r="M84" s="55">
        <f ca="1">IFERROR(__xludf.DUMMYFUNCTION("IMPORTRANGE(""https://docs.google.com/spreadsheets/d/1IYY_tgx_IHuhSq3AJ5eI5OnqOPBNLWSHKh2a30DoXe8/edit?usp=sharing"",""พัทลุง!J292"")"),0)</f>
        <v>0</v>
      </c>
      <c r="N84" s="276">
        <f t="shared" ca="1" si="5"/>
        <v>0</v>
      </c>
      <c r="O84" s="55">
        <f ca="1">IFERROR(__xludf.DUMMYFUNCTION("IMPORTRANGE(""https://docs.google.com/spreadsheets/d/1IYY_tgx_IHuhSq3AJ5eI5OnqOPBNLWSHKh2a30DoXe8/edit?usp=sharing"",""พัทลุง!J293"")"),0)</f>
        <v>0</v>
      </c>
      <c r="P84" s="277">
        <f t="shared" ca="1" si="6"/>
        <v>0</v>
      </c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 ht="24" customHeight="1" x14ac:dyDescent="0.5">
      <c r="A85" s="273">
        <v>9</v>
      </c>
      <c r="B85" s="274" t="s">
        <v>100</v>
      </c>
      <c r="C85" s="275">
        <f t="shared" si="34"/>
        <v>87710</v>
      </c>
      <c r="D85" s="55">
        <v>0</v>
      </c>
      <c r="E85" s="55">
        <v>87710</v>
      </c>
      <c r="F85" s="99">
        <f ca="1">IFERROR(__xludf.DUMMYFUNCTION("IMPORTRANGE(""https://docs.google.com/spreadsheets/d/1IYY_tgx_IHuhSq3AJ5eI5OnqOPBNLWSHKh2a30DoXe8/edit?usp=sharing"",""ภูเก็ต!M278"")"),0)</f>
        <v>0</v>
      </c>
      <c r="G85" s="99">
        <f t="shared" ca="1" si="1"/>
        <v>0</v>
      </c>
      <c r="H85" s="55">
        <v>5</v>
      </c>
      <c r="I85" s="55">
        <f ca="1">IFERROR(__xludf.DUMMYFUNCTION("IMPORTRANGE(""https://docs.google.com/spreadsheets/d/1IYY_tgx_IHuhSq3AJ5eI5OnqOPBNLWSHKh2a30DoXe8/edit?usp=sharing"",""ภูเก็ต!J291"")"),0)</f>
        <v>0</v>
      </c>
      <c r="J85" s="276">
        <f t="shared" ca="1" si="3"/>
        <v>0</v>
      </c>
      <c r="K85" s="55">
        <v>50</v>
      </c>
      <c r="L85" s="55">
        <v>5</v>
      </c>
      <c r="M85" s="55">
        <f ca="1">IFERROR(__xludf.DUMMYFUNCTION("IMPORTRANGE(""https://docs.google.com/spreadsheets/d/1IYY_tgx_IHuhSq3AJ5eI5OnqOPBNLWSHKh2a30DoXe8/edit?usp=sharing"",""ภูเก็ต!J292"")"),0)</f>
        <v>0</v>
      </c>
      <c r="N85" s="276">
        <f t="shared" ca="1" si="5"/>
        <v>0</v>
      </c>
      <c r="O85" s="55">
        <f ca="1">IFERROR(__xludf.DUMMYFUNCTION("IMPORTRANGE(""https://docs.google.com/spreadsheets/d/1IYY_tgx_IHuhSq3AJ5eI5OnqOPBNLWSHKh2a30DoXe8/edit?usp=sharing"",""ภูเก็ต!J293"")"),0)</f>
        <v>0</v>
      </c>
      <c r="P85" s="277">
        <f t="shared" ca="1" si="6"/>
        <v>0</v>
      </c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 ht="24" customHeight="1" x14ac:dyDescent="0.5">
      <c r="A86" s="273">
        <v>10</v>
      </c>
      <c r="B86" s="274" t="s">
        <v>101</v>
      </c>
      <c r="C86" s="275">
        <f t="shared" si="34"/>
        <v>167610</v>
      </c>
      <c r="D86" s="55">
        <v>0</v>
      </c>
      <c r="E86" s="55">
        <v>167610</v>
      </c>
      <c r="F86" s="99">
        <f ca="1">IFERROR(__xludf.DUMMYFUNCTION("IMPORTRANGE(""https://docs.google.com/spreadsheets/d/1IYY_tgx_IHuhSq3AJ5eI5OnqOPBNLWSHKh2a30DoXe8/edit?usp=sharing"",""ยะลา!M278"")"),0)</f>
        <v>0</v>
      </c>
      <c r="G86" s="99">
        <f t="shared" ca="1" si="1"/>
        <v>0</v>
      </c>
      <c r="H86" s="55">
        <v>15</v>
      </c>
      <c r="I86" s="55">
        <f ca="1">IFERROR(__xludf.DUMMYFUNCTION("IMPORTRANGE(""https://docs.google.com/spreadsheets/d/1IYY_tgx_IHuhSq3AJ5eI5OnqOPBNLWSHKh2a30DoXe8/edit?usp=sharing"",""ยะลา!J291"")"),0)</f>
        <v>0</v>
      </c>
      <c r="J86" s="276">
        <f t="shared" ca="1" si="3"/>
        <v>0</v>
      </c>
      <c r="K86" s="55">
        <v>150</v>
      </c>
      <c r="L86" s="55">
        <v>15</v>
      </c>
      <c r="M86" s="55">
        <f ca="1">IFERROR(__xludf.DUMMYFUNCTION("IMPORTRANGE(""https://docs.google.com/spreadsheets/d/1IYY_tgx_IHuhSq3AJ5eI5OnqOPBNLWSHKh2a30DoXe8/edit?usp=sharing"",""ยะลา!J292"")"),0)</f>
        <v>0</v>
      </c>
      <c r="N86" s="276">
        <f t="shared" ca="1" si="5"/>
        <v>0</v>
      </c>
      <c r="O86" s="55">
        <f ca="1">IFERROR(__xludf.DUMMYFUNCTION("IMPORTRANGE(""https://docs.google.com/spreadsheets/d/1IYY_tgx_IHuhSq3AJ5eI5OnqOPBNLWSHKh2a30DoXe8/edit?usp=sharing"",""ยะลา!J293"")"),0)</f>
        <v>0</v>
      </c>
      <c r="P86" s="277">
        <f t="shared" ca="1" si="6"/>
        <v>0</v>
      </c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 ht="24" customHeight="1" x14ac:dyDescent="0.5">
      <c r="A87" s="273">
        <v>11</v>
      </c>
      <c r="B87" s="274" t="s">
        <v>102</v>
      </c>
      <c r="C87" s="275">
        <f t="shared" si="34"/>
        <v>1028520</v>
      </c>
      <c r="D87" s="55">
        <v>0</v>
      </c>
      <c r="E87" s="55">
        <v>1028520</v>
      </c>
      <c r="F87" s="99">
        <f ca="1">IFERROR(__xludf.DUMMYFUNCTION("IMPORTRANGE(""https://docs.google.com/spreadsheets/d/1IYY_tgx_IHuhSq3AJ5eI5OnqOPBNLWSHKh2a30DoXe8/edit?usp=sharing"",""ระนอง!M278"")"),2820)</f>
        <v>2820</v>
      </c>
      <c r="G87" s="99">
        <f t="shared" ca="1" si="1"/>
        <v>0.27418037568545095</v>
      </c>
      <c r="H87" s="55">
        <v>100</v>
      </c>
      <c r="I87" s="55">
        <f ca="1">IFERROR(__xludf.DUMMYFUNCTION("IMPORTRANGE(""https://docs.google.com/spreadsheets/d/1IYY_tgx_IHuhSq3AJ5eI5OnqOPBNLWSHKh2a30DoXe8/edit?usp=sharing"",""ระนอง!J291"")"),0)</f>
        <v>0</v>
      </c>
      <c r="J87" s="276">
        <f t="shared" ca="1" si="3"/>
        <v>0</v>
      </c>
      <c r="K87" s="55">
        <v>1000</v>
      </c>
      <c r="L87" s="55">
        <v>100</v>
      </c>
      <c r="M87" s="55">
        <f ca="1">IFERROR(__xludf.DUMMYFUNCTION("IMPORTRANGE(""https://docs.google.com/spreadsheets/d/1IYY_tgx_IHuhSq3AJ5eI5OnqOPBNLWSHKh2a30DoXe8/edit?usp=sharing"",""ระนอง!J292"")"),0)</f>
        <v>0</v>
      </c>
      <c r="N87" s="276">
        <f t="shared" ca="1" si="5"/>
        <v>0</v>
      </c>
      <c r="O87" s="55">
        <f ca="1">IFERROR(__xludf.DUMMYFUNCTION("IMPORTRANGE(""https://docs.google.com/spreadsheets/d/1IYY_tgx_IHuhSq3AJ5eI5OnqOPBNLWSHKh2a30DoXe8/edit?usp=sharing"",""ระนอง!J293"")"),0)</f>
        <v>0</v>
      </c>
      <c r="P87" s="277">
        <f t="shared" ca="1" si="6"/>
        <v>0</v>
      </c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 ht="24" customHeight="1" x14ac:dyDescent="0.5">
      <c r="A88" s="273">
        <v>12</v>
      </c>
      <c r="B88" s="274" t="s">
        <v>103</v>
      </c>
      <c r="C88" s="275">
        <f t="shared" si="34"/>
        <v>207560</v>
      </c>
      <c r="D88" s="55">
        <v>0</v>
      </c>
      <c r="E88" s="55">
        <v>207560</v>
      </c>
      <c r="F88" s="99">
        <f ca="1">IFERROR(__xludf.DUMMYFUNCTION("IMPORTRANGE(""https://docs.google.com/spreadsheets/d/1IYY_tgx_IHuhSq3AJ5eI5OnqOPBNLWSHKh2a30DoXe8/edit?usp=sharing"",""สงขลา!M278"")"),1500)</f>
        <v>1500</v>
      </c>
      <c r="G88" s="99">
        <f t="shared" ca="1" si="1"/>
        <v>0.72268259780304489</v>
      </c>
      <c r="H88" s="55">
        <v>20</v>
      </c>
      <c r="I88" s="55">
        <f ca="1">IFERROR(__xludf.DUMMYFUNCTION("IMPORTRANGE(""https://docs.google.com/spreadsheets/d/1IYY_tgx_IHuhSq3AJ5eI5OnqOPBNLWSHKh2a30DoXe8/edit?usp=sharing"",""สงขลา!J291"")"),0)</f>
        <v>0</v>
      </c>
      <c r="J88" s="276">
        <f t="shared" ca="1" si="3"/>
        <v>0</v>
      </c>
      <c r="K88" s="55">
        <v>200</v>
      </c>
      <c r="L88" s="55">
        <v>20</v>
      </c>
      <c r="M88" s="55">
        <f ca="1">IFERROR(__xludf.DUMMYFUNCTION("IMPORTRANGE(""https://docs.google.com/spreadsheets/d/1IYY_tgx_IHuhSq3AJ5eI5OnqOPBNLWSHKh2a30DoXe8/edit?usp=sharing"",""สงขลา!J292"")"),0)</f>
        <v>0</v>
      </c>
      <c r="N88" s="276">
        <f t="shared" ca="1" si="5"/>
        <v>0</v>
      </c>
      <c r="O88" s="55">
        <f ca="1">IFERROR(__xludf.DUMMYFUNCTION("IMPORTRANGE(""https://docs.google.com/spreadsheets/d/1IYY_tgx_IHuhSq3AJ5eI5OnqOPBNLWSHKh2a30DoXe8/edit?usp=sharing"",""สงขลา!J293"")"),0)</f>
        <v>0</v>
      </c>
      <c r="P88" s="277">
        <f t="shared" ca="1" si="6"/>
        <v>0</v>
      </c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 ht="24" customHeight="1" x14ac:dyDescent="0.5">
      <c r="A89" s="273">
        <v>13</v>
      </c>
      <c r="B89" s="274" t="s">
        <v>104</v>
      </c>
      <c r="C89" s="275">
        <f t="shared" si="34"/>
        <v>87710</v>
      </c>
      <c r="D89" s="55">
        <v>0</v>
      </c>
      <c r="E89" s="55">
        <v>87710</v>
      </c>
      <c r="F89" s="99">
        <f ca="1">IFERROR(__xludf.DUMMYFUNCTION("IMPORTRANGE(""https://docs.google.com/spreadsheets/d/1IYY_tgx_IHuhSq3AJ5eI5OnqOPBNLWSHKh2a30DoXe8/edit?usp=sharing"",""สตูล!M278"")"),0)</f>
        <v>0</v>
      </c>
      <c r="G89" s="99">
        <f t="shared" ca="1" si="1"/>
        <v>0</v>
      </c>
      <c r="H89" s="55">
        <v>5</v>
      </c>
      <c r="I89" s="55">
        <f ca="1">IFERROR(__xludf.DUMMYFUNCTION("IMPORTRANGE(""https://docs.google.com/spreadsheets/d/1IYY_tgx_IHuhSq3AJ5eI5OnqOPBNLWSHKh2a30DoXe8/edit?usp=sharing"",""สตูล!J291"")"),0)</f>
        <v>0</v>
      </c>
      <c r="J89" s="276">
        <f t="shared" ca="1" si="3"/>
        <v>0</v>
      </c>
      <c r="K89" s="55">
        <v>50</v>
      </c>
      <c r="L89" s="55">
        <v>5</v>
      </c>
      <c r="M89" s="55">
        <f ca="1">IFERROR(__xludf.DUMMYFUNCTION("IMPORTRANGE(""https://docs.google.com/spreadsheets/d/1IYY_tgx_IHuhSq3AJ5eI5OnqOPBNLWSHKh2a30DoXe8/edit?usp=sharing"",""สตูล!J292"")"),0)</f>
        <v>0</v>
      </c>
      <c r="N89" s="276">
        <f t="shared" ca="1" si="5"/>
        <v>0</v>
      </c>
      <c r="O89" s="55">
        <f ca="1">IFERROR(__xludf.DUMMYFUNCTION("IMPORTRANGE(""https://docs.google.com/spreadsheets/d/1IYY_tgx_IHuhSq3AJ5eI5OnqOPBNLWSHKh2a30DoXe8/edit?usp=sharing"",""สตูล!J293"")"),0)</f>
        <v>0</v>
      </c>
      <c r="P89" s="277">
        <f t="shared" ca="1" si="6"/>
        <v>0</v>
      </c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 ht="24" customHeight="1" x14ac:dyDescent="0.5">
      <c r="A90" s="278">
        <v>14</v>
      </c>
      <c r="B90" s="279" t="s">
        <v>105</v>
      </c>
      <c r="C90" s="280">
        <f t="shared" si="34"/>
        <v>1028520</v>
      </c>
      <c r="D90" s="62">
        <v>0</v>
      </c>
      <c r="E90" s="62">
        <v>1028520</v>
      </c>
      <c r="F90" s="100">
        <f ca="1">IFERROR(__xludf.DUMMYFUNCTION("IMPORTRANGE(""https://docs.google.com/spreadsheets/d/1IYY_tgx_IHuhSq3AJ5eI5OnqOPBNLWSHKh2a30DoXe8/edit?usp=sharing"",""สุราษฎร์ธานี!M278"")"),0)</f>
        <v>0</v>
      </c>
      <c r="G90" s="100">
        <f t="shared" ca="1" si="1"/>
        <v>0</v>
      </c>
      <c r="H90" s="62">
        <v>100</v>
      </c>
      <c r="I90" s="62">
        <f ca="1">IFERROR(__xludf.DUMMYFUNCTION("IMPORTRANGE(""https://docs.google.com/spreadsheets/d/1IYY_tgx_IHuhSq3AJ5eI5OnqOPBNLWSHKh2a30DoXe8/edit?usp=sharing"",""สุราษฎร์ธานี!J291"")"),0)</f>
        <v>0</v>
      </c>
      <c r="J90" s="281">
        <f t="shared" ca="1" si="3"/>
        <v>0</v>
      </c>
      <c r="K90" s="62">
        <v>1000</v>
      </c>
      <c r="L90" s="62">
        <v>100</v>
      </c>
      <c r="M90" s="62">
        <f ca="1">IFERROR(__xludf.DUMMYFUNCTION("IMPORTRANGE(""https://docs.google.com/spreadsheets/d/1IYY_tgx_IHuhSq3AJ5eI5OnqOPBNLWSHKh2a30DoXe8/edit?usp=sharing"",""สุราษฎร์ธานี!J292"")"),0)</f>
        <v>0</v>
      </c>
      <c r="N90" s="281">
        <f t="shared" ca="1" si="5"/>
        <v>0</v>
      </c>
      <c r="O90" s="62">
        <f ca="1">IFERROR(__xludf.DUMMYFUNCTION("IMPORTRANGE(""https://docs.google.com/spreadsheets/d/1IYY_tgx_IHuhSq3AJ5eI5OnqOPBNLWSHKh2a30DoXe8/edit?usp=sharing"",""สุราษฎร์ธานี!J293"")"),0)</f>
        <v>0</v>
      </c>
      <c r="P90" s="282">
        <f t="shared" ca="1" si="6"/>
        <v>0</v>
      </c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 ht="24" customHeight="1" x14ac:dyDescent="0.5">
      <c r="A91" s="772" t="s">
        <v>106</v>
      </c>
      <c r="B91" s="571"/>
      <c r="C91" s="250">
        <f t="shared" ref="C91:F91" si="35">+C92+C93+C94+C95+C96+C97+C98+C99+C100+C101+C102+C103+C104+C105</f>
        <v>1073960</v>
      </c>
      <c r="D91" s="35">
        <f t="shared" si="35"/>
        <v>0</v>
      </c>
      <c r="E91" s="35">
        <f t="shared" si="35"/>
        <v>1073960</v>
      </c>
      <c r="F91" s="35">
        <f t="shared" si="35"/>
        <v>0</v>
      </c>
      <c r="G91" s="92">
        <f t="shared" si="1"/>
        <v>0</v>
      </c>
      <c r="H91" s="35">
        <f t="shared" ref="H91:I91" si="36">+H92+H93+H94+H95+H96+H97+H98+H99+H100+H101+H102+H103+H104+H105</f>
        <v>0</v>
      </c>
      <c r="I91" s="35">
        <f t="shared" si="36"/>
        <v>0</v>
      </c>
      <c r="J91" s="92">
        <f t="shared" si="3"/>
        <v>0</v>
      </c>
      <c r="K91" s="35">
        <f t="shared" ref="K91:M91" si="37">+K92+K93+K94+K95+K96+K97+K98+K99+K100+K101+K102+K103+K104+K105</f>
        <v>0</v>
      </c>
      <c r="L91" s="35">
        <f t="shared" si="37"/>
        <v>0</v>
      </c>
      <c r="M91" s="35">
        <f t="shared" si="37"/>
        <v>0</v>
      </c>
      <c r="N91" s="92">
        <f t="shared" si="5"/>
        <v>0</v>
      </c>
      <c r="O91" s="35">
        <f>+O92+O93+O94+O95+O96+O97+O98+O99+O100+O101+O102+O103+O104+O105</f>
        <v>0</v>
      </c>
      <c r="P91" s="251">
        <f t="shared" si="6"/>
        <v>0</v>
      </c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 ht="24" customHeight="1" x14ac:dyDescent="0.5">
      <c r="A92" s="283">
        <v>1</v>
      </c>
      <c r="B92" s="69" t="s">
        <v>107</v>
      </c>
      <c r="C92" s="270">
        <f t="shared" ref="C92:C105" si="38">+D92+E92</f>
        <v>0</v>
      </c>
      <c r="D92" s="48">
        <v>0</v>
      </c>
      <c r="E92" s="48">
        <v>0</v>
      </c>
      <c r="F92" s="98">
        <v>0</v>
      </c>
      <c r="G92" s="98">
        <f t="shared" si="1"/>
        <v>0</v>
      </c>
      <c r="H92" s="48">
        <v>0</v>
      </c>
      <c r="I92" s="48">
        <v>0</v>
      </c>
      <c r="J92" s="271">
        <f t="shared" si="3"/>
        <v>0</v>
      </c>
      <c r="K92" s="48">
        <v>0</v>
      </c>
      <c r="L92" s="48">
        <v>0</v>
      </c>
      <c r="M92" s="48">
        <v>0</v>
      </c>
      <c r="N92" s="271">
        <f t="shared" si="5"/>
        <v>0</v>
      </c>
      <c r="O92" s="48">
        <v>0</v>
      </c>
      <c r="P92" s="272">
        <f t="shared" si="6"/>
        <v>0</v>
      </c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 ht="24" customHeight="1" x14ac:dyDescent="0.5">
      <c r="A93" s="284">
        <v>2</v>
      </c>
      <c r="B93" s="71" t="s">
        <v>108</v>
      </c>
      <c r="C93" s="275">
        <f t="shared" si="38"/>
        <v>0</v>
      </c>
      <c r="D93" s="55">
        <v>0</v>
      </c>
      <c r="E93" s="55">
        <v>0</v>
      </c>
      <c r="F93" s="99">
        <v>0</v>
      </c>
      <c r="G93" s="99">
        <f t="shared" si="1"/>
        <v>0</v>
      </c>
      <c r="H93" s="55">
        <v>0</v>
      </c>
      <c r="I93" s="55">
        <v>0</v>
      </c>
      <c r="J93" s="276">
        <f t="shared" si="3"/>
        <v>0</v>
      </c>
      <c r="K93" s="55">
        <v>0</v>
      </c>
      <c r="L93" s="55">
        <v>0</v>
      </c>
      <c r="M93" s="55">
        <v>0</v>
      </c>
      <c r="N93" s="276">
        <f t="shared" si="5"/>
        <v>0</v>
      </c>
      <c r="O93" s="55">
        <v>0</v>
      </c>
      <c r="P93" s="277">
        <f t="shared" si="6"/>
        <v>0</v>
      </c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 ht="24" customHeight="1" x14ac:dyDescent="0.5">
      <c r="A94" s="284">
        <v>3</v>
      </c>
      <c r="B94" s="71" t="s">
        <v>109</v>
      </c>
      <c r="C94" s="275">
        <f t="shared" si="38"/>
        <v>0</v>
      </c>
      <c r="D94" s="55">
        <v>0</v>
      </c>
      <c r="E94" s="55">
        <v>0</v>
      </c>
      <c r="F94" s="99">
        <v>0</v>
      </c>
      <c r="G94" s="99">
        <f t="shared" si="1"/>
        <v>0</v>
      </c>
      <c r="H94" s="55">
        <v>0</v>
      </c>
      <c r="I94" s="55">
        <v>0</v>
      </c>
      <c r="J94" s="276">
        <f t="shared" si="3"/>
        <v>0</v>
      </c>
      <c r="K94" s="55">
        <v>0</v>
      </c>
      <c r="L94" s="55">
        <v>0</v>
      </c>
      <c r="M94" s="55">
        <v>0</v>
      </c>
      <c r="N94" s="276">
        <f t="shared" si="5"/>
        <v>0</v>
      </c>
      <c r="O94" s="55">
        <v>0</v>
      </c>
      <c r="P94" s="277">
        <f t="shared" si="6"/>
        <v>0</v>
      </c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 ht="24" customHeight="1" x14ac:dyDescent="0.5">
      <c r="A95" s="284">
        <f t="shared" ref="A95:A105" si="39">+A94+1</f>
        <v>4</v>
      </c>
      <c r="B95" s="71" t="s">
        <v>110</v>
      </c>
      <c r="C95" s="275">
        <f t="shared" si="38"/>
        <v>0</v>
      </c>
      <c r="D95" s="55">
        <v>0</v>
      </c>
      <c r="E95" s="55">
        <v>0</v>
      </c>
      <c r="F95" s="99">
        <v>0</v>
      </c>
      <c r="G95" s="99">
        <f t="shared" si="1"/>
        <v>0</v>
      </c>
      <c r="H95" s="55">
        <v>0</v>
      </c>
      <c r="I95" s="55">
        <v>0</v>
      </c>
      <c r="J95" s="276">
        <f t="shared" si="3"/>
        <v>0</v>
      </c>
      <c r="K95" s="55">
        <v>0</v>
      </c>
      <c r="L95" s="55">
        <v>0</v>
      </c>
      <c r="M95" s="55">
        <v>0</v>
      </c>
      <c r="N95" s="276">
        <f t="shared" si="5"/>
        <v>0</v>
      </c>
      <c r="O95" s="55">
        <v>0</v>
      </c>
      <c r="P95" s="277">
        <f t="shared" si="6"/>
        <v>0</v>
      </c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 ht="24" customHeight="1" x14ac:dyDescent="0.5">
      <c r="A96" s="284">
        <f t="shared" si="39"/>
        <v>5</v>
      </c>
      <c r="B96" s="71" t="s">
        <v>111</v>
      </c>
      <c r="C96" s="275">
        <f t="shared" si="38"/>
        <v>0</v>
      </c>
      <c r="D96" s="55">
        <v>0</v>
      </c>
      <c r="E96" s="55">
        <v>0</v>
      </c>
      <c r="F96" s="99">
        <v>0</v>
      </c>
      <c r="G96" s="99">
        <f t="shared" si="1"/>
        <v>0</v>
      </c>
      <c r="H96" s="55">
        <v>0</v>
      </c>
      <c r="I96" s="55">
        <v>0</v>
      </c>
      <c r="J96" s="276">
        <f t="shared" si="3"/>
        <v>0</v>
      </c>
      <c r="K96" s="55">
        <v>0</v>
      </c>
      <c r="L96" s="55">
        <v>0</v>
      </c>
      <c r="M96" s="55">
        <v>0</v>
      </c>
      <c r="N96" s="276">
        <f t="shared" si="5"/>
        <v>0</v>
      </c>
      <c r="O96" s="55">
        <v>0</v>
      </c>
      <c r="P96" s="277">
        <f t="shared" si="6"/>
        <v>0</v>
      </c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 ht="24" customHeight="1" x14ac:dyDescent="0.5">
      <c r="A97" s="284">
        <f t="shared" si="39"/>
        <v>6</v>
      </c>
      <c r="B97" s="71" t="s">
        <v>112</v>
      </c>
      <c r="C97" s="275">
        <f t="shared" si="38"/>
        <v>0</v>
      </c>
      <c r="D97" s="55">
        <v>0</v>
      </c>
      <c r="E97" s="55">
        <v>0</v>
      </c>
      <c r="F97" s="99">
        <v>0</v>
      </c>
      <c r="G97" s="99">
        <f t="shared" si="1"/>
        <v>0</v>
      </c>
      <c r="H97" s="55">
        <v>0</v>
      </c>
      <c r="I97" s="55">
        <v>0</v>
      </c>
      <c r="J97" s="276">
        <f t="shared" si="3"/>
        <v>0</v>
      </c>
      <c r="K97" s="55">
        <v>0</v>
      </c>
      <c r="L97" s="55">
        <v>0</v>
      </c>
      <c r="M97" s="55">
        <v>0</v>
      </c>
      <c r="N97" s="276">
        <f t="shared" si="5"/>
        <v>0</v>
      </c>
      <c r="O97" s="55">
        <v>0</v>
      </c>
      <c r="P97" s="277">
        <f t="shared" si="6"/>
        <v>0</v>
      </c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 ht="24" customHeight="1" x14ac:dyDescent="0.5">
      <c r="A98" s="284">
        <f t="shared" si="39"/>
        <v>7</v>
      </c>
      <c r="B98" s="71" t="s">
        <v>113</v>
      </c>
      <c r="C98" s="275">
        <f t="shared" si="38"/>
        <v>1073960</v>
      </c>
      <c r="D98" s="55">
        <v>0</v>
      </c>
      <c r="E98" s="55">
        <v>1073960</v>
      </c>
      <c r="F98" s="99">
        <v>0</v>
      </c>
      <c r="G98" s="99">
        <f t="shared" si="1"/>
        <v>0</v>
      </c>
      <c r="H98" s="55">
        <v>0</v>
      </c>
      <c r="I98" s="55">
        <v>0</v>
      </c>
      <c r="J98" s="276">
        <f t="shared" si="3"/>
        <v>0</v>
      </c>
      <c r="K98" s="55">
        <v>0</v>
      </c>
      <c r="L98" s="55">
        <v>0</v>
      </c>
      <c r="M98" s="55">
        <v>0</v>
      </c>
      <c r="N98" s="276">
        <f t="shared" si="5"/>
        <v>0</v>
      </c>
      <c r="O98" s="55">
        <v>0</v>
      </c>
      <c r="P98" s="277">
        <f t="shared" si="6"/>
        <v>0</v>
      </c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ht="24" customHeight="1" x14ac:dyDescent="0.5">
      <c r="A99" s="284">
        <f t="shared" si="39"/>
        <v>8</v>
      </c>
      <c r="B99" s="71" t="s">
        <v>114</v>
      </c>
      <c r="C99" s="275">
        <f t="shared" si="38"/>
        <v>0</v>
      </c>
      <c r="D99" s="55">
        <v>0</v>
      </c>
      <c r="E99" s="55">
        <v>0</v>
      </c>
      <c r="F99" s="99">
        <v>0</v>
      </c>
      <c r="G99" s="99">
        <f t="shared" si="1"/>
        <v>0</v>
      </c>
      <c r="H99" s="55">
        <v>0</v>
      </c>
      <c r="I99" s="55">
        <v>0</v>
      </c>
      <c r="J99" s="276">
        <f t="shared" si="3"/>
        <v>0</v>
      </c>
      <c r="K99" s="55">
        <v>0</v>
      </c>
      <c r="L99" s="55">
        <v>0</v>
      </c>
      <c r="M99" s="55">
        <v>0</v>
      </c>
      <c r="N99" s="276">
        <f t="shared" si="5"/>
        <v>0</v>
      </c>
      <c r="O99" s="55">
        <v>0</v>
      </c>
      <c r="P99" s="277">
        <f t="shared" si="6"/>
        <v>0</v>
      </c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ht="24" customHeight="1" x14ac:dyDescent="0.5">
      <c r="A100" s="284">
        <f t="shared" si="39"/>
        <v>9</v>
      </c>
      <c r="B100" s="71" t="s">
        <v>115</v>
      </c>
      <c r="C100" s="275">
        <f t="shared" si="38"/>
        <v>0</v>
      </c>
      <c r="D100" s="55">
        <v>0</v>
      </c>
      <c r="E100" s="55">
        <v>0</v>
      </c>
      <c r="F100" s="99">
        <v>0</v>
      </c>
      <c r="G100" s="99">
        <f t="shared" si="1"/>
        <v>0</v>
      </c>
      <c r="H100" s="55">
        <v>0</v>
      </c>
      <c r="I100" s="55">
        <v>0</v>
      </c>
      <c r="J100" s="276">
        <f t="shared" si="3"/>
        <v>0</v>
      </c>
      <c r="K100" s="55">
        <v>0</v>
      </c>
      <c r="L100" s="55">
        <v>0</v>
      </c>
      <c r="M100" s="55">
        <v>0</v>
      </c>
      <c r="N100" s="276">
        <f t="shared" si="5"/>
        <v>0</v>
      </c>
      <c r="O100" s="55">
        <v>0</v>
      </c>
      <c r="P100" s="277">
        <f t="shared" si="6"/>
        <v>0</v>
      </c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ht="24" customHeight="1" x14ac:dyDescent="0.5">
      <c r="A101" s="284">
        <f t="shared" si="39"/>
        <v>10</v>
      </c>
      <c r="B101" s="71" t="s">
        <v>116</v>
      </c>
      <c r="C101" s="275">
        <f t="shared" si="38"/>
        <v>0</v>
      </c>
      <c r="D101" s="55">
        <v>0</v>
      </c>
      <c r="E101" s="55">
        <v>0</v>
      </c>
      <c r="F101" s="99">
        <v>0</v>
      </c>
      <c r="G101" s="99">
        <f t="shared" si="1"/>
        <v>0</v>
      </c>
      <c r="H101" s="55">
        <v>0</v>
      </c>
      <c r="I101" s="55">
        <v>0</v>
      </c>
      <c r="J101" s="276">
        <f t="shared" si="3"/>
        <v>0</v>
      </c>
      <c r="K101" s="55">
        <v>0</v>
      </c>
      <c r="L101" s="55">
        <v>0</v>
      </c>
      <c r="M101" s="55">
        <v>0</v>
      </c>
      <c r="N101" s="276">
        <f t="shared" si="5"/>
        <v>0</v>
      </c>
      <c r="O101" s="55">
        <v>0</v>
      </c>
      <c r="P101" s="277">
        <f t="shared" si="6"/>
        <v>0</v>
      </c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ht="24" customHeight="1" x14ac:dyDescent="0.5">
      <c r="A102" s="284">
        <f t="shared" si="39"/>
        <v>11</v>
      </c>
      <c r="B102" s="71" t="s">
        <v>117</v>
      </c>
      <c r="C102" s="275">
        <f t="shared" si="38"/>
        <v>0</v>
      </c>
      <c r="D102" s="55">
        <v>0</v>
      </c>
      <c r="E102" s="55">
        <v>0</v>
      </c>
      <c r="F102" s="99">
        <v>0</v>
      </c>
      <c r="G102" s="99">
        <f t="shared" si="1"/>
        <v>0</v>
      </c>
      <c r="H102" s="55">
        <v>0</v>
      </c>
      <c r="I102" s="55">
        <v>0</v>
      </c>
      <c r="J102" s="276">
        <f t="shared" si="3"/>
        <v>0</v>
      </c>
      <c r="K102" s="55">
        <v>0</v>
      </c>
      <c r="L102" s="55">
        <v>0</v>
      </c>
      <c r="M102" s="55">
        <v>0</v>
      </c>
      <c r="N102" s="276">
        <f t="shared" si="5"/>
        <v>0</v>
      </c>
      <c r="O102" s="55">
        <v>0</v>
      </c>
      <c r="P102" s="277">
        <f t="shared" si="6"/>
        <v>0</v>
      </c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ht="24" customHeight="1" x14ac:dyDescent="0.5">
      <c r="A103" s="284">
        <f t="shared" si="39"/>
        <v>12</v>
      </c>
      <c r="B103" s="71" t="s">
        <v>118</v>
      </c>
      <c r="C103" s="275">
        <f t="shared" si="38"/>
        <v>0</v>
      </c>
      <c r="D103" s="55">
        <v>0</v>
      </c>
      <c r="E103" s="55">
        <v>0</v>
      </c>
      <c r="F103" s="99">
        <v>0</v>
      </c>
      <c r="G103" s="99">
        <f t="shared" si="1"/>
        <v>0</v>
      </c>
      <c r="H103" s="55">
        <v>0</v>
      </c>
      <c r="I103" s="55">
        <v>0</v>
      </c>
      <c r="J103" s="276">
        <f t="shared" si="3"/>
        <v>0</v>
      </c>
      <c r="K103" s="55">
        <v>0</v>
      </c>
      <c r="L103" s="55">
        <v>0</v>
      </c>
      <c r="M103" s="55">
        <v>0</v>
      </c>
      <c r="N103" s="276">
        <f t="shared" si="5"/>
        <v>0</v>
      </c>
      <c r="O103" s="55">
        <v>0</v>
      </c>
      <c r="P103" s="277">
        <f t="shared" si="6"/>
        <v>0</v>
      </c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ht="24" customHeight="1" x14ac:dyDescent="0.5">
      <c r="A104" s="284">
        <f t="shared" si="39"/>
        <v>13</v>
      </c>
      <c r="B104" s="71" t="s">
        <v>119</v>
      </c>
      <c r="C104" s="275">
        <f t="shared" si="38"/>
        <v>0</v>
      </c>
      <c r="D104" s="55">
        <v>0</v>
      </c>
      <c r="E104" s="55">
        <v>0</v>
      </c>
      <c r="F104" s="99">
        <v>0</v>
      </c>
      <c r="G104" s="99">
        <f t="shared" si="1"/>
        <v>0</v>
      </c>
      <c r="H104" s="55">
        <v>0</v>
      </c>
      <c r="I104" s="55">
        <v>0</v>
      </c>
      <c r="J104" s="276">
        <f t="shared" si="3"/>
        <v>0</v>
      </c>
      <c r="K104" s="55">
        <v>0</v>
      </c>
      <c r="L104" s="55">
        <v>0</v>
      </c>
      <c r="M104" s="55">
        <v>0</v>
      </c>
      <c r="N104" s="276">
        <f t="shared" si="5"/>
        <v>0</v>
      </c>
      <c r="O104" s="55">
        <v>0</v>
      </c>
      <c r="P104" s="277">
        <f t="shared" si="6"/>
        <v>0</v>
      </c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ht="24" customHeight="1" x14ac:dyDescent="0.5">
      <c r="A105" s="285">
        <f t="shared" si="39"/>
        <v>14</v>
      </c>
      <c r="B105" s="73" t="s">
        <v>120</v>
      </c>
      <c r="C105" s="280">
        <f t="shared" si="38"/>
        <v>0</v>
      </c>
      <c r="D105" s="62">
        <v>0</v>
      </c>
      <c r="E105" s="62">
        <v>0</v>
      </c>
      <c r="F105" s="100">
        <v>0</v>
      </c>
      <c r="G105" s="100">
        <f t="shared" si="1"/>
        <v>0</v>
      </c>
      <c r="H105" s="62">
        <v>0</v>
      </c>
      <c r="I105" s="62">
        <v>0</v>
      </c>
      <c r="J105" s="281">
        <f t="shared" si="3"/>
        <v>0</v>
      </c>
      <c r="K105" s="62">
        <v>0</v>
      </c>
      <c r="L105" s="62">
        <v>0</v>
      </c>
      <c r="M105" s="62">
        <v>0</v>
      </c>
      <c r="N105" s="281">
        <f t="shared" si="5"/>
        <v>0</v>
      </c>
      <c r="O105" s="62">
        <v>0</v>
      </c>
      <c r="P105" s="282">
        <f t="shared" si="6"/>
        <v>0</v>
      </c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ht="24" customHeight="1" x14ac:dyDescent="0.5">
      <c r="A106" s="772" t="s">
        <v>121</v>
      </c>
      <c r="B106" s="571"/>
      <c r="C106" s="250">
        <f t="shared" ref="C106:F106" si="40">+C107+C108+C109+C110+C111+C112+C113+C114</f>
        <v>0</v>
      </c>
      <c r="D106" s="35">
        <f t="shared" si="40"/>
        <v>0</v>
      </c>
      <c r="E106" s="35">
        <f t="shared" si="40"/>
        <v>0</v>
      </c>
      <c r="F106" s="35">
        <f t="shared" si="40"/>
        <v>0</v>
      </c>
      <c r="G106" s="92">
        <f t="shared" si="1"/>
        <v>0</v>
      </c>
      <c r="H106" s="35">
        <f t="shared" ref="H106:I106" si="41">+H107+H108+H109+H110+H111+H112+H113+H114</f>
        <v>0</v>
      </c>
      <c r="I106" s="35">
        <f t="shared" si="41"/>
        <v>0</v>
      </c>
      <c r="J106" s="92">
        <f t="shared" si="3"/>
        <v>0</v>
      </c>
      <c r="K106" s="35">
        <f t="shared" ref="K106:M106" si="42">+K107+K108+K109+K110+K111+K112+K113+K114</f>
        <v>0</v>
      </c>
      <c r="L106" s="35">
        <f t="shared" si="42"/>
        <v>0</v>
      </c>
      <c r="M106" s="35">
        <f t="shared" si="42"/>
        <v>0</v>
      </c>
      <c r="N106" s="92">
        <f t="shared" si="5"/>
        <v>0</v>
      </c>
      <c r="O106" s="35">
        <f>+O107+O108+O109+O110+O111+O112+O113+O114</f>
        <v>0</v>
      </c>
      <c r="P106" s="251">
        <f t="shared" si="6"/>
        <v>0</v>
      </c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ht="24" customHeight="1" x14ac:dyDescent="0.5">
      <c r="A107" s="283">
        <v>1</v>
      </c>
      <c r="B107" s="69" t="s">
        <v>122</v>
      </c>
      <c r="C107" s="270">
        <f t="shared" ref="C107:C114" si="43">+D107+E107</f>
        <v>0</v>
      </c>
      <c r="D107" s="48">
        <v>0</v>
      </c>
      <c r="E107" s="48">
        <v>0</v>
      </c>
      <c r="F107" s="98">
        <v>0</v>
      </c>
      <c r="G107" s="98">
        <f t="shared" si="1"/>
        <v>0</v>
      </c>
      <c r="H107" s="48">
        <v>0</v>
      </c>
      <c r="I107" s="48">
        <v>0</v>
      </c>
      <c r="J107" s="271">
        <f t="shared" si="3"/>
        <v>0</v>
      </c>
      <c r="K107" s="48">
        <v>0</v>
      </c>
      <c r="L107" s="48">
        <v>0</v>
      </c>
      <c r="M107" s="48">
        <v>0</v>
      </c>
      <c r="N107" s="271">
        <f t="shared" si="5"/>
        <v>0</v>
      </c>
      <c r="O107" s="48">
        <v>0</v>
      </c>
      <c r="P107" s="272">
        <f t="shared" si="6"/>
        <v>0</v>
      </c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ht="24" customHeight="1" x14ac:dyDescent="0.5">
      <c r="A108" s="284">
        <v>2</v>
      </c>
      <c r="B108" s="71" t="s">
        <v>123</v>
      </c>
      <c r="C108" s="275">
        <f t="shared" si="43"/>
        <v>0</v>
      </c>
      <c r="D108" s="55">
        <v>0</v>
      </c>
      <c r="E108" s="55">
        <v>0</v>
      </c>
      <c r="F108" s="99">
        <v>0</v>
      </c>
      <c r="G108" s="99">
        <f t="shared" si="1"/>
        <v>0</v>
      </c>
      <c r="H108" s="55">
        <v>0</v>
      </c>
      <c r="I108" s="55">
        <v>0</v>
      </c>
      <c r="J108" s="276">
        <f t="shared" si="3"/>
        <v>0</v>
      </c>
      <c r="K108" s="55">
        <v>0</v>
      </c>
      <c r="L108" s="55">
        <v>0</v>
      </c>
      <c r="M108" s="55">
        <v>0</v>
      </c>
      <c r="N108" s="276">
        <f t="shared" si="5"/>
        <v>0</v>
      </c>
      <c r="O108" s="55">
        <v>0</v>
      </c>
      <c r="P108" s="277">
        <f t="shared" si="6"/>
        <v>0</v>
      </c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ht="24" customHeight="1" x14ac:dyDescent="0.5">
      <c r="A109" s="284">
        <v>3</v>
      </c>
      <c r="B109" s="71" t="s">
        <v>124</v>
      </c>
      <c r="C109" s="275">
        <f t="shared" si="43"/>
        <v>0</v>
      </c>
      <c r="D109" s="55">
        <v>0</v>
      </c>
      <c r="E109" s="55">
        <v>0</v>
      </c>
      <c r="F109" s="99">
        <v>0</v>
      </c>
      <c r="G109" s="99">
        <f t="shared" si="1"/>
        <v>0</v>
      </c>
      <c r="H109" s="55">
        <v>0</v>
      </c>
      <c r="I109" s="55">
        <v>0</v>
      </c>
      <c r="J109" s="276">
        <f t="shared" si="3"/>
        <v>0</v>
      </c>
      <c r="K109" s="55">
        <v>0</v>
      </c>
      <c r="L109" s="55">
        <v>0</v>
      </c>
      <c r="M109" s="55">
        <v>0</v>
      </c>
      <c r="N109" s="276">
        <f t="shared" si="5"/>
        <v>0</v>
      </c>
      <c r="O109" s="55">
        <v>0</v>
      </c>
      <c r="P109" s="277">
        <f t="shared" si="6"/>
        <v>0</v>
      </c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ht="24" customHeight="1" x14ac:dyDescent="0.5">
      <c r="A110" s="284">
        <f t="shared" ref="A110:A112" si="44">+A109+1</f>
        <v>4</v>
      </c>
      <c r="B110" s="71" t="s">
        <v>125</v>
      </c>
      <c r="C110" s="275">
        <f t="shared" si="43"/>
        <v>0</v>
      </c>
      <c r="D110" s="55">
        <v>0</v>
      </c>
      <c r="E110" s="55">
        <v>0</v>
      </c>
      <c r="F110" s="99">
        <v>0</v>
      </c>
      <c r="G110" s="99">
        <f t="shared" si="1"/>
        <v>0</v>
      </c>
      <c r="H110" s="55">
        <v>0</v>
      </c>
      <c r="I110" s="55">
        <v>0</v>
      </c>
      <c r="J110" s="276">
        <f t="shared" si="3"/>
        <v>0</v>
      </c>
      <c r="K110" s="55">
        <v>0</v>
      </c>
      <c r="L110" s="55">
        <v>0</v>
      </c>
      <c r="M110" s="55">
        <v>0</v>
      </c>
      <c r="N110" s="276">
        <f t="shared" si="5"/>
        <v>0</v>
      </c>
      <c r="O110" s="55">
        <v>0</v>
      </c>
      <c r="P110" s="277">
        <f t="shared" si="6"/>
        <v>0</v>
      </c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ht="24" customHeight="1" x14ac:dyDescent="0.5">
      <c r="A111" s="284">
        <f t="shared" si="44"/>
        <v>5</v>
      </c>
      <c r="B111" s="71" t="s">
        <v>126</v>
      </c>
      <c r="C111" s="275">
        <f t="shared" si="43"/>
        <v>0</v>
      </c>
      <c r="D111" s="55">
        <v>0</v>
      </c>
      <c r="E111" s="55">
        <v>0</v>
      </c>
      <c r="F111" s="99">
        <v>0</v>
      </c>
      <c r="G111" s="99">
        <f t="shared" si="1"/>
        <v>0</v>
      </c>
      <c r="H111" s="55">
        <v>0</v>
      </c>
      <c r="I111" s="55">
        <v>0</v>
      </c>
      <c r="J111" s="276">
        <f t="shared" si="3"/>
        <v>0</v>
      </c>
      <c r="K111" s="55">
        <v>0</v>
      </c>
      <c r="L111" s="55">
        <v>0</v>
      </c>
      <c r="M111" s="55">
        <v>0</v>
      </c>
      <c r="N111" s="276">
        <f t="shared" si="5"/>
        <v>0</v>
      </c>
      <c r="O111" s="55">
        <v>0</v>
      </c>
      <c r="P111" s="277">
        <f t="shared" si="6"/>
        <v>0</v>
      </c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ht="24" customHeight="1" x14ac:dyDescent="0.5">
      <c r="A112" s="284">
        <f t="shared" si="44"/>
        <v>6</v>
      </c>
      <c r="B112" s="71" t="s">
        <v>127</v>
      </c>
      <c r="C112" s="275">
        <f t="shared" si="43"/>
        <v>0</v>
      </c>
      <c r="D112" s="55">
        <v>0</v>
      </c>
      <c r="E112" s="55">
        <v>0</v>
      </c>
      <c r="F112" s="99">
        <v>0</v>
      </c>
      <c r="G112" s="99">
        <f t="shared" si="1"/>
        <v>0</v>
      </c>
      <c r="H112" s="55">
        <v>0</v>
      </c>
      <c r="I112" s="55">
        <v>0</v>
      </c>
      <c r="J112" s="276">
        <f t="shared" si="3"/>
        <v>0</v>
      </c>
      <c r="K112" s="55">
        <v>0</v>
      </c>
      <c r="L112" s="55">
        <v>0</v>
      </c>
      <c r="M112" s="55">
        <v>0</v>
      </c>
      <c r="N112" s="276">
        <f t="shared" si="5"/>
        <v>0</v>
      </c>
      <c r="O112" s="55">
        <v>0</v>
      </c>
      <c r="P112" s="277">
        <f t="shared" si="6"/>
        <v>0</v>
      </c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ht="24" customHeight="1" x14ac:dyDescent="0.5">
      <c r="A113" s="284">
        <v>7</v>
      </c>
      <c r="B113" s="71" t="s">
        <v>128</v>
      </c>
      <c r="C113" s="275">
        <f t="shared" si="43"/>
        <v>0</v>
      </c>
      <c r="D113" s="55">
        <v>0</v>
      </c>
      <c r="E113" s="55">
        <v>0</v>
      </c>
      <c r="F113" s="99">
        <v>0</v>
      </c>
      <c r="G113" s="99">
        <f t="shared" si="1"/>
        <v>0</v>
      </c>
      <c r="H113" s="55">
        <v>0</v>
      </c>
      <c r="I113" s="55">
        <v>0</v>
      </c>
      <c r="J113" s="276">
        <f t="shared" si="3"/>
        <v>0</v>
      </c>
      <c r="K113" s="55">
        <v>0</v>
      </c>
      <c r="L113" s="55">
        <v>0</v>
      </c>
      <c r="M113" s="55">
        <v>0</v>
      </c>
      <c r="N113" s="276">
        <f t="shared" si="5"/>
        <v>0</v>
      </c>
      <c r="O113" s="55">
        <v>0</v>
      </c>
      <c r="P113" s="277">
        <f t="shared" si="6"/>
        <v>0</v>
      </c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ht="24" customHeight="1" thickBot="1" x14ac:dyDescent="0.55000000000000004">
      <c r="A114" s="493">
        <v>8</v>
      </c>
      <c r="B114" s="494" t="s">
        <v>129</v>
      </c>
      <c r="C114" s="286">
        <f t="shared" si="43"/>
        <v>0</v>
      </c>
      <c r="D114" s="79">
        <v>0</v>
      </c>
      <c r="E114" s="79">
        <v>0</v>
      </c>
      <c r="F114" s="104">
        <v>0</v>
      </c>
      <c r="G114" s="104">
        <f t="shared" si="1"/>
        <v>0</v>
      </c>
      <c r="H114" s="79">
        <v>0</v>
      </c>
      <c r="I114" s="79">
        <v>0</v>
      </c>
      <c r="J114" s="287">
        <f t="shared" si="3"/>
        <v>0</v>
      </c>
      <c r="K114" s="79">
        <v>0</v>
      </c>
      <c r="L114" s="79">
        <v>0</v>
      </c>
      <c r="M114" s="79">
        <v>0</v>
      </c>
      <c r="N114" s="287">
        <f t="shared" si="5"/>
        <v>0</v>
      </c>
      <c r="O114" s="79">
        <v>0</v>
      </c>
      <c r="P114" s="288">
        <f t="shared" si="6"/>
        <v>0</v>
      </c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s="203" customFormat="1" ht="24" customHeight="1" x14ac:dyDescent="0.55000000000000004">
      <c r="A115" s="467" t="s">
        <v>322</v>
      </c>
    </row>
    <row r="116" spans="1:26" ht="24" customHeight="1" x14ac:dyDescent="0.5">
      <c r="A116" s="3"/>
      <c r="B116" s="3"/>
      <c r="C116" s="3"/>
      <c r="D116" s="3"/>
      <c r="E116" s="3"/>
      <c r="F116" s="3"/>
      <c r="G116" s="3"/>
      <c r="H116" s="3"/>
      <c r="I116" s="4"/>
      <c r="J116" s="3"/>
      <c r="K116" s="3"/>
      <c r="L116" s="3"/>
      <c r="M116" s="3"/>
      <c r="N116" s="3"/>
      <c r="O116" s="4"/>
      <c r="P116" s="83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 ht="24" customHeight="1" x14ac:dyDescent="0.5">
      <c r="A117" s="3"/>
      <c r="B117" s="3"/>
      <c r="C117" s="3"/>
      <c r="D117" s="3"/>
      <c r="E117" s="3"/>
      <c r="F117" s="3"/>
      <c r="G117" s="3"/>
      <c r="H117" s="3"/>
      <c r="I117" s="4"/>
      <c r="J117" s="3"/>
      <c r="K117" s="3"/>
      <c r="L117" s="3"/>
      <c r="M117" s="3"/>
      <c r="N117" s="3"/>
      <c r="O117" s="4"/>
      <c r="P117" s="83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 ht="24" customHeight="1" x14ac:dyDescent="0.5">
      <c r="A118" s="3"/>
      <c r="B118" s="3"/>
      <c r="C118" s="3"/>
      <c r="D118" s="3"/>
      <c r="E118" s="3"/>
      <c r="F118" s="3"/>
      <c r="G118" s="3"/>
      <c r="H118" s="3"/>
      <c r="I118" s="4"/>
      <c r="J118" s="3"/>
      <c r="K118" s="3"/>
      <c r="L118" s="3"/>
      <c r="M118" s="3"/>
      <c r="N118" s="3"/>
      <c r="O118" s="4"/>
      <c r="P118" s="83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 ht="24" customHeight="1" x14ac:dyDescent="0.5">
      <c r="A119" s="3"/>
      <c r="B119" s="3"/>
      <c r="C119" s="3"/>
      <c r="D119" s="3"/>
      <c r="E119" s="3"/>
      <c r="F119" s="3"/>
      <c r="G119" s="3"/>
      <c r="H119" s="3"/>
      <c r="I119" s="4"/>
      <c r="J119" s="3"/>
      <c r="K119" s="3"/>
      <c r="L119" s="3"/>
      <c r="M119" s="3"/>
      <c r="N119" s="3"/>
      <c r="O119" s="4"/>
      <c r="P119" s="83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 ht="24" customHeight="1" x14ac:dyDescent="0.5">
      <c r="A120" s="3"/>
      <c r="B120" s="3"/>
      <c r="C120" s="3"/>
      <c r="D120" s="3"/>
      <c r="E120" s="3"/>
      <c r="F120" s="3"/>
      <c r="G120" s="3"/>
      <c r="H120" s="3"/>
      <c r="I120" s="4"/>
      <c r="J120" s="3"/>
      <c r="K120" s="3"/>
      <c r="L120" s="3"/>
      <c r="M120" s="3"/>
      <c r="N120" s="3"/>
      <c r="O120" s="4"/>
      <c r="P120" s="83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 ht="24" customHeight="1" x14ac:dyDescent="0.5">
      <c r="A121" s="3"/>
      <c r="B121" s="3"/>
      <c r="C121" s="3"/>
      <c r="D121" s="3"/>
      <c r="E121" s="3"/>
      <c r="F121" s="3"/>
      <c r="G121" s="3"/>
      <c r="H121" s="3"/>
      <c r="I121" s="4"/>
      <c r="J121" s="3"/>
      <c r="K121" s="3"/>
      <c r="L121" s="3"/>
      <c r="M121" s="3"/>
      <c r="N121" s="3"/>
      <c r="O121" s="4"/>
      <c r="P121" s="83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 ht="24" customHeight="1" x14ac:dyDescent="0.5">
      <c r="A122" s="3"/>
      <c r="B122" s="3"/>
      <c r="C122" s="3"/>
      <c r="D122" s="3"/>
      <c r="E122" s="3"/>
      <c r="F122" s="3"/>
      <c r="G122" s="3"/>
      <c r="H122" s="3"/>
      <c r="I122" s="4"/>
      <c r="J122" s="3"/>
      <c r="K122" s="3"/>
      <c r="L122" s="3"/>
      <c r="M122" s="3"/>
      <c r="N122" s="3"/>
      <c r="O122" s="4"/>
      <c r="P122" s="83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 ht="24" customHeight="1" x14ac:dyDescent="0.5">
      <c r="A123" s="3"/>
      <c r="B123" s="3"/>
      <c r="C123" s="3"/>
      <c r="D123" s="3"/>
      <c r="E123" s="3"/>
      <c r="F123" s="3"/>
      <c r="G123" s="3"/>
      <c r="H123" s="3"/>
      <c r="I123" s="4"/>
      <c r="J123" s="3"/>
      <c r="K123" s="3"/>
      <c r="L123" s="3"/>
      <c r="M123" s="3"/>
      <c r="N123" s="3"/>
      <c r="O123" s="4"/>
      <c r="P123" s="83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 ht="24" customHeight="1" x14ac:dyDescent="0.5">
      <c r="A124" s="3"/>
      <c r="B124" s="3"/>
      <c r="C124" s="3"/>
      <c r="D124" s="3"/>
      <c r="E124" s="3"/>
      <c r="F124" s="3"/>
      <c r="G124" s="3"/>
      <c r="H124" s="3"/>
      <c r="I124" s="4"/>
      <c r="J124" s="3"/>
      <c r="K124" s="3"/>
      <c r="L124" s="3"/>
      <c r="M124" s="3"/>
      <c r="N124" s="3"/>
      <c r="O124" s="4"/>
      <c r="P124" s="83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 ht="24" customHeight="1" x14ac:dyDescent="0.5">
      <c r="A125" s="3"/>
      <c r="B125" s="3"/>
      <c r="C125" s="3"/>
      <c r="D125" s="3"/>
      <c r="E125" s="3"/>
      <c r="F125" s="3"/>
      <c r="G125" s="3"/>
      <c r="H125" s="3"/>
      <c r="I125" s="4"/>
      <c r="J125" s="3"/>
      <c r="K125" s="3"/>
      <c r="L125" s="3"/>
      <c r="M125" s="3"/>
      <c r="N125" s="3"/>
      <c r="O125" s="4"/>
      <c r="P125" s="83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 ht="24" customHeight="1" x14ac:dyDescent="0.5">
      <c r="A126" s="3"/>
      <c r="B126" s="3"/>
      <c r="C126" s="3"/>
      <c r="D126" s="3"/>
      <c r="E126" s="3"/>
      <c r="F126" s="3"/>
      <c r="G126" s="3"/>
      <c r="H126" s="3"/>
      <c r="I126" s="4"/>
      <c r="J126" s="3"/>
      <c r="K126" s="3"/>
      <c r="L126" s="3"/>
      <c r="M126" s="3"/>
      <c r="N126" s="3"/>
      <c r="O126" s="4"/>
      <c r="P126" s="83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ht="24" customHeight="1" x14ac:dyDescent="0.5">
      <c r="A127" s="3"/>
      <c r="B127" s="3"/>
      <c r="C127" s="3"/>
      <c r="D127" s="3"/>
      <c r="E127" s="3"/>
      <c r="F127" s="3"/>
      <c r="G127" s="3"/>
      <c r="H127" s="3"/>
      <c r="I127" s="4"/>
      <c r="J127" s="3"/>
      <c r="K127" s="3"/>
      <c r="L127" s="3"/>
      <c r="M127" s="3"/>
      <c r="N127" s="3"/>
      <c r="O127" s="4"/>
      <c r="P127" s="83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ht="24" customHeight="1" x14ac:dyDescent="0.5">
      <c r="A128" s="3"/>
      <c r="B128" s="3"/>
      <c r="C128" s="3"/>
      <c r="D128" s="3"/>
      <c r="E128" s="3"/>
      <c r="F128" s="3"/>
      <c r="G128" s="3"/>
      <c r="H128" s="3"/>
      <c r="I128" s="4"/>
      <c r="J128" s="3"/>
      <c r="K128" s="3"/>
      <c r="L128" s="3"/>
      <c r="M128" s="3"/>
      <c r="N128" s="3"/>
      <c r="O128" s="4"/>
      <c r="P128" s="83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 ht="24" customHeight="1" x14ac:dyDescent="0.5">
      <c r="A129" s="3"/>
      <c r="B129" s="3"/>
      <c r="C129" s="3"/>
      <c r="D129" s="3"/>
      <c r="E129" s="3"/>
      <c r="F129" s="3"/>
      <c r="G129" s="3"/>
      <c r="H129" s="3"/>
      <c r="I129" s="4"/>
      <c r="J129" s="3"/>
      <c r="K129" s="3"/>
      <c r="L129" s="3"/>
      <c r="M129" s="3"/>
      <c r="N129" s="3"/>
      <c r="O129" s="4"/>
      <c r="P129" s="83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 ht="24" customHeight="1" x14ac:dyDescent="0.5">
      <c r="A130" s="3"/>
      <c r="B130" s="3"/>
      <c r="C130" s="3"/>
      <c r="D130" s="3"/>
      <c r="E130" s="3"/>
      <c r="F130" s="3"/>
      <c r="G130" s="3"/>
      <c r="H130" s="3"/>
      <c r="I130" s="4"/>
      <c r="J130" s="3"/>
      <c r="K130" s="3"/>
      <c r="L130" s="3"/>
      <c r="M130" s="3"/>
      <c r="N130" s="3"/>
      <c r="O130" s="4"/>
      <c r="P130" s="83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ht="24" customHeight="1" x14ac:dyDescent="0.5">
      <c r="A131" s="3"/>
      <c r="B131" s="3"/>
      <c r="C131" s="3"/>
      <c r="D131" s="3"/>
      <c r="E131" s="3"/>
      <c r="F131" s="3"/>
      <c r="G131" s="3"/>
      <c r="H131" s="3"/>
      <c r="I131" s="4"/>
      <c r="J131" s="3"/>
      <c r="K131" s="3"/>
      <c r="L131" s="3"/>
      <c r="M131" s="3"/>
      <c r="N131" s="3"/>
      <c r="O131" s="4"/>
      <c r="P131" s="83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ht="24" customHeight="1" x14ac:dyDescent="0.5">
      <c r="A132" s="3"/>
      <c r="B132" s="3"/>
      <c r="C132" s="3"/>
      <c r="D132" s="3"/>
      <c r="E132" s="3"/>
      <c r="F132" s="3"/>
      <c r="G132" s="3"/>
      <c r="H132" s="3"/>
      <c r="I132" s="4"/>
      <c r="J132" s="3"/>
      <c r="K132" s="3"/>
      <c r="L132" s="3"/>
      <c r="M132" s="3"/>
      <c r="N132" s="3"/>
      <c r="O132" s="4"/>
      <c r="P132" s="83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ht="24" customHeight="1" x14ac:dyDescent="0.5">
      <c r="A133" s="3"/>
      <c r="B133" s="3"/>
      <c r="C133" s="3"/>
      <c r="D133" s="3"/>
      <c r="E133" s="3"/>
      <c r="F133" s="3"/>
      <c r="G133" s="3"/>
      <c r="H133" s="3"/>
      <c r="I133" s="4"/>
      <c r="J133" s="3"/>
      <c r="K133" s="3"/>
      <c r="L133" s="3"/>
      <c r="M133" s="3"/>
      <c r="N133" s="3"/>
      <c r="O133" s="4"/>
      <c r="P133" s="83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ht="24" customHeight="1" x14ac:dyDescent="0.5">
      <c r="A134" s="3"/>
      <c r="B134" s="3"/>
      <c r="C134" s="3"/>
      <c r="D134" s="3"/>
      <c r="E134" s="3"/>
      <c r="F134" s="3"/>
      <c r="G134" s="3"/>
      <c r="H134" s="3"/>
      <c r="I134" s="4"/>
      <c r="J134" s="3"/>
      <c r="K134" s="3"/>
      <c r="L134" s="3"/>
      <c r="M134" s="3"/>
      <c r="N134" s="3"/>
      <c r="O134" s="4"/>
      <c r="P134" s="83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ht="24" customHeight="1" x14ac:dyDescent="0.5">
      <c r="A135" s="3"/>
      <c r="B135" s="3"/>
      <c r="C135" s="3"/>
      <c r="D135" s="3"/>
      <c r="E135" s="3"/>
      <c r="F135" s="3"/>
      <c r="G135" s="3"/>
      <c r="H135" s="3"/>
      <c r="I135" s="4"/>
      <c r="J135" s="3"/>
      <c r="K135" s="3"/>
      <c r="L135" s="3"/>
      <c r="M135" s="3"/>
      <c r="N135" s="3"/>
      <c r="O135" s="4"/>
      <c r="P135" s="83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ht="24" customHeight="1" x14ac:dyDescent="0.5">
      <c r="A136" s="3"/>
      <c r="B136" s="3"/>
      <c r="C136" s="3"/>
      <c r="D136" s="3"/>
      <c r="E136" s="3"/>
      <c r="F136" s="3"/>
      <c r="G136" s="3"/>
      <c r="H136" s="3"/>
      <c r="I136" s="4"/>
      <c r="J136" s="3"/>
      <c r="K136" s="3"/>
      <c r="L136" s="3"/>
      <c r="M136" s="3"/>
      <c r="N136" s="3"/>
      <c r="O136" s="4"/>
      <c r="P136" s="83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ht="24" customHeight="1" x14ac:dyDescent="0.5">
      <c r="A137" s="3"/>
      <c r="B137" s="3"/>
      <c r="C137" s="3"/>
      <c r="D137" s="3"/>
      <c r="E137" s="3"/>
      <c r="F137" s="3"/>
      <c r="G137" s="3"/>
      <c r="H137" s="3"/>
      <c r="I137" s="4"/>
      <c r="J137" s="3"/>
      <c r="K137" s="3"/>
      <c r="L137" s="3"/>
      <c r="M137" s="3"/>
      <c r="N137" s="3"/>
      <c r="O137" s="4"/>
      <c r="P137" s="83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 ht="24" customHeight="1" x14ac:dyDescent="0.5">
      <c r="A138" s="3"/>
      <c r="B138" s="3"/>
      <c r="C138" s="3"/>
      <c r="D138" s="3"/>
      <c r="E138" s="3"/>
      <c r="F138" s="3"/>
      <c r="G138" s="3"/>
      <c r="H138" s="3"/>
      <c r="I138" s="4"/>
      <c r="J138" s="3"/>
      <c r="K138" s="3"/>
      <c r="L138" s="3"/>
      <c r="M138" s="3"/>
      <c r="N138" s="3"/>
      <c r="O138" s="4"/>
      <c r="P138" s="83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 ht="24" customHeight="1" x14ac:dyDescent="0.5">
      <c r="A139" s="3"/>
      <c r="B139" s="3"/>
      <c r="C139" s="3"/>
      <c r="D139" s="3"/>
      <c r="E139" s="3"/>
      <c r="F139" s="3"/>
      <c r="G139" s="3"/>
      <c r="H139" s="3"/>
      <c r="I139" s="4"/>
      <c r="J139" s="3"/>
      <c r="K139" s="3"/>
      <c r="L139" s="3"/>
      <c r="M139" s="3"/>
      <c r="N139" s="3"/>
      <c r="O139" s="4"/>
      <c r="P139" s="83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 ht="24" customHeight="1" x14ac:dyDescent="0.5">
      <c r="A140" s="3"/>
      <c r="B140" s="3"/>
      <c r="C140" s="3"/>
      <c r="D140" s="3"/>
      <c r="E140" s="3"/>
      <c r="F140" s="3"/>
      <c r="G140" s="3"/>
      <c r="H140" s="3"/>
      <c r="I140" s="4"/>
      <c r="J140" s="3"/>
      <c r="K140" s="3"/>
      <c r="L140" s="3"/>
      <c r="M140" s="3"/>
      <c r="N140" s="3"/>
      <c r="O140" s="4"/>
      <c r="P140" s="83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 ht="24" customHeight="1" x14ac:dyDescent="0.5">
      <c r="A141" s="3"/>
      <c r="B141" s="3"/>
      <c r="C141" s="3"/>
      <c r="D141" s="3"/>
      <c r="E141" s="3"/>
      <c r="F141" s="3"/>
      <c r="G141" s="3"/>
      <c r="H141" s="3"/>
      <c r="I141" s="4"/>
      <c r="J141" s="3"/>
      <c r="K141" s="3"/>
      <c r="L141" s="3"/>
      <c r="M141" s="3"/>
      <c r="N141" s="3"/>
      <c r="O141" s="4"/>
      <c r="P141" s="83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 ht="24" customHeight="1" x14ac:dyDescent="0.5">
      <c r="A142" s="3"/>
      <c r="B142" s="3"/>
      <c r="C142" s="3"/>
      <c r="D142" s="3"/>
      <c r="E142" s="3"/>
      <c r="F142" s="3"/>
      <c r="G142" s="3"/>
      <c r="H142" s="3"/>
      <c r="I142" s="4"/>
      <c r="J142" s="3"/>
      <c r="K142" s="3"/>
      <c r="L142" s="3"/>
      <c r="M142" s="3"/>
      <c r="N142" s="3"/>
      <c r="O142" s="4"/>
      <c r="P142" s="83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 ht="24" customHeight="1" x14ac:dyDescent="0.5">
      <c r="A143" s="3"/>
      <c r="B143" s="3"/>
      <c r="C143" s="3"/>
      <c r="D143" s="3"/>
      <c r="E143" s="3"/>
      <c r="F143" s="3"/>
      <c r="G143" s="3"/>
      <c r="H143" s="3"/>
      <c r="I143" s="4"/>
      <c r="J143" s="3"/>
      <c r="K143" s="3"/>
      <c r="L143" s="3"/>
      <c r="M143" s="3"/>
      <c r="N143" s="3"/>
      <c r="O143" s="4"/>
      <c r="P143" s="83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 ht="24" customHeight="1" x14ac:dyDescent="0.5">
      <c r="A144" s="3"/>
      <c r="B144" s="3"/>
      <c r="C144" s="3"/>
      <c r="D144" s="3"/>
      <c r="E144" s="3"/>
      <c r="F144" s="3"/>
      <c r="G144" s="3"/>
      <c r="H144" s="3"/>
      <c r="I144" s="4"/>
      <c r="J144" s="3"/>
      <c r="K144" s="3"/>
      <c r="L144" s="3"/>
      <c r="M144" s="3"/>
      <c r="N144" s="3"/>
      <c r="O144" s="4"/>
      <c r="P144" s="83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 ht="24" customHeight="1" x14ac:dyDescent="0.5">
      <c r="A145" s="3"/>
      <c r="B145" s="3"/>
      <c r="C145" s="3"/>
      <c r="D145" s="3"/>
      <c r="E145" s="3"/>
      <c r="F145" s="3"/>
      <c r="G145" s="3"/>
      <c r="H145" s="3"/>
      <c r="I145" s="4"/>
      <c r="J145" s="3"/>
      <c r="K145" s="3"/>
      <c r="L145" s="3"/>
      <c r="M145" s="3"/>
      <c r="N145" s="3"/>
      <c r="O145" s="4"/>
      <c r="P145" s="83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 ht="24" customHeight="1" x14ac:dyDescent="0.5">
      <c r="A146" s="3"/>
      <c r="B146" s="3"/>
      <c r="C146" s="3"/>
      <c r="D146" s="3"/>
      <c r="E146" s="3"/>
      <c r="F146" s="3"/>
      <c r="G146" s="3"/>
      <c r="H146" s="3"/>
      <c r="I146" s="4"/>
      <c r="J146" s="3"/>
      <c r="K146" s="3"/>
      <c r="L146" s="3"/>
      <c r="M146" s="3"/>
      <c r="N146" s="3"/>
      <c r="O146" s="4"/>
      <c r="P146" s="83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 ht="24" customHeight="1" x14ac:dyDescent="0.5">
      <c r="A147" s="3"/>
      <c r="B147" s="3"/>
      <c r="C147" s="3"/>
      <c r="D147" s="3"/>
      <c r="E147" s="3"/>
      <c r="F147" s="3"/>
      <c r="G147" s="3"/>
      <c r="H147" s="3"/>
      <c r="I147" s="4"/>
      <c r="J147" s="3"/>
      <c r="K147" s="3"/>
      <c r="L147" s="3"/>
      <c r="M147" s="3"/>
      <c r="N147" s="3"/>
      <c r="O147" s="4"/>
      <c r="P147" s="83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 ht="24" customHeight="1" x14ac:dyDescent="0.5">
      <c r="A148" s="3"/>
      <c r="B148" s="3"/>
      <c r="C148" s="3"/>
      <c r="D148" s="3"/>
      <c r="E148" s="3"/>
      <c r="F148" s="3"/>
      <c r="G148" s="3"/>
      <c r="H148" s="3"/>
      <c r="I148" s="4"/>
      <c r="J148" s="3"/>
      <c r="K148" s="3"/>
      <c r="L148" s="3"/>
      <c r="M148" s="3"/>
      <c r="N148" s="3"/>
      <c r="O148" s="4"/>
      <c r="P148" s="83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 ht="24" customHeight="1" x14ac:dyDescent="0.5">
      <c r="A149" s="3"/>
      <c r="B149" s="3"/>
      <c r="C149" s="3"/>
      <c r="D149" s="3"/>
      <c r="E149" s="3"/>
      <c r="F149" s="3"/>
      <c r="G149" s="3"/>
      <c r="H149" s="3"/>
      <c r="I149" s="4"/>
      <c r="J149" s="3"/>
      <c r="K149" s="3"/>
      <c r="L149" s="3"/>
      <c r="M149" s="3"/>
      <c r="N149" s="3"/>
      <c r="O149" s="4"/>
      <c r="P149" s="83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 ht="24" customHeight="1" x14ac:dyDescent="0.5">
      <c r="A150" s="3"/>
      <c r="B150" s="3"/>
      <c r="C150" s="3"/>
      <c r="D150" s="3"/>
      <c r="E150" s="3"/>
      <c r="F150" s="3"/>
      <c r="G150" s="3"/>
      <c r="H150" s="3"/>
      <c r="I150" s="4"/>
      <c r="J150" s="3"/>
      <c r="K150" s="3"/>
      <c r="L150" s="3"/>
      <c r="M150" s="3"/>
      <c r="N150" s="3"/>
      <c r="O150" s="4"/>
      <c r="P150" s="83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 ht="24" customHeight="1" x14ac:dyDescent="0.5">
      <c r="A151" s="3"/>
      <c r="B151" s="3"/>
      <c r="C151" s="3"/>
      <c r="D151" s="3"/>
      <c r="E151" s="3"/>
      <c r="F151" s="3"/>
      <c r="G151" s="3"/>
      <c r="H151" s="3"/>
      <c r="I151" s="4"/>
      <c r="J151" s="3"/>
      <c r="K151" s="3"/>
      <c r="L151" s="3"/>
      <c r="M151" s="3"/>
      <c r="N151" s="3"/>
      <c r="O151" s="4"/>
      <c r="P151" s="83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 ht="24" customHeight="1" x14ac:dyDescent="0.5">
      <c r="A152" s="3"/>
      <c r="B152" s="3"/>
      <c r="C152" s="3"/>
      <c r="D152" s="3"/>
      <c r="E152" s="3"/>
      <c r="F152" s="3"/>
      <c r="G152" s="3"/>
      <c r="H152" s="3"/>
      <c r="I152" s="4"/>
      <c r="J152" s="3"/>
      <c r="K152" s="3"/>
      <c r="L152" s="3"/>
      <c r="M152" s="3"/>
      <c r="N152" s="3"/>
      <c r="O152" s="4"/>
      <c r="P152" s="83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 ht="24" customHeight="1" x14ac:dyDescent="0.5">
      <c r="A153" s="3"/>
      <c r="B153" s="3"/>
      <c r="C153" s="3"/>
      <c r="D153" s="3"/>
      <c r="E153" s="3"/>
      <c r="F153" s="3"/>
      <c r="G153" s="3"/>
      <c r="H153" s="3"/>
      <c r="I153" s="4"/>
      <c r="J153" s="3"/>
      <c r="K153" s="3"/>
      <c r="L153" s="3"/>
      <c r="M153" s="3"/>
      <c r="N153" s="3"/>
      <c r="O153" s="4"/>
      <c r="P153" s="83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 ht="24" customHeight="1" x14ac:dyDescent="0.5">
      <c r="A154" s="3"/>
      <c r="B154" s="3"/>
      <c r="C154" s="3"/>
      <c r="D154" s="3"/>
      <c r="E154" s="3"/>
      <c r="F154" s="3"/>
      <c r="G154" s="3"/>
      <c r="H154" s="3"/>
      <c r="I154" s="4"/>
      <c r="J154" s="3"/>
      <c r="K154" s="3"/>
      <c r="L154" s="3"/>
      <c r="M154" s="3"/>
      <c r="N154" s="3"/>
      <c r="O154" s="4"/>
      <c r="P154" s="83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 ht="24" customHeight="1" x14ac:dyDescent="0.5">
      <c r="A155" s="3"/>
      <c r="B155" s="3"/>
      <c r="C155" s="3"/>
      <c r="D155" s="3"/>
      <c r="E155" s="3"/>
      <c r="F155" s="3"/>
      <c r="G155" s="3"/>
      <c r="H155" s="3"/>
      <c r="I155" s="4"/>
      <c r="J155" s="3"/>
      <c r="K155" s="3"/>
      <c r="L155" s="3"/>
      <c r="M155" s="3"/>
      <c r="N155" s="3"/>
      <c r="O155" s="4"/>
      <c r="P155" s="83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 ht="24" customHeight="1" x14ac:dyDescent="0.5">
      <c r="A156" s="3"/>
      <c r="B156" s="3"/>
      <c r="C156" s="3"/>
      <c r="D156" s="3"/>
      <c r="E156" s="3"/>
      <c r="F156" s="3"/>
      <c r="G156" s="3"/>
      <c r="H156" s="3"/>
      <c r="I156" s="4"/>
      <c r="J156" s="3"/>
      <c r="K156" s="3"/>
      <c r="L156" s="3"/>
      <c r="M156" s="3"/>
      <c r="N156" s="3"/>
      <c r="O156" s="4"/>
      <c r="P156" s="83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 ht="24" customHeight="1" x14ac:dyDescent="0.5">
      <c r="A157" s="3"/>
      <c r="B157" s="3"/>
      <c r="C157" s="3"/>
      <c r="D157" s="3"/>
      <c r="E157" s="3"/>
      <c r="F157" s="3"/>
      <c r="G157" s="3"/>
      <c r="H157" s="3"/>
      <c r="I157" s="4"/>
      <c r="J157" s="3"/>
      <c r="K157" s="3"/>
      <c r="L157" s="3"/>
      <c r="M157" s="3"/>
      <c r="N157" s="3"/>
      <c r="O157" s="4"/>
      <c r="P157" s="83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 ht="24" customHeight="1" x14ac:dyDescent="0.5">
      <c r="A158" s="3"/>
      <c r="B158" s="3"/>
      <c r="C158" s="3"/>
      <c r="D158" s="3"/>
      <c r="E158" s="3"/>
      <c r="F158" s="3"/>
      <c r="G158" s="3"/>
      <c r="H158" s="3"/>
      <c r="I158" s="4"/>
      <c r="J158" s="3"/>
      <c r="K158" s="3"/>
      <c r="L158" s="3"/>
      <c r="M158" s="3"/>
      <c r="N158" s="3"/>
      <c r="O158" s="4"/>
      <c r="P158" s="83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 ht="24" customHeight="1" x14ac:dyDescent="0.5">
      <c r="A159" s="3"/>
      <c r="B159" s="3"/>
      <c r="C159" s="3"/>
      <c r="D159" s="3"/>
      <c r="E159" s="3"/>
      <c r="F159" s="3"/>
      <c r="G159" s="3"/>
      <c r="H159" s="3"/>
      <c r="I159" s="4"/>
      <c r="J159" s="3"/>
      <c r="K159" s="3"/>
      <c r="L159" s="3"/>
      <c r="M159" s="3"/>
      <c r="N159" s="3"/>
      <c r="O159" s="4"/>
      <c r="P159" s="83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 ht="24" customHeight="1" x14ac:dyDescent="0.5">
      <c r="A160" s="3"/>
      <c r="B160" s="3"/>
      <c r="C160" s="3"/>
      <c r="D160" s="3"/>
      <c r="E160" s="3"/>
      <c r="F160" s="3"/>
      <c r="G160" s="3"/>
      <c r="H160" s="3"/>
      <c r="I160" s="4"/>
      <c r="J160" s="3"/>
      <c r="K160" s="3"/>
      <c r="L160" s="3"/>
      <c r="M160" s="3"/>
      <c r="N160" s="3"/>
      <c r="O160" s="4"/>
      <c r="P160" s="83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24" customHeight="1" x14ac:dyDescent="0.5">
      <c r="A161" s="3"/>
      <c r="B161" s="3"/>
      <c r="C161" s="3"/>
      <c r="D161" s="3"/>
      <c r="E161" s="3"/>
      <c r="F161" s="3"/>
      <c r="G161" s="3"/>
      <c r="H161" s="3"/>
      <c r="I161" s="4"/>
      <c r="J161" s="3"/>
      <c r="K161" s="3"/>
      <c r="L161" s="3"/>
      <c r="M161" s="3"/>
      <c r="N161" s="3"/>
      <c r="O161" s="4"/>
      <c r="P161" s="83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 ht="24" customHeight="1" x14ac:dyDescent="0.5">
      <c r="A162" s="3"/>
      <c r="B162" s="3"/>
      <c r="C162" s="3"/>
      <c r="D162" s="3"/>
      <c r="E162" s="3"/>
      <c r="F162" s="3"/>
      <c r="G162" s="3"/>
      <c r="H162" s="3"/>
      <c r="I162" s="4"/>
      <c r="J162" s="3"/>
      <c r="K162" s="3"/>
      <c r="L162" s="3"/>
      <c r="M162" s="3"/>
      <c r="N162" s="3"/>
      <c r="O162" s="4"/>
      <c r="P162" s="83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 ht="24" customHeight="1" x14ac:dyDescent="0.5">
      <c r="A163" s="3"/>
      <c r="B163" s="3"/>
      <c r="C163" s="3"/>
      <c r="D163" s="3"/>
      <c r="E163" s="3"/>
      <c r="F163" s="3"/>
      <c r="G163" s="3"/>
      <c r="H163" s="3"/>
      <c r="I163" s="4"/>
      <c r="J163" s="3"/>
      <c r="K163" s="3"/>
      <c r="L163" s="3"/>
      <c r="M163" s="3"/>
      <c r="N163" s="3"/>
      <c r="O163" s="4"/>
      <c r="P163" s="83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 ht="24" customHeight="1" x14ac:dyDescent="0.5">
      <c r="A164" s="3"/>
      <c r="B164" s="3"/>
      <c r="C164" s="3"/>
      <c r="D164" s="3"/>
      <c r="E164" s="3"/>
      <c r="F164" s="3"/>
      <c r="G164" s="3"/>
      <c r="H164" s="3"/>
      <c r="I164" s="4"/>
      <c r="J164" s="3"/>
      <c r="K164" s="3"/>
      <c r="L164" s="3"/>
      <c r="M164" s="3"/>
      <c r="N164" s="3"/>
      <c r="O164" s="4"/>
      <c r="P164" s="83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 ht="24" customHeight="1" x14ac:dyDescent="0.5">
      <c r="A165" s="3"/>
      <c r="B165" s="3"/>
      <c r="C165" s="3"/>
      <c r="D165" s="3"/>
      <c r="E165" s="3"/>
      <c r="F165" s="3"/>
      <c r="G165" s="3"/>
      <c r="H165" s="3"/>
      <c r="I165" s="4"/>
      <c r="J165" s="3"/>
      <c r="K165" s="3"/>
      <c r="L165" s="3"/>
      <c r="M165" s="3"/>
      <c r="N165" s="3"/>
      <c r="O165" s="4"/>
      <c r="P165" s="83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 ht="24" customHeight="1" x14ac:dyDescent="0.5">
      <c r="A166" s="3"/>
      <c r="B166" s="3"/>
      <c r="C166" s="3"/>
      <c r="D166" s="3"/>
      <c r="E166" s="3"/>
      <c r="F166" s="3"/>
      <c r="G166" s="3"/>
      <c r="H166" s="3"/>
      <c r="I166" s="4"/>
      <c r="J166" s="3"/>
      <c r="K166" s="3"/>
      <c r="L166" s="3"/>
      <c r="M166" s="3"/>
      <c r="N166" s="3"/>
      <c r="O166" s="4"/>
      <c r="P166" s="83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 ht="24" customHeight="1" x14ac:dyDescent="0.5">
      <c r="A167" s="3"/>
      <c r="B167" s="3"/>
      <c r="C167" s="3"/>
      <c r="D167" s="3"/>
      <c r="E167" s="3"/>
      <c r="F167" s="3"/>
      <c r="G167" s="3"/>
      <c r="H167" s="3"/>
      <c r="I167" s="4"/>
      <c r="J167" s="3"/>
      <c r="K167" s="3"/>
      <c r="L167" s="3"/>
      <c r="M167" s="3"/>
      <c r="N167" s="3"/>
      <c r="O167" s="4"/>
      <c r="P167" s="83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 ht="24" customHeight="1" x14ac:dyDescent="0.5">
      <c r="A168" s="3"/>
      <c r="B168" s="3"/>
      <c r="C168" s="3"/>
      <c r="D168" s="3"/>
      <c r="E168" s="3"/>
      <c r="F168" s="3"/>
      <c r="G168" s="3"/>
      <c r="H168" s="3"/>
      <c r="I168" s="4"/>
      <c r="J168" s="3"/>
      <c r="K168" s="3"/>
      <c r="L168" s="3"/>
      <c r="M168" s="3"/>
      <c r="N168" s="3"/>
      <c r="O168" s="4"/>
      <c r="P168" s="83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 ht="24" customHeight="1" x14ac:dyDescent="0.5">
      <c r="A169" s="3"/>
      <c r="B169" s="3"/>
      <c r="C169" s="3"/>
      <c r="D169" s="3"/>
      <c r="E169" s="3"/>
      <c r="F169" s="3"/>
      <c r="G169" s="3"/>
      <c r="H169" s="3"/>
      <c r="I169" s="4"/>
      <c r="J169" s="3"/>
      <c r="K169" s="3"/>
      <c r="L169" s="3"/>
      <c r="M169" s="3"/>
      <c r="N169" s="3"/>
      <c r="O169" s="4"/>
      <c r="P169" s="83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 ht="24" customHeight="1" x14ac:dyDescent="0.5">
      <c r="A170" s="3"/>
      <c r="B170" s="3"/>
      <c r="C170" s="3"/>
      <c r="D170" s="3"/>
      <c r="E170" s="3"/>
      <c r="F170" s="3"/>
      <c r="G170" s="3"/>
      <c r="H170" s="3"/>
      <c r="I170" s="4"/>
      <c r="J170" s="3"/>
      <c r="K170" s="3"/>
      <c r="L170" s="3"/>
      <c r="M170" s="3"/>
      <c r="N170" s="3"/>
      <c r="O170" s="4"/>
      <c r="P170" s="83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 ht="24" customHeight="1" x14ac:dyDescent="0.5">
      <c r="A171" s="3"/>
      <c r="B171" s="3"/>
      <c r="C171" s="3"/>
      <c r="D171" s="3"/>
      <c r="E171" s="3"/>
      <c r="F171" s="3"/>
      <c r="G171" s="3"/>
      <c r="H171" s="3"/>
      <c r="I171" s="4"/>
      <c r="J171" s="3"/>
      <c r="K171" s="3"/>
      <c r="L171" s="3"/>
      <c r="M171" s="3"/>
      <c r="N171" s="3"/>
      <c r="O171" s="4"/>
      <c r="P171" s="83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 ht="24" customHeight="1" x14ac:dyDescent="0.5">
      <c r="A172" s="3"/>
      <c r="B172" s="3"/>
      <c r="C172" s="3"/>
      <c r="D172" s="3"/>
      <c r="E172" s="3"/>
      <c r="F172" s="3"/>
      <c r="G172" s="3"/>
      <c r="H172" s="3"/>
      <c r="I172" s="4"/>
      <c r="J172" s="3"/>
      <c r="K172" s="3"/>
      <c r="L172" s="3"/>
      <c r="M172" s="3"/>
      <c r="N172" s="3"/>
      <c r="O172" s="4"/>
      <c r="P172" s="83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 ht="24" customHeight="1" x14ac:dyDescent="0.5">
      <c r="A173" s="3"/>
      <c r="B173" s="3"/>
      <c r="C173" s="3"/>
      <c r="D173" s="3"/>
      <c r="E173" s="3"/>
      <c r="F173" s="3"/>
      <c r="G173" s="3"/>
      <c r="H173" s="3"/>
      <c r="I173" s="4"/>
      <c r="J173" s="3"/>
      <c r="K173" s="3"/>
      <c r="L173" s="3"/>
      <c r="M173" s="3"/>
      <c r="N173" s="3"/>
      <c r="O173" s="4"/>
      <c r="P173" s="83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 ht="24" customHeight="1" x14ac:dyDescent="0.5">
      <c r="A174" s="3"/>
      <c r="B174" s="3"/>
      <c r="C174" s="3"/>
      <c r="D174" s="3"/>
      <c r="E174" s="3"/>
      <c r="F174" s="3"/>
      <c r="G174" s="3"/>
      <c r="H174" s="3"/>
      <c r="I174" s="4"/>
      <c r="J174" s="3"/>
      <c r="K174" s="3"/>
      <c r="L174" s="3"/>
      <c r="M174" s="3"/>
      <c r="N174" s="3"/>
      <c r="O174" s="4"/>
      <c r="P174" s="83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 ht="24" customHeight="1" x14ac:dyDescent="0.5">
      <c r="A175" s="3"/>
      <c r="B175" s="3"/>
      <c r="C175" s="3"/>
      <c r="D175" s="3"/>
      <c r="E175" s="3"/>
      <c r="F175" s="3"/>
      <c r="G175" s="3"/>
      <c r="H175" s="3"/>
      <c r="I175" s="4"/>
      <c r="J175" s="3"/>
      <c r="K175" s="3"/>
      <c r="L175" s="3"/>
      <c r="M175" s="3"/>
      <c r="N175" s="3"/>
      <c r="O175" s="4"/>
      <c r="P175" s="83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 ht="24" customHeight="1" x14ac:dyDescent="0.5">
      <c r="A176" s="3"/>
      <c r="B176" s="3"/>
      <c r="C176" s="3"/>
      <c r="D176" s="3"/>
      <c r="E176" s="3"/>
      <c r="F176" s="3"/>
      <c r="G176" s="3"/>
      <c r="H176" s="3"/>
      <c r="I176" s="4"/>
      <c r="J176" s="3"/>
      <c r="K176" s="3"/>
      <c r="L176" s="3"/>
      <c r="M176" s="3"/>
      <c r="N176" s="3"/>
      <c r="O176" s="4"/>
      <c r="P176" s="83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 ht="24" customHeight="1" x14ac:dyDescent="0.5">
      <c r="A177" s="3"/>
      <c r="B177" s="3"/>
      <c r="C177" s="3"/>
      <c r="D177" s="3"/>
      <c r="E177" s="3"/>
      <c r="F177" s="3"/>
      <c r="G177" s="3"/>
      <c r="H177" s="3"/>
      <c r="I177" s="4"/>
      <c r="J177" s="3"/>
      <c r="K177" s="3"/>
      <c r="L177" s="3"/>
      <c r="M177" s="3"/>
      <c r="N177" s="3"/>
      <c r="O177" s="4"/>
      <c r="P177" s="83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 ht="24" customHeight="1" x14ac:dyDescent="0.5">
      <c r="A178" s="3"/>
      <c r="B178" s="3"/>
      <c r="C178" s="3"/>
      <c r="D178" s="3"/>
      <c r="E178" s="3"/>
      <c r="F178" s="3"/>
      <c r="G178" s="3"/>
      <c r="H178" s="3"/>
      <c r="I178" s="4"/>
      <c r="J178" s="3"/>
      <c r="K178" s="3"/>
      <c r="L178" s="3"/>
      <c r="M178" s="3"/>
      <c r="N178" s="3"/>
      <c r="O178" s="4"/>
      <c r="P178" s="83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 ht="24" customHeight="1" x14ac:dyDescent="0.5">
      <c r="A179" s="3"/>
      <c r="B179" s="3"/>
      <c r="C179" s="3"/>
      <c r="D179" s="3"/>
      <c r="E179" s="3"/>
      <c r="F179" s="3"/>
      <c r="G179" s="3"/>
      <c r="H179" s="3"/>
      <c r="I179" s="4"/>
      <c r="J179" s="3"/>
      <c r="K179" s="3"/>
      <c r="L179" s="3"/>
      <c r="M179" s="3"/>
      <c r="N179" s="3"/>
      <c r="O179" s="4"/>
      <c r="P179" s="83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 ht="24" customHeight="1" x14ac:dyDescent="0.5">
      <c r="A180" s="3"/>
      <c r="B180" s="3"/>
      <c r="C180" s="3"/>
      <c r="D180" s="3"/>
      <c r="E180" s="3"/>
      <c r="F180" s="3"/>
      <c r="G180" s="3"/>
      <c r="H180" s="3"/>
      <c r="I180" s="4"/>
      <c r="J180" s="3"/>
      <c r="K180" s="3"/>
      <c r="L180" s="3"/>
      <c r="M180" s="3"/>
      <c r="N180" s="3"/>
      <c r="O180" s="4"/>
      <c r="P180" s="83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 ht="24" customHeight="1" x14ac:dyDescent="0.5">
      <c r="A181" s="3"/>
      <c r="B181" s="3"/>
      <c r="C181" s="3"/>
      <c r="D181" s="3"/>
      <c r="E181" s="3"/>
      <c r="F181" s="3"/>
      <c r="G181" s="3"/>
      <c r="H181" s="3"/>
      <c r="I181" s="4"/>
      <c r="J181" s="3"/>
      <c r="K181" s="3"/>
      <c r="L181" s="3"/>
      <c r="M181" s="3"/>
      <c r="N181" s="3"/>
      <c r="O181" s="4"/>
      <c r="P181" s="83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 ht="24" customHeight="1" x14ac:dyDescent="0.5">
      <c r="A182" s="3"/>
      <c r="B182" s="3"/>
      <c r="C182" s="3"/>
      <c r="D182" s="3"/>
      <c r="E182" s="3"/>
      <c r="F182" s="3"/>
      <c r="G182" s="3"/>
      <c r="H182" s="3"/>
      <c r="I182" s="4"/>
      <c r="J182" s="3"/>
      <c r="K182" s="3"/>
      <c r="L182" s="3"/>
      <c r="M182" s="3"/>
      <c r="N182" s="3"/>
      <c r="O182" s="4"/>
      <c r="P182" s="83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 ht="24" customHeight="1" x14ac:dyDescent="0.5">
      <c r="A183" s="3"/>
      <c r="B183" s="3"/>
      <c r="C183" s="3"/>
      <c r="D183" s="3"/>
      <c r="E183" s="3"/>
      <c r="F183" s="3"/>
      <c r="G183" s="3"/>
      <c r="H183" s="3"/>
      <c r="I183" s="4"/>
      <c r="J183" s="3"/>
      <c r="K183" s="3"/>
      <c r="L183" s="3"/>
      <c r="M183" s="3"/>
      <c r="N183" s="3"/>
      <c r="O183" s="4"/>
      <c r="P183" s="83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 ht="24" customHeight="1" x14ac:dyDescent="0.5">
      <c r="A184" s="3"/>
      <c r="B184" s="3"/>
      <c r="C184" s="3"/>
      <c r="D184" s="3"/>
      <c r="E184" s="3"/>
      <c r="F184" s="3"/>
      <c r="G184" s="3"/>
      <c r="H184" s="3"/>
      <c r="I184" s="4"/>
      <c r="J184" s="3"/>
      <c r="K184" s="3"/>
      <c r="L184" s="3"/>
      <c r="M184" s="3"/>
      <c r="N184" s="3"/>
      <c r="O184" s="4"/>
      <c r="P184" s="83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 ht="24" customHeight="1" x14ac:dyDescent="0.5">
      <c r="A185" s="3"/>
      <c r="B185" s="3"/>
      <c r="C185" s="3"/>
      <c r="D185" s="3"/>
      <c r="E185" s="3"/>
      <c r="F185" s="3"/>
      <c r="G185" s="3"/>
      <c r="H185" s="3"/>
      <c r="I185" s="4"/>
      <c r="J185" s="3"/>
      <c r="K185" s="3"/>
      <c r="L185" s="3"/>
      <c r="M185" s="3"/>
      <c r="N185" s="3"/>
      <c r="O185" s="4"/>
      <c r="P185" s="83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 ht="24" customHeight="1" x14ac:dyDescent="0.5">
      <c r="A186" s="3"/>
      <c r="B186" s="3"/>
      <c r="C186" s="3"/>
      <c r="D186" s="3"/>
      <c r="E186" s="3"/>
      <c r="F186" s="3"/>
      <c r="G186" s="3"/>
      <c r="H186" s="3"/>
      <c r="I186" s="4"/>
      <c r="J186" s="3"/>
      <c r="K186" s="3"/>
      <c r="L186" s="3"/>
      <c r="M186" s="3"/>
      <c r="N186" s="3"/>
      <c r="O186" s="4"/>
      <c r="P186" s="83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 ht="24" customHeight="1" x14ac:dyDescent="0.5">
      <c r="A187" s="3"/>
      <c r="B187" s="3"/>
      <c r="C187" s="3"/>
      <c r="D187" s="3"/>
      <c r="E187" s="3"/>
      <c r="F187" s="3"/>
      <c r="G187" s="3"/>
      <c r="H187" s="3"/>
      <c r="I187" s="4"/>
      <c r="J187" s="3"/>
      <c r="K187" s="3"/>
      <c r="L187" s="3"/>
      <c r="M187" s="3"/>
      <c r="N187" s="3"/>
      <c r="O187" s="4"/>
      <c r="P187" s="83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 ht="24" customHeight="1" x14ac:dyDescent="0.5">
      <c r="A188" s="3"/>
      <c r="B188" s="3"/>
      <c r="C188" s="3"/>
      <c r="D188" s="3"/>
      <c r="E188" s="3"/>
      <c r="F188" s="3"/>
      <c r="G188" s="3"/>
      <c r="H188" s="3"/>
      <c r="I188" s="4"/>
      <c r="J188" s="3"/>
      <c r="K188" s="3"/>
      <c r="L188" s="3"/>
      <c r="M188" s="3"/>
      <c r="N188" s="3"/>
      <c r="O188" s="4"/>
      <c r="P188" s="83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 ht="24" customHeight="1" x14ac:dyDescent="0.5">
      <c r="A189" s="3"/>
      <c r="B189" s="3"/>
      <c r="C189" s="3"/>
      <c r="D189" s="3"/>
      <c r="E189" s="3"/>
      <c r="F189" s="3"/>
      <c r="G189" s="3"/>
      <c r="H189" s="3"/>
      <c r="I189" s="4"/>
      <c r="J189" s="3"/>
      <c r="K189" s="3"/>
      <c r="L189" s="3"/>
      <c r="M189" s="3"/>
      <c r="N189" s="3"/>
      <c r="O189" s="4"/>
      <c r="P189" s="83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 ht="24" customHeight="1" x14ac:dyDescent="0.5">
      <c r="A190" s="3"/>
      <c r="B190" s="3"/>
      <c r="C190" s="3"/>
      <c r="D190" s="3"/>
      <c r="E190" s="3"/>
      <c r="F190" s="3"/>
      <c r="G190" s="3"/>
      <c r="H190" s="3"/>
      <c r="I190" s="4"/>
      <c r="J190" s="3"/>
      <c r="K190" s="3"/>
      <c r="L190" s="3"/>
      <c r="M190" s="3"/>
      <c r="N190" s="3"/>
      <c r="O190" s="4"/>
      <c r="P190" s="83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 ht="24" customHeight="1" x14ac:dyDescent="0.5">
      <c r="A191" s="3"/>
      <c r="B191" s="3"/>
      <c r="C191" s="3"/>
      <c r="D191" s="3"/>
      <c r="E191" s="3"/>
      <c r="F191" s="3"/>
      <c r="G191" s="3"/>
      <c r="H191" s="3"/>
      <c r="I191" s="4"/>
      <c r="J191" s="3"/>
      <c r="K191" s="3"/>
      <c r="L191" s="3"/>
      <c r="M191" s="3"/>
      <c r="N191" s="3"/>
      <c r="O191" s="4"/>
      <c r="P191" s="83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ht="24" customHeight="1" x14ac:dyDescent="0.5">
      <c r="A192" s="3"/>
      <c r="B192" s="3"/>
      <c r="C192" s="3"/>
      <c r="D192" s="3"/>
      <c r="E192" s="3"/>
      <c r="F192" s="3"/>
      <c r="G192" s="3"/>
      <c r="H192" s="3"/>
      <c r="I192" s="4"/>
      <c r="J192" s="3"/>
      <c r="K192" s="3"/>
      <c r="L192" s="3"/>
      <c r="M192" s="3"/>
      <c r="N192" s="3"/>
      <c r="O192" s="4"/>
      <c r="P192" s="83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 ht="24" customHeight="1" x14ac:dyDescent="0.5">
      <c r="A193" s="3"/>
      <c r="B193" s="3"/>
      <c r="C193" s="3"/>
      <c r="D193" s="3"/>
      <c r="E193" s="3"/>
      <c r="F193" s="3"/>
      <c r="G193" s="3"/>
      <c r="H193" s="3"/>
      <c r="I193" s="4"/>
      <c r="J193" s="3"/>
      <c r="K193" s="3"/>
      <c r="L193" s="3"/>
      <c r="M193" s="3"/>
      <c r="N193" s="3"/>
      <c r="O193" s="4"/>
      <c r="P193" s="83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 ht="24" customHeight="1" x14ac:dyDescent="0.5">
      <c r="A194" s="3"/>
      <c r="B194" s="3"/>
      <c r="C194" s="3"/>
      <c r="D194" s="3"/>
      <c r="E194" s="3"/>
      <c r="F194" s="3"/>
      <c r="G194" s="3"/>
      <c r="H194" s="3"/>
      <c r="I194" s="4"/>
      <c r="J194" s="3"/>
      <c r="K194" s="3"/>
      <c r="L194" s="3"/>
      <c r="M194" s="3"/>
      <c r="N194" s="3"/>
      <c r="O194" s="4"/>
      <c r="P194" s="83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 ht="24" customHeight="1" x14ac:dyDescent="0.5">
      <c r="A195" s="3"/>
      <c r="B195" s="3"/>
      <c r="C195" s="3"/>
      <c r="D195" s="3"/>
      <c r="E195" s="3"/>
      <c r="F195" s="3"/>
      <c r="G195" s="3"/>
      <c r="H195" s="3"/>
      <c r="I195" s="4"/>
      <c r="J195" s="3"/>
      <c r="K195" s="3"/>
      <c r="L195" s="3"/>
      <c r="M195" s="3"/>
      <c r="N195" s="3"/>
      <c r="O195" s="4"/>
      <c r="P195" s="83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 ht="24" customHeight="1" x14ac:dyDescent="0.5">
      <c r="A196" s="3"/>
      <c r="B196" s="3"/>
      <c r="C196" s="3"/>
      <c r="D196" s="3"/>
      <c r="E196" s="3"/>
      <c r="F196" s="3"/>
      <c r="G196" s="3"/>
      <c r="H196" s="3"/>
      <c r="I196" s="4"/>
      <c r="J196" s="3"/>
      <c r="K196" s="3"/>
      <c r="L196" s="3"/>
      <c r="M196" s="3"/>
      <c r="N196" s="3"/>
      <c r="O196" s="4"/>
      <c r="P196" s="83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ht="24" customHeight="1" x14ac:dyDescent="0.5">
      <c r="A197" s="3"/>
      <c r="B197" s="3"/>
      <c r="C197" s="3"/>
      <c r="D197" s="3"/>
      <c r="E197" s="3"/>
      <c r="F197" s="3"/>
      <c r="G197" s="3"/>
      <c r="H197" s="3"/>
      <c r="I197" s="4"/>
      <c r="J197" s="3"/>
      <c r="K197" s="3"/>
      <c r="L197" s="3"/>
      <c r="M197" s="3"/>
      <c r="N197" s="3"/>
      <c r="O197" s="4"/>
      <c r="P197" s="83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ht="24" customHeight="1" x14ac:dyDescent="0.5">
      <c r="A198" s="3"/>
      <c r="B198" s="3"/>
      <c r="C198" s="3"/>
      <c r="D198" s="3"/>
      <c r="E198" s="3"/>
      <c r="F198" s="3"/>
      <c r="G198" s="3"/>
      <c r="H198" s="3"/>
      <c r="I198" s="4"/>
      <c r="J198" s="3"/>
      <c r="K198" s="3"/>
      <c r="L198" s="3"/>
      <c r="M198" s="3"/>
      <c r="N198" s="3"/>
      <c r="O198" s="4"/>
      <c r="P198" s="83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ht="24" customHeight="1" x14ac:dyDescent="0.5">
      <c r="A199" s="3"/>
      <c r="B199" s="3"/>
      <c r="C199" s="3"/>
      <c r="D199" s="3"/>
      <c r="E199" s="3"/>
      <c r="F199" s="3"/>
      <c r="G199" s="3"/>
      <c r="H199" s="3"/>
      <c r="I199" s="4"/>
      <c r="J199" s="3"/>
      <c r="K199" s="3"/>
      <c r="L199" s="3"/>
      <c r="M199" s="3"/>
      <c r="N199" s="3"/>
      <c r="O199" s="4"/>
      <c r="P199" s="83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 ht="24" customHeight="1" x14ac:dyDescent="0.5">
      <c r="A200" s="3"/>
      <c r="B200" s="3"/>
      <c r="C200" s="3"/>
      <c r="D200" s="3"/>
      <c r="E200" s="3"/>
      <c r="F200" s="3"/>
      <c r="G200" s="3"/>
      <c r="H200" s="3"/>
      <c r="I200" s="4"/>
      <c r="J200" s="3"/>
      <c r="K200" s="3"/>
      <c r="L200" s="3"/>
      <c r="M200" s="3"/>
      <c r="N200" s="3"/>
      <c r="O200" s="4"/>
      <c r="P200" s="83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 ht="24" customHeight="1" x14ac:dyDescent="0.5">
      <c r="A201" s="3"/>
      <c r="B201" s="3"/>
      <c r="C201" s="3"/>
      <c r="D201" s="3"/>
      <c r="E201" s="3"/>
      <c r="F201" s="3"/>
      <c r="G201" s="3"/>
      <c r="H201" s="3"/>
      <c r="I201" s="4"/>
      <c r="J201" s="3"/>
      <c r="K201" s="3"/>
      <c r="L201" s="3"/>
      <c r="M201" s="3"/>
      <c r="N201" s="3"/>
      <c r="O201" s="4"/>
      <c r="P201" s="83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 ht="24" customHeight="1" x14ac:dyDescent="0.5">
      <c r="A202" s="3"/>
      <c r="B202" s="3"/>
      <c r="C202" s="3"/>
      <c r="D202" s="3"/>
      <c r="E202" s="3"/>
      <c r="F202" s="3"/>
      <c r="G202" s="3"/>
      <c r="H202" s="3"/>
      <c r="I202" s="4"/>
      <c r="J202" s="3"/>
      <c r="K202" s="3"/>
      <c r="L202" s="3"/>
      <c r="M202" s="3"/>
      <c r="N202" s="3"/>
      <c r="O202" s="4"/>
      <c r="P202" s="83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 ht="24" customHeight="1" x14ac:dyDescent="0.5">
      <c r="A203" s="3"/>
      <c r="B203" s="3"/>
      <c r="C203" s="3"/>
      <c r="D203" s="3"/>
      <c r="E203" s="3"/>
      <c r="F203" s="3"/>
      <c r="G203" s="3"/>
      <c r="H203" s="3"/>
      <c r="I203" s="4"/>
      <c r="J203" s="3"/>
      <c r="K203" s="3"/>
      <c r="L203" s="3"/>
      <c r="M203" s="3"/>
      <c r="N203" s="3"/>
      <c r="O203" s="4"/>
      <c r="P203" s="83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 ht="24" customHeight="1" x14ac:dyDescent="0.5">
      <c r="A204" s="3"/>
      <c r="B204" s="3"/>
      <c r="C204" s="3"/>
      <c r="D204" s="3"/>
      <c r="E204" s="3"/>
      <c r="F204" s="3"/>
      <c r="G204" s="3"/>
      <c r="H204" s="3"/>
      <c r="I204" s="4"/>
      <c r="J204" s="3"/>
      <c r="K204" s="3"/>
      <c r="L204" s="3"/>
      <c r="M204" s="3"/>
      <c r="N204" s="3"/>
      <c r="O204" s="4"/>
      <c r="P204" s="83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 ht="24" customHeight="1" x14ac:dyDescent="0.5">
      <c r="A205" s="3"/>
      <c r="B205" s="3"/>
      <c r="C205" s="3"/>
      <c r="D205" s="3"/>
      <c r="E205" s="3"/>
      <c r="F205" s="3"/>
      <c r="G205" s="3"/>
      <c r="H205" s="3"/>
      <c r="I205" s="4"/>
      <c r="J205" s="3"/>
      <c r="K205" s="3"/>
      <c r="L205" s="3"/>
      <c r="M205" s="3"/>
      <c r="N205" s="3"/>
      <c r="O205" s="4"/>
      <c r="P205" s="83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 ht="24" customHeight="1" x14ac:dyDescent="0.5">
      <c r="A206" s="3"/>
      <c r="B206" s="3"/>
      <c r="C206" s="3"/>
      <c r="D206" s="3"/>
      <c r="E206" s="3"/>
      <c r="F206" s="3"/>
      <c r="G206" s="3"/>
      <c r="H206" s="3"/>
      <c r="I206" s="4"/>
      <c r="J206" s="3"/>
      <c r="K206" s="3"/>
      <c r="L206" s="3"/>
      <c r="M206" s="3"/>
      <c r="N206" s="3"/>
      <c r="O206" s="4"/>
      <c r="P206" s="83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 ht="24" customHeight="1" x14ac:dyDescent="0.5">
      <c r="A207" s="3"/>
      <c r="B207" s="3"/>
      <c r="C207" s="3"/>
      <c r="D207" s="3"/>
      <c r="E207" s="3"/>
      <c r="F207" s="3"/>
      <c r="G207" s="3"/>
      <c r="H207" s="3"/>
      <c r="I207" s="4"/>
      <c r="J207" s="3"/>
      <c r="K207" s="3"/>
      <c r="L207" s="3"/>
      <c r="M207" s="3"/>
      <c r="N207" s="3"/>
      <c r="O207" s="4"/>
      <c r="P207" s="83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 ht="24" customHeight="1" x14ac:dyDescent="0.5">
      <c r="A208" s="3"/>
      <c r="B208" s="3"/>
      <c r="C208" s="3"/>
      <c r="D208" s="3"/>
      <c r="E208" s="3"/>
      <c r="F208" s="3"/>
      <c r="G208" s="3"/>
      <c r="H208" s="3"/>
      <c r="I208" s="4"/>
      <c r="J208" s="3"/>
      <c r="K208" s="3"/>
      <c r="L208" s="3"/>
      <c r="M208" s="3"/>
      <c r="N208" s="3"/>
      <c r="O208" s="4"/>
      <c r="P208" s="83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 ht="24" customHeight="1" x14ac:dyDescent="0.5">
      <c r="A209" s="3"/>
      <c r="B209" s="3"/>
      <c r="C209" s="3"/>
      <c r="D209" s="3"/>
      <c r="E209" s="3"/>
      <c r="F209" s="3"/>
      <c r="G209" s="3"/>
      <c r="H209" s="3"/>
      <c r="I209" s="4"/>
      <c r="J209" s="3"/>
      <c r="K209" s="3"/>
      <c r="L209" s="3"/>
      <c r="M209" s="3"/>
      <c r="N209" s="3"/>
      <c r="O209" s="4"/>
      <c r="P209" s="83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 ht="24" customHeight="1" x14ac:dyDescent="0.5">
      <c r="A210" s="3"/>
      <c r="B210" s="3"/>
      <c r="C210" s="3"/>
      <c r="D210" s="3"/>
      <c r="E210" s="3"/>
      <c r="F210" s="3"/>
      <c r="G210" s="3"/>
      <c r="H210" s="3"/>
      <c r="I210" s="4"/>
      <c r="J210" s="3"/>
      <c r="K210" s="3"/>
      <c r="L210" s="3"/>
      <c r="M210" s="3"/>
      <c r="N210" s="3"/>
      <c r="O210" s="4"/>
      <c r="P210" s="83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 ht="24" customHeight="1" x14ac:dyDescent="0.5">
      <c r="A211" s="3"/>
      <c r="B211" s="3"/>
      <c r="C211" s="3"/>
      <c r="D211" s="3"/>
      <c r="E211" s="3"/>
      <c r="F211" s="3"/>
      <c r="G211" s="3"/>
      <c r="H211" s="3"/>
      <c r="I211" s="4"/>
      <c r="J211" s="3"/>
      <c r="K211" s="3"/>
      <c r="L211" s="3"/>
      <c r="M211" s="3"/>
      <c r="N211" s="3"/>
      <c r="O211" s="4"/>
      <c r="P211" s="83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 ht="24" customHeight="1" x14ac:dyDescent="0.5">
      <c r="A212" s="3"/>
      <c r="B212" s="3"/>
      <c r="C212" s="3"/>
      <c r="D212" s="3"/>
      <c r="E212" s="3"/>
      <c r="F212" s="3"/>
      <c r="G212" s="3"/>
      <c r="H212" s="3"/>
      <c r="I212" s="4"/>
      <c r="J212" s="3"/>
      <c r="K212" s="3"/>
      <c r="L212" s="3"/>
      <c r="M212" s="3"/>
      <c r="N212" s="3"/>
      <c r="O212" s="4"/>
      <c r="P212" s="83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 ht="24" customHeight="1" x14ac:dyDescent="0.5">
      <c r="A213" s="3"/>
      <c r="B213" s="3"/>
      <c r="C213" s="3"/>
      <c r="D213" s="3"/>
      <c r="E213" s="3"/>
      <c r="F213" s="3"/>
      <c r="G213" s="3"/>
      <c r="H213" s="3"/>
      <c r="I213" s="4"/>
      <c r="J213" s="3"/>
      <c r="K213" s="3"/>
      <c r="L213" s="3"/>
      <c r="M213" s="3"/>
      <c r="N213" s="3"/>
      <c r="O213" s="4"/>
      <c r="P213" s="83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 ht="24" customHeight="1" x14ac:dyDescent="0.5">
      <c r="A214" s="3"/>
      <c r="B214" s="3"/>
      <c r="C214" s="3"/>
      <c r="D214" s="3"/>
      <c r="E214" s="3"/>
      <c r="F214" s="3"/>
      <c r="G214" s="3"/>
      <c r="H214" s="3"/>
      <c r="I214" s="4"/>
      <c r="J214" s="3"/>
      <c r="K214" s="3"/>
      <c r="L214" s="3"/>
      <c r="M214" s="3"/>
      <c r="N214" s="3"/>
      <c r="O214" s="4"/>
      <c r="P214" s="83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 ht="24" customHeight="1" x14ac:dyDescent="0.5">
      <c r="A215" s="3"/>
      <c r="B215" s="3"/>
      <c r="C215" s="3"/>
      <c r="D215" s="3"/>
      <c r="E215" s="3"/>
      <c r="F215" s="3"/>
      <c r="G215" s="3"/>
      <c r="H215" s="3"/>
      <c r="I215" s="4"/>
      <c r="J215" s="3"/>
      <c r="K215" s="3"/>
      <c r="L215" s="3"/>
      <c r="M215" s="3"/>
      <c r="N215" s="3"/>
      <c r="O215" s="4"/>
      <c r="P215" s="83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 ht="24" customHeight="1" x14ac:dyDescent="0.5">
      <c r="A216" s="3"/>
      <c r="B216" s="3"/>
      <c r="C216" s="3"/>
      <c r="D216" s="3"/>
      <c r="E216" s="3"/>
      <c r="F216" s="3"/>
      <c r="G216" s="3"/>
      <c r="H216" s="3"/>
      <c r="I216" s="4"/>
      <c r="J216" s="3"/>
      <c r="K216" s="3"/>
      <c r="L216" s="3"/>
      <c r="M216" s="3"/>
      <c r="N216" s="3"/>
      <c r="O216" s="4"/>
      <c r="P216" s="83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 ht="24" customHeight="1" x14ac:dyDescent="0.5">
      <c r="A217" s="3"/>
      <c r="B217" s="3"/>
      <c r="C217" s="3"/>
      <c r="D217" s="3"/>
      <c r="E217" s="3"/>
      <c r="F217" s="3"/>
      <c r="G217" s="3"/>
      <c r="H217" s="3"/>
      <c r="I217" s="4"/>
      <c r="J217" s="3"/>
      <c r="K217" s="3"/>
      <c r="L217" s="3"/>
      <c r="M217" s="3"/>
      <c r="N217" s="3"/>
      <c r="O217" s="4"/>
      <c r="P217" s="83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 ht="24" customHeight="1" x14ac:dyDescent="0.5">
      <c r="A218" s="3"/>
      <c r="B218" s="3"/>
      <c r="C218" s="3"/>
      <c r="D218" s="3"/>
      <c r="E218" s="3"/>
      <c r="F218" s="3"/>
      <c r="G218" s="3"/>
      <c r="H218" s="3"/>
      <c r="I218" s="4"/>
      <c r="J218" s="3"/>
      <c r="K218" s="3"/>
      <c r="L218" s="3"/>
      <c r="M218" s="3"/>
      <c r="N218" s="3"/>
      <c r="O218" s="4"/>
      <c r="P218" s="83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 ht="24" customHeight="1" x14ac:dyDescent="0.5">
      <c r="A219" s="3"/>
      <c r="B219" s="3"/>
      <c r="C219" s="3"/>
      <c r="D219" s="3"/>
      <c r="E219" s="3"/>
      <c r="F219" s="3"/>
      <c r="G219" s="3"/>
      <c r="H219" s="3"/>
      <c r="I219" s="4"/>
      <c r="J219" s="3"/>
      <c r="K219" s="3"/>
      <c r="L219" s="3"/>
      <c r="M219" s="3"/>
      <c r="N219" s="3"/>
      <c r="O219" s="4"/>
      <c r="P219" s="83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 ht="24" customHeight="1" x14ac:dyDescent="0.5">
      <c r="A220" s="3"/>
      <c r="B220" s="3"/>
      <c r="C220" s="3"/>
      <c r="D220" s="3"/>
      <c r="E220" s="3"/>
      <c r="F220" s="3"/>
      <c r="G220" s="3"/>
      <c r="H220" s="3"/>
      <c r="I220" s="4"/>
      <c r="J220" s="3"/>
      <c r="K220" s="3"/>
      <c r="L220" s="3"/>
      <c r="M220" s="3"/>
      <c r="N220" s="3"/>
      <c r="O220" s="4"/>
      <c r="P220" s="83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 ht="24" customHeight="1" x14ac:dyDescent="0.5">
      <c r="A221" s="3"/>
      <c r="B221" s="3"/>
      <c r="C221" s="3"/>
      <c r="D221" s="3"/>
      <c r="E221" s="3"/>
      <c r="F221" s="3"/>
      <c r="G221" s="3"/>
      <c r="H221" s="3"/>
      <c r="I221" s="4"/>
      <c r="J221" s="3"/>
      <c r="K221" s="3"/>
      <c r="L221" s="3"/>
      <c r="M221" s="3"/>
      <c r="N221" s="3"/>
      <c r="O221" s="4"/>
      <c r="P221" s="83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 ht="24" customHeight="1" x14ac:dyDescent="0.5">
      <c r="A222" s="3"/>
      <c r="B222" s="3"/>
      <c r="C222" s="3"/>
      <c r="D222" s="3"/>
      <c r="E222" s="3"/>
      <c r="F222" s="3"/>
      <c r="G222" s="3"/>
      <c r="H222" s="3"/>
      <c r="I222" s="4"/>
      <c r="J222" s="3"/>
      <c r="K222" s="3"/>
      <c r="L222" s="3"/>
      <c r="M222" s="3"/>
      <c r="N222" s="3"/>
      <c r="O222" s="4"/>
      <c r="P222" s="83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 ht="24" customHeight="1" x14ac:dyDescent="0.5">
      <c r="A223" s="3"/>
      <c r="B223" s="3"/>
      <c r="C223" s="3"/>
      <c r="D223" s="3"/>
      <c r="E223" s="3"/>
      <c r="F223" s="3"/>
      <c r="G223" s="3"/>
      <c r="H223" s="3"/>
      <c r="I223" s="4"/>
      <c r="J223" s="3"/>
      <c r="K223" s="3"/>
      <c r="L223" s="3"/>
      <c r="M223" s="3"/>
      <c r="N223" s="3"/>
      <c r="O223" s="4"/>
      <c r="P223" s="83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 ht="24" customHeight="1" x14ac:dyDescent="0.5">
      <c r="A224" s="3"/>
      <c r="B224" s="3"/>
      <c r="C224" s="3"/>
      <c r="D224" s="3"/>
      <c r="E224" s="3"/>
      <c r="F224" s="3"/>
      <c r="G224" s="3"/>
      <c r="H224" s="3"/>
      <c r="I224" s="4"/>
      <c r="J224" s="3"/>
      <c r="K224" s="3"/>
      <c r="L224" s="3"/>
      <c r="M224" s="3"/>
      <c r="N224" s="3"/>
      <c r="O224" s="4"/>
      <c r="P224" s="83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spans="1:26" ht="24" customHeight="1" x14ac:dyDescent="0.5">
      <c r="A225" s="3"/>
      <c r="B225" s="3"/>
      <c r="C225" s="3"/>
      <c r="D225" s="3"/>
      <c r="E225" s="3"/>
      <c r="F225" s="3"/>
      <c r="G225" s="3"/>
      <c r="H225" s="3"/>
      <c r="I225" s="4"/>
      <c r="J225" s="3"/>
      <c r="K225" s="3"/>
      <c r="L225" s="3"/>
      <c r="M225" s="3"/>
      <c r="N225" s="3"/>
      <c r="O225" s="4"/>
      <c r="P225" s="83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spans="1:26" ht="24" customHeight="1" x14ac:dyDescent="0.5">
      <c r="A226" s="3"/>
      <c r="B226" s="3"/>
      <c r="C226" s="3"/>
      <c r="D226" s="3"/>
      <c r="E226" s="3"/>
      <c r="F226" s="3"/>
      <c r="G226" s="3"/>
      <c r="H226" s="3"/>
      <c r="I226" s="4"/>
      <c r="J226" s="3"/>
      <c r="K226" s="3"/>
      <c r="L226" s="3"/>
      <c r="M226" s="3"/>
      <c r="N226" s="3"/>
      <c r="O226" s="4"/>
      <c r="P226" s="83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 ht="24" customHeight="1" x14ac:dyDescent="0.5">
      <c r="A227" s="3"/>
      <c r="B227" s="3"/>
      <c r="C227" s="3"/>
      <c r="D227" s="3"/>
      <c r="E227" s="3"/>
      <c r="F227" s="3"/>
      <c r="G227" s="3"/>
      <c r="H227" s="3"/>
      <c r="I227" s="4"/>
      <c r="J227" s="3"/>
      <c r="K227" s="3"/>
      <c r="L227" s="3"/>
      <c r="M227" s="3"/>
      <c r="N227" s="3"/>
      <c r="O227" s="4"/>
      <c r="P227" s="83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 ht="24" customHeight="1" x14ac:dyDescent="0.5">
      <c r="A228" s="3"/>
      <c r="B228" s="3"/>
      <c r="C228" s="3"/>
      <c r="D228" s="3"/>
      <c r="E228" s="3"/>
      <c r="F228" s="3"/>
      <c r="G228" s="3"/>
      <c r="H228" s="3"/>
      <c r="I228" s="4"/>
      <c r="J228" s="3"/>
      <c r="K228" s="3"/>
      <c r="L228" s="3"/>
      <c r="M228" s="3"/>
      <c r="N228" s="3"/>
      <c r="O228" s="4"/>
      <c r="P228" s="83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 ht="24" customHeight="1" x14ac:dyDescent="0.5">
      <c r="A229" s="3"/>
      <c r="B229" s="3"/>
      <c r="C229" s="3"/>
      <c r="D229" s="3"/>
      <c r="E229" s="3"/>
      <c r="F229" s="3"/>
      <c r="G229" s="3"/>
      <c r="H229" s="3"/>
      <c r="I229" s="4"/>
      <c r="J229" s="3"/>
      <c r="K229" s="3"/>
      <c r="L229" s="3"/>
      <c r="M229" s="3"/>
      <c r="N229" s="3"/>
      <c r="O229" s="4"/>
      <c r="P229" s="83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 ht="24" customHeight="1" x14ac:dyDescent="0.5">
      <c r="A230" s="3"/>
      <c r="B230" s="3"/>
      <c r="C230" s="3"/>
      <c r="D230" s="3"/>
      <c r="E230" s="3"/>
      <c r="F230" s="3"/>
      <c r="G230" s="3"/>
      <c r="H230" s="3"/>
      <c r="I230" s="4"/>
      <c r="J230" s="3"/>
      <c r="K230" s="3"/>
      <c r="L230" s="3"/>
      <c r="M230" s="3"/>
      <c r="N230" s="3"/>
      <c r="O230" s="4"/>
      <c r="P230" s="83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 ht="24" customHeight="1" x14ac:dyDescent="0.5">
      <c r="A231" s="3"/>
      <c r="B231" s="3"/>
      <c r="C231" s="3"/>
      <c r="D231" s="3"/>
      <c r="E231" s="3"/>
      <c r="F231" s="3"/>
      <c r="G231" s="3"/>
      <c r="H231" s="3"/>
      <c r="I231" s="4"/>
      <c r="J231" s="3"/>
      <c r="K231" s="3"/>
      <c r="L231" s="3"/>
      <c r="M231" s="3"/>
      <c r="N231" s="3"/>
      <c r="O231" s="4"/>
      <c r="P231" s="83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 ht="24" customHeight="1" x14ac:dyDescent="0.5">
      <c r="A232" s="3"/>
      <c r="B232" s="3"/>
      <c r="C232" s="3"/>
      <c r="D232" s="3"/>
      <c r="E232" s="3"/>
      <c r="F232" s="3"/>
      <c r="G232" s="3"/>
      <c r="H232" s="3"/>
      <c r="I232" s="4"/>
      <c r="J232" s="3"/>
      <c r="K232" s="3"/>
      <c r="L232" s="3"/>
      <c r="M232" s="3"/>
      <c r="N232" s="3"/>
      <c r="O232" s="4"/>
      <c r="P232" s="83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 ht="24" customHeight="1" x14ac:dyDescent="0.5">
      <c r="A233" s="3"/>
      <c r="B233" s="3"/>
      <c r="C233" s="3"/>
      <c r="D233" s="3"/>
      <c r="E233" s="3"/>
      <c r="F233" s="3"/>
      <c r="G233" s="3"/>
      <c r="H233" s="3"/>
      <c r="I233" s="4"/>
      <c r="J233" s="3"/>
      <c r="K233" s="3"/>
      <c r="L233" s="3"/>
      <c r="M233" s="3"/>
      <c r="N233" s="3"/>
      <c r="O233" s="4"/>
      <c r="P233" s="83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 ht="24" customHeight="1" x14ac:dyDescent="0.5">
      <c r="A234" s="3"/>
      <c r="B234" s="3"/>
      <c r="C234" s="3"/>
      <c r="D234" s="3"/>
      <c r="E234" s="3"/>
      <c r="F234" s="3"/>
      <c r="G234" s="3"/>
      <c r="H234" s="3"/>
      <c r="I234" s="4"/>
      <c r="J234" s="3"/>
      <c r="K234" s="3"/>
      <c r="L234" s="3"/>
      <c r="M234" s="3"/>
      <c r="N234" s="3"/>
      <c r="O234" s="4"/>
      <c r="P234" s="83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 ht="24" customHeight="1" x14ac:dyDescent="0.5">
      <c r="A235" s="3"/>
      <c r="B235" s="3"/>
      <c r="C235" s="3"/>
      <c r="D235" s="3"/>
      <c r="E235" s="3"/>
      <c r="F235" s="3"/>
      <c r="G235" s="3"/>
      <c r="H235" s="3"/>
      <c r="I235" s="4"/>
      <c r="J235" s="3"/>
      <c r="K235" s="3"/>
      <c r="L235" s="3"/>
      <c r="M235" s="3"/>
      <c r="N235" s="3"/>
      <c r="O235" s="4"/>
      <c r="P235" s="83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 ht="24" customHeight="1" x14ac:dyDescent="0.5">
      <c r="A236" s="3"/>
      <c r="B236" s="3"/>
      <c r="C236" s="3"/>
      <c r="D236" s="3"/>
      <c r="E236" s="3"/>
      <c r="F236" s="3"/>
      <c r="G236" s="3"/>
      <c r="H236" s="3"/>
      <c r="I236" s="4"/>
      <c r="J236" s="3"/>
      <c r="K236" s="3"/>
      <c r="L236" s="3"/>
      <c r="M236" s="3"/>
      <c r="N236" s="3"/>
      <c r="O236" s="4"/>
      <c r="P236" s="83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 ht="24" customHeight="1" x14ac:dyDescent="0.5">
      <c r="A237" s="3"/>
      <c r="B237" s="3"/>
      <c r="C237" s="3"/>
      <c r="D237" s="3"/>
      <c r="E237" s="3"/>
      <c r="F237" s="3"/>
      <c r="G237" s="3"/>
      <c r="H237" s="3"/>
      <c r="I237" s="4"/>
      <c r="J237" s="3"/>
      <c r="K237" s="3"/>
      <c r="L237" s="3"/>
      <c r="M237" s="3"/>
      <c r="N237" s="3"/>
      <c r="O237" s="4"/>
      <c r="P237" s="83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 ht="24" customHeight="1" x14ac:dyDescent="0.5">
      <c r="A238" s="3"/>
      <c r="B238" s="3"/>
      <c r="C238" s="3"/>
      <c r="D238" s="3"/>
      <c r="E238" s="3"/>
      <c r="F238" s="3"/>
      <c r="G238" s="3"/>
      <c r="H238" s="3"/>
      <c r="I238" s="4"/>
      <c r="J238" s="3"/>
      <c r="K238" s="3"/>
      <c r="L238" s="3"/>
      <c r="M238" s="3"/>
      <c r="N238" s="3"/>
      <c r="O238" s="4"/>
      <c r="P238" s="83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 ht="24" customHeight="1" x14ac:dyDescent="0.5">
      <c r="A239" s="3"/>
      <c r="B239" s="3"/>
      <c r="C239" s="3"/>
      <c r="D239" s="3"/>
      <c r="E239" s="3"/>
      <c r="F239" s="3"/>
      <c r="G239" s="3"/>
      <c r="H239" s="3"/>
      <c r="I239" s="4"/>
      <c r="J239" s="3"/>
      <c r="K239" s="3"/>
      <c r="L239" s="3"/>
      <c r="M239" s="3"/>
      <c r="N239" s="3"/>
      <c r="O239" s="4"/>
      <c r="P239" s="83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 ht="24" customHeight="1" x14ac:dyDescent="0.5">
      <c r="A240" s="3"/>
      <c r="B240" s="3"/>
      <c r="C240" s="3"/>
      <c r="D240" s="3"/>
      <c r="E240" s="3"/>
      <c r="F240" s="3"/>
      <c r="G240" s="3"/>
      <c r="H240" s="3"/>
      <c r="I240" s="4"/>
      <c r="J240" s="3"/>
      <c r="K240" s="3"/>
      <c r="L240" s="3"/>
      <c r="M240" s="3"/>
      <c r="N240" s="3"/>
      <c r="O240" s="4"/>
      <c r="P240" s="83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 ht="24" customHeight="1" x14ac:dyDescent="0.5">
      <c r="A241" s="3"/>
      <c r="B241" s="3"/>
      <c r="C241" s="3"/>
      <c r="D241" s="3"/>
      <c r="E241" s="3"/>
      <c r="F241" s="3"/>
      <c r="G241" s="3"/>
      <c r="H241" s="3"/>
      <c r="I241" s="4"/>
      <c r="J241" s="3"/>
      <c r="K241" s="3"/>
      <c r="L241" s="3"/>
      <c r="M241" s="3"/>
      <c r="N241" s="3"/>
      <c r="O241" s="4"/>
      <c r="P241" s="83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 ht="24" customHeight="1" x14ac:dyDescent="0.5">
      <c r="A242" s="3"/>
      <c r="B242" s="3"/>
      <c r="C242" s="3"/>
      <c r="D242" s="3"/>
      <c r="E242" s="3"/>
      <c r="F242" s="3"/>
      <c r="G242" s="3"/>
      <c r="H242" s="3"/>
      <c r="I242" s="4"/>
      <c r="J242" s="3"/>
      <c r="K242" s="3"/>
      <c r="L242" s="3"/>
      <c r="M242" s="3"/>
      <c r="N242" s="3"/>
      <c r="O242" s="4"/>
      <c r="P242" s="83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 ht="24" customHeight="1" x14ac:dyDescent="0.5">
      <c r="A243" s="3"/>
      <c r="B243" s="3"/>
      <c r="C243" s="3"/>
      <c r="D243" s="3"/>
      <c r="E243" s="3"/>
      <c r="F243" s="3"/>
      <c r="G243" s="3"/>
      <c r="H243" s="3"/>
      <c r="I243" s="4"/>
      <c r="J243" s="3"/>
      <c r="K243" s="3"/>
      <c r="L243" s="3"/>
      <c r="M243" s="3"/>
      <c r="N243" s="3"/>
      <c r="O243" s="4"/>
      <c r="P243" s="83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 ht="24" customHeight="1" x14ac:dyDescent="0.5">
      <c r="A244" s="3"/>
      <c r="B244" s="3"/>
      <c r="C244" s="3"/>
      <c r="D244" s="3"/>
      <c r="E244" s="3"/>
      <c r="F244" s="3"/>
      <c r="G244" s="3"/>
      <c r="H244" s="3"/>
      <c r="I244" s="4"/>
      <c r="J244" s="3"/>
      <c r="K244" s="3"/>
      <c r="L244" s="3"/>
      <c r="M244" s="3"/>
      <c r="N244" s="3"/>
      <c r="O244" s="4"/>
      <c r="P244" s="83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 ht="24" customHeight="1" x14ac:dyDescent="0.5">
      <c r="A245" s="3"/>
      <c r="B245" s="3"/>
      <c r="C245" s="3"/>
      <c r="D245" s="3"/>
      <c r="E245" s="3"/>
      <c r="F245" s="3"/>
      <c r="G245" s="3"/>
      <c r="H245" s="3"/>
      <c r="I245" s="4"/>
      <c r="J245" s="3"/>
      <c r="K245" s="3"/>
      <c r="L245" s="3"/>
      <c r="M245" s="3"/>
      <c r="N245" s="3"/>
      <c r="O245" s="4"/>
      <c r="P245" s="83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 ht="24" customHeight="1" x14ac:dyDescent="0.5">
      <c r="A246" s="3"/>
      <c r="B246" s="3"/>
      <c r="C246" s="3"/>
      <c r="D246" s="3"/>
      <c r="E246" s="3"/>
      <c r="F246" s="3"/>
      <c r="G246" s="3"/>
      <c r="H246" s="3"/>
      <c r="I246" s="4"/>
      <c r="J246" s="3"/>
      <c r="K246" s="3"/>
      <c r="L246" s="3"/>
      <c r="M246" s="3"/>
      <c r="N246" s="3"/>
      <c r="O246" s="4"/>
      <c r="P246" s="83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 ht="24" customHeight="1" x14ac:dyDescent="0.5">
      <c r="A247" s="3"/>
      <c r="B247" s="3"/>
      <c r="C247" s="3"/>
      <c r="D247" s="3"/>
      <c r="E247" s="3"/>
      <c r="F247" s="3"/>
      <c r="G247" s="3"/>
      <c r="H247" s="3"/>
      <c r="I247" s="4"/>
      <c r="J247" s="3"/>
      <c r="K247" s="3"/>
      <c r="L247" s="3"/>
      <c r="M247" s="3"/>
      <c r="N247" s="3"/>
      <c r="O247" s="4"/>
      <c r="P247" s="83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 ht="24" customHeight="1" x14ac:dyDescent="0.5">
      <c r="A248" s="3"/>
      <c r="B248" s="3"/>
      <c r="C248" s="3"/>
      <c r="D248" s="3"/>
      <c r="E248" s="3"/>
      <c r="F248" s="3"/>
      <c r="G248" s="3"/>
      <c r="H248" s="3"/>
      <c r="I248" s="4"/>
      <c r="J248" s="3"/>
      <c r="K248" s="3"/>
      <c r="L248" s="3"/>
      <c r="M248" s="3"/>
      <c r="N248" s="3"/>
      <c r="O248" s="4"/>
      <c r="P248" s="83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 ht="24" customHeight="1" x14ac:dyDescent="0.5">
      <c r="A249" s="3"/>
      <c r="B249" s="3"/>
      <c r="C249" s="3"/>
      <c r="D249" s="3"/>
      <c r="E249" s="3"/>
      <c r="F249" s="3"/>
      <c r="G249" s="3"/>
      <c r="H249" s="3"/>
      <c r="I249" s="4"/>
      <c r="J249" s="3"/>
      <c r="K249" s="3"/>
      <c r="L249" s="3"/>
      <c r="M249" s="3"/>
      <c r="N249" s="3"/>
      <c r="O249" s="4"/>
      <c r="P249" s="83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 ht="24" customHeight="1" x14ac:dyDescent="0.5">
      <c r="A250" s="3"/>
      <c r="B250" s="3"/>
      <c r="C250" s="3"/>
      <c r="D250" s="3"/>
      <c r="E250" s="3"/>
      <c r="F250" s="3"/>
      <c r="G250" s="3"/>
      <c r="H250" s="3"/>
      <c r="I250" s="4"/>
      <c r="J250" s="3"/>
      <c r="K250" s="3"/>
      <c r="L250" s="3"/>
      <c r="M250" s="3"/>
      <c r="N250" s="3"/>
      <c r="O250" s="4"/>
      <c r="P250" s="83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 ht="24" customHeight="1" x14ac:dyDescent="0.5">
      <c r="A251" s="3"/>
      <c r="B251" s="3"/>
      <c r="C251" s="3"/>
      <c r="D251" s="3"/>
      <c r="E251" s="3"/>
      <c r="F251" s="3"/>
      <c r="G251" s="3"/>
      <c r="H251" s="3"/>
      <c r="I251" s="4"/>
      <c r="J251" s="3"/>
      <c r="K251" s="3"/>
      <c r="L251" s="3"/>
      <c r="M251" s="3"/>
      <c r="N251" s="3"/>
      <c r="O251" s="4"/>
      <c r="P251" s="83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 ht="24" customHeight="1" x14ac:dyDescent="0.5">
      <c r="A252" s="3"/>
      <c r="B252" s="3"/>
      <c r="C252" s="3"/>
      <c r="D252" s="3"/>
      <c r="E252" s="3"/>
      <c r="F252" s="3"/>
      <c r="G252" s="3"/>
      <c r="H252" s="3"/>
      <c r="I252" s="4"/>
      <c r="J252" s="3"/>
      <c r="K252" s="3"/>
      <c r="L252" s="3"/>
      <c r="M252" s="3"/>
      <c r="N252" s="3"/>
      <c r="O252" s="4"/>
      <c r="P252" s="83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 ht="24" customHeight="1" x14ac:dyDescent="0.5">
      <c r="A253" s="3"/>
      <c r="B253" s="3"/>
      <c r="C253" s="3"/>
      <c r="D253" s="3"/>
      <c r="E253" s="3"/>
      <c r="F253" s="3"/>
      <c r="G253" s="3"/>
      <c r="H253" s="3"/>
      <c r="I253" s="4"/>
      <c r="J253" s="3"/>
      <c r="K253" s="3"/>
      <c r="L253" s="3"/>
      <c r="M253" s="3"/>
      <c r="N253" s="3"/>
      <c r="O253" s="4"/>
      <c r="P253" s="83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 ht="24" customHeight="1" x14ac:dyDescent="0.5">
      <c r="A254" s="3"/>
      <c r="B254" s="3"/>
      <c r="C254" s="3"/>
      <c r="D254" s="3"/>
      <c r="E254" s="3"/>
      <c r="F254" s="3"/>
      <c r="G254" s="3"/>
      <c r="H254" s="3"/>
      <c r="I254" s="4"/>
      <c r="J254" s="3"/>
      <c r="K254" s="3"/>
      <c r="L254" s="3"/>
      <c r="M254" s="3"/>
      <c r="N254" s="3"/>
      <c r="O254" s="4"/>
      <c r="P254" s="83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 ht="24" customHeight="1" x14ac:dyDescent="0.5">
      <c r="A255" s="3"/>
      <c r="B255" s="3"/>
      <c r="C255" s="3"/>
      <c r="D255" s="3"/>
      <c r="E255" s="3"/>
      <c r="F255" s="3"/>
      <c r="G255" s="3"/>
      <c r="H255" s="3"/>
      <c r="I255" s="4"/>
      <c r="J255" s="3"/>
      <c r="K255" s="3"/>
      <c r="L255" s="3"/>
      <c r="M255" s="3"/>
      <c r="N255" s="3"/>
      <c r="O255" s="4"/>
      <c r="P255" s="83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 ht="24" customHeight="1" x14ac:dyDescent="0.5">
      <c r="A256" s="3"/>
      <c r="B256" s="3"/>
      <c r="C256" s="3"/>
      <c r="D256" s="3"/>
      <c r="E256" s="3"/>
      <c r="F256" s="3"/>
      <c r="G256" s="3"/>
      <c r="H256" s="3"/>
      <c r="I256" s="4"/>
      <c r="J256" s="3"/>
      <c r="K256" s="3"/>
      <c r="L256" s="3"/>
      <c r="M256" s="3"/>
      <c r="N256" s="3"/>
      <c r="O256" s="4"/>
      <c r="P256" s="83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 ht="24" customHeight="1" x14ac:dyDescent="0.5">
      <c r="A257" s="3"/>
      <c r="B257" s="3"/>
      <c r="C257" s="3"/>
      <c r="D257" s="3"/>
      <c r="E257" s="3"/>
      <c r="F257" s="3"/>
      <c r="G257" s="3"/>
      <c r="H257" s="3"/>
      <c r="I257" s="4"/>
      <c r="J257" s="3"/>
      <c r="K257" s="3"/>
      <c r="L257" s="3"/>
      <c r="M257" s="3"/>
      <c r="N257" s="3"/>
      <c r="O257" s="4"/>
      <c r="P257" s="83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 ht="24" customHeight="1" x14ac:dyDescent="0.5">
      <c r="A258" s="3"/>
      <c r="B258" s="3"/>
      <c r="C258" s="3"/>
      <c r="D258" s="3"/>
      <c r="E258" s="3"/>
      <c r="F258" s="3"/>
      <c r="G258" s="3"/>
      <c r="H258" s="3"/>
      <c r="I258" s="4"/>
      <c r="J258" s="3"/>
      <c r="K258" s="3"/>
      <c r="L258" s="3"/>
      <c r="M258" s="3"/>
      <c r="N258" s="3"/>
      <c r="O258" s="4"/>
      <c r="P258" s="83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 ht="24" customHeight="1" x14ac:dyDescent="0.5">
      <c r="A259" s="3"/>
      <c r="B259" s="3"/>
      <c r="C259" s="3"/>
      <c r="D259" s="3"/>
      <c r="E259" s="3"/>
      <c r="F259" s="3"/>
      <c r="G259" s="3"/>
      <c r="H259" s="3"/>
      <c r="I259" s="4"/>
      <c r="J259" s="3"/>
      <c r="K259" s="3"/>
      <c r="L259" s="3"/>
      <c r="M259" s="3"/>
      <c r="N259" s="3"/>
      <c r="O259" s="4"/>
      <c r="P259" s="83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 ht="24" customHeight="1" x14ac:dyDescent="0.5">
      <c r="A260" s="3"/>
      <c r="B260" s="3"/>
      <c r="C260" s="3"/>
      <c r="D260" s="3"/>
      <c r="E260" s="3"/>
      <c r="F260" s="3"/>
      <c r="G260" s="3"/>
      <c r="H260" s="3"/>
      <c r="I260" s="4"/>
      <c r="J260" s="3"/>
      <c r="K260" s="3"/>
      <c r="L260" s="3"/>
      <c r="M260" s="3"/>
      <c r="N260" s="3"/>
      <c r="O260" s="4"/>
      <c r="P260" s="83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 ht="24" customHeight="1" x14ac:dyDescent="0.5">
      <c r="A261" s="3"/>
      <c r="B261" s="3"/>
      <c r="C261" s="3"/>
      <c r="D261" s="3"/>
      <c r="E261" s="3"/>
      <c r="F261" s="3"/>
      <c r="G261" s="3"/>
      <c r="H261" s="3"/>
      <c r="I261" s="4"/>
      <c r="J261" s="3"/>
      <c r="K261" s="3"/>
      <c r="L261" s="3"/>
      <c r="M261" s="3"/>
      <c r="N261" s="3"/>
      <c r="O261" s="4"/>
      <c r="P261" s="83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 ht="24" customHeight="1" x14ac:dyDescent="0.5">
      <c r="A262" s="3"/>
      <c r="B262" s="3"/>
      <c r="C262" s="3"/>
      <c r="D262" s="3"/>
      <c r="E262" s="3"/>
      <c r="F262" s="3"/>
      <c r="G262" s="3"/>
      <c r="H262" s="3"/>
      <c r="I262" s="4"/>
      <c r="J262" s="3"/>
      <c r="K262" s="3"/>
      <c r="L262" s="3"/>
      <c r="M262" s="3"/>
      <c r="N262" s="3"/>
      <c r="O262" s="4"/>
      <c r="P262" s="83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 ht="24" customHeight="1" x14ac:dyDescent="0.5">
      <c r="A263" s="3"/>
      <c r="B263" s="3"/>
      <c r="C263" s="3"/>
      <c r="D263" s="3"/>
      <c r="E263" s="3"/>
      <c r="F263" s="3"/>
      <c r="G263" s="3"/>
      <c r="H263" s="3"/>
      <c r="I263" s="4"/>
      <c r="J263" s="3"/>
      <c r="K263" s="3"/>
      <c r="L263" s="3"/>
      <c r="M263" s="3"/>
      <c r="N263" s="3"/>
      <c r="O263" s="4"/>
      <c r="P263" s="83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 ht="24" customHeight="1" x14ac:dyDescent="0.5">
      <c r="A264" s="3"/>
      <c r="B264" s="3"/>
      <c r="C264" s="3"/>
      <c r="D264" s="3"/>
      <c r="E264" s="3"/>
      <c r="F264" s="3"/>
      <c r="G264" s="3"/>
      <c r="H264" s="3"/>
      <c r="I264" s="4"/>
      <c r="J264" s="3"/>
      <c r="K264" s="3"/>
      <c r="L264" s="3"/>
      <c r="M264" s="3"/>
      <c r="N264" s="3"/>
      <c r="O264" s="4"/>
      <c r="P264" s="83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 ht="24" customHeight="1" x14ac:dyDescent="0.5">
      <c r="A265" s="3"/>
      <c r="B265" s="3"/>
      <c r="C265" s="3"/>
      <c r="D265" s="3"/>
      <c r="E265" s="3"/>
      <c r="F265" s="3"/>
      <c r="G265" s="3"/>
      <c r="H265" s="3"/>
      <c r="I265" s="4"/>
      <c r="J265" s="3"/>
      <c r="K265" s="3"/>
      <c r="L265" s="3"/>
      <c r="M265" s="3"/>
      <c r="N265" s="3"/>
      <c r="O265" s="4"/>
      <c r="P265" s="83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 ht="24" customHeight="1" x14ac:dyDescent="0.5">
      <c r="A266" s="3"/>
      <c r="B266" s="3"/>
      <c r="C266" s="3"/>
      <c r="D266" s="3"/>
      <c r="E266" s="3"/>
      <c r="F266" s="3"/>
      <c r="G266" s="3"/>
      <c r="H266" s="3"/>
      <c r="I266" s="4"/>
      <c r="J266" s="3"/>
      <c r="K266" s="3"/>
      <c r="L266" s="3"/>
      <c r="M266" s="3"/>
      <c r="N266" s="3"/>
      <c r="O266" s="4"/>
      <c r="P266" s="83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 ht="24" customHeight="1" x14ac:dyDescent="0.5">
      <c r="A267" s="3"/>
      <c r="B267" s="3"/>
      <c r="C267" s="3"/>
      <c r="D267" s="3"/>
      <c r="E267" s="3"/>
      <c r="F267" s="3"/>
      <c r="G267" s="3"/>
      <c r="H267" s="3"/>
      <c r="I267" s="4"/>
      <c r="J267" s="3"/>
      <c r="K267" s="3"/>
      <c r="L267" s="3"/>
      <c r="M267" s="3"/>
      <c r="N267" s="3"/>
      <c r="O267" s="4"/>
      <c r="P267" s="83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 ht="24" customHeight="1" x14ac:dyDescent="0.5">
      <c r="A268" s="3"/>
      <c r="B268" s="3"/>
      <c r="C268" s="3"/>
      <c r="D268" s="3"/>
      <c r="E268" s="3"/>
      <c r="F268" s="3"/>
      <c r="G268" s="3"/>
      <c r="H268" s="3"/>
      <c r="I268" s="4"/>
      <c r="J268" s="3"/>
      <c r="K268" s="3"/>
      <c r="L268" s="3"/>
      <c r="M268" s="3"/>
      <c r="N268" s="3"/>
      <c r="O268" s="4"/>
      <c r="P268" s="83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 ht="24" customHeight="1" x14ac:dyDescent="0.5">
      <c r="A269" s="3"/>
      <c r="B269" s="3"/>
      <c r="C269" s="3"/>
      <c r="D269" s="3"/>
      <c r="E269" s="3"/>
      <c r="F269" s="3"/>
      <c r="G269" s="3"/>
      <c r="H269" s="3"/>
      <c r="I269" s="4"/>
      <c r="J269" s="3"/>
      <c r="K269" s="3"/>
      <c r="L269" s="3"/>
      <c r="M269" s="3"/>
      <c r="N269" s="3"/>
      <c r="O269" s="4"/>
      <c r="P269" s="83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 ht="24" customHeight="1" x14ac:dyDescent="0.5">
      <c r="A270" s="3"/>
      <c r="B270" s="3"/>
      <c r="C270" s="3"/>
      <c r="D270" s="3"/>
      <c r="E270" s="3"/>
      <c r="F270" s="3"/>
      <c r="G270" s="3"/>
      <c r="H270" s="3"/>
      <c r="I270" s="4"/>
      <c r="J270" s="3"/>
      <c r="K270" s="3"/>
      <c r="L270" s="3"/>
      <c r="M270" s="3"/>
      <c r="N270" s="3"/>
      <c r="O270" s="4"/>
      <c r="P270" s="83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 ht="24" customHeight="1" x14ac:dyDescent="0.5">
      <c r="A271" s="3"/>
      <c r="B271" s="3"/>
      <c r="C271" s="3"/>
      <c r="D271" s="3"/>
      <c r="E271" s="3"/>
      <c r="F271" s="3"/>
      <c r="G271" s="3"/>
      <c r="H271" s="3"/>
      <c r="I271" s="4"/>
      <c r="J271" s="3"/>
      <c r="K271" s="3"/>
      <c r="L271" s="3"/>
      <c r="M271" s="3"/>
      <c r="N271" s="3"/>
      <c r="O271" s="4"/>
      <c r="P271" s="83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 ht="24" customHeight="1" x14ac:dyDescent="0.5">
      <c r="A272" s="3"/>
      <c r="B272" s="3"/>
      <c r="C272" s="3"/>
      <c r="D272" s="3"/>
      <c r="E272" s="3"/>
      <c r="F272" s="3"/>
      <c r="G272" s="3"/>
      <c r="H272" s="3"/>
      <c r="I272" s="4"/>
      <c r="J272" s="3"/>
      <c r="K272" s="3"/>
      <c r="L272" s="3"/>
      <c r="M272" s="3"/>
      <c r="N272" s="3"/>
      <c r="O272" s="4"/>
      <c r="P272" s="83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 ht="24" customHeight="1" x14ac:dyDescent="0.5">
      <c r="A273" s="3"/>
      <c r="B273" s="3"/>
      <c r="C273" s="3"/>
      <c r="D273" s="3"/>
      <c r="E273" s="3"/>
      <c r="F273" s="3"/>
      <c r="G273" s="3"/>
      <c r="H273" s="3"/>
      <c r="I273" s="4"/>
      <c r="J273" s="3"/>
      <c r="K273" s="3"/>
      <c r="L273" s="3"/>
      <c r="M273" s="3"/>
      <c r="N273" s="3"/>
      <c r="O273" s="4"/>
      <c r="P273" s="83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 ht="24" customHeight="1" x14ac:dyDescent="0.5">
      <c r="A274" s="3"/>
      <c r="B274" s="3"/>
      <c r="C274" s="3"/>
      <c r="D274" s="3"/>
      <c r="E274" s="3"/>
      <c r="F274" s="3"/>
      <c r="G274" s="3"/>
      <c r="H274" s="3"/>
      <c r="I274" s="4"/>
      <c r="J274" s="3"/>
      <c r="K274" s="3"/>
      <c r="L274" s="3"/>
      <c r="M274" s="3"/>
      <c r="N274" s="3"/>
      <c r="O274" s="4"/>
      <c r="P274" s="83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 ht="24" customHeight="1" x14ac:dyDescent="0.5">
      <c r="A275" s="3"/>
      <c r="B275" s="3"/>
      <c r="C275" s="3"/>
      <c r="D275" s="3"/>
      <c r="E275" s="3"/>
      <c r="F275" s="3"/>
      <c r="G275" s="3"/>
      <c r="H275" s="3"/>
      <c r="I275" s="4"/>
      <c r="J275" s="3"/>
      <c r="K275" s="3"/>
      <c r="L275" s="3"/>
      <c r="M275" s="3"/>
      <c r="N275" s="3"/>
      <c r="O275" s="4"/>
      <c r="P275" s="83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 ht="24" customHeight="1" x14ac:dyDescent="0.5">
      <c r="A276" s="3"/>
      <c r="B276" s="3"/>
      <c r="C276" s="3"/>
      <c r="D276" s="3"/>
      <c r="E276" s="3"/>
      <c r="F276" s="3"/>
      <c r="G276" s="3"/>
      <c r="H276" s="3"/>
      <c r="I276" s="4"/>
      <c r="J276" s="3"/>
      <c r="K276" s="3"/>
      <c r="L276" s="3"/>
      <c r="M276" s="3"/>
      <c r="N276" s="3"/>
      <c r="O276" s="4"/>
      <c r="P276" s="83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 ht="24" customHeight="1" x14ac:dyDescent="0.5">
      <c r="A277" s="3"/>
      <c r="B277" s="3"/>
      <c r="C277" s="3"/>
      <c r="D277" s="3"/>
      <c r="E277" s="3"/>
      <c r="F277" s="3"/>
      <c r="G277" s="3"/>
      <c r="H277" s="3"/>
      <c r="I277" s="4"/>
      <c r="J277" s="3"/>
      <c r="K277" s="3"/>
      <c r="L277" s="3"/>
      <c r="M277" s="3"/>
      <c r="N277" s="3"/>
      <c r="O277" s="4"/>
      <c r="P277" s="83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 ht="24" customHeight="1" x14ac:dyDescent="0.5">
      <c r="A278" s="3"/>
      <c r="B278" s="3"/>
      <c r="C278" s="3"/>
      <c r="D278" s="3"/>
      <c r="E278" s="3"/>
      <c r="F278" s="3"/>
      <c r="G278" s="3"/>
      <c r="H278" s="3"/>
      <c r="I278" s="4"/>
      <c r="J278" s="3"/>
      <c r="K278" s="3"/>
      <c r="L278" s="3"/>
      <c r="M278" s="3"/>
      <c r="N278" s="3"/>
      <c r="O278" s="4"/>
      <c r="P278" s="83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 ht="24" customHeight="1" x14ac:dyDescent="0.5">
      <c r="A279" s="3"/>
      <c r="B279" s="3"/>
      <c r="C279" s="3"/>
      <c r="D279" s="3"/>
      <c r="E279" s="3"/>
      <c r="F279" s="3"/>
      <c r="G279" s="3"/>
      <c r="H279" s="3"/>
      <c r="I279" s="4"/>
      <c r="J279" s="3"/>
      <c r="K279" s="3"/>
      <c r="L279" s="3"/>
      <c r="M279" s="3"/>
      <c r="N279" s="3"/>
      <c r="O279" s="4"/>
      <c r="P279" s="83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 ht="24" customHeight="1" x14ac:dyDescent="0.5">
      <c r="A280" s="3"/>
      <c r="B280" s="3"/>
      <c r="C280" s="3"/>
      <c r="D280" s="3"/>
      <c r="E280" s="3"/>
      <c r="F280" s="3"/>
      <c r="G280" s="3"/>
      <c r="H280" s="3"/>
      <c r="I280" s="4"/>
      <c r="J280" s="3"/>
      <c r="K280" s="3"/>
      <c r="L280" s="3"/>
      <c r="M280" s="3"/>
      <c r="N280" s="3"/>
      <c r="O280" s="4"/>
      <c r="P280" s="83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 ht="24" customHeight="1" x14ac:dyDescent="0.5">
      <c r="A281" s="3"/>
      <c r="B281" s="3"/>
      <c r="C281" s="3"/>
      <c r="D281" s="3"/>
      <c r="E281" s="3"/>
      <c r="F281" s="3"/>
      <c r="G281" s="3"/>
      <c r="H281" s="3"/>
      <c r="I281" s="4"/>
      <c r="J281" s="3"/>
      <c r="K281" s="3"/>
      <c r="L281" s="3"/>
      <c r="M281" s="3"/>
      <c r="N281" s="3"/>
      <c r="O281" s="4"/>
      <c r="P281" s="83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 ht="24" customHeight="1" x14ac:dyDescent="0.5">
      <c r="A282" s="3"/>
      <c r="B282" s="3"/>
      <c r="C282" s="3"/>
      <c r="D282" s="3"/>
      <c r="E282" s="3"/>
      <c r="F282" s="3"/>
      <c r="G282" s="3"/>
      <c r="H282" s="3"/>
      <c r="I282" s="4"/>
      <c r="J282" s="3"/>
      <c r="K282" s="3"/>
      <c r="L282" s="3"/>
      <c r="M282" s="3"/>
      <c r="N282" s="3"/>
      <c r="O282" s="4"/>
      <c r="P282" s="83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 ht="24" customHeight="1" x14ac:dyDescent="0.5">
      <c r="A283" s="3"/>
      <c r="B283" s="3"/>
      <c r="C283" s="3"/>
      <c r="D283" s="3"/>
      <c r="E283" s="3"/>
      <c r="F283" s="3"/>
      <c r="G283" s="3"/>
      <c r="H283" s="3"/>
      <c r="I283" s="4"/>
      <c r="J283" s="3"/>
      <c r="K283" s="3"/>
      <c r="L283" s="3"/>
      <c r="M283" s="3"/>
      <c r="N283" s="3"/>
      <c r="O283" s="4"/>
      <c r="P283" s="83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 ht="24" customHeight="1" x14ac:dyDescent="0.5">
      <c r="A284" s="3"/>
      <c r="B284" s="3"/>
      <c r="C284" s="3"/>
      <c r="D284" s="3"/>
      <c r="E284" s="3"/>
      <c r="F284" s="3"/>
      <c r="G284" s="3"/>
      <c r="H284" s="3"/>
      <c r="I284" s="4"/>
      <c r="J284" s="3"/>
      <c r="K284" s="3"/>
      <c r="L284" s="3"/>
      <c r="M284" s="3"/>
      <c r="N284" s="3"/>
      <c r="O284" s="4"/>
      <c r="P284" s="83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 ht="24" customHeight="1" x14ac:dyDescent="0.5">
      <c r="A285" s="3"/>
      <c r="B285" s="3"/>
      <c r="C285" s="3"/>
      <c r="D285" s="3"/>
      <c r="E285" s="3"/>
      <c r="F285" s="3"/>
      <c r="G285" s="3"/>
      <c r="H285" s="3"/>
      <c r="I285" s="4"/>
      <c r="J285" s="3"/>
      <c r="K285" s="3"/>
      <c r="L285" s="3"/>
      <c r="M285" s="3"/>
      <c r="N285" s="3"/>
      <c r="O285" s="4"/>
      <c r="P285" s="83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 ht="24" customHeight="1" x14ac:dyDescent="0.5">
      <c r="A286" s="3"/>
      <c r="B286" s="3"/>
      <c r="C286" s="3"/>
      <c r="D286" s="3"/>
      <c r="E286" s="3"/>
      <c r="F286" s="3"/>
      <c r="G286" s="3"/>
      <c r="H286" s="3"/>
      <c r="I286" s="4"/>
      <c r="J286" s="3"/>
      <c r="K286" s="3"/>
      <c r="L286" s="3"/>
      <c r="M286" s="3"/>
      <c r="N286" s="3"/>
      <c r="O286" s="4"/>
      <c r="P286" s="83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 ht="24" customHeight="1" x14ac:dyDescent="0.5">
      <c r="A287" s="3"/>
      <c r="B287" s="3"/>
      <c r="C287" s="3"/>
      <c r="D287" s="3"/>
      <c r="E287" s="3"/>
      <c r="F287" s="3"/>
      <c r="G287" s="3"/>
      <c r="H287" s="3"/>
      <c r="I287" s="4"/>
      <c r="J287" s="3"/>
      <c r="K287" s="3"/>
      <c r="L287" s="3"/>
      <c r="M287" s="3"/>
      <c r="N287" s="3"/>
      <c r="O287" s="4"/>
      <c r="P287" s="83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 ht="24" customHeight="1" x14ac:dyDescent="0.5">
      <c r="A288" s="3"/>
      <c r="B288" s="3"/>
      <c r="C288" s="3"/>
      <c r="D288" s="3"/>
      <c r="E288" s="3"/>
      <c r="F288" s="3"/>
      <c r="G288" s="3"/>
      <c r="H288" s="3"/>
      <c r="I288" s="4"/>
      <c r="J288" s="3"/>
      <c r="K288" s="3"/>
      <c r="L288" s="3"/>
      <c r="M288" s="3"/>
      <c r="N288" s="3"/>
      <c r="O288" s="4"/>
      <c r="P288" s="83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 ht="24" customHeight="1" x14ac:dyDescent="0.5">
      <c r="A289" s="3"/>
      <c r="B289" s="3"/>
      <c r="C289" s="3"/>
      <c r="D289" s="3"/>
      <c r="E289" s="3"/>
      <c r="F289" s="3"/>
      <c r="G289" s="3"/>
      <c r="H289" s="3"/>
      <c r="I289" s="4"/>
      <c r="J289" s="3"/>
      <c r="K289" s="3"/>
      <c r="L289" s="3"/>
      <c r="M289" s="3"/>
      <c r="N289" s="3"/>
      <c r="O289" s="4"/>
      <c r="P289" s="83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 ht="24" customHeight="1" x14ac:dyDescent="0.5">
      <c r="A290" s="3"/>
      <c r="B290" s="3"/>
      <c r="C290" s="3"/>
      <c r="D290" s="3"/>
      <c r="E290" s="3"/>
      <c r="F290" s="3"/>
      <c r="G290" s="3"/>
      <c r="H290" s="3"/>
      <c r="I290" s="4"/>
      <c r="J290" s="3"/>
      <c r="K290" s="3"/>
      <c r="L290" s="3"/>
      <c r="M290" s="3"/>
      <c r="N290" s="3"/>
      <c r="O290" s="4"/>
      <c r="P290" s="83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 ht="24" customHeight="1" x14ac:dyDescent="0.5">
      <c r="A291" s="3"/>
      <c r="B291" s="3"/>
      <c r="C291" s="3"/>
      <c r="D291" s="3"/>
      <c r="E291" s="3"/>
      <c r="F291" s="3"/>
      <c r="G291" s="3"/>
      <c r="H291" s="3"/>
      <c r="I291" s="4"/>
      <c r="J291" s="3"/>
      <c r="K291" s="3"/>
      <c r="L291" s="3"/>
      <c r="M291" s="3"/>
      <c r="N291" s="3"/>
      <c r="O291" s="4"/>
      <c r="P291" s="83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 ht="24" customHeight="1" x14ac:dyDescent="0.5">
      <c r="A292" s="3"/>
      <c r="B292" s="3"/>
      <c r="C292" s="3"/>
      <c r="D292" s="3"/>
      <c r="E292" s="3"/>
      <c r="F292" s="3"/>
      <c r="G292" s="3"/>
      <c r="H292" s="3"/>
      <c r="I292" s="4"/>
      <c r="J292" s="3"/>
      <c r="K292" s="3"/>
      <c r="L292" s="3"/>
      <c r="M292" s="3"/>
      <c r="N292" s="3"/>
      <c r="O292" s="4"/>
      <c r="P292" s="83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 ht="24" customHeight="1" x14ac:dyDescent="0.5">
      <c r="A293" s="3"/>
      <c r="B293" s="3"/>
      <c r="C293" s="3"/>
      <c r="D293" s="3"/>
      <c r="E293" s="3"/>
      <c r="F293" s="3"/>
      <c r="G293" s="3"/>
      <c r="H293" s="3"/>
      <c r="I293" s="4"/>
      <c r="J293" s="3"/>
      <c r="K293" s="3"/>
      <c r="L293" s="3"/>
      <c r="M293" s="3"/>
      <c r="N293" s="3"/>
      <c r="O293" s="4"/>
      <c r="P293" s="83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 ht="24" customHeight="1" x14ac:dyDescent="0.5">
      <c r="A294" s="3"/>
      <c r="B294" s="3"/>
      <c r="C294" s="3"/>
      <c r="D294" s="3"/>
      <c r="E294" s="3"/>
      <c r="F294" s="3"/>
      <c r="G294" s="3"/>
      <c r="H294" s="3"/>
      <c r="I294" s="4"/>
      <c r="J294" s="3"/>
      <c r="K294" s="3"/>
      <c r="L294" s="3"/>
      <c r="M294" s="3"/>
      <c r="N294" s="3"/>
      <c r="O294" s="4"/>
      <c r="P294" s="83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 ht="24" customHeight="1" x14ac:dyDescent="0.5">
      <c r="A295" s="3"/>
      <c r="B295" s="3"/>
      <c r="C295" s="3"/>
      <c r="D295" s="3"/>
      <c r="E295" s="3"/>
      <c r="F295" s="3"/>
      <c r="G295" s="3"/>
      <c r="H295" s="3"/>
      <c r="I295" s="4"/>
      <c r="J295" s="3"/>
      <c r="K295" s="3"/>
      <c r="L295" s="3"/>
      <c r="M295" s="3"/>
      <c r="N295" s="3"/>
      <c r="O295" s="4"/>
      <c r="P295" s="83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 ht="24" customHeight="1" x14ac:dyDescent="0.5">
      <c r="A296" s="3"/>
      <c r="B296" s="3"/>
      <c r="C296" s="3"/>
      <c r="D296" s="3"/>
      <c r="E296" s="3"/>
      <c r="F296" s="3"/>
      <c r="G296" s="3"/>
      <c r="H296" s="3"/>
      <c r="I296" s="4"/>
      <c r="J296" s="3"/>
      <c r="K296" s="3"/>
      <c r="L296" s="3"/>
      <c r="M296" s="3"/>
      <c r="N296" s="3"/>
      <c r="O296" s="4"/>
      <c r="P296" s="83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 ht="24" customHeight="1" x14ac:dyDescent="0.5">
      <c r="A297" s="3"/>
      <c r="B297" s="3"/>
      <c r="C297" s="3"/>
      <c r="D297" s="3"/>
      <c r="E297" s="3"/>
      <c r="F297" s="3"/>
      <c r="G297" s="3"/>
      <c r="H297" s="3"/>
      <c r="I297" s="4"/>
      <c r="J297" s="3"/>
      <c r="K297" s="3"/>
      <c r="L297" s="3"/>
      <c r="M297" s="3"/>
      <c r="N297" s="3"/>
      <c r="O297" s="4"/>
      <c r="P297" s="83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 ht="24" customHeight="1" x14ac:dyDescent="0.5">
      <c r="A298" s="3"/>
      <c r="B298" s="3"/>
      <c r="C298" s="3"/>
      <c r="D298" s="3"/>
      <c r="E298" s="3"/>
      <c r="F298" s="3"/>
      <c r="G298" s="3"/>
      <c r="H298" s="3"/>
      <c r="I298" s="4"/>
      <c r="J298" s="3"/>
      <c r="K298" s="3"/>
      <c r="L298" s="3"/>
      <c r="M298" s="3"/>
      <c r="N298" s="3"/>
      <c r="O298" s="4"/>
      <c r="P298" s="83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 ht="24" customHeight="1" x14ac:dyDescent="0.5">
      <c r="A299" s="3"/>
      <c r="B299" s="3"/>
      <c r="C299" s="3"/>
      <c r="D299" s="3"/>
      <c r="E299" s="3"/>
      <c r="F299" s="3"/>
      <c r="G299" s="3"/>
      <c r="H299" s="3"/>
      <c r="I299" s="4"/>
      <c r="J299" s="3"/>
      <c r="K299" s="3"/>
      <c r="L299" s="3"/>
      <c r="M299" s="3"/>
      <c r="N299" s="3"/>
      <c r="O299" s="4"/>
      <c r="P299" s="83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 ht="24" customHeight="1" x14ac:dyDescent="0.5">
      <c r="A300" s="3"/>
      <c r="B300" s="3"/>
      <c r="C300" s="3"/>
      <c r="D300" s="3"/>
      <c r="E300" s="3"/>
      <c r="F300" s="3"/>
      <c r="G300" s="3"/>
      <c r="H300" s="3"/>
      <c r="I300" s="4"/>
      <c r="J300" s="3"/>
      <c r="K300" s="3"/>
      <c r="L300" s="3"/>
      <c r="M300" s="3"/>
      <c r="N300" s="3"/>
      <c r="O300" s="4"/>
      <c r="P300" s="83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 ht="24" customHeight="1" x14ac:dyDescent="0.5">
      <c r="A301" s="3"/>
      <c r="B301" s="3"/>
      <c r="C301" s="3"/>
      <c r="D301" s="3"/>
      <c r="E301" s="3"/>
      <c r="F301" s="3"/>
      <c r="G301" s="3"/>
      <c r="H301" s="3"/>
      <c r="I301" s="4"/>
      <c r="J301" s="3"/>
      <c r="K301" s="3"/>
      <c r="L301" s="3"/>
      <c r="M301" s="3"/>
      <c r="N301" s="3"/>
      <c r="O301" s="4"/>
      <c r="P301" s="83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 ht="24" customHeight="1" x14ac:dyDescent="0.5">
      <c r="A302" s="3"/>
      <c r="B302" s="3"/>
      <c r="C302" s="3"/>
      <c r="D302" s="3"/>
      <c r="E302" s="3"/>
      <c r="F302" s="3"/>
      <c r="G302" s="3"/>
      <c r="H302" s="3"/>
      <c r="I302" s="4"/>
      <c r="J302" s="3"/>
      <c r="K302" s="3"/>
      <c r="L302" s="3"/>
      <c r="M302" s="3"/>
      <c r="N302" s="3"/>
      <c r="O302" s="4"/>
      <c r="P302" s="83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 ht="24" customHeight="1" x14ac:dyDescent="0.5">
      <c r="A303" s="3"/>
      <c r="B303" s="3"/>
      <c r="C303" s="3"/>
      <c r="D303" s="3"/>
      <c r="E303" s="3"/>
      <c r="F303" s="3"/>
      <c r="G303" s="3"/>
      <c r="H303" s="3"/>
      <c r="I303" s="4"/>
      <c r="J303" s="3"/>
      <c r="K303" s="3"/>
      <c r="L303" s="3"/>
      <c r="M303" s="3"/>
      <c r="N303" s="3"/>
      <c r="O303" s="4"/>
      <c r="P303" s="83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 ht="24" customHeight="1" x14ac:dyDescent="0.5">
      <c r="A304" s="3"/>
      <c r="B304" s="3"/>
      <c r="C304" s="3"/>
      <c r="D304" s="3"/>
      <c r="E304" s="3"/>
      <c r="F304" s="3"/>
      <c r="G304" s="3"/>
      <c r="H304" s="3"/>
      <c r="I304" s="4"/>
      <c r="J304" s="3"/>
      <c r="K304" s="3"/>
      <c r="L304" s="3"/>
      <c r="M304" s="3"/>
      <c r="N304" s="3"/>
      <c r="O304" s="4"/>
      <c r="P304" s="83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 ht="24" customHeight="1" x14ac:dyDescent="0.5">
      <c r="A305" s="3"/>
      <c r="B305" s="3"/>
      <c r="C305" s="3"/>
      <c r="D305" s="3"/>
      <c r="E305" s="3"/>
      <c r="F305" s="3"/>
      <c r="G305" s="3"/>
      <c r="H305" s="3"/>
      <c r="I305" s="4"/>
      <c r="J305" s="3"/>
      <c r="K305" s="3"/>
      <c r="L305" s="3"/>
      <c r="M305" s="3"/>
      <c r="N305" s="3"/>
      <c r="O305" s="4"/>
      <c r="P305" s="83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 ht="24" customHeight="1" x14ac:dyDescent="0.5">
      <c r="A306" s="3"/>
      <c r="B306" s="3"/>
      <c r="C306" s="3"/>
      <c r="D306" s="3"/>
      <c r="E306" s="3"/>
      <c r="F306" s="3"/>
      <c r="G306" s="3"/>
      <c r="H306" s="3"/>
      <c r="I306" s="4"/>
      <c r="J306" s="3"/>
      <c r="K306" s="3"/>
      <c r="L306" s="3"/>
      <c r="M306" s="3"/>
      <c r="N306" s="3"/>
      <c r="O306" s="4"/>
      <c r="P306" s="83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 ht="24" customHeight="1" x14ac:dyDescent="0.5">
      <c r="A307" s="3"/>
      <c r="B307" s="3"/>
      <c r="C307" s="3"/>
      <c r="D307" s="3"/>
      <c r="E307" s="3"/>
      <c r="F307" s="3"/>
      <c r="G307" s="3"/>
      <c r="H307" s="3"/>
      <c r="I307" s="4"/>
      <c r="J307" s="3"/>
      <c r="K307" s="3"/>
      <c r="L307" s="3"/>
      <c r="M307" s="3"/>
      <c r="N307" s="3"/>
      <c r="O307" s="4"/>
      <c r="P307" s="83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 ht="24" customHeight="1" x14ac:dyDescent="0.5">
      <c r="A308" s="3"/>
      <c r="B308" s="3"/>
      <c r="C308" s="3"/>
      <c r="D308" s="3"/>
      <c r="E308" s="3"/>
      <c r="F308" s="3"/>
      <c r="G308" s="3"/>
      <c r="H308" s="3"/>
      <c r="I308" s="4"/>
      <c r="J308" s="3"/>
      <c r="K308" s="3"/>
      <c r="L308" s="3"/>
      <c r="M308" s="3"/>
      <c r="N308" s="3"/>
      <c r="O308" s="4"/>
      <c r="P308" s="83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 ht="24" customHeight="1" x14ac:dyDescent="0.5">
      <c r="A309" s="3"/>
      <c r="B309" s="3"/>
      <c r="C309" s="3"/>
      <c r="D309" s="3"/>
      <c r="E309" s="3"/>
      <c r="F309" s="3"/>
      <c r="G309" s="3"/>
      <c r="H309" s="3"/>
      <c r="I309" s="4"/>
      <c r="J309" s="3"/>
      <c r="K309" s="3"/>
      <c r="L309" s="3"/>
      <c r="M309" s="3"/>
      <c r="N309" s="3"/>
      <c r="O309" s="4"/>
      <c r="P309" s="83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 ht="24" customHeight="1" x14ac:dyDescent="0.5">
      <c r="A310" s="3"/>
      <c r="B310" s="3"/>
      <c r="C310" s="3"/>
      <c r="D310" s="3"/>
      <c r="E310" s="3"/>
      <c r="F310" s="3"/>
      <c r="G310" s="3"/>
      <c r="H310" s="3"/>
      <c r="I310" s="4"/>
      <c r="J310" s="3"/>
      <c r="K310" s="3"/>
      <c r="L310" s="3"/>
      <c r="M310" s="3"/>
      <c r="N310" s="3"/>
      <c r="O310" s="4"/>
      <c r="P310" s="83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 ht="24" customHeight="1" x14ac:dyDescent="0.5">
      <c r="A311" s="3"/>
      <c r="B311" s="3"/>
      <c r="C311" s="3"/>
      <c r="D311" s="3"/>
      <c r="E311" s="3"/>
      <c r="F311" s="3"/>
      <c r="G311" s="3"/>
      <c r="H311" s="3"/>
      <c r="I311" s="4"/>
      <c r="J311" s="3"/>
      <c r="K311" s="3"/>
      <c r="L311" s="3"/>
      <c r="M311" s="3"/>
      <c r="N311" s="3"/>
      <c r="O311" s="4"/>
      <c r="P311" s="83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 ht="24" customHeight="1" x14ac:dyDescent="0.5">
      <c r="A312" s="3"/>
      <c r="B312" s="3"/>
      <c r="C312" s="3"/>
      <c r="D312" s="3"/>
      <c r="E312" s="3"/>
      <c r="F312" s="3"/>
      <c r="G312" s="3"/>
      <c r="H312" s="3"/>
      <c r="I312" s="4"/>
      <c r="J312" s="3"/>
      <c r="K312" s="3"/>
      <c r="L312" s="3"/>
      <c r="M312" s="3"/>
      <c r="N312" s="3"/>
      <c r="O312" s="4"/>
      <c r="P312" s="83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 ht="24" customHeight="1" x14ac:dyDescent="0.5">
      <c r="A313" s="3"/>
      <c r="B313" s="3"/>
      <c r="C313" s="3"/>
      <c r="D313" s="3"/>
      <c r="E313" s="3"/>
      <c r="F313" s="3"/>
      <c r="G313" s="3"/>
      <c r="H313" s="3"/>
      <c r="I313" s="4"/>
      <c r="J313" s="3"/>
      <c r="K313" s="3"/>
      <c r="L313" s="3"/>
      <c r="M313" s="3"/>
      <c r="N313" s="3"/>
      <c r="O313" s="4"/>
      <c r="P313" s="83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 ht="24" customHeight="1" x14ac:dyDescent="0.5">
      <c r="A314" s="3"/>
      <c r="B314" s="3"/>
      <c r="C314" s="3"/>
      <c r="D314" s="3"/>
      <c r="E314" s="3"/>
      <c r="F314" s="3"/>
      <c r="G314" s="3"/>
      <c r="H314" s="3"/>
      <c r="I314" s="4"/>
      <c r="J314" s="3"/>
      <c r="K314" s="3"/>
      <c r="L314" s="3"/>
      <c r="M314" s="3"/>
      <c r="N314" s="3"/>
      <c r="O314" s="4"/>
      <c r="P314" s="83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 ht="24" customHeight="1" x14ac:dyDescent="0.5">
      <c r="A315" s="81"/>
      <c r="B315" s="81"/>
      <c r="C315" s="81"/>
      <c r="D315" s="81"/>
      <c r="E315" s="81"/>
      <c r="F315" s="81"/>
      <c r="G315" s="81"/>
      <c r="H315" s="81"/>
      <c r="I315" s="289"/>
      <c r="J315" s="81"/>
      <c r="K315" s="81"/>
      <c r="L315" s="81"/>
      <c r="M315" s="81"/>
      <c r="N315" s="81"/>
      <c r="O315" s="289"/>
      <c r="P315" s="105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 ht="24" customHeight="1" x14ac:dyDescent="0.5">
      <c r="A316" s="81"/>
      <c r="B316" s="81"/>
      <c r="C316" s="81"/>
      <c r="D316" s="81"/>
      <c r="E316" s="81"/>
      <c r="F316" s="81"/>
      <c r="G316" s="81"/>
      <c r="H316" s="81"/>
      <c r="I316" s="289"/>
      <c r="J316" s="81"/>
      <c r="K316" s="81"/>
      <c r="L316" s="81"/>
      <c r="M316" s="81"/>
      <c r="N316" s="81"/>
      <c r="O316" s="289"/>
      <c r="P316" s="105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 ht="24" customHeight="1" x14ac:dyDescent="0.5">
      <c r="A317" s="81"/>
      <c r="B317" s="81"/>
      <c r="C317" s="81"/>
      <c r="D317" s="81"/>
      <c r="E317" s="81"/>
      <c r="F317" s="81"/>
      <c r="G317" s="81"/>
      <c r="H317" s="81"/>
      <c r="I317" s="289"/>
      <c r="J317" s="81"/>
      <c r="K317" s="81"/>
      <c r="L317" s="81"/>
      <c r="M317" s="81"/>
      <c r="N317" s="81"/>
      <c r="O317" s="289"/>
      <c r="P317" s="105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 ht="24" customHeight="1" x14ac:dyDescent="0.5">
      <c r="A318" s="81"/>
      <c r="B318" s="81"/>
      <c r="C318" s="81"/>
      <c r="D318" s="81"/>
      <c r="E318" s="81"/>
      <c r="F318" s="81"/>
      <c r="G318" s="81"/>
      <c r="H318" s="81"/>
      <c r="I318" s="289"/>
      <c r="J318" s="81"/>
      <c r="K318" s="81"/>
      <c r="L318" s="81"/>
      <c r="M318" s="81"/>
      <c r="N318" s="81"/>
      <c r="O318" s="289"/>
      <c r="P318" s="105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 ht="24" customHeight="1" x14ac:dyDescent="0.5">
      <c r="A319" s="81"/>
      <c r="B319" s="81"/>
      <c r="C319" s="81"/>
      <c r="D319" s="81"/>
      <c r="E319" s="81"/>
      <c r="F319" s="81"/>
      <c r="G319" s="81"/>
      <c r="H319" s="81"/>
      <c r="I319" s="289"/>
      <c r="J319" s="81"/>
      <c r="K319" s="81"/>
      <c r="L319" s="81"/>
      <c r="M319" s="81"/>
      <c r="N319" s="81"/>
      <c r="O319" s="289"/>
      <c r="P319" s="105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 ht="24" customHeight="1" x14ac:dyDescent="0.5">
      <c r="A320" s="81"/>
      <c r="B320" s="81"/>
      <c r="C320" s="81"/>
      <c r="D320" s="81"/>
      <c r="E320" s="81"/>
      <c r="F320" s="81"/>
      <c r="G320" s="81"/>
      <c r="H320" s="81"/>
      <c r="I320" s="289"/>
      <c r="J320" s="81"/>
      <c r="K320" s="81"/>
      <c r="L320" s="81"/>
      <c r="M320" s="81"/>
      <c r="N320" s="81"/>
      <c r="O320" s="289"/>
      <c r="P320" s="105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 ht="24" customHeight="1" x14ac:dyDescent="0.5">
      <c r="A321" s="81"/>
      <c r="B321" s="81"/>
      <c r="C321" s="81"/>
      <c r="D321" s="81"/>
      <c r="E321" s="81"/>
      <c r="F321" s="81"/>
      <c r="G321" s="81"/>
      <c r="H321" s="81"/>
      <c r="I321" s="289"/>
      <c r="J321" s="81"/>
      <c r="K321" s="81"/>
      <c r="L321" s="81"/>
      <c r="M321" s="81"/>
      <c r="N321" s="81"/>
      <c r="O321" s="289"/>
      <c r="P321" s="105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 ht="24" customHeight="1" x14ac:dyDescent="0.5">
      <c r="A322" s="81"/>
      <c r="B322" s="81"/>
      <c r="C322" s="81"/>
      <c r="D322" s="81"/>
      <c r="E322" s="81"/>
      <c r="F322" s="81"/>
      <c r="G322" s="81"/>
      <c r="H322" s="81"/>
      <c r="I322" s="289"/>
      <c r="J322" s="81"/>
      <c r="K322" s="81"/>
      <c r="L322" s="81"/>
      <c r="M322" s="81"/>
      <c r="N322" s="81"/>
      <c r="O322" s="289"/>
      <c r="P322" s="105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 ht="24" customHeight="1" x14ac:dyDescent="0.5">
      <c r="A323" s="81"/>
      <c r="B323" s="81"/>
      <c r="C323" s="81"/>
      <c r="D323" s="81"/>
      <c r="E323" s="81"/>
      <c r="F323" s="81"/>
      <c r="G323" s="81"/>
      <c r="H323" s="81"/>
      <c r="I323" s="289"/>
      <c r="J323" s="81"/>
      <c r="K323" s="81"/>
      <c r="L323" s="81"/>
      <c r="M323" s="81"/>
      <c r="N323" s="81"/>
      <c r="O323" s="289"/>
      <c r="P323" s="105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 ht="24" customHeight="1" x14ac:dyDescent="0.5">
      <c r="A324" s="81"/>
      <c r="B324" s="81"/>
      <c r="C324" s="81"/>
      <c r="D324" s="81"/>
      <c r="E324" s="81"/>
      <c r="F324" s="81"/>
      <c r="G324" s="81"/>
      <c r="H324" s="81"/>
      <c r="I324" s="289"/>
      <c r="J324" s="81"/>
      <c r="K324" s="81"/>
      <c r="L324" s="81"/>
      <c r="M324" s="81"/>
      <c r="N324" s="81"/>
      <c r="O324" s="289"/>
      <c r="P324" s="105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 ht="24" customHeight="1" x14ac:dyDescent="0.5">
      <c r="A325" s="81"/>
      <c r="B325" s="81"/>
      <c r="C325" s="81"/>
      <c r="D325" s="81"/>
      <c r="E325" s="81"/>
      <c r="F325" s="81"/>
      <c r="G325" s="81"/>
      <c r="H325" s="81"/>
      <c r="I325" s="289"/>
      <c r="J325" s="81"/>
      <c r="K325" s="81"/>
      <c r="L325" s="81"/>
      <c r="M325" s="81"/>
      <c r="N325" s="81"/>
      <c r="O325" s="289"/>
      <c r="P325" s="105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 ht="24" customHeight="1" x14ac:dyDescent="0.5">
      <c r="A326" s="81"/>
      <c r="B326" s="81"/>
      <c r="C326" s="81"/>
      <c r="D326" s="81"/>
      <c r="E326" s="81"/>
      <c r="F326" s="81"/>
      <c r="G326" s="81"/>
      <c r="H326" s="81"/>
      <c r="I326" s="289"/>
      <c r="J326" s="81"/>
      <c r="K326" s="81"/>
      <c r="L326" s="81"/>
      <c r="M326" s="81"/>
      <c r="N326" s="81"/>
      <c r="O326" s="289"/>
      <c r="P326" s="105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 ht="24" customHeight="1" x14ac:dyDescent="0.5">
      <c r="A327" s="81"/>
      <c r="B327" s="81"/>
      <c r="C327" s="81"/>
      <c r="D327" s="81"/>
      <c r="E327" s="81"/>
      <c r="F327" s="81"/>
      <c r="G327" s="81"/>
      <c r="H327" s="81"/>
      <c r="I327" s="289"/>
      <c r="J327" s="81"/>
      <c r="K327" s="81"/>
      <c r="L327" s="81"/>
      <c r="M327" s="81"/>
      <c r="N327" s="81"/>
      <c r="O327" s="289"/>
      <c r="P327" s="105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 ht="24" customHeight="1" x14ac:dyDescent="0.5">
      <c r="A328" s="81"/>
      <c r="B328" s="81"/>
      <c r="C328" s="81"/>
      <c r="D328" s="81"/>
      <c r="E328" s="81"/>
      <c r="F328" s="81"/>
      <c r="G328" s="81"/>
      <c r="H328" s="81"/>
      <c r="I328" s="289"/>
      <c r="J328" s="81"/>
      <c r="K328" s="81"/>
      <c r="L328" s="81"/>
      <c r="M328" s="81"/>
      <c r="N328" s="81"/>
      <c r="O328" s="289"/>
      <c r="P328" s="105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 ht="24" customHeight="1" x14ac:dyDescent="0.5">
      <c r="A329" s="81"/>
      <c r="B329" s="81"/>
      <c r="C329" s="81"/>
      <c r="D329" s="81"/>
      <c r="E329" s="81"/>
      <c r="F329" s="81"/>
      <c r="G329" s="81"/>
      <c r="H329" s="81"/>
      <c r="I329" s="289"/>
      <c r="J329" s="81"/>
      <c r="K329" s="81"/>
      <c r="L329" s="81"/>
      <c r="M329" s="81"/>
      <c r="N329" s="81"/>
      <c r="O329" s="289"/>
      <c r="P329" s="105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 ht="24" customHeight="1" x14ac:dyDescent="0.5">
      <c r="A330" s="81"/>
      <c r="B330" s="81"/>
      <c r="C330" s="81"/>
      <c r="D330" s="81"/>
      <c r="E330" s="81"/>
      <c r="F330" s="81"/>
      <c r="G330" s="81"/>
      <c r="H330" s="81"/>
      <c r="I330" s="289"/>
      <c r="J330" s="81"/>
      <c r="K330" s="81"/>
      <c r="L330" s="81"/>
      <c r="M330" s="81"/>
      <c r="N330" s="81"/>
      <c r="O330" s="289"/>
      <c r="P330" s="105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 ht="24" customHeight="1" x14ac:dyDescent="0.5">
      <c r="A331" s="81"/>
      <c r="B331" s="81"/>
      <c r="C331" s="81"/>
      <c r="D331" s="81"/>
      <c r="E331" s="81"/>
      <c r="F331" s="81"/>
      <c r="G331" s="81"/>
      <c r="H331" s="81"/>
      <c r="I331" s="289"/>
      <c r="J331" s="81"/>
      <c r="K331" s="81"/>
      <c r="L331" s="81"/>
      <c r="M331" s="81"/>
      <c r="N331" s="81"/>
      <c r="O331" s="289"/>
      <c r="P331" s="105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 ht="24" customHeight="1" x14ac:dyDescent="0.5">
      <c r="A332" s="81"/>
      <c r="B332" s="81"/>
      <c r="C332" s="81"/>
      <c r="D332" s="81"/>
      <c r="E332" s="81"/>
      <c r="F332" s="81"/>
      <c r="G332" s="81"/>
      <c r="H332" s="81"/>
      <c r="I332" s="289"/>
      <c r="J332" s="81"/>
      <c r="K332" s="81"/>
      <c r="L332" s="81"/>
      <c r="M332" s="81"/>
      <c r="N332" s="81"/>
      <c r="O332" s="289"/>
      <c r="P332" s="105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 ht="24" customHeight="1" x14ac:dyDescent="0.5">
      <c r="A333" s="81"/>
      <c r="B333" s="81"/>
      <c r="C333" s="81"/>
      <c r="D333" s="81"/>
      <c r="E333" s="81"/>
      <c r="F333" s="81"/>
      <c r="G333" s="81"/>
      <c r="H333" s="81"/>
      <c r="I333" s="289"/>
      <c r="J333" s="81"/>
      <c r="K333" s="81"/>
      <c r="L333" s="81"/>
      <c r="M333" s="81"/>
      <c r="N333" s="81"/>
      <c r="O333" s="289"/>
      <c r="P333" s="105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 ht="24" customHeight="1" x14ac:dyDescent="0.5">
      <c r="A334" s="81"/>
      <c r="B334" s="81"/>
      <c r="C334" s="81"/>
      <c r="D334" s="81"/>
      <c r="E334" s="81"/>
      <c r="F334" s="81"/>
      <c r="G334" s="81"/>
      <c r="H334" s="81"/>
      <c r="I334" s="289"/>
      <c r="J334" s="81"/>
      <c r="K334" s="81"/>
      <c r="L334" s="81"/>
      <c r="M334" s="81"/>
      <c r="N334" s="81"/>
      <c r="O334" s="289"/>
      <c r="P334" s="105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 ht="24" customHeight="1" x14ac:dyDescent="0.5">
      <c r="A335" s="81"/>
      <c r="B335" s="81"/>
      <c r="C335" s="81"/>
      <c r="D335" s="81"/>
      <c r="E335" s="81"/>
      <c r="F335" s="81"/>
      <c r="G335" s="81"/>
      <c r="H335" s="81"/>
      <c r="I335" s="289"/>
      <c r="J335" s="81"/>
      <c r="K335" s="81"/>
      <c r="L335" s="81"/>
      <c r="M335" s="81"/>
      <c r="N335" s="81"/>
      <c r="O335" s="289"/>
      <c r="P335" s="105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 ht="24" customHeight="1" x14ac:dyDescent="0.5">
      <c r="A336" s="81"/>
      <c r="B336" s="81"/>
      <c r="C336" s="81"/>
      <c r="D336" s="81"/>
      <c r="E336" s="81"/>
      <c r="F336" s="81"/>
      <c r="G336" s="81"/>
      <c r="H336" s="81"/>
      <c r="I336" s="289"/>
      <c r="J336" s="81"/>
      <c r="K336" s="81"/>
      <c r="L336" s="81"/>
      <c r="M336" s="81"/>
      <c r="N336" s="81"/>
      <c r="O336" s="289"/>
      <c r="P336" s="105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 ht="24" customHeight="1" x14ac:dyDescent="0.5">
      <c r="A337" s="81"/>
      <c r="B337" s="81"/>
      <c r="C337" s="81"/>
      <c r="D337" s="81"/>
      <c r="E337" s="81"/>
      <c r="F337" s="81"/>
      <c r="G337" s="81"/>
      <c r="H337" s="81"/>
      <c r="I337" s="289"/>
      <c r="J337" s="81"/>
      <c r="K337" s="81"/>
      <c r="L337" s="81"/>
      <c r="M337" s="81"/>
      <c r="N337" s="81"/>
      <c r="O337" s="289"/>
      <c r="P337" s="105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 ht="24" customHeight="1" x14ac:dyDescent="0.5">
      <c r="A338" s="81"/>
      <c r="B338" s="81"/>
      <c r="C338" s="81"/>
      <c r="D338" s="81"/>
      <c r="E338" s="81"/>
      <c r="F338" s="81"/>
      <c r="G338" s="81"/>
      <c r="H338" s="81"/>
      <c r="I338" s="289"/>
      <c r="J338" s="81"/>
      <c r="K338" s="81"/>
      <c r="L338" s="81"/>
      <c r="M338" s="81"/>
      <c r="N338" s="81"/>
      <c r="O338" s="289"/>
      <c r="P338" s="105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 ht="24" customHeight="1" x14ac:dyDescent="0.5">
      <c r="A339" s="81"/>
      <c r="B339" s="81"/>
      <c r="C339" s="81"/>
      <c r="D339" s="81"/>
      <c r="E339" s="81"/>
      <c r="F339" s="81"/>
      <c r="G339" s="81"/>
      <c r="H339" s="81"/>
      <c r="I339" s="289"/>
      <c r="J339" s="81"/>
      <c r="K339" s="81"/>
      <c r="L339" s="81"/>
      <c r="M339" s="81"/>
      <c r="N339" s="81"/>
      <c r="O339" s="289"/>
      <c r="P339" s="105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 ht="24" customHeight="1" x14ac:dyDescent="0.5">
      <c r="A340" s="81"/>
      <c r="B340" s="81"/>
      <c r="C340" s="81"/>
      <c r="D340" s="81"/>
      <c r="E340" s="81"/>
      <c r="F340" s="81"/>
      <c r="G340" s="81"/>
      <c r="H340" s="81"/>
      <c r="I340" s="289"/>
      <c r="J340" s="81"/>
      <c r="K340" s="81"/>
      <c r="L340" s="81"/>
      <c r="M340" s="81"/>
      <c r="N340" s="81"/>
      <c r="O340" s="289"/>
      <c r="P340" s="105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 ht="24" customHeight="1" x14ac:dyDescent="0.5">
      <c r="A341" s="81"/>
      <c r="B341" s="81"/>
      <c r="C341" s="81"/>
      <c r="D341" s="81"/>
      <c r="E341" s="81"/>
      <c r="F341" s="81"/>
      <c r="G341" s="81"/>
      <c r="H341" s="81"/>
      <c r="I341" s="289"/>
      <c r="J341" s="81"/>
      <c r="K341" s="81"/>
      <c r="L341" s="81"/>
      <c r="M341" s="81"/>
      <c r="N341" s="81"/>
      <c r="O341" s="289"/>
      <c r="P341" s="105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 ht="24" customHeight="1" x14ac:dyDescent="0.5">
      <c r="A342" s="81"/>
      <c r="B342" s="81"/>
      <c r="C342" s="81"/>
      <c r="D342" s="81"/>
      <c r="E342" s="81"/>
      <c r="F342" s="81"/>
      <c r="G342" s="81"/>
      <c r="H342" s="81"/>
      <c r="I342" s="289"/>
      <c r="J342" s="81"/>
      <c r="K342" s="81"/>
      <c r="L342" s="81"/>
      <c r="M342" s="81"/>
      <c r="N342" s="81"/>
      <c r="O342" s="289"/>
      <c r="P342" s="105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 ht="24" customHeight="1" x14ac:dyDescent="0.5">
      <c r="A343" s="81"/>
      <c r="B343" s="81"/>
      <c r="C343" s="81"/>
      <c r="D343" s="81"/>
      <c r="E343" s="81"/>
      <c r="F343" s="81"/>
      <c r="G343" s="81"/>
      <c r="H343" s="81"/>
      <c r="I343" s="289"/>
      <c r="J343" s="81"/>
      <c r="K343" s="81"/>
      <c r="L343" s="81"/>
      <c r="M343" s="81"/>
      <c r="N343" s="81"/>
      <c r="O343" s="289"/>
      <c r="P343" s="105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 ht="24" customHeight="1" x14ac:dyDescent="0.5">
      <c r="A344" s="81"/>
      <c r="B344" s="81"/>
      <c r="C344" s="81"/>
      <c r="D344" s="81"/>
      <c r="E344" s="81"/>
      <c r="F344" s="81"/>
      <c r="G344" s="81"/>
      <c r="H344" s="81"/>
      <c r="I344" s="289"/>
      <c r="J344" s="81"/>
      <c r="K344" s="81"/>
      <c r="L344" s="81"/>
      <c r="M344" s="81"/>
      <c r="N344" s="81"/>
      <c r="O344" s="289"/>
      <c r="P344" s="105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 ht="24" customHeight="1" x14ac:dyDescent="0.5">
      <c r="A345" s="81"/>
      <c r="B345" s="81"/>
      <c r="C345" s="81"/>
      <c r="D345" s="81"/>
      <c r="E345" s="81"/>
      <c r="F345" s="81"/>
      <c r="G345" s="81"/>
      <c r="H345" s="81"/>
      <c r="I345" s="289"/>
      <c r="J345" s="81"/>
      <c r="K345" s="81"/>
      <c r="L345" s="81"/>
      <c r="M345" s="81"/>
      <c r="N345" s="81"/>
      <c r="O345" s="289"/>
      <c r="P345" s="105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 ht="24" customHeight="1" x14ac:dyDescent="0.5">
      <c r="A346" s="81"/>
      <c r="B346" s="81"/>
      <c r="C346" s="81"/>
      <c r="D346" s="81"/>
      <c r="E346" s="81"/>
      <c r="F346" s="81"/>
      <c r="G346" s="81"/>
      <c r="H346" s="81"/>
      <c r="I346" s="289"/>
      <c r="J346" s="81"/>
      <c r="K346" s="81"/>
      <c r="L346" s="81"/>
      <c r="M346" s="81"/>
      <c r="N346" s="81"/>
      <c r="O346" s="289"/>
      <c r="P346" s="105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 ht="24" customHeight="1" x14ac:dyDescent="0.5">
      <c r="A347" s="81"/>
      <c r="B347" s="81"/>
      <c r="C347" s="81"/>
      <c r="D347" s="81"/>
      <c r="E347" s="81"/>
      <c r="F347" s="81"/>
      <c r="G347" s="81"/>
      <c r="H347" s="81"/>
      <c r="I347" s="289"/>
      <c r="J347" s="81"/>
      <c r="K347" s="81"/>
      <c r="L347" s="81"/>
      <c r="M347" s="81"/>
      <c r="N347" s="81"/>
      <c r="O347" s="289"/>
      <c r="P347" s="105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 ht="24" customHeight="1" x14ac:dyDescent="0.5">
      <c r="A348" s="81"/>
      <c r="B348" s="81"/>
      <c r="C348" s="81"/>
      <c r="D348" s="81"/>
      <c r="E348" s="81"/>
      <c r="F348" s="81"/>
      <c r="G348" s="81"/>
      <c r="H348" s="81"/>
      <c r="I348" s="289"/>
      <c r="J348" s="81"/>
      <c r="K348" s="81"/>
      <c r="L348" s="81"/>
      <c r="M348" s="81"/>
      <c r="N348" s="81"/>
      <c r="O348" s="289"/>
      <c r="P348" s="105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 ht="24" customHeight="1" x14ac:dyDescent="0.5">
      <c r="A349" s="81"/>
      <c r="B349" s="81"/>
      <c r="C349" s="81"/>
      <c r="D349" s="81"/>
      <c r="E349" s="81"/>
      <c r="F349" s="81"/>
      <c r="G349" s="81"/>
      <c r="H349" s="81"/>
      <c r="I349" s="289"/>
      <c r="J349" s="81"/>
      <c r="K349" s="81"/>
      <c r="L349" s="81"/>
      <c r="M349" s="81"/>
      <c r="N349" s="81"/>
      <c r="O349" s="289"/>
      <c r="P349" s="105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 ht="24" customHeight="1" x14ac:dyDescent="0.5">
      <c r="A350" s="81"/>
      <c r="B350" s="81"/>
      <c r="C350" s="81"/>
      <c r="D350" s="81"/>
      <c r="E350" s="81"/>
      <c r="F350" s="81"/>
      <c r="G350" s="81"/>
      <c r="H350" s="81"/>
      <c r="I350" s="289"/>
      <c r="J350" s="81"/>
      <c r="K350" s="81"/>
      <c r="L350" s="81"/>
      <c r="M350" s="81"/>
      <c r="N350" s="81"/>
      <c r="O350" s="289"/>
      <c r="P350" s="105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 ht="24" customHeight="1" x14ac:dyDescent="0.5">
      <c r="A351" s="81"/>
      <c r="B351" s="81"/>
      <c r="C351" s="81"/>
      <c r="D351" s="81"/>
      <c r="E351" s="81"/>
      <c r="F351" s="81"/>
      <c r="G351" s="81"/>
      <c r="H351" s="81"/>
      <c r="I351" s="289"/>
      <c r="J351" s="81"/>
      <c r="K351" s="81"/>
      <c r="L351" s="81"/>
      <c r="M351" s="81"/>
      <c r="N351" s="81"/>
      <c r="O351" s="289"/>
      <c r="P351" s="105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 ht="24" customHeight="1" x14ac:dyDescent="0.5">
      <c r="A352" s="81"/>
      <c r="B352" s="81"/>
      <c r="C352" s="81"/>
      <c r="D352" s="81"/>
      <c r="E352" s="81"/>
      <c r="F352" s="81"/>
      <c r="G352" s="81"/>
      <c r="H352" s="81"/>
      <c r="I352" s="289"/>
      <c r="J352" s="81"/>
      <c r="K352" s="81"/>
      <c r="L352" s="81"/>
      <c r="M352" s="81"/>
      <c r="N352" s="81"/>
      <c r="O352" s="289"/>
      <c r="P352" s="105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 ht="24" customHeight="1" x14ac:dyDescent="0.5">
      <c r="A353" s="81"/>
      <c r="B353" s="81"/>
      <c r="C353" s="81"/>
      <c r="D353" s="81"/>
      <c r="E353" s="81"/>
      <c r="F353" s="81"/>
      <c r="G353" s="81"/>
      <c r="H353" s="81"/>
      <c r="I353" s="289"/>
      <c r="J353" s="81"/>
      <c r="K353" s="81"/>
      <c r="L353" s="81"/>
      <c r="M353" s="81"/>
      <c r="N353" s="81"/>
      <c r="O353" s="289"/>
      <c r="P353" s="105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 ht="24" customHeight="1" x14ac:dyDescent="0.5">
      <c r="A354" s="81"/>
      <c r="B354" s="81"/>
      <c r="C354" s="81"/>
      <c r="D354" s="81"/>
      <c r="E354" s="81"/>
      <c r="F354" s="81"/>
      <c r="G354" s="81"/>
      <c r="H354" s="81"/>
      <c r="I354" s="289"/>
      <c r="J354" s="81"/>
      <c r="K354" s="81"/>
      <c r="L354" s="81"/>
      <c r="M354" s="81"/>
      <c r="N354" s="81"/>
      <c r="O354" s="289"/>
      <c r="P354" s="105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 ht="24" customHeight="1" x14ac:dyDescent="0.5">
      <c r="A355" s="81"/>
      <c r="B355" s="81"/>
      <c r="C355" s="81"/>
      <c r="D355" s="81"/>
      <c r="E355" s="81"/>
      <c r="F355" s="81"/>
      <c r="G355" s="81"/>
      <c r="H355" s="81"/>
      <c r="I355" s="289"/>
      <c r="J355" s="81"/>
      <c r="K355" s="81"/>
      <c r="L355" s="81"/>
      <c r="M355" s="81"/>
      <c r="N355" s="81"/>
      <c r="O355" s="289"/>
      <c r="P355" s="105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 ht="24" customHeight="1" x14ac:dyDescent="0.5">
      <c r="A356" s="81"/>
      <c r="B356" s="81"/>
      <c r="C356" s="81"/>
      <c r="D356" s="81"/>
      <c r="E356" s="81"/>
      <c r="F356" s="81"/>
      <c r="G356" s="81"/>
      <c r="H356" s="81"/>
      <c r="I356" s="289"/>
      <c r="J356" s="81"/>
      <c r="K356" s="81"/>
      <c r="L356" s="81"/>
      <c r="M356" s="81"/>
      <c r="N356" s="81"/>
      <c r="O356" s="289"/>
      <c r="P356" s="105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 ht="24" customHeight="1" x14ac:dyDescent="0.5">
      <c r="A357" s="81"/>
      <c r="B357" s="81"/>
      <c r="C357" s="81"/>
      <c r="D357" s="81"/>
      <c r="E357" s="81"/>
      <c r="F357" s="81"/>
      <c r="G357" s="81"/>
      <c r="H357" s="81"/>
      <c r="I357" s="289"/>
      <c r="J357" s="81"/>
      <c r="K357" s="81"/>
      <c r="L357" s="81"/>
      <c r="M357" s="81"/>
      <c r="N357" s="81"/>
      <c r="O357" s="289"/>
      <c r="P357" s="105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 ht="24" customHeight="1" x14ac:dyDescent="0.5">
      <c r="A358" s="81"/>
      <c r="B358" s="81"/>
      <c r="C358" s="81"/>
      <c r="D358" s="81"/>
      <c r="E358" s="81"/>
      <c r="F358" s="81"/>
      <c r="G358" s="81"/>
      <c r="H358" s="81"/>
      <c r="I358" s="289"/>
      <c r="J358" s="81"/>
      <c r="K358" s="81"/>
      <c r="L358" s="81"/>
      <c r="M358" s="81"/>
      <c r="N358" s="81"/>
      <c r="O358" s="289"/>
      <c r="P358" s="105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 ht="24" customHeight="1" x14ac:dyDescent="0.5">
      <c r="A359" s="81"/>
      <c r="B359" s="81"/>
      <c r="C359" s="81"/>
      <c r="D359" s="81"/>
      <c r="E359" s="81"/>
      <c r="F359" s="81"/>
      <c r="G359" s="81"/>
      <c r="H359" s="81"/>
      <c r="I359" s="289"/>
      <c r="J359" s="81"/>
      <c r="K359" s="81"/>
      <c r="L359" s="81"/>
      <c r="M359" s="81"/>
      <c r="N359" s="81"/>
      <c r="O359" s="289"/>
      <c r="P359" s="105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 ht="24" customHeight="1" x14ac:dyDescent="0.5">
      <c r="A360" s="81"/>
      <c r="B360" s="81"/>
      <c r="C360" s="81"/>
      <c r="D360" s="81"/>
      <c r="E360" s="81"/>
      <c r="F360" s="81"/>
      <c r="G360" s="81"/>
      <c r="H360" s="81"/>
      <c r="I360" s="289"/>
      <c r="J360" s="81"/>
      <c r="K360" s="81"/>
      <c r="L360" s="81"/>
      <c r="M360" s="81"/>
      <c r="N360" s="81"/>
      <c r="O360" s="289"/>
      <c r="P360" s="105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 ht="24" customHeight="1" x14ac:dyDescent="0.5">
      <c r="A361" s="81"/>
      <c r="B361" s="81"/>
      <c r="C361" s="81"/>
      <c r="D361" s="81"/>
      <c r="E361" s="81"/>
      <c r="F361" s="81"/>
      <c r="G361" s="81"/>
      <c r="H361" s="81"/>
      <c r="I361" s="289"/>
      <c r="J361" s="81"/>
      <c r="K361" s="81"/>
      <c r="L361" s="81"/>
      <c r="M361" s="81"/>
      <c r="N361" s="81"/>
      <c r="O361" s="289"/>
      <c r="P361" s="105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 ht="24" customHeight="1" x14ac:dyDescent="0.5">
      <c r="A362" s="81"/>
      <c r="B362" s="81"/>
      <c r="C362" s="81"/>
      <c r="D362" s="81"/>
      <c r="E362" s="81"/>
      <c r="F362" s="81"/>
      <c r="G362" s="81"/>
      <c r="H362" s="81"/>
      <c r="I362" s="289"/>
      <c r="J362" s="81"/>
      <c r="K362" s="81"/>
      <c r="L362" s="81"/>
      <c r="M362" s="81"/>
      <c r="N362" s="81"/>
      <c r="O362" s="289"/>
      <c r="P362" s="105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 ht="24" customHeight="1" x14ac:dyDescent="0.5">
      <c r="A363" s="81"/>
      <c r="B363" s="81"/>
      <c r="C363" s="81"/>
      <c r="D363" s="81"/>
      <c r="E363" s="81"/>
      <c r="F363" s="81"/>
      <c r="G363" s="81"/>
      <c r="H363" s="81"/>
      <c r="I363" s="289"/>
      <c r="J363" s="81"/>
      <c r="K363" s="81"/>
      <c r="L363" s="81"/>
      <c r="M363" s="81"/>
      <c r="N363" s="81"/>
      <c r="O363" s="289"/>
      <c r="P363" s="105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 ht="24" customHeight="1" x14ac:dyDescent="0.5">
      <c r="A364" s="81"/>
      <c r="B364" s="81"/>
      <c r="C364" s="81"/>
      <c r="D364" s="81"/>
      <c r="E364" s="81"/>
      <c r="F364" s="81"/>
      <c r="G364" s="81"/>
      <c r="H364" s="81"/>
      <c r="I364" s="289"/>
      <c r="J364" s="81"/>
      <c r="K364" s="81"/>
      <c r="L364" s="81"/>
      <c r="M364" s="81"/>
      <c r="N364" s="81"/>
      <c r="O364" s="289"/>
      <c r="P364" s="105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 ht="24" customHeight="1" x14ac:dyDescent="0.5">
      <c r="A365" s="81"/>
      <c r="B365" s="81"/>
      <c r="C365" s="81"/>
      <c r="D365" s="81"/>
      <c r="E365" s="81"/>
      <c r="F365" s="81"/>
      <c r="G365" s="81"/>
      <c r="H365" s="81"/>
      <c r="I365" s="289"/>
      <c r="J365" s="81"/>
      <c r="K365" s="81"/>
      <c r="L365" s="81"/>
      <c r="M365" s="81"/>
      <c r="N365" s="81"/>
      <c r="O365" s="289"/>
      <c r="P365" s="105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 ht="24" customHeight="1" x14ac:dyDescent="0.5">
      <c r="A366" s="81"/>
      <c r="B366" s="81"/>
      <c r="C366" s="81"/>
      <c r="D366" s="81"/>
      <c r="E366" s="81"/>
      <c r="F366" s="81"/>
      <c r="G366" s="81"/>
      <c r="H366" s="81"/>
      <c r="I366" s="289"/>
      <c r="J366" s="81"/>
      <c r="K366" s="81"/>
      <c r="L366" s="81"/>
      <c r="M366" s="81"/>
      <c r="N366" s="81"/>
      <c r="O366" s="289"/>
      <c r="P366" s="105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 ht="24" customHeight="1" x14ac:dyDescent="0.5">
      <c r="A367" s="81"/>
      <c r="B367" s="81"/>
      <c r="C367" s="81"/>
      <c r="D367" s="81"/>
      <c r="E367" s="81"/>
      <c r="F367" s="81"/>
      <c r="G367" s="81"/>
      <c r="H367" s="81"/>
      <c r="I367" s="289"/>
      <c r="J367" s="81"/>
      <c r="K367" s="81"/>
      <c r="L367" s="81"/>
      <c r="M367" s="81"/>
      <c r="N367" s="81"/>
      <c r="O367" s="289"/>
      <c r="P367" s="105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 ht="24" customHeight="1" x14ac:dyDescent="0.5">
      <c r="A368" s="81"/>
      <c r="B368" s="81"/>
      <c r="C368" s="81"/>
      <c r="D368" s="81"/>
      <c r="E368" s="81"/>
      <c r="F368" s="81"/>
      <c r="G368" s="81"/>
      <c r="H368" s="81"/>
      <c r="I368" s="289"/>
      <c r="J368" s="81"/>
      <c r="K368" s="81"/>
      <c r="L368" s="81"/>
      <c r="M368" s="81"/>
      <c r="N368" s="81"/>
      <c r="O368" s="289"/>
      <c r="P368" s="105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 ht="24" customHeight="1" x14ac:dyDescent="0.5">
      <c r="A369" s="81"/>
      <c r="B369" s="81"/>
      <c r="C369" s="81"/>
      <c r="D369" s="81"/>
      <c r="E369" s="81"/>
      <c r="F369" s="81"/>
      <c r="G369" s="81"/>
      <c r="H369" s="81"/>
      <c r="I369" s="289"/>
      <c r="J369" s="81"/>
      <c r="K369" s="81"/>
      <c r="L369" s="81"/>
      <c r="M369" s="81"/>
      <c r="N369" s="81"/>
      <c r="O369" s="289"/>
      <c r="P369" s="105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 ht="24" customHeight="1" x14ac:dyDescent="0.5">
      <c r="A370" s="81"/>
      <c r="B370" s="81"/>
      <c r="C370" s="81"/>
      <c r="D370" s="81"/>
      <c r="E370" s="81"/>
      <c r="F370" s="81"/>
      <c r="G370" s="81"/>
      <c r="H370" s="81"/>
      <c r="I370" s="289"/>
      <c r="J370" s="81"/>
      <c r="K370" s="81"/>
      <c r="L370" s="81"/>
      <c r="M370" s="81"/>
      <c r="N370" s="81"/>
      <c r="O370" s="289"/>
      <c r="P370" s="105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 ht="24" customHeight="1" x14ac:dyDescent="0.5">
      <c r="A371" s="81"/>
      <c r="B371" s="81"/>
      <c r="C371" s="81"/>
      <c r="D371" s="81"/>
      <c r="E371" s="81"/>
      <c r="F371" s="81"/>
      <c r="G371" s="81"/>
      <c r="H371" s="81"/>
      <c r="I371" s="289"/>
      <c r="J371" s="81"/>
      <c r="K371" s="81"/>
      <c r="L371" s="81"/>
      <c r="M371" s="81"/>
      <c r="N371" s="81"/>
      <c r="O371" s="289"/>
      <c r="P371" s="105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 ht="24" customHeight="1" x14ac:dyDescent="0.5">
      <c r="A372" s="81"/>
      <c r="B372" s="81"/>
      <c r="C372" s="81"/>
      <c r="D372" s="81"/>
      <c r="E372" s="81"/>
      <c r="F372" s="81"/>
      <c r="G372" s="81"/>
      <c r="H372" s="81"/>
      <c r="I372" s="289"/>
      <c r="J372" s="81"/>
      <c r="K372" s="81"/>
      <c r="L372" s="81"/>
      <c r="M372" s="81"/>
      <c r="N372" s="81"/>
      <c r="O372" s="289"/>
      <c r="P372" s="105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 ht="24" customHeight="1" x14ac:dyDescent="0.5">
      <c r="A373" s="81"/>
      <c r="B373" s="81"/>
      <c r="C373" s="81"/>
      <c r="D373" s="81"/>
      <c r="E373" s="81"/>
      <c r="F373" s="81"/>
      <c r="G373" s="81"/>
      <c r="H373" s="81"/>
      <c r="I373" s="289"/>
      <c r="J373" s="81"/>
      <c r="K373" s="81"/>
      <c r="L373" s="81"/>
      <c r="M373" s="81"/>
      <c r="N373" s="81"/>
      <c r="O373" s="289"/>
      <c r="P373" s="105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 ht="24" customHeight="1" x14ac:dyDescent="0.5">
      <c r="A374" s="81"/>
      <c r="B374" s="81"/>
      <c r="C374" s="81"/>
      <c r="D374" s="81"/>
      <c r="E374" s="81"/>
      <c r="F374" s="81"/>
      <c r="G374" s="81"/>
      <c r="H374" s="81"/>
      <c r="I374" s="289"/>
      <c r="J374" s="81"/>
      <c r="K374" s="81"/>
      <c r="L374" s="81"/>
      <c r="M374" s="81"/>
      <c r="N374" s="81"/>
      <c r="O374" s="289"/>
      <c r="P374" s="105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 ht="24" customHeight="1" x14ac:dyDescent="0.5">
      <c r="A375" s="81"/>
      <c r="B375" s="81"/>
      <c r="C375" s="81"/>
      <c r="D375" s="81"/>
      <c r="E375" s="81"/>
      <c r="F375" s="81"/>
      <c r="G375" s="81"/>
      <c r="H375" s="81"/>
      <c r="I375" s="289"/>
      <c r="J375" s="81"/>
      <c r="K375" s="81"/>
      <c r="L375" s="81"/>
      <c r="M375" s="81"/>
      <c r="N375" s="81"/>
      <c r="O375" s="289"/>
      <c r="P375" s="105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 ht="24" customHeight="1" x14ac:dyDescent="0.5">
      <c r="A376" s="81"/>
      <c r="B376" s="81"/>
      <c r="C376" s="81"/>
      <c r="D376" s="81"/>
      <c r="E376" s="81"/>
      <c r="F376" s="81"/>
      <c r="G376" s="81"/>
      <c r="H376" s="81"/>
      <c r="I376" s="289"/>
      <c r="J376" s="81"/>
      <c r="K376" s="81"/>
      <c r="L376" s="81"/>
      <c r="M376" s="81"/>
      <c r="N376" s="81"/>
      <c r="O376" s="289"/>
      <c r="P376" s="105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 ht="24" customHeight="1" x14ac:dyDescent="0.5">
      <c r="A377" s="81"/>
      <c r="B377" s="81"/>
      <c r="C377" s="81"/>
      <c r="D377" s="81"/>
      <c r="E377" s="81"/>
      <c r="F377" s="81"/>
      <c r="G377" s="81"/>
      <c r="H377" s="81"/>
      <c r="I377" s="289"/>
      <c r="J377" s="81"/>
      <c r="K377" s="81"/>
      <c r="L377" s="81"/>
      <c r="M377" s="81"/>
      <c r="N377" s="81"/>
      <c r="O377" s="289"/>
      <c r="P377" s="105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 ht="24" customHeight="1" x14ac:dyDescent="0.5">
      <c r="A378" s="81"/>
      <c r="B378" s="81"/>
      <c r="C378" s="81"/>
      <c r="D378" s="81"/>
      <c r="E378" s="81"/>
      <c r="F378" s="81"/>
      <c r="G378" s="81"/>
      <c r="H378" s="81"/>
      <c r="I378" s="289"/>
      <c r="J378" s="81"/>
      <c r="K378" s="81"/>
      <c r="L378" s="81"/>
      <c r="M378" s="81"/>
      <c r="N378" s="81"/>
      <c r="O378" s="289"/>
      <c r="P378" s="105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 ht="24" customHeight="1" x14ac:dyDescent="0.5">
      <c r="A379" s="81"/>
      <c r="B379" s="81"/>
      <c r="C379" s="81"/>
      <c r="D379" s="81"/>
      <c r="E379" s="81"/>
      <c r="F379" s="81"/>
      <c r="G379" s="81"/>
      <c r="H379" s="81"/>
      <c r="I379" s="289"/>
      <c r="J379" s="81"/>
      <c r="K379" s="81"/>
      <c r="L379" s="81"/>
      <c r="M379" s="81"/>
      <c r="N379" s="81"/>
      <c r="O379" s="289"/>
      <c r="P379" s="105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 ht="24" customHeight="1" x14ac:dyDescent="0.5">
      <c r="A380" s="81"/>
      <c r="B380" s="81"/>
      <c r="C380" s="81"/>
      <c r="D380" s="81"/>
      <c r="E380" s="81"/>
      <c r="F380" s="81"/>
      <c r="G380" s="81"/>
      <c r="H380" s="81"/>
      <c r="I380" s="289"/>
      <c r="J380" s="81"/>
      <c r="K380" s="81"/>
      <c r="L380" s="81"/>
      <c r="M380" s="81"/>
      <c r="N380" s="81"/>
      <c r="O380" s="289"/>
      <c r="P380" s="105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 ht="24" customHeight="1" x14ac:dyDescent="0.5">
      <c r="A381" s="81"/>
      <c r="B381" s="81"/>
      <c r="C381" s="81"/>
      <c r="D381" s="81"/>
      <c r="E381" s="81"/>
      <c r="F381" s="81"/>
      <c r="G381" s="81"/>
      <c r="H381" s="81"/>
      <c r="I381" s="289"/>
      <c r="J381" s="81"/>
      <c r="K381" s="81"/>
      <c r="L381" s="81"/>
      <c r="M381" s="81"/>
      <c r="N381" s="81"/>
      <c r="O381" s="289"/>
      <c r="P381" s="105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 ht="24" customHeight="1" x14ac:dyDescent="0.5">
      <c r="A382" s="81"/>
      <c r="B382" s="81"/>
      <c r="C382" s="81"/>
      <c r="D382" s="81"/>
      <c r="E382" s="81"/>
      <c r="F382" s="81"/>
      <c r="G382" s="81"/>
      <c r="H382" s="81"/>
      <c r="I382" s="289"/>
      <c r="J382" s="81"/>
      <c r="K382" s="81"/>
      <c r="L382" s="81"/>
      <c r="M382" s="81"/>
      <c r="N382" s="81"/>
      <c r="O382" s="289"/>
      <c r="P382" s="105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 ht="24" customHeight="1" x14ac:dyDescent="0.5">
      <c r="A383" s="81"/>
      <c r="B383" s="81"/>
      <c r="C383" s="81"/>
      <c r="D383" s="81"/>
      <c r="E383" s="81"/>
      <c r="F383" s="81"/>
      <c r="G383" s="81"/>
      <c r="H383" s="81"/>
      <c r="I383" s="289"/>
      <c r="J383" s="81"/>
      <c r="K383" s="81"/>
      <c r="L383" s="81"/>
      <c r="M383" s="81"/>
      <c r="N383" s="81"/>
      <c r="O383" s="289"/>
      <c r="P383" s="105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 ht="24" customHeight="1" x14ac:dyDescent="0.5">
      <c r="A384" s="81"/>
      <c r="B384" s="81"/>
      <c r="C384" s="81"/>
      <c r="D384" s="81"/>
      <c r="E384" s="81"/>
      <c r="F384" s="81"/>
      <c r="G384" s="81"/>
      <c r="H384" s="81"/>
      <c r="I384" s="289"/>
      <c r="J384" s="81"/>
      <c r="K384" s="81"/>
      <c r="L384" s="81"/>
      <c r="M384" s="81"/>
      <c r="N384" s="81"/>
      <c r="O384" s="289"/>
      <c r="P384" s="105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 ht="24" customHeight="1" x14ac:dyDescent="0.5">
      <c r="A385" s="81"/>
      <c r="B385" s="81"/>
      <c r="C385" s="81"/>
      <c r="D385" s="81"/>
      <c r="E385" s="81"/>
      <c r="F385" s="81"/>
      <c r="G385" s="81"/>
      <c r="H385" s="81"/>
      <c r="I385" s="289"/>
      <c r="J385" s="81"/>
      <c r="K385" s="81"/>
      <c r="L385" s="81"/>
      <c r="M385" s="81"/>
      <c r="N385" s="81"/>
      <c r="O385" s="289"/>
      <c r="P385" s="105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 ht="24" customHeight="1" x14ac:dyDescent="0.5">
      <c r="A386" s="81"/>
      <c r="B386" s="81"/>
      <c r="C386" s="81"/>
      <c r="D386" s="81"/>
      <c r="E386" s="81"/>
      <c r="F386" s="81"/>
      <c r="G386" s="81"/>
      <c r="H386" s="81"/>
      <c r="I386" s="289"/>
      <c r="J386" s="81"/>
      <c r="K386" s="81"/>
      <c r="L386" s="81"/>
      <c r="M386" s="81"/>
      <c r="N386" s="81"/>
      <c r="O386" s="289"/>
      <c r="P386" s="105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 ht="24" customHeight="1" x14ac:dyDescent="0.5">
      <c r="A387" s="81"/>
      <c r="B387" s="81"/>
      <c r="C387" s="81"/>
      <c r="D387" s="81"/>
      <c r="E387" s="81"/>
      <c r="F387" s="81"/>
      <c r="G387" s="81"/>
      <c r="H387" s="81"/>
      <c r="I387" s="289"/>
      <c r="J387" s="81"/>
      <c r="K387" s="81"/>
      <c r="L387" s="81"/>
      <c r="M387" s="81"/>
      <c r="N387" s="81"/>
      <c r="O387" s="289"/>
      <c r="P387" s="105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 ht="24" customHeight="1" x14ac:dyDescent="0.5">
      <c r="A388" s="81"/>
      <c r="B388" s="81"/>
      <c r="C388" s="81"/>
      <c r="D388" s="81"/>
      <c r="E388" s="81"/>
      <c r="F388" s="81"/>
      <c r="G388" s="81"/>
      <c r="H388" s="81"/>
      <c r="I388" s="289"/>
      <c r="J388" s="81"/>
      <c r="K388" s="81"/>
      <c r="L388" s="81"/>
      <c r="M388" s="81"/>
      <c r="N388" s="81"/>
      <c r="O388" s="289"/>
      <c r="P388" s="105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 ht="24" customHeight="1" x14ac:dyDescent="0.5">
      <c r="A389" s="81"/>
      <c r="B389" s="81"/>
      <c r="C389" s="81"/>
      <c r="D389" s="81"/>
      <c r="E389" s="81"/>
      <c r="F389" s="81"/>
      <c r="G389" s="81"/>
      <c r="H389" s="81"/>
      <c r="I389" s="289"/>
      <c r="J389" s="81"/>
      <c r="K389" s="81"/>
      <c r="L389" s="81"/>
      <c r="M389" s="81"/>
      <c r="N389" s="81"/>
      <c r="O389" s="289"/>
      <c r="P389" s="105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 ht="24" customHeight="1" x14ac:dyDescent="0.5">
      <c r="A390" s="81"/>
      <c r="B390" s="81"/>
      <c r="C390" s="81"/>
      <c r="D390" s="81"/>
      <c r="E390" s="81"/>
      <c r="F390" s="81"/>
      <c r="G390" s="81"/>
      <c r="H390" s="81"/>
      <c r="I390" s="289"/>
      <c r="J390" s="81"/>
      <c r="K390" s="81"/>
      <c r="L390" s="81"/>
      <c r="M390" s="81"/>
      <c r="N390" s="81"/>
      <c r="O390" s="289"/>
      <c r="P390" s="105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ht="24" customHeight="1" x14ac:dyDescent="0.5">
      <c r="A391" s="81"/>
      <c r="B391" s="81"/>
      <c r="C391" s="81"/>
      <c r="D391" s="81"/>
      <c r="E391" s="81"/>
      <c r="F391" s="81"/>
      <c r="G391" s="81"/>
      <c r="H391" s="81"/>
      <c r="I391" s="289"/>
      <c r="J391" s="81"/>
      <c r="K391" s="81"/>
      <c r="L391" s="81"/>
      <c r="M391" s="81"/>
      <c r="N391" s="81"/>
      <c r="O391" s="289"/>
      <c r="P391" s="105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 ht="24" customHeight="1" x14ac:dyDescent="0.5">
      <c r="A392" s="81"/>
      <c r="B392" s="81"/>
      <c r="C392" s="81"/>
      <c r="D392" s="81"/>
      <c r="E392" s="81"/>
      <c r="F392" s="81"/>
      <c r="G392" s="81"/>
      <c r="H392" s="81"/>
      <c r="I392" s="289"/>
      <c r="J392" s="81"/>
      <c r="K392" s="81"/>
      <c r="L392" s="81"/>
      <c r="M392" s="81"/>
      <c r="N392" s="81"/>
      <c r="O392" s="289"/>
      <c r="P392" s="105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 ht="24" customHeight="1" x14ac:dyDescent="0.5">
      <c r="A393" s="81"/>
      <c r="B393" s="81"/>
      <c r="C393" s="81"/>
      <c r="D393" s="81"/>
      <c r="E393" s="81"/>
      <c r="F393" s="81"/>
      <c r="G393" s="81"/>
      <c r="H393" s="81"/>
      <c r="I393" s="289"/>
      <c r="J393" s="81"/>
      <c r="K393" s="81"/>
      <c r="L393" s="81"/>
      <c r="M393" s="81"/>
      <c r="N393" s="81"/>
      <c r="O393" s="289"/>
      <c r="P393" s="105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 ht="24" customHeight="1" x14ac:dyDescent="0.5">
      <c r="A394" s="81"/>
      <c r="B394" s="81"/>
      <c r="C394" s="81"/>
      <c r="D394" s="81"/>
      <c r="E394" s="81"/>
      <c r="F394" s="81"/>
      <c r="G394" s="81"/>
      <c r="H394" s="81"/>
      <c r="I394" s="289"/>
      <c r="J394" s="81"/>
      <c r="K394" s="81"/>
      <c r="L394" s="81"/>
      <c r="M394" s="81"/>
      <c r="N394" s="81"/>
      <c r="O394" s="289"/>
      <c r="P394" s="105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 ht="24" customHeight="1" x14ac:dyDescent="0.5">
      <c r="A395" s="81"/>
      <c r="B395" s="81"/>
      <c r="C395" s="81"/>
      <c r="D395" s="81"/>
      <c r="E395" s="81"/>
      <c r="F395" s="81"/>
      <c r="G395" s="81"/>
      <c r="H395" s="81"/>
      <c r="I395" s="289"/>
      <c r="J395" s="81"/>
      <c r="K395" s="81"/>
      <c r="L395" s="81"/>
      <c r="M395" s="81"/>
      <c r="N395" s="81"/>
      <c r="O395" s="289"/>
      <c r="P395" s="105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 ht="24" customHeight="1" x14ac:dyDescent="0.5">
      <c r="A396" s="81"/>
      <c r="B396" s="81"/>
      <c r="C396" s="81"/>
      <c r="D396" s="81"/>
      <c r="E396" s="81"/>
      <c r="F396" s="81"/>
      <c r="G396" s="81"/>
      <c r="H396" s="81"/>
      <c r="I396" s="289"/>
      <c r="J396" s="81"/>
      <c r="K396" s="81"/>
      <c r="L396" s="81"/>
      <c r="M396" s="81"/>
      <c r="N396" s="81"/>
      <c r="O396" s="289"/>
      <c r="P396" s="105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 ht="24" customHeight="1" x14ac:dyDescent="0.5">
      <c r="A397" s="81"/>
      <c r="B397" s="81"/>
      <c r="C397" s="81"/>
      <c r="D397" s="81"/>
      <c r="E397" s="81"/>
      <c r="F397" s="81"/>
      <c r="G397" s="81"/>
      <c r="H397" s="81"/>
      <c r="I397" s="289"/>
      <c r="J397" s="81"/>
      <c r="K397" s="81"/>
      <c r="L397" s="81"/>
      <c r="M397" s="81"/>
      <c r="N397" s="81"/>
      <c r="O397" s="289"/>
      <c r="P397" s="105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 ht="24" customHeight="1" x14ac:dyDescent="0.5">
      <c r="A398" s="81"/>
      <c r="B398" s="81"/>
      <c r="C398" s="81"/>
      <c r="D398" s="81"/>
      <c r="E398" s="81"/>
      <c r="F398" s="81"/>
      <c r="G398" s="81"/>
      <c r="H398" s="81"/>
      <c r="I398" s="289"/>
      <c r="J398" s="81"/>
      <c r="K398" s="81"/>
      <c r="L398" s="81"/>
      <c r="M398" s="81"/>
      <c r="N398" s="81"/>
      <c r="O398" s="289"/>
      <c r="P398" s="105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 ht="24" customHeight="1" x14ac:dyDescent="0.5">
      <c r="A399" s="81"/>
      <c r="B399" s="81"/>
      <c r="C399" s="81"/>
      <c r="D399" s="81"/>
      <c r="E399" s="81"/>
      <c r="F399" s="81"/>
      <c r="G399" s="81"/>
      <c r="H399" s="81"/>
      <c r="I399" s="289"/>
      <c r="J399" s="81"/>
      <c r="K399" s="81"/>
      <c r="L399" s="81"/>
      <c r="M399" s="81"/>
      <c r="N399" s="81"/>
      <c r="O399" s="289"/>
      <c r="P399" s="105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 ht="24" customHeight="1" x14ac:dyDescent="0.5">
      <c r="A400" s="81"/>
      <c r="B400" s="81"/>
      <c r="C400" s="81"/>
      <c r="D400" s="81"/>
      <c r="E400" s="81"/>
      <c r="F400" s="81"/>
      <c r="G400" s="81"/>
      <c r="H400" s="81"/>
      <c r="I400" s="289"/>
      <c r="J400" s="81"/>
      <c r="K400" s="81"/>
      <c r="L400" s="81"/>
      <c r="M400" s="81"/>
      <c r="N400" s="81"/>
      <c r="O400" s="289"/>
      <c r="P400" s="105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 ht="24" customHeight="1" x14ac:dyDescent="0.5">
      <c r="A401" s="81"/>
      <c r="B401" s="81"/>
      <c r="C401" s="81"/>
      <c r="D401" s="81"/>
      <c r="E401" s="81"/>
      <c r="F401" s="81"/>
      <c r="G401" s="81"/>
      <c r="H401" s="81"/>
      <c r="I401" s="289"/>
      <c r="J401" s="81"/>
      <c r="K401" s="81"/>
      <c r="L401" s="81"/>
      <c r="M401" s="81"/>
      <c r="N401" s="81"/>
      <c r="O401" s="289"/>
      <c r="P401" s="105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 ht="24" customHeight="1" x14ac:dyDescent="0.5">
      <c r="A402" s="81"/>
      <c r="B402" s="81"/>
      <c r="C402" s="81"/>
      <c r="D402" s="81"/>
      <c r="E402" s="81"/>
      <c r="F402" s="81"/>
      <c r="G402" s="81"/>
      <c r="H402" s="81"/>
      <c r="I402" s="289"/>
      <c r="J402" s="81"/>
      <c r="K402" s="81"/>
      <c r="L402" s="81"/>
      <c r="M402" s="81"/>
      <c r="N402" s="81"/>
      <c r="O402" s="289"/>
      <c r="P402" s="105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 ht="24" customHeight="1" x14ac:dyDescent="0.5">
      <c r="A403" s="81"/>
      <c r="B403" s="81"/>
      <c r="C403" s="81"/>
      <c r="D403" s="81"/>
      <c r="E403" s="81"/>
      <c r="F403" s="81"/>
      <c r="G403" s="81"/>
      <c r="H403" s="81"/>
      <c r="I403" s="289"/>
      <c r="J403" s="81"/>
      <c r="K403" s="81"/>
      <c r="L403" s="81"/>
      <c r="M403" s="81"/>
      <c r="N403" s="81"/>
      <c r="O403" s="289"/>
      <c r="P403" s="105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 ht="24" customHeight="1" x14ac:dyDescent="0.5">
      <c r="A404" s="81"/>
      <c r="B404" s="81"/>
      <c r="C404" s="81"/>
      <c r="D404" s="81"/>
      <c r="E404" s="81"/>
      <c r="F404" s="81"/>
      <c r="G404" s="81"/>
      <c r="H404" s="81"/>
      <c r="I404" s="289"/>
      <c r="J404" s="81"/>
      <c r="K404" s="81"/>
      <c r="L404" s="81"/>
      <c r="M404" s="81"/>
      <c r="N404" s="81"/>
      <c r="O404" s="289"/>
      <c r="P404" s="105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 ht="24" customHeight="1" x14ac:dyDescent="0.5">
      <c r="A405" s="81"/>
      <c r="B405" s="81"/>
      <c r="C405" s="81"/>
      <c r="D405" s="81"/>
      <c r="E405" s="81"/>
      <c r="F405" s="81"/>
      <c r="G405" s="81"/>
      <c r="H405" s="81"/>
      <c r="I405" s="289"/>
      <c r="J405" s="81"/>
      <c r="K405" s="81"/>
      <c r="L405" s="81"/>
      <c r="M405" s="81"/>
      <c r="N405" s="81"/>
      <c r="O405" s="289"/>
      <c r="P405" s="105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 ht="24" customHeight="1" x14ac:dyDescent="0.5">
      <c r="A406" s="81"/>
      <c r="B406" s="81"/>
      <c r="C406" s="81"/>
      <c r="D406" s="81"/>
      <c r="E406" s="81"/>
      <c r="F406" s="81"/>
      <c r="G406" s="81"/>
      <c r="H406" s="81"/>
      <c r="I406" s="289"/>
      <c r="J406" s="81"/>
      <c r="K406" s="81"/>
      <c r="L406" s="81"/>
      <c r="M406" s="81"/>
      <c r="N406" s="81"/>
      <c r="O406" s="289"/>
      <c r="P406" s="105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 ht="24" customHeight="1" x14ac:dyDescent="0.5">
      <c r="A407" s="81"/>
      <c r="B407" s="81"/>
      <c r="C407" s="81"/>
      <c r="D407" s="81"/>
      <c r="E407" s="81"/>
      <c r="F407" s="81"/>
      <c r="G407" s="81"/>
      <c r="H407" s="81"/>
      <c r="I407" s="289"/>
      <c r="J407" s="81"/>
      <c r="K407" s="81"/>
      <c r="L407" s="81"/>
      <c r="M407" s="81"/>
      <c r="N407" s="81"/>
      <c r="O407" s="289"/>
      <c r="P407" s="105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 ht="24" customHeight="1" x14ac:dyDescent="0.5">
      <c r="A408" s="81"/>
      <c r="B408" s="81"/>
      <c r="C408" s="81"/>
      <c r="D408" s="81"/>
      <c r="E408" s="81"/>
      <c r="F408" s="81"/>
      <c r="G408" s="81"/>
      <c r="H408" s="81"/>
      <c r="I408" s="289"/>
      <c r="J408" s="81"/>
      <c r="K408" s="81"/>
      <c r="L408" s="81"/>
      <c r="M408" s="81"/>
      <c r="N408" s="81"/>
      <c r="O408" s="289"/>
      <c r="P408" s="105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 ht="24" customHeight="1" x14ac:dyDescent="0.5">
      <c r="A409" s="81"/>
      <c r="B409" s="81"/>
      <c r="C409" s="81"/>
      <c r="D409" s="81"/>
      <c r="E409" s="81"/>
      <c r="F409" s="81"/>
      <c r="G409" s="81"/>
      <c r="H409" s="81"/>
      <c r="I409" s="289"/>
      <c r="J409" s="81"/>
      <c r="K409" s="81"/>
      <c r="L409" s="81"/>
      <c r="M409" s="81"/>
      <c r="N409" s="81"/>
      <c r="O409" s="289"/>
      <c r="P409" s="105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 ht="24" customHeight="1" x14ac:dyDescent="0.5">
      <c r="A410" s="81"/>
      <c r="B410" s="81"/>
      <c r="C410" s="81"/>
      <c r="D410" s="81"/>
      <c r="E410" s="81"/>
      <c r="F410" s="81"/>
      <c r="G410" s="81"/>
      <c r="H410" s="81"/>
      <c r="I410" s="289"/>
      <c r="J410" s="81"/>
      <c r="K410" s="81"/>
      <c r="L410" s="81"/>
      <c r="M410" s="81"/>
      <c r="N410" s="81"/>
      <c r="O410" s="289"/>
      <c r="P410" s="105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 ht="24" customHeight="1" x14ac:dyDescent="0.5">
      <c r="A411" s="81"/>
      <c r="B411" s="81"/>
      <c r="C411" s="81"/>
      <c r="D411" s="81"/>
      <c r="E411" s="81"/>
      <c r="F411" s="81"/>
      <c r="G411" s="81"/>
      <c r="H411" s="81"/>
      <c r="I411" s="289"/>
      <c r="J411" s="81"/>
      <c r="K411" s="81"/>
      <c r="L411" s="81"/>
      <c r="M411" s="81"/>
      <c r="N411" s="81"/>
      <c r="O411" s="289"/>
      <c r="P411" s="105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 ht="24" customHeight="1" x14ac:dyDescent="0.5">
      <c r="A412" s="81"/>
      <c r="B412" s="81"/>
      <c r="C412" s="81"/>
      <c r="D412" s="81"/>
      <c r="E412" s="81"/>
      <c r="F412" s="81"/>
      <c r="G412" s="81"/>
      <c r="H412" s="81"/>
      <c r="I412" s="289"/>
      <c r="J412" s="81"/>
      <c r="K412" s="81"/>
      <c r="L412" s="81"/>
      <c r="M412" s="81"/>
      <c r="N412" s="81"/>
      <c r="O412" s="289"/>
      <c r="P412" s="105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 ht="24" customHeight="1" x14ac:dyDescent="0.5">
      <c r="A413" s="81"/>
      <c r="B413" s="81"/>
      <c r="C413" s="81"/>
      <c r="D413" s="81"/>
      <c r="E413" s="81"/>
      <c r="F413" s="81"/>
      <c r="G413" s="81"/>
      <c r="H413" s="81"/>
      <c r="I413" s="289"/>
      <c r="J413" s="81"/>
      <c r="K413" s="81"/>
      <c r="L413" s="81"/>
      <c r="M413" s="81"/>
      <c r="N413" s="81"/>
      <c r="O413" s="289"/>
      <c r="P413" s="105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 ht="24" customHeight="1" x14ac:dyDescent="0.5">
      <c r="A414" s="81"/>
      <c r="B414" s="81"/>
      <c r="C414" s="81"/>
      <c r="D414" s="81"/>
      <c r="E414" s="81"/>
      <c r="F414" s="81"/>
      <c r="G414" s="81"/>
      <c r="H414" s="81"/>
      <c r="I414" s="289"/>
      <c r="J414" s="81"/>
      <c r="K414" s="81"/>
      <c r="L414" s="81"/>
      <c r="M414" s="81"/>
      <c r="N414" s="81"/>
      <c r="O414" s="289"/>
      <c r="P414" s="105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 ht="24" customHeight="1" x14ac:dyDescent="0.5">
      <c r="A415" s="81"/>
      <c r="B415" s="81"/>
      <c r="C415" s="81"/>
      <c r="D415" s="81"/>
      <c r="E415" s="81"/>
      <c r="F415" s="81"/>
      <c r="G415" s="81"/>
      <c r="H415" s="81"/>
      <c r="I415" s="289"/>
      <c r="J415" s="81"/>
      <c r="K415" s="81"/>
      <c r="L415" s="81"/>
      <c r="M415" s="81"/>
      <c r="N415" s="81"/>
      <c r="O415" s="289"/>
      <c r="P415" s="105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 ht="24" customHeight="1" x14ac:dyDescent="0.5">
      <c r="A416" s="81"/>
      <c r="B416" s="81"/>
      <c r="C416" s="81"/>
      <c r="D416" s="81"/>
      <c r="E416" s="81"/>
      <c r="F416" s="81"/>
      <c r="G416" s="81"/>
      <c r="H416" s="81"/>
      <c r="I416" s="289"/>
      <c r="J416" s="81"/>
      <c r="K416" s="81"/>
      <c r="L416" s="81"/>
      <c r="M416" s="81"/>
      <c r="N416" s="81"/>
      <c r="O416" s="289"/>
      <c r="P416" s="105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 ht="24" customHeight="1" x14ac:dyDescent="0.5">
      <c r="A417" s="81"/>
      <c r="B417" s="81"/>
      <c r="C417" s="81"/>
      <c r="D417" s="81"/>
      <c r="E417" s="81"/>
      <c r="F417" s="81"/>
      <c r="G417" s="81"/>
      <c r="H417" s="81"/>
      <c r="I417" s="289"/>
      <c r="J417" s="81"/>
      <c r="K417" s="81"/>
      <c r="L417" s="81"/>
      <c r="M417" s="81"/>
      <c r="N417" s="81"/>
      <c r="O417" s="289"/>
      <c r="P417" s="105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 ht="24" customHeight="1" x14ac:dyDescent="0.5">
      <c r="A418" s="81"/>
      <c r="B418" s="81"/>
      <c r="C418" s="81"/>
      <c r="D418" s="81"/>
      <c r="E418" s="81"/>
      <c r="F418" s="81"/>
      <c r="G418" s="81"/>
      <c r="H418" s="81"/>
      <c r="I418" s="289"/>
      <c r="J418" s="81"/>
      <c r="K418" s="81"/>
      <c r="L418" s="81"/>
      <c r="M418" s="81"/>
      <c r="N418" s="81"/>
      <c r="O418" s="289"/>
      <c r="P418" s="105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 ht="24" customHeight="1" x14ac:dyDescent="0.5">
      <c r="A419" s="81"/>
      <c r="B419" s="81"/>
      <c r="C419" s="81"/>
      <c r="D419" s="81"/>
      <c r="E419" s="81"/>
      <c r="F419" s="81"/>
      <c r="G419" s="81"/>
      <c r="H419" s="81"/>
      <c r="I419" s="289"/>
      <c r="J419" s="81"/>
      <c r="K419" s="81"/>
      <c r="L419" s="81"/>
      <c r="M419" s="81"/>
      <c r="N419" s="81"/>
      <c r="O419" s="289"/>
      <c r="P419" s="105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 ht="24" customHeight="1" x14ac:dyDescent="0.5">
      <c r="A420" s="81"/>
      <c r="B420" s="81"/>
      <c r="C420" s="81"/>
      <c r="D420" s="81"/>
      <c r="E420" s="81"/>
      <c r="F420" s="81"/>
      <c r="G420" s="81"/>
      <c r="H420" s="81"/>
      <c r="I420" s="289"/>
      <c r="J420" s="81"/>
      <c r="K420" s="81"/>
      <c r="L420" s="81"/>
      <c r="M420" s="81"/>
      <c r="N420" s="81"/>
      <c r="O420" s="289"/>
      <c r="P420" s="105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 ht="24" customHeight="1" x14ac:dyDescent="0.5">
      <c r="A421" s="81"/>
      <c r="B421" s="81"/>
      <c r="C421" s="81"/>
      <c r="D421" s="81"/>
      <c r="E421" s="81"/>
      <c r="F421" s="81"/>
      <c r="G421" s="81"/>
      <c r="H421" s="81"/>
      <c r="I421" s="289"/>
      <c r="J421" s="81"/>
      <c r="K421" s="81"/>
      <c r="L421" s="81"/>
      <c r="M421" s="81"/>
      <c r="N421" s="81"/>
      <c r="O421" s="289"/>
      <c r="P421" s="105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 ht="24" customHeight="1" x14ac:dyDescent="0.5">
      <c r="A422" s="81"/>
      <c r="B422" s="81"/>
      <c r="C422" s="81"/>
      <c r="D422" s="81"/>
      <c r="E422" s="81"/>
      <c r="F422" s="81"/>
      <c r="G422" s="81"/>
      <c r="H422" s="81"/>
      <c r="I422" s="289"/>
      <c r="J422" s="81"/>
      <c r="K422" s="81"/>
      <c r="L422" s="81"/>
      <c r="M422" s="81"/>
      <c r="N422" s="81"/>
      <c r="O422" s="289"/>
      <c r="P422" s="105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 ht="24" customHeight="1" x14ac:dyDescent="0.5">
      <c r="A423" s="81"/>
      <c r="B423" s="81"/>
      <c r="C423" s="81"/>
      <c r="D423" s="81"/>
      <c r="E423" s="81"/>
      <c r="F423" s="81"/>
      <c r="G423" s="81"/>
      <c r="H423" s="81"/>
      <c r="I423" s="289"/>
      <c r="J423" s="81"/>
      <c r="K423" s="81"/>
      <c r="L423" s="81"/>
      <c r="M423" s="81"/>
      <c r="N423" s="81"/>
      <c r="O423" s="289"/>
      <c r="P423" s="105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 ht="24" customHeight="1" x14ac:dyDescent="0.5">
      <c r="A424" s="81"/>
      <c r="B424" s="81"/>
      <c r="C424" s="81"/>
      <c r="D424" s="81"/>
      <c r="E424" s="81"/>
      <c r="F424" s="81"/>
      <c r="G424" s="81"/>
      <c r="H424" s="81"/>
      <c r="I424" s="289"/>
      <c r="J424" s="81"/>
      <c r="K424" s="81"/>
      <c r="L424" s="81"/>
      <c r="M424" s="81"/>
      <c r="N424" s="81"/>
      <c r="O424" s="289"/>
      <c r="P424" s="105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 ht="24" customHeight="1" x14ac:dyDescent="0.5">
      <c r="A425" s="81"/>
      <c r="B425" s="81"/>
      <c r="C425" s="81"/>
      <c r="D425" s="81"/>
      <c r="E425" s="81"/>
      <c r="F425" s="81"/>
      <c r="G425" s="81"/>
      <c r="H425" s="81"/>
      <c r="I425" s="289"/>
      <c r="J425" s="81"/>
      <c r="K425" s="81"/>
      <c r="L425" s="81"/>
      <c r="M425" s="81"/>
      <c r="N425" s="81"/>
      <c r="O425" s="289"/>
      <c r="P425" s="105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 ht="24" customHeight="1" x14ac:dyDescent="0.5">
      <c r="A426" s="81"/>
      <c r="B426" s="81"/>
      <c r="C426" s="81"/>
      <c r="D426" s="81"/>
      <c r="E426" s="81"/>
      <c r="F426" s="81"/>
      <c r="G426" s="81"/>
      <c r="H426" s="81"/>
      <c r="I426" s="289"/>
      <c r="J426" s="81"/>
      <c r="K426" s="81"/>
      <c r="L426" s="81"/>
      <c r="M426" s="81"/>
      <c r="N426" s="81"/>
      <c r="O426" s="289"/>
      <c r="P426" s="105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 ht="24" customHeight="1" x14ac:dyDescent="0.5">
      <c r="A427" s="81"/>
      <c r="B427" s="81"/>
      <c r="C427" s="81"/>
      <c r="D427" s="81"/>
      <c r="E427" s="81"/>
      <c r="F427" s="81"/>
      <c r="G427" s="81"/>
      <c r="H427" s="81"/>
      <c r="I427" s="289"/>
      <c r="J427" s="81"/>
      <c r="K427" s="81"/>
      <c r="L427" s="81"/>
      <c r="M427" s="81"/>
      <c r="N427" s="81"/>
      <c r="O427" s="289"/>
      <c r="P427" s="105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 ht="24" customHeight="1" x14ac:dyDescent="0.5">
      <c r="A428" s="81"/>
      <c r="B428" s="81"/>
      <c r="C428" s="81"/>
      <c r="D428" s="81"/>
      <c r="E428" s="81"/>
      <c r="F428" s="81"/>
      <c r="G428" s="81"/>
      <c r="H428" s="81"/>
      <c r="I428" s="289"/>
      <c r="J428" s="81"/>
      <c r="K428" s="81"/>
      <c r="L428" s="81"/>
      <c r="M428" s="81"/>
      <c r="N428" s="81"/>
      <c r="O428" s="289"/>
      <c r="P428" s="105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 ht="24" customHeight="1" x14ac:dyDescent="0.5">
      <c r="A429" s="81"/>
      <c r="B429" s="81"/>
      <c r="C429" s="81"/>
      <c r="D429" s="81"/>
      <c r="E429" s="81"/>
      <c r="F429" s="81"/>
      <c r="G429" s="81"/>
      <c r="H429" s="81"/>
      <c r="I429" s="289"/>
      <c r="J429" s="81"/>
      <c r="K429" s="81"/>
      <c r="L429" s="81"/>
      <c r="M429" s="81"/>
      <c r="N429" s="81"/>
      <c r="O429" s="289"/>
      <c r="P429" s="105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 ht="24" customHeight="1" x14ac:dyDescent="0.5">
      <c r="A430" s="81"/>
      <c r="B430" s="81"/>
      <c r="C430" s="81"/>
      <c r="D430" s="81"/>
      <c r="E430" s="81"/>
      <c r="F430" s="81"/>
      <c r="G430" s="81"/>
      <c r="H430" s="81"/>
      <c r="I430" s="289"/>
      <c r="J430" s="81"/>
      <c r="K430" s="81"/>
      <c r="L430" s="81"/>
      <c r="M430" s="81"/>
      <c r="N430" s="81"/>
      <c r="O430" s="289"/>
      <c r="P430" s="105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 ht="24" customHeight="1" x14ac:dyDescent="0.5">
      <c r="A431" s="81"/>
      <c r="B431" s="81"/>
      <c r="C431" s="81"/>
      <c r="D431" s="81"/>
      <c r="E431" s="81"/>
      <c r="F431" s="81"/>
      <c r="G431" s="81"/>
      <c r="H431" s="81"/>
      <c r="I431" s="289"/>
      <c r="J431" s="81"/>
      <c r="K431" s="81"/>
      <c r="L431" s="81"/>
      <c r="M431" s="81"/>
      <c r="N431" s="81"/>
      <c r="O431" s="289"/>
      <c r="P431" s="105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 ht="24" customHeight="1" x14ac:dyDescent="0.5">
      <c r="A432" s="81"/>
      <c r="B432" s="81"/>
      <c r="C432" s="81"/>
      <c r="D432" s="81"/>
      <c r="E432" s="81"/>
      <c r="F432" s="81"/>
      <c r="G432" s="81"/>
      <c r="H432" s="81"/>
      <c r="I432" s="289"/>
      <c r="J432" s="81"/>
      <c r="K432" s="81"/>
      <c r="L432" s="81"/>
      <c r="M432" s="81"/>
      <c r="N432" s="81"/>
      <c r="O432" s="289"/>
      <c r="P432" s="105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 ht="24" customHeight="1" x14ac:dyDescent="0.5">
      <c r="A433" s="81"/>
      <c r="B433" s="81"/>
      <c r="C433" s="81"/>
      <c r="D433" s="81"/>
      <c r="E433" s="81"/>
      <c r="F433" s="81"/>
      <c r="G433" s="81"/>
      <c r="H433" s="81"/>
      <c r="I433" s="289"/>
      <c r="J433" s="81"/>
      <c r="K433" s="81"/>
      <c r="L433" s="81"/>
      <c r="M433" s="81"/>
      <c r="N433" s="81"/>
      <c r="O433" s="289"/>
      <c r="P433" s="105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 ht="24" customHeight="1" x14ac:dyDescent="0.5">
      <c r="A434" s="81"/>
      <c r="B434" s="81"/>
      <c r="C434" s="81"/>
      <c r="D434" s="81"/>
      <c r="E434" s="81"/>
      <c r="F434" s="81"/>
      <c r="G434" s="81"/>
      <c r="H434" s="81"/>
      <c r="I434" s="289"/>
      <c r="J434" s="81"/>
      <c r="K434" s="81"/>
      <c r="L434" s="81"/>
      <c r="M434" s="81"/>
      <c r="N434" s="81"/>
      <c r="O434" s="289"/>
      <c r="P434" s="105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 ht="24" customHeight="1" x14ac:dyDescent="0.5">
      <c r="A435" s="81"/>
      <c r="B435" s="81"/>
      <c r="C435" s="81"/>
      <c r="D435" s="81"/>
      <c r="E435" s="81"/>
      <c r="F435" s="81"/>
      <c r="G435" s="81"/>
      <c r="H435" s="81"/>
      <c r="I435" s="289"/>
      <c r="J435" s="81"/>
      <c r="K435" s="81"/>
      <c r="L435" s="81"/>
      <c r="M435" s="81"/>
      <c r="N435" s="81"/>
      <c r="O435" s="289"/>
      <c r="P435" s="105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 ht="24" customHeight="1" x14ac:dyDescent="0.5">
      <c r="A436" s="81"/>
      <c r="B436" s="81"/>
      <c r="C436" s="81"/>
      <c r="D436" s="81"/>
      <c r="E436" s="81"/>
      <c r="F436" s="81"/>
      <c r="G436" s="81"/>
      <c r="H436" s="81"/>
      <c r="I436" s="289"/>
      <c r="J436" s="81"/>
      <c r="K436" s="81"/>
      <c r="L436" s="81"/>
      <c r="M436" s="81"/>
      <c r="N436" s="81"/>
      <c r="O436" s="289"/>
      <c r="P436" s="105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 ht="24" customHeight="1" x14ac:dyDescent="0.5">
      <c r="A437" s="81"/>
      <c r="B437" s="81"/>
      <c r="C437" s="81"/>
      <c r="D437" s="81"/>
      <c r="E437" s="81"/>
      <c r="F437" s="81"/>
      <c r="G437" s="81"/>
      <c r="H437" s="81"/>
      <c r="I437" s="289"/>
      <c r="J437" s="81"/>
      <c r="K437" s="81"/>
      <c r="L437" s="81"/>
      <c r="M437" s="81"/>
      <c r="N437" s="81"/>
      <c r="O437" s="289"/>
      <c r="P437" s="105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 ht="24" customHeight="1" x14ac:dyDescent="0.5">
      <c r="A438" s="81"/>
      <c r="B438" s="81"/>
      <c r="C438" s="81"/>
      <c r="D438" s="81"/>
      <c r="E438" s="81"/>
      <c r="F438" s="81"/>
      <c r="G438" s="81"/>
      <c r="H438" s="81"/>
      <c r="I438" s="289"/>
      <c r="J438" s="81"/>
      <c r="K438" s="81"/>
      <c r="L438" s="81"/>
      <c r="M438" s="81"/>
      <c r="N438" s="81"/>
      <c r="O438" s="289"/>
      <c r="P438" s="105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 ht="24" customHeight="1" x14ac:dyDescent="0.5">
      <c r="A439" s="81"/>
      <c r="B439" s="81"/>
      <c r="C439" s="81"/>
      <c r="D439" s="81"/>
      <c r="E439" s="81"/>
      <c r="F439" s="81"/>
      <c r="G439" s="81"/>
      <c r="H439" s="81"/>
      <c r="I439" s="289"/>
      <c r="J439" s="81"/>
      <c r="K439" s="81"/>
      <c r="L439" s="81"/>
      <c r="M439" s="81"/>
      <c r="N439" s="81"/>
      <c r="O439" s="289"/>
      <c r="P439" s="105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 ht="24" customHeight="1" x14ac:dyDescent="0.5">
      <c r="A440" s="81"/>
      <c r="B440" s="81"/>
      <c r="C440" s="81"/>
      <c r="D440" s="81"/>
      <c r="E440" s="81"/>
      <c r="F440" s="81"/>
      <c r="G440" s="81"/>
      <c r="H440" s="81"/>
      <c r="I440" s="289"/>
      <c r="J440" s="81"/>
      <c r="K440" s="81"/>
      <c r="L440" s="81"/>
      <c r="M440" s="81"/>
      <c r="N440" s="81"/>
      <c r="O440" s="289"/>
      <c r="P440" s="105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 ht="24" customHeight="1" x14ac:dyDescent="0.5">
      <c r="A441" s="81"/>
      <c r="B441" s="81"/>
      <c r="C441" s="81"/>
      <c r="D441" s="81"/>
      <c r="E441" s="81"/>
      <c r="F441" s="81"/>
      <c r="G441" s="81"/>
      <c r="H441" s="81"/>
      <c r="I441" s="289"/>
      <c r="J441" s="81"/>
      <c r="K441" s="81"/>
      <c r="L441" s="81"/>
      <c r="M441" s="81"/>
      <c r="N441" s="81"/>
      <c r="O441" s="289"/>
      <c r="P441" s="105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 ht="24" customHeight="1" x14ac:dyDescent="0.5">
      <c r="A442" s="81"/>
      <c r="B442" s="81"/>
      <c r="C442" s="81"/>
      <c r="D442" s="81"/>
      <c r="E442" s="81"/>
      <c r="F442" s="81"/>
      <c r="G442" s="81"/>
      <c r="H442" s="81"/>
      <c r="I442" s="289"/>
      <c r="J442" s="81"/>
      <c r="K442" s="81"/>
      <c r="L442" s="81"/>
      <c r="M442" s="81"/>
      <c r="N442" s="81"/>
      <c r="O442" s="289"/>
      <c r="P442" s="105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 ht="24" customHeight="1" x14ac:dyDescent="0.5">
      <c r="A443" s="81"/>
      <c r="B443" s="81"/>
      <c r="C443" s="81"/>
      <c r="D443" s="81"/>
      <c r="E443" s="81"/>
      <c r="F443" s="81"/>
      <c r="G443" s="81"/>
      <c r="H443" s="81"/>
      <c r="I443" s="289"/>
      <c r="J443" s="81"/>
      <c r="K443" s="81"/>
      <c r="L443" s="81"/>
      <c r="M443" s="81"/>
      <c r="N443" s="81"/>
      <c r="O443" s="289"/>
      <c r="P443" s="105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 ht="24" customHeight="1" x14ac:dyDescent="0.5">
      <c r="A444" s="81"/>
      <c r="B444" s="81"/>
      <c r="C444" s="81"/>
      <c r="D444" s="81"/>
      <c r="E444" s="81"/>
      <c r="F444" s="81"/>
      <c r="G444" s="81"/>
      <c r="H444" s="81"/>
      <c r="I444" s="289"/>
      <c r="J444" s="81"/>
      <c r="K444" s="81"/>
      <c r="L444" s="81"/>
      <c r="M444" s="81"/>
      <c r="N444" s="81"/>
      <c r="O444" s="289"/>
      <c r="P444" s="105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 ht="24" customHeight="1" x14ac:dyDescent="0.5">
      <c r="A445" s="81"/>
      <c r="B445" s="81"/>
      <c r="C445" s="81"/>
      <c r="D445" s="81"/>
      <c r="E445" s="81"/>
      <c r="F445" s="81"/>
      <c r="G445" s="81"/>
      <c r="H445" s="81"/>
      <c r="I445" s="289"/>
      <c r="J445" s="81"/>
      <c r="K445" s="81"/>
      <c r="L445" s="81"/>
      <c r="M445" s="81"/>
      <c r="N445" s="81"/>
      <c r="O445" s="289"/>
      <c r="P445" s="105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 ht="24" customHeight="1" x14ac:dyDescent="0.5">
      <c r="A446" s="81"/>
      <c r="B446" s="81"/>
      <c r="C446" s="81"/>
      <c r="D446" s="81"/>
      <c r="E446" s="81"/>
      <c r="F446" s="81"/>
      <c r="G446" s="81"/>
      <c r="H446" s="81"/>
      <c r="I446" s="289"/>
      <c r="J446" s="81"/>
      <c r="K446" s="81"/>
      <c r="L446" s="81"/>
      <c r="M446" s="81"/>
      <c r="N446" s="81"/>
      <c r="O446" s="289"/>
      <c r="P446" s="105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 ht="24" customHeight="1" x14ac:dyDescent="0.5">
      <c r="A447" s="81"/>
      <c r="B447" s="81"/>
      <c r="C447" s="81"/>
      <c r="D447" s="81"/>
      <c r="E447" s="81"/>
      <c r="F447" s="81"/>
      <c r="G447" s="81"/>
      <c r="H447" s="81"/>
      <c r="I447" s="289"/>
      <c r="J447" s="81"/>
      <c r="K447" s="81"/>
      <c r="L447" s="81"/>
      <c r="M447" s="81"/>
      <c r="N447" s="81"/>
      <c r="O447" s="289"/>
      <c r="P447" s="105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 ht="24" customHeight="1" x14ac:dyDescent="0.5">
      <c r="A448" s="81"/>
      <c r="B448" s="81"/>
      <c r="C448" s="81"/>
      <c r="D448" s="81"/>
      <c r="E448" s="81"/>
      <c r="F448" s="81"/>
      <c r="G448" s="81"/>
      <c r="H448" s="81"/>
      <c r="I448" s="289"/>
      <c r="J448" s="81"/>
      <c r="K448" s="81"/>
      <c r="L448" s="81"/>
      <c r="M448" s="81"/>
      <c r="N448" s="81"/>
      <c r="O448" s="289"/>
      <c r="P448" s="105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 ht="24" customHeight="1" x14ac:dyDescent="0.5">
      <c r="A449" s="81"/>
      <c r="B449" s="81"/>
      <c r="C449" s="81"/>
      <c r="D449" s="81"/>
      <c r="E449" s="81"/>
      <c r="F449" s="81"/>
      <c r="G449" s="81"/>
      <c r="H449" s="81"/>
      <c r="I449" s="289"/>
      <c r="J449" s="81"/>
      <c r="K449" s="81"/>
      <c r="L449" s="81"/>
      <c r="M449" s="81"/>
      <c r="N449" s="81"/>
      <c r="O449" s="289"/>
      <c r="P449" s="105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 ht="24" customHeight="1" x14ac:dyDescent="0.5">
      <c r="A450" s="81"/>
      <c r="B450" s="81"/>
      <c r="C450" s="81"/>
      <c r="D450" s="81"/>
      <c r="E450" s="81"/>
      <c r="F450" s="81"/>
      <c r="G450" s="81"/>
      <c r="H450" s="81"/>
      <c r="I450" s="289"/>
      <c r="J450" s="81"/>
      <c r="K450" s="81"/>
      <c r="L450" s="81"/>
      <c r="M450" s="81"/>
      <c r="N450" s="81"/>
      <c r="O450" s="289"/>
      <c r="P450" s="105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 ht="24" customHeight="1" x14ac:dyDescent="0.5">
      <c r="A451" s="81"/>
      <c r="B451" s="81"/>
      <c r="C451" s="81"/>
      <c r="D451" s="81"/>
      <c r="E451" s="81"/>
      <c r="F451" s="81"/>
      <c r="G451" s="81"/>
      <c r="H451" s="81"/>
      <c r="I451" s="289"/>
      <c r="J451" s="81"/>
      <c r="K451" s="81"/>
      <c r="L451" s="81"/>
      <c r="M451" s="81"/>
      <c r="N451" s="81"/>
      <c r="O451" s="289"/>
      <c r="P451" s="105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 ht="24" customHeight="1" x14ac:dyDescent="0.5">
      <c r="A452" s="81"/>
      <c r="B452" s="81"/>
      <c r="C452" s="81"/>
      <c r="D452" s="81"/>
      <c r="E452" s="81"/>
      <c r="F452" s="81"/>
      <c r="G452" s="81"/>
      <c r="H452" s="81"/>
      <c r="I452" s="289"/>
      <c r="J452" s="81"/>
      <c r="K452" s="81"/>
      <c r="L452" s="81"/>
      <c r="M452" s="81"/>
      <c r="N452" s="81"/>
      <c r="O452" s="289"/>
      <c r="P452" s="105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 ht="24" customHeight="1" x14ac:dyDescent="0.5">
      <c r="A453" s="81"/>
      <c r="B453" s="81"/>
      <c r="C453" s="81"/>
      <c r="D453" s="81"/>
      <c r="E453" s="81"/>
      <c r="F453" s="81"/>
      <c r="G453" s="81"/>
      <c r="H453" s="81"/>
      <c r="I453" s="289"/>
      <c r="J453" s="81"/>
      <c r="K453" s="81"/>
      <c r="L453" s="81"/>
      <c r="M453" s="81"/>
      <c r="N453" s="81"/>
      <c r="O453" s="289"/>
      <c r="P453" s="105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 ht="24" customHeight="1" x14ac:dyDescent="0.5">
      <c r="A454" s="81"/>
      <c r="B454" s="81"/>
      <c r="C454" s="81"/>
      <c r="D454" s="81"/>
      <c r="E454" s="81"/>
      <c r="F454" s="81"/>
      <c r="G454" s="81"/>
      <c r="H454" s="81"/>
      <c r="I454" s="289"/>
      <c r="J454" s="81"/>
      <c r="K454" s="81"/>
      <c r="L454" s="81"/>
      <c r="M454" s="81"/>
      <c r="N454" s="81"/>
      <c r="O454" s="289"/>
      <c r="P454" s="105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 ht="24" customHeight="1" x14ac:dyDescent="0.5">
      <c r="A455" s="81"/>
      <c r="B455" s="81"/>
      <c r="C455" s="81"/>
      <c r="D455" s="81"/>
      <c r="E455" s="81"/>
      <c r="F455" s="81"/>
      <c r="G455" s="81"/>
      <c r="H455" s="81"/>
      <c r="I455" s="289"/>
      <c r="J455" s="81"/>
      <c r="K455" s="81"/>
      <c r="L455" s="81"/>
      <c r="M455" s="81"/>
      <c r="N455" s="81"/>
      <c r="O455" s="289"/>
      <c r="P455" s="105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 ht="24" customHeight="1" x14ac:dyDescent="0.5">
      <c r="A456" s="81"/>
      <c r="B456" s="81"/>
      <c r="C456" s="81"/>
      <c r="D456" s="81"/>
      <c r="E456" s="81"/>
      <c r="F456" s="81"/>
      <c r="G456" s="81"/>
      <c r="H456" s="81"/>
      <c r="I456" s="289"/>
      <c r="J456" s="81"/>
      <c r="K456" s="81"/>
      <c r="L456" s="81"/>
      <c r="M456" s="81"/>
      <c r="N456" s="81"/>
      <c r="O456" s="289"/>
      <c r="P456" s="105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 ht="24" customHeight="1" x14ac:dyDescent="0.5">
      <c r="A457" s="81"/>
      <c r="B457" s="81"/>
      <c r="C457" s="81"/>
      <c r="D457" s="81"/>
      <c r="E457" s="81"/>
      <c r="F457" s="81"/>
      <c r="G457" s="81"/>
      <c r="H457" s="81"/>
      <c r="I457" s="289"/>
      <c r="J457" s="81"/>
      <c r="K457" s="81"/>
      <c r="L457" s="81"/>
      <c r="M457" s="81"/>
      <c r="N457" s="81"/>
      <c r="O457" s="289"/>
      <c r="P457" s="105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 ht="24" customHeight="1" x14ac:dyDescent="0.5">
      <c r="A458" s="81"/>
      <c r="B458" s="81"/>
      <c r="C458" s="81"/>
      <c r="D458" s="81"/>
      <c r="E458" s="81"/>
      <c r="F458" s="81"/>
      <c r="G458" s="81"/>
      <c r="H458" s="81"/>
      <c r="I458" s="289"/>
      <c r="J458" s="81"/>
      <c r="K458" s="81"/>
      <c r="L458" s="81"/>
      <c r="M458" s="81"/>
      <c r="N458" s="81"/>
      <c r="O458" s="289"/>
      <c r="P458" s="105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 ht="24" customHeight="1" x14ac:dyDescent="0.5">
      <c r="A459" s="81"/>
      <c r="B459" s="81"/>
      <c r="C459" s="81"/>
      <c r="D459" s="81"/>
      <c r="E459" s="81"/>
      <c r="F459" s="81"/>
      <c r="G459" s="81"/>
      <c r="H459" s="81"/>
      <c r="I459" s="289"/>
      <c r="J459" s="81"/>
      <c r="K459" s="81"/>
      <c r="L459" s="81"/>
      <c r="M459" s="81"/>
      <c r="N459" s="81"/>
      <c r="O459" s="289"/>
      <c r="P459" s="105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 ht="24" customHeight="1" x14ac:dyDescent="0.5">
      <c r="A460" s="81"/>
      <c r="B460" s="81"/>
      <c r="C460" s="81"/>
      <c r="D460" s="81"/>
      <c r="E460" s="81"/>
      <c r="F460" s="81"/>
      <c r="G460" s="81"/>
      <c r="H460" s="81"/>
      <c r="I460" s="289"/>
      <c r="J460" s="81"/>
      <c r="K460" s="81"/>
      <c r="L460" s="81"/>
      <c r="M460" s="81"/>
      <c r="N460" s="81"/>
      <c r="O460" s="289"/>
      <c r="P460" s="105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 ht="24" customHeight="1" x14ac:dyDescent="0.5">
      <c r="A461" s="81"/>
      <c r="B461" s="81"/>
      <c r="C461" s="81"/>
      <c r="D461" s="81"/>
      <c r="E461" s="81"/>
      <c r="F461" s="81"/>
      <c r="G461" s="81"/>
      <c r="H461" s="81"/>
      <c r="I461" s="289"/>
      <c r="J461" s="81"/>
      <c r="K461" s="81"/>
      <c r="L461" s="81"/>
      <c r="M461" s="81"/>
      <c r="N461" s="81"/>
      <c r="O461" s="289"/>
      <c r="P461" s="105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 ht="24" customHeight="1" x14ac:dyDescent="0.5">
      <c r="A462" s="81"/>
      <c r="B462" s="81"/>
      <c r="C462" s="81"/>
      <c r="D462" s="81"/>
      <c r="E462" s="81"/>
      <c r="F462" s="81"/>
      <c r="G462" s="81"/>
      <c r="H462" s="81"/>
      <c r="I462" s="289"/>
      <c r="J462" s="81"/>
      <c r="K462" s="81"/>
      <c r="L462" s="81"/>
      <c r="M462" s="81"/>
      <c r="N462" s="81"/>
      <c r="O462" s="289"/>
      <c r="P462" s="105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 ht="24" customHeight="1" x14ac:dyDescent="0.5">
      <c r="A463" s="81"/>
      <c r="B463" s="81"/>
      <c r="C463" s="81"/>
      <c r="D463" s="81"/>
      <c r="E463" s="81"/>
      <c r="F463" s="81"/>
      <c r="G463" s="81"/>
      <c r="H463" s="81"/>
      <c r="I463" s="289"/>
      <c r="J463" s="81"/>
      <c r="K463" s="81"/>
      <c r="L463" s="81"/>
      <c r="M463" s="81"/>
      <c r="N463" s="81"/>
      <c r="O463" s="289"/>
      <c r="P463" s="105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 ht="24" customHeight="1" x14ac:dyDescent="0.5">
      <c r="A464" s="81"/>
      <c r="B464" s="81"/>
      <c r="C464" s="81"/>
      <c r="D464" s="81"/>
      <c r="E464" s="81"/>
      <c r="F464" s="81"/>
      <c r="G464" s="81"/>
      <c r="H464" s="81"/>
      <c r="I464" s="289"/>
      <c r="J464" s="81"/>
      <c r="K464" s="81"/>
      <c r="L464" s="81"/>
      <c r="M464" s="81"/>
      <c r="N464" s="81"/>
      <c r="O464" s="289"/>
      <c r="P464" s="105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 ht="24" customHeight="1" x14ac:dyDescent="0.5">
      <c r="A465" s="81"/>
      <c r="B465" s="81"/>
      <c r="C465" s="81"/>
      <c r="D465" s="81"/>
      <c r="E465" s="81"/>
      <c r="F465" s="81"/>
      <c r="G465" s="81"/>
      <c r="H465" s="81"/>
      <c r="I465" s="289"/>
      <c r="J465" s="81"/>
      <c r="K465" s="81"/>
      <c r="L465" s="81"/>
      <c r="M465" s="81"/>
      <c r="N465" s="81"/>
      <c r="O465" s="289"/>
      <c r="P465" s="105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 ht="24" customHeight="1" x14ac:dyDescent="0.5">
      <c r="A466" s="81"/>
      <c r="B466" s="81"/>
      <c r="C466" s="81"/>
      <c r="D466" s="81"/>
      <c r="E466" s="81"/>
      <c r="F466" s="81"/>
      <c r="G466" s="81"/>
      <c r="H466" s="81"/>
      <c r="I466" s="289"/>
      <c r="J466" s="81"/>
      <c r="K466" s="81"/>
      <c r="L466" s="81"/>
      <c r="M466" s="81"/>
      <c r="N466" s="81"/>
      <c r="O466" s="289"/>
      <c r="P466" s="105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 ht="24" customHeight="1" x14ac:dyDescent="0.5">
      <c r="A467" s="81"/>
      <c r="B467" s="81"/>
      <c r="C467" s="81"/>
      <c r="D467" s="81"/>
      <c r="E467" s="81"/>
      <c r="F467" s="81"/>
      <c r="G467" s="81"/>
      <c r="H467" s="81"/>
      <c r="I467" s="289"/>
      <c r="J467" s="81"/>
      <c r="K467" s="81"/>
      <c r="L467" s="81"/>
      <c r="M467" s="81"/>
      <c r="N467" s="81"/>
      <c r="O467" s="289"/>
      <c r="P467" s="105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 ht="24" customHeight="1" x14ac:dyDescent="0.5">
      <c r="A468" s="81"/>
      <c r="B468" s="81"/>
      <c r="C468" s="81"/>
      <c r="D468" s="81"/>
      <c r="E468" s="81"/>
      <c r="F468" s="81"/>
      <c r="G468" s="81"/>
      <c r="H468" s="81"/>
      <c r="I468" s="289"/>
      <c r="J468" s="81"/>
      <c r="K468" s="81"/>
      <c r="L468" s="81"/>
      <c r="M468" s="81"/>
      <c r="N468" s="81"/>
      <c r="O468" s="289"/>
      <c r="P468" s="105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 ht="24" customHeight="1" x14ac:dyDescent="0.5">
      <c r="A469" s="81"/>
      <c r="B469" s="81"/>
      <c r="C469" s="81"/>
      <c r="D469" s="81"/>
      <c r="E469" s="81"/>
      <c r="F469" s="81"/>
      <c r="G469" s="81"/>
      <c r="H469" s="81"/>
      <c r="I469" s="289"/>
      <c r="J469" s="81"/>
      <c r="K469" s="81"/>
      <c r="L469" s="81"/>
      <c r="M469" s="81"/>
      <c r="N469" s="81"/>
      <c r="O469" s="289"/>
      <c r="P469" s="105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 ht="24" customHeight="1" x14ac:dyDescent="0.5">
      <c r="A470" s="81"/>
      <c r="B470" s="81"/>
      <c r="C470" s="81"/>
      <c r="D470" s="81"/>
      <c r="E470" s="81"/>
      <c r="F470" s="81"/>
      <c r="G470" s="81"/>
      <c r="H470" s="81"/>
      <c r="I470" s="289"/>
      <c r="J470" s="81"/>
      <c r="K470" s="81"/>
      <c r="L470" s="81"/>
      <c r="M470" s="81"/>
      <c r="N470" s="81"/>
      <c r="O470" s="289"/>
      <c r="P470" s="105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 ht="24" customHeight="1" x14ac:dyDescent="0.5">
      <c r="A471" s="81"/>
      <c r="B471" s="81"/>
      <c r="C471" s="81"/>
      <c r="D471" s="81"/>
      <c r="E471" s="81"/>
      <c r="F471" s="81"/>
      <c r="G471" s="81"/>
      <c r="H471" s="81"/>
      <c r="I471" s="289"/>
      <c r="J471" s="81"/>
      <c r="K471" s="81"/>
      <c r="L471" s="81"/>
      <c r="M471" s="81"/>
      <c r="N471" s="81"/>
      <c r="O471" s="289"/>
      <c r="P471" s="105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 ht="24" customHeight="1" x14ac:dyDescent="0.5">
      <c r="A472" s="81"/>
      <c r="B472" s="81"/>
      <c r="C472" s="81"/>
      <c r="D472" s="81"/>
      <c r="E472" s="81"/>
      <c r="F472" s="81"/>
      <c r="G472" s="81"/>
      <c r="H472" s="81"/>
      <c r="I472" s="289"/>
      <c r="J472" s="81"/>
      <c r="K472" s="81"/>
      <c r="L472" s="81"/>
      <c r="M472" s="81"/>
      <c r="N472" s="81"/>
      <c r="O472" s="289"/>
      <c r="P472" s="105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 ht="24" customHeight="1" x14ac:dyDescent="0.5">
      <c r="A473" s="81"/>
      <c r="B473" s="81"/>
      <c r="C473" s="81"/>
      <c r="D473" s="81"/>
      <c r="E473" s="81"/>
      <c r="F473" s="81"/>
      <c r="G473" s="81"/>
      <c r="H473" s="81"/>
      <c r="I473" s="289"/>
      <c r="J473" s="81"/>
      <c r="K473" s="81"/>
      <c r="L473" s="81"/>
      <c r="M473" s="81"/>
      <c r="N473" s="81"/>
      <c r="O473" s="289"/>
      <c r="P473" s="105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 ht="24" customHeight="1" x14ac:dyDescent="0.5">
      <c r="A474" s="81"/>
      <c r="B474" s="81"/>
      <c r="C474" s="81"/>
      <c r="D474" s="81"/>
      <c r="E474" s="81"/>
      <c r="F474" s="81"/>
      <c r="G474" s="81"/>
      <c r="H474" s="81"/>
      <c r="I474" s="289"/>
      <c r="J474" s="81"/>
      <c r="K474" s="81"/>
      <c r="L474" s="81"/>
      <c r="M474" s="81"/>
      <c r="N474" s="81"/>
      <c r="O474" s="289"/>
      <c r="P474" s="105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 ht="24" customHeight="1" x14ac:dyDescent="0.5">
      <c r="A475" s="81"/>
      <c r="B475" s="81"/>
      <c r="C475" s="81"/>
      <c r="D475" s="81"/>
      <c r="E475" s="81"/>
      <c r="F475" s="81"/>
      <c r="G475" s="81"/>
      <c r="H475" s="81"/>
      <c r="I475" s="289"/>
      <c r="J475" s="81"/>
      <c r="K475" s="81"/>
      <c r="L475" s="81"/>
      <c r="M475" s="81"/>
      <c r="N475" s="81"/>
      <c r="O475" s="289"/>
      <c r="P475" s="105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 ht="24" customHeight="1" x14ac:dyDescent="0.5">
      <c r="A476" s="81"/>
      <c r="B476" s="81"/>
      <c r="C476" s="81"/>
      <c r="D476" s="81"/>
      <c r="E476" s="81"/>
      <c r="F476" s="81"/>
      <c r="G476" s="81"/>
      <c r="H476" s="81"/>
      <c r="I476" s="289"/>
      <c r="J476" s="81"/>
      <c r="K476" s="81"/>
      <c r="L476" s="81"/>
      <c r="M476" s="81"/>
      <c r="N476" s="81"/>
      <c r="O476" s="289"/>
      <c r="P476" s="105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 ht="24" customHeight="1" x14ac:dyDescent="0.5">
      <c r="A477" s="81"/>
      <c r="B477" s="81"/>
      <c r="C477" s="81"/>
      <c r="D477" s="81"/>
      <c r="E477" s="81"/>
      <c r="F477" s="81"/>
      <c r="G477" s="81"/>
      <c r="H477" s="81"/>
      <c r="I477" s="289"/>
      <c r="J477" s="81"/>
      <c r="K477" s="81"/>
      <c r="L477" s="81"/>
      <c r="M477" s="81"/>
      <c r="N477" s="81"/>
      <c r="O477" s="289"/>
      <c r="P477" s="105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 ht="24" customHeight="1" x14ac:dyDescent="0.5">
      <c r="A478" s="81"/>
      <c r="B478" s="81"/>
      <c r="C478" s="81"/>
      <c r="D478" s="81"/>
      <c r="E478" s="81"/>
      <c r="F478" s="81"/>
      <c r="G478" s="81"/>
      <c r="H478" s="81"/>
      <c r="I478" s="289"/>
      <c r="J478" s="81"/>
      <c r="K478" s="81"/>
      <c r="L478" s="81"/>
      <c r="M478" s="81"/>
      <c r="N478" s="81"/>
      <c r="O478" s="289"/>
      <c r="P478" s="105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 ht="24" customHeight="1" x14ac:dyDescent="0.5">
      <c r="A479" s="81"/>
      <c r="B479" s="81"/>
      <c r="C479" s="81"/>
      <c r="D479" s="81"/>
      <c r="E479" s="81"/>
      <c r="F479" s="81"/>
      <c r="G479" s="81"/>
      <c r="H479" s="81"/>
      <c r="I479" s="289"/>
      <c r="J479" s="81"/>
      <c r="K479" s="81"/>
      <c r="L479" s="81"/>
      <c r="M479" s="81"/>
      <c r="N479" s="81"/>
      <c r="O479" s="289"/>
      <c r="P479" s="105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 ht="24" customHeight="1" x14ac:dyDescent="0.5">
      <c r="A480" s="81"/>
      <c r="B480" s="81"/>
      <c r="C480" s="81"/>
      <c r="D480" s="81"/>
      <c r="E480" s="81"/>
      <c r="F480" s="81"/>
      <c r="G480" s="81"/>
      <c r="H480" s="81"/>
      <c r="I480" s="289"/>
      <c r="J480" s="81"/>
      <c r="K480" s="81"/>
      <c r="L480" s="81"/>
      <c r="M480" s="81"/>
      <c r="N480" s="81"/>
      <c r="O480" s="289"/>
      <c r="P480" s="105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 ht="24" customHeight="1" x14ac:dyDescent="0.5">
      <c r="A481" s="81"/>
      <c r="B481" s="81"/>
      <c r="C481" s="81"/>
      <c r="D481" s="81"/>
      <c r="E481" s="81"/>
      <c r="F481" s="81"/>
      <c r="G481" s="81"/>
      <c r="H481" s="81"/>
      <c r="I481" s="289"/>
      <c r="J481" s="81"/>
      <c r="K481" s="81"/>
      <c r="L481" s="81"/>
      <c r="M481" s="81"/>
      <c r="N481" s="81"/>
      <c r="O481" s="289"/>
      <c r="P481" s="105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 ht="24" customHeight="1" x14ac:dyDescent="0.5">
      <c r="A482" s="81"/>
      <c r="B482" s="81"/>
      <c r="C482" s="81"/>
      <c r="D482" s="81"/>
      <c r="E482" s="81"/>
      <c r="F482" s="81"/>
      <c r="G482" s="81"/>
      <c r="H482" s="81"/>
      <c r="I482" s="289"/>
      <c r="J482" s="81"/>
      <c r="K482" s="81"/>
      <c r="L482" s="81"/>
      <c r="M482" s="81"/>
      <c r="N482" s="81"/>
      <c r="O482" s="289"/>
      <c r="P482" s="105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 ht="24" customHeight="1" x14ac:dyDescent="0.5">
      <c r="A483" s="81"/>
      <c r="B483" s="81"/>
      <c r="C483" s="81"/>
      <c r="D483" s="81"/>
      <c r="E483" s="81"/>
      <c r="F483" s="81"/>
      <c r="G483" s="81"/>
      <c r="H483" s="81"/>
      <c r="I483" s="289"/>
      <c r="J483" s="81"/>
      <c r="K483" s="81"/>
      <c r="L483" s="81"/>
      <c r="M483" s="81"/>
      <c r="N483" s="81"/>
      <c r="O483" s="289"/>
      <c r="P483" s="105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 ht="24" customHeight="1" x14ac:dyDescent="0.5">
      <c r="A484" s="81"/>
      <c r="B484" s="81"/>
      <c r="C484" s="81"/>
      <c r="D484" s="81"/>
      <c r="E484" s="81"/>
      <c r="F484" s="81"/>
      <c r="G484" s="81"/>
      <c r="H484" s="81"/>
      <c r="I484" s="289"/>
      <c r="J484" s="81"/>
      <c r="K484" s="81"/>
      <c r="L484" s="81"/>
      <c r="M484" s="81"/>
      <c r="N484" s="81"/>
      <c r="O484" s="289"/>
      <c r="P484" s="105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 ht="24" customHeight="1" x14ac:dyDescent="0.5">
      <c r="A485" s="81"/>
      <c r="B485" s="81"/>
      <c r="C485" s="81"/>
      <c r="D485" s="81"/>
      <c r="E485" s="81"/>
      <c r="F485" s="81"/>
      <c r="G485" s="81"/>
      <c r="H485" s="81"/>
      <c r="I485" s="289"/>
      <c r="J485" s="81"/>
      <c r="K485" s="81"/>
      <c r="L485" s="81"/>
      <c r="M485" s="81"/>
      <c r="N485" s="81"/>
      <c r="O485" s="289"/>
      <c r="P485" s="105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 ht="24" customHeight="1" x14ac:dyDescent="0.5">
      <c r="A486" s="81"/>
      <c r="B486" s="81"/>
      <c r="C486" s="81"/>
      <c r="D486" s="81"/>
      <c r="E486" s="81"/>
      <c r="F486" s="81"/>
      <c r="G486" s="81"/>
      <c r="H486" s="81"/>
      <c r="I486" s="289"/>
      <c r="J486" s="81"/>
      <c r="K486" s="81"/>
      <c r="L486" s="81"/>
      <c r="M486" s="81"/>
      <c r="N486" s="81"/>
      <c r="O486" s="289"/>
      <c r="P486" s="105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 ht="24" customHeight="1" x14ac:dyDescent="0.5">
      <c r="A487" s="81"/>
      <c r="B487" s="81"/>
      <c r="C487" s="81"/>
      <c r="D487" s="81"/>
      <c r="E487" s="81"/>
      <c r="F487" s="81"/>
      <c r="G487" s="81"/>
      <c r="H487" s="81"/>
      <c r="I487" s="289"/>
      <c r="J487" s="81"/>
      <c r="K487" s="81"/>
      <c r="L487" s="81"/>
      <c r="M487" s="81"/>
      <c r="N487" s="81"/>
      <c r="O487" s="289"/>
      <c r="P487" s="105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 ht="24" customHeight="1" x14ac:dyDescent="0.5">
      <c r="A488" s="81"/>
      <c r="B488" s="81"/>
      <c r="C488" s="81"/>
      <c r="D488" s="81"/>
      <c r="E488" s="81"/>
      <c r="F488" s="81"/>
      <c r="G488" s="81"/>
      <c r="H488" s="81"/>
      <c r="I488" s="289"/>
      <c r="J488" s="81"/>
      <c r="K488" s="81"/>
      <c r="L488" s="81"/>
      <c r="M488" s="81"/>
      <c r="N488" s="81"/>
      <c r="O488" s="289"/>
      <c r="P488" s="105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 ht="24" customHeight="1" x14ac:dyDescent="0.5">
      <c r="A489" s="81"/>
      <c r="B489" s="81"/>
      <c r="C489" s="81"/>
      <c r="D489" s="81"/>
      <c r="E489" s="81"/>
      <c r="F489" s="81"/>
      <c r="G489" s="81"/>
      <c r="H489" s="81"/>
      <c r="I489" s="289"/>
      <c r="J489" s="81"/>
      <c r="K489" s="81"/>
      <c r="L489" s="81"/>
      <c r="M489" s="81"/>
      <c r="N489" s="81"/>
      <c r="O489" s="289"/>
      <c r="P489" s="105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 ht="24" customHeight="1" x14ac:dyDescent="0.5">
      <c r="A490" s="81"/>
      <c r="B490" s="81"/>
      <c r="C490" s="81"/>
      <c r="D490" s="81"/>
      <c r="E490" s="81"/>
      <c r="F490" s="81"/>
      <c r="G490" s="81"/>
      <c r="H490" s="81"/>
      <c r="I490" s="289"/>
      <c r="J490" s="81"/>
      <c r="K490" s="81"/>
      <c r="L490" s="81"/>
      <c r="M490" s="81"/>
      <c r="N490" s="81"/>
      <c r="O490" s="289"/>
      <c r="P490" s="105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 ht="24" customHeight="1" x14ac:dyDescent="0.5">
      <c r="A491" s="81"/>
      <c r="B491" s="81"/>
      <c r="C491" s="81"/>
      <c r="D491" s="81"/>
      <c r="E491" s="81"/>
      <c r="F491" s="81"/>
      <c r="G491" s="81"/>
      <c r="H491" s="81"/>
      <c r="I491" s="289"/>
      <c r="J491" s="81"/>
      <c r="K491" s="81"/>
      <c r="L491" s="81"/>
      <c r="M491" s="81"/>
      <c r="N491" s="81"/>
      <c r="O491" s="289"/>
      <c r="P491" s="105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 ht="24" customHeight="1" x14ac:dyDescent="0.5">
      <c r="A492" s="81"/>
      <c r="B492" s="81"/>
      <c r="C492" s="81"/>
      <c r="D492" s="81"/>
      <c r="E492" s="81"/>
      <c r="F492" s="81"/>
      <c r="G492" s="81"/>
      <c r="H492" s="81"/>
      <c r="I492" s="289"/>
      <c r="J492" s="81"/>
      <c r="K492" s="81"/>
      <c r="L492" s="81"/>
      <c r="M492" s="81"/>
      <c r="N492" s="81"/>
      <c r="O492" s="289"/>
      <c r="P492" s="105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 ht="24" customHeight="1" x14ac:dyDescent="0.5">
      <c r="A493" s="81"/>
      <c r="B493" s="81"/>
      <c r="C493" s="81"/>
      <c r="D493" s="81"/>
      <c r="E493" s="81"/>
      <c r="F493" s="81"/>
      <c r="G493" s="81"/>
      <c r="H493" s="81"/>
      <c r="I493" s="289"/>
      <c r="J493" s="81"/>
      <c r="K493" s="81"/>
      <c r="L493" s="81"/>
      <c r="M493" s="81"/>
      <c r="N493" s="81"/>
      <c r="O493" s="289"/>
      <c r="P493" s="105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 ht="24" customHeight="1" x14ac:dyDescent="0.5">
      <c r="A494" s="81"/>
      <c r="B494" s="81"/>
      <c r="C494" s="81"/>
      <c r="D494" s="81"/>
      <c r="E494" s="81"/>
      <c r="F494" s="81"/>
      <c r="G494" s="81"/>
      <c r="H494" s="81"/>
      <c r="I494" s="289"/>
      <c r="J494" s="81"/>
      <c r="K494" s="81"/>
      <c r="L494" s="81"/>
      <c r="M494" s="81"/>
      <c r="N494" s="81"/>
      <c r="O494" s="289"/>
      <c r="P494" s="105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 ht="24" customHeight="1" x14ac:dyDescent="0.5">
      <c r="A495" s="81"/>
      <c r="B495" s="81"/>
      <c r="C495" s="81"/>
      <c r="D495" s="81"/>
      <c r="E495" s="81"/>
      <c r="F495" s="81"/>
      <c r="G495" s="81"/>
      <c r="H495" s="81"/>
      <c r="I495" s="289"/>
      <c r="J495" s="81"/>
      <c r="K495" s="81"/>
      <c r="L495" s="81"/>
      <c r="M495" s="81"/>
      <c r="N495" s="81"/>
      <c r="O495" s="289"/>
      <c r="P495" s="105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 ht="24" customHeight="1" x14ac:dyDescent="0.5">
      <c r="A496" s="81"/>
      <c r="B496" s="81"/>
      <c r="C496" s="81"/>
      <c r="D496" s="81"/>
      <c r="E496" s="81"/>
      <c r="F496" s="81"/>
      <c r="G496" s="81"/>
      <c r="H496" s="81"/>
      <c r="I496" s="289"/>
      <c r="J496" s="81"/>
      <c r="K496" s="81"/>
      <c r="L496" s="81"/>
      <c r="M496" s="81"/>
      <c r="N496" s="81"/>
      <c r="O496" s="289"/>
      <c r="P496" s="105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 ht="24" customHeight="1" x14ac:dyDescent="0.5">
      <c r="A497" s="81"/>
      <c r="B497" s="81"/>
      <c r="C497" s="81"/>
      <c r="D497" s="81"/>
      <c r="E497" s="81"/>
      <c r="F497" s="81"/>
      <c r="G497" s="81"/>
      <c r="H497" s="81"/>
      <c r="I497" s="289"/>
      <c r="J497" s="81"/>
      <c r="K497" s="81"/>
      <c r="L497" s="81"/>
      <c r="M497" s="81"/>
      <c r="N497" s="81"/>
      <c r="O497" s="289"/>
      <c r="P497" s="105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 ht="24" customHeight="1" x14ac:dyDescent="0.5">
      <c r="A498" s="81"/>
      <c r="B498" s="81"/>
      <c r="C498" s="81"/>
      <c r="D498" s="81"/>
      <c r="E498" s="81"/>
      <c r="F498" s="81"/>
      <c r="G498" s="81"/>
      <c r="H498" s="81"/>
      <c r="I498" s="289"/>
      <c r="J498" s="81"/>
      <c r="K498" s="81"/>
      <c r="L498" s="81"/>
      <c r="M498" s="81"/>
      <c r="N498" s="81"/>
      <c r="O498" s="289"/>
      <c r="P498" s="105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 ht="24" customHeight="1" x14ac:dyDescent="0.5">
      <c r="A499" s="81"/>
      <c r="B499" s="81"/>
      <c r="C499" s="81"/>
      <c r="D499" s="81"/>
      <c r="E499" s="81"/>
      <c r="F499" s="81"/>
      <c r="G499" s="81"/>
      <c r="H499" s="81"/>
      <c r="I499" s="289"/>
      <c r="J499" s="81"/>
      <c r="K499" s="81"/>
      <c r="L499" s="81"/>
      <c r="M499" s="81"/>
      <c r="N499" s="81"/>
      <c r="O499" s="289"/>
      <c r="P499" s="105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 ht="24" customHeight="1" x14ac:dyDescent="0.5">
      <c r="A500" s="81"/>
      <c r="B500" s="81"/>
      <c r="C500" s="81"/>
      <c r="D500" s="81"/>
      <c r="E500" s="81"/>
      <c r="F500" s="81"/>
      <c r="G500" s="81"/>
      <c r="H500" s="81"/>
      <c r="I500" s="289"/>
      <c r="J500" s="81"/>
      <c r="K500" s="81"/>
      <c r="L500" s="81"/>
      <c r="M500" s="81"/>
      <c r="N500" s="81"/>
      <c r="O500" s="289"/>
      <c r="P500" s="105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 ht="24" customHeight="1" x14ac:dyDescent="0.5">
      <c r="A501" s="81"/>
      <c r="B501" s="81"/>
      <c r="C501" s="81"/>
      <c r="D501" s="81"/>
      <c r="E501" s="81"/>
      <c r="F501" s="81"/>
      <c r="G501" s="81"/>
      <c r="H501" s="81"/>
      <c r="I501" s="289"/>
      <c r="J501" s="81"/>
      <c r="K501" s="81"/>
      <c r="L501" s="81"/>
      <c r="M501" s="81"/>
      <c r="N501" s="81"/>
      <c r="O501" s="289"/>
      <c r="P501" s="105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 ht="24" customHeight="1" x14ac:dyDescent="0.5">
      <c r="A502" s="81"/>
      <c r="B502" s="81"/>
      <c r="C502" s="81"/>
      <c r="D502" s="81"/>
      <c r="E502" s="81"/>
      <c r="F502" s="81"/>
      <c r="G502" s="81"/>
      <c r="H502" s="81"/>
      <c r="I502" s="289"/>
      <c r="J502" s="81"/>
      <c r="K502" s="81"/>
      <c r="L502" s="81"/>
      <c r="M502" s="81"/>
      <c r="N502" s="81"/>
      <c r="O502" s="289"/>
      <c r="P502" s="105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 ht="24" customHeight="1" x14ac:dyDescent="0.5">
      <c r="A503" s="81"/>
      <c r="B503" s="81"/>
      <c r="C503" s="81"/>
      <c r="D503" s="81"/>
      <c r="E503" s="81"/>
      <c r="F503" s="81"/>
      <c r="G503" s="81"/>
      <c r="H503" s="81"/>
      <c r="I503" s="289"/>
      <c r="J503" s="81"/>
      <c r="K503" s="81"/>
      <c r="L503" s="81"/>
      <c r="M503" s="81"/>
      <c r="N503" s="81"/>
      <c r="O503" s="289"/>
      <c r="P503" s="105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 ht="24" customHeight="1" x14ac:dyDescent="0.5">
      <c r="A504" s="81"/>
      <c r="B504" s="81"/>
      <c r="C504" s="81"/>
      <c r="D504" s="81"/>
      <c r="E504" s="81"/>
      <c r="F504" s="81"/>
      <c r="G504" s="81"/>
      <c r="H504" s="81"/>
      <c r="I504" s="289"/>
      <c r="J504" s="81"/>
      <c r="K504" s="81"/>
      <c r="L504" s="81"/>
      <c r="M504" s="81"/>
      <c r="N504" s="81"/>
      <c r="O504" s="289"/>
      <c r="P504" s="105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 ht="24" customHeight="1" x14ac:dyDescent="0.5">
      <c r="A505" s="81"/>
      <c r="B505" s="81"/>
      <c r="C505" s="81"/>
      <c r="D505" s="81"/>
      <c r="E505" s="81"/>
      <c r="F505" s="81"/>
      <c r="G505" s="81"/>
      <c r="H505" s="81"/>
      <c r="I505" s="289"/>
      <c r="J505" s="81"/>
      <c r="K505" s="81"/>
      <c r="L505" s="81"/>
      <c r="M505" s="81"/>
      <c r="N505" s="81"/>
      <c r="O505" s="289"/>
      <c r="P505" s="105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 ht="24" customHeight="1" x14ac:dyDescent="0.5">
      <c r="A506" s="81"/>
      <c r="B506" s="81"/>
      <c r="C506" s="81"/>
      <c r="D506" s="81"/>
      <c r="E506" s="81"/>
      <c r="F506" s="81"/>
      <c r="G506" s="81"/>
      <c r="H506" s="81"/>
      <c r="I506" s="289"/>
      <c r="J506" s="81"/>
      <c r="K506" s="81"/>
      <c r="L506" s="81"/>
      <c r="M506" s="81"/>
      <c r="N506" s="81"/>
      <c r="O506" s="289"/>
      <c r="P506" s="105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 ht="24" customHeight="1" x14ac:dyDescent="0.5">
      <c r="A507" s="81"/>
      <c r="B507" s="81"/>
      <c r="C507" s="81"/>
      <c r="D507" s="81"/>
      <c r="E507" s="81"/>
      <c r="F507" s="81"/>
      <c r="G507" s="81"/>
      <c r="H507" s="81"/>
      <c r="I507" s="289"/>
      <c r="J507" s="81"/>
      <c r="K507" s="81"/>
      <c r="L507" s="81"/>
      <c r="M507" s="81"/>
      <c r="N507" s="81"/>
      <c r="O507" s="289"/>
      <c r="P507" s="105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 ht="24" customHeight="1" x14ac:dyDescent="0.5">
      <c r="A508" s="81"/>
      <c r="B508" s="81"/>
      <c r="C508" s="81"/>
      <c r="D508" s="81"/>
      <c r="E508" s="81"/>
      <c r="F508" s="81"/>
      <c r="G508" s="81"/>
      <c r="H508" s="81"/>
      <c r="I508" s="289"/>
      <c r="J508" s="81"/>
      <c r="K508" s="81"/>
      <c r="L508" s="81"/>
      <c r="M508" s="81"/>
      <c r="N508" s="81"/>
      <c r="O508" s="289"/>
      <c r="P508" s="105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 ht="24" customHeight="1" x14ac:dyDescent="0.5">
      <c r="A509" s="81"/>
      <c r="B509" s="81"/>
      <c r="C509" s="81"/>
      <c r="D509" s="81"/>
      <c r="E509" s="81"/>
      <c r="F509" s="81"/>
      <c r="G509" s="81"/>
      <c r="H509" s="81"/>
      <c r="I509" s="289"/>
      <c r="J509" s="81"/>
      <c r="K509" s="81"/>
      <c r="L509" s="81"/>
      <c r="M509" s="81"/>
      <c r="N509" s="81"/>
      <c r="O509" s="289"/>
      <c r="P509" s="105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 ht="24" customHeight="1" x14ac:dyDescent="0.5">
      <c r="A510" s="81"/>
      <c r="B510" s="81"/>
      <c r="C510" s="81"/>
      <c r="D510" s="81"/>
      <c r="E510" s="81"/>
      <c r="F510" s="81"/>
      <c r="G510" s="81"/>
      <c r="H510" s="81"/>
      <c r="I510" s="289"/>
      <c r="J510" s="81"/>
      <c r="K510" s="81"/>
      <c r="L510" s="81"/>
      <c r="M510" s="81"/>
      <c r="N510" s="81"/>
      <c r="O510" s="289"/>
      <c r="P510" s="105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 ht="24" customHeight="1" x14ac:dyDescent="0.5">
      <c r="A511" s="81"/>
      <c r="B511" s="81"/>
      <c r="C511" s="81"/>
      <c r="D511" s="81"/>
      <c r="E511" s="81"/>
      <c r="F511" s="81"/>
      <c r="G511" s="81"/>
      <c r="H511" s="81"/>
      <c r="I511" s="289"/>
      <c r="J511" s="81"/>
      <c r="K511" s="81"/>
      <c r="L511" s="81"/>
      <c r="M511" s="81"/>
      <c r="N511" s="81"/>
      <c r="O511" s="289"/>
      <c r="P511" s="105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 ht="24" customHeight="1" x14ac:dyDescent="0.5">
      <c r="A512" s="81"/>
      <c r="B512" s="81"/>
      <c r="C512" s="81"/>
      <c r="D512" s="81"/>
      <c r="E512" s="81"/>
      <c r="F512" s="81"/>
      <c r="G512" s="81"/>
      <c r="H512" s="81"/>
      <c r="I512" s="289"/>
      <c r="J512" s="81"/>
      <c r="K512" s="81"/>
      <c r="L512" s="81"/>
      <c r="M512" s="81"/>
      <c r="N512" s="81"/>
      <c r="O512" s="289"/>
      <c r="P512" s="105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 ht="24" customHeight="1" x14ac:dyDescent="0.5">
      <c r="A513" s="81"/>
      <c r="B513" s="81"/>
      <c r="C513" s="81"/>
      <c r="D513" s="81"/>
      <c r="E513" s="81"/>
      <c r="F513" s="81"/>
      <c r="G513" s="81"/>
      <c r="H513" s="81"/>
      <c r="I513" s="289"/>
      <c r="J513" s="81"/>
      <c r="K513" s="81"/>
      <c r="L513" s="81"/>
      <c r="M513" s="81"/>
      <c r="N513" s="81"/>
      <c r="O513" s="289"/>
      <c r="P513" s="105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 ht="24" customHeight="1" x14ac:dyDescent="0.5">
      <c r="A514" s="81"/>
      <c r="B514" s="81"/>
      <c r="C514" s="81"/>
      <c r="D514" s="81"/>
      <c r="E514" s="81"/>
      <c r="F514" s="81"/>
      <c r="G514" s="81"/>
      <c r="H514" s="81"/>
      <c r="I514" s="289"/>
      <c r="J514" s="81"/>
      <c r="K514" s="81"/>
      <c r="L514" s="81"/>
      <c r="M514" s="81"/>
      <c r="N514" s="81"/>
      <c r="O514" s="289"/>
      <c r="P514" s="105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 ht="24" customHeight="1" x14ac:dyDescent="0.5">
      <c r="A515" s="81"/>
      <c r="B515" s="81"/>
      <c r="C515" s="81"/>
      <c r="D515" s="81"/>
      <c r="E515" s="81"/>
      <c r="F515" s="81"/>
      <c r="G515" s="81"/>
      <c r="H515" s="81"/>
      <c r="I515" s="289"/>
      <c r="J515" s="81"/>
      <c r="K515" s="81"/>
      <c r="L515" s="81"/>
      <c r="M515" s="81"/>
      <c r="N515" s="81"/>
      <c r="O515" s="289"/>
      <c r="P515" s="105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 ht="24" customHeight="1" x14ac:dyDescent="0.5">
      <c r="A516" s="81"/>
      <c r="B516" s="81"/>
      <c r="C516" s="81"/>
      <c r="D516" s="81"/>
      <c r="E516" s="81"/>
      <c r="F516" s="81"/>
      <c r="G516" s="81"/>
      <c r="H516" s="81"/>
      <c r="I516" s="289"/>
      <c r="J516" s="81"/>
      <c r="K516" s="81"/>
      <c r="L516" s="81"/>
      <c r="M516" s="81"/>
      <c r="N516" s="81"/>
      <c r="O516" s="289"/>
      <c r="P516" s="105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 ht="24" customHeight="1" x14ac:dyDescent="0.5">
      <c r="A517" s="81"/>
      <c r="B517" s="81"/>
      <c r="C517" s="81"/>
      <c r="D517" s="81"/>
      <c r="E517" s="81"/>
      <c r="F517" s="81"/>
      <c r="G517" s="81"/>
      <c r="H517" s="81"/>
      <c r="I517" s="289"/>
      <c r="J517" s="81"/>
      <c r="K517" s="81"/>
      <c r="L517" s="81"/>
      <c r="M517" s="81"/>
      <c r="N517" s="81"/>
      <c r="O517" s="289"/>
      <c r="P517" s="105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 ht="24" customHeight="1" x14ac:dyDescent="0.5">
      <c r="A518" s="81"/>
      <c r="B518" s="81"/>
      <c r="C518" s="81"/>
      <c r="D518" s="81"/>
      <c r="E518" s="81"/>
      <c r="F518" s="81"/>
      <c r="G518" s="81"/>
      <c r="H518" s="81"/>
      <c r="I518" s="289"/>
      <c r="J518" s="81"/>
      <c r="K518" s="81"/>
      <c r="L518" s="81"/>
      <c r="M518" s="81"/>
      <c r="N518" s="81"/>
      <c r="O518" s="289"/>
      <c r="P518" s="105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 ht="24" customHeight="1" x14ac:dyDescent="0.5">
      <c r="A519" s="81"/>
      <c r="B519" s="81"/>
      <c r="C519" s="81"/>
      <c r="D519" s="81"/>
      <c r="E519" s="81"/>
      <c r="F519" s="81"/>
      <c r="G519" s="81"/>
      <c r="H519" s="81"/>
      <c r="I519" s="289"/>
      <c r="J519" s="81"/>
      <c r="K519" s="81"/>
      <c r="L519" s="81"/>
      <c r="M519" s="81"/>
      <c r="N519" s="81"/>
      <c r="O519" s="289"/>
      <c r="P519" s="105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 ht="24" customHeight="1" x14ac:dyDescent="0.5">
      <c r="A520" s="81"/>
      <c r="B520" s="81"/>
      <c r="C520" s="81"/>
      <c r="D520" s="81"/>
      <c r="E520" s="81"/>
      <c r="F520" s="81"/>
      <c r="G520" s="81"/>
      <c r="H520" s="81"/>
      <c r="I520" s="289"/>
      <c r="J520" s="81"/>
      <c r="K520" s="81"/>
      <c r="L520" s="81"/>
      <c r="M520" s="81"/>
      <c r="N520" s="81"/>
      <c r="O520" s="289"/>
      <c r="P520" s="105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 ht="24" customHeight="1" x14ac:dyDescent="0.5">
      <c r="A521" s="81"/>
      <c r="B521" s="81"/>
      <c r="C521" s="81"/>
      <c r="D521" s="81"/>
      <c r="E521" s="81"/>
      <c r="F521" s="81"/>
      <c r="G521" s="81"/>
      <c r="H521" s="81"/>
      <c r="I521" s="289"/>
      <c r="J521" s="81"/>
      <c r="K521" s="81"/>
      <c r="L521" s="81"/>
      <c r="M521" s="81"/>
      <c r="N521" s="81"/>
      <c r="O521" s="289"/>
      <c r="P521" s="105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 ht="24" customHeight="1" x14ac:dyDescent="0.5">
      <c r="A522" s="81"/>
      <c r="B522" s="81"/>
      <c r="C522" s="81"/>
      <c r="D522" s="81"/>
      <c r="E522" s="81"/>
      <c r="F522" s="81"/>
      <c r="G522" s="81"/>
      <c r="H522" s="81"/>
      <c r="I522" s="289"/>
      <c r="J522" s="81"/>
      <c r="K522" s="81"/>
      <c r="L522" s="81"/>
      <c r="M522" s="81"/>
      <c r="N522" s="81"/>
      <c r="O522" s="289"/>
      <c r="P522" s="105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 ht="24" customHeight="1" x14ac:dyDescent="0.5">
      <c r="A523" s="81"/>
      <c r="B523" s="81"/>
      <c r="C523" s="81"/>
      <c r="D523" s="81"/>
      <c r="E523" s="81"/>
      <c r="F523" s="81"/>
      <c r="G523" s="81"/>
      <c r="H523" s="81"/>
      <c r="I523" s="289"/>
      <c r="J523" s="81"/>
      <c r="K523" s="81"/>
      <c r="L523" s="81"/>
      <c r="M523" s="81"/>
      <c r="N523" s="81"/>
      <c r="O523" s="289"/>
      <c r="P523" s="105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 ht="24" customHeight="1" x14ac:dyDescent="0.5">
      <c r="A524" s="81"/>
      <c r="B524" s="81"/>
      <c r="C524" s="81"/>
      <c r="D524" s="81"/>
      <c r="E524" s="81"/>
      <c r="F524" s="81"/>
      <c r="G524" s="81"/>
      <c r="H524" s="81"/>
      <c r="I524" s="289"/>
      <c r="J524" s="81"/>
      <c r="K524" s="81"/>
      <c r="L524" s="81"/>
      <c r="M524" s="81"/>
      <c r="N524" s="81"/>
      <c r="O524" s="289"/>
      <c r="P524" s="105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 ht="24" customHeight="1" x14ac:dyDescent="0.5">
      <c r="A525" s="81"/>
      <c r="B525" s="81"/>
      <c r="C525" s="81"/>
      <c r="D525" s="81"/>
      <c r="E525" s="81"/>
      <c r="F525" s="81"/>
      <c r="G525" s="81"/>
      <c r="H525" s="81"/>
      <c r="I525" s="289"/>
      <c r="J525" s="81"/>
      <c r="K525" s="81"/>
      <c r="L525" s="81"/>
      <c r="M525" s="81"/>
      <c r="N525" s="81"/>
      <c r="O525" s="289"/>
      <c r="P525" s="105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 ht="24" customHeight="1" x14ac:dyDescent="0.5">
      <c r="A526" s="81"/>
      <c r="B526" s="81"/>
      <c r="C526" s="81"/>
      <c r="D526" s="81"/>
      <c r="E526" s="81"/>
      <c r="F526" s="81"/>
      <c r="G526" s="81"/>
      <c r="H526" s="81"/>
      <c r="I526" s="289"/>
      <c r="J526" s="81"/>
      <c r="K526" s="81"/>
      <c r="L526" s="81"/>
      <c r="M526" s="81"/>
      <c r="N526" s="81"/>
      <c r="O526" s="289"/>
      <c r="P526" s="105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 ht="24" customHeight="1" x14ac:dyDescent="0.5">
      <c r="A527" s="81"/>
      <c r="B527" s="81"/>
      <c r="C527" s="81"/>
      <c r="D527" s="81"/>
      <c r="E527" s="81"/>
      <c r="F527" s="81"/>
      <c r="G527" s="81"/>
      <c r="H527" s="81"/>
      <c r="I527" s="289"/>
      <c r="J527" s="81"/>
      <c r="K527" s="81"/>
      <c r="L527" s="81"/>
      <c r="M527" s="81"/>
      <c r="N527" s="81"/>
      <c r="O527" s="289"/>
      <c r="P527" s="105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 ht="24" customHeight="1" x14ac:dyDescent="0.5">
      <c r="A528" s="81"/>
      <c r="B528" s="81"/>
      <c r="C528" s="81"/>
      <c r="D528" s="81"/>
      <c r="E528" s="81"/>
      <c r="F528" s="81"/>
      <c r="G528" s="81"/>
      <c r="H528" s="81"/>
      <c r="I528" s="289"/>
      <c r="J528" s="81"/>
      <c r="K528" s="81"/>
      <c r="L528" s="81"/>
      <c r="M528" s="81"/>
      <c r="N528" s="81"/>
      <c r="O528" s="289"/>
      <c r="P528" s="105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 ht="24" customHeight="1" x14ac:dyDescent="0.5">
      <c r="A529" s="81"/>
      <c r="B529" s="81"/>
      <c r="C529" s="81"/>
      <c r="D529" s="81"/>
      <c r="E529" s="81"/>
      <c r="F529" s="81"/>
      <c r="G529" s="81"/>
      <c r="H529" s="81"/>
      <c r="I529" s="289"/>
      <c r="J529" s="81"/>
      <c r="K529" s="81"/>
      <c r="L529" s="81"/>
      <c r="M529" s="81"/>
      <c r="N529" s="81"/>
      <c r="O529" s="289"/>
      <c r="P529" s="105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 ht="24" customHeight="1" x14ac:dyDescent="0.5">
      <c r="A530" s="81"/>
      <c r="B530" s="81"/>
      <c r="C530" s="81"/>
      <c r="D530" s="81"/>
      <c r="E530" s="81"/>
      <c r="F530" s="81"/>
      <c r="G530" s="81"/>
      <c r="H530" s="81"/>
      <c r="I530" s="289"/>
      <c r="J530" s="81"/>
      <c r="K530" s="81"/>
      <c r="L530" s="81"/>
      <c r="M530" s="81"/>
      <c r="N530" s="81"/>
      <c r="O530" s="289"/>
      <c r="P530" s="105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 ht="24" customHeight="1" x14ac:dyDescent="0.5">
      <c r="A531" s="81"/>
      <c r="B531" s="81"/>
      <c r="C531" s="81"/>
      <c r="D531" s="81"/>
      <c r="E531" s="81"/>
      <c r="F531" s="81"/>
      <c r="G531" s="81"/>
      <c r="H531" s="81"/>
      <c r="I531" s="289"/>
      <c r="J531" s="81"/>
      <c r="K531" s="81"/>
      <c r="L531" s="81"/>
      <c r="M531" s="81"/>
      <c r="N531" s="81"/>
      <c r="O531" s="289"/>
      <c r="P531" s="105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 ht="24" customHeight="1" x14ac:dyDescent="0.5">
      <c r="A532" s="81"/>
      <c r="B532" s="81"/>
      <c r="C532" s="81"/>
      <c r="D532" s="81"/>
      <c r="E532" s="81"/>
      <c r="F532" s="81"/>
      <c r="G532" s="81"/>
      <c r="H532" s="81"/>
      <c r="I532" s="289"/>
      <c r="J532" s="81"/>
      <c r="K532" s="81"/>
      <c r="L532" s="81"/>
      <c r="M532" s="81"/>
      <c r="N532" s="81"/>
      <c r="O532" s="289"/>
      <c r="P532" s="105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 ht="24" customHeight="1" x14ac:dyDescent="0.5">
      <c r="A533" s="81"/>
      <c r="B533" s="81"/>
      <c r="C533" s="81"/>
      <c r="D533" s="81"/>
      <c r="E533" s="81"/>
      <c r="F533" s="81"/>
      <c r="G533" s="81"/>
      <c r="H533" s="81"/>
      <c r="I533" s="289"/>
      <c r="J533" s="81"/>
      <c r="K533" s="81"/>
      <c r="L533" s="81"/>
      <c r="M533" s="81"/>
      <c r="N533" s="81"/>
      <c r="O533" s="289"/>
      <c r="P533" s="105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 ht="24" customHeight="1" x14ac:dyDescent="0.5">
      <c r="A534" s="81"/>
      <c r="B534" s="81"/>
      <c r="C534" s="81"/>
      <c r="D534" s="81"/>
      <c r="E534" s="81"/>
      <c r="F534" s="81"/>
      <c r="G534" s="81"/>
      <c r="H534" s="81"/>
      <c r="I534" s="289"/>
      <c r="J534" s="81"/>
      <c r="K534" s="81"/>
      <c r="L534" s="81"/>
      <c r="M534" s="81"/>
      <c r="N534" s="81"/>
      <c r="O534" s="289"/>
      <c r="P534" s="105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 ht="24" customHeight="1" x14ac:dyDescent="0.5">
      <c r="A535" s="81"/>
      <c r="B535" s="81"/>
      <c r="C535" s="81"/>
      <c r="D535" s="81"/>
      <c r="E535" s="81"/>
      <c r="F535" s="81"/>
      <c r="G535" s="81"/>
      <c r="H535" s="81"/>
      <c r="I535" s="289"/>
      <c r="J535" s="81"/>
      <c r="K535" s="81"/>
      <c r="L535" s="81"/>
      <c r="M535" s="81"/>
      <c r="N535" s="81"/>
      <c r="O535" s="289"/>
      <c r="P535" s="105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 ht="24" customHeight="1" x14ac:dyDescent="0.5">
      <c r="A536" s="81"/>
      <c r="B536" s="81"/>
      <c r="C536" s="81"/>
      <c r="D536" s="81"/>
      <c r="E536" s="81"/>
      <c r="F536" s="81"/>
      <c r="G536" s="81"/>
      <c r="H536" s="81"/>
      <c r="I536" s="289"/>
      <c r="J536" s="81"/>
      <c r="K536" s="81"/>
      <c r="L536" s="81"/>
      <c r="M536" s="81"/>
      <c r="N536" s="81"/>
      <c r="O536" s="289"/>
      <c r="P536" s="105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 ht="24" customHeight="1" x14ac:dyDescent="0.5">
      <c r="A537" s="81"/>
      <c r="B537" s="81"/>
      <c r="C537" s="81"/>
      <c r="D537" s="81"/>
      <c r="E537" s="81"/>
      <c r="F537" s="81"/>
      <c r="G537" s="81"/>
      <c r="H537" s="81"/>
      <c r="I537" s="289"/>
      <c r="J537" s="81"/>
      <c r="K537" s="81"/>
      <c r="L537" s="81"/>
      <c r="M537" s="81"/>
      <c r="N537" s="81"/>
      <c r="O537" s="289"/>
      <c r="P537" s="105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 ht="24" customHeight="1" x14ac:dyDescent="0.5">
      <c r="A538" s="81"/>
      <c r="B538" s="81"/>
      <c r="C538" s="81"/>
      <c r="D538" s="81"/>
      <c r="E538" s="81"/>
      <c r="F538" s="81"/>
      <c r="G538" s="81"/>
      <c r="H538" s="81"/>
      <c r="I538" s="289"/>
      <c r="J538" s="81"/>
      <c r="K538" s="81"/>
      <c r="L538" s="81"/>
      <c r="M538" s="81"/>
      <c r="N538" s="81"/>
      <c r="O538" s="289"/>
      <c r="P538" s="105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 ht="24" customHeight="1" x14ac:dyDescent="0.5">
      <c r="A539" s="81"/>
      <c r="B539" s="81"/>
      <c r="C539" s="81"/>
      <c r="D539" s="81"/>
      <c r="E539" s="81"/>
      <c r="F539" s="81"/>
      <c r="G539" s="81"/>
      <c r="H539" s="81"/>
      <c r="I539" s="289"/>
      <c r="J539" s="81"/>
      <c r="K539" s="81"/>
      <c r="L539" s="81"/>
      <c r="M539" s="81"/>
      <c r="N539" s="81"/>
      <c r="O539" s="289"/>
      <c r="P539" s="105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 ht="24" customHeight="1" x14ac:dyDescent="0.5">
      <c r="A540" s="81"/>
      <c r="B540" s="81"/>
      <c r="C540" s="81"/>
      <c r="D540" s="81"/>
      <c r="E540" s="81"/>
      <c r="F540" s="81"/>
      <c r="G540" s="81"/>
      <c r="H540" s="81"/>
      <c r="I540" s="289"/>
      <c r="J540" s="81"/>
      <c r="K540" s="81"/>
      <c r="L540" s="81"/>
      <c r="M540" s="81"/>
      <c r="N540" s="81"/>
      <c r="O540" s="289"/>
      <c r="P540" s="105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 ht="24" customHeight="1" x14ac:dyDescent="0.5">
      <c r="A541" s="81"/>
      <c r="B541" s="81"/>
      <c r="C541" s="81"/>
      <c r="D541" s="81"/>
      <c r="E541" s="81"/>
      <c r="F541" s="81"/>
      <c r="G541" s="81"/>
      <c r="H541" s="81"/>
      <c r="I541" s="289"/>
      <c r="J541" s="81"/>
      <c r="K541" s="81"/>
      <c r="L541" s="81"/>
      <c r="M541" s="81"/>
      <c r="N541" s="81"/>
      <c r="O541" s="289"/>
      <c r="P541" s="105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 ht="24" customHeight="1" x14ac:dyDescent="0.5">
      <c r="A542" s="81"/>
      <c r="B542" s="81"/>
      <c r="C542" s="81"/>
      <c r="D542" s="81"/>
      <c r="E542" s="81"/>
      <c r="F542" s="81"/>
      <c r="G542" s="81"/>
      <c r="H542" s="81"/>
      <c r="I542" s="289"/>
      <c r="J542" s="81"/>
      <c r="K542" s="81"/>
      <c r="L542" s="81"/>
      <c r="M542" s="81"/>
      <c r="N542" s="81"/>
      <c r="O542" s="289"/>
      <c r="P542" s="105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 ht="24" customHeight="1" x14ac:dyDescent="0.5">
      <c r="A543" s="81"/>
      <c r="B543" s="81"/>
      <c r="C543" s="81"/>
      <c r="D543" s="81"/>
      <c r="E543" s="81"/>
      <c r="F543" s="81"/>
      <c r="G543" s="81"/>
      <c r="H543" s="81"/>
      <c r="I543" s="289"/>
      <c r="J543" s="81"/>
      <c r="K543" s="81"/>
      <c r="L543" s="81"/>
      <c r="M543" s="81"/>
      <c r="N543" s="81"/>
      <c r="O543" s="289"/>
      <c r="P543" s="105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 ht="24" customHeight="1" x14ac:dyDescent="0.5">
      <c r="A544" s="81"/>
      <c r="B544" s="81"/>
      <c r="C544" s="81"/>
      <c r="D544" s="81"/>
      <c r="E544" s="81"/>
      <c r="F544" s="81"/>
      <c r="G544" s="81"/>
      <c r="H544" s="81"/>
      <c r="I544" s="289"/>
      <c r="J544" s="81"/>
      <c r="K544" s="81"/>
      <c r="L544" s="81"/>
      <c r="M544" s="81"/>
      <c r="N544" s="81"/>
      <c r="O544" s="289"/>
      <c r="P544" s="105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 ht="24" customHeight="1" x14ac:dyDescent="0.5">
      <c r="A545" s="81"/>
      <c r="B545" s="81"/>
      <c r="C545" s="81"/>
      <c r="D545" s="81"/>
      <c r="E545" s="81"/>
      <c r="F545" s="81"/>
      <c r="G545" s="81"/>
      <c r="H545" s="81"/>
      <c r="I545" s="289"/>
      <c r="J545" s="81"/>
      <c r="K545" s="81"/>
      <c r="L545" s="81"/>
      <c r="M545" s="81"/>
      <c r="N545" s="81"/>
      <c r="O545" s="289"/>
      <c r="P545" s="105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 ht="24" customHeight="1" x14ac:dyDescent="0.5">
      <c r="A546" s="81"/>
      <c r="B546" s="81"/>
      <c r="C546" s="81"/>
      <c r="D546" s="81"/>
      <c r="E546" s="81"/>
      <c r="F546" s="81"/>
      <c r="G546" s="81"/>
      <c r="H546" s="81"/>
      <c r="I546" s="289"/>
      <c r="J546" s="81"/>
      <c r="K546" s="81"/>
      <c r="L546" s="81"/>
      <c r="M546" s="81"/>
      <c r="N546" s="81"/>
      <c r="O546" s="289"/>
      <c r="P546" s="105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 ht="24" customHeight="1" x14ac:dyDescent="0.5">
      <c r="A547" s="81"/>
      <c r="B547" s="81"/>
      <c r="C547" s="81"/>
      <c r="D547" s="81"/>
      <c r="E547" s="81"/>
      <c r="F547" s="81"/>
      <c r="G547" s="81"/>
      <c r="H547" s="81"/>
      <c r="I547" s="289"/>
      <c r="J547" s="81"/>
      <c r="K547" s="81"/>
      <c r="L547" s="81"/>
      <c r="M547" s="81"/>
      <c r="N547" s="81"/>
      <c r="O547" s="289"/>
      <c r="P547" s="105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 ht="24" customHeight="1" x14ac:dyDescent="0.5">
      <c r="A548" s="81"/>
      <c r="B548" s="81"/>
      <c r="C548" s="81"/>
      <c r="D548" s="81"/>
      <c r="E548" s="81"/>
      <c r="F548" s="81"/>
      <c r="G548" s="81"/>
      <c r="H548" s="81"/>
      <c r="I548" s="289"/>
      <c r="J548" s="81"/>
      <c r="K548" s="81"/>
      <c r="L548" s="81"/>
      <c r="M548" s="81"/>
      <c r="N548" s="81"/>
      <c r="O548" s="289"/>
      <c r="P548" s="105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 ht="24" customHeight="1" x14ac:dyDescent="0.5">
      <c r="A549" s="81"/>
      <c r="B549" s="81"/>
      <c r="C549" s="81"/>
      <c r="D549" s="81"/>
      <c r="E549" s="81"/>
      <c r="F549" s="81"/>
      <c r="G549" s="81"/>
      <c r="H549" s="81"/>
      <c r="I549" s="289"/>
      <c r="J549" s="81"/>
      <c r="K549" s="81"/>
      <c r="L549" s="81"/>
      <c r="M549" s="81"/>
      <c r="N549" s="81"/>
      <c r="O549" s="289"/>
      <c r="P549" s="105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 ht="24" customHeight="1" x14ac:dyDescent="0.5">
      <c r="A550" s="81"/>
      <c r="B550" s="81"/>
      <c r="C550" s="81"/>
      <c r="D550" s="81"/>
      <c r="E550" s="81"/>
      <c r="F550" s="81"/>
      <c r="G550" s="81"/>
      <c r="H550" s="81"/>
      <c r="I550" s="289"/>
      <c r="J550" s="81"/>
      <c r="K550" s="81"/>
      <c r="L550" s="81"/>
      <c r="M550" s="81"/>
      <c r="N550" s="81"/>
      <c r="O550" s="289"/>
      <c r="P550" s="105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 ht="24" customHeight="1" x14ac:dyDescent="0.5">
      <c r="A551" s="81"/>
      <c r="B551" s="81"/>
      <c r="C551" s="81"/>
      <c r="D551" s="81"/>
      <c r="E551" s="81"/>
      <c r="F551" s="81"/>
      <c r="G551" s="81"/>
      <c r="H551" s="81"/>
      <c r="I551" s="289"/>
      <c r="J551" s="81"/>
      <c r="K551" s="81"/>
      <c r="L551" s="81"/>
      <c r="M551" s="81"/>
      <c r="N551" s="81"/>
      <c r="O551" s="289"/>
      <c r="P551" s="105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 ht="24" customHeight="1" x14ac:dyDescent="0.5">
      <c r="A552" s="81"/>
      <c r="B552" s="81"/>
      <c r="C552" s="81"/>
      <c r="D552" s="81"/>
      <c r="E552" s="81"/>
      <c r="F552" s="81"/>
      <c r="G552" s="81"/>
      <c r="H552" s="81"/>
      <c r="I552" s="289"/>
      <c r="J552" s="81"/>
      <c r="K552" s="81"/>
      <c r="L552" s="81"/>
      <c r="M552" s="81"/>
      <c r="N552" s="81"/>
      <c r="O552" s="289"/>
      <c r="P552" s="105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 ht="24" customHeight="1" x14ac:dyDescent="0.5">
      <c r="A553" s="81"/>
      <c r="B553" s="81"/>
      <c r="C553" s="81"/>
      <c r="D553" s="81"/>
      <c r="E553" s="81"/>
      <c r="F553" s="81"/>
      <c r="G553" s="81"/>
      <c r="H553" s="81"/>
      <c r="I553" s="289"/>
      <c r="J553" s="81"/>
      <c r="K553" s="81"/>
      <c r="L553" s="81"/>
      <c r="M553" s="81"/>
      <c r="N553" s="81"/>
      <c r="O553" s="289"/>
      <c r="P553" s="105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 ht="24" customHeight="1" x14ac:dyDescent="0.5">
      <c r="A554" s="81"/>
      <c r="B554" s="81"/>
      <c r="C554" s="81"/>
      <c r="D554" s="81"/>
      <c r="E554" s="81"/>
      <c r="F554" s="81"/>
      <c r="G554" s="81"/>
      <c r="H554" s="81"/>
      <c r="I554" s="289"/>
      <c r="J554" s="81"/>
      <c r="K554" s="81"/>
      <c r="L554" s="81"/>
      <c r="M554" s="81"/>
      <c r="N554" s="81"/>
      <c r="O554" s="289"/>
      <c r="P554" s="105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 ht="24" customHeight="1" x14ac:dyDescent="0.5">
      <c r="A555" s="81"/>
      <c r="B555" s="81"/>
      <c r="C555" s="81"/>
      <c r="D555" s="81"/>
      <c r="E555" s="81"/>
      <c r="F555" s="81"/>
      <c r="G555" s="81"/>
      <c r="H555" s="81"/>
      <c r="I555" s="289"/>
      <c r="J555" s="81"/>
      <c r="K555" s="81"/>
      <c r="L555" s="81"/>
      <c r="M555" s="81"/>
      <c r="N555" s="81"/>
      <c r="O555" s="289"/>
      <c r="P555" s="105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 ht="24" customHeight="1" x14ac:dyDescent="0.5">
      <c r="A556" s="81"/>
      <c r="B556" s="81"/>
      <c r="C556" s="81"/>
      <c r="D556" s="81"/>
      <c r="E556" s="81"/>
      <c r="F556" s="81"/>
      <c r="G556" s="81"/>
      <c r="H556" s="81"/>
      <c r="I556" s="289"/>
      <c r="J556" s="81"/>
      <c r="K556" s="81"/>
      <c r="L556" s="81"/>
      <c r="M556" s="81"/>
      <c r="N556" s="81"/>
      <c r="O556" s="289"/>
      <c r="P556" s="105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 ht="24" customHeight="1" x14ac:dyDescent="0.5">
      <c r="A557" s="81"/>
      <c r="B557" s="81"/>
      <c r="C557" s="81"/>
      <c r="D557" s="81"/>
      <c r="E557" s="81"/>
      <c r="F557" s="81"/>
      <c r="G557" s="81"/>
      <c r="H557" s="81"/>
      <c r="I557" s="289"/>
      <c r="J557" s="81"/>
      <c r="K557" s="81"/>
      <c r="L557" s="81"/>
      <c r="M557" s="81"/>
      <c r="N557" s="81"/>
      <c r="O557" s="289"/>
      <c r="P557" s="105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 ht="24" customHeight="1" x14ac:dyDescent="0.5">
      <c r="A558" s="81"/>
      <c r="B558" s="81"/>
      <c r="C558" s="81"/>
      <c r="D558" s="81"/>
      <c r="E558" s="81"/>
      <c r="F558" s="81"/>
      <c r="G558" s="81"/>
      <c r="H558" s="81"/>
      <c r="I558" s="289"/>
      <c r="J558" s="81"/>
      <c r="K558" s="81"/>
      <c r="L558" s="81"/>
      <c r="M558" s="81"/>
      <c r="N558" s="81"/>
      <c r="O558" s="289"/>
      <c r="P558" s="105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 ht="24" customHeight="1" x14ac:dyDescent="0.5">
      <c r="A559" s="81"/>
      <c r="B559" s="81"/>
      <c r="C559" s="81"/>
      <c r="D559" s="81"/>
      <c r="E559" s="81"/>
      <c r="F559" s="81"/>
      <c r="G559" s="81"/>
      <c r="H559" s="81"/>
      <c r="I559" s="289"/>
      <c r="J559" s="81"/>
      <c r="K559" s="81"/>
      <c r="L559" s="81"/>
      <c r="M559" s="81"/>
      <c r="N559" s="81"/>
      <c r="O559" s="289"/>
      <c r="P559" s="105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 ht="24" customHeight="1" x14ac:dyDescent="0.5">
      <c r="A560" s="81"/>
      <c r="B560" s="81"/>
      <c r="C560" s="81"/>
      <c r="D560" s="81"/>
      <c r="E560" s="81"/>
      <c r="F560" s="81"/>
      <c r="G560" s="81"/>
      <c r="H560" s="81"/>
      <c r="I560" s="289"/>
      <c r="J560" s="81"/>
      <c r="K560" s="81"/>
      <c r="L560" s="81"/>
      <c r="M560" s="81"/>
      <c r="N560" s="81"/>
      <c r="O560" s="289"/>
      <c r="P560" s="105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 ht="24" customHeight="1" x14ac:dyDescent="0.5">
      <c r="A561" s="81"/>
      <c r="B561" s="81"/>
      <c r="C561" s="81"/>
      <c r="D561" s="81"/>
      <c r="E561" s="81"/>
      <c r="F561" s="81"/>
      <c r="G561" s="81"/>
      <c r="H561" s="81"/>
      <c r="I561" s="289"/>
      <c r="J561" s="81"/>
      <c r="K561" s="81"/>
      <c r="L561" s="81"/>
      <c r="M561" s="81"/>
      <c r="N561" s="81"/>
      <c r="O561" s="289"/>
      <c r="P561" s="105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 ht="24" customHeight="1" x14ac:dyDescent="0.5">
      <c r="A562" s="81"/>
      <c r="B562" s="81"/>
      <c r="C562" s="81"/>
      <c r="D562" s="81"/>
      <c r="E562" s="81"/>
      <c r="F562" s="81"/>
      <c r="G562" s="81"/>
      <c r="H562" s="81"/>
      <c r="I562" s="289"/>
      <c r="J562" s="81"/>
      <c r="K562" s="81"/>
      <c r="L562" s="81"/>
      <c r="M562" s="81"/>
      <c r="N562" s="81"/>
      <c r="O562" s="289"/>
      <c r="P562" s="105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 ht="24" customHeight="1" x14ac:dyDescent="0.5">
      <c r="A563" s="81"/>
      <c r="B563" s="81"/>
      <c r="C563" s="81"/>
      <c r="D563" s="81"/>
      <c r="E563" s="81"/>
      <c r="F563" s="81"/>
      <c r="G563" s="81"/>
      <c r="H563" s="81"/>
      <c r="I563" s="289"/>
      <c r="J563" s="81"/>
      <c r="K563" s="81"/>
      <c r="L563" s="81"/>
      <c r="M563" s="81"/>
      <c r="N563" s="81"/>
      <c r="O563" s="289"/>
      <c r="P563" s="105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 ht="24" customHeight="1" x14ac:dyDescent="0.5">
      <c r="A564" s="81"/>
      <c r="B564" s="81"/>
      <c r="C564" s="81"/>
      <c r="D564" s="81"/>
      <c r="E564" s="81"/>
      <c r="F564" s="81"/>
      <c r="G564" s="81"/>
      <c r="H564" s="81"/>
      <c r="I564" s="289"/>
      <c r="J564" s="81"/>
      <c r="K564" s="81"/>
      <c r="L564" s="81"/>
      <c r="M564" s="81"/>
      <c r="N564" s="81"/>
      <c r="O564" s="289"/>
      <c r="P564" s="105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 ht="24" customHeight="1" x14ac:dyDescent="0.5">
      <c r="A565" s="81"/>
      <c r="B565" s="81"/>
      <c r="C565" s="81"/>
      <c r="D565" s="81"/>
      <c r="E565" s="81"/>
      <c r="F565" s="81"/>
      <c r="G565" s="81"/>
      <c r="H565" s="81"/>
      <c r="I565" s="289"/>
      <c r="J565" s="81"/>
      <c r="K565" s="81"/>
      <c r="L565" s="81"/>
      <c r="M565" s="81"/>
      <c r="N565" s="81"/>
      <c r="O565" s="289"/>
      <c r="P565" s="105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 ht="24" customHeight="1" x14ac:dyDescent="0.5">
      <c r="A566" s="81"/>
      <c r="B566" s="81"/>
      <c r="C566" s="81"/>
      <c r="D566" s="81"/>
      <c r="E566" s="81"/>
      <c r="F566" s="81"/>
      <c r="G566" s="81"/>
      <c r="H566" s="81"/>
      <c r="I566" s="289"/>
      <c r="J566" s="81"/>
      <c r="K566" s="81"/>
      <c r="L566" s="81"/>
      <c r="M566" s="81"/>
      <c r="N566" s="81"/>
      <c r="O566" s="289"/>
      <c r="P566" s="105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 ht="24" customHeight="1" x14ac:dyDescent="0.5">
      <c r="A567" s="81"/>
      <c r="B567" s="81"/>
      <c r="C567" s="81"/>
      <c r="D567" s="81"/>
      <c r="E567" s="81"/>
      <c r="F567" s="81"/>
      <c r="G567" s="81"/>
      <c r="H567" s="81"/>
      <c r="I567" s="289"/>
      <c r="J567" s="81"/>
      <c r="K567" s="81"/>
      <c r="L567" s="81"/>
      <c r="M567" s="81"/>
      <c r="N567" s="81"/>
      <c r="O567" s="289"/>
      <c r="P567" s="105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 ht="24" customHeight="1" x14ac:dyDescent="0.5">
      <c r="A568" s="81"/>
      <c r="B568" s="81"/>
      <c r="C568" s="81"/>
      <c r="D568" s="81"/>
      <c r="E568" s="81"/>
      <c r="F568" s="81"/>
      <c r="G568" s="81"/>
      <c r="H568" s="81"/>
      <c r="I568" s="289"/>
      <c r="J568" s="81"/>
      <c r="K568" s="81"/>
      <c r="L568" s="81"/>
      <c r="M568" s="81"/>
      <c r="N568" s="81"/>
      <c r="O568" s="289"/>
      <c r="P568" s="105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 ht="24" customHeight="1" x14ac:dyDescent="0.5">
      <c r="A569" s="81"/>
      <c r="B569" s="81"/>
      <c r="C569" s="81"/>
      <c r="D569" s="81"/>
      <c r="E569" s="81"/>
      <c r="F569" s="81"/>
      <c r="G569" s="81"/>
      <c r="H569" s="81"/>
      <c r="I569" s="289"/>
      <c r="J569" s="81"/>
      <c r="K569" s="81"/>
      <c r="L569" s="81"/>
      <c r="M569" s="81"/>
      <c r="N569" s="81"/>
      <c r="O569" s="289"/>
      <c r="P569" s="105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 ht="24" customHeight="1" x14ac:dyDescent="0.5">
      <c r="A570" s="81"/>
      <c r="B570" s="81"/>
      <c r="C570" s="81"/>
      <c r="D570" s="81"/>
      <c r="E570" s="81"/>
      <c r="F570" s="81"/>
      <c r="G570" s="81"/>
      <c r="H570" s="81"/>
      <c r="I570" s="289"/>
      <c r="J570" s="81"/>
      <c r="K570" s="81"/>
      <c r="L570" s="81"/>
      <c r="M570" s="81"/>
      <c r="N570" s="81"/>
      <c r="O570" s="289"/>
      <c r="P570" s="105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 ht="24" customHeight="1" x14ac:dyDescent="0.5">
      <c r="A571" s="81"/>
      <c r="B571" s="81"/>
      <c r="C571" s="81"/>
      <c r="D571" s="81"/>
      <c r="E571" s="81"/>
      <c r="F571" s="81"/>
      <c r="G571" s="81"/>
      <c r="H571" s="81"/>
      <c r="I571" s="289"/>
      <c r="J571" s="81"/>
      <c r="K571" s="81"/>
      <c r="L571" s="81"/>
      <c r="M571" s="81"/>
      <c r="N571" s="81"/>
      <c r="O571" s="289"/>
      <c r="P571" s="105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 ht="24" customHeight="1" x14ac:dyDescent="0.5">
      <c r="A572" s="81"/>
      <c r="B572" s="81"/>
      <c r="C572" s="81"/>
      <c r="D572" s="81"/>
      <c r="E572" s="81"/>
      <c r="F572" s="81"/>
      <c r="G572" s="81"/>
      <c r="H572" s="81"/>
      <c r="I572" s="289"/>
      <c r="J572" s="81"/>
      <c r="K572" s="81"/>
      <c r="L572" s="81"/>
      <c r="M572" s="81"/>
      <c r="N572" s="81"/>
      <c r="O572" s="289"/>
      <c r="P572" s="105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 ht="24" customHeight="1" x14ac:dyDescent="0.5">
      <c r="A573" s="81"/>
      <c r="B573" s="81"/>
      <c r="C573" s="81"/>
      <c r="D573" s="81"/>
      <c r="E573" s="81"/>
      <c r="F573" s="81"/>
      <c r="G573" s="81"/>
      <c r="H573" s="81"/>
      <c r="I573" s="289"/>
      <c r="J573" s="81"/>
      <c r="K573" s="81"/>
      <c r="L573" s="81"/>
      <c r="M573" s="81"/>
      <c r="N573" s="81"/>
      <c r="O573" s="289"/>
      <c r="P573" s="105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 ht="24" customHeight="1" x14ac:dyDescent="0.5">
      <c r="A574" s="81"/>
      <c r="B574" s="81"/>
      <c r="C574" s="81"/>
      <c r="D574" s="81"/>
      <c r="E574" s="81"/>
      <c r="F574" s="81"/>
      <c r="G574" s="81"/>
      <c r="H574" s="81"/>
      <c r="I574" s="289"/>
      <c r="J574" s="81"/>
      <c r="K574" s="81"/>
      <c r="L574" s="81"/>
      <c r="M574" s="81"/>
      <c r="N574" s="81"/>
      <c r="O574" s="289"/>
      <c r="P574" s="105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 ht="24" customHeight="1" x14ac:dyDescent="0.5">
      <c r="A575" s="81"/>
      <c r="B575" s="81"/>
      <c r="C575" s="81"/>
      <c r="D575" s="81"/>
      <c r="E575" s="81"/>
      <c r="F575" s="81"/>
      <c r="G575" s="81"/>
      <c r="H575" s="81"/>
      <c r="I575" s="289"/>
      <c r="J575" s="81"/>
      <c r="K575" s="81"/>
      <c r="L575" s="81"/>
      <c r="M575" s="81"/>
      <c r="N575" s="81"/>
      <c r="O575" s="289"/>
      <c r="P575" s="105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 ht="24" customHeight="1" x14ac:dyDescent="0.5">
      <c r="A576" s="81"/>
      <c r="B576" s="81"/>
      <c r="C576" s="81"/>
      <c r="D576" s="81"/>
      <c r="E576" s="81"/>
      <c r="F576" s="81"/>
      <c r="G576" s="81"/>
      <c r="H576" s="81"/>
      <c r="I576" s="289"/>
      <c r="J576" s="81"/>
      <c r="K576" s="81"/>
      <c r="L576" s="81"/>
      <c r="M576" s="81"/>
      <c r="N576" s="81"/>
      <c r="O576" s="289"/>
      <c r="P576" s="105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 ht="24" customHeight="1" x14ac:dyDescent="0.5">
      <c r="A577" s="81"/>
      <c r="B577" s="81"/>
      <c r="C577" s="81"/>
      <c r="D577" s="81"/>
      <c r="E577" s="81"/>
      <c r="F577" s="81"/>
      <c r="G577" s="81"/>
      <c r="H577" s="81"/>
      <c r="I577" s="289"/>
      <c r="J577" s="81"/>
      <c r="K577" s="81"/>
      <c r="L577" s="81"/>
      <c r="M577" s="81"/>
      <c r="N577" s="81"/>
      <c r="O577" s="289"/>
      <c r="P577" s="105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 ht="24" customHeight="1" x14ac:dyDescent="0.5">
      <c r="A578" s="81"/>
      <c r="B578" s="81"/>
      <c r="C578" s="81"/>
      <c r="D578" s="81"/>
      <c r="E578" s="81"/>
      <c r="F578" s="81"/>
      <c r="G578" s="81"/>
      <c r="H578" s="81"/>
      <c r="I578" s="289"/>
      <c r="J578" s="81"/>
      <c r="K578" s="81"/>
      <c r="L578" s="81"/>
      <c r="M578" s="81"/>
      <c r="N578" s="81"/>
      <c r="O578" s="289"/>
      <c r="P578" s="105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 ht="24" customHeight="1" x14ac:dyDescent="0.5">
      <c r="A579" s="81"/>
      <c r="B579" s="81"/>
      <c r="C579" s="81"/>
      <c r="D579" s="81"/>
      <c r="E579" s="81"/>
      <c r="F579" s="81"/>
      <c r="G579" s="81"/>
      <c r="H579" s="81"/>
      <c r="I579" s="289"/>
      <c r="J579" s="81"/>
      <c r="K579" s="81"/>
      <c r="L579" s="81"/>
      <c r="M579" s="81"/>
      <c r="N579" s="81"/>
      <c r="O579" s="289"/>
      <c r="P579" s="105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 ht="24" customHeight="1" x14ac:dyDescent="0.5">
      <c r="A580" s="81"/>
      <c r="B580" s="81"/>
      <c r="C580" s="81"/>
      <c r="D580" s="81"/>
      <c r="E580" s="81"/>
      <c r="F580" s="81"/>
      <c r="G580" s="81"/>
      <c r="H580" s="81"/>
      <c r="I580" s="289"/>
      <c r="J580" s="81"/>
      <c r="K580" s="81"/>
      <c r="L580" s="81"/>
      <c r="M580" s="81"/>
      <c r="N580" s="81"/>
      <c r="O580" s="289"/>
      <c r="P580" s="105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 ht="24" customHeight="1" x14ac:dyDescent="0.5">
      <c r="A581" s="81"/>
      <c r="B581" s="81"/>
      <c r="C581" s="81"/>
      <c r="D581" s="81"/>
      <c r="E581" s="81"/>
      <c r="F581" s="81"/>
      <c r="G581" s="81"/>
      <c r="H581" s="81"/>
      <c r="I581" s="289"/>
      <c r="J581" s="81"/>
      <c r="K581" s="81"/>
      <c r="L581" s="81"/>
      <c r="M581" s="81"/>
      <c r="N581" s="81"/>
      <c r="O581" s="289"/>
      <c r="P581" s="105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 ht="24" customHeight="1" x14ac:dyDescent="0.5">
      <c r="A582" s="81"/>
      <c r="B582" s="81"/>
      <c r="C582" s="81"/>
      <c r="D582" s="81"/>
      <c r="E582" s="81"/>
      <c r="F582" s="81"/>
      <c r="G582" s="81"/>
      <c r="H582" s="81"/>
      <c r="I582" s="289"/>
      <c r="J582" s="81"/>
      <c r="K582" s="81"/>
      <c r="L582" s="81"/>
      <c r="M582" s="81"/>
      <c r="N582" s="81"/>
      <c r="O582" s="289"/>
      <c r="P582" s="105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 ht="24" customHeight="1" x14ac:dyDescent="0.5">
      <c r="A583" s="81"/>
      <c r="B583" s="81"/>
      <c r="C583" s="81"/>
      <c r="D583" s="81"/>
      <c r="E583" s="81"/>
      <c r="F583" s="81"/>
      <c r="G583" s="81"/>
      <c r="H583" s="81"/>
      <c r="I583" s="289"/>
      <c r="J583" s="81"/>
      <c r="K583" s="81"/>
      <c r="L583" s="81"/>
      <c r="M583" s="81"/>
      <c r="N583" s="81"/>
      <c r="O583" s="289"/>
      <c r="P583" s="105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 ht="24" customHeight="1" x14ac:dyDescent="0.5">
      <c r="A584" s="81"/>
      <c r="B584" s="81"/>
      <c r="C584" s="81"/>
      <c r="D584" s="81"/>
      <c r="E584" s="81"/>
      <c r="F584" s="81"/>
      <c r="G584" s="81"/>
      <c r="H584" s="81"/>
      <c r="I584" s="289"/>
      <c r="J584" s="81"/>
      <c r="K584" s="81"/>
      <c r="L584" s="81"/>
      <c r="M584" s="81"/>
      <c r="N584" s="81"/>
      <c r="O584" s="289"/>
      <c r="P584" s="105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 ht="24" customHeight="1" x14ac:dyDescent="0.5">
      <c r="A585" s="81"/>
      <c r="B585" s="81"/>
      <c r="C585" s="81"/>
      <c r="D585" s="81"/>
      <c r="E585" s="81"/>
      <c r="F585" s="81"/>
      <c r="G585" s="81"/>
      <c r="H585" s="81"/>
      <c r="I585" s="289"/>
      <c r="J585" s="81"/>
      <c r="K585" s="81"/>
      <c r="L585" s="81"/>
      <c r="M585" s="81"/>
      <c r="N585" s="81"/>
      <c r="O585" s="289"/>
      <c r="P585" s="105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 ht="24" customHeight="1" x14ac:dyDescent="0.5">
      <c r="A586" s="81"/>
      <c r="B586" s="81"/>
      <c r="C586" s="81"/>
      <c r="D586" s="81"/>
      <c r="E586" s="81"/>
      <c r="F586" s="81"/>
      <c r="G586" s="81"/>
      <c r="H586" s="81"/>
      <c r="I586" s="289"/>
      <c r="J586" s="81"/>
      <c r="K586" s="81"/>
      <c r="L586" s="81"/>
      <c r="M586" s="81"/>
      <c r="N586" s="81"/>
      <c r="O586" s="289"/>
      <c r="P586" s="105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 ht="24" customHeight="1" x14ac:dyDescent="0.5">
      <c r="A587" s="81"/>
      <c r="B587" s="81"/>
      <c r="C587" s="81"/>
      <c r="D587" s="81"/>
      <c r="E587" s="81"/>
      <c r="F587" s="81"/>
      <c r="G587" s="81"/>
      <c r="H587" s="81"/>
      <c r="I587" s="289"/>
      <c r="J587" s="81"/>
      <c r="K587" s="81"/>
      <c r="L587" s="81"/>
      <c r="M587" s="81"/>
      <c r="N587" s="81"/>
      <c r="O587" s="289"/>
      <c r="P587" s="105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 ht="24" customHeight="1" x14ac:dyDescent="0.5">
      <c r="A588" s="81"/>
      <c r="B588" s="81"/>
      <c r="C588" s="81"/>
      <c r="D588" s="81"/>
      <c r="E588" s="81"/>
      <c r="F588" s="81"/>
      <c r="G588" s="81"/>
      <c r="H588" s="81"/>
      <c r="I588" s="289"/>
      <c r="J588" s="81"/>
      <c r="K588" s="81"/>
      <c r="L588" s="81"/>
      <c r="M588" s="81"/>
      <c r="N588" s="81"/>
      <c r="O588" s="289"/>
      <c r="P588" s="105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 ht="24" customHeight="1" x14ac:dyDescent="0.5">
      <c r="A589" s="81"/>
      <c r="B589" s="81"/>
      <c r="C589" s="81"/>
      <c r="D589" s="81"/>
      <c r="E589" s="81"/>
      <c r="F589" s="81"/>
      <c r="G589" s="81"/>
      <c r="H589" s="81"/>
      <c r="I589" s="289"/>
      <c r="J589" s="81"/>
      <c r="K589" s="81"/>
      <c r="L589" s="81"/>
      <c r="M589" s="81"/>
      <c r="N589" s="81"/>
      <c r="O589" s="289"/>
      <c r="P589" s="105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 ht="24" customHeight="1" x14ac:dyDescent="0.5">
      <c r="A590" s="81"/>
      <c r="B590" s="81"/>
      <c r="C590" s="81"/>
      <c r="D590" s="81"/>
      <c r="E590" s="81"/>
      <c r="F590" s="81"/>
      <c r="G590" s="81"/>
      <c r="H590" s="81"/>
      <c r="I590" s="289"/>
      <c r="J590" s="81"/>
      <c r="K590" s="81"/>
      <c r="L590" s="81"/>
      <c r="M590" s="81"/>
      <c r="N590" s="81"/>
      <c r="O590" s="289"/>
      <c r="P590" s="105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 ht="24" customHeight="1" x14ac:dyDescent="0.5">
      <c r="A591" s="81"/>
      <c r="B591" s="81"/>
      <c r="C591" s="81"/>
      <c r="D591" s="81"/>
      <c r="E591" s="81"/>
      <c r="F591" s="81"/>
      <c r="G591" s="81"/>
      <c r="H591" s="81"/>
      <c r="I591" s="289"/>
      <c r="J591" s="81"/>
      <c r="K591" s="81"/>
      <c r="L591" s="81"/>
      <c r="M591" s="81"/>
      <c r="N591" s="81"/>
      <c r="O591" s="289"/>
      <c r="P591" s="105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 ht="24" customHeight="1" x14ac:dyDescent="0.5">
      <c r="A592" s="81"/>
      <c r="B592" s="81"/>
      <c r="C592" s="81"/>
      <c r="D592" s="81"/>
      <c r="E592" s="81"/>
      <c r="F592" s="81"/>
      <c r="G592" s="81"/>
      <c r="H592" s="81"/>
      <c r="I592" s="289"/>
      <c r="J592" s="81"/>
      <c r="K592" s="81"/>
      <c r="L592" s="81"/>
      <c r="M592" s="81"/>
      <c r="N592" s="81"/>
      <c r="O592" s="289"/>
      <c r="P592" s="105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 ht="24" customHeight="1" x14ac:dyDescent="0.5">
      <c r="A593" s="81"/>
      <c r="B593" s="81"/>
      <c r="C593" s="81"/>
      <c r="D593" s="81"/>
      <c r="E593" s="81"/>
      <c r="F593" s="81"/>
      <c r="G593" s="81"/>
      <c r="H593" s="81"/>
      <c r="I593" s="289"/>
      <c r="J593" s="81"/>
      <c r="K593" s="81"/>
      <c r="L593" s="81"/>
      <c r="M593" s="81"/>
      <c r="N593" s="81"/>
      <c r="O593" s="289"/>
      <c r="P593" s="105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 ht="24" customHeight="1" x14ac:dyDescent="0.5">
      <c r="A594" s="81"/>
      <c r="B594" s="81"/>
      <c r="C594" s="81"/>
      <c r="D594" s="81"/>
      <c r="E594" s="81"/>
      <c r="F594" s="81"/>
      <c r="G594" s="81"/>
      <c r="H594" s="81"/>
      <c r="I594" s="289"/>
      <c r="J594" s="81"/>
      <c r="K594" s="81"/>
      <c r="L594" s="81"/>
      <c r="M594" s="81"/>
      <c r="N594" s="81"/>
      <c r="O594" s="289"/>
      <c r="P594" s="105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 ht="24" customHeight="1" x14ac:dyDescent="0.5">
      <c r="A595" s="81"/>
      <c r="B595" s="81"/>
      <c r="C595" s="81"/>
      <c r="D595" s="81"/>
      <c r="E595" s="81"/>
      <c r="F595" s="81"/>
      <c r="G595" s="81"/>
      <c r="H595" s="81"/>
      <c r="I595" s="289"/>
      <c r="J595" s="81"/>
      <c r="K595" s="81"/>
      <c r="L595" s="81"/>
      <c r="M595" s="81"/>
      <c r="N595" s="81"/>
      <c r="O595" s="289"/>
      <c r="P595" s="105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 ht="24" customHeight="1" x14ac:dyDescent="0.5">
      <c r="A596" s="81"/>
      <c r="B596" s="81"/>
      <c r="C596" s="81"/>
      <c r="D596" s="81"/>
      <c r="E596" s="81"/>
      <c r="F596" s="81"/>
      <c r="G596" s="81"/>
      <c r="H596" s="81"/>
      <c r="I596" s="289"/>
      <c r="J596" s="81"/>
      <c r="K596" s="81"/>
      <c r="L596" s="81"/>
      <c r="M596" s="81"/>
      <c r="N596" s="81"/>
      <c r="O596" s="289"/>
      <c r="P596" s="105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 ht="24" customHeight="1" x14ac:dyDescent="0.5">
      <c r="A597" s="81"/>
      <c r="B597" s="81"/>
      <c r="C597" s="81"/>
      <c r="D597" s="81"/>
      <c r="E597" s="81"/>
      <c r="F597" s="81"/>
      <c r="G597" s="81"/>
      <c r="H597" s="81"/>
      <c r="I597" s="289"/>
      <c r="J597" s="81"/>
      <c r="K597" s="81"/>
      <c r="L597" s="81"/>
      <c r="M597" s="81"/>
      <c r="N597" s="81"/>
      <c r="O597" s="289"/>
      <c r="P597" s="105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 ht="24" customHeight="1" x14ac:dyDescent="0.5">
      <c r="A598" s="81"/>
      <c r="B598" s="81"/>
      <c r="C598" s="81"/>
      <c r="D598" s="81"/>
      <c r="E598" s="81"/>
      <c r="F598" s="81"/>
      <c r="G598" s="81"/>
      <c r="H598" s="81"/>
      <c r="I598" s="289"/>
      <c r="J598" s="81"/>
      <c r="K598" s="81"/>
      <c r="L598" s="81"/>
      <c r="M598" s="81"/>
      <c r="N598" s="81"/>
      <c r="O598" s="289"/>
      <c r="P598" s="105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 ht="24" customHeight="1" x14ac:dyDescent="0.5">
      <c r="A599" s="81"/>
      <c r="B599" s="81"/>
      <c r="C599" s="81"/>
      <c r="D599" s="81"/>
      <c r="E599" s="81"/>
      <c r="F599" s="81"/>
      <c r="G599" s="81"/>
      <c r="H599" s="81"/>
      <c r="I599" s="289"/>
      <c r="J599" s="81"/>
      <c r="K599" s="81"/>
      <c r="L599" s="81"/>
      <c r="M599" s="81"/>
      <c r="N599" s="81"/>
      <c r="O599" s="289"/>
      <c r="P599" s="105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 ht="24" customHeight="1" x14ac:dyDescent="0.5">
      <c r="A600" s="81"/>
      <c r="B600" s="81"/>
      <c r="C600" s="81"/>
      <c r="D600" s="81"/>
      <c r="E600" s="81"/>
      <c r="F600" s="81"/>
      <c r="G600" s="81"/>
      <c r="H600" s="81"/>
      <c r="I600" s="289"/>
      <c r="J600" s="81"/>
      <c r="K600" s="81"/>
      <c r="L600" s="81"/>
      <c r="M600" s="81"/>
      <c r="N600" s="81"/>
      <c r="O600" s="289"/>
      <c r="P600" s="105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 ht="24" customHeight="1" x14ac:dyDescent="0.5">
      <c r="A601" s="81"/>
      <c r="B601" s="81"/>
      <c r="C601" s="81"/>
      <c r="D601" s="81"/>
      <c r="E601" s="81"/>
      <c r="F601" s="81"/>
      <c r="G601" s="81"/>
      <c r="H601" s="81"/>
      <c r="I601" s="289"/>
      <c r="J601" s="81"/>
      <c r="K601" s="81"/>
      <c r="L601" s="81"/>
      <c r="M601" s="81"/>
      <c r="N601" s="81"/>
      <c r="O601" s="289"/>
      <c r="P601" s="105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 ht="24" customHeight="1" x14ac:dyDescent="0.5">
      <c r="A602" s="81"/>
      <c r="B602" s="81"/>
      <c r="C602" s="81"/>
      <c r="D602" s="81"/>
      <c r="E602" s="81"/>
      <c r="F602" s="81"/>
      <c r="G602" s="81"/>
      <c r="H602" s="81"/>
      <c r="I602" s="289"/>
      <c r="J602" s="81"/>
      <c r="K602" s="81"/>
      <c r="L602" s="81"/>
      <c r="M602" s="81"/>
      <c r="N602" s="81"/>
      <c r="O602" s="289"/>
      <c r="P602" s="105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 ht="24" customHeight="1" x14ac:dyDescent="0.5">
      <c r="A603" s="81"/>
      <c r="B603" s="81"/>
      <c r="C603" s="81"/>
      <c r="D603" s="81"/>
      <c r="E603" s="81"/>
      <c r="F603" s="81"/>
      <c r="G603" s="81"/>
      <c r="H603" s="81"/>
      <c r="I603" s="289"/>
      <c r="J603" s="81"/>
      <c r="K603" s="81"/>
      <c r="L603" s="81"/>
      <c r="M603" s="81"/>
      <c r="N603" s="81"/>
      <c r="O603" s="289"/>
      <c r="P603" s="105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 ht="24" customHeight="1" x14ac:dyDescent="0.5">
      <c r="A604" s="81"/>
      <c r="B604" s="81"/>
      <c r="C604" s="81"/>
      <c r="D604" s="81"/>
      <c r="E604" s="81"/>
      <c r="F604" s="81"/>
      <c r="G604" s="81"/>
      <c r="H604" s="81"/>
      <c r="I604" s="289"/>
      <c r="J604" s="81"/>
      <c r="K604" s="81"/>
      <c r="L604" s="81"/>
      <c r="M604" s="81"/>
      <c r="N604" s="81"/>
      <c r="O604" s="289"/>
      <c r="P604" s="105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 ht="24" customHeight="1" x14ac:dyDescent="0.5">
      <c r="A605" s="81"/>
      <c r="B605" s="81"/>
      <c r="C605" s="81"/>
      <c r="D605" s="81"/>
      <c r="E605" s="81"/>
      <c r="F605" s="81"/>
      <c r="G605" s="81"/>
      <c r="H605" s="81"/>
      <c r="I605" s="289"/>
      <c r="J605" s="81"/>
      <c r="K605" s="81"/>
      <c r="L605" s="81"/>
      <c r="M605" s="81"/>
      <c r="N605" s="81"/>
      <c r="O605" s="289"/>
      <c r="P605" s="105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 ht="24" customHeight="1" x14ac:dyDescent="0.5">
      <c r="A606" s="81"/>
      <c r="B606" s="81"/>
      <c r="C606" s="81"/>
      <c r="D606" s="81"/>
      <c r="E606" s="81"/>
      <c r="F606" s="81"/>
      <c r="G606" s="81"/>
      <c r="H606" s="81"/>
      <c r="I606" s="289"/>
      <c r="J606" s="81"/>
      <c r="K606" s="81"/>
      <c r="L606" s="81"/>
      <c r="M606" s="81"/>
      <c r="N606" s="81"/>
      <c r="O606" s="289"/>
      <c r="P606" s="105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 ht="24" customHeight="1" x14ac:dyDescent="0.5">
      <c r="A607" s="81"/>
      <c r="B607" s="81"/>
      <c r="C607" s="81"/>
      <c r="D607" s="81"/>
      <c r="E607" s="81"/>
      <c r="F607" s="81"/>
      <c r="G607" s="81"/>
      <c r="H607" s="81"/>
      <c r="I607" s="289"/>
      <c r="J607" s="81"/>
      <c r="K607" s="81"/>
      <c r="L607" s="81"/>
      <c r="M607" s="81"/>
      <c r="N607" s="81"/>
      <c r="O607" s="289"/>
      <c r="P607" s="105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 ht="24" customHeight="1" x14ac:dyDescent="0.5">
      <c r="A608" s="81"/>
      <c r="B608" s="81"/>
      <c r="C608" s="81"/>
      <c r="D608" s="81"/>
      <c r="E608" s="81"/>
      <c r="F608" s="81"/>
      <c r="G608" s="81"/>
      <c r="H608" s="81"/>
      <c r="I608" s="289"/>
      <c r="J608" s="81"/>
      <c r="K608" s="81"/>
      <c r="L608" s="81"/>
      <c r="M608" s="81"/>
      <c r="N608" s="81"/>
      <c r="O608" s="289"/>
      <c r="P608" s="105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 ht="24" customHeight="1" x14ac:dyDescent="0.5">
      <c r="A609" s="81"/>
      <c r="B609" s="81"/>
      <c r="C609" s="81"/>
      <c r="D609" s="81"/>
      <c r="E609" s="81"/>
      <c r="F609" s="81"/>
      <c r="G609" s="81"/>
      <c r="H609" s="81"/>
      <c r="I609" s="289"/>
      <c r="J609" s="81"/>
      <c r="K609" s="81"/>
      <c r="L609" s="81"/>
      <c r="M609" s="81"/>
      <c r="N609" s="81"/>
      <c r="O609" s="289"/>
      <c r="P609" s="105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 ht="24" customHeight="1" x14ac:dyDescent="0.5">
      <c r="A610" s="81"/>
      <c r="B610" s="81"/>
      <c r="C610" s="81"/>
      <c r="D610" s="81"/>
      <c r="E610" s="81"/>
      <c r="F610" s="81"/>
      <c r="G610" s="81"/>
      <c r="H610" s="81"/>
      <c r="I610" s="289"/>
      <c r="J610" s="81"/>
      <c r="K610" s="81"/>
      <c r="L610" s="81"/>
      <c r="M610" s="81"/>
      <c r="N610" s="81"/>
      <c r="O610" s="289"/>
      <c r="P610" s="105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 ht="24" customHeight="1" x14ac:dyDescent="0.5">
      <c r="A611" s="81"/>
      <c r="B611" s="81"/>
      <c r="C611" s="81"/>
      <c r="D611" s="81"/>
      <c r="E611" s="81"/>
      <c r="F611" s="81"/>
      <c r="G611" s="81"/>
      <c r="H611" s="81"/>
      <c r="I611" s="289"/>
      <c r="J611" s="81"/>
      <c r="K611" s="81"/>
      <c r="L611" s="81"/>
      <c r="M611" s="81"/>
      <c r="N611" s="81"/>
      <c r="O611" s="289"/>
      <c r="P611" s="105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 ht="24" customHeight="1" x14ac:dyDescent="0.5">
      <c r="A612" s="81"/>
      <c r="B612" s="81"/>
      <c r="C612" s="81"/>
      <c r="D612" s="81"/>
      <c r="E612" s="81"/>
      <c r="F612" s="81"/>
      <c r="G612" s="81"/>
      <c r="H612" s="81"/>
      <c r="I612" s="289"/>
      <c r="J612" s="81"/>
      <c r="K612" s="81"/>
      <c r="L612" s="81"/>
      <c r="M612" s="81"/>
      <c r="N612" s="81"/>
      <c r="O612" s="289"/>
      <c r="P612" s="105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 ht="24" customHeight="1" x14ac:dyDescent="0.5">
      <c r="A613" s="81"/>
      <c r="B613" s="81"/>
      <c r="C613" s="81"/>
      <c r="D613" s="81"/>
      <c r="E613" s="81"/>
      <c r="F613" s="81"/>
      <c r="G613" s="81"/>
      <c r="H613" s="81"/>
      <c r="I613" s="289"/>
      <c r="J613" s="81"/>
      <c r="K613" s="81"/>
      <c r="L613" s="81"/>
      <c r="M613" s="81"/>
      <c r="N613" s="81"/>
      <c r="O613" s="289"/>
      <c r="P613" s="105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 ht="24" customHeight="1" x14ac:dyDescent="0.5">
      <c r="A614" s="81"/>
      <c r="B614" s="81"/>
      <c r="C614" s="81"/>
      <c r="D614" s="81"/>
      <c r="E614" s="81"/>
      <c r="F614" s="81"/>
      <c r="G614" s="81"/>
      <c r="H614" s="81"/>
      <c r="I614" s="289"/>
      <c r="J614" s="81"/>
      <c r="K614" s="81"/>
      <c r="L614" s="81"/>
      <c r="M614" s="81"/>
      <c r="N614" s="81"/>
      <c r="O614" s="289"/>
      <c r="P614" s="105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 ht="24" customHeight="1" x14ac:dyDescent="0.5">
      <c r="A615" s="81"/>
      <c r="B615" s="81"/>
      <c r="C615" s="81"/>
      <c r="D615" s="81"/>
      <c r="E615" s="81"/>
      <c r="F615" s="81"/>
      <c r="G615" s="81"/>
      <c r="H615" s="81"/>
      <c r="I615" s="289"/>
      <c r="J615" s="81"/>
      <c r="K615" s="81"/>
      <c r="L615" s="81"/>
      <c r="M615" s="81"/>
      <c r="N615" s="81"/>
      <c r="O615" s="289"/>
      <c r="P615" s="105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 ht="24" customHeight="1" x14ac:dyDescent="0.5">
      <c r="A616" s="81"/>
      <c r="B616" s="81"/>
      <c r="C616" s="81"/>
      <c r="D616" s="81"/>
      <c r="E616" s="81"/>
      <c r="F616" s="81"/>
      <c r="G616" s="81"/>
      <c r="H616" s="81"/>
      <c r="I616" s="289"/>
      <c r="J616" s="81"/>
      <c r="K616" s="81"/>
      <c r="L616" s="81"/>
      <c r="M616" s="81"/>
      <c r="N616" s="81"/>
      <c r="O616" s="289"/>
      <c r="P616" s="105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 ht="24" customHeight="1" x14ac:dyDescent="0.5">
      <c r="A617" s="81"/>
      <c r="B617" s="81"/>
      <c r="C617" s="81"/>
      <c r="D617" s="81"/>
      <c r="E617" s="81"/>
      <c r="F617" s="81"/>
      <c r="G617" s="81"/>
      <c r="H617" s="81"/>
      <c r="I617" s="289"/>
      <c r="J617" s="81"/>
      <c r="K617" s="81"/>
      <c r="L617" s="81"/>
      <c r="M617" s="81"/>
      <c r="N617" s="81"/>
      <c r="O617" s="289"/>
      <c r="P617" s="105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 ht="24" customHeight="1" x14ac:dyDescent="0.5">
      <c r="A618" s="81"/>
      <c r="B618" s="81"/>
      <c r="C618" s="81"/>
      <c r="D618" s="81"/>
      <c r="E618" s="81"/>
      <c r="F618" s="81"/>
      <c r="G618" s="81"/>
      <c r="H618" s="81"/>
      <c r="I618" s="289"/>
      <c r="J618" s="81"/>
      <c r="K618" s="81"/>
      <c r="L618" s="81"/>
      <c r="M618" s="81"/>
      <c r="N618" s="81"/>
      <c r="O618" s="289"/>
      <c r="P618" s="105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 ht="24" customHeight="1" x14ac:dyDescent="0.5">
      <c r="A619" s="81"/>
      <c r="B619" s="81"/>
      <c r="C619" s="81"/>
      <c r="D619" s="81"/>
      <c r="E619" s="81"/>
      <c r="F619" s="81"/>
      <c r="G619" s="81"/>
      <c r="H619" s="81"/>
      <c r="I619" s="289"/>
      <c r="J619" s="81"/>
      <c r="K619" s="81"/>
      <c r="L619" s="81"/>
      <c r="M619" s="81"/>
      <c r="N619" s="81"/>
      <c r="O619" s="289"/>
      <c r="P619" s="105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 ht="24" customHeight="1" x14ac:dyDescent="0.5">
      <c r="A620" s="81"/>
      <c r="B620" s="81"/>
      <c r="C620" s="81"/>
      <c r="D620" s="81"/>
      <c r="E620" s="81"/>
      <c r="F620" s="81"/>
      <c r="G620" s="81"/>
      <c r="H620" s="81"/>
      <c r="I620" s="289"/>
      <c r="J620" s="81"/>
      <c r="K620" s="81"/>
      <c r="L620" s="81"/>
      <c r="M620" s="81"/>
      <c r="N620" s="81"/>
      <c r="O620" s="289"/>
      <c r="P620" s="105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 ht="24" customHeight="1" x14ac:dyDescent="0.5">
      <c r="A621" s="81"/>
      <c r="B621" s="81"/>
      <c r="C621" s="81"/>
      <c r="D621" s="81"/>
      <c r="E621" s="81"/>
      <c r="F621" s="81"/>
      <c r="G621" s="81"/>
      <c r="H621" s="81"/>
      <c r="I621" s="289"/>
      <c r="J621" s="81"/>
      <c r="K621" s="81"/>
      <c r="L621" s="81"/>
      <c r="M621" s="81"/>
      <c r="N621" s="81"/>
      <c r="O621" s="289"/>
      <c r="P621" s="105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 ht="24" customHeight="1" x14ac:dyDescent="0.5">
      <c r="A622" s="81"/>
      <c r="B622" s="81"/>
      <c r="C622" s="81"/>
      <c r="D622" s="81"/>
      <c r="E622" s="81"/>
      <c r="F622" s="81"/>
      <c r="G622" s="81"/>
      <c r="H622" s="81"/>
      <c r="I622" s="289"/>
      <c r="J622" s="81"/>
      <c r="K622" s="81"/>
      <c r="L622" s="81"/>
      <c r="M622" s="81"/>
      <c r="N622" s="81"/>
      <c r="O622" s="289"/>
      <c r="P622" s="105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 ht="24" customHeight="1" x14ac:dyDescent="0.5">
      <c r="A623" s="81"/>
      <c r="B623" s="81"/>
      <c r="C623" s="81"/>
      <c r="D623" s="81"/>
      <c r="E623" s="81"/>
      <c r="F623" s="81"/>
      <c r="G623" s="81"/>
      <c r="H623" s="81"/>
      <c r="I623" s="289"/>
      <c r="J623" s="81"/>
      <c r="K623" s="81"/>
      <c r="L623" s="81"/>
      <c r="M623" s="81"/>
      <c r="N623" s="81"/>
      <c r="O623" s="289"/>
      <c r="P623" s="105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 ht="24" customHeight="1" x14ac:dyDescent="0.5">
      <c r="A624" s="81"/>
      <c r="B624" s="81"/>
      <c r="C624" s="81"/>
      <c r="D624" s="81"/>
      <c r="E624" s="81"/>
      <c r="F624" s="81"/>
      <c r="G624" s="81"/>
      <c r="H624" s="81"/>
      <c r="I624" s="289"/>
      <c r="J624" s="81"/>
      <c r="K624" s="81"/>
      <c r="L624" s="81"/>
      <c r="M624" s="81"/>
      <c r="N624" s="81"/>
      <c r="O624" s="289"/>
      <c r="P624" s="105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 ht="24" customHeight="1" x14ac:dyDescent="0.5">
      <c r="A625" s="81"/>
      <c r="B625" s="81"/>
      <c r="C625" s="81"/>
      <c r="D625" s="81"/>
      <c r="E625" s="81"/>
      <c r="F625" s="81"/>
      <c r="G625" s="81"/>
      <c r="H625" s="81"/>
      <c r="I625" s="289"/>
      <c r="J625" s="81"/>
      <c r="K625" s="81"/>
      <c r="L625" s="81"/>
      <c r="M625" s="81"/>
      <c r="N625" s="81"/>
      <c r="O625" s="289"/>
      <c r="P625" s="105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 ht="24" customHeight="1" x14ac:dyDescent="0.5">
      <c r="A626" s="81"/>
      <c r="B626" s="81"/>
      <c r="C626" s="81"/>
      <c r="D626" s="81"/>
      <c r="E626" s="81"/>
      <c r="F626" s="81"/>
      <c r="G626" s="81"/>
      <c r="H626" s="81"/>
      <c r="I626" s="289"/>
      <c r="J626" s="81"/>
      <c r="K626" s="81"/>
      <c r="L626" s="81"/>
      <c r="M626" s="81"/>
      <c r="N626" s="81"/>
      <c r="O626" s="289"/>
      <c r="P626" s="105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 ht="24" customHeight="1" x14ac:dyDescent="0.5">
      <c r="A627" s="81"/>
      <c r="B627" s="81"/>
      <c r="C627" s="81"/>
      <c r="D627" s="81"/>
      <c r="E627" s="81"/>
      <c r="F627" s="81"/>
      <c r="G627" s="81"/>
      <c r="H627" s="81"/>
      <c r="I627" s="289"/>
      <c r="J627" s="81"/>
      <c r="K627" s="81"/>
      <c r="L627" s="81"/>
      <c r="M627" s="81"/>
      <c r="N627" s="81"/>
      <c r="O627" s="289"/>
      <c r="P627" s="105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 ht="24" customHeight="1" x14ac:dyDescent="0.5">
      <c r="A628" s="81"/>
      <c r="B628" s="81"/>
      <c r="C628" s="81"/>
      <c r="D628" s="81"/>
      <c r="E628" s="81"/>
      <c r="F628" s="81"/>
      <c r="G628" s="81"/>
      <c r="H628" s="81"/>
      <c r="I628" s="289"/>
      <c r="J628" s="81"/>
      <c r="K628" s="81"/>
      <c r="L628" s="81"/>
      <c r="M628" s="81"/>
      <c r="N628" s="81"/>
      <c r="O628" s="289"/>
      <c r="P628" s="105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 ht="24" customHeight="1" x14ac:dyDescent="0.5">
      <c r="A629" s="81"/>
      <c r="B629" s="81"/>
      <c r="C629" s="81"/>
      <c r="D629" s="81"/>
      <c r="E629" s="81"/>
      <c r="F629" s="81"/>
      <c r="G629" s="81"/>
      <c r="H629" s="81"/>
      <c r="I629" s="289"/>
      <c r="J629" s="81"/>
      <c r="K629" s="81"/>
      <c r="L629" s="81"/>
      <c r="M629" s="81"/>
      <c r="N629" s="81"/>
      <c r="O629" s="289"/>
      <c r="P629" s="105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 ht="24" customHeight="1" x14ac:dyDescent="0.5">
      <c r="A630" s="81"/>
      <c r="B630" s="81"/>
      <c r="C630" s="81"/>
      <c r="D630" s="81"/>
      <c r="E630" s="81"/>
      <c r="F630" s="81"/>
      <c r="G630" s="81"/>
      <c r="H630" s="81"/>
      <c r="I630" s="289"/>
      <c r="J630" s="81"/>
      <c r="K630" s="81"/>
      <c r="L630" s="81"/>
      <c r="M630" s="81"/>
      <c r="N630" s="81"/>
      <c r="O630" s="289"/>
      <c r="P630" s="105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 ht="24" customHeight="1" x14ac:dyDescent="0.5">
      <c r="A631" s="81"/>
      <c r="B631" s="81"/>
      <c r="C631" s="81"/>
      <c r="D631" s="81"/>
      <c r="E631" s="81"/>
      <c r="F631" s="81"/>
      <c r="G631" s="81"/>
      <c r="H631" s="81"/>
      <c r="I631" s="289"/>
      <c r="J631" s="81"/>
      <c r="K631" s="81"/>
      <c r="L631" s="81"/>
      <c r="M631" s="81"/>
      <c r="N631" s="81"/>
      <c r="O631" s="289"/>
      <c r="P631" s="105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 ht="24" customHeight="1" x14ac:dyDescent="0.5">
      <c r="A632" s="81"/>
      <c r="B632" s="81"/>
      <c r="C632" s="81"/>
      <c r="D632" s="81"/>
      <c r="E632" s="81"/>
      <c r="F632" s="81"/>
      <c r="G632" s="81"/>
      <c r="H632" s="81"/>
      <c r="I632" s="289"/>
      <c r="J632" s="81"/>
      <c r="K632" s="81"/>
      <c r="L632" s="81"/>
      <c r="M632" s="81"/>
      <c r="N632" s="81"/>
      <c r="O632" s="289"/>
      <c r="P632" s="105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 ht="24" customHeight="1" x14ac:dyDescent="0.5">
      <c r="A633" s="81"/>
      <c r="B633" s="81"/>
      <c r="C633" s="81"/>
      <c r="D633" s="81"/>
      <c r="E633" s="81"/>
      <c r="F633" s="81"/>
      <c r="G633" s="81"/>
      <c r="H633" s="81"/>
      <c r="I633" s="289"/>
      <c r="J633" s="81"/>
      <c r="K633" s="81"/>
      <c r="L633" s="81"/>
      <c r="M633" s="81"/>
      <c r="N633" s="81"/>
      <c r="O633" s="289"/>
      <c r="P633" s="105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 ht="24" customHeight="1" x14ac:dyDescent="0.5">
      <c r="A634" s="81"/>
      <c r="B634" s="81"/>
      <c r="C634" s="81"/>
      <c r="D634" s="81"/>
      <c r="E634" s="81"/>
      <c r="F634" s="81"/>
      <c r="G634" s="81"/>
      <c r="H634" s="81"/>
      <c r="I634" s="289"/>
      <c r="J634" s="81"/>
      <c r="K634" s="81"/>
      <c r="L634" s="81"/>
      <c r="M634" s="81"/>
      <c r="N634" s="81"/>
      <c r="O634" s="289"/>
      <c r="P634" s="105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 ht="24" customHeight="1" x14ac:dyDescent="0.5">
      <c r="A635" s="81"/>
      <c r="B635" s="81"/>
      <c r="C635" s="81"/>
      <c r="D635" s="81"/>
      <c r="E635" s="81"/>
      <c r="F635" s="81"/>
      <c r="G635" s="81"/>
      <c r="H635" s="81"/>
      <c r="I635" s="289"/>
      <c r="J635" s="81"/>
      <c r="K635" s="81"/>
      <c r="L635" s="81"/>
      <c r="M635" s="81"/>
      <c r="N635" s="81"/>
      <c r="O635" s="289"/>
      <c r="P635" s="105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 ht="24" customHeight="1" x14ac:dyDescent="0.5">
      <c r="A636" s="81"/>
      <c r="B636" s="81"/>
      <c r="C636" s="81"/>
      <c r="D636" s="81"/>
      <c r="E636" s="81"/>
      <c r="F636" s="81"/>
      <c r="G636" s="81"/>
      <c r="H636" s="81"/>
      <c r="I636" s="289"/>
      <c r="J636" s="81"/>
      <c r="K636" s="81"/>
      <c r="L636" s="81"/>
      <c r="M636" s="81"/>
      <c r="N636" s="81"/>
      <c r="O636" s="289"/>
      <c r="P636" s="105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 ht="24" customHeight="1" x14ac:dyDescent="0.5">
      <c r="A637" s="81"/>
      <c r="B637" s="81"/>
      <c r="C637" s="81"/>
      <c r="D637" s="81"/>
      <c r="E637" s="81"/>
      <c r="F637" s="81"/>
      <c r="G637" s="81"/>
      <c r="H637" s="81"/>
      <c r="I637" s="289"/>
      <c r="J637" s="81"/>
      <c r="K637" s="81"/>
      <c r="L637" s="81"/>
      <c r="M637" s="81"/>
      <c r="N637" s="81"/>
      <c r="O637" s="289"/>
      <c r="P637" s="105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 ht="24" customHeight="1" x14ac:dyDescent="0.5">
      <c r="A638" s="81"/>
      <c r="B638" s="81"/>
      <c r="C638" s="81"/>
      <c r="D638" s="81"/>
      <c r="E638" s="81"/>
      <c r="F638" s="81"/>
      <c r="G638" s="81"/>
      <c r="H638" s="81"/>
      <c r="I638" s="289"/>
      <c r="J638" s="81"/>
      <c r="K638" s="81"/>
      <c r="L638" s="81"/>
      <c r="M638" s="81"/>
      <c r="N638" s="81"/>
      <c r="O638" s="289"/>
      <c r="P638" s="105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 ht="24" customHeight="1" x14ac:dyDescent="0.5">
      <c r="A639" s="81"/>
      <c r="B639" s="81"/>
      <c r="C639" s="81"/>
      <c r="D639" s="81"/>
      <c r="E639" s="81"/>
      <c r="F639" s="81"/>
      <c r="G639" s="81"/>
      <c r="H639" s="81"/>
      <c r="I639" s="289"/>
      <c r="J639" s="81"/>
      <c r="K639" s="81"/>
      <c r="L639" s="81"/>
      <c r="M639" s="81"/>
      <c r="N639" s="81"/>
      <c r="O639" s="289"/>
      <c r="P639" s="105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 ht="24" customHeight="1" x14ac:dyDescent="0.5">
      <c r="A640" s="81"/>
      <c r="B640" s="81"/>
      <c r="C640" s="81"/>
      <c r="D640" s="81"/>
      <c r="E640" s="81"/>
      <c r="F640" s="81"/>
      <c r="G640" s="81"/>
      <c r="H640" s="81"/>
      <c r="I640" s="289"/>
      <c r="J640" s="81"/>
      <c r="K640" s="81"/>
      <c r="L640" s="81"/>
      <c r="M640" s="81"/>
      <c r="N640" s="81"/>
      <c r="O640" s="289"/>
      <c r="P640" s="105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 ht="24" customHeight="1" x14ac:dyDescent="0.5">
      <c r="A641" s="81"/>
      <c r="B641" s="81"/>
      <c r="C641" s="81"/>
      <c r="D641" s="81"/>
      <c r="E641" s="81"/>
      <c r="F641" s="81"/>
      <c r="G641" s="81"/>
      <c r="H641" s="81"/>
      <c r="I641" s="289"/>
      <c r="J641" s="81"/>
      <c r="K641" s="81"/>
      <c r="L641" s="81"/>
      <c r="M641" s="81"/>
      <c r="N641" s="81"/>
      <c r="O641" s="289"/>
      <c r="P641" s="105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 ht="24" customHeight="1" x14ac:dyDescent="0.5">
      <c r="A642" s="81"/>
      <c r="B642" s="81"/>
      <c r="C642" s="81"/>
      <c r="D642" s="81"/>
      <c r="E642" s="81"/>
      <c r="F642" s="81"/>
      <c r="G642" s="81"/>
      <c r="H642" s="81"/>
      <c r="I642" s="289"/>
      <c r="J642" s="81"/>
      <c r="K642" s="81"/>
      <c r="L642" s="81"/>
      <c r="M642" s="81"/>
      <c r="N642" s="81"/>
      <c r="O642" s="289"/>
      <c r="P642" s="105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 ht="24" customHeight="1" x14ac:dyDescent="0.5">
      <c r="A643" s="81"/>
      <c r="B643" s="81"/>
      <c r="C643" s="81"/>
      <c r="D643" s="81"/>
      <c r="E643" s="81"/>
      <c r="F643" s="81"/>
      <c r="G643" s="81"/>
      <c r="H643" s="81"/>
      <c r="I643" s="289"/>
      <c r="J643" s="81"/>
      <c r="K643" s="81"/>
      <c r="L643" s="81"/>
      <c r="M643" s="81"/>
      <c r="N643" s="81"/>
      <c r="O643" s="289"/>
      <c r="P643" s="105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 ht="24" customHeight="1" x14ac:dyDescent="0.5">
      <c r="A644" s="81"/>
      <c r="B644" s="81"/>
      <c r="C644" s="81"/>
      <c r="D644" s="81"/>
      <c r="E644" s="81"/>
      <c r="F644" s="81"/>
      <c r="G644" s="81"/>
      <c r="H644" s="81"/>
      <c r="I644" s="289"/>
      <c r="J644" s="81"/>
      <c r="K644" s="81"/>
      <c r="L644" s="81"/>
      <c r="M644" s="81"/>
      <c r="N644" s="81"/>
      <c r="O644" s="289"/>
      <c r="P644" s="105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 ht="24" customHeight="1" x14ac:dyDescent="0.5">
      <c r="A645" s="81"/>
      <c r="B645" s="81"/>
      <c r="C645" s="81"/>
      <c r="D645" s="81"/>
      <c r="E645" s="81"/>
      <c r="F645" s="81"/>
      <c r="G645" s="81"/>
      <c r="H645" s="81"/>
      <c r="I645" s="289"/>
      <c r="J645" s="81"/>
      <c r="K645" s="81"/>
      <c r="L645" s="81"/>
      <c r="M645" s="81"/>
      <c r="N645" s="81"/>
      <c r="O645" s="289"/>
      <c r="P645" s="105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 ht="24" customHeight="1" x14ac:dyDescent="0.5">
      <c r="A646" s="81"/>
      <c r="B646" s="81"/>
      <c r="C646" s="81"/>
      <c r="D646" s="81"/>
      <c r="E646" s="81"/>
      <c r="F646" s="81"/>
      <c r="G646" s="81"/>
      <c r="H646" s="81"/>
      <c r="I646" s="289"/>
      <c r="J646" s="81"/>
      <c r="K646" s="81"/>
      <c r="L646" s="81"/>
      <c r="M646" s="81"/>
      <c r="N646" s="81"/>
      <c r="O646" s="289"/>
      <c r="P646" s="105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 ht="24" customHeight="1" x14ac:dyDescent="0.5">
      <c r="A647" s="81"/>
      <c r="B647" s="81"/>
      <c r="C647" s="81"/>
      <c r="D647" s="81"/>
      <c r="E647" s="81"/>
      <c r="F647" s="81"/>
      <c r="G647" s="81"/>
      <c r="H647" s="81"/>
      <c r="I647" s="289"/>
      <c r="J647" s="81"/>
      <c r="K647" s="81"/>
      <c r="L647" s="81"/>
      <c r="M647" s="81"/>
      <c r="N647" s="81"/>
      <c r="O647" s="289"/>
      <c r="P647" s="105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 ht="24" customHeight="1" x14ac:dyDescent="0.5">
      <c r="A648" s="81"/>
      <c r="B648" s="81"/>
      <c r="C648" s="81"/>
      <c r="D648" s="81"/>
      <c r="E648" s="81"/>
      <c r="F648" s="81"/>
      <c r="G648" s="81"/>
      <c r="H648" s="81"/>
      <c r="I648" s="289"/>
      <c r="J648" s="81"/>
      <c r="K648" s="81"/>
      <c r="L648" s="81"/>
      <c r="M648" s="81"/>
      <c r="N648" s="81"/>
      <c r="O648" s="289"/>
      <c r="P648" s="105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 ht="24" customHeight="1" x14ac:dyDescent="0.5">
      <c r="A649" s="81"/>
      <c r="B649" s="81"/>
      <c r="C649" s="81"/>
      <c r="D649" s="81"/>
      <c r="E649" s="81"/>
      <c r="F649" s="81"/>
      <c r="G649" s="81"/>
      <c r="H649" s="81"/>
      <c r="I649" s="289"/>
      <c r="J649" s="81"/>
      <c r="K649" s="81"/>
      <c r="L649" s="81"/>
      <c r="M649" s="81"/>
      <c r="N649" s="81"/>
      <c r="O649" s="289"/>
      <c r="P649" s="105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 ht="24" customHeight="1" x14ac:dyDescent="0.5">
      <c r="A650" s="81"/>
      <c r="B650" s="81"/>
      <c r="C650" s="81"/>
      <c r="D650" s="81"/>
      <c r="E650" s="81"/>
      <c r="F650" s="81"/>
      <c r="G650" s="81"/>
      <c r="H650" s="81"/>
      <c r="I650" s="289"/>
      <c r="J650" s="81"/>
      <c r="K650" s="81"/>
      <c r="L650" s="81"/>
      <c r="M650" s="81"/>
      <c r="N650" s="81"/>
      <c r="O650" s="289"/>
      <c r="P650" s="105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 ht="24" customHeight="1" x14ac:dyDescent="0.5">
      <c r="A651" s="81"/>
      <c r="B651" s="81"/>
      <c r="C651" s="81"/>
      <c r="D651" s="81"/>
      <c r="E651" s="81"/>
      <c r="F651" s="81"/>
      <c r="G651" s="81"/>
      <c r="H651" s="81"/>
      <c r="I651" s="289"/>
      <c r="J651" s="81"/>
      <c r="K651" s="81"/>
      <c r="L651" s="81"/>
      <c r="M651" s="81"/>
      <c r="N651" s="81"/>
      <c r="O651" s="289"/>
      <c r="P651" s="105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 ht="24" customHeight="1" x14ac:dyDescent="0.5">
      <c r="A652" s="81"/>
      <c r="B652" s="81"/>
      <c r="C652" s="81"/>
      <c r="D652" s="81"/>
      <c r="E652" s="81"/>
      <c r="F652" s="81"/>
      <c r="G652" s="81"/>
      <c r="H652" s="81"/>
      <c r="I652" s="289"/>
      <c r="J652" s="81"/>
      <c r="K652" s="81"/>
      <c r="L652" s="81"/>
      <c r="M652" s="81"/>
      <c r="N652" s="81"/>
      <c r="O652" s="289"/>
      <c r="P652" s="105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 ht="24" customHeight="1" x14ac:dyDescent="0.5">
      <c r="A653" s="81"/>
      <c r="B653" s="81"/>
      <c r="C653" s="81"/>
      <c r="D653" s="81"/>
      <c r="E653" s="81"/>
      <c r="F653" s="81"/>
      <c r="G653" s="81"/>
      <c r="H653" s="81"/>
      <c r="I653" s="289"/>
      <c r="J653" s="81"/>
      <c r="K653" s="81"/>
      <c r="L653" s="81"/>
      <c r="M653" s="81"/>
      <c r="N653" s="81"/>
      <c r="O653" s="289"/>
      <c r="P653" s="105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 ht="24" customHeight="1" x14ac:dyDescent="0.5">
      <c r="A654" s="81"/>
      <c r="B654" s="81"/>
      <c r="C654" s="81"/>
      <c r="D654" s="81"/>
      <c r="E654" s="81"/>
      <c r="F654" s="81"/>
      <c r="G654" s="81"/>
      <c r="H654" s="81"/>
      <c r="I654" s="289"/>
      <c r="J654" s="81"/>
      <c r="K654" s="81"/>
      <c r="L654" s="81"/>
      <c r="M654" s="81"/>
      <c r="N654" s="81"/>
      <c r="O654" s="289"/>
      <c r="P654" s="105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 ht="24" customHeight="1" x14ac:dyDescent="0.5">
      <c r="A655" s="81"/>
      <c r="B655" s="81"/>
      <c r="C655" s="81"/>
      <c r="D655" s="81"/>
      <c r="E655" s="81"/>
      <c r="F655" s="81"/>
      <c r="G655" s="81"/>
      <c r="H655" s="81"/>
      <c r="I655" s="289"/>
      <c r="J655" s="81"/>
      <c r="K655" s="81"/>
      <c r="L655" s="81"/>
      <c r="M655" s="81"/>
      <c r="N655" s="81"/>
      <c r="O655" s="289"/>
      <c r="P655" s="105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 ht="24" customHeight="1" x14ac:dyDescent="0.5">
      <c r="A656" s="81"/>
      <c r="B656" s="81"/>
      <c r="C656" s="81"/>
      <c r="D656" s="81"/>
      <c r="E656" s="81"/>
      <c r="F656" s="81"/>
      <c r="G656" s="81"/>
      <c r="H656" s="81"/>
      <c r="I656" s="289"/>
      <c r="J656" s="81"/>
      <c r="K656" s="81"/>
      <c r="L656" s="81"/>
      <c r="M656" s="81"/>
      <c r="N656" s="81"/>
      <c r="O656" s="289"/>
      <c r="P656" s="105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 ht="24" customHeight="1" x14ac:dyDescent="0.5">
      <c r="A657" s="81"/>
      <c r="B657" s="81"/>
      <c r="C657" s="81"/>
      <c r="D657" s="81"/>
      <c r="E657" s="81"/>
      <c r="F657" s="81"/>
      <c r="G657" s="81"/>
      <c r="H657" s="81"/>
      <c r="I657" s="289"/>
      <c r="J657" s="81"/>
      <c r="K657" s="81"/>
      <c r="L657" s="81"/>
      <c r="M657" s="81"/>
      <c r="N657" s="81"/>
      <c r="O657" s="289"/>
      <c r="P657" s="105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 ht="24" customHeight="1" x14ac:dyDescent="0.5">
      <c r="A658" s="81"/>
      <c r="B658" s="81"/>
      <c r="C658" s="81"/>
      <c r="D658" s="81"/>
      <c r="E658" s="81"/>
      <c r="F658" s="81"/>
      <c r="G658" s="81"/>
      <c r="H658" s="81"/>
      <c r="I658" s="289"/>
      <c r="J658" s="81"/>
      <c r="K658" s="81"/>
      <c r="L658" s="81"/>
      <c r="M658" s="81"/>
      <c r="N658" s="81"/>
      <c r="O658" s="289"/>
      <c r="P658" s="105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 ht="24" customHeight="1" x14ac:dyDescent="0.5">
      <c r="A659" s="81"/>
      <c r="B659" s="81"/>
      <c r="C659" s="81"/>
      <c r="D659" s="81"/>
      <c r="E659" s="81"/>
      <c r="F659" s="81"/>
      <c r="G659" s="81"/>
      <c r="H659" s="81"/>
      <c r="I659" s="289"/>
      <c r="J659" s="81"/>
      <c r="K659" s="81"/>
      <c r="L659" s="81"/>
      <c r="M659" s="81"/>
      <c r="N659" s="81"/>
      <c r="O659" s="289"/>
      <c r="P659" s="105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 ht="24" customHeight="1" x14ac:dyDescent="0.5">
      <c r="A660" s="81"/>
      <c r="B660" s="81"/>
      <c r="C660" s="81"/>
      <c r="D660" s="81"/>
      <c r="E660" s="81"/>
      <c r="F660" s="81"/>
      <c r="G660" s="81"/>
      <c r="H660" s="81"/>
      <c r="I660" s="289"/>
      <c r="J660" s="81"/>
      <c r="K660" s="81"/>
      <c r="L660" s="81"/>
      <c r="M660" s="81"/>
      <c r="N660" s="81"/>
      <c r="O660" s="289"/>
      <c r="P660" s="105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 ht="24" customHeight="1" x14ac:dyDescent="0.5">
      <c r="A661" s="81"/>
      <c r="B661" s="81"/>
      <c r="C661" s="81"/>
      <c r="D661" s="81"/>
      <c r="E661" s="81"/>
      <c r="F661" s="81"/>
      <c r="G661" s="81"/>
      <c r="H661" s="81"/>
      <c r="I661" s="289"/>
      <c r="J661" s="81"/>
      <c r="K661" s="81"/>
      <c r="L661" s="81"/>
      <c r="M661" s="81"/>
      <c r="N661" s="81"/>
      <c r="O661" s="289"/>
      <c r="P661" s="105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 ht="24" customHeight="1" x14ac:dyDescent="0.5">
      <c r="A662" s="81"/>
      <c r="B662" s="81"/>
      <c r="C662" s="81"/>
      <c r="D662" s="81"/>
      <c r="E662" s="81"/>
      <c r="F662" s="81"/>
      <c r="G662" s="81"/>
      <c r="H662" s="81"/>
      <c r="I662" s="289"/>
      <c r="J662" s="81"/>
      <c r="K662" s="81"/>
      <c r="L662" s="81"/>
      <c r="M662" s="81"/>
      <c r="N662" s="81"/>
      <c r="O662" s="289"/>
      <c r="P662" s="105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 ht="24" customHeight="1" x14ac:dyDescent="0.5">
      <c r="A663" s="81"/>
      <c r="B663" s="81"/>
      <c r="C663" s="81"/>
      <c r="D663" s="81"/>
      <c r="E663" s="81"/>
      <c r="F663" s="81"/>
      <c r="G663" s="81"/>
      <c r="H663" s="81"/>
      <c r="I663" s="289"/>
      <c r="J663" s="81"/>
      <c r="K663" s="81"/>
      <c r="L663" s="81"/>
      <c r="M663" s="81"/>
      <c r="N663" s="81"/>
      <c r="O663" s="289"/>
      <c r="P663" s="105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 ht="24" customHeight="1" x14ac:dyDescent="0.5">
      <c r="A664" s="81"/>
      <c r="B664" s="81"/>
      <c r="C664" s="81"/>
      <c r="D664" s="81"/>
      <c r="E664" s="81"/>
      <c r="F664" s="81"/>
      <c r="G664" s="81"/>
      <c r="H664" s="81"/>
      <c r="I664" s="289"/>
      <c r="J664" s="81"/>
      <c r="K664" s="81"/>
      <c r="L664" s="81"/>
      <c r="M664" s="81"/>
      <c r="N664" s="81"/>
      <c r="O664" s="289"/>
      <c r="P664" s="105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 ht="24" customHeight="1" x14ac:dyDescent="0.5">
      <c r="A665" s="81"/>
      <c r="B665" s="81"/>
      <c r="C665" s="81"/>
      <c r="D665" s="81"/>
      <c r="E665" s="81"/>
      <c r="F665" s="81"/>
      <c r="G665" s="81"/>
      <c r="H665" s="81"/>
      <c r="I665" s="289"/>
      <c r="J665" s="81"/>
      <c r="K665" s="81"/>
      <c r="L665" s="81"/>
      <c r="M665" s="81"/>
      <c r="N665" s="81"/>
      <c r="O665" s="289"/>
      <c r="P665" s="105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 ht="24" customHeight="1" x14ac:dyDescent="0.5">
      <c r="A666" s="81"/>
      <c r="B666" s="81"/>
      <c r="C666" s="81"/>
      <c r="D666" s="81"/>
      <c r="E666" s="81"/>
      <c r="F666" s="81"/>
      <c r="G666" s="81"/>
      <c r="H666" s="81"/>
      <c r="I666" s="289"/>
      <c r="J666" s="81"/>
      <c r="K666" s="81"/>
      <c r="L666" s="81"/>
      <c r="M666" s="81"/>
      <c r="N666" s="81"/>
      <c r="O666" s="289"/>
      <c r="P666" s="105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 ht="24" customHeight="1" x14ac:dyDescent="0.5">
      <c r="A667" s="81"/>
      <c r="B667" s="81"/>
      <c r="C667" s="81"/>
      <c r="D667" s="81"/>
      <c r="E667" s="81"/>
      <c r="F667" s="81"/>
      <c r="G667" s="81"/>
      <c r="H667" s="81"/>
      <c r="I667" s="289"/>
      <c r="J667" s="81"/>
      <c r="K667" s="81"/>
      <c r="L667" s="81"/>
      <c r="M667" s="81"/>
      <c r="N667" s="81"/>
      <c r="O667" s="289"/>
      <c r="P667" s="105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 ht="24" customHeight="1" x14ac:dyDescent="0.5">
      <c r="A668" s="81"/>
      <c r="B668" s="81"/>
      <c r="C668" s="81"/>
      <c r="D668" s="81"/>
      <c r="E668" s="81"/>
      <c r="F668" s="81"/>
      <c r="G668" s="81"/>
      <c r="H668" s="81"/>
      <c r="I668" s="289"/>
      <c r="J668" s="81"/>
      <c r="K668" s="81"/>
      <c r="L668" s="81"/>
      <c r="M668" s="81"/>
      <c r="N668" s="81"/>
      <c r="O668" s="289"/>
      <c r="P668" s="105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 ht="24" customHeight="1" x14ac:dyDescent="0.5">
      <c r="A669" s="81"/>
      <c r="B669" s="81"/>
      <c r="C669" s="81"/>
      <c r="D669" s="81"/>
      <c r="E669" s="81"/>
      <c r="F669" s="81"/>
      <c r="G669" s="81"/>
      <c r="H669" s="81"/>
      <c r="I669" s="289"/>
      <c r="J669" s="81"/>
      <c r="K669" s="81"/>
      <c r="L669" s="81"/>
      <c r="M669" s="81"/>
      <c r="N669" s="81"/>
      <c r="O669" s="289"/>
      <c r="P669" s="105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 ht="24" customHeight="1" x14ac:dyDescent="0.5">
      <c r="A670" s="81"/>
      <c r="B670" s="81"/>
      <c r="C670" s="81"/>
      <c r="D670" s="81"/>
      <c r="E670" s="81"/>
      <c r="F670" s="81"/>
      <c r="G670" s="81"/>
      <c r="H670" s="81"/>
      <c r="I670" s="289"/>
      <c r="J670" s="81"/>
      <c r="K670" s="81"/>
      <c r="L670" s="81"/>
      <c r="M670" s="81"/>
      <c r="N670" s="81"/>
      <c r="O670" s="289"/>
      <c r="P670" s="105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 ht="24" customHeight="1" x14ac:dyDescent="0.5">
      <c r="A671" s="81"/>
      <c r="B671" s="81"/>
      <c r="C671" s="81"/>
      <c r="D671" s="81"/>
      <c r="E671" s="81"/>
      <c r="F671" s="81"/>
      <c r="G671" s="81"/>
      <c r="H671" s="81"/>
      <c r="I671" s="289"/>
      <c r="J671" s="81"/>
      <c r="K671" s="81"/>
      <c r="L671" s="81"/>
      <c r="M671" s="81"/>
      <c r="N671" s="81"/>
      <c r="O671" s="289"/>
      <c r="P671" s="105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 ht="24" customHeight="1" x14ac:dyDescent="0.5">
      <c r="A672" s="81"/>
      <c r="B672" s="81"/>
      <c r="C672" s="81"/>
      <c r="D672" s="81"/>
      <c r="E672" s="81"/>
      <c r="F672" s="81"/>
      <c r="G672" s="81"/>
      <c r="H672" s="81"/>
      <c r="I672" s="289"/>
      <c r="J672" s="81"/>
      <c r="K672" s="81"/>
      <c r="L672" s="81"/>
      <c r="M672" s="81"/>
      <c r="N672" s="81"/>
      <c r="O672" s="289"/>
      <c r="P672" s="105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 ht="24" customHeight="1" x14ac:dyDescent="0.5">
      <c r="A673" s="81"/>
      <c r="B673" s="81"/>
      <c r="C673" s="81"/>
      <c r="D673" s="81"/>
      <c r="E673" s="81"/>
      <c r="F673" s="81"/>
      <c r="G673" s="81"/>
      <c r="H673" s="81"/>
      <c r="I673" s="289"/>
      <c r="J673" s="81"/>
      <c r="K673" s="81"/>
      <c r="L673" s="81"/>
      <c r="M673" s="81"/>
      <c r="N673" s="81"/>
      <c r="O673" s="289"/>
      <c r="P673" s="105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 ht="24" customHeight="1" x14ac:dyDescent="0.5">
      <c r="A674" s="81"/>
      <c r="B674" s="81"/>
      <c r="C674" s="81"/>
      <c r="D674" s="81"/>
      <c r="E674" s="81"/>
      <c r="F674" s="81"/>
      <c r="G674" s="81"/>
      <c r="H674" s="81"/>
      <c r="I674" s="289"/>
      <c r="J674" s="81"/>
      <c r="K674" s="81"/>
      <c r="L674" s="81"/>
      <c r="M674" s="81"/>
      <c r="N674" s="81"/>
      <c r="O674" s="289"/>
      <c r="P674" s="105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 ht="24" customHeight="1" x14ac:dyDescent="0.5">
      <c r="A675" s="81"/>
      <c r="B675" s="81"/>
      <c r="C675" s="81"/>
      <c r="D675" s="81"/>
      <c r="E675" s="81"/>
      <c r="F675" s="81"/>
      <c r="G675" s="81"/>
      <c r="H675" s="81"/>
      <c r="I675" s="289"/>
      <c r="J675" s="81"/>
      <c r="K675" s="81"/>
      <c r="L675" s="81"/>
      <c r="M675" s="81"/>
      <c r="N675" s="81"/>
      <c r="O675" s="289"/>
      <c r="P675" s="105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 ht="24" customHeight="1" x14ac:dyDescent="0.5">
      <c r="A676" s="81"/>
      <c r="B676" s="81"/>
      <c r="C676" s="81"/>
      <c r="D676" s="81"/>
      <c r="E676" s="81"/>
      <c r="F676" s="81"/>
      <c r="G676" s="81"/>
      <c r="H676" s="81"/>
      <c r="I676" s="289"/>
      <c r="J676" s="81"/>
      <c r="K676" s="81"/>
      <c r="L676" s="81"/>
      <c r="M676" s="81"/>
      <c r="N676" s="81"/>
      <c r="O676" s="289"/>
      <c r="P676" s="105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 ht="24" customHeight="1" x14ac:dyDescent="0.5">
      <c r="A677" s="81"/>
      <c r="B677" s="81"/>
      <c r="C677" s="81"/>
      <c r="D677" s="81"/>
      <c r="E677" s="81"/>
      <c r="F677" s="81"/>
      <c r="G677" s="81"/>
      <c r="H677" s="81"/>
      <c r="I677" s="289"/>
      <c r="J677" s="81"/>
      <c r="K677" s="81"/>
      <c r="L677" s="81"/>
      <c r="M677" s="81"/>
      <c r="N677" s="81"/>
      <c r="O677" s="289"/>
      <c r="P677" s="105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 ht="24" customHeight="1" x14ac:dyDescent="0.5">
      <c r="A678" s="81"/>
      <c r="B678" s="81"/>
      <c r="C678" s="81"/>
      <c r="D678" s="81"/>
      <c r="E678" s="81"/>
      <c r="F678" s="81"/>
      <c r="G678" s="81"/>
      <c r="H678" s="81"/>
      <c r="I678" s="289"/>
      <c r="J678" s="81"/>
      <c r="K678" s="81"/>
      <c r="L678" s="81"/>
      <c r="M678" s="81"/>
      <c r="N678" s="81"/>
      <c r="O678" s="289"/>
      <c r="P678" s="105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 ht="24" customHeight="1" x14ac:dyDescent="0.5">
      <c r="A679" s="81"/>
      <c r="B679" s="81"/>
      <c r="C679" s="81"/>
      <c r="D679" s="81"/>
      <c r="E679" s="81"/>
      <c r="F679" s="81"/>
      <c r="G679" s="81"/>
      <c r="H679" s="81"/>
      <c r="I679" s="289"/>
      <c r="J679" s="81"/>
      <c r="K679" s="81"/>
      <c r="L679" s="81"/>
      <c r="M679" s="81"/>
      <c r="N679" s="81"/>
      <c r="O679" s="289"/>
      <c r="P679" s="105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 ht="24" customHeight="1" x14ac:dyDescent="0.5">
      <c r="A680" s="81"/>
      <c r="B680" s="81"/>
      <c r="C680" s="81"/>
      <c r="D680" s="81"/>
      <c r="E680" s="81"/>
      <c r="F680" s="81"/>
      <c r="G680" s="81"/>
      <c r="H680" s="81"/>
      <c r="I680" s="289"/>
      <c r="J680" s="81"/>
      <c r="K680" s="81"/>
      <c r="L680" s="81"/>
      <c r="M680" s="81"/>
      <c r="N680" s="81"/>
      <c r="O680" s="289"/>
      <c r="P680" s="105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 ht="24" customHeight="1" x14ac:dyDescent="0.5">
      <c r="A681" s="81"/>
      <c r="B681" s="81"/>
      <c r="C681" s="81"/>
      <c r="D681" s="81"/>
      <c r="E681" s="81"/>
      <c r="F681" s="81"/>
      <c r="G681" s="81"/>
      <c r="H681" s="81"/>
      <c r="I681" s="289"/>
      <c r="J681" s="81"/>
      <c r="K681" s="81"/>
      <c r="L681" s="81"/>
      <c r="M681" s="81"/>
      <c r="N681" s="81"/>
      <c r="O681" s="289"/>
      <c r="P681" s="105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 ht="24" customHeight="1" x14ac:dyDescent="0.5">
      <c r="A682" s="81"/>
      <c r="B682" s="81"/>
      <c r="C682" s="81"/>
      <c r="D682" s="81"/>
      <c r="E682" s="81"/>
      <c r="F682" s="81"/>
      <c r="G682" s="81"/>
      <c r="H682" s="81"/>
      <c r="I682" s="289"/>
      <c r="J682" s="81"/>
      <c r="K682" s="81"/>
      <c r="L682" s="81"/>
      <c r="M682" s="81"/>
      <c r="N682" s="81"/>
      <c r="O682" s="289"/>
      <c r="P682" s="105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 ht="24" customHeight="1" x14ac:dyDescent="0.5">
      <c r="A683" s="81"/>
      <c r="B683" s="81"/>
      <c r="C683" s="81"/>
      <c r="D683" s="81"/>
      <c r="E683" s="81"/>
      <c r="F683" s="81"/>
      <c r="G683" s="81"/>
      <c r="H683" s="81"/>
      <c r="I683" s="289"/>
      <c r="J683" s="81"/>
      <c r="K683" s="81"/>
      <c r="L683" s="81"/>
      <c r="M683" s="81"/>
      <c r="N683" s="81"/>
      <c r="O683" s="289"/>
      <c r="P683" s="105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 ht="24" customHeight="1" x14ac:dyDescent="0.5">
      <c r="A684" s="81"/>
      <c r="B684" s="81"/>
      <c r="C684" s="81"/>
      <c r="D684" s="81"/>
      <c r="E684" s="81"/>
      <c r="F684" s="81"/>
      <c r="G684" s="81"/>
      <c r="H684" s="81"/>
      <c r="I684" s="289"/>
      <c r="J684" s="81"/>
      <c r="K684" s="81"/>
      <c r="L684" s="81"/>
      <c r="M684" s="81"/>
      <c r="N684" s="81"/>
      <c r="O684" s="289"/>
      <c r="P684" s="105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 ht="24" customHeight="1" x14ac:dyDescent="0.5">
      <c r="A685" s="81"/>
      <c r="B685" s="81"/>
      <c r="C685" s="81"/>
      <c r="D685" s="81"/>
      <c r="E685" s="81"/>
      <c r="F685" s="81"/>
      <c r="G685" s="81"/>
      <c r="H685" s="81"/>
      <c r="I685" s="289"/>
      <c r="J685" s="81"/>
      <c r="K685" s="81"/>
      <c r="L685" s="81"/>
      <c r="M685" s="81"/>
      <c r="N685" s="81"/>
      <c r="O685" s="289"/>
      <c r="P685" s="105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 ht="24" customHeight="1" x14ac:dyDescent="0.5">
      <c r="A686" s="81"/>
      <c r="B686" s="81"/>
      <c r="C686" s="81"/>
      <c r="D686" s="81"/>
      <c r="E686" s="81"/>
      <c r="F686" s="81"/>
      <c r="G686" s="81"/>
      <c r="H686" s="81"/>
      <c r="I686" s="289"/>
      <c r="J686" s="81"/>
      <c r="K686" s="81"/>
      <c r="L686" s="81"/>
      <c r="M686" s="81"/>
      <c r="N686" s="81"/>
      <c r="O686" s="289"/>
      <c r="P686" s="105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 ht="24" customHeight="1" x14ac:dyDescent="0.5">
      <c r="A687" s="81"/>
      <c r="B687" s="81"/>
      <c r="C687" s="81"/>
      <c r="D687" s="81"/>
      <c r="E687" s="81"/>
      <c r="F687" s="81"/>
      <c r="G687" s="81"/>
      <c r="H687" s="81"/>
      <c r="I687" s="289"/>
      <c r="J687" s="81"/>
      <c r="K687" s="81"/>
      <c r="L687" s="81"/>
      <c r="M687" s="81"/>
      <c r="N687" s="81"/>
      <c r="O687" s="289"/>
      <c r="P687" s="105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 ht="24" customHeight="1" x14ac:dyDescent="0.5">
      <c r="A688" s="81"/>
      <c r="B688" s="81"/>
      <c r="C688" s="81"/>
      <c r="D688" s="81"/>
      <c r="E688" s="81"/>
      <c r="F688" s="81"/>
      <c r="G688" s="81"/>
      <c r="H688" s="81"/>
      <c r="I688" s="289"/>
      <c r="J688" s="81"/>
      <c r="K688" s="81"/>
      <c r="L688" s="81"/>
      <c r="M688" s="81"/>
      <c r="N688" s="81"/>
      <c r="O688" s="289"/>
      <c r="P688" s="105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 ht="24" customHeight="1" x14ac:dyDescent="0.5">
      <c r="A689" s="81"/>
      <c r="B689" s="81"/>
      <c r="C689" s="81"/>
      <c r="D689" s="81"/>
      <c r="E689" s="81"/>
      <c r="F689" s="81"/>
      <c r="G689" s="81"/>
      <c r="H689" s="81"/>
      <c r="I689" s="289"/>
      <c r="J689" s="81"/>
      <c r="K689" s="81"/>
      <c r="L689" s="81"/>
      <c r="M689" s="81"/>
      <c r="N689" s="81"/>
      <c r="O689" s="289"/>
      <c r="P689" s="105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 ht="24" customHeight="1" x14ac:dyDescent="0.5">
      <c r="A690" s="81"/>
      <c r="B690" s="81"/>
      <c r="C690" s="81"/>
      <c r="D690" s="81"/>
      <c r="E690" s="81"/>
      <c r="F690" s="81"/>
      <c r="G690" s="81"/>
      <c r="H690" s="81"/>
      <c r="I690" s="289"/>
      <c r="J690" s="81"/>
      <c r="K690" s="81"/>
      <c r="L690" s="81"/>
      <c r="M690" s="81"/>
      <c r="N690" s="81"/>
      <c r="O690" s="289"/>
      <c r="P690" s="105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 ht="24" customHeight="1" x14ac:dyDescent="0.5">
      <c r="A691" s="81"/>
      <c r="B691" s="81"/>
      <c r="C691" s="81"/>
      <c r="D691" s="81"/>
      <c r="E691" s="81"/>
      <c r="F691" s="81"/>
      <c r="G691" s="81"/>
      <c r="H691" s="81"/>
      <c r="I691" s="289"/>
      <c r="J691" s="81"/>
      <c r="K691" s="81"/>
      <c r="L691" s="81"/>
      <c r="M691" s="81"/>
      <c r="N691" s="81"/>
      <c r="O691" s="289"/>
      <c r="P691" s="105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 ht="24" customHeight="1" x14ac:dyDescent="0.5">
      <c r="A692" s="81"/>
      <c r="B692" s="81"/>
      <c r="C692" s="81"/>
      <c r="D692" s="81"/>
      <c r="E692" s="81"/>
      <c r="F692" s="81"/>
      <c r="G692" s="81"/>
      <c r="H692" s="81"/>
      <c r="I692" s="289"/>
      <c r="J692" s="81"/>
      <c r="K692" s="81"/>
      <c r="L692" s="81"/>
      <c r="M692" s="81"/>
      <c r="N692" s="81"/>
      <c r="O692" s="289"/>
      <c r="P692" s="105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 ht="24" customHeight="1" x14ac:dyDescent="0.5">
      <c r="A693" s="81"/>
      <c r="B693" s="81"/>
      <c r="C693" s="81"/>
      <c r="D693" s="81"/>
      <c r="E693" s="81"/>
      <c r="F693" s="81"/>
      <c r="G693" s="81"/>
      <c r="H693" s="81"/>
      <c r="I693" s="289"/>
      <c r="J693" s="81"/>
      <c r="K693" s="81"/>
      <c r="L693" s="81"/>
      <c r="M693" s="81"/>
      <c r="N693" s="81"/>
      <c r="O693" s="289"/>
      <c r="P693" s="105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 ht="24" customHeight="1" x14ac:dyDescent="0.5">
      <c r="A694" s="81"/>
      <c r="B694" s="81"/>
      <c r="C694" s="81"/>
      <c r="D694" s="81"/>
      <c r="E694" s="81"/>
      <c r="F694" s="81"/>
      <c r="G694" s="81"/>
      <c r="H694" s="81"/>
      <c r="I694" s="289"/>
      <c r="J694" s="81"/>
      <c r="K694" s="81"/>
      <c r="L694" s="81"/>
      <c r="M694" s="81"/>
      <c r="N694" s="81"/>
      <c r="O694" s="289"/>
      <c r="P694" s="105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 ht="24" customHeight="1" x14ac:dyDescent="0.5">
      <c r="A695" s="81"/>
      <c r="B695" s="81"/>
      <c r="C695" s="81"/>
      <c r="D695" s="81"/>
      <c r="E695" s="81"/>
      <c r="F695" s="81"/>
      <c r="G695" s="81"/>
      <c r="H695" s="81"/>
      <c r="I695" s="289"/>
      <c r="J695" s="81"/>
      <c r="K695" s="81"/>
      <c r="L695" s="81"/>
      <c r="M695" s="81"/>
      <c r="N695" s="81"/>
      <c r="O695" s="289"/>
      <c r="P695" s="105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 ht="24" customHeight="1" x14ac:dyDescent="0.5">
      <c r="A696" s="81"/>
      <c r="B696" s="81"/>
      <c r="C696" s="81"/>
      <c r="D696" s="81"/>
      <c r="E696" s="81"/>
      <c r="F696" s="81"/>
      <c r="G696" s="81"/>
      <c r="H696" s="81"/>
      <c r="I696" s="289"/>
      <c r="J696" s="81"/>
      <c r="K696" s="81"/>
      <c r="L696" s="81"/>
      <c r="M696" s="81"/>
      <c r="N696" s="81"/>
      <c r="O696" s="289"/>
      <c r="P696" s="105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 ht="24" customHeight="1" x14ac:dyDescent="0.5">
      <c r="A697" s="81"/>
      <c r="B697" s="81"/>
      <c r="C697" s="81"/>
      <c r="D697" s="81"/>
      <c r="E697" s="81"/>
      <c r="F697" s="81"/>
      <c r="G697" s="81"/>
      <c r="H697" s="81"/>
      <c r="I697" s="289"/>
      <c r="J697" s="81"/>
      <c r="K697" s="81"/>
      <c r="L697" s="81"/>
      <c r="M697" s="81"/>
      <c r="N697" s="81"/>
      <c r="O697" s="289"/>
      <c r="P697" s="105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 ht="24" customHeight="1" x14ac:dyDescent="0.5">
      <c r="A698" s="81"/>
      <c r="B698" s="81"/>
      <c r="C698" s="81"/>
      <c r="D698" s="81"/>
      <c r="E698" s="81"/>
      <c r="F698" s="81"/>
      <c r="G698" s="81"/>
      <c r="H698" s="81"/>
      <c r="I698" s="289"/>
      <c r="J698" s="81"/>
      <c r="K698" s="81"/>
      <c r="L698" s="81"/>
      <c r="M698" s="81"/>
      <c r="N698" s="81"/>
      <c r="O698" s="289"/>
      <c r="P698" s="105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 ht="24" customHeight="1" x14ac:dyDescent="0.5">
      <c r="A699" s="81"/>
      <c r="B699" s="81"/>
      <c r="C699" s="81"/>
      <c r="D699" s="81"/>
      <c r="E699" s="81"/>
      <c r="F699" s="81"/>
      <c r="G699" s="81"/>
      <c r="H699" s="81"/>
      <c r="I699" s="289"/>
      <c r="J699" s="81"/>
      <c r="K699" s="81"/>
      <c r="L699" s="81"/>
      <c r="M699" s="81"/>
      <c r="N699" s="81"/>
      <c r="O699" s="289"/>
      <c r="P699" s="105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 ht="24" customHeight="1" x14ac:dyDescent="0.5">
      <c r="A700" s="81"/>
      <c r="B700" s="81"/>
      <c r="C700" s="81"/>
      <c r="D700" s="81"/>
      <c r="E700" s="81"/>
      <c r="F700" s="81"/>
      <c r="G700" s="81"/>
      <c r="H700" s="81"/>
      <c r="I700" s="289"/>
      <c r="J700" s="81"/>
      <c r="K700" s="81"/>
      <c r="L700" s="81"/>
      <c r="M700" s="81"/>
      <c r="N700" s="81"/>
      <c r="O700" s="289"/>
      <c r="P700" s="105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 ht="24" customHeight="1" x14ac:dyDescent="0.5">
      <c r="A701" s="81"/>
      <c r="B701" s="81"/>
      <c r="C701" s="81"/>
      <c r="D701" s="81"/>
      <c r="E701" s="81"/>
      <c r="F701" s="81"/>
      <c r="G701" s="81"/>
      <c r="H701" s="81"/>
      <c r="I701" s="289"/>
      <c r="J701" s="81"/>
      <c r="K701" s="81"/>
      <c r="L701" s="81"/>
      <c r="M701" s="81"/>
      <c r="N701" s="81"/>
      <c r="O701" s="289"/>
      <c r="P701" s="105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 ht="24" customHeight="1" x14ac:dyDescent="0.5">
      <c r="A702" s="81"/>
      <c r="B702" s="81"/>
      <c r="C702" s="81"/>
      <c r="D702" s="81"/>
      <c r="E702" s="81"/>
      <c r="F702" s="81"/>
      <c r="G702" s="81"/>
      <c r="H702" s="81"/>
      <c r="I702" s="289"/>
      <c r="J702" s="81"/>
      <c r="K702" s="81"/>
      <c r="L702" s="81"/>
      <c r="M702" s="81"/>
      <c r="N702" s="81"/>
      <c r="O702" s="289"/>
      <c r="P702" s="105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 ht="24" customHeight="1" x14ac:dyDescent="0.5">
      <c r="A703" s="81"/>
      <c r="B703" s="81"/>
      <c r="C703" s="81"/>
      <c r="D703" s="81"/>
      <c r="E703" s="81"/>
      <c r="F703" s="81"/>
      <c r="G703" s="81"/>
      <c r="H703" s="81"/>
      <c r="I703" s="289"/>
      <c r="J703" s="81"/>
      <c r="K703" s="81"/>
      <c r="L703" s="81"/>
      <c r="M703" s="81"/>
      <c r="N703" s="81"/>
      <c r="O703" s="289"/>
      <c r="P703" s="105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 ht="24" customHeight="1" x14ac:dyDescent="0.5">
      <c r="A704" s="81"/>
      <c r="B704" s="81"/>
      <c r="C704" s="81"/>
      <c r="D704" s="81"/>
      <c r="E704" s="81"/>
      <c r="F704" s="81"/>
      <c r="G704" s="81"/>
      <c r="H704" s="81"/>
      <c r="I704" s="289"/>
      <c r="J704" s="81"/>
      <c r="K704" s="81"/>
      <c r="L704" s="81"/>
      <c r="M704" s="81"/>
      <c r="N704" s="81"/>
      <c r="O704" s="289"/>
      <c r="P704" s="105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 ht="24" customHeight="1" x14ac:dyDescent="0.5">
      <c r="A705" s="81"/>
      <c r="B705" s="81"/>
      <c r="C705" s="81"/>
      <c r="D705" s="81"/>
      <c r="E705" s="81"/>
      <c r="F705" s="81"/>
      <c r="G705" s="81"/>
      <c r="H705" s="81"/>
      <c r="I705" s="289"/>
      <c r="J705" s="81"/>
      <c r="K705" s="81"/>
      <c r="L705" s="81"/>
      <c r="M705" s="81"/>
      <c r="N705" s="81"/>
      <c r="O705" s="289"/>
      <c r="P705" s="105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 ht="24" customHeight="1" x14ac:dyDescent="0.5">
      <c r="A706" s="81"/>
      <c r="B706" s="81"/>
      <c r="C706" s="81"/>
      <c r="D706" s="81"/>
      <c r="E706" s="81"/>
      <c r="F706" s="81"/>
      <c r="G706" s="81"/>
      <c r="H706" s="81"/>
      <c r="I706" s="289"/>
      <c r="J706" s="81"/>
      <c r="K706" s="81"/>
      <c r="L706" s="81"/>
      <c r="M706" s="81"/>
      <c r="N706" s="81"/>
      <c r="O706" s="289"/>
      <c r="P706" s="105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 ht="24" customHeight="1" x14ac:dyDescent="0.5">
      <c r="A707" s="81"/>
      <c r="B707" s="81"/>
      <c r="C707" s="81"/>
      <c r="D707" s="81"/>
      <c r="E707" s="81"/>
      <c r="F707" s="81"/>
      <c r="G707" s="81"/>
      <c r="H707" s="81"/>
      <c r="I707" s="289"/>
      <c r="J707" s="81"/>
      <c r="K707" s="81"/>
      <c r="L707" s="81"/>
      <c r="M707" s="81"/>
      <c r="N707" s="81"/>
      <c r="O707" s="289"/>
      <c r="P707" s="105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 ht="24" customHeight="1" x14ac:dyDescent="0.5">
      <c r="A708" s="81"/>
      <c r="B708" s="81"/>
      <c r="C708" s="81"/>
      <c r="D708" s="81"/>
      <c r="E708" s="81"/>
      <c r="F708" s="81"/>
      <c r="G708" s="81"/>
      <c r="H708" s="81"/>
      <c r="I708" s="289"/>
      <c r="J708" s="81"/>
      <c r="K708" s="81"/>
      <c r="L708" s="81"/>
      <c r="M708" s="81"/>
      <c r="N708" s="81"/>
      <c r="O708" s="289"/>
      <c r="P708" s="105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 ht="24" customHeight="1" x14ac:dyDescent="0.5">
      <c r="A709" s="81"/>
      <c r="B709" s="81"/>
      <c r="C709" s="81"/>
      <c r="D709" s="81"/>
      <c r="E709" s="81"/>
      <c r="F709" s="81"/>
      <c r="G709" s="81"/>
      <c r="H709" s="81"/>
      <c r="I709" s="289"/>
      <c r="J709" s="81"/>
      <c r="K709" s="81"/>
      <c r="L709" s="81"/>
      <c r="M709" s="81"/>
      <c r="N709" s="81"/>
      <c r="O709" s="289"/>
      <c r="P709" s="105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 ht="24" customHeight="1" x14ac:dyDescent="0.5">
      <c r="A710" s="81"/>
      <c r="B710" s="81"/>
      <c r="C710" s="81"/>
      <c r="D710" s="81"/>
      <c r="E710" s="81"/>
      <c r="F710" s="81"/>
      <c r="G710" s="81"/>
      <c r="H710" s="81"/>
      <c r="I710" s="289"/>
      <c r="J710" s="81"/>
      <c r="K710" s="81"/>
      <c r="L710" s="81"/>
      <c r="M710" s="81"/>
      <c r="N710" s="81"/>
      <c r="O710" s="289"/>
      <c r="P710" s="105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 ht="24" customHeight="1" x14ac:dyDescent="0.5">
      <c r="A711" s="81"/>
      <c r="B711" s="81"/>
      <c r="C711" s="81"/>
      <c r="D711" s="81"/>
      <c r="E711" s="81"/>
      <c r="F711" s="81"/>
      <c r="G711" s="81"/>
      <c r="H711" s="81"/>
      <c r="I711" s="289"/>
      <c r="J711" s="81"/>
      <c r="K711" s="81"/>
      <c r="L711" s="81"/>
      <c r="M711" s="81"/>
      <c r="N711" s="81"/>
      <c r="O711" s="289"/>
      <c r="P711" s="105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 ht="24" customHeight="1" x14ac:dyDescent="0.5">
      <c r="A712" s="81"/>
      <c r="B712" s="81"/>
      <c r="C712" s="81"/>
      <c r="D712" s="81"/>
      <c r="E712" s="81"/>
      <c r="F712" s="81"/>
      <c r="G712" s="81"/>
      <c r="H712" s="81"/>
      <c r="I712" s="289"/>
      <c r="J712" s="81"/>
      <c r="K712" s="81"/>
      <c r="L712" s="81"/>
      <c r="M712" s="81"/>
      <c r="N712" s="81"/>
      <c r="O712" s="289"/>
      <c r="P712" s="105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 ht="24" customHeight="1" x14ac:dyDescent="0.5">
      <c r="A713" s="81"/>
      <c r="B713" s="81"/>
      <c r="C713" s="81"/>
      <c r="D713" s="81"/>
      <c r="E713" s="81"/>
      <c r="F713" s="81"/>
      <c r="G713" s="81"/>
      <c r="H713" s="81"/>
      <c r="I713" s="289"/>
      <c r="J713" s="81"/>
      <c r="K713" s="81"/>
      <c r="L713" s="81"/>
      <c r="M713" s="81"/>
      <c r="N713" s="81"/>
      <c r="O713" s="289"/>
      <c r="P713" s="105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 ht="24" customHeight="1" x14ac:dyDescent="0.5">
      <c r="A714" s="81"/>
      <c r="B714" s="81"/>
      <c r="C714" s="81"/>
      <c r="D714" s="81"/>
      <c r="E714" s="81"/>
      <c r="F714" s="81"/>
      <c r="G714" s="81"/>
      <c r="H714" s="81"/>
      <c r="I714" s="289"/>
      <c r="J714" s="81"/>
      <c r="K714" s="81"/>
      <c r="L714" s="81"/>
      <c r="M714" s="81"/>
      <c r="N714" s="81"/>
      <c r="O714" s="289"/>
      <c r="P714" s="105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 ht="24" customHeight="1" x14ac:dyDescent="0.5">
      <c r="A715" s="81"/>
      <c r="B715" s="81"/>
      <c r="C715" s="81"/>
      <c r="D715" s="81"/>
      <c r="E715" s="81"/>
      <c r="F715" s="81"/>
      <c r="G715" s="81"/>
      <c r="H715" s="81"/>
      <c r="I715" s="289"/>
      <c r="J715" s="81"/>
      <c r="K715" s="81"/>
      <c r="L715" s="81"/>
      <c r="M715" s="81"/>
      <c r="N715" s="81"/>
      <c r="O715" s="289"/>
      <c r="P715" s="105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 ht="24" customHeight="1" x14ac:dyDescent="0.5">
      <c r="A716" s="81"/>
      <c r="B716" s="81"/>
      <c r="C716" s="81"/>
      <c r="D716" s="81"/>
      <c r="E716" s="81"/>
      <c r="F716" s="81"/>
      <c r="G716" s="81"/>
      <c r="H716" s="81"/>
      <c r="I716" s="289"/>
      <c r="J716" s="81"/>
      <c r="K716" s="81"/>
      <c r="L716" s="81"/>
      <c r="M716" s="81"/>
      <c r="N716" s="81"/>
      <c r="O716" s="289"/>
      <c r="P716" s="105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 ht="24" customHeight="1" x14ac:dyDescent="0.5">
      <c r="A717" s="81"/>
      <c r="B717" s="81"/>
      <c r="C717" s="81"/>
      <c r="D717" s="81"/>
      <c r="E717" s="81"/>
      <c r="F717" s="81"/>
      <c r="G717" s="81"/>
      <c r="H717" s="81"/>
      <c r="I717" s="289"/>
      <c r="J717" s="81"/>
      <c r="K717" s="81"/>
      <c r="L717" s="81"/>
      <c r="M717" s="81"/>
      <c r="N717" s="81"/>
      <c r="O717" s="289"/>
      <c r="P717" s="105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 ht="24" customHeight="1" x14ac:dyDescent="0.5">
      <c r="A718" s="81"/>
      <c r="B718" s="81"/>
      <c r="C718" s="81"/>
      <c r="D718" s="81"/>
      <c r="E718" s="81"/>
      <c r="F718" s="81"/>
      <c r="G718" s="81"/>
      <c r="H718" s="81"/>
      <c r="I718" s="289"/>
      <c r="J718" s="81"/>
      <c r="K718" s="81"/>
      <c r="L718" s="81"/>
      <c r="M718" s="81"/>
      <c r="N718" s="81"/>
      <c r="O718" s="289"/>
      <c r="P718" s="105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 ht="24" customHeight="1" x14ac:dyDescent="0.5">
      <c r="A719" s="81"/>
      <c r="B719" s="81"/>
      <c r="C719" s="81"/>
      <c r="D719" s="81"/>
      <c r="E719" s="81"/>
      <c r="F719" s="81"/>
      <c r="G719" s="81"/>
      <c r="H719" s="81"/>
      <c r="I719" s="289"/>
      <c r="J719" s="81"/>
      <c r="K719" s="81"/>
      <c r="L719" s="81"/>
      <c r="M719" s="81"/>
      <c r="N719" s="81"/>
      <c r="O719" s="289"/>
      <c r="P719" s="105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 ht="24" customHeight="1" x14ac:dyDescent="0.5">
      <c r="A720" s="81"/>
      <c r="B720" s="81"/>
      <c r="C720" s="81"/>
      <c r="D720" s="81"/>
      <c r="E720" s="81"/>
      <c r="F720" s="81"/>
      <c r="G720" s="81"/>
      <c r="H720" s="81"/>
      <c r="I720" s="289"/>
      <c r="J720" s="81"/>
      <c r="K720" s="81"/>
      <c r="L720" s="81"/>
      <c r="M720" s="81"/>
      <c r="N720" s="81"/>
      <c r="O720" s="289"/>
      <c r="P720" s="105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 ht="24" customHeight="1" x14ac:dyDescent="0.5">
      <c r="A721" s="81"/>
      <c r="B721" s="81"/>
      <c r="C721" s="81"/>
      <c r="D721" s="81"/>
      <c r="E721" s="81"/>
      <c r="F721" s="81"/>
      <c r="G721" s="81"/>
      <c r="H721" s="81"/>
      <c r="I721" s="289"/>
      <c r="J721" s="81"/>
      <c r="K721" s="81"/>
      <c r="L721" s="81"/>
      <c r="M721" s="81"/>
      <c r="N721" s="81"/>
      <c r="O721" s="289"/>
      <c r="P721" s="105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 ht="24" customHeight="1" x14ac:dyDescent="0.5">
      <c r="A722" s="81"/>
      <c r="B722" s="81"/>
      <c r="C722" s="81"/>
      <c r="D722" s="81"/>
      <c r="E722" s="81"/>
      <c r="F722" s="81"/>
      <c r="G722" s="81"/>
      <c r="H722" s="81"/>
      <c r="I722" s="289"/>
      <c r="J722" s="81"/>
      <c r="K722" s="81"/>
      <c r="L722" s="81"/>
      <c r="M722" s="81"/>
      <c r="N722" s="81"/>
      <c r="O722" s="289"/>
      <c r="P722" s="105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 ht="24" customHeight="1" x14ac:dyDescent="0.5">
      <c r="A723" s="81"/>
      <c r="B723" s="81"/>
      <c r="C723" s="81"/>
      <c r="D723" s="81"/>
      <c r="E723" s="81"/>
      <c r="F723" s="81"/>
      <c r="G723" s="81"/>
      <c r="H723" s="81"/>
      <c r="I723" s="289"/>
      <c r="J723" s="81"/>
      <c r="K723" s="81"/>
      <c r="L723" s="81"/>
      <c r="M723" s="81"/>
      <c r="N723" s="81"/>
      <c r="O723" s="289"/>
      <c r="P723" s="105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 ht="24" customHeight="1" x14ac:dyDescent="0.5">
      <c r="A724" s="81"/>
      <c r="B724" s="81"/>
      <c r="C724" s="81"/>
      <c r="D724" s="81"/>
      <c r="E724" s="81"/>
      <c r="F724" s="81"/>
      <c r="G724" s="81"/>
      <c r="H724" s="81"/>
      <c r="I724" s="289"/>
      <c r="J724" s="81"/>
      <c r="K724" s="81"/>
      <c r="L724" s="81"/>
      <c r="M724" s="81"/>
      <c r="N724" s="81"/>
      <c r="O724" s="289"/>
      <c r="P724" s="105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 ht="24" customHeight="1" x14ac:dyDescent="0.5">
      <c r="A725" s="81"/>
      <c r="B725" s="81"/>
      <c r="C725" s="81"/>
      <c r="D725" s="81"/>
      <c r="E725" s="81"/>
      <c r="F725" s="81"/>
      <c r="G725" s="81"/>
      <c r="H725" s="81"/>
      <c r="I725" s="289"/>
      <c r="J725" s="81"/>
      <c r="K725" s="81"/>
      <c r="L725" s="81"/>
      <c r="M725" s="81"/>
      <c r="N725" s="81"/>
      <c r="O725" s="289"/>
      <c r="P725" s="105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 ht="24" customHeight="1" x14ac:dyDescent="0.5">
      <c r="A726" s="81"/>
      <c r="B726" s="81"/>
      <c r="C726" s="81"/>
      <c r="D726" s="81"/>
      <c r="E726" s="81"/>
      <c r="F726" s="81"/>
      <c r="G726" s="81"/>
      <c r="H726" s="81"/>
      <c r="I726" s="289"/>
      <c r="J726" s="81"/>
      <c r="K726" s="81"/>
      <c r="L726" s="81"/>
      <c r="M726" s="81"/>
      <c r="N726" s="81"/>
      <c r="O726" s="289"/>
      <c r="P726" s="105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 ht="24" customHeight="1" x14ac:dyDescent="0.5">
      <c r="A727" s="81"/>
      <c r="B727" s="81"/>
      <c r="C727" s="81"/>
      <c r="D727" s="81"/>
      <c r="E727" s="81"/>
      <c r="F727" s="81"/>
      <c r="G727" s="81"/>
      <c r="H727" s="81"/>
      <c r="I727" s="289"/>
      <c r="J727" s="81"/>
      <c r="K727" s="81"/>
      <c r="L727" s="81"/>
      <c r="M727" s="81"/>
      <c r="N727" s="81"/>
      <c r="O727" s="289"/>
      <c r="P727" s="105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 ht="24" customHeight="1" x14ac:dyDescent="0.5">
      <c r="A728" s="81"/>
      <c r="B728" s="81"/>
      <c r="C728" s="81"/>
      <c r="D728" s="81"/>
      <c r="E728" s="81"/>
      <c r="F728" s="81"/>
      <c r="G728" s="81"/>
      <c r="H728" s="81"/>
      <c r="I728" s="289"/>
      <c r="J728" s="81"/>
      <c r="K728" s="81"/>
      <c r="L728" s="81"/>
      <c r="M728" s="81"/>
      <c r="N728" s="81"/>
      <c r="O728" s="289"/>
      <c r="P728" s="105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 ht="24" customHeight="1" x14ac:dyDescent="0.5">
      <c r="A729" s="81"/>
      <c r="B729" s="81"/>
      <c r="C729" s="81"/>
      <c r="D729" s="81"/>
      <c r="E729" s="81"/>
      <c r="F729" s="81"/>
      <c r="G729" s="81"/>
      <c r="H729" s="81"/>
      <c r="I729" s="289"/>
      <c r="J729" s="81"/>
      <c r="K729" s="81"/>
      <c r="L729" s="81"/>
      <c r="M729" s="81"/>
      <c r="N729" s="81"/>
      <c r="O729" s="289"/>
      <c r="P729" s="105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 ht="24" customHeight="1" x14ac:dyDescent="0.5">
      <c r="A730" s="81"/>
      <c r="B730" s="81"/>
      <c r="C730" s="81"/>
      <c r="D730" s="81"/>
      <c r="E730" s="81"/>
      <c r="F730" s="81"/>
      <c r="G730" s="81"/>
      <c r="H730" s="81"/>
      <c r="I730" s="289"/>
      <c r="J730" s="81"/>
      <c r="K730" s="81"/>
      <c r="L730" s="81"/>
      <c r="M730" s="81"/>
      <c r="N730" s="81"/>
      <c r="O730" s="289"/>
      <c r="P730" s="105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 ht="24" customHeight="1" x14ac:dyDescent="0.5">
      <c r="A731" s="81"/>
      <c r="B731" s="81"/>
      <c r="C731" s="81"/>
      <c r="D731" s="81"/>
      <c r="E731" s="81"/>
      <c r="F731" s="81"/>
      <c r="G731" s="81"/>
      <c r="H731" s="81"/>
      <c r="I731" s="289"/>
      <c r="J731" s="81"/>
      <c r="K731" s="81"/>
      <c r="L731" s="81"/>
      <c r="M731" s="81"/>
      <c r="N731" s="81"/>
      <c r="O731" s="289"/>
      <c r="P731" s="105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 ht="24" customHeight="1" x14ac:dyDescent="0.5">
      <c r="A732" s="81"/>
      <c r="B732" s="81"/>
      <c r="C732" s="81"/>
      <c r="D732" s="81"/>
      <c r="E732" s="81"/>
      <c r="F732" s="81"/>
      <c r="G732" s="81"/>
      <c r="H732" s="81"/>
      <c r="I732" s="289"/>
      <c r="J732" s="81"/>
      <c r="K732" s="81"/>
      <c r="L732" s="81"/>
      <c r="M732" s="81"/>
      <c r="N732" s="81"/>
      <c r="O732" s="289"/>
      <c r="P732" s="105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 ht="24" customHeight="1" x14ac:dyDescent="0.5">
      <c r="A733" s="81"/>
      <c r="B733" s="81"/>
      <c r="C733" s="81"/>
      <c r="D733" s="81"/>
      <c r="E733" s="81"/>
      <c r="F733" s="81"/>
      <c r="G733" s="81"/>
      <c r="H733" s="81"/>
      <c r="I733" s="289"/>
      <c r="J733" s="81"/>
      <c r="K733" s="81"/>
      <c r="L733" s="81"/>
      <c r="M733" s="81"/>
      <c r="N733" s="81"/>
      <c r="O733" s="289"/>
      <c r="P733" s="105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 ht="24" customHeight="1" x14ac:dyDescent="0.5">
      <c r="A734" s="81"/>
      <c r="B734" s="81"/>
      <c r="C734" s="81"/>
      <c r="D734" s="81"/>
      <c r="E734" s="81"/>
      <c r="F734" s="81"/>
      <c r="G734" s="81"/>
      <c r="H734" s="81"/>
      <c r="I734" s="289"/>
      <c r="J734" s="81"/>
      <c r="K734" s="81"/>
      <c r="L734" s="81"/>
      <c r="M734" s="81"/>
      <c r="N734" s="81"/>
      <c r="O734" s="289"/>
      <c r="P734" s="105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 ht="24" customHeight="1" x14ac:dyDescent="0.5">
      <c r="A735" s="81"/>
      <c r="B735" s="81"/>
      <c r="C735" s="81"/>
      <c r="D735" s="81"/>
      <c r="E735" s="81"/>
      <c r="F735" s="81"/>
      <c r="G735" s="81"/>
      <c r="H735" s="81"/>
      <c r="I735" s="289"/>
      <c r="J735" s="81"/>
      <c r="K735" s="81"/>
      <c r="L735" s="81"/>
      <c r="M735" s="81"/>
      <c r="N735" s="81"/>
      <c r="O735" s="289"/>
      <c r="P735" s="105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 ht="24" customHeight="1" x14ac:dyDescent="0.5">
      <c r="A736" s="81"/>
      <c r="B736" s="81"/>
      <c r="C736" s="81"/>
      <c r="D736" s="81"/>
      <c r="E736" s="81"/>
      <c r="F736" s="81"/>
      <c r="G736" s="81"/>
      <c r="H736" s="81"/>
      <c r="I736" s="289"/>
      <c r="J736" s="81"/>
      <c r="K736" s="81"/>
      <c r="L736" s="81"/>
      <c r="M736" s="81"/>
      <c r="N736" s="81"/>
      <c r="O736" s="289"/>
      <c r="P736" s="105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 ht="24" customHeight="1" x14ac:dyDescent="0.5">
      <c r="A737" s="81"/>
      <c r="B737" s="81"/>
      <c r="C737" s="81"/>
      <c r="D737" s="81"/>
      <c r="E737" s="81"/>
      <c r="F737" s="81"/>
      <c r="G737" s="81"/>
      <c r="H737" s="81"/>
      <c r="I737" s="289"/>
      <c r="J737" s="81"/>
      <c r="K737" s="81"/>
      <c r="L737" s="81"/>
      <c r="M737" s="81"/>
      <c r="N737" s="81"/>
      <c r="O737" s="289"/>
      <c r="P737" s="105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 ht="24" customHeight="1" x14ac:dyDescent="0.5">
      <c r="A738" s="81"/>
      <c r="B738" s="81"/>
      <c r="C738" s="81"/>
      <c r="D738" s="81"/>
      <c r="E738" s="81"/>
      <c r="F738" s="81"/>
      <c r="G738" s="81"/>
      <c r="H738" s="81"/>
      <c r="I738" s="289"/>
      <c r="J738" s="81"/>
      <c r="K738" s="81"/>
      <c r="L738" s="81"/>
      <c r="M738" s="81"/>
      <c r="N738" s="81"/>
      <c r="O738" s="289"/>
      <c r="P738" s="105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 ht="24" customHeight="1" x14ac:dyDescent="0.5">
      <c r="A739" s="81"/>
      <c r="B739" s="81"/>
      <c r="C739" s="81"/>
      <c r="D739" s="81"/>
      <c r="E739" s="81"/>
      <c r="F739" s="81"/>
      <c r="G739" s="81"/>
      <c r="H739" s="81"/>
      <c r="I739" s="289"/>
      <c r="J739" s="81"/>
      <c r="K739" s="81"/>
      <c r="L739" s="81"/>
      <c r="M739" s="81"/>
      <c r="N739" s="81"/>
      <c r="O739" s="289"/>
      <c r="P739" s="105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 ht="24" customHeight="1" x14ac:dyDescent="0.5">
      <c r="A740" s="81"/>
      <c r="B740" s="81"/>
      <c r="C740" s="81"/>
      <c r="D740" s="81"/>
      <c r="E740" s="81"/>
      <c r="F740" s="81"/>
      <c r="G740" s="81"/>
      <c r="H740" s="81"/>
      <c r="I740" s="289"/>
      <c r="J740" s="81"/>
      <c r="K740" s="81"/>
      <c r="L740" s="81"/>
      <c r="M740" s="81"/>
      <c r="N740" s="81"/>
      <c r="O740" s="289"/>
      <c r="P740" s="105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 ht="24" customHeight="1" x14ac:dyDescent="0.5">
      <c r="A741" s="81"/>
      <c r="B741" s="81"/>
      <c r="C741" s="81"/>
      <c r="D741" s="81"/>
      <c r="E741" s="81"/>
      <c r="F741" s="81"/>
      <c r="G741" s="81"/>
      <c r="H741" s="81"/>
      <c r="I741" s="289"/>
      <c r="J741" s="81"/>
      <c r="K741" s="81"/>
      <c r="L741" s="81"/>
      <c r="M741" s="81"/>
      <c r="N741" s="81"/>
      <c r="O741" s="289"/>
      <c r="P741" s="105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 ht="24" customHeight="1" x14ac:dyDescent="0.5">
      <c r="A742" s="81"/>
      <c r="B742" s="81"/>
      <c r="C742" s="81"/>
      <c r="D742" s="81"/>
      <c r="E742" s="81"/>
      <c r="F742" s="81"/>
      <c r="G742" s="81"/>
      <c r="H742" s="81"/>
      <c r="I742" s="289"/>
      <c r="J742" s="81"/>
      <c r="K742" s="81"/>
      <c r="L742" s="81"/>
      <c r="M742" s="81"/>
      <c r="N742" s="81"/>
      <c r="O742" s="289"/>
      <c r="P742" s="105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 ht="24" customHeight="1" x14ac:dyDescent="0.5">
      <c r="A743" s="81"/>
      <c r="B743" s="81"/>
      <c r="C743" s="81"/>
      <c r="D743" s="81"/>
      <c r="E743" s="81"/>
      <c r="F743" s="81"/>
      <c r="G743" s="81"/>
      <c r="H743" s="81"/>
      <c r="I743" s="289"/>
      <c r="J743" s="81"/>
      <c r="K743" s="81"/>
      <c r="L743" s="81"/>
      <c r="M743" s="81"/>
      <c r="N743" s="81"/>
      <c r="O743" s="289"/>
      <c r="P743" s="105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 ht="24" customHeight="1" x14ac:dyDescent="0.5">
      <c r="A744" s="81"/>
      <c r="B744" s="81"/>
      <c r="C744" s="81"/>
      <c r="D744" s="81"/>
      <c r="E744" s="81"/>
      <c r="F744" s="81"/>
      <c r="G744" s="81"/>
      <c r="H744" s="81"/>
      <c r="I744" s="289"/>
      <c r="J744" s="81"/>
      <c r="K744" s="81"/>
      <c r="L744" s="81"/>
      <c r="M744" s="81"/>
      <c r="N744" s="81"/>
      <c r="O744" s="289"/>
      <c r="P744" s="105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 ht="24" customHeight="1" x14ac:dyDescent="0.5">
      <c r="A745" s="81"/>
      <c r="B745" s="81"/>
      <c r="C745" s="81"/>
      <c r="D745" s="81"/>
      <c r="E745" s="81"/>
      <c r="F745" s="81"/>
      <c r="G745" s="81"/>
      <c r="H745" s="81"/>
      <c r="I745" s="289"/>
      <c r="J745" s="81"/>
      <c r="K745" s="81"/>
      <c r="L745" s="81"/>
      <c r="M745" s="81"/>
      <c r="N745" s="81"/>
      <c r="O745" s="289"/>
      <c r="P745" s="105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 ht="24" customHeight="1" x14ac:dyDescent="0.5">
      <c r="A746" s="81"/>
      <c r="B746" s="81"/>
      <c r="C746" s="81"/>
      <c r="D746" s="81"/>
      <c r="E746" s="81"/>
      <c r="F746" s="81"/>
      <c r="G746" s="81"/>
      <c r="H746" s="81"/>
      <c r="I746" s="289"/>
      <c r="J746" s="81"/>
      <c r="K746" s="81"/>
      <c r="L746" s="81"/>
      <c r="M746" s="81"/>
      <c r="N746" s="81"/>
      <c r="O746" s="289"/>
      <c r="P746" s="105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 ht="24" customHeight="1" x14ac:dyDescent="0.5">
      <c r="A747" s="81"/>
      <c r="B747" s="81"/>
      <c r="C747" s="81"/>
      <c r="D747" s="81"/>
      <c r="E747" s="81"/>
      <c r="F747" s="81"/>
      <c r="G747" s="81"/>
      <c r="H747" s="81"/>
      <c r="I747" s="289"/>
      <c r="J747" s="81"/>
      <c r="K747" s="81"/>
      <c r="L747" s="81"/>
      <c r="M747" s="81"/>
      <c r="N747" s="81"/>
      <c r="O747" s="289"/>
      <c r="P747" s="105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 ht="24" customHeight="1" x14ac:dyDescent="0.5">
      <c r="A748" s="81"/>
      <c r="B748" s="81"/>
      <c r="C748" s="81"/>
      <c r="D748" s="81"/>
      <c r="E748" s="81"/>
      <c r="F748" s="81"/>
      <c r="G748" s="81"/>
      <c r="H748" s="81"/>
      <c r="I748" s="289"/>
      <c r="J748" s="81"/>
      <c r="K748" s="81"/>
      <c r="L748" s="81"/>
      <c r="M748" s="81"/>
      <c r="N748" s="81"/>
      <c r="O748" s="289"/>
      <c r="P748" s="105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 ht="24" customHeight="1" x14ac:dyDescent="0.5">
      <c r="A749" s="81"/>
      <c r="B749" s="81"/>
      <c r="C749" s="81"/>
      <c r="D749" s="81"/>
      <c r="E749" s="81"/>
      <c r="F749" s="81"/>
      <c r="G749" s="81"/>
      <c r="H749" s="81"/>
      <c r="I749" s="289"/>
      <c r="J749" s="81"/>
      <c r="K749" s="81"/>
      <c r="L749" s="81"/>
      <c r="M749" s="81"/>
      <c r="N749" s="81"/>
      <c r="O749" s="289"/>
      <c r="P749" s="105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 ht="24" customHeight="1" x14ac:dyDescent="0.5">
      <c r="A750" s="81"/>
      <c r="B750" s="81"/>
      <c r="C750" s="81"/>
      <c r="D750" s="81"/>
      <c r="E750" s="81"/>
      <c r="F750" s="81"/>
      <c r="G750" s="81"/>
      <c r="H750" s="81"/>
      <c r="I750" s="289"/>
      <c r="J750" s="81"/>
      <c r="K750" s="81"/>
      <c r="L750" s="81"/>
      <c r="M750" s="81"/>
      <c r="N750" s="81"/>
      <c r="O750" s="289"/>
      <c r="P750" s="105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 ht="24" customHeight="1" x14ac:dyDescent="0.5">
      <c r="A751" s="81"/>
      <c r="B751" s="81"/>
      <c r="C751" s="81"/>
      <c r="D751" s="81"/>
      <c r="E751" s="81"/>
      <c r="F751" s="81"/>
      <c r="G751" s="81"/>
      <c r="H751" s="81"/>
      <c r="I751" s="289"/>
      <c r="J751" s="81"/>
      <c r="K751" s="81"/>
      <c r="L751" s="81"/>
      <c r="M751" s="81"/>
      <c r="N751" s="81"/>
      <c r="O751" s="289"/>
      <c r="P751" s="105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 ht="24" customHeight="1" x14ac:dyDescent="0.5">
      <c r="A752" s="81"/>
      <c r="B752" s="81"/>
      <c r="C752" s="81"/>
      <c r="D752" s="81"/>
      <c r="E752" s="81"/>
      <c r="F752" s="81"/>
      <c r="G752" s="81"/>
      <c r="H752" s="81"/>
      <c r="I752" s="289"/>
      <c r="J752" s="81"/>
      <c r="K752" s="81"/>
      <c r="L752" s="81"/>
      <c r="M752" s="81"/>
      <c r="N752" s="81"/>
      <c r="O752" s="289"/>
      <c r="P752" s="105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 ht="24" customHeight="1" x14ac:dyDescent="0.5">
      <c r="A753" s="81"/>
      <c r="B753" s="81"/>
      <c r="C753" s="81"/>
      <c r="D753" s="81"/>
      <c r="E753" s="81"/>
      <c r="F753" s="81"/>
      <c r="G753" s="81"/>
      <c r="H753" s="81"/>
      <c r="I753" s="289"/>
      <c r="J753" s="81"/>
      <c r="K753" s="81"/>
      <c r="L753" s="81"/>
      <c r="M753" s="81"/>
      <c r="N753" s="81"/>
      <c r="O753" s="289"/>
      <c r="P753" s="105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 ht="24" customHeight="1" x14ac:dyDescent="0.5">
      <c r="A754" s="81"/>
      <c r="B754" s="81"/>
      <c r="C754" s="81"/>
      <c r="D754" s="81"/>
      <c r="E754" s="81"/>
      <c r="F754" s="81"/>
      <c r="G754" s="81"/>
      <c r="H754" s="81"/>
      <c r="I754" s="289"/>
      <c r="J754" s="81"/>
      <c r="K754" s="81"/>
      <c r="L754" s="81"/>
      <c r="M754" s="81"/>
      <c r="N754" s="81"/>
      <c r="O754" s="289"/>
      <c r="P754" s="105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 ht="24" customHeight="1" x14ac:dyDescent="0.5">
      <c r="A755" s="81"/>
      <c r="B755" s="81"/>
      <c r="C755" s="81"/>
      <c r="D755" s="81"/>
      <c r="E755" s="81"/>
      <c r="F755" s="81"/>
      <c r="G755" s="81"/>
      <c r="H755" s="81"/>
      <c r="I755" s="289"/>
      <c r="J755" s="81"/>
      <c r="K755" s="81"/>
      <c r="L755" s="81"/>
      <c r="M755" s="81"/>
      <c r="N755" s="81"/>
      <c r="O755" s="289"/>
      <c r="P755" s="105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 ht="24" customHeight="1" x14ac:dyDescent="0.5">
      <c r="A756" s="81"/>
      <c r="B756" s="81"/>
      <c r="C756" s="81"/>
      <c r="D756" s="81"/>
      <c r="E756" s="81"/>
      <c r="F756" s="81"/>
      <c r="G756" s="81"/>
      <c r="H756" s="81"/>
      <c r="I756" s="289"/>
      <c r="J756" s="81"/>
      <c r="K756" s="81"/>
      <c r="L756" s="81"/>
      <c r="M756" s="81"/>
      <c r="N756" s="81"/>
      <c r="O756" s="289"/>
      <c r="P756" s="105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 ht="24" customHeight="1" x14ac:dyDescent="0.5">
      <c r="A757" s="81"/>
      <c r="B757" s="81"/>
      <c r="C757" s="81"/>
      <c r="D757" s="81"/>
      <c r="E757" s="81"/>
      <c r="F757" s="81"/>
      <c r="G757" s="81"/>
      <c r="H757" s="81"/>
      <c r="I757" s="289"/>
      <c r="J757" s="81"/>
      <c r="K757" s="81"/>
      <c r="L757" s="81"/>
      <c r="M757" s="81"/>
      <c r="N757" s="81"/>
      <c r="O757" s="289"/>
      <c r="P757" s="105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 ht="24" customHeight="1" x14ac:dyDescent="0.5">
      <c r="A758" s="81"/>
      <c r="B758" s="81"/>
      <c r="C758" s="81"/>
      <c r="D758" s="81"/>
      <c r="E758" s="81"/>
      <c r="F758" s="81"/>
      <c r="G758" s="81"/>
      <c r="H758" s="81"/>
      <c r="I758" s="289"/>
      <c r="J758" s="81"/>
      <c r="K758" s="81"/>
      <c r="L758" s="81"/>
      <c r="M758" s="81"/>
      <c r="N758" s="81"/>
      <c r="O758" s="289"/>
      <c r="P758" s="105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 ht="24" customHeight="1" x14ac:dyDescent="0.5">
      <c r="A759" s="81"/>
      <c r="B759" s="81"/>
      <c r="C759" s="81"/>
      <c r="D759" s="81"/>
      <c r="E759" s="81"/>
      <c r="F759" s="81"/>
      <c r="G759" s="81"/>
      <c r="H759" s="81"/>
      <c r="I759" s="289"/>
      <c r="J759" s="81"/>
      <c r="K759" s="81"/>
      <c r="L759" s="81"/>
      <c r="M759" s="81"/>
      <c r="N759" s="81"/>
      <c r="O759" s="289"/>
      <c r="P759" s="105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 ht="24" customHeight="1" x14ac:dyDescent="0.5">
      <c r="A760" s="81"/>
      <c r="B760" s="81"/>
      <c r="C760" s="81"/>
      <c r="D760" s="81"/>
      <c r="E760" s="81"/>
      <c r="F760" s="81"/>
      <c r="G760" s="81"/>
      <c r="H760" s="81"/>
      <c r="I760" s="289"/>
      <c r="J760" s="81"/>
      <c r="K760" s="81"/>
      <c r="L760" s="81"/>
      <c r="M760" s="81"/>
      <c r="N760" s="81"/>
      <c r="O760" s="289"/>
      <c r="P760" s="105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 ht="24" customHeight="1" x14ac:dyDescent="0.5">
      <c r="A761" s="81"/>
      <c r="B761" s="81"/>
      <c r="C761" s="81"/>
      <c r="D761" s="81"/>
      <c r="E761" s="81"/>
      <c r="F761" s="81"/>
      <c r="G761" s="81"/>
      <c r="H761" s="81"/>
      <c r="I761" s="289"/>
      <c r="J761" s="81"/>
      <c r="K761" s="81"/>
      <c r="L761" s="81"/>
      <c r="M761" s="81"/>
      <c r="N761" s="81"/>
      <c r="O761" s="289"/>
      <c r="P761" s="105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 ht="24" customHeight="1" x14ac:dyDescent="0.5">
      <c r="A762" s="81"/>
      <c r="B762" s="81"/>
      <c r="C762" s="81"/>
      <c r="D762" s="81"/>
      <c r="E762" s="81"/>
      <c r="F762" s="81"/>
      <c r="G762" s="81"/>
      <c r="H762" s="81"/>
      <c r="I762" s="289"/>
      <c r="J762" s="81"/>
      <c r="K762" s="81"/>
      <c r="L762" s="81"/>
      <c r="M762" s="81"/>
      <c r="N762" s="81"/>
      <c r="O762" s="289"/>
      <c r="P762" s="105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 ht="24" customHeight="1" x14ac:dyDescent="0.5">
      <c r="A763" s="81"/>
      <c r="B763" s="81"/>
      <c r="C763" s="81"/>
      <c r="D763" s="81"/>
      <c r="E763" s="81"/>
      <c r="F763" s="81"/>
      <c r="G763" s="81"/>
      <c r="H763" s="81"/>
      <c r="I763" s="289"/>
      <c r="J763" s="81"/>
      <c r="K763" s="81"/>
      <c r="L763" s="81"/>
      <c r="M763" s="81"/>
      <c r="N763" s="81"/>
      <c r="O763" s="289"/>
      <c r="P763" s="105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 ht="24" customHeight="1" x14ac:dyDescent="0.5">
      <c r="A764" s="81"/>
      <c r="B764" s="81"/>
      <c r="C764" s="81"/>
      <c r="D764" s="81"/>
      <c r="E764" s="81"/>
      <c r="F764" s="81"/>
      <c r="G764" s="81"/>
      <c r="H764" s="81"/>
      <c r="I764" s="289"/>
      <c r="J764" s="81"/>
      <c r="K764" s="81"/>
      <c r="L764" s="81"/>
      <c r="M764" s="81"/>
      <c r="N764" s="81"/>
      <c r="O764" s="289"/>
      <c r="P764" s="105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 ht="24" customHeight="1" x14ac:dyDescent="0.5">
      <c r="A765" s="81"/>
      <c r="B765" s="81"/>
      <c r="C765" s="81"/>
      <c r="D765" s="81"/>
      <c r="E765" s="81"/>
      <c r="F765" s="81"/>
      <c r="G765" s="81"/>
      <c r="H765" s="81"/>
      <c r="I765" s="289"/>
      <c r="J765" s="81"/>
      <c r="K765" s="81"/>
      <c r="L765" s="81"/>
      <c r="M765" s="81"/>
      <c r="N765" s="81"/>
      <c r="O765" s="289"/>
      <c r="P765" s="105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 ht="24" customHeight="1" x14ac:dyDescent="0.5">
      <c r="A766" s="81"/>
      <c r="B766" s="81"/>
      <c r="C766" s="81"/>
      <c r="D766" s="81"/>
      <c r="E766" s="81"/>
      <c r="F766" s="81"/>
      <c r="G766" s="81"/>
      <c r="H766" s="81"/>
      <c r="I766" s="289"/>
      <c r="J766" s="81"/>
      <c r="K766" s="81"/>
      <c r="L766" s="81"/>
      <c r="M766" s="81"/>
      <c r="N766" s="81"/>
      <c r="O766" s="289"/>
      <c r="P766" s="105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 ht="24" customHeight="1" x14ac:dyDescent="0.5">
      <c r="A767" s="81"/>
      <c r="B767" s="81"/>
      <c r="C767" s="81"/>
      <c r="D767" s="81"/>
      <c r="E767" s="81"/>
      <c r="F767" s="81"/>
      <c r="G767" s="81"/>
      <c r="H767" s="81"/>
      <c r="I767" s="289"/>
      <c r="J767" s="81"/>
      <c r="K767" s="81"/>
      <c r="L767" s="81"/>
      <c r="M767" s="81"/>
      <c r="N767" s="81"/>
      <c r="O767" s="289"/>
      <c r="P767" s="105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 ht="24" customHeight="1" x14ac:dyDescent="0.5">
      <c r="A768" s="81"/>
      <c r="B768" s="81"/>
      <c r="C768" s="81"/>
      <c r="D768" s="81"/>
      <c r="E768" s="81"/>
      <c r="F768" s="81"/>
      <c r="G768" s="81"/>
      <c r="H768" s="81"/>
      <c r="I768" s="289"/>
      <c r="J768" s="81"/>
      <c r="K768" s="81"/>
      <c r="L768" s="81"/>
      <c r="M768" s="81"/>
      <c r="N768" s="81"/>
      <c r="O768" s="289"/>
      <c r="P768" s="105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 ht="24" customHeight="1" x14ac:dyDescent="0.5">
      <c r="A769" s="81"/>
      <c r="B769" s="81"/>
      <c r="C769" s="81"/>
      <c r="D769" s="81"/>
      <c r="E769" s="81"/>
      <c r="F769" s="81"/>
      <c r="G769" s="81"/>
      <c r="H769" s="81"/>
      <c r="I769" s="289"/>
      <c r="J769" s="81"/>
      <c r="K769" s="81"/>
      <c r="L769" s="81"/>
      <c r="M769" s="81"/>
      <c r="N769" s="81"/>
      <c r="O769" s="289"/>
      <c r="P769" s="105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 ht="24" customHeight="1" x14ac:dyDescent="0.5">
      <c r="A770" s="81"/>
      <c r="B770" s="81"/>
      <c r="C770" s="81"/>
      <c r="D770" s="81"/>
      <c r="E770" s="81"/>
      <c r="F770" s="81"/>
      <c r="G770" s="81"/>
      <c r="H770" s="81"/>
      <c r="I770" s="289"/>
      <c r="J770" s="81"/>
      <c r="K770" s="81"/>
      <c r="L770" s="81"/>
      <c r="M770" s="81"/>
      <c r="N770" s="81"/>
      <c r="O770" s="289"/>
      <c r="P770" s="105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 ht="24" customHeight="1" x14ac:dyDescent="0.5">
      <c r="A771" s="81"/>
      <c r="B771" s="81"/>
      <c r="C771" s="81"/>
      <c r="D771" s="81"/>
      <c r="E771" s="81"/>
      <c r="F771" s="81"/>
      <c r="G771" s="81"/>
      <c r="H771" s="81"/>
      <c r="I771" s="289"/>
      <c r="J771" s="81"/>
      <c r="K771" s="81"/>
      <c r="L771" s="81"/>
      <c r="M771" s="81"/>
      <c r="N771" s="81"/>
      <c r="O771" s="289"/>
      <c r="P771" s="105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 ht="24" customHeight="1" x14ac:dyDescent="0.5">
      <c r="A772" s="81"/>
      <c r="B772" s="81"/>
      <c r="C772" s="81"/>
      <c r="D772" s="81"/>
      <c r="E772" s="81"/>
      <c r="F772" s="81"/>
      <c r="G772" s="81"/>
      <c r="H772" s="81"/>
      <c r="I772" s="289"/>
      <c r="J772" s="81"/>
      <c r="K772" s="81"/>
      <c r="L772" s="81"/>
      <c r="M772" s="81"/>
      <c r="N772" s="81"/>
      <c r="O772" s="289"/>
      <c r="P772" s="105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 ht="24" customHeight="1" x14ac:dyDescent="0.5">
      <c r="A773" s="81"/>
      <c r="B773" s="81"/>
      <c r="C773" s="81"/>
      <c r="D773" s="81"/>
      <c r="E773" s="81"/>
      <c r="F773" s="81"/>
      <c r="G773" s="81"/>
      <c r="H773" s="81"/>
      <c r="I773" s="289"/>
      <c r="J773" s="81"/>
      <c r="K773" s="81"/>
      <c r="L773" s="81"/>
      <c r="M773" s="81"/>
      <c r="N773" s="81"/>
      <c r="O773" s="289"/>
      <c r="P773" s="105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 ht="24" customHeight="1" x14ac:dyDescent="0.5">
      <c r="A774" s="81"/>
      <c r="B774" s="81"/>
      <c r="C774" s="81"/>
      <c r="D774" s="81"/>
      <c r="E774" s="81"/>
      <c r="F774" s="81"/>
      <c r="G774" s="81"/>
      <c r="H774" s="81"/>
      <c r="I774" s="289"/>
      <c r="J774" s="81"/>
      <c r="K774" s="81"/>
      <c r="L774" s="81"/>
      <c r="M774" s="81"/>
      <c r="N774" s="81"/>
      <c r="O774" s="289"/>
      <c r="P774" s="105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 ht="24" customHeight="1" x14ac:dyDescent="0.5">
      <c r="A775" s="81"/>
      <c r="B775" s="81"/>
      <c r="C775" s="81"/>
      <c r="D775" s="81"/>
      <c r="E775" s="81"/>
      <c r="F775" s="81"/>
      <c r="G775" s="81"/>
      <c r="H775" s="81"/>
      <c r="I775" s="289"/>
      <c r="J775" s="81"/>
      <c r="K775" s="81"/>
      <c r="L775" s="81"/>
      <c r="M775" s="81"/>
      <c r="N775" s="81"/>
      <c r="O775" s="289"/>
      <c r="P775" s="105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 ht="24" customHeight="1" x14ac:dyDescent="0.5">
      <c r="A776" s="81"/>
      <c r="B776" s="81"/>
      <c r="C776" s="81"/>
      <c r="D776" s="81"/>
      <c r="E776" s="81"/>
      <c r="F776" s="81"/>
      <c r="G776" s="81"/>
      <c r="H776" s="81"/>
      <c r="I776" s="289"/>
      <c r="J776" s="81"/>
      <c r="K776" s="81"/>
      <c r="L776" s="81"/>
      <c r="M776" s="81"/>
      <c r="N776" s="81"/>
      <c r="O776" s="289"/>
      <c r="P776" s="105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 ht="24" customHeight="1" x14ac:dyDescent="0.5">
      <c r="A777" s="81"/>
      <c r="B777" s="81"/>
      <c r="C777" s="81"/>
      <c r="D777" s="81"/>
      <c r="E777" s="81"/>
      <c r="F777" s="81"/>
      <c r="G777" s="81"/>
      <c r="H777" s="81"/>
      <c r="I777" s="289"/>
      <c r="J777" s="81"/>
      <c r="K777" s="81"/>
      <c r="L777" s="81"/>
      <c r="M777" s="81"/>
      <c r="N777" s="81"/>
      <c r="O777" s="289"/>
      <c r="P777" s="105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 ht="24" customHeight="1" x14ac:dyDescent="0.5">
      <c r="A778" s="81"/>
      <c r="B778" s="81"/>
      <c r="C778" s="81"/>
      <c r="D778" s="81"/>
      <c r="E778" s="81"/>
      <c r="F778" s="81"/>
      <c r="G778" s="81"/>
      <c r="H778" s="81"/>
      <c r="I778" s="289"/>
      <c r="J778" s="81"/>
      <c r="K778" s="81"/>
      <c r="L778" s="81"/>
      <c r="M778" s="81"/>
      <c r="N778" s="81"/>
      <c r="O778" s="289"/>
      <c r="P778" s="105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 ht="24" customHeight="1" x14ac:dyDescent="0.5">
      <c r="A779" s="81"/>
      <c r="B779" s="81"/>
      <c r="C779" s="81"/>
      <c r="D779" s="81"/>
      <c r="E779" s="81"/>
      <c r="F779" s="81"/>
      <c r="G779" s="81"/>
      <c r="H779" s="81"/>
      <c r="I779" s="289"/>
      <c r="J779" s="81"/>
      <c r="K779" s="81"/>
      <c r="L779" s="81"/>
      <c r="M779" s="81"/>
      <c r="N779" s="81"/>
      <c r="O779" s="289"/>
      <c r="P779" s="105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 ht="24" customHeight="1" x14ac:dyDescent="0.5">
      <c r="A780" s="81"/>
      <c r="B780" s="81"/>
      <c r="C780" s="81"/>
      <c r="D780" s="81"/>
      <c r="E780" s="81"/>
      <c r="F780" s="81"/>
      <c r="G780" s="81"/>
      <c r="H780" s="81"/>
      <c r="I780" s="289"/>
      <c r="J780" s="81"/>
      <c r="K780" s="81"/>
      <c r="L780" s="81"/>
      <c r="M780" s="81"/>
      <c r="N780" s="81"/>
      <c r="O780" s="289"/>
      <c r="P780" s="105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 ht="24" customHeight="1" x14ac:dyDescent="0.5">
      <c r="A781" s="81"/>
      <c r="B781" s="81"/>
      <c r="C781" s="81"/>
      <c r="D781" s="81"/>
      <c r="E781" s="81"/>
      <c r="F781" s="81"/>
      <c r="G781" s="81"/>
      <c r="H781" s="81"/>
      <c r="I781" s="289"/>
      <c r="J781" s="81"/>
      <c r="K781" s="81"/>
      <c r="L781" s="81"/>
      <c r="M781" s="81"/>
      <c r="N781" s="81"/>
      <c r="O781" s="289"/>
      <c r="P781" s="105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 ht="24" customHeight="1" x14ac:dyDescent="0.5">
      <c r="A782" s="81"/>
      <c r="B782" s="81"/>
      <c r="C782" s="81"/>
      <c r="D782" s="81"/>
      <c r="E782" s="81"/>
      <c r="F782" s="81"/>
      <c r="G782" s="81"/>
      <c r="H782" s="81"/>
      <c r="I782" s="289"/>
      <c r="J782" s="81"/>
      <c r="K782" s="81"/>
      <c r="L782" s="81"/>
      <c r="M782" s="81"/>
      <c r="N782" s="81"/>
      <c r="O782" s="289"/>
      <c r="P782" s="105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 ht="24" customHeight="1" x14ac:dyDescent="0.5">
      <c r="A783" s="81"/>
      <c r="B783" s="81"/>
      <c r="C783" s="81"/>
      <c r="D783" s="81"/>
      <c r="E783" s="81"/>
      <c r="F783" s="81"/>
      <c r="G783" s="81"/>
      <c r="H783" s="81"/>
      <c r="I783" s="289"/>
      <c r="J783" s="81"/>
      <c r="K783" s="81"/>
      <c r="L783" s="81"/>
      <c r="M783" s="81"/>
      <c r="N783" s="81"/>
      <c r="O783" s="289"/>
      <c r="P783" s="105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 ht="24" customHeight="1" x14ac:dyDescent="0.5">
      <c r="A784" s="81"/>
      <c r="B784" s="81"/>
      <c r="C784" s="81"/>
      <c r="D784" s="81"/>
      <c r="E784" s="81"/>
      <c r="F784" s="81"/>
      <c r="G784" s="81"/>
      <c r="H784" s="81"/>
      <c r="I784" s="289"/>
      <c r="J784" s="81"/>
      <c r="K784" s="81"/>
      <c r="L784" s="81"/>
      <c r="M784" s="81"/>
      <c r="N784" s="81"/>
      <c r="O784" s="289"/>
      <c r="P784" s="105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 ht="24" customHeight="1" x14ac:dyDescent="0.5">
      <c r="A785" s="81"/>
      <c r="B785" s="81"/>
      <c r="C785" s="81"/>
      <c r="D785" s="81"/>
      <c r="E785" s="81"/>
      <c r="F785" s="81"/>
      <c r="G785" s="81"/>
      <c r="H785" s="81"/>
      <c r="I785" s="289"/>
      <c r="J785" s="81"/>
      <c r="K785" s="81"/>
      <c r="L785" s="81"/>
      <c r="M785" s="81"/>
      <c r="N785" s="81"/>
      <c r="O785" s="289"/>
      <c r="P785" s="105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 ht="24" customHeight="1" x14ac:dyDescent="0.5">
      <c r="A786" s="81"/>
      <c r="B786" s="81"/>
      <c r="C786" s="81"/>
      <c r="D786" s="81"/>
      <c r="E786" s="81"/>
      <c r="F786" s="81"/>
      <c r="G786" s="81"/>
      <c r="H786" s="81"/>
      <c r="I786" s="289"/>
      <c r="J786" s="81"/>
      <c r="K786" s="81"/>
      <c r="L786" s="81"/>
      <c r="M786" s="81"/>
      <c r="N786" s="81"/>
      <c r="O786" s="289"/>
      <c r="P786" s="105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 ht="24" customHeight="1" x14ac:dyDescent="0.5">
      <c r="A787" s="81"/>
      <c r="B787" s="81"/>
      <c r="C787" s="81"/>
      <c r="D787" s="81"/>
      <c r="E787" s="81"/>
      <c r="F787" s="81"/>
      <c r="G787" s="81"/>
      <c r="H787" s="81"/>
      <c r="I787" s="289"/>
      <c r="J787" s="81"/>
      <c r="K787" s="81"/>
      <c r="L787" s="81"/>
      <c r="M787" s="81"/>
      <c r="N787" s="81"/>
      <c r="O787" s="289"/>
      <c r="P787" s="105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 ht="24" customHeight="1" x14ac:dyDescent="0.5">
      <c r="A788" s="81"/>
      <c r="B788" s="81"/>
      <c r="C788" s="81"/>
      <c r="D788" s="81"/>
      <c r="E788" s="81"/>
      <c r="F788" s="81"/>
      <c r="G788" s="81"/>
      <c r="H788" s="81"/>
      <c r="I788" s="289"/>
      <c r="J788" s="81"/>
      <c r="K788" s="81"/>
      <c r="L788" s="81"/>
      <c r="M788" s="81"/>
      <c r="N788" s="81"/>
      <c r="O788" s="289"/>
      <c r="P788" s="105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 ht="24" customHeight="1" x14ac:dyDescent="0.5">
      <c r="A789" s="81"/>
      <c r="B789" s="81"/>
      <c r="C789" s="81"/>
      <c r="D789" s="81"/>
      <c r="E789" s="81"/>
      <c r="F789" s="81"/>
      <c r="G789" s="81"/>
      <c r="H789" s="81"/>
      <c r="I789" s="289"/>
      <c r="J789" s="81"/>
      <c r="K789" s="81"/>
      <c r="L789" s="81"/>
      <c r="M789" s="81"/>
      <c r="N789" s="81"/>
      <c r="O789" s="289"/>
      <c r="P789" s="105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 ht="24" customHeight="1" x14ac:dyDescent="0.5">
      <c r="A790" s="81"/>
      <c r="B790" s="81"/>
      <c r="C790" s="81"/>
      <c r="D790" s="81"/>
      <c r="E790" s="81"/>
      <c r="F790" s="81"/>
      <c r="G790" s="81"/>
      <c r="H790" s="81"/>
      <c r="I790" s="289"/>
      <c r="J790" s="81"/>
      <c r="K790" s="81"/>
      <c r="L790" s="81"/>
      <c r="M790" s="81"/>
      <c r="N790" s="81"/>
      <c r="O790" s="289"/>
      <c r="P790" s="105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 ht="24" customHeight="1" x14ac:dyDescent="0.5">
      <c r="A791" s="81"/>
      <c r="B791" s="81"/>
      <c r="C791" s="81"/>
      <c r="D791" s="81"/>
      <c r="E791" s="81"/>
      <c r="F791" s="81"/>
      <c r="G791" s="81"/>
      <c r="H791" s="81"/>
      <c r="I791" s="289"/>
      <c r="J791" s="81"/>
      <c r="K791" s="81"/>
      <c r="L791" s="81"/>
      <c r="M791" s="81"/>
      <c r="N791" s="81"/>
      <c r="O791" s="289"/>
      <c r="P791" s="105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 ht="24" customHeight="1" x14ac:dyDescent="0.5">
      <c r="A792" s="81"/>
      <c r="B792" s="81"/>
      <c r="C792" s="81"/>
      <c r="D792" s="81"/>
      <c r="E792" s="81"/>
      <c r="F792" s="81"/>
      <c r="G792" s="81"/>
      <c r="H792" s="81"/>
      <c r="I792" s="289"/>
      <c r="J792" s="81"/>
      <c r="K792" s="81"/>
      <c r="L792" s="81"/>
      <c r="M792" s="81"/>
      <c r="N792" s="81"/>
      <c r="O792" s="289"/>
      <c r="P792" s="105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 ht="24" customHeight="1" x14ac:dyDescent="0.5">
      <c r="A793" s="81"/>
      <c r="B793" s="81"/>
      <c r="C793" s="81"/>
      <c r="D793" s="81"/>
      <c r="E793" s="81"/>
      <c r="F793" s="81"/>
      <c r="G793" s="81"/>
      <c r="H793" s="81"/>
      <c r="I793" s="289"/>
      <c r="J793" s="81"/>
      <c r="K793" s="81"/>
      <c r="L793" s="81"/>
      <c r="M793" s="81"/>
      <c r="N793" s="81"/>
      <c r="O793" s="289"/>
      <c r="P793" s="105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 ht="24" customHeight="1" x14ac:dyDescent="0.5">
      <c r="A794" s="81"/>
      <c r="B794" s="81"/>
      <c r="C794" s="81"/>
      <c r="D794" s="81"/>
      <c r="E794" s="81"/>
      <c r="F794" s="81"/>
      <c r="G794" s="81"/>
      <c r="H794" s="81"/>
      <c r="I794" s="289"/>
      <c r="J794" s="81"/>
      <c r="K794" s="81"/>
      <c r="L794" s="81"/>
      <c r="M794" s="81"/>
      <c r="N794" s="81"/>
      <c r="O794" s="289"/>
      <c r="P794" s="105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 ht="24" customHeight="1" x14ac:dyDescent="0.5">
      <c r="A795" s="81"/>
      <c r="B795" s="81"/>
      <c r="C795" s="81"/>
      <c r="D795" s="81"/>
      <c r="E795" s="81"/>
      <c r="F795" s="81"/>
      <c r="G795" s="81"/>
      <c r="H795" s="81"/>
      <c r="I795" s="289"/>
      <c r="J795" s="81"/>
      <c r="K795" s="81"/>
      <c r="L795" s="81"/>
      <c r="M795" s="81"/>
      <c r="N795" s="81"/>
      <c r="O795" s="289"/>
      <c r="P795" s="105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 ht="24" customHeight="1" x14ac:dyDescent="0.5">
      <c r="A796" s="81"/>
      <c r="B796" s="81"/>
      <c r="C796" s="81"/>
      <c r="D796" s="81"/>
      <c r="E796" s="81"/>
      <c r="F796" s="81"/>
      <c r="G796" s="81"/>
      <c r="H796" s="81"/>
      <c r="I796" s="289"/>
      <c r="J796" s="81"/>
      <c r="K796" s="81"/>
      <c r="L796" s="81"/>
      <c r="M796" s="81"/>
      <c r="N796" s="81"/>
      <c r="O796" s="289"/>
      <c r="P796" s="105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 ht="24" customHeight="1" x14ac:dyDescent="0.5">
      <c r="A797" s="81"/>
      <c r="B797" s="81"/>
      <c r="C797" s="81"/>
      <c r="D797" s="81"/>
      <c r="E797" s="81"/>
      <c r="F797" s="81"/>
      <c r="G797" s="81"/>
      <c r="H797" s="81"/>
      <c r="I797" s="289"/>
      <c r="J797" s="81"/>
      <c r="K797" s="81"/>
      <c r="L797" s="81"/>
      <c r="M797" s="81"/>
      <c r="N797" s="81"/>
      <c r="O797" s="289"/>
      <c r="P797" s="105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 ht="24" customHeight="1" x14ac:dyDescent="0.5">
      <c r="A798" s="81"/>
      <c r="B798" s="81"/>
      <c r="C798" s="81"/>
      <c r="D798" s="81"/>
      <c r="E798" s="81"/>
      <c r="F798" s="81"/>
      <c r="G798" s="81"/>
      <c r="H798" s="81"/>
      <c r="I798" s="289"/>
      <c r="J798" s="81"/>
      <c r="K798" s="81"/>
      <c r="L798" s="81"/>
      <c r="M798" s="81"/>
      <c r="N798" s="81"/>
      <c r="O798" s="289"/>
      <c r="P798" s="105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 ht="24" customHeight="1" x14ac:dyDescent="0.5">
      <c r="A799" s="81"/>
      <c r="B799" s="81"/>
      <c r="C799" s="81"/>
      <c r="D799" s="81"/>
      <c r="E799" s="81"/>
      <c r="F799" s="81"/>
      <c r="G799" s="81"/>
      <c r="H799" s="81"/>
      <c r="I799" s="289"/>
      <c r="J799" s="81"/>
      <c r="K799" s="81"/>
      <c r="L799" s="81"/>
      <c r="M799" s="81"/>
      <c r="N799" s="81"/>
      <c r="O799" s="289"/>
      <c r="P799" s="105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 ht="24" customHeight="1" x14ac:dyDescent="0.5">
      <c r="A800" s="81"/>
      <c r="B800" s="81"/>
      <c r="C800" s="81"/>
      <c r="D800" s="81"/>
      <c r="E800" s="81"/>
      <c r="F800" s="81"/>
      <c r="G800" s="81"/>
      <c r="H800" s="81"/>
      <c r="I800" s="289"/>
      <c r="J800" s="81"/>
      <c r="K800" s="81"/>
      <c r="L800" s="81"/>
      <c r="M800" s="81"/>
      <c r="N800" s="81"/>
      <c r="O800" s="289"/>
      <c r="P800" s="105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 ht="24" customHeight="1" x14ac:dyDescent="0.5">
      <c r="A801" s="81"/>
      <c r="B801" s="81"/>
      <c r="C801" s="81"/>
      <c r="D801" s="81"/>
      <c r="E801" s="81"/>
      <c r="F801" s="81"/>
      <c r="G801" s="81"/>
      <c r="H801" s="81"/>
      <c r="I801" s="289"/>
      <c r="J801" s="81"/>
      <c r="K801" s="81"/>
      <c r="L801" s="81"/>
      <c r="M801" s="81"/>
      <c r="N801" s="81"/>
      <c r="O801" s="289"/>
      <c r="P801" s="105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 ht="24" customHeight="1" x14ac:dyDescent="0.5">
      <c r="A802" s="81"/>
      <c r="B802" s="81"/>
      <c r="C802" s="81"/>
      <c r="D802" s="81"/>
      <c r="E802" s="81"/>
      <c r="F802" s="81"/>
      <c r="G802" s="81"/>
      <c r="H802" s="81"/>
      <c r="I802" s="289"/>
      <c r="J802" s="81"/>
      <c r="K802" s="81"/>
      <c r="L802" s="81"/>
      <c r="M802" s="81"/>
      <c r="N802" s="81"/>
      <c r="O802" s="289"/>
      <c r="P802" s="105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 ht="24" customHeight="1" x14ac:dyDescent="0.5">
      <c r="A803" s="81"/>
      <c r="B803" s="81"/>
      <c r="C803" s="81"/>
      <c r="D803" s="81"/>
      <c r="E803" s="81"/>
      <c r="F803" s="81"/>
      <c r="G803" s="81"/>
      <c r="H803" s="81"/>
      <c r="I803" s="289"/>
      <c r="J803" s="81"/>
      <c r="K803" s="81"/>
      <c r="L803" s="81"/>
      <c r="M803" s="81"/>
      <c r="N803" s="81"/>
      <c r="O803" s="289"/>
      <c r="P803" s="105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 ht="24" customHeight="1" x14ac:dyDescent="0.5">
      <c r="A804" s="81"/>
      <c r="B804" s="81"/>
      <c r="C804" s="81"/>
      <c r="D804" s="81"/>
      <c r="E804" s="81"/>
      <c r="F804" s="81"/>
      <c r="G804" s="81"/>
      <c r="H804" s="81"/>
      <c r="I804" s="289"/>
      <c r="J804" s="81"/>
      <c r="K804" s="81"/>
      <c r="L804" s="81"/>
      <c r="M804" s="81"/>
      <c r="N804" s="81"/>
      <c r="O804" s="289"/>
      <c r="P804" s="105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 ht="24" customHeight="1" x14ac:dyDescent="0.5">
      <c r="A805" s="81"/>
      <c r="B805" s="81"/>
      <c r="C805" s="81"/>
      <c r="D805" s="81"/>
      <c r="E805" s="81"/>
      <c r="F805" s="81"/>
      <c r="G805" s="81"/>
      <c r="H805" s="81"/>
      <c r="I805" s="289"/>
      <c r="J805" s="81"/>
      <c r="K805" s="81"/>
      <c r="L805" s="81"/>
      <c r="M805" s="81"/>
      <c r="N805" s="81"/>
      <c r="O805" s="289"/>
      <c r="P805" s="105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 ht="24" customHeight="1" x14ac:dyDescent="0.5">
      <c r="A806" s="81"/>
      <c r="B806" s="81"/>
      <c r="C806" s="81"/>
      <c r="D806" s="81"/>
      <c r="E806" s="81"/>
      <c r="F806" s="81"/>
      <c r="G806" s="81"/>
      <c r="H806" s="81"/>
      <c r="I806" s="289"/>
      <c r="J806" s="81"/>
      <c r="K806" s="81"/>
      <c r="L806" s="81"/>
      <c r="M806" s="81"/>
      <c r="N806" s="81"/>
      <c r="O806" s="289"/>
      <c r="P806" s="105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 ht="24" customHeight="1" x14ac:dyDescent="0.5">
      <c r="A807" s="81"/>
      <c r="B807" s="81"/>
      <c r="C807" s="81"/>
      <c r="D807" s="81"/>
      <c r="E807" s="81"/>
      <c r="F807" s="81"/>
      <c r="G807" s="81"/>
      <c r="H807" s="81"/>
      <c r="I807" s="289"/>
      <c r="J807" s="81"/>
      <c r="K807" s="81"/>
      <c r="L807" s="81"/>
      <c r="M807" s="81"/>
      <c r="N807" s="81"/>
      <c r="O807" s="289"/>
      <c r="P807" s="105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 ht="24" customHeight="1" x14ac:dyDescent="0.5">
      <c r="A808" s="81"/>
      <c r="B808" s="81"/>
      <c r="C808" s="81"/>
      <c r="D808" s="81"/>
      <c r="E808" s="81"/>
      <c r="F808" s="81"/>
      <c r="G808" s="81"/>
      <c r="H808" s="81"/>
      <c r="I808" s="289"/>
      <c r="J808" s="81"/>
      <c r="K808" s="81"/>
      <c r="L808" s="81"/>
      <c r="M808" s="81"/>
      <c r="N808" s="81"/>
      <c r="O808" s="289"/>
      <c r="P808" s="105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 ht="24" customHeight="1" x14ac:dyDescent="0.5">
      <c r="A809" s="81"/>
      <c r="B809" s="81"/>
      <c r="C809" s="81"/>
      <c r="D809" s="81"/>
      <c r="E809" s="81"/>
      <c r="F809" s="81"/>
      <c r="G809" s="81"/>
      <c r="H809" s="81"/>
      <c r="I809" s="289"/>
      <c r="J809" s="81"/>
      <c r="K809" s="81"/>
      <c r="L809" s="81"/>
      <c r="M809" s="81"/>
      <c r="N809" s="81"/>
      <c r="O809" s="289"/>
      <c r="P809" s="105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 ht="24" customHeight="1" x14ac:dyDescent="0.5">
      <c r="A810" s="81"/>
      <c r="B810" s="81"/>
      <c r="C810" s="81"/>
      <c r="D810" s="81"/>
      <c r="E810" s="81"/>
      <c r="F810" s="81"/>
      <c r="G810" s="81"/>
      <c r="H810" s="81"/>
      <c r="I810" s="289"/>
      <c r="J810" s="81"/>
      <c r="K810" s="81"/>
      <c r="L810" s="81"/>
      <c r="M810" s="81"/>
      <c r="N810" s="81"/>
      <c r="O810" s="289"/>
      <c r="P810" s="105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 ht="24" customHeight="1" x14ac:dyDescent="0.5">
      <c r="A811" s="81"/>
      <c r="B811" s="81"/>
      <c r="C811" s="81"/>
      <c r="D811" s="81"/>
      <c r="E811" s="81"/>
      <c r="F811" s="81"/>
      <c r="G811" s="81"/>
      <c r="H811" s="81"/>
      <c r="I811" s="289"/>
      <c r="J811" s="81"/>
      <c r="K811" s="81"/>
      <c r="L811" s="81"/>
      <c r="M811" s="81"/>
      <c r="N811" s="81"/>
      <c r="O811" s="289"/>
      <c r="P811" s="105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 ht="24" customHeight="1" x14ac:dyDescent="0.5">
      <c r="A812" s="81"/>
      <c r="B812" s="81"/>
      <c r="C812" s="81"/>
      <c r="D812" s="81"/>
      <c r="E812" s="81"/>
      <c r="F812" s="81"/>
      <c r="G812" s="81"/>
      <c r="H812" s="81"/>
      <c r="I812" s="289"/>
      <c r="J812" s="81"/>
      <c r="K812" s="81"/>
      <c r="L812" s="81"/>
      <c r="M812" s="81"/>
      <c r="N812" s="81"/>
      <c r="O812" s="289"/>
      <c r="P812" s="105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 ht="24" customHeight="1" x14ac:dyDescent="0.5">
      <c r="A813" s="81"/>
      <c r="B813" s="81"/>
      <c r="C813" s="81"/>
      <c r="D813" s="81"/>
      <c r="E813" s="81"/>
      <c r="F813" s="81"/>
      <c r="G813" s="81"/>
      <c r="H813" s="81"/>
      <c r="I813" s="289"/>
      <c r="J813" s="81"/>
      <c r="K813" s="81"/>
      <c r="L813" s="81"/>
      <c r="M813" s="81"/>
      <c r="N813" s="81"/>
      <c r="O813" s="289"/>
      <c r="P813" s="105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 ht="24" customHeight="1" x14ac:dyDescent="0.5">
      <c r="A814" s="81"/>
      <c r="B814" s="81"/>
      <c r="C814" s="81"/>
      <c r="D814" s="81"/>
      <c r="E814" s="81"/>
      <c r="F814" s="81"/>
      <c r="G814" s="81"/>
      <c r="H814" s="81"/>
      <c r="I814" s="289"/>
      <c r="J814" s="81"/>
      <c r="K814" s="81"/>
      <c r="L814" s="81"/>
      <c r="M814" s="81"/>
      <c r="N814" s="81"/>
      <c r="O814" s="289"/>
      <c r="P814" s="105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 ht="24" customHeight="1" x14ac:dyDescent="0.5">
      <c r="A815" s="81"/>
      <c r="B815" s="81"/>
      <c r="C815" s="81"/>
      <c r="D815" s="81"/>
      <c r="E815" s="81"/>
      <c r="F815" s="81"/>
      <c r="G815" s="81"/>
      <c r="H815" s="81"/>
      <c r="I815" s="289"/>
      <c r="J815" s="81"/>
      <c r="K815" s="81"/>
      <c r="L815" s="81"/>
      <c r="M815" s="81"/>
      <c r="N815" s="81"/>
      <c r="O815" s="289"/>
      <c r="P815" s="105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 ht="24" customHeight="1" x14ac:dyDescent="0.5">
      <c r="A816" s="81"/>
      <c r="B816" s="81"/>
      <c r="C816" s="81"/>
      <c r="D816" s="81"/>
      <c r="E816" s="81"/>
      <c r="F816" s="81"/>
      <c r="G816" s="81"/>
      <c r="H816" s="81"/>
      <c r="I816" s="289"/>
      <c r="J816" s="81"/>
      <c r="K816" s="81"/>
      <c r="L816" s="81"/>
      <c r="M816" s="81"/>
      <c r="N816" s="81"/>
      <c r="O816" s="289"/>
      <c r="P816" s="105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 ht="24" customHeight="1" x14ac:dyDescent="0.5">
      <c r="A817" s="81"/>
      <c r="B817" s="81"/>
      <c r="C817" s="81"/>
      <c r="D817" s="81"/>
      <c r="E817" s="81"/>
      <c r="F817" s="81"/>
      <c r="G817" s="81"/>
      <c r="H817" s="81"/>
      <c r="I817" s="289"/>
      <c r="J817" s="81"/>
      <c r="K817" s="81"/>
      <c r="L817" s="81"/>
      <c r="M817" s="81"/>
      <c r="N817" s="81"/>
      <c r="O817" s="289"/>
      <c r="P817" s="105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 ht="24" customHeight="1" x14ac:dyDescent="0.5">
      <c r="A818" s="81"/>
      <c r="B818" s="81"/>
      <c r="C818" s="81"/>
      <c r="D818" s="81"/>
      <c r="E818" s="81"/>
      <c r="F818" s="81"/>
      <c r="G818" s="81"/>
      <c r="H818" s="81"/>
      <c r="I818" s="289"/>
      <c r="J818" s="81"/>
      <c r="K818" s="81"/>
      <c r="L818" s="81"/>
      <c r="M818" s="81"/>
      <c r="N818" s="81"/>
      <c r="O818" s="289"/>
      <c r="P818" s="105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 ht="24" customHeight="1" x14ac:dyDescent="0.5">
      <c r="A819" s="81"/>
      <c r="B819" s="81"/>
      <c r="C819" s="81"/>
      <c r="D819" s="81"/>
      <c r="E819" s="81"/>
      <c r="F819" s="81"/>
      <c r="G819" s="81"/>
      <c r="H819" s="81"/>
      <c r="I819" s="289"/>
      <c r="J819" s="81"/>
      <c r="K819" s="81"/>
      <c r="L819" s="81"/>
      <c r="M819" s="81"/>
      <c r="N819" s="81"/>
      <c r="O819" s="289"/>
      <c r="P819" s="105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 ht="24" customHeight="1" x14ac:dyDescent="0.5">
      <c r="A820" s="81"/>
      <c r="B820" s="81"/>
      <c r="C820" s="81"/>
      <c r="D820" s="81"/>
      <c r="E820" s="81"/>
      <c r="F820" s="81"/>
      <c r="G820" s="81"/>
      <c r="H820" s="81"/>
      <c r="I820" s="289"/>
      <c r="J820" s="81"/>
      <c r="K820" s="81"/>
      <c r="L820" s="81"/>
      <c r="M820" s="81"/>
      <c r="N820" s="81"/>
      <c r="O820" s="289"/>
      <c r="P820" s="105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 ht="24" customHeight="1" x14ac:dyDescent="0.5">
      <c r="A821" s="81"/>
      <c r="B821" s="81"/>
      <c r="C821" s="81"/>
      <c r="D821" s="81"/>
      <c r="E821" s="81"/>
      <c r="F821" s="81"/>
      <c r="G821" s="81"/>
      <c r="H821" s="81"/>
      <c r="I821" s="289"/>
      <c r="J821" s="81"/>
      <c r="K821" s="81"/>
      <c r="L821" s="81"/>
      <c r="M821" s="81"/>
      <c r="N821" s="81"/>
      <c r="O821" s="289"/>
      <c r="P821" s="105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 ht="24" customHeight="1" x14ac:dyDescent="0.5">
      <c r="A822" s="81"/>
      <c r="B822" s="81"/>
      <c r="C822" s="81"/>
      <c r="D822" s="81"/>
      <c r="E822" s="81"/>
      <c r="F822" s="81"/>
      <c r="G822" s="81"/>
      <c r="H822" s="81"/>
      <c r="I822" s="289"/>
      <c r="J822" s="81"/>
      <c r="K822" s="81"/>
      <c r="L822" s="81"/>
      <c r="M822" s="81"/>
      <c r="N822" s="81"/>
      <c r="O822" s="289"/>
      <c r="P822" s="105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 ht="24" customHeight="1" x14ac:dyDescent="0.5">
      <c r="A823" s="81"/>
      <c r="B823" s="81"/>
      <c r="C823" s="81"/>
      <c r="D823" s="81"/>
      <c r="E823" s="81"/>
      <c r="F823" s="81"/>
      <c r="G823" s="81"/>
      <c r="H823" s="81"/>
      <c r="I823" s="289"/>
      <c r="J823" s="81"/>
      <c r="K823" s="81"/>
      <c r="L823" s="81"/>
      <c r="M823" s="81"/>
      <c r="N823" s="81"/>
      <c r="O823" s="289"/>
      <c r="P823" s="105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 ht="24" customHeight="1" x14ac:dyDescent="0.5">
      <c r="A824" s="81"/>
      <c r="B824" s="81"/>
      <c r="C824" s="81"/>
      <c r="D824" s="81"/>
      <c r="E824" s="81"/>
      <c r="F824" s="81"/>
      <c r="G824" s="81"/>
      <c r="H824" s="81"/>
      <c r="I824" s="289"/>
      <c r="J824" s="81"/>
      <c r="K824" s="81"/>
      <c r="L824" s="81"/>
      <c r="M824" s="81"/>
      <c r="N824" s="81"/>
      <c r="O824" s="289"/>
      <c r="P824" s="105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 ht="24" customHeight="1" x14ac:dyDescent="0.5">
      <c r="A825" s="81"/>
      <c r="B825" s="81"/>
      <c r="C825" s="81"/>
      <c r="D825" s="81"/>
      <c r="E825" s="81"/>
      <c r="F825" s="81"/>
      <c r="G825" s="81"/>
      <c r="H825" s="81"/>
      <c r="I825" s="289"/>
      <c r="J825" s="81"/>
      <c r="K825" s="81"/>
      <c r="L825" s="81"/>
      <c r="M825" s="81"/>
      <c r="N825" s="81"/>
      <c r="O825" s="289"/>
      <c r="P825" s="105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 ht="24" customHeight="1" x14ac:dyDescent="0.5">
      <c r="A826" s="81"/>
      <c r="B826" s="81"/>
      <c r="C826" s="81"/>
      <c r="D826" s="81"/>
      <c r="E826" s="81"/>
      <c r="F826" s="81"/>
      <c r="G826" s="81"/>
      <c r="H826" s="81"/>
      <c r="I826" s="289"/>
      <c r="J826" s="81"/>
      <c r="K826" s="81"/>
      <c r="L826" s="81"/>
      <c r="M826" s="81"/>
      <c r="N826" s="81"/>
      <c r="O826" s="289"/>
      <c r="P826" s="105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 ht="24" customHeight="1" x14ac:dyDescent="0.5">
      <c r="A827" s="81"/>
      <c r="B827" s="81"/>
      <c r="C827" s="81"/>
      <c r="D827" s="81"/>
      <c r="E827" s="81"/>
      <c r="F827" s="81"/>
      <c r="G827" s="81"/>
      <c r="H827" s="81"/>
      <c r="I827" s="289"/>
      <c r="J827" s="81"/>
      <c r="K827" s="81"/>
      <c r="L827" s="81"/>
      <c r="M827" s="81"/>
      <c r="N827" s="81"/>
      <c r="O827" s="289"/>
      <c r="P827" s="105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 ht="24" customHeight="1" x14ac:dyDescent="0.5">
      <c r="A828" s="81"/>
      <c r="B828" s="81"/>
      <c r="C828" s="81"/>
      <c r="D828" s="81"/>
      <c r="E828" s="81"/>
      <c r="F828" s="81"/>
      <c r="G828" s="81"/>
      <c r="H828" s="81"/>
      <c r="I828" s="289"/>
      <c r="J828" s="81"/>
      <c r="K828" s="81"/>
      <c r="L828" s="81"/>
      <c r="M828" s="81"/>
      <c r="N828" s="81"/>
      <c r="O828" s="289"/>
      <c r="P828" s="105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 ht="24" customHeight="1" x14ac:dyDescent="0.5">
      <c r="A829" s="81"/>
      <c r="B829" s="81"/>
      <c r="C829" s="81"/>
      <c r="D829" s="81"/>
      <c r="E829" s="81"/>
      <c r="F829" s="81"/>
      <c r="G829" s="81"/>
      <c r="H829" s="81"/>
      <c r="I829" s="289"/>
      <c r="J829" s="81"/>
      <c r="K829" s="81"/>
      <c r="L829" s="81"/>
      <c r="M829" s="81"/>
      <c r="N829" s="81"/>
      <c r="O829" s="289"/>
      <c r="P829" s="105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 ht="24" customHeight="1" x14ac:dyDescent="0.5">
      <c r="A830" s="81"/>
      <c r="B830" s="81"/>
      <c r="C830" s="81"/>
      <c r="D830" s="81"/>
      <c r="E830" s="81"/>
      <c r="F830" s="81"/>
      <c r="G830" s="81"/>
      <c r="H830" s="81"/>
      <c r="I830" s="289"/>
      <c r="J830" s="81"/>
      <c r="K830" s="81"/>
      <c r="L830" s="81"/>
      <c r="M830" s="81"/>
      <c r="N830" s="81"/>
      <c r="O830" s="289"/>
      <c r="P830" s="105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 ht="24" customHeight="1" x14ac:dyDescent="0.5">
      <c r="A831" s="81"/>
      <c r="B831" s="81"/>
      <c r="C831" s="81"/>
      <c r="D831" s="81"/>
      <c r="E831" s="81"/>
      <c r="F831" s="81"/>
      <c r="G831" s="81"/>
      <c r="H831" s="81"/>
      <c r="I831" s="289"/>
      <c r="J831" s="81"/>
      <c r="K831" s="81"/>
      <c r="L831" s="81"/>
      <c r="M831" s="81"/>
      <c r="N831" s="81"/>
      <c r="O831" s="289"/>
      <c r="P831" s="105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 ht="24" customHeight="1" x14ac:dyDescent="0.5">
      <c r="A832" s="81"/>
      <c r="B832" s="81"/>
      <c r="C832" s="81"/>
      <c r="D832" s="81"/>
      <c r="E832" s="81"/>
      <c r="F832" s="81"/>
      <c r="G832" s="81"/>
      <c r="H832" s="81"/>
      <c r="I832" s="289"/>
      <c r="J832" s="81"/>
      <c r="K832" s="81"/>
      <c r="L832" s="81"/>
      <c r="M832" s="81"/>
      <c r="N832" s="81"/>
      <c r="O832" s="289"/>
      <c r="P832" s="105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 ht="24" customHeight="1" x14ac:dyDescent="0.5">
      <c r="A833" s="81"/>
      <c r="B833" s="81"/>
      <c r="C833" s="81"/>
      <c r="D833" s="81"/>
      <c r="E833" s="81"/>
      <c r="F833" s="81"/>
      <c r="G833" s="81"/>
      <c r="H833" s="81"/>
      <c r="I833" s="289"/>
      <c r="J833" s="81"/>
      <c r="K833" s="81"/>
      <c r="L833" s="81"/>
      <c r="M833" s="81"/>
      <c r="N833" s="81"/>
      <c r="O833" s="289"/>
      <c r="P833" s="105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 ht="24" customHeight="1" x14ac:dyDescent="0.5">
      <c r="A834" s="81"/>
      <c r="B834" s="81"/>
      <c r="C834" s="81"/>
      <c r="D834" s="81"/>
      <c r="E834" s="81"/>
      <c r="F834" s="81"/>
      <c r="G834" s="81"/>
      <c r="H834" s="81"/>
      <c r="I834" s="289"/>
      <c r="J834" s="81"/>
      <c r="K834" s="81"/>
      <c r="L834" s="81"/>
      <c r="M834" s="81"/>
      <c r="N834" s="81"/>
      <c r="O834" s="289"/>
      <c r="P834" s="105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 ht="24" customHeight="1" x14ac:dyDescent="0.5">
      <c r="A835" s="81"/>
      <c r="B835" s="81"/>
      <c r="C835" s="81"/>
      <c r="D835" s="81"/>
      <c r="E835" s="81"/>
      <c r="F835" s="81"/>
      <c r="G835" s="81"/>
      <c r="H835" s="81"/>
      <c r="I835" s="289"/>
      <c r="J835" s="81"/>
      <c r="K835" s="81"/>
      <c r="L835" s="81"/>
      <c r="M835" s="81"/>
      <c r="N835" s="81"/>
      <c r="O835" s="289"/>
      <c r="P835" s="105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 ht="24" customHeight="1" x14ac:dyDescent="0.5">
      <c r="A836" s="81"/>
      <c r="B836" s="81"/>
      <c r="C836" s="81"/>
      <c r="D836" s="81"/>
      <c r="E836" s="81"/>
      <c r="F836" s="81"/>
      <c r="G836" s="81"/>
      <c r="H836" s="81"/>
      <c r="I836" s="289"/>
      <c r="J836" s="81"/>
      <c r="K836" s="81"/>
      <c r="L836" s="81"/>
      <c r="M836" s="81"/>
      <c r="N836" s="81"/>
      <c r="O836" s="289"/>
      <c r="P836" s="105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 ht="24" customHeight="1" x14ac:dyDescent="0.5">
      <c r="A837" s="81"/>
      <c r="B837" s="81"/>
      <c r="C837" s="81"/>
      <c r="D837" s="81"/>
      <c r="E837" s="81"/>
      <c r="F837" s="81"/>
      <c r="G837" s="81"/>
      <c r="H837" s="81"/>
      <c r="I837" s="289"/>
      <c r="J837" s="81"/>
      <c r="K837" s="81"/>
      <c r="L837" s="81"/>
      <c r="M837" s="81"/>
      <c r="N837" s="81"/>
      <c r="O837" s="289"/>
      <c r="P837" s="105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 ht="24" customHeight="1" x14ac:dyDescent="0.5">
      <c r="A838" s="81"/>
      <c r="B838" s="81"/>
      <c r="C838" s="81"/>
      <c r="D838" s="81"/>
      <c r="E838" s="81"/>
      <c r="F838" s="81"/>
      <c r="G838" s="81"/>
      <c r="H838" s="81"/>
      <c r="I838" s="289"/>
      <c r="J838" s="81"/>
      <c r="K838" s="81"/>
      <c r="L838" s="81"/>
      <c r="M838" s="81"/>
      <c r="N838" s="81"/>
      <c r="O838" s="289"/>
      <c r="P838" s="105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 ht="24" customHeight="1" x14ac:dyDescent="0.5">
      <c r="A839" s="81"/>
      <c r="B839" s="81"/>
      <c r="C839" s="81"/>
      <c r="D839" s="81"/>
      <c r="E839" s="81"/>
      <c r="F839" s="81"/>
      <c r="G839" s="81"/>
      <c r="H839" s="81"/>
      <c r="I839" s="289"/>
      <c r="J839" s="81"/>
      <c r="K839" s="81"/>
      <c r="L839" s="81"/>
      <c r="M839" s="81"/>
      <c r="N839" s="81"/>
      <c r="O839" s="289"/>
      <c r="P839" s="105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 ht="24" customHeight="1" x14ac:dyDescent="0.5">
      <c r="A840" s="81"/>
      <c r="B840" s="81"/>
      <c r="C840" s="81"/>
      <c r="D840" s="81"/>
      <c r="E840" s="81"/>
      <c r="F840" s="81"/>
      <c r="G840" s="81"/>
      <c r="H840" s="81"/>
      <c r="I840" s="289"/>
      <c r="J840" s="81"/>
      <c r="K840" s="81"/>
      <c r="L840" s="81"/>
      <c r="M840" s="81"/>
      <c r="N840" s="81"/>
      <c r="O840" s="289"/>
      <c r="P840" s="105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 ht="24" customHeight="1" x14ac:dyDescent="0.5">
      <c r="A841" s="81"/>
      <c r="B841" s="81"/>
      <c r="C841" s="81"/>
      <c r="D841" s="81"/>
      <c r="E841" s="81"/>
      <c r="F841" s="81"/>
      <c r="G841" s="81"/>
      <c r="H841" s="81"/>
      <c r="I841" s="289"/>
      <c r="J841" s="81"/>
      <c r="K841" s="81"/>
      <c r="L841" s="81"/>
      <c r="M841" s="81"/>
      <c r="N841" s="81"/>
      <c r="O841" s="289"/>
      <c r="P841" s="105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 ht="24" customHeight="1" x14ac:dyDescent="0.5">
      <c r="A842" s="81"/>
      <c r="B842" s="81"/>
      <c r="C842" s="81"/>
      <c r="D842" s="81"/>
      <c r="E842" s="81"/>
      <c r="F842" s="81"/>
      <c r="G842" s="81"/>
      <c r="H842" s="81"/>
      <c r="I842" s="289"/>
      <c r="J842" s="81"/>
      <c r="K842" s="81"/>
      <c r="L842" s="81"/>
      <c r="M842" s="81"/>
      <c r="N842" s="81"/>
      <c r="O842" s="289"/>
      <c r="P842" s="105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 ht="24" customHeight="1" x14ac:dyDescent="0.5">
      <c r="A843" s="81"/>
      <c r="B843" s="81"/>
      <c r="C843" s="81"/>
      <c r="D843" s="81"/>
      <c r="E843" s="81"/>
      <c r="F843" s="81"/>
      <c r="G843" s="81"/>
      <c r="H843" s="81"/>
      <c r="I843" s="289"/>
      <c r="J843" s="81"/>
      <c r="K843" s="81"/>
      <c r="L843" s="81"/>
      <c r="M843" s="81"/>
      <c r="N843" s="81"/>
      <c r="O843" s="289"/>
      <c r="P843" s="105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 ht="24" customHeight="1" x14ac:dyDescent="0.5">
      <c r="A844" s="81"/>
      <c r="B844" s="81"/>
      <c r="C844" s="81"/>
      <c r="D844" s="81"/>
      <c r="E844" s="81"/>
      <c r="F844" s="81"/>
      <c r="G844" s="81"/>
      <c r="H844" s="81"/>
      <c r="I844" s="289"/>
      <c r="J844" s="81"/>
      <c r="K844" s="81"/>
      <c r="L844" s="81"/>
      <c r="M844" s="81"/>
      <c r="N844" s="81"/>
      <c r="O844" s="289"/>
      <c r="P844" s="105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 ht="24" customHeight="1" x14ac:dyDescent="0.5">
      <c r="A845" s="81"/>
      <c r="B845" s="81"/>
      <c r="C845" s="81"/>
      <c r="D845" s="81"/>
      <c r="E845" s="81"/>
      <c r="F845" s="81"/>
      <c r="G845" s="81"/>
      <c r="H845" s="81"/>
      <c r="I845" s="289"/>
      <c r="J845" s="81"/>
      <c r="K845" s="81"/>
      <c r="L845" s="81"/>
      <c r="M845" s="81"/>
      <c r="N845" s="81"/>
      <c r="O845" s="289"/>
      <c r="P845" s="105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 ht="24" customHeight="1" x14ac:dyDescent="0.5">
      <c r="A846" s="81"/>
      <c r="B846" s="81"/>
      <c r="C846" s="81"/>
      <c r="D846" s="81"/>
      <c r="E846" s="81"/>
      <c r="F846" s="81"/>
      <c r="G846" s="81"/>
      <c r="H846" s="81"/>
      <c r="I846" s="289"/>
      <c r="J846" s="81"/>
      <c r="K846" s="81"/>
      <c r="L846" s="81"/>
      <c r="M846" s="81"/>
      <c r="N846" s="81"/>
      <c r="O846" s="289"/>
      <c r="P846" s="105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 ht="24" customHeight="1" x14ac:dyDescent="0.5">
      <c r="A847" s="81"/>
      <c r="B847" s="81"/>
      <c r="C847" s="81"/>
      <c r="D847" s="81"/>
      <c r="E847" s="81"/>
      <c r="F847" s="81"/>
      <c r="G847" s="81"/>
      <c r="H847" s="81"/>
      <c r="I847" s="289"/>
      <c r="J847" s="81"/>
      <c r="K847" s="81"/>
      <c r="L847" s="81"/>
      <c r="M847" s="81"/>
      <c r="N847" s="81"/>
      <c r="O847" s="289"/>
      <c r="P847" s="105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 ht="24" customHeight="1" x14ac:dyDescent="0.5">
      <c r="A848" s="81"/>
      <c r="B848" s="81"/>
      <c r="C848" s="81"/>
      <c r="D848" s="81"/>
      <c r="E848" s="81"/>
      <c r="F848" s="81"/>
      <c r="G848" s="81"/>
      <c r="H848" s="81"/>
      <c r="I848" s="289"/>
      <c r="J848" s="81"/>
      <c r="K848" s="81"/>
      <c r="L848" s="81"/>
      <c r="M848" s="81"/>
      <c r="N848" s="81"/>
      <c r="O848" s="289"/>
      <c r="P848" s="105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 ht="24" customHeight="1" x14ac:dyDescent="0.5">
      <c r="A849" s="81"/>
      <c r="B849" s="81"/>
      <c r="C849" s="81"/>
      <c r="D849" s="81"/>
      <c r="E849" s="81"/>
      <c r="F849" s="81"/>
      <c r="G849" s="81"/>
      <c r="H849" s="81"/>
      <c r="I849" s="289"/>
      <c r="J849" s="81"/>
      <c r="K849" s="81"/>
      <c r="L849" s="81"/>
      <c r="M849" s="81"/>
      <c r="N849" s="81"/>
      <c r="O849" s="289"/>
      <c r="P849" s="105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 ht="24" customHeight="1" x14ac:dyDescent="0.5">
      <c r="A850" s="81"/>
      <c r="B850" s="81"/>
      <c r="C850" s="81"/>
      <c r="D850" s="81"/>
      <c r="E850" s="81"/>
      <c r="F850" s="81"/>
      <c r="G850" s="81"/>
      <c r="H850" s="81"/>
      <c r="I850" s="289"/>
      <c r="J850" s="81"/>
      <c r="K850" s="81"/>
      <c r="L850" s="81"/>
      <c r="M850" s="81"/>
      <c r="N850" s="81"/>
      <c r="O850" s="289"/>
      <c r="P850" s="105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 ht="24" customHeight="1" x14ac:dyDescent="0.5">
      <c r="A851" s="81"/>
      <c r="B851" s="81"/>
      <c r="C851" s="81"/>
      <c r="D851" s="81"/>
      <c r="E851" s="81"/>
      <c r="F851" s="81"/>
      <c r="G851" s="81"/>
      <c r="H851" s="81"/>
      <c r="I851" s="289"/>
      <c r="J851" s="81"/>
      <c r="K851" s="81"/>
      <c r="L851" s="81"/>
      <c r="M851" s="81"/>
      <c r="N851" s="81"/>
      <c r="O851" s="289"/>
      <c r="P851" s="105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 ht="24" customHeight="1" x14ac:dyDescent="0.5">
      <c r="A852" s="81"/>
      <c r="B852" s="81"/>
      <c r="C852" s="81"/>
      <c r="D852" s="81"/>
      <c r="E852" s="81"/>
      <c r="F852" s="81"/>
      <c r="G852" s="81"/>
      <c r="H852" s="81"/>
      <c r="I852" s="289"/>
      <c r="J852" s="81"/>
      <c r="K852" s="81"/>
      <c r="L852" s="81"/>
      <c r="M852" s="81"/>
      <c r="N852" s="81"/>
      <c r="O852" s="289"/>
      <c r="P852" s="105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 ht="24" customHeight="1" x14ac:dyDescent="0.5">
      <c r="A853" s="81"/>
      <c r="B853" s="81"/>
      <c r="C853" s="81"/>
      <c r="D853" s="81"/>
      <c r="E853" s="81"/>
      <c r="F853" s="81"/>
      <c r="G853" s="81"/>
      <c r="H853" s="81"/>
      <c r="I853" s="289"/>
      <c r="J853" s="81"/>
      <c r="K853" s="81"/>
      <c r="L853" s="81"/>
      <c r="M853" s="81"/>
      <c r="N853" s="81"/>
      <c r="O853" s="289"/>
      <c r="P853" s="105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 ht="24" customHeight="1" x14ac:dyDescent="0.5">
      <c r="A854" s="81"/>
      <c r="B854" s="81"/>
      <c r="C854" s="81"/>
      <c r="D854" s="81"/>
      <c r="E854" s="81"/>
      <c r="F854" s="81"/>
      <c r="G854" s="81"/>
      <c r="H854" s="81"/>
      <c r="I854" s="289"/>
      <c r="J854" s="81"/>
      <c r="K854" s="81"/>
      <c r="L854" s="81"/>
      <c r="M854" s="81"/>
      <c r="N854" s="81"/>
      <c r="O854" s="289"/>
      <c r="P854" s="105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 ht="24" customHeight="1" x14ac:dyDescent="0.5">
      <c r="A855" s="81"/>
      <c r="B855" s="81"/>
      <c r="C855" s="81"/>
      <c r="D855" s="81"/>
      <c r="E855" s="81"/>
      <c r="F855" s="81"/>
      <c r="G855" s="81"/>
      <c r="H855" s="81"/>
      <c r="I855" s="289"/>
      <c r="J855" s="81"/>
      <c r="K855" s="81"/>
      <c r="L855" s="81"/>
      <c r="M855" s="81"/>
      <c r="N855" s="81"/>
      <c r="O855" s="289"/>
      <c r="P855" s="105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 ht="24" customHeight="1" x14ac:dyDescent="0.5">
      <c r="A856" s="81"/>
      <c r="B856" s="81"/>
      <c r="C856" s="81"/>
      <c r="D856" s="81"/>
      <c r="E856" s="81"/>
      <c r="F856" s="81"/>
      <c r="G856" s="81"/>
      <c r="H856" s="81"/>
      <c r="I856" s="289"/>
      <c r="J856" s="81"/>
      <c r="K856" s="81"/>
      <c r="L856" s="81"/>
      <c r="M856" s="81"/>
      <c r="N856" s="81"/>
      <c r="O856" s="289"/>
      <c r="P856" s="105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 ht="24" customHeight="1" x14ac:dyDescent="0.5">
      <c r="A857" s="81"/>
      <c r="B857" s="81"/>
      <c r="C857" s="81"/>
      <c r="D857" s="81"/>
      <c r="E857" s="81"/>
      <c r="F857" s="81"/>
      <c r="G857" s="81"/>
      <c r="H857" s="81"/>
      <c r="I857" s="289"/>
      <c r="J857" s="81"/>
      <c r="K857" s="81"/>
      <c r="L857" s="81"/>
      <c r="M857" s="81"/>
      <c r="N857" s="81"/>
      <c r="O857" s="289"/>
      <c r="P857" s="105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 ht="24" customHeight="1" x14ac:dyDescent="0.5">
      <c r="A858" s="81"/>
      <c r="B858" s="81"/>
      <c r="C858" s="81"/>
      <c r="D858" s="81"/>
      <c r="E858" s="81"/>
      <c r="F858" s="81"/>
      <c r="G858" s="81"/>
      <c r="H858" s="81"/>
      <c r="I858" s="289"/>
      <c r="J858" s="81"/>
      <c r="K858" s="81"/>
      <c r="L858" s="81"/>
      <c r="M858" s="81"/>
      <c r="N858" s="81"/>
      <c r="O858" s="289"/>
      <c r="P858" s="105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 ht="24" customHeight="1" x14ac:dyDescent="0.5">
      <c r="A859" s="81"/>
      <c r="B859" s="81"/>
      <c r="C859" s="81"/>
      <c r="D859" s="81"/>
      <c r="E859" s="81"/>
      <c r="F859" s="81"/>
      <c r="G859" s="81"/>
      <c r="H859" s="81"/>
      <c r="I859" s="289"/>
      <c r="J859" s="81"/>
      <c r="K859" s="81"/>
      <c r="L859" s="81"/>
      <c r="M859" s="81"/>
      <c r="N859" s="81"/>
      <c r="O859" s="289"/>
      <c r="P859" s="105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 ht="24" customHeight="1" x14ac:dyDescent="0.5">
      <c r="A860" s="81"/>
      <c r="B860" s="81"/>
      <c r="C860" s="81"/>
      <c r="D860" s="81"/>
      <c r="E860" s="81"/>
      <c r="F860" s="81"/>
      <c r="G860" s="81"/>
      <c r="H860" s="81"/>
      <c r="I860" s="289"/>
      <c r="J860" s="81"/>
      <c r="K860" s="81"/>
      <c r="L860" s="81"/>
      <c r="M860" s="81"/>
      <c r="N860" s="81"/>
      <c r="O860" s="289"/>
      <c r="P860" s="105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 ht="24" customHeight="1" x14ac:dyDescent="0.5">
      <c r="A861" s="81"/>
      <c r="B861" s="81"/>
      <c r="C861" s="81"/>
      <c r="D861" s="81"/>
      <c r="E861" s="81"/>
      <c r="F861" s="81"/>
      <c r="G861" s="81"/>
      <c r="H861" s="81"/>
      <c r="I861" s="289"/>
      <c r="J861" s="81"/>
      <c r="K861" s="81"/>
      <c r="L861" s="81"/>
      <c r="M861" s="81"/>
      <c r="N861" s="81"/>
      <c r="O861" s="289"/>
      <c r="P861" s="105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 ht="24" customHeight="1" x14ac:dyDescent="0.5">
      <c r="A862" s="81"/>
      <c r="B862" s="81"/>
      <c r="C862" s="81"/>
      <c r="D862" s="81"/>
      <c r="E862" s="81"/>
      <c r="F862" s="81"/>
      <c r="G862" s="81"/>
      <c r="H862" s="81"/>
      <c r="I862" s="289"/>
      <c r="J862" s="81"/>
      <c r="K862" s="81"/>
      <c r="L862" s="81"/>
      <c r="M862" s="81"/>
      <c r="N862" s="81"/>
      <c r="O862" s="289"/>
      <c r="P862" s="105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 ht="24" customHeight="1" x14ac:dyDescent="0.5">
      <c r="A863" s="81"/>
      <c r="B863" s="81"/>
      <c r="C863" s="81"/>
      <c r="D863" s="81"/>
      <c r="E863" s="81"/>
      <c r="F863" s="81"/>
      <c r="G863" s="81"/>
      <c r="H863" s="81"/>
      <c r="I863" s="289"/>
      <c r="J863" s="81"/>
      <c r="K863" s="81"/>
      <c r="L863" s="81"/>
      <c r="M863" s="81"/>
      <c r="N863" s="81"/>
      <c r="O863" s="289"/>
      <c r="P863" s="105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 ht="24" customHeight="1" x14ac:dyDescent="0.5">
      <c r="A864" s="81"/>
      <c r="B864" s="81"/>
      <c r="C864" s="81"/>
      <c r="D864" s="81"/>
      <c r="E864" s="81"/>
      <c r="F864" s="81"/>
      <c r="G864" s="81"/>
      <c r="H864" s="81"/>
      <c r="I864" s="289"/>
      <c r="J864" s="81"/>
      <c r="K864" s="81"/>
      <c r="L864" s="81"/>
      <c r="M864" s="81"/>
      <c r="N864" s="81"/>
      <c r="O864" s="289"/>
      <c r="P864" s="105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 ht="24" customHeight="1" x14ac:dyDescent="0.5">
      <c r="A865" s="81"/>
      <c r="B865" s="81"/>
      <c r="C865" s="81"/>
      <c r="D865" s="81"/>
      <c r="E865" s="81"/>
      <c r="F865" s="81"/>
      <c r="G865" s="81"/>
      <c r="H865" s="81"/>
      <c r="I865" s="289"/>
      <c r="J865" s="81"/>
      <c r="K865" s="81"/>
      <c r="L865" s="81"/>
      <c r="M865" s="81"/>
      <c r="N865" s="81"/>
      <c r="O865" s="289"/>
      <c r="P865" s="105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 ht="24" customHeight="1" x14ac:dyDescent="0.5">
      <c r="A866" s="81"/>
      <c r="B866" s="81"/>
      <c r="C866" s="81"/>
      <c r="D866" s="81"/>
      <c r="E866" s="81"/>
      <c r="F866" s="81"/>
      <c r="G866" s="81"/>
      <c r="H866" s="81"/>
      <c r="I866" s="289"/>
      <c r="J866" s="81"/>
      <c r="K866" s="81"/>
      <c r="L866" s="81"/>
      <c r="M866" s="81"/>
      <c r="N866" s="81"/>
      <c r="O866" s="289"/>
      <c r="P866" s="105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 ht="24" customHeight="1" x14ac:dyDescent="0.5">
      <c r="A867" s="81"/>
      <c r="B867" s="81"/>
      <c r="C867" s="81"/>
      <c r="D867" s="81"/>
      <c r="E867" s="81"/>
      <c r="F867" s="81"/>
      <c r="G867" s="81"/>
      <c r="H867" s="81"/>
      <c r="I867" s="289"/>
      <c r="J867" s="81"/>
      <c r="K867" s="81"/>
      <c r="L867" s="81"/>
      <c r="M867" s="81"/>
      <c r="N867" s="81"/>
      <c r="O867" s="289"/>
      <c r="P867" s="105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 ht="24" customHeight="1" x14ac:dyDescent="0.5">
      <c r="A868" s="81"/>
      <c r="B868" s="81"/>
      <c r="C868" s="81"/>
      <c r="D868" s="81"/>
      <c r="E868" s="81"/>
      <c r="F868" s="81"/>
      <c r="G868" s="81"/>
      <c r="H868" s="81"/>
      <c r="I868" s="289"/>
      <c r="J868" s="81"/>
      <c r="K868" s="81"/>
      <c r="L868" s="81"/>
      <c r="M868" s="81"/>
      <c r="N868" s="81"/>
      <c r="O868" s="289"/>
      <c r="P868" s="105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 ht="24" customHeight="1" x14ac:dyDescent="0.5">
      <c r="A869" s="81"/>
      <c r="B869" s="81"/>
      <c r="C869" s="81"/>
      <c r="D869" s="81"/>
      <c r="E869" s="81"/>
      <c r="F869" s="81"/>
      <c r="G869" s="81"/>
      <c r="H869" s="81"/>
      <c r="I869" s="289"/>
      <c r="J869" s="81"/>
      <c r="K869" s="81"/>
      <c r="L869" s="81"/>
      <c r="M869" s="81"/>
      <c r="N869" s="81"/>
      <c r="O869" s="289"/>
      <c r="P869" s="105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 ht="24" customHeight="1" x14ac:dyDescent="0.5">
      <c r="A870" s="81"/>
      <c r="B870" s="81"/>
      <c r="C870" s="81"/>
      <c r="D870" s="81"/>
      <c r="E870" s="81"/>
      <c r="F870" s="81"/>
      <c r="G870" s="81"/>
      <c r="H870" s="81"/>
      <c r="I870" s="289"/>
      <c r="J870" s="81"/>
      <c r="K870" s="81"/>
      <c r="L870" s="81"/>
      <c r="M870" s="81"/>
      <c r="N870" s="81"/>
      <c r="O870" s="289"/>
      <c r="P870" s="105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 ht="24" customHeight="1" x14ac:dyDescent="0.5">
      <c r="A871" s="81"/>
      <c r="B871" s="81"/>
      <c r="C871" s="81"/>
      <c r="D871" s="81"/>
      <c r="E871" s="81"/>
      <c r="F871" s="81"/>
      <c r="G871" s="81"/>
      <c r="H871" s="81"/>
      <c r="I871" s="289"/>
      <c r="J871" s="81"/>
      <c r="K871" s="81"/>
      <c r="L871" s="81"/>
      <c r="M871" s="81"/>
      <c r="N871" s="81"/>
      <c r="O871" s="289"/>
      <c r="P871" s="105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 ht="24" customHeight="1" x14ac:dyDescent="0.5">
      <c r="A872" s="81"/>
      <c r="B872" s="81"/>
      <c r="C872" s="81"/>
      <c r="D872" s="81"/>
      <c r="E872" s="81"/>
      <c r="F872" s="81"/>
      <c r="G872" s="81"/>
      <c r="H872" s="81"/>
      <c r="I872" s="289"/>
      <c r="J872" s="81"/>
      <c r="K872" s="81"/>
      <c r="L872" s="81"/>
      <c r="M872" s="81"/>
      <c r="N872" s="81"/>
      <c r="O872" s="289"/>
      <c r="P872" s="105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 ht="24" customHeight="1" x14ac:dyDescent="0.5">
      <c r="A873" s="81"/>
      <c r="B873" s="81"/>
      <c r="C873" s="81"/>
      <c r="D873" s="81"/>
      <c r="E873" s="81"/>
      <c r="F873" s="81"/>
      <c r="G873" s="81"/>
      <c r="H873" s="81"/>
      <c r="I873" s="289"/>
      <c r="J873" s="81"/>
      <c r="K873" s="81"/>
      <c r="L873" s="81"/>
      <c r="M873" s="81"/>
      <c r="N873" s="81"/>
      <c r="O873" s="289"/>
      <c r="P873" s="105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 ht="24" customHeight="1" x14ac:dyDescent="0.5">
      <c r="A874" s="81"/>
      <c r="B874" s="81"/>
      <c r="C874" s="81"/>
      <c r="D874" s="81"/>
      <c r="E874" s="81"/>
      <c r="F874" s="81"/>
      <c r="G874" s="81"/>
      <c r="H874" s="81"/>
      <c r="I874" s="289"/>
      <c r="J874" s="81"/>
      <c r="K874" s="81"/>
      <c r="L874" s="81"/>
      <c r="M874" s="81"/>
      <c r="N874" s="81"/>
      <c r="O874" s="289"/>
      <c r="P874" s="105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 ht="24" customHeight="1" x14ac:dyDescent="0.5">
      <c r="A875" s="81"/>
      <c r="B875" s="81"/>
      <c r="C875" s="81"/>
      <c r="D875" s="81"/>
      <c r="E875" s="81"/>
      <c r="F875" s="81"/>
      <c r="G875" s="81"/>
      <c r="H875" s="81"/>
      <c r="I875" s="289"/>
      <c r="J875" s="81"/>
      <c r="K875" s="81"/>
      <c r="L875" s="81"/>
      <c r="M875" s="81"/>
      <c r="N875" s="81"/>
      <c r="O875" s="289"/>
      <c r="P875" s="105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 ht="24" customHeight="1" x14ac:dyDescent="0.5">
      <c r="A876" s="81"/>
      <c r="B876" s="81"/>
      <c r="C876" s="81"/>
      <c r="D876" s="81"/>
      <c r="E876" s="81"/>
      <c r="F876" s="81"/>
      <c r="G876" s="81"/>
      <c r="H876" s="81"/>
      <c r="I876" s="289"/>
      <c r="J876" s="81"/>
      <c r="K876" s="81"/>
      <c r="L876" s="81"/>
      <c r="M876" s="81"/>
      <c r="N876" s="81"/>
      <c r="O876" s="289"/>
      <c r="P876" s="105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 ht="24" customHeight="1" x14ac:dyDescent="0.5">
      <c r="A877" s="81"/>
      <c r="B877" s="81"/>
      <c r="C877" s="81"/>
      <c r="D877" s="81"/>
      <c r="E877" s="81"/>
      <c r="F877" s="81"/>
      <c r="G877" s="81"/>
      <c r="H877" s="81"/>
      <c r="I877" s="289"/>
      <c r="J877" s="81"/>
      <c r="K877" s="81"/>
      <c r="L877" s="81"/>
      <c r="M877" s="81"/>
      <c r="N877" s="81"/>
      <c r="O877" s="289"/>
      <c r="P877" s="105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 ht="24" customHeight="1" x14ac:dyDescent="0.5">
      <c r="A878" s="81"/>
      <c r="B878" s="81"/>
      <c r="C878" s="81"/>
      <c r="D878" s="81"/>
      <c r="E878" s="81"/>
      <c r="F878" s="81"/>
      <c r="G878" s="81"/>
      <c r="H878" s="81"/>
      <c r="I878" s="289"/>
      <c r="J878" s="81"/>
      <c r="K878" s="81"/>
      <c r="L878" s="81"/>
      <c r="M878" s="81"/>
      <c r="N878" s="81"/>
      <c r="O878" s="289"/>
      <c r="P878" s="105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 ht="24" customHeight="1" x14ac:dyDescent="0.5">
      <c r="A879" s="81"/>
      <c r="B879" s="81"/>
      <c r="C879" s="81"/>
      <c r="D879" s="81"/>
      <c r="E879" s="81"/>
      <c r="F879" s="81"/>
      <c r="G879" s="81"/>
      <c r="H879" s="81"/>
      <c r="I879" s="289"/>
      <c r="J879" s="81"/>
      <c r="K879" s="81"/>
      <c r="L879" s="81"/>
      <c r="M879" s="81"/>
      <c r="N879" s="81"/>
      <c r="O879" s="289"/>
      <c r="P879" s="105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 ht="24" customHeight="1" x14ac:dyDescent="0.5">
      <c r="A880" s="81"/>
      <c r="B880" s="81"/>
      <c r="C880" s="81"/>
      <c r="D880" s="81"/>
      <c r="E880" s="81"/>
      <c r="F880" s="81"/>
      <c r="G880" s="81"/>
      <c r="H880" s="81"/>
      <c r="I880" s="289"/>
      <c r="J880" s="81"/>
      <c r="K880" s="81"/>
      <c r="L880" s="81"/>
      <c r="M880" s="81"/>
      <c r="N880" s="81"/>
      <c r="O880" s="289"/>
      <c r="P880" s="105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 ht="24" customHeight="1" x14ac:dyDescent="0.5">
      <c r="A881" s="81"/>
      <c r="B881" s="81"/>
      <c r="C881" s="81"/>
      <c r="D881" s="81"/>
      <c r="E881" s="81"/>
      <c r="F881" s="81"/>
      <c r="G881" s="81"/>
      <c r="H881" s="81"/>
      <c r="I881" s="289"/>
      <c r="J881" s="81"/>
      <c r="K881" s="81"/>
      <c r="L881" s="81"/>
      <c r="M881" s="81"/>
      <c r="N881" s="81"/>
      <c r="O881" s="289"/>
      <c r="P881" s="105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 ht="24" customHeight="1" x14ac:dyDescent="0.5">
      <c r="A882" s="81"/>
      <c r="B882" s="81"/>
      <c r="C882" s="81"/>
      <c r="D882" s="81"/>
      <c r="E882" s="81"/>
      <c r="F882" s="81"/>
      <c r="G882" s="81"/>
      <c r="H882" s="81"/>
      <c r="I882" s="289"/>
      <c r="J882" s="81"/>
      <c r="K882" s="81"/>
      <c r="L882" s="81"/>
      <c r="M882" s="81"/>
      <c r="N882" s="81"/>
      <c r="O882" s="289"/>
      <c r="P882" s="105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 ht="24" customHeight="1" x14ac:dyDescent="0.5">
      <c r="A883" s="81"/>
      <c r="B883" s="81"/>
      <c r="C883" s="81"/>
      <c r="D883" s="81"/>
      <c r="E883" s="81"/>
      <c r="F883" s="81"/>
      <c r="G883" s="81"/>
      <c r="H883" s="81"/>
      <c r="I883" s="289"/>
      <c r="J883" s="81"/>
      <c r="K883" s="81"/>
      <c r="L883" s="81"/>
      <c r="M883" s="81"/>
      <c r="N883" s="81"/>
      <c r="O883" s="289"/>
      <c r="P883" s="105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 ht="24" customHeight="1" x14ac:dyDescent="0.5">
      <c r="A884" s="81"/>
      <c r="B884" s="81"/>
      <c r="C884" s="81"/>
      <c r="D884" s="81"/>
      <c r="E884" s="81"/>
      <c r="F884" s="81"/>
      <c r="G884" s="81"/>
      <c r="H884" s="81"/>
      <c r="I884" s="289"/>
      <c r="J884" s="81"/>
      <c r="K884" s="81"/>
      <c r="L884" s="81"/>
      <c r="M884" s="81"/>
      <c r="N884" s="81"/>
      <c r="O884" s="289"/>
      <c r="P884" s="105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 ht="24" customHeight="1" x14ac:dyDescent="0.5">
      <c r="A885" s="81"/>
      <c r="B885" s="81"/>
      <c r="C885" s="81"/>
      <c r="D885" s="81"/>
      <c r="E885" s="81"/>
      <c r="F885" s="81"/>
      <c r="G885" s="81"/>
      <c r="H885" s="81"/>
      <c r="I885" s="289"/>
      <c r="J885" s="81"/>
      <c r="K885" s="81"/>
      <c r="L885" s="81"/>
      <c r="M885" s="81"/>
      <c r="N885" s="81"/>
      <c r="O885" s="289"/>
      <c r="P885" s="105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 ht="24" customHeight="1" x14ac:dyDescent="0.5">
      <c r="A886" s="81"/>
      <c r="B886" s="81"/>
      <c r="C886" s="81"/>
      <c r="D886" s="81"/>
      <c r="E886" s="81"/>
      <c r="F886" s="81"/>
      <c r="G886" s="81"/>
      <c r="H886" s="81"/>
      <c r="I886" s="289"/>
      <c r="J886" s="81"/>
      <c r="K886" s="81"/>
      <c r="L886" s="81"/>
      <c r="M886" s="81"/>
      <c r="N886" s="81"/>
      <c r="O886" s="289"/>
      <c r="P886" s="105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 ht="24" customHeight="1" x14ac:dyDescent="0.5">
      <c r="A887" s="81"/>
      <c r="B887" s="81"/>
      <c r="C887" s="81"/>
      <c r="D887" s="81"/>
      <c r="E887" s="81"/>
      <c r="F887" s="81"/>
      <c r="G887" s="81"/>
      <c r="H887" s="81"/>
      <c r="I887" s="289"/>
      <c r="J887" s="81"/>
      <c r="K887" s="81"/>
      <c r="L887" s="81"/>
      <c r="M887" s="81"/>
      <c r="N887" s="81"/>
      <c r="O887" s="289"/>
      <c r="P887" s="105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 ht="24" customHeight="1" x14ac:dyDescent="0.5">
      <c r="A888" s="81"/>
      <c r="B888" s="81"/>
      <c r="C888" s="81"/>
      <c r="D888" s="81"/>
      <c r="E888" s="81"/>
      <c r="F888" s="81"/>
      <c r="G888" s="81"/>
      <c r="H888" s="81"/>
      <c r="I888" s="289"/>
      <c r="J888" s="81"/>
      <c r="K888" s="81"/>
      <c r="L888" s="81"/>
      <c r="M888" s="81"/>
      <c r="N888" s="81"/>
      <c r="O888" s="289"/>
      <c r="P888" s="105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 ht="24" customHeight="1" x14ac:dyDescent="0.5">
      <c r="A889" s="81"/>
      <c r="B889" s="81"/>
      <c r="C889" s="81"/>
      <c r="D889" s="81"/>
      <c r="E889" s="81"/>
      <c r="F889" s="81"/>
      <c r="G889" s="81"/>
      <c r="H889" s="81"/>
      <c r="I889" s="289"/>
      <c r="J889" s="81"/>
      <c r="K889" s="81"/>
      <c r="L889" s="81"/>
      <c r="M889" s="81"/>
      <c r="N889" s="81"/>
      <c r="O889" s="289"/>
      <c r="P889" s="105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 ht="24" customHeight="1" x14ac:dyDescent="0.5">
      <c r="A890" s="81"/>
      <c r="B890" s="81"/>
      <c r="C890" s="81"/>
      <c r="D890" s="81"/>
      <c r="E890" s="81"/>
      <c r="F890" s="81"/>
      <c r="G890" s="81"/>
      <c r="H890" s="81"/>
      <c r="I890" s="289"/>
      <c r="J890" s="81"/>
      <c r="K890" s="81"/>
      <c r="L890" s="81"/>
      <c r="M890" s="81"/>
      <c r="N890" s="81"/>
      <c r="O890" s="289"/>
      <c r="P890" s="105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 ht="24" customHeight="1" x14ac:dyDescent="0.5">
      <c r="A891" s="81"/>
      <c r="B891" s="81"/>
      <c r="C891" s="81"/>
      <c r="D891" s="81"/>
      <c r="E891" s="81"/>
      <c r="F891" s="81"/>
      <c r="G891" s="81"/>
      <c r="H891" s="81"/>
      <c r="I891" s="289"/>
      <c r="J891" s="81"/>
      <c r="K891" s="81"/>
      <c r="L891" s="81"/>
      <c r="M891" s="81"/>
      <c r="N891" s="81"/>
      <c r="O891" s="289"/>
      <c r="P891" s="105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 ht="24" customHeight="1" x14ac:dyDescent="0.5">
      <c r="A892" s="81"/>
      <c r="B892" s="81"/>
      <c r="C892" s="81"/>
      <c r="D892" s="81"/>
      <c r="E892" s="81"/>
      <c r="F892" s="81"/>
      <c r="G892" s="81"/>
      <c r="H892" s="81"/>
      <c r="I892" s="289"/>
      <c r="J892" s="81"/>
      <c r="K892" s="81"/>
      <c r="L892" s="81"/>
      <c r="M892" s="81"/>
      <c r="N892" s="81"/>
      <c r="O892" s="289"/>
      <c r="P892" s="105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 ht="24" customHeight="1" x14ac:dyDescent="0.5">
      <c r="A893" s="81"/>
      <c r="B893" s="81"/>
      <c r="C893" s="81"/>
      <c r="D893" s="81"/>
      <c r="E893" s="81"/>
      <c r="F893" s="81"/>
      <c r="G893" s="81"/>
      <c r="H893" s="81"/>
      <c r="I893" s="289"/>
      <c r="J893" s="81"/>
      <c r="K893" s="81"/>
      <c r="L893" s="81"/>
      <c r="M893" s="81"/>
      <c r="N893" s="81"/>
      <c r="O893" s="289"/>
      <c r="P893" s="105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 ht="24" customHeight="1" x14ac:dyDescent="0.5">
      <c r="A894" s="81"/>
      <c r="B894" s="81"/>
      <c r="C894" s="81"/>
      <c r="D894" s="81"/>
      <c r="E894" s="81"/>
      <c r="F894" s="81"/>
      <c r="G894" s="81"/>
      <c r="H894" s="81"/>
      <c r="I894" s="289"/>
      <c r="J894" s="81"/>
      <c r="K894" s="81"/>
      <c r="L894" s="81"/>
      <c r="M894" s="81"/>
      <c r="N894" s="81"/>
      <c r="O894" s="289"/>
      <c r="P894" s="105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 ht="24" customHeight="1" x14ac:dyDescent="0.5">
      <c r="A895" s="81"/>
      <c r="B895" s="81"/>
      <c r="C895" s="81"/>
      <c r="D895" s="81"/>
      <c r="E895" s="81"/>
      <c r="F895" s="81"/>
      <c r="G895" s="81"/>
      <c r="H895" s="81"/>
      <c r="I895" s="289"/>
      <c r="J895" s="81"/>
      <c r="K895" s="81"/>
      <c r="L895" s="81"/>
      <c r="M895" s="81"/>
      <c r="N895" s="81"/>
      <c r="O895" s="289"/>
      <c r="P895" s="105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 ht="24" customHeight="1" x14ac:dyDescent="0.5">
      <c r="A896" s="81"/>
      <c r="B896" s="81"/>
      <c r="C896" s="81"/>
      <c r="D896" s="81"/>
      <c r="E896" s="81"/>
      <c r="F896" s="81"/>
      <c r="G896" s="81"/>
      <c r="H896" s="81"/>
      <c r="I896" s="289"/>
      <c r="J896" s="81"/>
      <c r="K896" s="81"/>
      <c r="L896" s="81"/>
      <c r="M896" s="81"/>
      <c r="N896" s="81"/>
      <c r="O896" s="289"/>
      <c r="P896" s="105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 ht="24" customHeight="1" x14ac:dyDescent="0.5">
      <c r="A897" s="81"/>
      <c r="B897" s="81"/>
      <c r="C897" s="81"/>
      <c r="D897" s="81"/>
      <c r="E897" s="81"/>
      <c r="F897" s="81"/>
      <c r="G897" s="81"/>
      <c r="H897" s="81"/>
      <c r="I897" s="289"/>
      <c r="J897" s="81"/>
      <c r="K897" s="81"/>
      <c r="L897" s="81"/>
      <c r="M897" s="81"/>
      <c r="N897" s="81"/>
      <c r="O897" s="289"/>
      <c r="P897" s="105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 ht="24" customHeight="1" x14ac:dyDescent="0.5">
      <c r="A898" s="81"/>
      <c r="B898" s="81"/>
      <c r="C898" s="81"/>
      <c r="D898" s="81"/>
      <c r="E898" s="81"/>
      <c r="F898" s="81"/>
      <c r="G898" s="81"/>
      <c r="H898" s="81"/>
      <c r="I898" s="289"/>
      <c r="J898" s="81"/>
      <c r="K898" s="81"/>
      <c r="L898" s="81"/>
      <c r="M898" s="81"/>
      <c r="N898" s="81"/>
      <c r="O898" s="289"/>
      <c r="P898" s="105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 ht="24" customHeight="1" x14ac:dyDescent="0.5">
      <c r="A899" s="81"/>
      <c r="B899" s="81"/>
      <c r="C899" s="81"/>
      <c r="D899" s="81"/>
      <c r="E899" s="81"/>
      <c r="F899" s="81"/>
      <c r="G899" s="81"/>
      <c r="H899" s="81"/>
      <c r="I899" s="289"/>
      <c r="J899" s="81"/>
      <c r="K899" s="81"/>
      <c r="L899" s="81"/>
      <c r="M899" s="81"/>
      <c r="N899" s="81"/>
      <c r="O899" s="289"/>
      <c r="P899" s="105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 ht="24" customHeight="1" x14ac:dyDescent="0.5">
      <c r="A900" s="81"/>
      <c r="B900" s="81"/>
      <c r="C900" s="81"/>
      <c r="D900" s="81"/>
      <c r="E900" s="81"/>
      <c r="F900" s="81"/>
      <c r="G900" s="81"/>
      <c r="H900" s="81"/>
      <c r="I900" s="289"/>
      <c r="J900" s="81"/>
      <c r="K900" s="81"/>
      <c r="L900" s="81"/>
      <c r="M900" s="81"/>
      <c r="N900" s="81"/>
      <c r="O900" s="289"/>
      <c r="P900" s="105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 ht="24" customHeight="1" x14ac:dyDescent="0.5">
      <c r="A901" s="81"/>
      <c r="B901" s="81"/>
      <c r="C901" s="81"/>
      <c r="D901" s="81"/>
      <c r="E901" s="81"/>
      <c r="F901" s="81"/>
      <c r="G901" s="81"/>
      <c r="H901" s="81"/>
      <c r="I901" s="289"/>
      <c r="J901" s="81"/>
      <c r="K901" s="81"/>
      <c r="L901" s="81"/>
      <c r="M901" s="81"/>
      <c r="N901" s="81"/>
      <c r="O901" s="289"/>
      <c r="P901" s="105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 ht="24" customHeight="1" x14ac:dyDescent="0.5">
      <c r="A902" s="81"/>
      <c r="B902" s="81"/>
      <c r="C902" s="81"/>
      <c r="D902" s="81"/>
      <c r="E902" s="81"/>
      <c r="F902" s="81"/>
      <c r="G902" s="81"/>
      <c r="H902" s="81"/>
      <c r="I902" s="289"/>
      <c r="J902" s="81"/>
      <c r="K902" s="81"/>
      <c r="L902" s="81"/>
      <c r="M902" s="81"/>
      <c r="N902" s="81"/>
      <c r="O902" s="289"/>
      <c r="P902" s="105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 ht="24" customHeight="1" x14ac:dyDescent="0.5">
      <c r="A903" s="81"/>
      <c r="B903" s="81"/>
      <c r="C903" s="81"/>
      <c r="D903" s="81"/>
      <c r="E903" s="81"/>
      <c r="F903" s="81"/>
      <c r="G903" s="81"/>
      <c r="H903" s="81"/>
      <c r="I903" s="289"/>
      <c r="J903" s="81"/>
      <c r="K903" s="81"/>
      <c r="L903" s="81"/>
      <c r="M903" s="81"/>
      <c r="N903" s="81"/>
      <c r="O903" s="289"/>
      <c r="P903" s="105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 ht="24" customHeight="1" x14ac:dyDescent="0.5">
      <c r="A904" s="81"/>
      <c r="B904" s="81"/>
      <c r="C904" s="81"/>
      <c r="D904" s="81"/>
      <c r="E904" s="81"/>
      <c r="F904" s="81"/>
      <c r="G904" s="81"/>
      <c r="H904" s="81"/>
      <c r="I904" s="289"/>
      <c r="J904" s="81"/>
      <c r="K904" s="81"/>
      <c r="L904" s="81"/>
      <c r="M904" s="81"/>
      <c r="N904" s="81"/>
      <c r="O904" s="289"/>
      <c r="P904" s="105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 ht="24" customHeight="1" x14ac:dyDescent="0.5">
      <c r="A905" s="81"/>
      <c r="B905" s="81"/>
      <c r="C905" s="81"/>
      <c r="D905" s="81"/>
      <c r="E905" s="81"/>
      <c r="F905" s="81"/>
      <c r="G905" s="81"/>
      <c r="H905" s="81"/>
      <c r="I905" s="289"/>
      <c r="J905" s="81"/>
      <c r="K905" s="81"/>
      <c r="L905" s="81"/>
      <c r="M905" s="81"/>
      <c r="N905" s="81"/>
      <c r="O905" s="289"/>
      <c r="P905" s="105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 ht="24" customHeight="1" x14ac:dyDescent="0.5">
      <c r="A906" s="81"/>
      <c r="B906" s="81"/>
      <c r="C906" s="81"/>
      <c r="D906" s="81"/>
      <c r="E906" s="81"/>
      <c r="F906" s="81"/>
      <c r="G906" s="81"/>
      <c r="H906" s="81"/>
      <c r="I906" s="289"/>
      <c r="J906" s="81"/>
      <c r="K906" s="81"/>
      <c r="L906" s="81"/>
      <c r="M906" s="81"/>
      <c r="N906" s="81"/>
      <c r="O906" s="289"/>
      <c r="P906" s="105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 ht="24" customHeight="1" x14ac:dyDescent="0.5">
      <c r="A907" s="81"/>
      <c r="B907" s="81"/>
      <c r="C907" s="81"/>
      <c r="D907" s="81"/>
      <c r="E907" s="81"/>
      <c r="F907" s="81"/>
      <c r="G907" s="81"/>
      <c r="H907" s="81"/>
      <c r="I907" s="289"/>
      <c r="J907" s="81"/>
      <c r="K907" s="81"/>
      <c r="L907" s="81"/>
      <c r="M907" s="81"/>
      <c r="N907" s="81"/>
      <c r="O907" s="289"/>
      <c r="P907" s="105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 ht="24" customHeight="1" x14ac:dyDescent="0.5">
      <c r="A908" s="81"/>
      <c r="B908" s="81"/>
      <c r="C908" s="81"/>
      <c r="D908" s="81"/>
      <c r="E908" s="81"/>
      <c r="F908" s="81"/>
      <c r="G908" s="81"/>
      <c r="H908" s="81"/>
      <c r="I908" s="289"/>
      <c r="J908" s="81"/>
      <c r="K908" s="81"/>
      <c r="L908" s="81"/>
      <c r="M908" s="81"/>
      <c r="N908" s="81"/>
      <c r="O908" s="289"/>
      <c r="P908" s="105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 ht="24" customHeight="1" x14ac:dyDescent="0.5">
      <c r="A909" s="81"/>
      <c r="B909" s="81"/>
      <c r="C909" s="81"/>
      <c r="D909" s="81"/>
      <c r="E909" s="81"/>
      <c r="F909" s="81"/>
      <c r="G909" s="81"/>
      <c r="H909" s="81"/>
      <c r="I909" s="289"/>
      <c r="J909" s="81"/>
      <c r="K909" s="81"/>
      <c r="L909" s="81"/>
      <c r="M909" s="81"/>
      <c r="N909" s="81"/>
      <c r="O909" s="289"/>
      <c r="P909" s="105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 ht="24" customHeight="1" x14ac:dyDescent="0.5">
      <c r="A910" s="81"/>
      <c r="B910" s="81"/>
      <c r="C910" s="81"/>
      <c r="D910" s="81"/>
      <c r="E910" s="81"/>
      <c r="F910" s="81"/>
      <c r="G910" s="81"/>
      <c r="H910" s="81"/>
      <c r="I910" s="289"/>
      <c r="J910" s="81"/>
      <c r="K910" s="81"/>
      <c r="L910" s="81"/>
      <c r="M910" s="81"/>
      <c r="N910" s="81"/>
      <c r="O910" s="289"/>
      <c r="P910" s="105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 ht="24" customHeight="1" x14ac:dyDescent="0.5">
      <c r="A911" s="81"/>
      <c r="B911" s="81"/>
      <c r="C911" s="81"/>
      <c r="D911" s="81"/>
      <c r="E911" s="81"/>
      <c r="F911" s="81"/>
      <c r="G911" s="81"/>
      <c r="H911" s="81"/>
      <c r="I911" s="289"/>
      <c r="J911" s="81"/>
      <c r="K911" s="81"/>
      <c r="L911" s="81"/>
      <c r="M911" s="81"/>
      <c r="N911" s="81"/>
      <c r="O911" s="289"/>
      <c r="P911" s="105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 ht="24" customHeight="1" x14ac:dyDescent="0.5">
      <c r="A912" s="81"/>
      <c r="B912" s="81"/>
      <c r="C912" s="81"/>
      <c r="D912" s="81"/>
      <c r="E912" s="81"/>
      <c r="F912" s="81"/>
      <c r="G912" s="81"/>
      <c r="H912" s="81"/>
      <c r="I912" s="289"/>
      <c r="J912" s="81"/>
      <c r="K912" s="81"/>
      <c r="L912" s="81"/>
      <c r="M912" s="81"/>
      <c r="N912" s="81"/>
      <c r="O912" s="289"/>
      <c r="P912" s="105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 ht="24" customHeight="1" x14ac:dyDescent="0.5">
      <c r="A913" s="81"/>
      <c r="B913" s="81"/>
      <c r="C913" s="81"/>
      <c r="D913" s="81"/>
      <c r="E913" s="81"/>
      <c r="F913" s="81"/>
      <c r="G913" s="81"/>
      <c r="H913" s="81"/>
      <c r="I913" s="289"/>
      <c r="J913" s="81"/>
      <c r="K913" s="81"/>
      <c r="L913" s="81"/>
      <c r="M913" s="81"/>
      <c r="N913" s="81"/>
      <c r="O913" s="289"/>
      <c r="P913" s="105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 ht="24" customHeight="1" x14ac:dyDescent="0.5">
      <c r="A914" s="81"/>
      <c r="B914" s="81"/>
      <c r="C914" s="81"/>
      <c r="D914" s="81"/>
      <c r="E914" s="81"/>
      <c r="F914" s="81"/>
      <c r="G914" s="81"/>
      <c r="H914" s="81"/>
      <c r="I914" s="289"/>
      <c r="J914" s="81"/>
      <c r="K914" s="81"/>
      <c r="L914" s="81"/>
      <c r="M914" s="81"/>
      <c r="N914" s="81"/>
      <c r="O914" s="289"/>
      <c r="P914" s="105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 ht="24" customHeight="1" x14ac:dyDescent="0.5">
      <c r="A915" s="81"/>
      <c r="B915" s="81"/>
      <c r="C915" s="81"/>
      <c r="D915" s="81"/>
      <c r="E915" s="81"/>
      <c r="F915" s="81"/>
      <c r="G915" s="81"/>
      <c r="H915" s="81"/>
      <c r="I915" s="289"/>
      <c r="J915" s="81"/>
      <c r="K915" s="81"/>
      <c r="L915" s="81"/>
      <c r="M915" s="81"/>
      <c r="N915" s="81"/>
      <c r="O915" s="289"/>
      <c r="P915" s="105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 ht="24" customHeight="1" x14ac:dyDescent="0.5">
      <c r="A916" s="81"/>
      <c r="B916" s="81"/>
      <c r="C916" s="81"/>
      <c r="D916" s="81"/>
      <c r="E916" s="81"/>
      <c r="F916" s="81"/>
      <c r="G916" s="81"/>
      <c r="H916" s="81"/>
      <c r="I916" s="289"/>
      <c r="J916" s="81"/>
      <c r="K916" s="81"/>
      <c r="L916" s="81"/>
      <c r="M916" s="81"/>
      <c r="N916" s="81"/>
      <c r="O916" s="289"/>
      <c r="P916" s="105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 ht="24" customHeight="1" x14ac:dyDescent="0.5">
      <c r="A917" s="81"/>
      <c r="B917" s="81"/>
      <c r="C917" s="81"/>
      <c r="D917" s="81"/>
      <c r="E917" s="81"/>
      <c r="F917" s="81"/>
      <c r="G917" s="81"/>
      <c r="H917" s="81"/>
      <c r="I917" s="289"/>
      <c r="J917" s="81"/>
      <c r="K917" s="81"/>
      <c r="L917" s="81"/>
      <c r="M917" s="81"/>
      <c r="N917" s="81"/>
      <c r="O917" s="289"/>
      <c r="P917" s="105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 ht="24" customHeight="1" x14ac:dyDescent="0.5">
      <c r="A918" s="81"/>
      <c r="B918" s="81"/>
      <c r="C918" s="81"/>
      <c r="D918" s="81"/>
      <c r="E918" s="81"/>
      <c r="F918" s="81"/>
      <c r="G918" s="81"/>
      <c r="H918" s="81"/>
      <c r="I918" s="289"/>
      <c r="J918" s="81"/>
      <c r="K918" s="81"/>
      <c r="L918" s="81"/>
      <c r="M918" s="81"/>
      <c r="N918" s="81"/>
      <c r="O918" s="289"/>
      <c r="P918" s="105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 ht="24" customHeight="1" x14ac:dyDescent="0.5">
      <c r="A919" s="81"/>
      <c r="B919" s="81"/>
      <c r="C919" s="81"/>
      <c r="D919" s="81"/>
      <c r="E919" s="81"/>
      <c r="F919" s="81"/>
      <c r="G919" s="81"/>
      <c r="H919" s="81"/>
      <c r="I919" s="289"/>
      <c r="J919" s="81"/>
      <c r="K919" s="81"/>
      <c r="L919" s="81"/>
      <c r="M919" s="81"/>
      <c r="N919" s="81"/>
      <c r="O919" s="289"/>
      <c r="P919" s="105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 ht="24" customHeight="1" x14ac:dyDescent="0.5">
      <c r="A920" s="81"/>
      <c r="B920" s="81"/>
      <c r="C920" s="81"/>
      <c r="D920" s="81"/>
      <c r="E920" s="81"/>
      <c r="F920" s="81"/>
      <c r="G920" s="81"/>
      <c r="H920" s="81"/>
      <c r="I920" s="289"/>
      <c r="J920" s="81"/>
      <c r="K920" s="81"/>
      <c r="L920" s="81"/>
      <c r="M920" s="81"/>
      <c r="N920" s="81"/>
      <c r="O920" s="289"/>
      <c r="P920" s="105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 ht="24" customHeight="1" x14ac:dyDescent="0.5">
      <c r="A921" s="81"/>
      <c r="B921" s="81"/>
      <c r="C921" s="81"/>
      <c r="D921" s="81"/>
      <c r="E921" s="81"/>
      <c r="F921" s="81"/>
      <c r="G921" s="81"/>
      <c r="H921" s="81"/>
      <c r="I921" s="289"/>
      <c r="J921" s="81"/>
      <c r="K921" s="81"/>
      <c r="L921" s="81"/>
      <c r="M921" s="81"/>
      <c r="N921" s="81"/>
      <c r="O921" s="289"/>
      <c r="P921" s="105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 ht="24" customHeight="1" x14ac:dyDescent="0.5">
      <c r="A922" s="81"/>
      <c r="B922" s="81"/>
      <c r="C922" s="81"/>
      <c r="D922" s="81"/>
      <c r="E922" s="81"/>
      <c r="F922" s="81"/>
      <c r="G922" s="81"/>
      <c r="H922" s="81"/>
      <c r="I922" s="289"/>
      <c r="J922" s="81"/>
      <c r="K922" s="81"/>
      <c r="L922" s="81"/>
      <c r="M922" s="81"/>
      <c r="N922" s="81"/>
      <c r="O922" s="289"/>
      <c r="P922" s="105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 ht="24" customHeight="1" x14ac:dyDescent="0.5">
      <c r="A923" s="81"/>
      <c r="B923" s="81"/>
      <c r="C923" s="81"/>
      <c r="D923" s="81"/>
      <c r="E923" s="81"/>
      <c r="F923" s="81"/>
      <c r="G923" s="81"/>
      <c r="H923" s="81"/>
      <c r="I923" s="289"/>
      <c r="J923" s="81"/>
      <c r="K923" s="81"/>
      <c r="L923" s="81"/>
      <c r="M923" s="81"/>
      <c r="N923" s="81"/>
      <c r="O923" s="289"/>
      <c r="P923" s="105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 ht="24" customHeight="1" x14ac:dyDescent="0.5">
      <c r="A924" s="81"/>
      <c r="B924" s="81"/>
      <c r="C924" s="81"/>
      <c r="D924" s="81"/>
      <c r="E924" s="81"/>
      <c r="F924" s="81"/>
      <c r="G924" s="81"/>
      <c r="H924" s="81"/>
      <c r="I924" s="289"/>
      <c r="J924" s="81"/>
      <c r="K924" s="81"/>
      <c r="L924" s="81"/>
      <c r="M924" s="81"/>
      <c r="N924" s="81"/>
      <c r="O924" s="289"/>
      <c r="P924" s="105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 ht="24" customHeight="1" x14ac:dyDescent="0.5">
      <c r="A925" s="81"/>
      <c r="B925" s="81"/>
      <c r="C925" s="81"/>
      <c r="D925" s="81"/>
      <c r="E925" s="81"/>
      <c r="F925" s="81"/>
      <c r="G925" s="81"/>
      <c r="H925" s="81"/>
      <c r="I925" s="289"/>
      <c r="J925" s="81"/>
      <c r="K925" s="81"/>
      <c r="L925" s="81"/>
      <c r="M925" s="81"/>
      <c r="N925" s="81"/>
      <c r="O925" s="289"/>
      <c r="P925" s="105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 ht="24" customHeight="1" x14ac:dyDescent="0.5">
      <c r="A926" s="81"/>
      <c r="B926" s="81"/>
      <c r="C926" s="81"/>
      <c r="D926" s="81"/>
      <c r="E926" s="81"/>
      <c r="F926" s="81"/>
      <c r="G926" s="81"/>
      <c r="H926" s="81"/>
      <c r="I926" s="289"/>
      <c r="J926" s="81"/>
      <c r="K926" s="81"/>
      <c r="L926" s="81"/>
      <c r="M926" s="81"/>
      <c r="N926" s="81"/>
      <c r="O926" s="289"/>
      <c r="P926" s="105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 ht="24" customHeight="1" x14ac:dyDescent="0.5">
      <c r="A927" s="81"/>
      <c r="B927" s="81"/>
      <c r="C927" s="81"/>
      <c r="D927" s="81"/>
      <c r="E927" s="81"/>
      <c r="F927" s="81"/>
      <c r="G927" s="81"/>
      <c r="H927" s="81"/>
      <c r="I927" s="289"/>
      <c r="J927" s="81"/>
      <c r="K927" s="81"/>
      <c r="L927" s="81"/>
      <c r="M927" s="81"/>
      <c r="N927" s="81"/>
      <c r="O927" s="289"/>
      <c r="P927" s="105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 ht="24" customHeight="1" x14ac:dyDescent="0.5">
      <c r="A928" s="81"/>
      <c r="B928" s="81"/>
      <c r="C928" s="81"/>
      <c r="D928" s="81"/>
      <c r="E928" s="81"/>
      <c r="F928" s="81"/>
      <c r="G928" s="81"/>
      <c r="H928" s="81"/>
      <c r="I928" s="289"/>
      <c r="J928" s="81"/>
      <c r="K928" s="81"/>
      <c r="L928" s="81"/>
      <c r="M928" s="81"/>
      <c r="N928" s="81"/>
      <c r="O928" s="289"/>
      <c r="P928" s="105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 ht="24" customHeight="1" x14ac:dyDescent="0.5">
      <c r="A929" s="81"/>
      <c r="B929" s="81"/>
      <c r="C929" s="81"/>
      <c r="D929" s="81"/>
      <c r="E929" s="81"/>
      <c r="F929" s="81"/>
      <c r="G929" s="81"/>
      <c r="H929" s="81"/>
      <c r="I929" s="289"/>
      <c r="J929" s="81"/>
      <c r="K929" s="81"/>
      <c r="L929" s="81"/>
      <c r="M929" s="81"/>
      <c r="N929" s="81"/>
      <c r="O929" s="289"/>
      <c r="P929" s="105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 ht="24" customHeight="1" x14ac:dyDescent="0.5">
      <c r="A930" s="81"/>
      <c r="B930" s="81"/>
      <c r="C930" s="81"/>
      <c r="D930" s="81"/>
      <c r="E930" s="81"/>
      <c r="F930" s="81"/>
      <c r="G930" s="81"/>
      <c r="H930" s="81"/>
      <c r="I930" s="289"/>
      <c r="J930" s="81"/>
      <c r="K930" s="81"/>
      <c r="L930" s="81"/>
      <c r="M930" s="81"/>
      <c r="N930" s="81"/>
      <c r="O930" s="289"/>
      <c r="P930" s="105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 ht="24" customHeight="1" x14ac:dyDescent="0.5">
      <c r="A931" s="81"/>
      <c r="B931" s="81"/>
      <c r="C931" s="81"/>
      <c r="D931" s="81"/>
      <c r="E931" s="81"/>
      <c r="F931" s="81"/>
      <c r="G931" s="81"/>
      <c r="H931" s="81"/>
      <c r="I931" s="289"/>
      <c r="J931" s="81"/>
      <c r="K931" s="81"/>
      <c r="L931" s="81"/>
      <c r="M931" s="81"/>
      <c r="N931" s="81"/>
      <c r="O931" s="289"/>
      <c r="P931" s="105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 ht="24" customHeight="1" x14ac:dyDescent="0.5">
      <c r="A932" s="81"/>
      <c r="B932" s="81"/>
      <c r="C932" s="81"/>
      <c r="D932" s="81"/>
      <c r="E932" s="81"/>
      <c r="F932" s="81"/>
      <c r="G932" s="81"/>
      <c r="H932" s="81"/>
      <c r="I932" s="289"/>
      <c r="J932" s="81"/>
      <c r="K932" s="81"/>
      <c r="L932" s="81"/>
      <c r="M932" s="81"/>
      <c r="N932" s="81"/>
      <c r="O932" s="289"/>
      <c r="P932" s="105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 ht="24" customHeight="1" x14ac:dyDescent="0.5">
      <c r="A933" s="81"/>
      <c r="B933" s="81"/>
      <c r="C933" s="81"/>
      <c r="D933" s="81"/>
      <c r="E933" s="81"/>
      <c r="F933" s="81"/>
      <c r="G933" s="81"/>
      <c r="H933" s="81"/>
      <c r="I933" s="289"/>
      <c r="J933" s="81"/>
      <c r="K933" s="81"/>
      <c r="L933" s="81"/>
      <c r="M933" s="81"/>
      <c r="N933" s="81"/>
      <c r="O933" s="289"/>
      <c r="P933" s="105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 ht="24" customHeight="1" x14ac:dyDescent="0.5">
      <c r="A934" s="81"/>
      <c r="B934" s="81"/>
      <c r="C934" s="81"/>
      <c r="D934" s="81"/>
      <c r="E934" s="81"/>
      <c r="F934" s="81"/>
      <c r="G934" s="81"/>
      <c r="H934" s="81"/>
      <c r="I934" s="289"/>
      <c r="J934" s="81"/>
      <c r="K934" s="81"/>
      <c r="L934" s="81"/>
      <c r="M934" s="81"/>
      <c r="N934" s="81"/>
      <c r="O934" s="289"/>
      <c r="P934" s="105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 ht="24" customHeight="1" x14ac:dyDescent="0.5">
      <c r="A935" s="81"/>
      <c r="B935" s="81"/>
      <c r="C935" s="81"/>
      <c r="D935" s="81"/>
      <c r="E935" s="81"/>
      <c r="F935" s="81"/>
      <c r="G935" s="81"/>
      <c r="H935" s="81"/>
      <c r="I935" s="289"/>
      <c r="J935" s="81"/>
      <c r="K935" s="81"/>
      <c r="L935" s="81"/>
      <c r="M935" s="81"/>
      <c r="N935" s="81"/>
      <c r="O935" s="289"/>
      <c r="P935" s="105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 ht="24" customHeight="1" x14ac:dyDescent="0.5">
      <c r="A936" s="81"/>
      <c r="B936" s="81"/>
      <c r="C936" s="81"/>
      <c r="D936" s="81"/>
      <c r="E936" s="81"/>
      <c r="F936" s="81"/>
      <c r="G936" s="81"/>
      <c r="H936" s="81"/>
      <c r="I936" s="289"/>
      <c r="J936" s="81"/>
      <c r="K936" s="81"/>
      <c r="L936" s="81"/>
      <c r="M936" s="81"/>
      <c r="N936" s="81"/>
      <c r="O936" s="289"/>
      <c r="P936" s="105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 ht="24" customHeight="1" x14ac:dyDescent="0.5">
      <c r="A937" s="81"/>
      <c r="B937" s="81"/>
      <c r="C937" s="81"/>
      <c r="D937" s="81"/>
      <c r="E937" s="81"/>
      <c r="F937" s="81"/>
      <c r="G937" s="81"/>
      <c r="H937" s="81"/>
      <c r="I937" s="289"/>
      <c r="J937" s="81"/>
      <c r="K937" s="81"/>
      <c r="L937" s="81"/>
      <c r="M937" s="81"/>
      <c r="N937" s="81"/>
      <c r="O937" s="289"/>
      <c r="P937" s="105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 ht="24" customHeight="1" x14ac:dyDescent="0.5">
      <c r="A938" s="81"/>
      <c r="B938" s="81"/>
      <c r="C938" s="81"/>
      <c r="D938" s="81"/>
      <c r="E938" s="81"/>
      <c r="F938" s="81"/>
      <c r="G938" s="81"/>
      <c r="H938" s="81"/>
      <c r="I938" s="289"/>
      <c r="J938" s="81"/>
      <c r="K938" s="81"/>
      <c r="L938" s="81"/>
      <c r="M938" s="81"/>
      <c r="N938" s="81"/>
      <c r="O938" s="289"/>
      <c r="P938" s="105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 ht="24" customHeight="1" x14ac:dyDescent="0.5">
      <c r="A939" s="81"/>
      <c r="B939" s="81"/>
      <c r="C939" s="81"/>
      <c r="D939" s="81"/>
      <c r="E939" s="81"/>
      <c r="F939" s="81"/>
      <c r="G939" s="81"/>
      <c r="H939" s="81"/>
      <c r="I939" s="289"/>
      <c r="J939" s="81"/>
      <c r="K939" s="81"/>
      <c r="L939" s="81"/>
      <c r="M939" s="81"/>
      <c r="N939" s="81"/>
      <c r="O939" s="289"/>
      <c r="P939" s="105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 ht="24" customHeight="1" x14ac:dyDescent="0.5">
      <c r="A940" s="81"/>
      <c r="B940" s="81"/>
      <c r="C940" s="81"/>
      <c r="D940" s="81"/>
      <c r="E940" s="81"/>
      <c r="F940" s="81"/>
      <c r="G940" s="81"/>
      <c r="H940" s="81"/>
      <c r="I940" s="289"/>
      <c r="J940" s="81"/>
      <c r="K940" s="81"/>
      <c r="L940" s="81"/>
      <c r="M940" s="81"/>
      <c r="N940" s="81"/>
      <c r="O940" s="289"/>
      <c r="P940" s="105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 ht="24" customHeight="1" x14ac:dyDescent="0.5">
      <c r="A941" s="81"/>
      <c r="B941" s="81"/>
      <c r="C941" s="81"/>
      <c r="D941" s="81"/>
      <c r="E941" s="81"/>
      <c r="F941" s="81"/>
      <c r="G941" s="81"/>
      <c r="H941" s="81"/>
      <c r="I941" s="289"/>
      <c r="J941" s="81"/>
      <c r="K941" s="81"/>
      <c r="L941" s="81"/>
      <c r="M941" s="81"/>
      <c r="N941" s="81"/>
      <c r="O941" s="289"/>
      <c r="P941" s="105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 ht="24" customHeight="1" x14ac:dyDescent="0.5">
      <c r="A942" s="81"/>
      <c r="B942" s="81"/>
      <c r="C942" s="81"/>
      <c r="D942" s="81"/>
      <c r="E942" s="81"/>
      <c r="F942" s="81"/>
      <c r="G942" s="81"/>
      <c r="H942" s="81"/>
      <c r="I942" s="289"/>
      <c r="J942" s="81"/>
      <c r="K942" s="81"/>
      <c r="L942" s="81"/>
      <c r="M942" s="81"/>
      <c r="N942" s="81"/>
      <c r="O942" s="289"/>
      <c r="P942" s="105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 ht="24" customHeight="1" x14ac:dyDescent="0.5">
      <c r="A943" s="81"/>
      <c r="B943" s="81"/>
      <c r="C943" s="81"/>
      <c r="D943" s="81"/>
      <c r="E943" s="81"/>
      <c r="F943" s="81"/>
      <c r="G943" s="81"/>
      <c r="H943" s="81"/>
      <c r="I943" s="289"/>
      <c r="J943" s="81"/>
      <c r="K943" s="81"/>
      <c r="L943" s="81"/>
      <c r="M943" s="81"/>
      <c r="N943" s="81"/>
      <c r="O943" s="289"/>
      <c r="P943" s="105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 ht="24" customHeight="1" x14ac:dyDescent="0.5">
      <c r="A944" s="81"/>
      <c r="B944" s="81"/>
      <c r="C944" s="81"/>
      <c r="D944" s="81"/>
      <c r="E944" s="81"/>
      <c r="F944" s="81"/>
      <c r="G944" s="81"/>
      <c r="H944" s="81"/>
      <c r="I944" s="289"/>
      <c r="J944" s="81"/>
      <c r="K944" s="81"/>
      <c r="L944" s="81"/>
      <c r="M944" s="81"/>
      <c r="N944" s="81"/>
      <c r="O944" s="289"/>
      <c r="P944" s="105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 ht="24" customHeight="1" x14ac:dyDescent="0.5">
      <c r="A945" s="81"/>
      <c r="B945" s="81"/>
      <c r="C945" s="81"/>
      <c r="D945" s="81"/>
      <c r="E945" s="81"/>
      <c r="F945" s="81"/>
      <c r="G945" s="81"/>
      <c r="H945" s="81"/>
      <c r="I945" s="289"/>
      <c r="J945" s="81"/>
      <c r="K945" s="81"/>
      <c r="L945" s="81"/>
      <c r="M945" s="81"/>
      <c r="N945" s="81"/>
      <c r="O945" s="289"/>
      <c r="P945" s="105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 ht="24" customHeight="1" x14ac:dyDescent="0.5">
      <c r="A946" s="81"/>
      <c r="B946" s="81"/>
      <c r="C946" s="81"/>
      <c r="D946" s="81"/>
      <c r="E946" s="81"/>
      <c r="F946" s="81"/>
      <c r="G946" s="81"/>
      <c r="H946" s="81"/>
      <c r="I946" s="289"/>
      <c r="J946" s="81"/>
      <c r="K946" s="81"/>
      <c r="L946" s="81"/>
      <c r="M946" s="81"/>
      <c r="N946" s="81"/>
      <c r="O946" s="289"/>
      <c r="P946" s="105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 ht="24" customHeight="1" x14ac:dyDescent="0.5">
      <c r="A947" s="81"/>
      <c r="B947" s="81"/>
      <c r="C947" s="81"/>
      <c r="D947" s="81"/>
      <c r="E947" s="81"/>
      <c r="F947" s="81"/>
      <c r="G947" s="81"/>
      <c r="H947" s="81"/>
      <c r="I947" s="289"/>
      <c r="J947" s="81"/>
      <c r="K947" s="81"/>
      <c r="L947" s="81"/>
      <c r="M947" s="81"/>
      <c r="N947" s="81"/>
      <c r="O947" s="289"/>
      <c r="P947" s="105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 ht="24" customHeight="1" x14ac:dyDescent="0.5">
      <c r="A948" s="81"/>
      <c r="B948" s="81"/>
      <c r="C948" s="81"/>
      <c r="D948" s="81"/>
      <c r="E948" s="81"/>
      <c r="F948" s="81"/>
      <c r="G948" s="81"/>
      <c r="H948" s="81"/>
      <c r="I948" s="289"/>
      <c r="J948" s="81"/>
      <c r="K948" s="81"/>
      <c r="L948" s="81"/>
      <c r="M948" s="81"/>
      <c r="N948" s="81"/>
      <c r="O948" s="289"/>
      <c r="P948" s="105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 ht="24" customHeight="1" x14ac:dyDescent="0.5">
      <c r="A949" s="81"/>
      <c r="B949" s="81"/>
      <c r="C949" s="81"/>
      <c r="D949" s="81"/>
      <c r="E949" s="81"/>
      <c r="F949" s="81"/>
      <c r="G949" s="81"/>
      <c r="H949" s="81"/>
      <c r="I949" s="289"/>
      <c r="J949" s="81"/>
      <c r="K949" s="81"/>
      <c r="L949" s="81"/>
      <c r="M949" s="81"/>
      <c r="N949" s="81"/>
      <c r="O949" s="289"/>
      <c r="P949" s="105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 ht="24" customHeight="1" x14ac:dyDescent="0.5">
      <c r="A950" s="81"/>
      <c r="B950" s="81"/>
      <c r="C950" s="81"/>
      <c r="D950" s="81"/>
      <c r="E950" s="81"/>
      <c r="F950" s="81"/>
      <c r="G950" s="81"/>
      <c r="H950" s="81"/>
      <c r="I950" s="289"/>
      <c r="J950" s="81"/>
      <c r="K950" s="81"/>
      <c r="L950" s="81"/>
      <c r="M950" s="81"/>
      <c r="N950" s="81"/>
      <c r="O950" s="289"/>
      <c r="P950" s="105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 ht="24" customHeight="1" x14ac:dyDescent="0.5">
      <c r="A951" s="81"/>
      <c r="B951" s="81"/>
      <c r="C951" s="81"/>
      <c r="D951" s="81"/>
      <c r="E951" s="81"/>
      <c r="F951" s="81"/>
      <c r="G951" s="81"/>
      <c r="H951" s="81"/>
      <c r="I951" s="289"/>
      <c r="J951" s="81"/>
      <c r="K951" s="81"/>
      <c r="L951" s="81"/>
      <c r="M951" s="81"/>
      <c r="N951" s="81"/>
      <c r="O951" s="289"/>
      <c r="P951" s="105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 ht="24" customHeight="1" x14ac:dyDescent="0.5">
      <c r="A952" s="81"/>
      <c r="B952" s="81"/>
      <c r="C952" s="81"/>
      <c r="D952" s="81"/>
      <c r="E952" s="81"/>
      <c r="F952" s="81"/>
      <c r="G952" s="81"/>
      <c r="H952" s="81"/>
      <c r="I952" s="289"/>
      <c r="J952" s="81"/>
      <c r="K952" s="81"/>
      <c r="L952" s="81"/>
      <c r="M952" s="81"/>
      <c r="N952" s="81"/>
      <c r="O952" s="289"/>
      <c r="P952" s="105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 ht="24" customHeight="1" x14ac:dyDescent="0.5">
      <c r="A953" s="81"/>
      <c r="B953" s="81"/>
      <c r="C953" s="81"/>
      <c r="D953" s="81"/>
      <c r="E953" s="81"/>
      <c r="F953" s="81"/>
      <c r="G953" s="81"/>
      <c r="H953" s="81"/>
      <c r="I953" s="289"/>
      <c r="J953" s="81"/>
      <c r="K953" s="81"/>
      <c r="L953" s="81"/>
      <c r="M953" s="81"/>
      <c r="N953" s="81"/>
      <c r="O953" s="289"/>
      <c r="P953" s="105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 ht="24" customHeight="1" x14ac:dyDescent="0.5">
      <c r="A954" s="81"/>
      <c r="B954" s="81"/>
      <c r="C954" s="81"/>
      <c r="D954" s="81"/>
      <c r="E954" s="81"/>
      <c r="F954" s="81"/>
      <c r="G954" s="81"/>
      <c r="H954" s="81"/>
      <c r="I954" s="289"/>
      <c r="J954" s="81"/>
      <c r="K954" s="81"/>
      <c r="L954" s="81"/>
      <c r="M954" s="81"/>
      <c r="N954" s="81"/>
      <c r="O954" s="289"/>
      <c r="P954" s="105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 ht="24" customHeight="1" x14ac:dyDescent="0.5">
      <c r="A955" s="81"/>
      <c r="B955" s="81"/>
      <c r="C955" s="81"/>
      <c r="D955" s="81"/>
      <c r="E955" s="81"/>
      <c r="F955" s="81"/>
      <c r="G955" s="81"/>
      <c r="H955" s="81"/>
      <c r="I955" s="289"/>
      <c r="J955" s="81"/>
      <c r="K955" s="81"/>
      <c r="L955" s="81"/>
      <c r="M955" s="81"/>
      <c r="N955" s="81"/>
      <c r="O955" s="289"/>
      <c r="P955" s="105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 ht="24" customHeight="1" x14ac:dyDescent="0.5">
      <c r="A956" s="81"/>
      <c r="B956" s="81"/>
      <c r="C956" s="81"/>
      <c r="D956" s="81"/>
      <c r="E956" s="81"/>
      <c r="F956" s="81"/>
      <c r="G956" s="81"/>
      <c r="H956" s="81"/>
      <c r="I956" s="289"/>
      <c r="J956" s="81"/>
      <c r="K956" s="81"/>
      <c r="L956" s="81"/>
      <c r="M956" s="81"/>
      <c r="N956" s="81"/>
      <c r="O956" s="289"/>
      <c r="P956" s="105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 ht="24" customHeight="1" x14ac:dyDescent="0.5">
      <c r="A957" s="81"/>
      <c r="B957" s="81"/>
      <c r="C957" s="81"/>
      <c r="D957" s="81"/>
      <c r="E957" s="81"/>
      <c r="F957" s="81"/>
      <c r="G957" s="81"/>
      <c r="H957" s="81"/>
      <c r="I957" s="289"/>
      <c r="J957" s="81"/>
      <c r="K957" s="81"/>
      <c r="L957" s="81"/>
      <c r="M957" s="81"/>
      <c r="N957" s="81"/>
      <c r="O957" s="289"/>
      <c r="P957" s="105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 ht="24" customHeight="1" x14ac:dyDescent="0.5">
      <c r="A958" s="81"/>
      <c r="B958" s="81"/>
      <c r="C958" s="81"/>
      <c r="D958" s="81"/>
      <c r="E958" s="81"/>
      <c r="F958" s="81"/>
      <c r="G958" s="81"/>
      <c r="H958" s="81"/>
      <c r="I958" s="289"/>
      <c r="J958" s="81"/>
      <c r="K958" s="81"/>
      <c r="L958" s="81"/>
      <c r="M958" s="81"/>
      <c r="N958" s="81"/>
      <c r="O958" s="289"/>
      <c r="P958" s="105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 ht="24" customHeight="1" x14ac:dyDescent="0.5">
      <c r="A959" s="81"/>
      <c r="B959" s="81"/>
      <c r="C959" s="81"/>
      <c r="D959" s="81"/>
      <c r="E959" s="81"/>
      <c r="F959" s="81"/>
      <c r="G959" s="81"/>
      <c r="H959" s="81"/>
      <c r="I959" s="289"/>
      <c r="J959" s="81"/>
      <c r="K959" s="81"/>
      <c r="L959" s="81"/>
      <c r="M959" s="81"/>
      <c r="N959" s="81"/>
      <c r="O959" s="289"/>
      <c r="P959" s="105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 ht="24" customHeight="1" x14ac:dyDescent="0.5">
      <c r="A960" s="81"/>
      <c r="B960" s="81"/>
      <c r="C960" s="81"/>
      <c r="D960" s="81"/>
      <c r="E960" s="81"/>
      <c r="F960" s="81"/>
      <c r="G960" s="81"/>
      <c r="H960" s="81"/>
      <c r="I960" s="289"/>
      <c r="J960" s="81"/>
      <c r="K960" s="81"/>
      <c r="L960" s="81"/>
      <c r="M960" s="81"/>
      <c r="N960" s="81"/>
      <c r="O960" s="289"/>
      <c r="P960" s="105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 ht="24" customHeight="1" x14ac:dyDescent="0.5">
      <c r="A961" s="81"/>
      <c r="B961" s="81"/>
      <c r="C961" s="81"/>
      <c r="D961" s="81"/>
      <c r="E961" s="81"/>
      <c r="F961" s="81"/>
      <c r="G961" s="81"/>
      <c r="H961" s="81"/>
      <c r="I961" s="289"/>
      <c r="J961" s="81"/>
      <c r="K961" s="81"/>
      <c r="L961" s="81"/>
      <c r="M961" s="81"/>
      <c r="N961" s="81"/>
      <c r="O961" s="289"/>
      <c r="P961" s="105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 ht="24" customHeight="1" x14ac:dyDescent="0.5">
      <c r="A962" s="81"/>
      <c r="B962" s="81"/>
      <c r="C962" s="81"/>
      <c r="D962" s="81"/>
      <c r="E962" s="81"/>
      <c r="F962" s="81"/>
      <c r="G962" s="81"/>
      <c r="H962" s="81"/>
      <c r="I962" s="289"/>
      <c r="J962" s="81"/>
      <c r="K962" s="81"/>
      <c r="L962" s="81"/>
      <c r="M962" s="81"/>
      <c r="N962" s="81"/>
      <c r="O962" s="289"/>
      <c r="P962" s="105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 ht="24" customHeight="1" x14ac:dyDescent="0.5">
      <c r="A963" s="81"/>
      <c r="B963" s="81"/>
      <c r="C963" s="81"/>
      <c r="D963" s="81"/>
      <c r="E963" s="81"/>
      <c r="F963" s="81"/>
      <c r="G963" s="81"/>
      <c r="H963" s="81"/>
      <c r="I963" s="289"/>
      <c r="J963" s="81"/>
      <c r="K963" s="81"/>
      <c r="L963" s="81"/>
      <c r="M963" s="81"/>
      <c r="N963" s="81"/>
      <c r="O963" s="289"/>
      <c r="P963" s="105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 ht="24" customHeight="1" x14ac:dyDescent="0.5">
      <c r="A964" s="81"/>
      <c r="B964" s="81"/>
      <c r="C964" s="81"/>
      <c r="D964" s="81"/>
      <c r="E964" s="81"/>
      <c r="F964" s="81"/>
      <c r="G964" s="81"/>
      <c r="H964" s="81"/>
      <c r="I964" s="289"/>
      <c r="J964" s="81"/>
      <c r="K964" s="81"/>
      <c r="L964" s="81"/>
      <c r="M964" s="81"/>
      <c r="N964" s="81"/>
      <c r="O964" s="289"/>
      <c r="P964" s="105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 ht="24" customHeight="1" x14ac:dyDescent="0.5">
      <c r="A965" s="81"/>
      <c r="B965" s="81"/>
      <c r="C965" s="81"/>
      <c r="D965" s="81"/>
      <c r="E965" s="81"/>
      <c r="F965" s="81"/>
      <c r="G965" s="81"/>
      <c r="H965" s="81"/>
      <c r="I965" s="289"/>
      <c r="J965" s="81"/>
      <c r="K965" s="81"/>
      <c r="L965" s="81"/>
      <c r="M965" s="81"/>
      <c r="N965" s="81"/>
      <c r="O965" s="289"/>
      <c r="P965" s="105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 ht="24" customHeight="1" x14ac:dyDescent="0.5">
      <c r="A966" s="81"/>
      <c r="B966" s="81"/>
      <c r="C966" s="81"/>
      <c r="D966" s="81"/>
      <c r="E966" s="81"/>
      <c r="F966" s="81"/>
      <c r="G966" s="81"/>
      <c r="H966" s="81"/>
      <c r="I966" s="289"/>
      <c r="J966" s="81"/>
      <c r="K966" s="81"/>
      <c r="L966" s="81"/>
      <c r="M966" s="81"/>
      <c r="N966" s="81"/>
      <c r="O966" s="289"/>
      <c r="P966" s="105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 ht="24" customHeight="1" x14ac:dyDescent="0.5">
      <c r="A967" s="81"/>
      <c r="B967" s="81"/>
      <c r="C967" s="81"/>
      <c r="D967" s="81"/>
      <c r="E967" s="81"/>
      <c r="F967" s="81"/>
      <c r="G967" s="81"/>
      <c r="H967" s="81"/>
      <c r="I967" s="289"/>
      <c r="J967" s="81"/>
      <c r="K967" s="81"/>
      <c r="L967" s="81"/>
      <c r="M967" s="81"/>
      <c r="N967" s="81"/>
      <c r="O967" s="289"/>
      <c r="P967" s="105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 ht="24" customHeight="1" x14ac:dyDescent="0.5">
      <c r="A968" s="81"/>
      <c r="B968" s="81"/>
      <c r="C968" s="81"/>
      <c r="D968" s="81"/>
      <c r="E968" s="81"/>
      <c r="F968" s="81"/>
      <c r="G968" s="81"/>
      <c r="H968" s="81"/>
      <c r="I968" s="289"/>
      <c r="J968" s="81"/>
      <c r="K968" s="81"/>
      <c r="L968" s="81"/>
      <c r="M968" s="81"/>
      <c r="N968" s="81"/>
      <c r="O968" s="289"/>
      <c r="P968" s="105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 ht="24" customHeight="1" x14ac:dyDescent="0.5">
      <c r="A969" s="81"/>
      <c r="B969" s="81"/>
      <c r="C969" s="81"/>
      <c r="D969" s="81"/>
      <c r="E969" s="81"/>
      <c r="F969" s="81"/>
      <c r="G969" s="81"/>
      <c r="H969" s="81"/>
      <c r="I969" s="289"/>
      <c r="J969" s="81"/>
      <c r="K969" s="81"/>
      <c r="L969" s="81"/>
      <c r="M969" s="81"/>
      <c r="N969" s="81"/>
      <c r="O969" s="289"/>
      <c r="P969" s="105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 ht="24" customHeight="1" x14ac:dyDescent="0.5">
      <c r="A970" s="81"/>
      <c r="B970" s="81"/>
      <c r="C970" s="81"/>
      <c r="D970" s="81"/>
      <c r="E970" s="81"/>
      <c r="F970" s="81"/>
      <c r="G970" s="81"/>
      <c r="H970" s="81"/>
      <c r="I970" s="289"/>
      <c r="J970" s="81"/>
      <c r="K970" s="81"/>
      <c r="L970" s="81"/>
      <c r="M970" s="81"/>
      <c r="N970" s="81"/>
      <c r="O970" s="289"/>
      <c r="P970" s="105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 ht="24" customHeight="1" x14ac:dyDescent="0.5">
      <c r="A971" s="81"/>
      <c r="B971" s="81"/>
      <c r="C971" s="81"/>
      <c r="D971" s="81"/>
      <c r="E971" s="81"/>
      <c r="F971" s="81"/>
      <c r="G971" s="81"/>
      <c r="H971" s="81"/>
      <c r="I971" s="289"/>
      <c r="J971" s="81"/>
      <c r="K971" s="81"/>
      <c r="L971" s="81"/>
      <c r="M971" s="81"/>
      <c r="N971" s="81"/>
      <c r="O971" s="289"/>
      <c r="P971" s="105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 ht="24" customHeight="1" x14ac:dyDescent="0.5">
      <c r="A972" s="81"/>
      <c r="B972" s="81"/>
      <c r="C972" s="81"/>
      <c r="D972" s="81"/>
      <c r="E972" s="81"/>
      <c r="F972" s="81"/>
      <c r="G972" s="81"/>
      <c r="H972" s="81"/>
      <c r="I972" s="289"/>
      <c r="J972" s="81"/>
      <c r="K972" s="81"/>
      <c r="L972" s="81"/>
      <c r="M972" s="81"/>
      <c r="N972" s="81"/>
      <c r="O972" s="289"/>
      <c r="P972" s="105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 ht="24" customHeight="1" x14ac:dyDescent="0.5">
      <c r="A973" s="81"/>
      <c r="B973" s="81"/>
      <c r="C973" s="81"/>
      <c r="D973" s="81"/>
      <c r="E973" s="81"/>
      <c r="F973" s="81"/>
      <c r="G973" s="81"/>
      <c r="H973" s="81"/>
      <c r="I973" s="289"/>
      <c r="J973" s="81"/>
      <c r="K973" s="81"/>
      <c r="L973" s="81"/>
      <c r="M973" s="81"/>
      <c r="N973" s="81"/>
      <c r="O973" s="289"/>
      <c r="P973" s="105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 ht="24" customHeight="1" x14ac:dyDescent="0.5">
      <c r="A974" s="81"/>
      <c r="B974" s="81"/>
      <c r="C974" s="81"/>
      <c r="D974" s="81"/>
      <c r="E974" s="81"/>
      <c r="F974" s="81"/>
      <c r="G974" s="81"/>
      <c r="H974" s="81"/>
      <c r="I974" s="289"/>
      <c r="J974" s="81"/>
      <c r="K974" s="81"/>
      <c r="L974" s="81"/>
      <c r="M974" s="81"/>
      <c r="N974" s="81"/>
      <c r="O974" s="289"/>
      <c r="P974" s="105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 ht="24" customHeight="1" x14ac:dyDescent="0.5">
      <c r="A975" s="81"/>
      <c r="B975" s="81"/>
      <c r="C975" s="81"/>
      <c r="D975" s="81"/>
      <c r="E975" s="81"/>
      <c r="F975" s="81"/>
      <c r="G975" s="81"/>
      <c r="H975" s="81"/>
      <c r="I975" s="289"/>
      <c r="J975" s="81"/>
      <c r="K975" s="81"/>
      <c r="L975" s="81"/>
      <c r="M975" s="81"/>
      <c r="N975" s="81"/>
      <c r="O975" s="289"/>
      <c r="P975" s="105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 ht="24" customHeight="1" x14ac:dyDescent="0.5">
      <c r="A976" s="81"/>
      <c r="B976" s="81"/>
      <c r="C976" s="81"/>
      <c r="D976" s="81"/>
      <c r="E976" s="81"/>
      <c r="F976" s="81"/>
      <c r="G976" s="81"/>
      <c r="H976" s="81"/>
      <c r="I976" s="289"/>
      <c r="J976" s="81"/>
      <c r="K976" s="81"/>
      <c r="L976" s="81"/>
      <c r="M976" s="81"/>
      <c r="N976" s="81"/>
      <c r="O976" s="289"/>
      <c r="P976" s="105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 ht="24" customHeight="1" x14ac:dyDescent="0.5">
      <c r="A977" s="81"/>
      <c r="B977" s="81"/>
      <c r="C977" s="81"/>
      <c r="D977" s="81"/>
      <c r="E977" s="81"/>
      <c r="F977" s="81"/>
      <c r="G977" s="81"/>
      <c r="H977" s="81"/>
      <c r="I977" s="289"/>
      <c r="J977" s="81"/>
      <c r="K977" s="81"/>
      <c r="L977" s="81"/>
      <c r="M977" s="81"/>
      <c r="N977" s="81"/>
      <c r="O977" s="289"/>
      <c r="P977" s="105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 ht="24" customHeight="1" x14ac:dyDescent="0.5">
      <c r="A978" s="81"/>
      <c r="B978" s="81"/>
      <c r="C978" s="81"/>
      <c r="D978" s="81"/>
      <c r="E978" s="81"/>
      <c r="F978" s="81"/>
      <c r="G978" s="81"/>
      <c r="H978" s="81"/>
      <c r="I978" s="289"/>
      <c r="J978" s="81"/>
      <c r="K978" s="81"/>
      <c r="L978" s="81"/>
      <c r="M978" s="81"/>
      <c r="N978" s="81"/>
      <c r="O978" s="289"/>
      <c r="P978" s="105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 ht="24" customHeight="1" x14ac:dyDescent="0.5">
      <c r="A979" s="81"/>
      <c r="B979" s="81"/>
      <c r="C979" s="81"/>
      <c r="D979" s="81"/>
      <c r="E979" s="81"/>
      <c r="F979" s="81"/>
      <c r="G979" s="81"/>
      <c r="H979" s="81"/>
      <c r="I979" s="289"/>
      <c r="J979" s="81"/>
      <c r="K979" s="81"/>
      <c r="L979" s="81"/>
      <c r="M979" s="81"/>
      <c r="N979" s="81"/>
      <c r="O979" s="289"/>
      <c r="P979" s="105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 ht="24" customHeight="1" x14ac:dyDescent="0.5">
      <c r="A980" s="81"/>
      <c r="B980" s="81"/>
      <c r="C980" s="81"/>
      <c r="D980" s="81"/>
      <c r="E980" s="81"/>
      <c r="F980" s="81"/>
      <c r="G980" s="81"/>
      <c r="H980" s="81"/>
      <c r="I980" s="289"/>
      <c r="J980" s="81"/>
      <c r="K980" s="81"/>
      <c r="L980" s="81"/>
      <c r="M980" s="81"/>
      <c r="N980" s="81"/>
      <c r="O980" s="289"/>
      <c r="P980" s="105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 ht="24" customHeight="1" x14ac:dyDescent="0.5">
      <c r="A981" s="81"/>
      <c r="B981" s="81"/>
      <c r="C981" s="81"/>
      <c r="D981" s="81"/>
      <c r="E981" s="81"/>
      <c r="F981" s="81"/>
      <c r="G981" s="81"/>
      <c r="H981" s="81"/>
      <c r="I981" s="289"/>
      <c r="J981" s="81"/>
      <c r="K981" s="81"/>
      <c r="L981" s="81"/>
      <c r="M981" s="81"/>
      <c r="N981" s="81"/>
      <c r="O981" s="289"/>
      <c r="P981" s="105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 ht="24" customHeight="1" x14ac:dyDescent="0.5">
      <c r="A982" s="81"/>
      <c r="B982" s="81"/>
      <c r="C982" s="81"/>
      <c r="D982" s="81"/>
      <c r="E982" s="81"/>
      <c r="F982" s="81"/>
      <c r="G982" s="81"/>
      <c r="H982" s="81"/>
      <c r="I982" s="289"/>
      <c r="J982" s="81"/>
      <c r="K982" s="81"/>
      <c r="L982" s="81"/>
      <c r="M982" s="81"/>
      <c r="N982" s="81"/>
      <c r="O982" s="289"/>
      <c r="P982" s="105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 ht="24" customHeight="1" x14ac:dyDescent="0.5">
      <c r="A983" s="81"/>
      <c r="B983" s="81"/>
      <c r="C983" s="81"/>
      <c r="D983" s="81"/>
      <c r="E983" s="81"/>
      <c r="F983" s="81"/>
      <c r="G983" s="81"/>
      <c r="H983" s="81"/>
      <c r="I983" s="289"/>
      <c r="J983" s="81"/>
      <c r="K983" s="81"/>
      <c r="L983" s="81"/>
      <c r="M983" s="81"/>
      <c r="N983" s="81"/>
      <c r="O983" s="289"/>
      <c r="P983" s="105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 ht="24" customHeight="1" x14ac:dyDescent="0.5">
      <c r="A984" s="81"/>
      <c r="B984" s="81"/>
      <c r="C984" s="81"/>
      <c r="D984" s="81"/>
      <c r="E984" s="81"/>
      <c r="F984" s="81"/>
      <c r="G984" s="81"/>
      <c r="H984" s="81"/>
      <c r="I984" s="289"/>
      <c r="J984" s="81"/>
      <c r="K984" s="81"/>
      <c r="L984" s="81"/>
      <c r="M984" s="81"/>
      <c r="N984" s="81"/>
      <c r="O984" s="289"/>
      <c r="P984" s="105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 ht="24" customHeight="1" x14ac:dyDescent="0.5">
      <c r="A985" s="81"/>
      <c r="B985" s="81"/>
      <c r="C985" s="81"/>
      <c r="D985" s="81"/>
      <c r="E985" s="81"/>
      <c r="F985" s="81"/>
      <c r="G985" s="81"/>
      <c r="H985" s="81"/>
      <c r="I985" s="289"/>
      <c r="J985" s="81"/>
      <c r="K985" s="81"/>
      <c r="L985" s="81"/>
      <c r="M985" s="81"/>
      <c r="N985" s="81"/>
      <c r="O985" s="289"/>
      <c r="P985" s="105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 ht="24" customHeight="1" x14ac:dyDescent="0.5">
      <c r="A986" s="81"/>
      <c r="B986" s="81"/>
      <c r="C986" s="81"/>
      <c r="D986" s="81"/>
      <c r="E986" s="81"/>
      <c r="F986" s="81"/>
      <c r="G986" s="81"/>
      <c r="H986" s="81"/>
      <c r="I986" s="289"/>
      <c r="J986" s="81"/>
      <c r="K986" s="81"/>
      <c r="L986" s="81"/>
      <c r="M986" s="81"/>
      <c r="N986" s="81"/>
      <c r="O986" s="289"/>
      <c r="P986" s="105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 ht="24" customHeight="1" x14ac:dyDescent="0.5">
      <c r="A987" s="81"/>
      <c r="B987" s="81"/>
      <c r="C987" s="81"/>
      <c r="D987" s="81"/>
      <c r="E987" s="81"/>
      <c r="F987" s="81"/>
      <c r="G987" s="81"/>
      <c r="H987" s="81"/>
      <c r="I987" s="289"/>
      <c r="J987" s="81"/>
      <c r="K987" s="81"/>
      <c r="L987" s="81"/>
      <c r="M987" s="81"/>
      <c r="N987" s="81"/>
      <c r="O987" s="289"/>
      <c r="P987" s="105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 ht="24" customHeight="1" x14ac:dyDescent="0.5">
      <c r="A988" s="81"/>
      <c r="B988" s="81"/>
      <c r="C988" s="81"/>
      <c r="D988" s="81"/>
      <c r="E988" s="81"/>
      <c r="F988" s="81"/>
      <c r="G988" s="81"/>
      <c r="H988" s="81"/>
      <c r="I988" s="289"/>
      <c r="J988" s="81"/>
      <c r="K988" s="81"/>
      <c r="L988" s="81"/>
      <c r="M988" s="81"/>
      <c r="N988" s="81"/>
      <c r="O988" s="289"/>
      <c r="P988" s="105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 ht="24" customHeight="1" x14ac:dyDescent="0.5">
      <c r="A989" s="81"/>
      <c r="B989" s="81"/>
      <c r="C989" s="81"/>
      <c r="D989" s="81"/>
      <c r="E989" s="81"/>
      <c r="F989" s="81"/>
      <c r="G989" s="81"/>
      <c r="H989" s="81"/>
      <c r="I989" s="289"/>
      <c r="J989" s="81"/>
      <c r="K989" s="81"/>
      <c r="L989" s="81"/>
      <c r="M989" s="81"/>
      <c r="N989" s="81"/>
      <c r="O989" s="289"/>
      <c r="P989" s="105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 ht="24" customHeight="1" x14ac:dyDescent="0.5">
      <c r="A990" s="81"/>
      <c r="B990" s="81"/>
      <c r="C990" s="81"/>
      <c r="D990" s="81"/>
      <c r="E990" s="81"/>
      <c r="F990" s="81"/>
      <c r="G990" s="81"/>
      <c r="H990" s="81"/>
      <c r="I990" s="289"/>
      <c r="J990" s="81"/>
      <c r="K990" s="81"/>
      <c r="L990" s="81"/>
      <c r="M990" s="81"/>
      <c r="N990" s="81"/>
      <c r="O990" s="289"/>
      <c r="P990" s="105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 ht="24" customHeight="1" x14ac:dyDescent="0.5">
      <c r="A991" s="81"/>
      <c r="B991" s="81"/>
      <c r="C991" s="81"/>
      <c r="D991" s="81"/>
      <c r="E991" s="81"/>
      <c r="F991" s="81"/>
      <c r="G991" s="81"/>
      <c r="H991" s="81"/>
      <c r="I991" s="289"/>
      <c r="J991" s="81"/>
      <c r="K991" s="81"/>
      <c r="L991" s="81"/>
      <c r="M991" s="81"/>
      <c r="N991" s="81"/>
      <c r="O991" s="289"/>
      <c r="P991" s="105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 ht="24" customHeight="1" x14ac:dyDescent="0.5">
      <c r="A992" s="81"/>
      <c r="B992" s="81"/>
      <c r="C992" s="81"/>
      <c r="D992" s="81"/>
      <c r="E992" s="81"/>
      <c r="F992" s="81"/>
      <c r="G992" s="81"/>
      <c r="H992" s="81"/>
      <c r="I992" s="289"/>
      <c r="J992" s="81"/>
      <c r="K992" s="81"/>
      <c r="L992" s="81"/>
      <c r="M992" s="81"/>
      <c r="N992" s="81"/>
      <c r="O992" s="289"/>
      <c r="P992" s="105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 ht="24" customHeight="1" x14ac:dyDescent="0.5">
      <c r="A993" s="81"/>
      <c r="B993" s="81"/>
      <c r="C993" s="81"/>
      <c r="D993" s="81"/>
      <c r="E993" s="81"/>
      <c r="F993" s="81"/>
      <c r="G993" s="81"/>
      <c r="H993" s="81"/>
      <c r="I993" s="289"/>
      <c r="J993" s="81"/>
      <c r="K993" s="81"/>
      <c r="L993" s="81"/>
      <c r="M993" s="81"/>
      <c r="N993" s="81"/>
      <c r="O993" s="289"/>
      <c r="P993" s="105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 ht="24" customHeight="1" x14ac:dyDescent="0.5">
      <c r="A994" s="81"/>
      <c r="B994" s="81"/>
      <c r="C994" s="81"/>
      <c r="D994" s="81"/>
      <c r="E994" s="81"/>
      <c r="F994" s="81"/>
      <c r="G994" s="81"/>
      <c r="H994" s="81"/>
      <c r="I994" s="289"/>
      <c r="J994" s="81"/>
      <c r="K994" s="81"/>
      <c r="L994" s="81"/>
      <c r="M994" s="81"/>
      <c r="N994" s="81"/>
      <c r="O994" s="289"/>
      <c r="P994" s="105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 ht="24" customHeight="1" x14ac:dyDescent="0.5">
      <c r="A995" s="81"/>
      <c r="B995" s="81"/>
      <c r="C995" s="81"/>
      <c r="D995" s="81"/>
      <c r="E995" s="81"/>
      <c r="F995" s="81"/>
      <c r="G995" s="81"/>
      <c r="H995" s="81"/>
      <c r="I995" s="289"/>
      <c r="J995" s="81"/>
      <c r="K995" s="81"/>
      <c r="L995" s="81"/>
      <c r="M995" s="81"/>
      <c r="N995" s="81"/>
      <c r="O995" s="289"/>
      <c r="P995" s="105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 ht="24" customHeight="1" x14ac:dyDescent="0.5">
      <c r="A996" s="81"/>
      <c r="B996" s="81"/>
      <c r="C996" s="81"/>
      <c r="D996" s="81"/>
      <c r="E996" s="81"/>
      <c r="F996" s="81"/>
      <c r="G996" s="81"/>
      <c r="H996" s="81"/>
      <c r="I996" s="289"/>
      <c r="J996" s="81"/>
      <c r="K996" s="81"/>
      <c r="L996" s="81"/>
      <c r="M996" s="81"/>
      <c r="N996" s="81"/>
      <c r="O996" s="289"/>
      <c r="P996" s="105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 ht="24" customHeight="1" x14ac:dyDescent="0.5">
      <c r="A997" s="81"/>
      <c r="B997" s="81"/>
      <c r="C997" s="81"/>
      <c r="D997" s="81"/>
      <c r="E997" s="81"/>
      <c r="F997" s="81"/>
      <c r="G997" s="81"/>
      <c r="H997" s="81"/>
      <c r="I997" s="289"/>
      <c r="J997" s="81"/>
      <c r="K997" s="81"/>
      <c r="L997" s="81"/>
      <c r="M997" s="81"/>
      <c r="N997" s="81"/>
      <c r="O997" s="289"/>
      <c r="P997" s="105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 ht="24" customHeight="1" x14ac:dyDescent="0.5">
      <c r="A998" s="81"/>
      <c r="B998" s="81"/>
      <c r="C998" s="81"/>
      <c r="D998" s="81"/>
      <c r="E998" s="81"/>
      <c r="F998" s="81"/>
      <c r="G998" s="81"/>
      <c r="H998" s="81"/>
      <c r="I998" s="289"/>
      <c r="J998" s="81"/>
      <c r="K998" s="81"/>
      <c r="L998" s="81"/>
      <c r="M998" s="81"/>
      <c r="N998" s="81"/>
      <c r="O998" s="289"/>
      <c r="P998" s="105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 ht="24" customHeight="1" x14ac:dyDescent="0.5">
      <c r="A999" s="81"/>
      <c r="B999" s="81"/>
      <c r="C999" s="81"/>
      <c r="D999" s="81"/>
      <c r="E999" s="81"/>
      <c r="F999" s="81"/>
      <c r="G999" s="81"/>
      <c r="H999" s="81"/>
      <c r="I999" s="289"/>
      <c r="J999" s="81"/>
      <c r="K999" s="81"/>
      <c r="L999" s="81"/>
      <c r="M999" s="81"/>
      <c r="N999" s="81"/>
      <c r="O999" s="289"/>
      <c r="P999" s="105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  <row r="1000" spans="1:26" ht="24" customHeight="1" x14ac:dyDescent="0.5">
      <c r="A1000" s="81"/>
      <c r="B1000" s="81"/>
      <c r="C1000" s="81"/>
      <c r="D1000" s="81"/>
      <c r="E1000" s="81"/>
      <c r="F1000" s="81"/>
      <c r="G1000" s="81"/>
      <c r="H1000" s="81"/>
      <c r="I1000" s="289"/>
      <c r="J1000" s="81"/>
      <c r="K1000" s="81"/>
      <c r="L1000" s="81"/>
      <c r="M1000" s="81"/>
      <c r="N1000" s="81"/>
      <c r="O1000" s="289"/>
      <c r="P1000" s="105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</row>
  </sheetData>
  <mergeCells count="20">
    <mergeCell ref="K7:L7"/>
    <mergeCell ref="M7:P7"/>
    <mergeCell ref="A9:B9"/>
    <mergeCell ref="A106:B106"/>
    <mergeCell ref="A7:B8"/>
    <mergeCell ref="D7:D8"/>
    <mergeCell ref="F7:G7"/>
    <mergeCell ref="I7:J7"/>
    <mergeCell ref="A15:B15"/>
    <mergeCell ref="A33:B33"/>
    <mergeCell ref="A54:B54"/>
    <mergeCell ref="A76:B76"/>
    <mergeCell ref="A91:B91"/>
    <mergeCell ref="A2:B6"/>
    <mergeCell ref="C2:P3"/>
    <mergeCell ref="C4:G5"/>
    <mergeCell ref="H4:J6"/>
    <mergeCell ref="K4:P6"/>
    <mergeCell ref="C6:E6"/>
    <mergeCell ref="F6:G6"/>
  </mergeCells>
  <printOptions horizontalCentered="1"/>
  <pageMargins left="0.25" right="0.25" top="0.75" bottom="0.75" header="0.3" footer="0.3"/>
  <pageSetup paperSize="9" scale="62" orientation="landscape" r:id="rId1"/>
  <rowBreaks count="4" manualBreakCount="4">
    <brk id="32" max="15" man="1"/>
    <brk id="53" max="15" man="1"/>
    <brk id="75" max="15" man="1"/>
    <brk id="90" max="15" man="1"/>
  </rowBreaks>
  <colBreaks count="1" manualBreakCount="1">
    <brk id="1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6A4D6-CD94-4D66-A157-BBDC721DB4C4}">
  <sheetPr>
    <tabColor rgb="FFFFD965"/>
  </sheetPr>
  <dimension ref="A1:AS115"/>
  <sheetViews>
    <sheetView view="pageBreakPreview" zoomScaleNormal="40" zoomScaleSheetLayoutView="100" workbookViewId="0">
      <pane xSplit="2" ySplit="9" topLeftCell="C13" activePane="bottomRight" state="frozen"/>
      <selection activeCell="Z5" sqref="Z5:AB6"/>
      <selection pane="topRight" activeCell="Z5" sqref="Z5:AB6"/>
      <selection pane="bottomLeft" activeCell="Z5" sqref="Z5:AB6"/>
      <selection pane="bottomRight" activeCell="V5" sqref="V5:AD7"/>
    </sheetView>
  </sheetViews>
  <sheetFormatPr defaultColWidth="12.625" defaultRowHeight="24" customHeight="1" x14ac:dyDescent="0.5"/>
  <cols>
    <col min="1" max="1" width="4.375" style="203" customWidth="1"/>
    <col min="2" max="2" width="27.75" style="203" customWidth="1"/>
    <col min="3" max="6" width="9.75" style="203" customWidth="1"/>
    <col min="7" max="19" width="7.75" style="203" customWidth="1"/>
    <col min="20" max="21" width="10.75" style="203" customWidth="1"/>
    <col min="22" max="24" width="7.75" style="203" customWidth="1"/>
    <col min="25" max="25" width="6.75" style="203" customWidth="1"/>
    <col min="26" max="26" width="7.75" style="203" customWidth="1"/>
    <col min="27" max="27" width="6.75" style="203" customWidth="1"/>
    <col min="28" max="28" width="7.75" style="203" customWidth="1"/>
    <col min="29" max="29" width="12.75" style="203" customWidth="1"/>
    <col min="30" max="33" width="7.75" style="203" customWidth="1"/>
    <col min="34" max="34" width="6.75" style="203" customWidth="1"/>
    <col min="35" max="35" width="7.75" style="203" customWidth="1"/>
    <col min="36" max="36" width="6.75" style="203" customWidth="1"/>
    <col min="37" max="40" width="7.75" style="203" customWidth="1"/>
    <col min="41" max="41" width="6.75" style="203" customWidth="1"/>
    <col min="42" max="45" width="7.75" style="203" customWidth="1"/>
    <col min="46" max="16384" width="12.625" style="203"/>
  </cols>
  <sheetData>
    <row r="1" spans="1:45" ht="24" customHeight="1" thickBot="1" x14ac:dyDescent="0.55000000000000004">
      <c r="A1" s="196" t="s">
        <v>324</v>
      </c>
      <c r="B1" s="197"/>
      <c r="C1" s="198"/>
      <c r="D1" s="198"/>
      <c r="E1" s="198"/>
      <c r="F1" s="199"/>
      <c r="G1" s="198"/>
      <c r="H1" s="197"/>
      <c r="I1" s="197"/>
      <c r="J1" s="198"/>
      <c r="K1" s="199"/>
      <c r="L1" s="198"/>
      <c r="M1" s="199"/>
      <c r="N1" s="197"/>
      <c r="O1" s="198"/>
      <c r="P1" s="198"/>
      <c r="Q1" s="198"/>
      <c r="R1" s="198"/>
      <c r="S1" s="198"/>
      <c r="T1" s="198"/>
      <c r="U1" s="198"/>
      <c r="V1" s="197"/>
      <c r="W1" s="197"/>
      <c r="X1" s="197"/>
      <c r="Y1" s="197"/>
      <c r="Z1" s="197"/>
      <c r="AA1" s="197"/>
      <c r="AB1" s="198"/>
      <c r="AC1" s="198"/>
      <c r="AD1" s="198"/>
      <c r="AE1" s="197"/>
      <c r="AF1" s="197"/>
      <c r="AG1" s="198"/>
      <c r="AH1" s="197"/>
      <c r="AI1" s="198"/>
      <c r="AJ1" s="197"/>
      <c r="AK1" s="198"/>
      <c r="AL1" s="198"/>
      <c r="AM1" s="197"/>
      <c r="AN1" s="197"/>
      <c r="AO1" s="197"/>
      <c r="AP1" s="197"/>
      <c r="AQ1" s="197"/>
      <c r="AR1" s="197"/>
      <c r="AS1" s="197"/>
    </row>
    <row r="2" spans="1:45" ht="24" customHeight="1" x14ac:dyDescent="0.5">
      <c r="A2" s="703" t="s">
        <v>0</v>
      </c>
      <c r="B2" s="704"/>
      <c r="C2" s="780" t="s">
        <v>212</v>
      </c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1"/>
      <c r="T2" s="781"/>
      <c r="U2" s="781"/>
      <c r="V2" s="707" t="s">
        <v>212</v>
      </c>
      <c r="W2" s="781"/>
      <c r="X2" s="781"/>
      <c r="Y2" s="781"/>
      <c r="Z2" s="781"/>
      <c r="AA2" s="781"/>
      <c r="AB2" s="781"/>
      <c r="AC2" s="781"/>
      <c r="AD2" s="781"/>
      <c r="AE2" s="781"/>
      <c r="AF2" s="781"/>
      <c r="AG2" s="781"/>
      <c r="AH2" s="781"/>
      <c r="AI2" s="781"/>
      <c r="AJ2" s="781"/>
      <c r="AK2" s="781"/>
      <c r="AL2" s="781"/>
      <c r="AM2" s="781"/>
      <c r="AN2" s="781"/>
      <c r="AO2" s="781"/>
      <c r="AP2" s="781"/>
      <c r="AQ2" s="781"/>
      <c r="AR2" s="781"/>
      <c r="AS2" s="781"/>
    </row>
    <row r="3" spans="1:45" ht="24" customHeight="1" x14ac:dyDescent="0.5">
      <c r="A3" s="705"/>
      <c r="B3" s="789"/>
      <c r="C3" s="782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4"/>
      <c r="W3" s="783"/>
      <c r="X3" s="783"/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3"/>
      <c r="AM3" s="783"/>
      <c r="AN3" s="783"/>
      <c r="AO3" s="783"/>
      <c r="AP3" s="783"/>
      <c r="AQ3" s="783"/>
      <c r="AR3" s="783"/>
      <c r="AS3" s="783"/>
    </row>
    <row r="4" spans="1:45" ht="24" customHeight="1" x14ac:dyDescent="0.5">
      <c r="A4" s="705"/>
      <c r="B4" s="789"/>
      <c r="C4" s="790" t="s">
        <v>202</v>
      </c>
      <c r="D4" s="706"/>
      <c r="E4" s="706"/>
      <c r="F4" s="706"/>
      <c r="G4" s="791"/>
      <c r="H4" s="785" t="s">
        <v>213</v>
      </c>
      <c r="I4" s="786"/>
      <c r="J4" s="786"/>
      <c r="K4" s="786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5" t="s">
        <v>213</v>
      </c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7"/>
      <c r="AM4" s="793" t="s">
        <v>214</v>
      </c>
      <c r="AN4" s="701"/>
      <c r="AO4" s="701"/>
      <c r="AP4" s="701"/>
      <c r="AQ4" s="701"/>
      <c r="AR4" s="701"/>
      <c r="AS4" s="702"/>
    </row>
    <row r="5" spans="1:45" ht="24" customHeight="1" x14ac:dyDescent="0.5">
      <c r="A5" s="705"/>
      <c r="B5" s="789"/>
      <c r="C5" s="792"/>
      <c r="D5" s="713"/>
      <c r="E5" s="713"/>
      <c r="F5" s="713"/>
      <c r="G5" s="714"/>
      <c r="H5" s="794" t="s">
        <v>215</v>
      </c>
      <c r="I5" s="701"/>
      <c r="J5" s="701"/>
      <c r="K5" s="701"/>
      <c r="L5" s="701"/>
      <c r="M5" s="711"/>
      <c r="N5" s="795" t="s">
        <v>216</v>
      </c>
      <c r="O5" s="713"/>
      <c r="P5" s="713"/>
      <c r="Q5" s="713"/>
      <c r="R5" s="713"/>
      <c r="S5" s="713"/>
      <c r="T5" s="713"/>
      <c r="U5" s="714"/>
      <c r="V5" s="803" t="s">
        <v>217</v>
      </c>
      <c r="W5" s="713"/>
      <c r="X5" s="713"/>
      <c r="Y5" s="713"/>
      <c r="Z5" s="713"/>
      <c r="AA5" s="713"/>
      <c r="AB5" s="713"/>
      <c r="AC5" s="713"/>
      <c r="AD5" s="714"/>
      <c r="AE5" s="803" t="s">
        <v>218</v>
      </c>
      <c r="AF5" s="713"/>
      <c r="AG5" s="713"/>
      <c r="AH5" s="713"/>
      <c r="AI5" s="713"/>
      <c r="AJ5" s="713"/>
      <c r="AK5" s="713"/>
      <c r="AL5" s="713"/>
      <c r="AM5" s="719"/>
      <c r="AN5" s="713"/>
      <c r="AO5" s="713"/>
      <c r="AP5" s="713"/>
      <c r="AQ5" s="713"/>
      <c r="AR5" s="713"/>
      <c r="AS5" s="720"/>
    </row>
    <row r="6" spans="1:45" ht="24" customHeight="1" x14ac:dyDescent="0.5">
      <c r="A6" s="705"/>
      <c r="B6" s="789"/>
      <c r="C6" s="801" t="s">
        <v>6</v>
      </c>
      <c r="D6" s="716"/>
      <c r="E6" s="717"/>
      <c r="F6" s="733" t="s">
        <v>7</v>
      </c>
      <c r="G6" s="711"/>
      <c r="H6" s="713"/>
      <c r="I6" s="713"/>
      <c r="J6" s="713"/>
      <c r="K6" s="713"/>
      <c r="L6" s="713"/>
      <c r="M6" s="714"/>
      <c r="N6" s="796" t="s">
        <v>16</v>
      </c>
      <c r="O6" s="711"/>
      <c r="P6" s="749" t="s">
        <v>17</v>
      </c>
      <c r="Q6" s="716"/>
      <c r="R6" s="716"/>
      <c r="S6" s="716"/>
      <c r="T6" s="716"/>
      <c r="U6" s="717"/>
      <c r="V6" s="796" t="s">
        <v>16</v>
      </c>
      <c r="W6" s="711"/>
      <c r="X6" s="749" t="s">
        <v>17</v>
      </c>
      <c r="Y6" s="716"/>
      <c r="Z6" s="716"/>
      <c r="AA6" s="716"/>
      <c r="AB6" s="716"/>
      <c r="AC6" s="716"/>
      <c r="AD6" s="717"/>
      <c r="AE6" s="796" t="s">
        <v>16</v>
      </c>
      <c r="AF6" s="711"/>
      <c r="AG6" s="749" t="s">
        <v>17</v>
      </c>
      <c r="AH6" s="716"/>
      <c r="AI6" s="716"/>
      <c r="AJ6" s="716"/>
      <c r="AK6" s="716"/>
      <c r="AL6" s="717"/>
      <c r="AM6" s="788" t="s">
        <v>12</v>
      </c>
      <c r="AN6" s="716"/>
      <c r="AO6" s="717"/>
      <c r="AP6" s="788" t="s">
        <v>219</v>
      </c>
      <c r="AQ6" s="717"/>
      <c r="AR6" s="788" t="s">
        <v>220</v>
      </c>
      <c r="AS6" s="736"/>
    </row>
    <row r="7" spans="1:45" ht="59.25" customHeight="1" x14ac:dyDescent="0.5">
      <c r="A7" s="741" t="s">
        <v>207</v>
      </c>
      <c r="B7" s="789"/>
      <c r="C7" s="524" t="s">
        <v>12</v>
      </c>
      <c r="D7" s="809" t="s">
        <v>13</v>
      </c>
      <c r="E7" s="151" t="s">
        <v>14</v>
      </c>
      <c r="F7" s="746" t="s">
        <v>15</v>
      </c>
      <c r="G7" s="714"/>
      <c r="H7" s="805" t="s">
        <v>16</v>
      </c>
      <c r="I7" s="717"/>
      <c r="J7" s="797" t="s">
        <v>17</v>
      </c>
      <c r="K7" s="716"/>
      <c r="L7" s="716"/>
      <c r="M7" s="717"/>
      <c r="N7" s="719"/>
      <c r="O7" s="714"/>
      <c r="P7" s="798" t="s">
        <v>221</v>
      </c>
      <c r="Q7" s="799"/>
      <c r="R7" s="799"/>
      <c r="S7" s="800"/>
      <c r="T7" s="529" t="s">
        <v>222</v>
      </c>
      <c r="U7" s="530" t="s">
        <v>223</v>
      </c>
      <c r="V7" s="719"/>
      <c r="W7" s="714"/>
      <c r="X7" s="797" t="s">
        <v>224</v>
      </c>
      <c r="Y7" s="716"/>
      <c r="Z7" s="716"/>
      <c r="AA7" s="717"/>
      <c r="AB7" s="526" t="s">
        <v>225</v>
      </c>
      <c r="AC7" s="527" t="s">
        <v>226</v>
      </c>
      <c r="AD7" s="527" t="s">
        <v>227</v>
      </c>
      <c r="AE7" s="719"/>
      <c r="AF7" s="714"/>
      <c r="AG7" s="797" t="s">
        <v>221</v>
      </c>
      <c r="AH7" s="716"/>
      <c r="AI7" s="716"/>
      <c r="AJ7" s="717"/>
      <c r="AK7" s="303" t="s">
        <v>228</v>
      </c>
      <c r="AL7" s="528" t="s">
        <v>229</v>
      </c>
      <c r="AM7" s="304" t="s">
        <v>16</v>
      </c>
      <c r="AN7" s="802" t="s">
        <v>17</v>
      </c>
      <c r="AO7" s="717"/>
      <c r="AP7" s="305" t="s">
        <v>16</v>
      </c>
      <c r="AQ7" s="306" t="s">
        <v>17</v>
      </c>
      <c r="AR7" s="305" t="s">
        <v>16</v>
      </c>
      <c r="AS7" s="307" t="s">
        <v>17</v>
      </c>
    </row>
    <row r="8" spans="1:45" ht="21.75" customHeight="1" thickBot="1" x14ac:dyDescent="0.55000000000000004">
      <c r="A8" s="742"/>
      <c r="B8" s="743"/>
      <c r="C8" s="525"/>
      <c r="D8" s="810"/>
      <c r="E8" s="153"/>
      <c r="F8" s="155" t="s">
        <v>18</v>
      </c>
      <c r="G8" s="154" t="s">
        <v>19</v>
      </c>
      <c r="H8" s="159" t="s">
        <v>199</v>
      </c>
      <c r="I8" s="159" t="s">
        <v>21</v>
      </c>
      <c r="J8" s="290" t="s">
        <v>199</v>
      </c>
      <c r="K8" s="291" t="s">
        <v>19</v>
      </c>
      <c r="L8" s="290" t="s">
        <v>21</v>
      </c>
      <c r="M8" s="291" t="s">
        <v>19</v>
      </c>
      <c r="N8" s="159" t="s">
        <v>199</v>
      </c>
      <c r="O8" s="159" t="s">
        <v>21</v>
      </c>
      <c r="P8" s="290" t="s">
        <v>199</v>
      </c>
      <c r="Q8" s="290" t="s">
        <v>19</v>
      </c>
      <c r="R8" s="290" t="s">
        <v>21</v>
      </c>
      <c r="S8" s="290" t="s">
        <v>19</v>
      </c>
      <c r="T8" s="292" t="s">
        <v>21</v>
      </c>
      <c r="U8" s="292" t="s">
        <v>21</v>
      </c>
      <c r="V8" s="159" t="s">
        <v>199</v>
      </c>
      <c r="W8" s="159" t="s">
        <v>21</v>
      </c>
      <c r="X8" s="290" t="s">
        <v>199</v>
      </c>
      <c r="Y8" s="290" t="s">
        <v>19</v>
      </c>
      <c r="Z8" s="290" t="s">
        <v>21</v>
      </c>
      <c r="AA8" s="290" t="s">
        <v>19</v>
      </c>
      <c r="AB8" s="292" t="s">
        <v>21</v>
      </c>
      <c r="AC8" s="292" t="s">
        <v>21</v>
      </c>
      <c r="AD8" s="292" t="s">
        <v>21</v>
      </c>
      <c r="AE8" s="159" t="s">
        <v>199</v>
      </c>
      <c r="AF8" s="159" t="s">
        <v>21</v>
      </c>
      <c r="AG8" s="290" t="s">
        <v>199</v>
      </c>
      <c r="AH8" s="290" t="s">
        <v>19</v>
      </c>
      <c r="AI8" s="290" t="s">
        <v>21</v>
      </c>
      <c r="AJ8" s="290" t="s">
        <v>19</v>
      </c>
      <c r="AK8" s="292" t="s">
        <v>21</v>
      </c>
      <c r="AL8" s="293" t="s">
        <v>21</v>
      </c>
      <c r="AM8" s="294" t="s">
        <v>21</v>
      </c>
      <c r="AN8" s="295" t="s">
        <v>21</v>
      </c>
      <c r="AO8" s="290" t="s">
        <v>19</v>
      </c>
      <c r="AP8" s="159" t="s">
        <v>22</v>
      </c>
      <c r="AQ8" s="290" t="s">
        <v>22</v>
      </c>
      <c r="AR8" s="159" t="s">
        <v>22</v>
      </c>
      <c r="AS8" s="296" t="s">
        <v>22</v>
      </c>
    </row>
    <row r="9" spans="1:45" ht="24" customHeight="1" x14ac:dyDescent="0.5">
      <c r="A9" s="737" t="s">
        <v>24</v>
      </c>
      <c r="B9" s="738"/>
      <c r="C9" s="308">
        <f>C10+C11</f>
        <v>12761700</v>
      </c>
      <c r="D9" s="210">
        <f>D10+D11</f>
        <v>0</v>
      </c>
      <c r="E9" s="211">
        <f>E10+E11</f>
        <v>12761700</v>
      </c>
      <c r="F9" s="165">
        <f ca="1">+F10+F11</f>
        <v>4560</v>
      </c>
      <c r="G9" s="165">
        <f t="shared" ref="G9:G40" ca="1" si="0">IF(C9&gt;0,F9*100/C9,0)</f>
        <v>3.5731916594184163E-2</v>
      </c>
      <c r="H9" s="168">
        <f>H10+H11</f>
        <v>10800</v>
      </c>
      <c r="I9" s="168">
        <f>I10+I11</f>
        <v>3600</v>
      </c>
      <c r="J9" s="169">
        <f ca="1">J10+J11</f>
        <v>0</v>
      </c>
      <c r="K9" s="167">
        <f t="shared" ref="K9:K40" ca="1" si="1">IF(H9&gt;0,J9*100/H9,0)</f>
        <v>0</v>
      </c>
      <c r="L9" s="169">
        <f ca="1">L10+L11</f>
        <v>25</v>
      </c>
      <c r="M9" s="167">
        <f t="shared" ref="M9:M40" ca="1" si="2">IF(I9&gt;0,L9*100/I9,0)</f>
        <v>0.69444444444444442</v>
      </c>
      <c r="N9" s="168">
        <f>N10+N11</f>
        <v>2529</v>
      </c>
      <c r="O9" s="168">
        <f>O10+O11</f>
        <v>843</v>
      </c>
      <c r="P9" s="169">
        <f ca="1">P10+P11</f>
        <v>0</v>
      </c>
      <c r="Q9" s="167">
        <f t="shared" ref="Q9:Q40" ca="1" si="3">IF(N9&gt;0,P9*100/N9,0)</f>
        <v>0</v>
      </c>
      <c r="R9" s="169">
        <f ca="1">R10+R11</f>
        <v>10</v>
      </c>
      <c r="S9" s="167">
        <f t="shared" ref="S9:S40" ca="1" si="4">IF(O9&gt;0,R9*100/O9,0)</f>
        <v>1.1862396204033214</v>
      </c>
      <c r="T9" s="169">
        <f ca="1">T10+T11</f>
        <v>10</v>
      </c>
      <c r="U9" s="169">
        <f ca="1">U10+U11</f>
        <v>10</v>
      </c>
      <c r="V9" s="168">
        <f>V10+V11</f>
        <v>5847</v>
      </c>
      <c r="W9" s="168">
        <f>W10+W11</f>
        <v>1949</v>
      </c>
      <c r="X9" s="169">
        <f ca="1">X10+X11</f>
        <v>0</v>
      </c>
      <c r="Y9" s="167">
        <f t="shared" ref="Y9:Y40" ca="1" si="5">IF(V9&gt;0,X9*100/V9,0)</f>
        <v>0</v>
      </c>
      <c r="Z9" s="169">
        <f ca="1">Z10+Z11</f>
        <v>0</v>
      </c>
      <c r="AA9" s="167">
        <f t="shared" ref="AA9:AA40" ca="1" si="6">IF(W9&gt;0,Z9*100/W9,0)</f>
        <v>0</v>
      </c>
      <c r="AB9" s="169">
        <f t="shared" ref="AB9:AG9" ca="1" si="7">AB10+AB11</f>
        <v>0</v>
      </c>
      <c r="AC9" s="169">
        <f t="shared" ca="1" si="7"/>
        <v>0</v>
      </c>
      <c r="AD9" s="169">
        <f t="shared" ca="1" si="7"/>
        <v>0</v>
      </c>
      <c r="AE9" s="168">
        <f t="shared" si="7"/>
        <v>2424</v>
      </c>
      <c r="AF9" s="168">
        <f t="shared" si="7"/>
        <v>808</v>
      </c>
      <c r="AG9" s="169">
        <f t="shared" ca="1" si="7"/>
        <v>0</v>
      </c>
      <c r="AH9" s="169">
        <f t="shared" ref="AH9:AH40" ca="1" si="8">IF(AE9&gt;0,AG9*100/AE9,0)</f>
        <v>0</v>
      </c>
      <c r="AI9" s="169">
        <f ca="1">AI10+AI11</f>
        <v>15</v>
      </c>
      <c r="AJ9" s="167">
        <f t="shared" ref="AJ9:AJ40" ca="1" si="9">IF(AF9&gt;0,AI9*100/AF9,0)</f>
        <v>1.8564356435643565</v>
      </c>
      <c r="AK9" s="169">
        <f ca="1">AK10+AK11</f>
        <v>15</v>
      </c>
      <c r="AL9" s="169">
        <f ca="1">AL10+AL11</f>
        <v>15</v>
      </c>
      <c r="AM9" s="168">
        <f>AM10+AM11</f>
        <v>2792</v>
      </c>
      <c r="AN9" s="169">
        <f ca="1">AN10+AN11</f>
        <v>0</v>
      </c>
      <c r="AO9" s="169">
        <f t="shared" ref="AO9:AO40" ca="1" si="10">IF(AM9&gt;0,AN9*100/AM9,0)</f>
        <v>0</v>
      </c>
      <c r="AP9" s="168">
        <f>AP10+AP11</f>
        <v>843</v>
      </c>
      <c r="AQ9" s="169">
        <f ca="1">AQ10+AQ11</f>
        <v>0</v>
      </c>
      <c r="AR9" s="168">
        <f>AR10+AR11</f>
        <v>1949</v>
      </c>
      <c r="AS9" s="169">
        <f ca="1">AS10+AS11</f>
        <v>0</v>
      </c>
    </row>
    <row r="10" spans="1:45" ht="24" customHeight="1" x14ac:dyDescent="0.5">
      <c r="A10" s="171" t="s">
        <v>25</v>
      </c>
      <c r="B10" s="172"/>
      <c r="C10" s="297">
        <f>+C15+C33+C54+C76</f>
        <v>12235530</v>
      </c>
      <c r="D10" s="174">
        <f>+D15+D33+D54+D76</f>
        <v>0</v>
      </c>
      <c r="E10" s="174">
        <f>+E15+E33+E54+E76</f>
        <v>12235530</v>
      </c>
      <c r="F10" s="175">
        <f ca="1">+F15+F33+F54+F76</f>
        <v>4560</v>
      </c>
      <c r="G10" s="175">
        <f t="shared" ca="1" si="0"/>
        <v>3.7268512275316232E-2</v>
      </c>
      <c r="H10" s="177">
        <f>+H15+H33+H54+H76</f>
        <v>10800</v>
      </c>
      <c r="I10" s="177">
        <f>+I15+I33+I54+I76</f>
        <v>3600</v>
      </c>
      <c r="J10" s="177">
        <f ca="1">+J15+J33+J54+J76</f>
        <v>0</v>
      </c>
      <c r="K10" s="176">
        <f t="shared" ca="1" si="1"/>
        <v>0</v>
      </c>
      <c r="L10" s="177">
        <f ca="1">+L15+L33+L54+L76</f>
        <v>25</v>
      </c>
      <c r="M10" s="176">
        <f t="shared" ca="1" si="2"/>
        <v>0.69444444444444442</v>
      </c>
      <c r="N10" s="177">
        <f>+N15+N33+N54+N76</f>
        <v>2529</v>
      </c>
      <c r="O10" s="177">
        <f>+O15+O33+O54+O76</f>
        <v>843</v>
      </c>
      <c r="P10" s="177">
        <f ca="1">+P15+P33+P54+P76</f>
        <v>0</v>
      </c>
      <c r="Q10" s="176">
        <f t="shared" ca="1" si="3"/>
        <v>0</v>
      </c>
      <c r="R10" s="177">
        <f ca="1">+R15+R33+R54+R76</f>
        <v>10</v>
      </c>
      <c r="S10" s="176">
        <f t="shared" ca="1" si="4"/>
        <v>1.1862396204033214</v>
      </c>
      <c r="T10" s="177">
        <f ca="1">+T15+T33+T54+T76</f>
        <v>10</v>
      </c>
      <c r="U10" s="177">
        <f ca="1">+U15+U33+U54+U76</f>
        <v>10</v>
      </c>
      <c r="V10" s="177">
        <f>+V15+V33+V54+V76</f>
        <v>5847</v>
      </c>
      <c r="W10" s="177">
        <f>+W15+W33+W54+W76</f>
        <v>1949</v>
      </c>
      <c r="X10" s="177">
        <f ca="1">+X15+X33+X54+X76</f>
        <v>0</v>
      </c>
      <c r="Y10" s="176">
        <f t="shared" ca="1" si="5"/>
        <v>0</v>
      </c>
      <c r="Z10" s="177">
        <f ca="1">+Z15+Z33+Z54+Z76</f>
        <v>0</v>
      </c>
      <c r="AA10" s="176">
        <f t="shared" ca="1" si="6"/>
        <v>0</v>
      </c>
      <c r="AB10" s="177">
        <f t="shared" ref="AB10:AG10" ca="1" si="11">+AB15+AB33+AB54+AB76</f>
        <v>0</v>
      </c>
      <c r="AC10" s="177">
        <f t="shared" ca="1" si="11"/>
        <v>0</v>
      </c>
      <c r="AD10" s="177">
        <f t="shared" ca="1" si="11"/>
        <v>0</v>
      </c>
      <c r="AE10" s="177">
        <f t="shared" si="11"/>
        <v>2424</v>
      </c>
      <c r="AF10" s="177">
        <f t="shared" si="11"/>
        <v>808</v>
      </c>
      <c r="AG10" s="177">
        <f t="shared" ca="1" si="11"/>
        <v>0</v>
      </c>
      <c r="AH10" s="177">
        <f t="shared" ca="1" si="8"/>
        <v>0</v>
      </c>
      <c r="AI10" s="177">
        <f ca="1">+AI15+AI33+AI54+AI76</f>
        <v>15</v>
      </c>
      <c r="AJ10" s="177">
        <f t="shared" ca="1" si="9"/>
        <v>1.8564356435643565</v>
      </c>
      <c r="AK10" s="177">
        <f ca="1">+AK15+AK33+AK54+AK76</f>
        <v>15</v>
      </c>
      <c r="AL10" s="177">
        <f ca="1">+AL15+AL33+AL54+AL76</f>
        <v>15</v>
      </c>
      <c r="AM10" s="177">
        <f>+AM15+AM33+AM54+AM76</f>
        <v>2792</v>
      </c>
      <c r="AN10" s="177">
        <f ca="1">+AN15+AN33+AN54+AN76</f>
        <v>0</v>
      </c>
      <c r="AO10" s="177">
        <f t="shared" ca="1" si="10"/>
        <v>0</v>
      </c>
      <c r="AP10" s="177">
        <f>+AP15+AP33+AP54+AP76</f>
        <v>843</v>
      </c>
      <c r="AQ10" s="177">
        <f ca="1">+AQ15+AQ33+AQ54+AQ76</f>
        <v>0</v>
      </c>
      <c r="AR10" s="177">
        <f>+AR15+AR33+AR54+AR76</f>
        <v>1949</v>
      </c>
      <c r="AS10" s="177">
        <f ca="1">+AS15+AS33+AS54+AS76</f>
        <v>0</v>
      </c>
    </row>
    <row r="11" spans="1:45" ht="24" customHeight="1" x14ac:dyDescent="0.5">
      <c r="A11" s="179" t="s">
        <v>26</v>
      </c>
      <c r="B11" s="180"/>
      <c r="C11" s="298">
        <f>+C12+C13</f>
        <v>526170</v>
      </c>
      <c r="D11" s="182">
        <f>+D12+D13</f>
        <v>0</v>
      </c>
      <c r="E11" s="182">
        <f>+E12+E13</f>
        <v>526170</v>
      </c>
      <c r="F11" s="183">
        <f>+F12+F13</f>
        <v>0</v>
      </c>
      <c r="G11" s="183">
        <f t="shared" si="0"/>
        <v>0</v>
      </c>
      <c r="H11" s="182">
        <f>+H12+H13</f>
        <v>0</v>
      </c>
      <c r="I11" s="182">
        <f>+I12+I13</f>
        <v>0</v>
      </c>
      <c r="J11" s="182">
        <f>+J12+J13</f>
        <v>0</v>
      </c>
      <c r="K11" s="183">
        <f t="shared" si="1"/>
        <v>0</v>
      </c>
      <c r="L11" s="182">
        <f>+L12+L13</f>
        <v>0</v>
      </c>
      <c r="M11" s="183">
        <f t="shared" si="2"/>
        <v>0</v>
      </c>
      <c r="N11" s="182">
        <f>+N12+N13</f>
        <v>0</v>
      </c>
      <c r="O11" s="182">
        <f>+O12+O13</f>
        <v>0</v>
      </c>
      <c r="P11" s="182">
        <f>+P12+P13</f>
        <v>0</v>
      </c>
      <c r="Q11" s="183">
        <f t="shared" si="3"/>
        <v>0</v>
      </c>
      <c r="R11" s="182">
        <f>+R12+R13</f>
        <v>0</v>
      </c>
      <c r="S11" s="183">
        <f t="shared" si="4"/>
        <v>0</v>
      </c>
      <c r="T11" s="182">
        <f>+T12+T13</f>
        <v>0</v>
      </c>
      <c r="U11" s="182">
        <f>+U12+U13</f>
        <v>0</v>
      </c>
      <c r="V11" s="182">
        <f>+V12+V13</f>
        <v>0</v>
      </c>
      <c r="W11" s="182">
        <f>+W12+W13</f>
        <v>0</v>
      </c>
      <c r="X11" s="182">
        <f>+X12+X13</f>
        <v>0</v>
      </c>
      <c r="Y11" s="183">
        <f t="shared" si="5"/>
        <v>0</v>
      </c>
      <c r="Z11" s="182">
        <f>+Z12+Z13</f>
        <v>0</v>
      </c>
      <c r="AA11" s="183">
        <f t="shared" si="6"/>
        <v>0</v>
      </c>
      <c r="AB11" s="182">
        <f t="shared" ref="AB11:AG11" si="12">+AB12+AB13</f>
        <v>0</v>
      </c>
      <c r="AC11" s="182">
        <f t="shared" si="12"/>
        <v>0</v>
      </c>
      <c r="AD11" s="182">
        <f t="shared" si="12"/>
        <v>0</v>
      </c>
      <c r="AE11" s="182">
        <f t="shared" si="12"/>
        <v>0</v>
      </c>
      <c r="AF11" s="182">
        <f t="shared" si="12"/>
        <v>0</v>
      </c>
      <c r="AG11" s="182">
        <f t="shared" si="12"/>
        <v>0</v>
      </c>
      <c r="AH11" s="182">
        <f t="shared" si="8"/>
        <v>0</v>
      </c>
      <c r="AI11" s="182">
        <f>+AI12+AI13</f>
        <v>0</v>
      </c>
      <c r="AJ11" s="182">
        <f t="shared" si="9"/>
        <v>0</v>
      </c>
      <c r="AK11" s="182">
        <f>+AK12+AK13</f>
        <v>0</v>
      </c>
      <c r="AL11" s="182">
        <f>+AL12+AL13</f>
        <v>0</v>
      </c>
      <c r="AM11" s="182">
        <f>+AM12+AM13</f>
        <v>0</v>
      </c>
      <c r="AN11" s="182">
        <f>+AN12+AN13</f>
        <v>0</v>
      </c>
      <c r="AO11" s="182">
        <f t="shared" si="10"/>
        <v>0</v>
      </c>
      <c r="AP11" s="182">
        <f>+AP12+AP13</f>
        <v>0</v>
      </c>
      <c r="AQ11" s="182">
        <f>+AQ12+AQ13</f>
        <v>0</v>
      </c>
      <c r="AR11" s="182">
        <f>+AR12+AR13</f>
        <v>0</v>
      </c>
      <c r="AS11" s="182">
        <f>+AS12+AS13</f>
        <v>0</v>
      </c>
    </row>
    <row r="12" spans="1:45" ht="24" customHeight="1" x14ac:dyDescent="0.5">
      <c r="A12" s="179" t="s">
        <v>27</v>
      </c>
      <c r="B12" s="180"/>
      <c r="C12" s="298">
        <f>+C91</f>
        <v>526170</v>
      </c>
      <c r="D12" s="182">
        <f>+D91</f>
        <v>0</v>
      </c>
      <c r="E12" s="182">
        <f>+E91</f>
        <v>526170</v>
      </c>
      <c r="F12" s="183">
        <f>+F91</f>
        <v>0</v>
      </c>
      <c r="G12" s="183">
        <f t="shared" si="0"/>
        <v>0</v>
      </c>
      <c r="H12" s="182">
        <f>+H91</f>
        <v>0</v>
      </c>
      <c r="I12" s="182">
        <f>+I91</f>
        <v>0</v>
      </c>
      <c r="J12" s="182">
        <f>+J91</f>
        <v>0</v>
      </c>
      <c r="K12" s="183">
        <f t="shared" si="1"/>
        <v>0</v>
      </c>
      <c r="L12" s="182">
        <f>+L91</f>
        <v>0</v>
      </c>
      <c r="M12" s="183">
        <f t="shared" si="2"/>
        <v>0</v>
      </c>
      <c r="N12" s="182">
        <f>+N91</f>
        <v>0</v>
      </c>
      <c r="O12" s="182">
        <f>+O91</f>
        <v>0</v>
      </c>
      <c r="P12" s="182">
        <f>+P91</f>
        <v>0</v>
      </c>
      <c r="Q12" s="183">
        <f t="shared" si="3"/>
        <v>0</v>
      </c>
      <c r="R12" s="182">
        <f>+R91</f>
        <v>0</v>
      </c>
      <c r="S12" s="183">
        <f t="shared" si="4"/>
        <v>0</v>
      </c>
      <c r="T12" s="182">
        <f>+T91</f>
        <v>0</v>
      </c>
      <c r="U12" s="182">
        <f>+U91</f>
        <v>0</v>
      </c>
      <c r="V12" s="182">
        <f>+V91</f>
        <v>0</v>
      </c>
      <c r="W12" s="182">
        <f>+W91</f>
        <v>0</v>
      </c>
      <c r="X12" s="182">
        <f>+X91</f>
        <v>0</v>
      </c>
      <c r="Y12" s="183">
        <f t="shared" si="5"/>
        <v>0</v>
      </c>
      <c r="Z12" s="182">
        <f>+Z91</f>
        <v>0</v>
      </c>
      <c r="AA12" s="183">
        <f t="shared" si="6"/>
        <v>0</v>
      </c>
      <c r="AB12" s="182">
        <f t="shared" ref="AB12:AG12" si="13">+AB91</f>
        <v>0</v>
      </c>
      <c r="AC12" s="182">
        <f t="shared" si="13"/>
        <v>0</v>
      </c>
      <c r="AD12" s="182">
        <f t="shared" si="13"/>
        <v>0</v>
      </c>
      <c r="AE12" s="182">
        <f t="shared" si="13"/>
        <v>0</v>
      </c>
      <c r="AF12" s="182">
        <f t="shared" si="13"/>
        <v>0</v>
      </c>
      <c r="AG12" s="182">
        <f t="shared" si="13"/>
        <v>0</v>
      </c>
      <c r="AH12" s="182">
        <f t="shared" si="8"/>
        <v>0</v>
      </c>
      <c r="AI12" s="182">
        <f>+AI91</f>
        <v>0</v>
      </c>
      <c r="AJ12" s="182">
        <f t="shared" si="9"/>
        <v>0</v>
      </c>
      <c r="AK12" s="182">
        <f>+AK91</f>
        <v>0</v>
      </c>
      <c r="AL12" s="182">
        <f>+AL91</f>
        <v>0</v>
      </c>
      <c r="AM12" s="182">
        <f>+AM91</f>
        <v>0</v>
      </c>
      <c r="AN12" s="182">
        <f>+AN91</f>
        <v>0</v>
      </c>
      <c r="AO12" s="182">
        <f t="shared" si="10"/>
        <v>0</v>
      </c>
      <c r="AP12" s="182">
        <f>+AP91</f>
        <v>0</v>
      </c>
      <c r="AQ12" s="182">
        <f>+AQ91</f>
        <v>0</v>
      </c>
      <c r="AR12" s="182">
        <f>+AR91</f>
        <v>0</v>
      </c>
      <c r="AS12" s="182">
        <f>+AS91</f>
        <v>0</v>
      </c>
    </row>
    <row r="13" spans="1:45" ht="24" customHeight="1" x14ac:dyDescent="0.5">
      <c r="A13" s="179" t="s">
        <v>28</v>
      </c>
      <c r="B13" s="180"/>
      <c r="C13" s="298">
        <f>+C106</f>
        <v>0</v>
      </c>
      <c r="D13" s="182">
        <f>+D106</f>
        <v>0</v>
      </c>
      <c r="E13" s="182">
        <f>+E106</f>
        <v>0</v>
      </c>
      <c r="F13" s="183"/>
      <c r="G13" s="183">
        <f t="shared" si="0"/>
        <v>0</v>
      </c>
      <c r="H13" s="182">
        <f>+H106</f>
        <v>0</v>
      </c>
      <c r="I13" s="182">
        <f>+I106</f>
        <v>0</v>
      </c>
      <c r="J13" s="182">
        <f>+J106</f>
        <v>0</v>
      </c>
      <c r="K13" s="183">
        <f t="shared" si="1"/>
        <v>0</v>
      </c>
      <c r="L13" s="182">
        <f>+L106</f>
        <v>0</v>
      </c>
      <c r="M13" s="183">
        <f t="shared" si="2"/>
        <v>0</v>
      </c>
      <c r="N13" s="182">
        <f>+N106</f>
        <v>0</v>
      </c>
      <c r="O13" s="182">
        <f>+O106</f>
        <v>0</v>
      </c>
      <c r="P13" s="182">
        <f>+P106</f>
        <v>0</v>
      </c>
      <c r="Q13" s="183">
        <f t="shared" si="3"/>
        <v>0</v>
      </c>
      <c r="R13" s="182">
        <f>+R106</f>
        <v>0</v>
      </c>
      <c r="S13" s="183">
        <f t="shared" si="4"/>
        <v>0</v>
      </c>
      <c r="T13" s="182">
        <f>+T106</f>
        <v>0</v>
      </c>
      <c r="U13" s="182">
        <f>+U106</f>
        <v>0</v>
      </c>
      <c r="V13" s="182">
        <f>+V106</f>
        <v>0</v>
      </c>
      <c r="W13" s="182">
        <f>+W106</f>
        <v>0</v>
      </c>
      <c r="X13" s="182">
        <f>+X106</f>
        <v>0</v>
      </c>
      <c r="Y13" s="183">
        <f t="shared" si="5"/>
        <v>0</v>
      </c>
      <c r="Z13" s="182">
        <f>+Z106</f>
        <v>0</v>
      </c>
      <c r="AA13" s="183">
        <f t="shared" si="6"/>
        <v>0</v>
      </c>
      <c r="AB13" s="182">
        <f t="shared" ref="AB13:AG13" si="14">+AB106</f>
        <v>0</v>
      </c>
      <c r="AC13" s="182">
        <f t="shared" si="14"/>
        <v>0</v>
      </c>
      <c r="AD13" s="182">
        <f t="shared" si="14"/>
        <v>0</v>
      </c>
      <c r="AE13" s="182">
        <f t="shared" si="14"/>
        <v>0</v>
      </c>
      <c r="AF13" s="182">
        <f t="shared" si="14"/>
        <v>0</v>
      </c>
      <c r="AG13" s="182">
        <f t="shared" si="14"/>
        <v>0</v>
      </c>
      <c r="AH13" s="182">
        <f t="shared" si="8"/>
        <v>0</v>
      </c>
      <c r="AI13" s="182">
        <f>+AI106</f>
        <v>0</v>
      </c>
      <c r="AJ13" s="182">
        <f t="shared" si="9"/>
        <v>0</v>
      </c>
      <c r="AK13" s="182">
        <f>+AK106</f>
        <v>0</v>
      </c>
      <c r="AL13" s="182">
        <f>+AL106</f>
        <v>0</v>
      </c>
      <c r="AM13" s="182">
        <f>+AM106</f>
        <v>0</v>
      </c>
      <c r="AN13" s="182">
        <f>+AN106</f>
        <v>0</v>
      </c>
      <c r="AO13" s="182">
        <f t="shared" si="10"/>
        <v>0</v>
      </c>
      <c r="AP13" s="182">
        <f>+AP106</f>
        <v>0</v>
      </c>
      <c r="AQ13" s="182">
        <f>+AQ106</f>
        <v>0</v>
      </c>
      <c r="AR13" s="182">
        <f>+AR106</f>
        <v>0</v>
      </c>
      <c r="AS13" s="182">
        <f>+AS106</f>
        <v>0</v>
      </c>
    </row>
    <row r="14" spans="1:45" ht="24" customHeight="1" x14ac:dyDescent="0.5">
      <c r="A14" s="185" t="s">
        <v>208</v>
      </c>
      <c r="B14" s="186"/>
      <c r="C14" s="299">
        <v>0</v>
      </c>
      <c r="D14" s="188">
        <v>0</v>
      </c>
      <c r="E14" s="188">
        <v>0</v>
      </c>
      <c r="F14" s="189"/>
      <c r="G14" s="189">
        <f t="shared" si="0"/>
        <v>0</v>
      </c>
      <c r="H14" s="188">
        <v>0</v>
      </c>
      <c r="I14" s="188">
        <v>0</v>
      </c>
      <c r="J14" s="188">
        <v>0</v>
      </c>
      <c r="K14" s="189">
        <f t="shared" si="1"/>
        <v>0</v>
      </c>
      <c r="L14" s="188">
        <v>0</v>
      </c>
      <c r="M14" s="189">
        <f t="shared" si="2"/>
        <v>0</v>
      </c>
      <c r="N14" s="188">
        <v>0</v>
      </c>
      <c r="O14" s="188">
        <v>0</v>
      </c>
      <c r="P14" s="188">
        <v>0</v>
      </c>
      <c r="Q14" s="189">
        <f t="shared" si="3"/>
        <v>0</v>
      </c>
      <c r="R14" s="188">
        <v>0</v>
      </c>
      <c r="S14" s="189">
        <f t="shared" si="4"/>
        <v>0</v>
      </c>
      <c r="T14" s="188">
        <v>0</v>
      </c>
      <c r="U14" s="188">
        <v>0</v>
      </c>
      <c r="V14" s="188">
        <v>0</v>
      </c>
      <c r="W14" s="188">
        <v>0</v>
      </c>
      <c r="X14" s="188">
        <v>0</v>
      </c>
      <c r="Y14" s="189">
        <f t="shared" si="5"/>
        <v>0</v>
      </c>
      <c r="Z14" s="188">
        <v>0</v>
      </c>
      <c r="AA14" s="189">
        <f t="shared" si="6"/>
        <v>0</v>
      </c>
      <c r="AB14" s="188">
        <v>0</v>
      </c>
      <c r="AC14" s="188">
        <v>0</v>
      </c>
      <c r="AD14" s="188">
        <v>0</v>
      </c>
      <c r="AE14" s="188">
        <v>0</v>
      </c>
      <c r="AF14" s="188">
        <v>0</v>
      </c>
      <c r="AG14" s="188">
        <v>0</v>
      </c>
      <c r="AH14" s="188">
        <f t="shared" si="8"/>
        <v>0</v>
      </c>
      <c r="AI14" s="188">
        <v>0</v>
      </c>
      <c r="AJ14" s="188">
        <f t="shared" si="9"/>
        <v>0</v>
      </c>
      <c r="AK14" s="188">
        <v>0</v>
      </c>
      <c r="AL14" s="188">
        <v>0</v>
      </c>
      <c r="AM14" s="188">
        <v>0</v>
      </c>
      <c r="AN14" s="188">
        <v>0</v>
      </c>
      <c r="AO14" s="188">
        <f t="shared" si="10"/>
        <v>0</v>
      </c>
      <c r="AP14" s="188">
        <v>0</v>
      </c>
      <c r="AQ14" s="188">
        <v>0</v>
      </c>
      <c r="AR14" s="188">
        <v>0</v>
      </c>
      <c r="AS14" s="188">
        <v>0</v>
      </c>
    </row>
    <row r="15" spans="1:45" ht="24" customHeight="1" x14ac:dyDescent="0.5">
      <c r="A15" s="806" t="s">
        <v>30</v>
      </c>
      <c r="B15" s="716"/>
      <c r="C15" s="300">
        <f>SUM(C16:C32)</f>
        <v>3226520</v>
      </c>
      <c r="D15" s="177">
        <f>SUM(D16:D32)</f>
        <v>0</v>
      </c>
      <c r="E15" s="177">
        <f>SUM(E16:E32)</f>
        <v>3226520</v>
      </c>
      <c r="F15" s="176">
        <f ca="1">SUM(F16:F32)</f>
        <v>0</v>
      </c>
      <c r="G15" s="176">
        <f t="shared" ca="1" si="0"/>
        <v>0</v>
      </c>
      <c r="H15" s="177">
        <f>SUM(H16:H32)</f>
        <v>2871</v>
      </c>
      <c r="I15" s="177">
        <f>SUM(I16:I32)</f>
        <v>957</v>
      </c>
      <c r="J15" s="177">
        <f ca="1">SUM(J16:J32)</f>
        <v>0</v>
      </c>
      <c r="K15" s="176">
        <f t="shared" ca="1" si="1"/>
        <v>0</v>
      </c>
      <c r="L15" s="177">
        <f ca="1">SUM(L16:L32)</f>
        <v>10</v>
      </c>
      <c r="M15" s="176">
        <f t="shared" ca="1" si="2"/>
        <v>1.044932079414838</v>
      </c>
      <c r="N15" s="177">
        <f>SUM(N16:N32)</f>
        <v>600</v>
      </c>
      <c r="O15" s="177">
        <f>SUM(O16:O32)</f>
        <v>200</v>
      </c>
      <c r="P15" s="177">
        <f ca="1">SUM(P16:P32)</f>
        <v>0</v>
      </c>
      <c r="Q15" s="176">
        <f t="shared" ca="1" si="3"/>
        <v>0</v>
      </c>
      <c r="R15" s="177">
        <f ca="1">SUM(R16:R32)</f>
        <v>10</v>
      </c>
      <c r="S15" s="176">
        <f t="shared" ca="1" si="4"/>
        <v>5</v>
      </c>
      <c r="T15" s="176">
        <f ca="1">SUM(T16:T32)</f>
        <v>10</v>
      </c>
      <c r="U15" s="176">
        <f ca="1">SUM(U16:U32)</f>
        <v>10</v>
      </c>
      <c r="V15" s="177">
        <f>SUM(V16:V32)</f>
        <v>1722</v>
      </c>
      <c r="W15" s="177">
        <f>SUM(W16:W32)</f>
        <v>574</v>
      </c>
      <c r="X15" s="177">
        <f ca="1">SUM(X16:X32)</f>
        <v>0</v>
      </c>
      <c r="Y15" s="176">
        <f t="shared" ca="1" si="5"/>
        <v>0</v>
      </c>
      <c r="Z15" s="177">
        <f ca="1">SUM(Z16:Z32)</f>
        <v>0</v>
      </c>
      <c r="AA15" s="176">
        <f t="shared" ca="1" si="6"/>
        <v>0</v>
      </c>
      <c r="AB15" s="177">
        <f t="shared" ref="AB15:AG15" ca="1" si="15">SUM(AB16:AB32)</f>
        <v>0</v>
      </c>
      <c r="AC15" s="177">
        <f t="shared" ca="1" si="15"/>
        <v>0</v>
      </c>
      <c r="AD15" s="177">
        <f t="shared" ca="1" si="15"/>
        <v>0</v>
      </c>
      <c r="AE15" s="177">
        <f t="shared" si="15"/>
        <v>549</v>
      </c>
      <c r="AF15" s="177">
        <f t="shared" si="15"/>
        <v>183</v>
      </c>
      <c r="AG15" s="177">
        <f t="shared" ca="1" si="15"/>
        <v>0</v>
      </c>
      <c r="AH15" s="176">
        <f t="shared" ca="1" si="8"/>
        <v>0</v>
      </c>
      <c r="AI15" s="177">
        <f ca="1">SUM(AI16:AI32)</f>
        <v>0</v>
      </c>
      <c r="AJ15" s="176">
        <f t="shared" ca="1" si="9"/>
        <v>0</v>
      </c>
      <c r="AK15" s="177">
        <f ca="1">SUM(AK16:AK32)</f>
        <v>0</v>
      </c>
      <c r="AL15" s="177">
        <f ca="1">SUM(AL16:AL32)</f>
        <v>0</v>
      </c>
      <c r="AM15" s="177">
        <f>SUM(AM16:AM32)</f>
        <v>774</v>
      </c>
      <c r="AN15" s="177">
        <f ca="1">SUM(AN16:AN32)</f>
        <v>0</v>
      </c>
      <c r="AO15" s="176">
        <f t="shared" ca="1" si="10"/>
        <v>0</v>
      </c>
      <c r="AP15" s="177">
        <f>SUM(AP16:AP32)</f>
        <v>200</v>
      </c>
      <c r="AQ15" s="177">
        <f ca="1">SUM(AQ16:AQ32)</f>
        <v>0</v>
      </c>
      <c r="AR15" s="177">
        <f>SUM(AR16:AR32)</f>
        <v>574</v>
      </c>
      <c r="AS15" s="177">
        <f ca="1">SUM(AS16:AS32)</f>
        <v>0</v>
      </c>
    </row>
    <row r="16" spans="1:45" ht="24" customHeight="1" x14ac:dyDescent="0.5">
      <c r="A16" s="212">
        <v>1</v>
      </c>
      <c r="B16" s="191" t="s">
        <v>31</v>
      </c>
      <c r="C16" s="309">
        <f t="shared" ref="C16:C32" si="16">+D16+E16</f>
        <v>159950</v>
      </c>
      <c r="D16" s="193">
        <v>0</v>
      </c>
      <c r="E16" s="193">
        <v>159950</v>
      </c>
      <c r="F16" s="192">
        <f ca="1">IFERROR(__xludf.DUMMYFUNCTION("IMPORTRANGE(""https://docs.google.com/spreadsheets/d/11923uPwbBZFjjGgGUA6NLw09EwE0CqkOc4q9oUmW1yo/edit?usp=sharing"",""กำแพงเพชร!M299"")"),0)</f>
        <v>0</v>
      </c>
      <c r="G16" s="192">
        <f t="shared" ca="1" si="0"/>
        <v>0</v>
      </c>
      <c r="H16" s="214">
        <f t="shared" ref="H16:H32" si="17">+N16+V16+AE16</f>
        <v>135</v>
      </c>
      <c r="I16" s="214">
        <f t="shared" ref="I16:I32" si="18">+O16+W16+AF16</f>
        <v>45</v>
      </c>
      <c r="J16" s="214">
        <f t="shared" ref="J16:J32" ca="1" si="19">P16+X16+AG16</f>
        <v>0</v>
      </c>
      <c r="K16" s="215">
        <f t="shared" ca="1" si="1"/>
        <v>0</v>
      </c>
      <c r="L16" s="214">
        <f t="shared" ref="L16:L32" ca="1" si="20">R16+Z16+AI16</f>
        <v>0</v>
      </c>
      <c r="M16" s="215">
        <f t="shared" ca="1" si="2"/>
        <v>0</v>
      </c>
      <c r="N16" s="310">
        <v>30</v>
      </c>
      <c r="O16" s="310">
        <v>10</v>
      </c>
      <c r="P16" s="214">
        <f ca="1">IFERROR(__xludf.DUMMYFUNCTION("IMPORTRANGE(""https://docs.google.com/spreadsheets/d/11923uPwbBZFjjGgGUA6NLw09EwE0CqkOc4q9oUmW1yo/edit?usp=sharing"",""กำแพงเพชร!J313"")"),0)</f>
        <v>0</v>
      </c>
      <c r="Q16" s="215">
        <f t="shared" ca="1" si="3"/>
        <v>0</v>
      </c>
      <c r="R16" s="214">
        <f ca="1">IFERROR(__xludf.DUMMYFUNCTION("IMPORTRANGE(""https://docs.google.com/spreadsheets/d/11923uPwbBZFjjGgGUA6NLw09EwE0CqkOc4q9oUmW1yo/edit?usp=sharing"",""กำแพงเพชร!J312"")"),0)</f>
        <v>0</v>
      </c>
      <c r="S16" s="215">
        <f t="shared" ca="1" si="4"/>
        <v>0</v>
      </c>
      <c r="T16" s="215">
        <f ca="1">IFERROR(__xludf.DUMMYFUNCTION("IMPORTRANGE(""https://docs.google.com/spreadsheets/d/11923uPwbBZFjjGgGUA6NLw09EwE0CqkOc4q9oUmW1yo/edit?usp=sharing"",""กำแพงเพชร!J314"")"),0)</f>
        <v>0</v>
      </c>
      <c r="U16" s="215">
        <f ca="1">IFERROR(__xludf.DUMMYFUNCTION("IMPORTRANGE(""https://docs.google.com/spreadsheets/d/11923uPwbBZFjjGgGUA6NLw09EwE0CqkOc4q9oUmW1yo/edit?usp=sharing"",""กำแพงเพชร!J315"")"),0)</f>
        <v>0</v>
      </c>
      <c r="V16" s="310">
        <v>75</v>
      </c>
      <c r="W16" s="310">
        <v>25</v>
      </c>
      <c r="X16" s="214">
        <f ca="1">IFERROR(__xludf.DUMMYFUNCTION("IMPORTRANGE(""https://docs.google.com/spreadsheets/d/11923uPwbBZFjjGgGUA6NLw09EwE0CqkOc4q9oUmW1yo/edit?usp=sharing"",""กำแพงเพชร!J317"")"),0)</f>
        <v>0</v>
      </c>
      <c r="Y16" s="215">
        <f t="shared" ca="1" si="5"/>
        <v>0</v>
      </c>
      <c r="Z16" s="214">
        <f ca="1">IFERROR(__xludf.DUMMYFUNCTION("IMPORTRANGE(""https://docs.google.com/spreadsheets/d/11923uPwbBZFjjGgGUA6NLw09EwE0CqkOc4q9oUmW1yo/edit?usp=sharing"",""กำแพงเพชร!J316"")"),0)</f>
        <v>0</v>
      </c>
      <c r="AA16" s="215">
        <f t="shared" ca="1" si="6"/>
        <v>0</v>
      </c>
      <c r="AB16" s="214">
        <f ca="1">IFERROR(__xludf.DUMMYFUNCTION("IMPORTRANGE(""https://docs.google.com/spreadsheets/d/11923uPwbBZFjjGgGUA6NLw09EwE0CqkOc4q9oUmW1yo/edit?usp=sharing"",""กำแพงเพชร!J318"")"),0)</f>
        <v>0</v>
      </c>
      <c r="AC16" s="214">
        <f ca="1">IFERROR(__xludf.DUMMYFUNCTION("IMPORTRANGE(""https://docs.google.com/spreadsheets/d/11923uPwbBZFjjGgGUA6NLw09EwE0CqkOc4q9oUmW1yo/edit?usp=sharing"",""กำแพงเพชร!J319"")"),0)</f>
        <v>0</v>
      </c>
      <c r="AD16" s="214">
        <f ca="1">IFERROR(__xludf.DUMMYFUNCTION("IMPORTRANGE(""https://docs.google.com/spreadsheets/d/11923uPwbBZFjjGgGUA6NLw09EwE0CqkOc4q9oUmW1yo/edit?usp=sharing"",""กำแพงเพชร!J320"")"),0)</f>
        <v>0</v>
      </c>
      <c r="AE16" s="310">
        <v>30</v>
      </c>
      <c r="AF16" s="310">
        <v>10</v>
      </c>
      <c r="AG16" s="214">
        <f ca="1">IFERROR(__xludf.DUMMYFUNCTION("IMPORTRANGE(""https://docs.google.com/spreadsheets/d/11923uPwbBZFjjGgGUA6NLw09EwE0CqkOc4q9oUmW1yo/edit?usp=sharing"",""กำแพงเพชร!J322"")"),0)</f>
        <v>0</v>
      </c>
      <c r="AH16" s="215">
        <f t="shared" ca="1" si="8"/>
        <v>0</v>
      </c>
      <c r="AI16" s="214">
        <f ca="1">IFERROR(__xludf.DUMMYFUNCTION("IMPORTRANGE(""https://docs.google.com/spreadsheets/d/11923uPwbBZFjjGgGUA6NLw09EwE0CqkOc4q9oUmW1yo/edit?usp=sharing"",""กำแพงเพชร!J321"")"),0)</f>
        <v>0</v>
      </c>
      <c r="AJ16" s="215">
        <f t="shared" ca="1" si="9"/>
        <v>0</v>
      </c>
      <c r="AK16" s="214">
        <f ca="1">IFERROR(__xludf.DUMMYFUNCTION("IMPORTRANGE(""https://docs.google.com/spreadsheets/d/11923uPwbBZFjjGgGUA6NLw09EwE0CqkOc4q9oUmW1yo/edit?usp=sharing"",""กำแพงเพชร!J323"")"),0)</f>
        <v>0</v>
      </c>
      <c r="AL16" s="214">
        <f ca="1">IFERROR(__xludf.DUMMYFUNCTION("IMPORTRANGE(""https://docs.google.com/spreadsheets/d/11923uPwbBZFjjGgGUA6NLw09EwE0CqkOc4q9oUmW1yo/edit?usp=sharing"",""กำแพงเพชร!J324"")"),0)</f>
        <v>0</v>
      </c>
      <c r="AM16" s="214">
        <f t="shared" ref="AM16:AM32" si="21">+AP16+AR16</f>
        <v>35</v>
      </c>
      <c r="AN16" s="214">
        <f t="shared" ref="AN16:AN32" ca="1" si="22">SUM(AQ16,AS16)</f>
        <v>0</v>
      </c>
      <c r="AO16" s="215">
        <f t="shared" ca="1" si="10"/>
        <v>0</v>
      </c>
      <c r="AP16" s="310">
        <v>10</v>
      </c>
      <c r="AQ16" s="214">
        <f ca="1">IFERROR(__xludf.DUMMYFUNCTION("IMPORTRANGE(""https://docs.google.com/spreadsheets/d/11923uPwbBZFjjGgGUA6NLw09EwE0CqkOc4q9oUmW1yo/edit?usp=sharing"",""กำแพงเพชร!J326"")"),0)</f>
        <v>0</v>
      </c>
      <c r="AR16" s="310">
        <v>25</v>
      </c>
      <c r="AS16" s="311">
        <f ca="1">IFERROR(__xludf.DUMMYFUNCTION("IMPORTRANGE(""https://docs.google.com/spreadsheets/d/11923uPwbBZFjjGgGUA6NLw09EwE0CqkOc4q9oUmW1yo/edit?usp=sharing"",""กำแพงเพชร!J327"")"),0)</f>
        <v>0</v>
      </c>
    </row>
    <row r="17" spans="1:45" ht="24" customHeight="1" x14ac:dyDescent="0.5">
      <c r="A17" s="216">
        <v>2</v>
      </c>
      <c r="B17" s="194" t="s">
        <v>32</v>
      </c>
      <c r="C17" s="312">
        <f t="shared" si="16"/>
        <v>195900</v>
      </c>
      <c r="D17" s="218">
        <v>0</v>
      </c>
      <c r="E17" s="218">
        <v>195900</v>
      </c>
      <c r="F17" s="219">
        <f ca="1">IFERROR(__xludf.DUMMYFUNCTION("IMPORTRANGE(""https://docs.google.com/spreadsheets/d/11923uPwbBZFjjGgGUA6NLw09EwE0CqkOc4q9oUmW1yo/edit?usp=sharing"",""เชียงราย!M299"")"),0)</f>
        <v>0</v>
      </c>
      <c r="G17" s="219">
        <f t="shared" ca="1" si="0"/>
        <v>0</v>
      </c>
      <c r="H17" s="220">
        <f t="shared" si="17"/>
        <v>174</v>
      </c>
      <c r="I17" s="220">
        <f t="shared" si="18"/>
        <v>58</v>
      </c>
      <c r="J17" s="220">
        <f t="shared" ca="1" si="19"/>
        <v>0</v>
      </c>
      <c r="K17" s="221">
        <f t="shared" ca="1" si="1"/>
        <v>0</v>
      </c>
      <c r="L17" s="220">
        <f t="shared" ca="1" si="20"/>
        <v>0</v>
      </c>
      <c r="M17" s="221">
        <f t="shared" ca="1" si="2"/>
        <v>0</v>
      </c>
      <c r="N17" s="301">
        <v>30</v>
      </c>
      <c r="O17" s="301">
        <v>10</v>
      </c>
      <c r="P17" s="220">
        <f ca="1">IFERROR(__xludf.DUMMYFUNCTION("IMPORTRANGE(""https://docs.google.com/spreadsheets/d/11923uPwbBZFjjGgGUA6NLw09EwE0CqkOc4q9oUmW1yo/edit?usp=sharing"",""เชียงราย!J313"")"),0)</f>
        <v>0</v>
      </c>
      <c r="Q17" s="221">
        <f t="shared" ca="1" si="3"/>
        <v>0</v>
      </c>
      <c r="R17" s="220">
        <f ca="1">IFERROR(__xludf.DUMMYFUNCTION("IMPORTRANGE(""https://docs.google.com/spreadsheets/d/11923uPwbBZFjjGgGUA6NLw09EwE0CqkOc4q9oUmW1yo/edit?usp=sharing"",""เชียงราย!J312"")"),0)</f>
        <v>0</v>
      </c>
      <c r="S17" s="221">
        <f t="shared" ca="1" si="4"/>
        <v>0</v>
      </c>
      <c r="T17" s="221">
        <f ca="1">IFERROR(__xludf.DUMMYFUNCTION("IMPORTRANGE(""https://docs.google.com/spreadsheets/d/11923uPwbBZFjjGgGUA6NLw09EwE0CqkOc4q9oUmW1yo/edit?usp=sharing"",""เชียงราย!J314"")"),0)</f>
        <v>0</v>
      </c>
      <c r="U17" s="221">
        <f ca="1">IFERROR(__xludf.DUMMYFUNCTION("IMPORTRANGE(""https://docs.google.com/spreadsheets/d/11923uPwbBZFjjGgGUA6NLw09EwE0CqkOc4q9oUmW1yo/edit?usp=sharing"",""เชียงราย!J315"")"),0)</f>
        <v>0</v>
      </c>
      <c r="V17" s="301">
        <v>114</v>
      </c>
      <c r="W17" s="301">
        <v>38</v>
      </c>
      <c r="X17" s="220">
        <f ca="1">IFERROR(__xludf.DUMMYFUNCTION("IMPORTRANGE(""https://docs.google.com/spreadsheets/d/11923uPwbBZFjjGgGUA6NLw09EwE0CqkOc4q9oUmW1yo/edit?usp=sharing"",""เชียงราย!J317"")"),0)</f>
        <v>0</v>
      </c>
      <c r="Y17" s="221">
        <f t="shared" ca="1" si="5"/>
        <v>0</v>
      </c>
      <c r="Z17" s="220">
        <f ca="1">IFERROR(__xludf.DUMMYFUNCTION("IMPORTRANGE(""https://docs.google.com/spreadsheets/d/11923uPwbBZFjjGgGUA6NLw09EwE0CqkOc4q9oUmW1yo/edit?usp=sharing"",""เชียงราย!J316"")"),0)</f>
        <v>0</v>
      </c>
      <c r="AA17" s="221">
        <f t="shared" ca="1" si="6"/>
        <v>0</v>
      </c>
      <c r="AB17" s="220">
        <f ca="1">IFERROR(__xludf.DUMMYFUNCTION("IMPORTRANGE(""https://docs.google.com/spreadsheets/d/11923uPwbBZFjjGgGUA6NLw09EwE0CqkOc4q9oUmW1yo/edit?usp=sharing"",""เชียงราย!J318"")"),0)</f>
        <v>0</v>
      </c>
      <c r="AC17" s="220">
        <f ca="1">IFERROR(__xludf.DUMMYFUNCTION("IMPORTRANGE(""https://docs.google.com/spreadsheets/d/11923uPwbBZFjjGgGUA6NLw09EwE0CqkOc4q9oUmW1yo/edit?usp=sharing"",""เชียงราย!J319"")"),0)</f>
        <v>0</v>
      </c>
      <c r="AD17" s="220">
        <f ca="1">IFERROR(__xludf.DUMMYFUNCTION("IMPORTRANGE(""https://docs.google.com/spreadsheets/d/11923uPwbBZFjjGgGUA6NLw09EwE0CqkOc4q9oUmW1yo/edit?usp=sharing"",""เชียงราย!J320"")"),0)</f>
        <v>0</v>
      </c>
      <c r="AE17" s="301">
        <v>30</v>
      </c>
      <c r="AF17" s="301">
        <v>10</v>
      </c>
      <c r="AG17" s="220">
        <f ca="1">IFERROR(__xludf.DUMMYFUNCTION("IMPORTRANGE(""https://docs.google.com/spreadsheets/d/11923uPwbBZFjjGgGUA6NLw09EwE0CqkOc4q9oUmW1yo/edit?usp=sharing"",""เชียงราย!J322"")"),0)</f>
        <v>0</v>
      </c>
      <c r="AH17" s="221">
        <f t="shared" ca="1" si="8"/>
        <v>0</v>
      </c>
      <c r="AI17" s="220">
        <f ca="1">IFERROR(__xludf.DUMMYFUNCTION("IMPORTRANGE(""https://docs.google.com/spreadsheets/d/11923uPwbBZFjjGgGUA6NLw09EwE0CqkOc4q9oUmW1yo/edit?usp=sharing"",""เชียงราย!J321"")"),0)</f>
        <v>0</v>
      </c>
      <c r="AJ17" s="221">
        <f t="shared" ca="1" si="9"/>
        <v>0</v>
      </c>
      <c r="AK17" s="220">
        <f ca="1">IFERROR(__xludf.DUMMYFUNCTION("IMPORTRANGE(""https://docs.google.com/spreadsheets/d/11923uPwbBZFjjGgGUA6NLw09EwE0CqkOc4q9oUmW1yo/edit?usp=sharing"",""เชียงราย!J323"")"),0)</f>
        <v>0</v>
      </c>
      <c r="AL17" s="220">
        <f ca="1">IFERROR(__xludf.DUMMYFUNCTION("IMPORTRANGE(""https://docs.google.com/spreadsheets/d/11923uPwbBZFjjGgGUA6NLw09EwE0CqkOc4q9oUmW1yo/edit?usp=sharing"",""เชียงราย!J324"")"),0)</f>
        <v>0</v>
      </c>
      <c r="AM17" s="220">
        <f t="shared" si="21"/>
        <v>48</v>
      </c>
      <c r="AN17" s="220">
        <f t="shared" ca="1" si="22"/>
        <v>0</v>
      </c>
      <c r="AO17" s="221">
        <f t="shared" ca="1" si="10"/>
        <v>0</v>
      </c>
      <c r="AP17" s="301">
        <v>10</v>
      </c>
      <c r="AQ17" s="220">
        <f ca="1">IFERROR(__xludf.DUMMYFUNCTION("IMPORTRANGE(""https://docs.google.com/spreadsheets/d/11923uPwbBZFjjGgGUA6NLw09EwE0CqkOc4q9oUmW1yo/edit?usp=sharing"",""เชียงราย!J326"")"),0)</f>
        <v>0</v>
      </c>
      <c r="AR17" s="301">
        <v>38</v>
      </c>
      <c r="AS17" s="313">
        <f ca="1">IFERROR(__xludf.DUMMYFUNCTION("IMPORTRANGE(""https://docs.google.com/spreadsheets/d/11923uPwbBZFjjGgGUA6NLw09EwE0CqkOc4q9oUmW1yo/edit?usp=sharing"",""เชียงราย!J327"")"),0)</f>
        <v>0</v>
      </c>
    </row>
    <row r="18" spans="1:45" ht="24" customHeight="1" x14ac:dyDescent="0.5">
      <c r="A18" s="216">
        <v>3</v>
      </c>
      <c r="B18" s="194" t="s">
        <v>33</v>
      </c>
      <c r="C18" s="312">
        <f t="shared" si="16"/>
        <v>131710</v>
      </c>
      <c r="D18" s="218">
        <v>0</v>
      </c>
      <c r="E18" s="218">
        <v>131710</v>
      </c>
      <c r="F18" s="219">
        <f ca="1">IFERROR(__xludf.DUMMYFUNCTION("IMPORTRANGE(""https://docs.google.com/spreadsheets/d/11923uPwbBZFjjGgGUA6NLw09EwE0CqkOc4q9oUmW1yo/edit?usp=sharing"",""เชียงใหม่!M299"")"),0)</f>
        <v>0</v>
      </c>
      <c r="G18" s="219">
        <f t="shared" ca="1" si="0"/>
        <v>0</v>
      </c>
      <c r="H18" s="220">
        <f t="shared" si="17"/>
        <v>105</v>
      </c>
      <c r="I18" s="220">
        <f t="shared" si="18"/>
        <v>35</v>
      </c>
      <c r="J18" s="220">
        <f t="shared" ca="1" si="19"/>
        <v>0</v>
      </c>
      <c r="K18" s="221">
        <f t="shared" ca="1" si="1"/>
        <v>0</v>
      </c>
      <c r="L18" s="220">
        <f t="shared" ca="1" si="20"/>
        <v>0</v>
      </c>
      <c r="M18" s="221">
        <f t="shared" ca="1" si="2"/>
        <v>0</v>
      </c>
      <c r="N18" s="301">
        <v>30</v>
      </c>
      <c r="O18" s="301">
        <v>10</v>
      </c>
      <c r="P18" s="220">
        <f ca="1">IFERROR(__xludf.DUMMYFUNCTION("IMPORTRANGE(""https://docs.google.com/spreadsheets/d/11923uPwbBZFjjGgGUA6NLw09EwE0CqkOc4q9oUmW1yo/edit?usp=sharing"",""เชียงใหม่!J313"")"),0)</f>
        <v>0</v>
      </c>
      <c r="Q18" s="221">
        <f t="shared" ca="1" si="3"/>
        <v>0</v>
      </c>
      <c r="R18" s="220">
        <f ca="1">IFERROR(__xludf.DUMMYFUNCTION("IMPORTRANGE(""https://docs.google.com/spreadsheets/d/11923uPwbBZFjjGgGUA6NLw09EwE0CqkOc4q9oUmW1yo/edit?usp=sharing"",""เชียงใหม่!J312"")"),0)</f>
        <v>0</v>
      </c>
      <c r="S18" s="221">
        <f t="shared" ca="1" si="4"/>
        <v>0</v>
      </c>
      <c r="T18" s="221">
        <f ca="1">IFERROR(__xludf.DUMMYFUNCTION("IMPORTRANGE(""https://docs.google.com/spreadsheets/d/11923uPwbBZFjjGgGUA6NLw09EwE0CqkOc4q9oUmW1yo/edit?usp=sharing"",""เชียงใหม่!J314"")"),0)</f>
        <v>0</v>
      </c>
      <c r="U18" s="221">
        <f ca="1">IFERROR(__xludf.DUMMYFUNCTION("IMPORTRANGE(""https://docs.google.com/spreadsheets/d/11923uPwbBZFjjGgGUA6NLw09EwE0CqkOc4q9oUmW1yo/edit?usp=sharing"",""เชียงใหม่!J315"")"),0)</f>
        <v>0</v>
      </c>
      <c r="V18" s="301">
        <v>45</v>
      </c>
      <c r="W18" s="301">
        <v>15</v>
      </c>
      <c r="X18" s="220">
        <f ca="1">IFERROR(__xludf.DUMMYFUNCTION("IMPORTRANGE(""https://docs.google.com/spreadsheets/d/11923uPwbBZFjjGgGUA6NLw09EwE0CqkOc4q9oUmW1yo/edit?usp=sharing"",""เชียงใหม่!J317"")"),0)</f>
        <v>0</v>
      </c>
      <c r="Y18" s="221">
        <f t="shared" ca="1" si="5"/>
        <v>0</v>
      </c>
      <c r="Z18" s="220">
        <f ca="1">IFERROR(__xludf.DUMMYFUNCTION("IMPORTRANGE(""https://docs.google.com/spreadsheets/d/11923uPwbBZFjjGgGUA6NLw09EwE0CqkOc4q9oUmW1yo/edit?usp=sharing"",""เชียงใหม่!J316"")"),0)</f>
        <v>0</v>
      </c>
      <c r="AA18" s="221">
        <f t="shared" ca="1" si="6"/>
        <v>0</v>
      </c>
      <c r="AB18" s="220">
        <f ca="1">IFERROR(__xludf.DUMMYFUNCTION("IMPORTRANGE(""https://docs.google.com/spreadsheets/d/11923uPwbBZFjjGgGUA6NLw09EwE0CqkOc4q9oUmW1yo/edit?usp=sharing"",""เชียงใหม่!J318"")"),0)</f>
        <v>0</v>
      </c>
      <c r="AC18" s="220">
        <f ca="1">IFERROR(__xludf.DUMMYFUNCTION("IMPORTRANGE(""https://docs.google.com/spreadsheets/d/11923uPwbBZFjjGgGUA6NLw09EwE0CqkOc4q9oUmW1yo/edit?usp=sharing"",""เชียงใหม่!J319"")"),0)</f>
        <v>0</v>
      </c>
      <c r="AD18" s="220">
        <f ca="1">IFERROR(__xludf.DUMMYFUNCTION("IMPORTRANGE(""https://docs.google.com/spreadsheets/d/11923uPwbBZFjjGgGUA6NLw09EwE0CqkOc4q9oUmW1yo/edit?usp=sharing"",""เชียงใหม่!J320"")"),0)</f>
        <v>0</v>
      </c>
      <c r="AE18" s="301">
        <v>30</v>
      </c>
      <c r="AF18" s="301">
        <v>10</v>
      </c>
      <c r="AG18" s="220">
        <f ca="1">IFERROR(__xludf.DUMMYFUNCTION("IMPORTRANGE(""https://docs.google.com/spreadsheets/d/11923uPwbBZFjjGgGUA6NLw09EwE0CqkOc4q9oUmW1yo/edit?usp=sharing"",""เชียงใหม่!J322"")"),0)</f>
        <v>0</v>
      </c>
      <c r="AH18" s="221">
        <f t="shared" ca="1" si="8"/>
        <v>0</v>
      </c>
      <c r="AI18" s="220">
        <f ca="1">IFERROR(__xludf.DUMMYFUNCTION("IMPORTRANGE(""https://docs.google.com/spreadsheets/d/11923uPwbBZFjjGgGUA6NLw09EwE0CqkOc4q9oUmW1yo/edit?usp=sharing"",""เชียงใหม่!J321"")"),0)</f>
        <v>0</v>
      </c>
      <c r="AJ18" s="221">
        <f t="shared" ca="1" si="9"/>
        <v>0</v>
      </c>
      <c r="AK18" s="220">
        <f ca="1">IFERROR(__xludf.DUMMYFUNCTION("IMPORTRANGE(""https://docs.google.com/spreadsheets/d/11923uPwbBZFjjGgGUA6NLw09EwE0CqkOc4q9oUmW1yo/edit?usp=sharing"",""เชียงใหม่!J323"")"),0)</f>
        <v>0</v>
      </c>
      <c r="AL18" s="220">
        <f ca="1">IFERROR(__xludf.DUMMYFUNCTION("IMPORTRANGE(""https://docs.google.com/spreadsheets/d/11923uPwbBZFjjGgGUA6NLw09EwE0CqkOc4q9oUmW1yo/edit?usp=sharing"",""เชียงใหม่!J324"")"),0)</f>
        <v>0</v>
      </c>
      <c r="AM18" s="220">
        <f t="shared" si="21"/>
        <v>25</v>
      </c>
      <c r="AN18" s="220">
        <f t="shared" ca="1" si="22"/>
        <v>0</v>
      </c>
      <c r="AO18" s="221">
        <f t="shared" ca="1" si="10"/>
        <v>0</v>
      </c>
      <c r="AP18" s="301">
        <v>10</v>
      </c>
      <c r="AQ18" s="220">
        <f ca="1">IFERROR(__xludf.DUMMYFUNCTION("IMPORTRANGE(""https://docs.google.com/spreadsheets/d/11923uPwbBZFjjGgGUA6NLw09EwE0CqkOc4q9oUmW1yo/edit?usp=sharing"",""เชียงใหม่!J326"")"),0)</f>
        <v>0</v>
      </c>
      <c r="AR18" s="301">
        <v>15</v>
      </c>
      <c r="AS18" s="313">
        <f ca="1">IFERROR(__xludf.DUMMYFUNCTION("IMPORTRANGE(""https://docs.google.com/spreadsheets/d/11923uPwbBZFjjGgGUA6NLw09EwE0CqkOc4q9oUmW1yo/edit?usp=sharing"",""เชียงใหม่!J327"")"),0)</f>
        <v>0</v>
      </c>
    </row>
    <row r="19" spans="1:45" ht="24" customHeight="1" x14ac:dyDescent="0.5">
      <c r="A19" s="216">
        <v>4</v>
      </c>
      <c r="B19" s="194" t="s">
        <v>34</v>
      </c>
      <c r="C19" s="312">
        <f t="shared" si="16"/>
        <v>230370</v>
      </c>
      <c r="D19" s="218">
        <v>0</v>
      </c>
      <c r="E19" s="218">
        <v>230370</v>
      </c>
      <c r="F19" s="219">
        <f ca="1">IFERROR(__xludf.DUMMYFUNCTION("IMPORTRANGE(""https://docs.google.com/spreadsheets/d/11923uPwbBZFjjGgGUA6NLw09EwE0CqkOc4q9oUmW1yo/edit?usp=sharing"",""ตาก!M299"")"),0)</f>
        <v>0</v>
      </c>
      <c r="G19" s="219">
        <f t="shared" ca="1" si="0"/>
        <v>0</v>
      </c>
      <c r="H19" s="220">
        <f t="shared" si="17"/>
        <v>225</v>
      </c>
      <c r="I19" s="220">
        <f t="shared" si="18"/>
        <v>75</v>
      </c>
      <c r="J19" s="220">
        <f t="shared" ca="1" si="19"/>
        <v>0</v>
      </c>
      <c r="K19" s="221">
        <f t="shared" ca="1" si="1"/>
        <v>0</v>
      </c>
      <c r="L19" s="220">
        <f t="shared" ca="1" si="20"/>
        <v>0</v>
      </c>
      <c r="M19" s="221">
        <f t="shared" ca="1" si="2"/>
        <v>0</v>
      </c>
      <c r="N19" s="301">
        <v>0</v>
      </c>
      <c r="O19" s="301">
        <v>0</v>
      </c>
      <c r="P19" s="220">
        <f ca="1">IFERROR(__xludf.DUMMYFUNCTION("IMPORTRANGE(""https://docs.google.com/spreadsheets/d/11923uPwbBZFjjGgGUA6NLw09EwE0CqkOc4q9oUmW1yo/edit?usp=sharing"",""ตาก!J313"")"),0)</f>
        <v>0</v>
      </c>
      <c r="Q19" s="221">
        <f t="shared" si="3"/>
        <v>0</v>
      </c>
      <c r="R19" s="220">
        <f ca="1">IFERROR(__xludf.DUMMYFUNCTION("IMPORTRANGE(""https://docs.google.com/spreadsheets/d/11923uPwbBZFjjGgGUA6NLw09EwE0CqkOc4q9oUmW1yo/edit?usp=sharing"",""ตาก!J312"")"),0)</f>
        <v>0</v>
      </c>
      <c r="S19" s="221">
        <f t="shared" si="4"/>
        <v>0</v>
      </c>
      <c r="T19" s="221">
        <f ca="1">IFERROR(__xludf.DUMMYFUNCTION("IMPORTRANGE(""https://docs.google.com/spreadsheets/d/11923uPwbBZFjjGgGUA6NLw09EwE0CqkOc4q9oUmW1yo/edit?usp=sharing"",""ตาก!J314"")"),0)</f>
        <v>0</v>
      </c>
      <c r="U19" s="221">
        <f ca="1">IFERROR(__xludf.DUMMYFUNCTION("IMPORTRANGE(""https://docs.google.com/spreadsheets/d/11923uPwbBZFjjGgGUA6NLw09EwE0CqkOc4q9oUmW1yo/edit?usp=sharing"",""ตาก!J315"")"),0)</f>
        <v>0</v>
      </c>
      <c r="V19" s="301">
        <v>195</v>
      </c>
      <c r="W19" s="301">
        <v>65</v>
      </c>
      <c r="X19" s="220">
        <f ca="1">IFERROR(__xludf.DUMMYFUNCTION("IMPORTRANGE(""https://docs.google.com/spreadsheets/d/11923uPwbBZFjjGgGUA6NLw09EwE0CqkOc4q9oUmW1yo/edit?usp=sharing"",""ตาก!J317"")"),0)</f>
        <v>0</v>
      </c>
      <c r="Y19" s="221">
        <f t="shared" ca="1" si="5"/>
        <v>0</v>
      </c>
      <c r="Z19" s="220">
        <f ca="1">IFERROR(__xludf.DUMMYFUNCTION("IMPORTRANGE(""https://docs.google.com/spreadsheets/d/11923uPwbBZFjjGgGUA6NLw09EwE0CqkOc4q9oUmW1yo/edit?usp=sharing"",""ตาก!J316"")"),0)</f>
        <v>0</v>
      </c>
      <c r="AA19" s="221">
        <f t="shared" ca="1" si="6"/>
        <v>0</v>
      </c>
      <c r="AB19" s="220">
        <f ca="1">IFERROR(__xludf.DUMMYFUNCTION("IMPORTRANGE(""https://docs.google.com/spreadsheets/d/11923uPwbBZFjjGgGUA6NLw09EwE0CqkOc4q9oUmW1yo/edit?usp=sharing"",""ตาก!J318"")"),0)</f>
        <v>0</v>
      </c>
      <c r="AC19" s="220">
        <f ca="1">IFERROR(__xludf.DUMMYFUNCTION("IMPORTRANGE(""https://docs.google.com/spreadsheets/d/11923uPwbBZFjjGgGUA6NLw09EwE0CqkOc4q9oUmW1yo/edit?usp=sharing"",""ตาก!J319"")"),0)</f>
        <v>0</v>
      </c>
      <c r="AD19" s="220">
        <f ca="1">IFERROR(__xludf.DUMMYFUNCTION("IMPORTRANGE(""https://docs.google.com/spreadsheets/d/11923uPwbBZFjjGgGUA6NLw09EwE0CqkOc4q9oUmW1yo/edit?usp=sharing"",""ตาก!J320"")"),0)</f>
        <v>0</v>
      </c>
      <c r="AE19" s="301">
        <v>30</v>
      </c>
      <c r="AF19" s="301">
        <v>10</v>
      </c>
      <c r="AG19" s="220">
        <f ca="1">IFERROR(__xludf.DUMMYFUNCTION("IMPORTRANGE(""https://docs.google.com/spreadsheets/d/11923uPwbBZFjjGgGUA6NLw09EwE0CqkOc4q9oUmW1yo/edit?usp=sharing"",""ตาก!J322"")"),0)</f>
        <v>0</v>
      </c>
      <c r="AH19" s="221">
        <f t="shared" ca="1" si="8"/>
        <v>0</v>
      </c>
      <c r="AI19" s="220">
        <f ca="1">IFERROR(__xludf.DUMMYFUNCTION("IMPORTRANGE(""https://docs.google.com/spreadsheets/d/11923uPwbBZFjjGgGUA6NLw09EwE0CqkOc4q9oUmW1yo/edit?usp=sharing"",""ตาก!J321"")"),0)</f>
        <v>0</v>
      </c>
      <c r="AJ19" s="221">
        <f t="shared" ca="1" si="9"/>
        <v>0</v>
      </c>
      <c r="AK19" s="220">
        <f ca="1">IFERROR(__xludf.DUMMYFUNCTION("IMPORTRANGE(""https://docs.google.com/spreadsheets/d/11923uPwbBZFjjGgGUA6NLw09EwE0CqkOc4q9oUmW1yo/edit?usp=sharing"",""ตาก!J323"")"),0)</f>
        <v>0</v>
      </c>
      <c r="AL19" s="220">
        <f ca="1">IFERROR(__xludf.DUMMYFUNCTION("IMPORTRANGE(""https://docs.google.com/spreadsheets/d/11923uPwbBZFjjGgGUA6NLw09EwE0CqkOc4q9oUmW1yo/edit?usp=sharing"",""ตาก!J324"")"),0)</f>
        <v>0</v>
      </c>
      <c r="AM19" s="220">
        <f t="shared" si="21"/>
        <v>65</v>
      </c>
      <c r="AN19" s="220">
        <f t="shared" ca="1" si="22"/>
        <v>0</v>
      </c>
      <c r="AO19" s="221">
        <f t="shared" ca="1" si="10"/>
        <v>0</v>
      </c>
      <c r="AP19" s="301">
        <v>0</v>
      </c>
      <c r="AQ19" s="220">
        <f ca="1">IFERROR(__xludf.DUMMYFUNCTION("IMPORTRANGE(""https://docs.google.com/spreadsheets/d/11923uPwbBZFjjGgGUA6NLw09EwE0CqkOc4q9oUmW1yo/edit?usp=sharing"",""ตาก!J326"")"),0)</f>
        <v>0</v>
      </c>
      <c r="AR19" s="301">
        <v>65</v>
      </c>
      <c r="AS19" s="313">
        <f ca="1">IFERROR(__xludf.DUMMYFUNCTION("IMPORTRANGE(""https://docs.google.com/spreadsheets/d/11923uPwbBZFjjGgGUA6NLw09EwE0CqkOc4q9oUmW1yo/edit?usp=sharing"",""ตาก!J327"")"),0)</f>
        <v>0</v>
      </c>
    </row>
    <row r="20" spans="1:45" ht="24" customHeight="1" x14ac:dyDescent="0.5">
      <c r="A20" s="216">
        <v>5</v>
      </c>
      <c r="B20" s="194" t="s">
        <v>35</v>
      </c>
      <c r="C20" s="312">
        <f t="shared" si="16"/>
        <v>159950</v>
      </c>
      <c r="D20" s="218">
        <v>0</v>
      </c>
      <c r="E20" s="218">
        <v>159950</v>
      </c>
      <c r="F20" s="219">
        <f ca="1">IFERROR(__xludf.DUMMYFUNCTION("IMPORTRANGE(""https://docs.google.com/spreadsheets/d/11923uPwbBZFjjGgGUA6NLw09EwE0CqkOc4q9oUmW1yo/edit?usp=sharing"",""นครสวรรค์!M299"")"),0)</f>
        <v>0</v>
      </c>
      <c r="G20" s="219">
        <f t="shared" ca="1" si="0"/>
        <v>0</v>
      </c>
      <c r="H20" s="220">
        <f t="shared" si="17"/>
        <v>135</v>
      </c>
      <c r="I20" s="220">
        <f t="shared" si="18"/>
        <v>45</v>
      </c>
      <c r="J20" s="220">
        <f t="shared" ca="1" si="19"/>
        <v>0</v>
      </c>
      <c r="K20" s="221">
        <f t="shared" ca="1" si="1"/>
        <v>0</v>
      </c>
      <c r="L20" s="220">
        <f t="shared" ca="1" si="20"/>
        <v>0</v>
      </c>
      <c r="M20" s="221">
        <f t="shared" ca="1" si="2"/>
        <v>0</v>
      </c>
      <c r="N20" s="301">
        <v>30</v>
      </c>
      <c r="O20" s="301">
        <v>10</v>
      </c>
      <c r="P20" s="220">
        <f ca="1">IFERROR(__xludf.DUMMYFUNCTION("IMPORTRANGE(""https://docs.google.com/spreadsheets/d/11923uPwbBZFjjGgGUA6NLw09EwE0CqkOc4q9oUmW1yo/edit?usp=sharing"",""นครสวรรค์!J313"")"),0)</f>
        <v>0</v>
      </c>
      <c r="Q20" s="221">
        <f t="shared" ca="1" si="3"/>
        <v>0</v>
      </c>
      <c r="R20" s="220">
        <f ca="1">IFERROR(__xludf.DUMMYFUNCTION("IMPORTRANGE(""https://docs.google.com/spreadsheets/d/11923uPwbBZFjjGgGUA6NLw09EwE0CqkOc4q9oUmW1yo/edit?usp=sharing"",""นครสวรรค์!J312"")"),0)</f>
        <v>0</v>
      </c>
      <c r="S20" s="221">
        <f t="shared" ca="1" si="4"/>
        <v>0</v>
      </c>
      <c r="T20" s="221">
        <f ca="1">IFERROR(__xludf.DUMMYFUNCTION("IMPORTRANGE(""https://docs.google.com/spreadsheets/d/11923uPwbBZFjjGgGUA6NLw09EwE0CqkOc4q9oUmW1yo/edit?usp=sharing"",""นครสวรรค์!J314"")"),0)</f>
        <v>0</v>
      </c>
      <c r="U20" s="221">
        <f ca="1">IFERROR(__xludf.DUMMYFUNCTION("IMPORTRANGE(""https://docs.google.com/spreadsheets/d/11923uPwbBZFjjGgGUA6NLw09EwE0CqkOc4q9oUmW1yo/edit?usp=sharing"",""นครสวรรค์!J315"")"),0)</f>
        <v>0</v>
      </c>
      <c r="V20" s="301">
        <v>75</v>
      </c>
      <c r="W20" s="301">
        <v>25</v>
      </c>
      <c r="X20" s="220">
        <f ca="1">IFERROR(__xludf.DUMMYFUNCTION("IMPORTRANGE(""https://docs.google.com/spreadsheets/d/11923uPwbBZFjjGgGUA6NLw09EwE0CqkOc4q9oUmW1yo/edit?usp=sharing"",""นครสวรรค์!J317"")"),0)</f>
        <v>0</v>
      </c>
      <c r="Y20" s="221">
        <f t="shared" ca="1" si="5"/>
        <v>0</v>
      </c>
      <c r="Z20" s="220">
        <f ca="1">IFERROR(__xludf.DUMMYFUNCTION("IMPORTRANGE(""https://docs.google.com/spreadsheets/d/11923uPwbBZFjjGgGUA6NLw09EwE0CqkOc4q9oUmW1yo/edit?usp=sharing"",""นครสวรรค์!J316"")"),0)</f>
        <v>0</v>
      </c>
      <c r="AA20" s="221">
        <f t="shared" ca="1" si="6"/>
        <v>0</v>
      </c>
      <c r="AB20" s="220">
        <f ca="1">IFERROR(__xludf.DUMMYFUNCTION("IMPORTRANGE(""https://docs.google.com/spreadsheets/d/11923uPwbBZFjjGgGUA6NLw09EwE0CqkOc4q9oUmW1yo/edit?usp=sharing"",""นครสวรรค์!J318"")"),0)</f>
        <v>0</v>
      </c>
      <c r="AC20" s="220">
        <f ca="1">IFERROR(__xludf.DUMMYFUNCTION("IMPORTRANGE(""https://docs.google.com/spreadsheets/d/11923uPwbBZFjjGgGUA6NLw09EwE0CqkOc4q9oUmW1yo/edit?usp=sharing"",""นครสวรรค์!J319"")"),0)</f>
        <v>0</v>
      </c>
      <c r="AD20" s="220">
        <f ca="1">IFERROR(__xludf.DUMMYFUNCTION("IMPORTRANGE(""https://docs.google.com/spreadsheets/d/11923uPwbBZFjjGgGUA6NLw09EwE0CqkOc4q9oUmW1yo/edit?usp=sharing"",""นครสวรรค์!J320"")"),0)</f>
        <v>0</v>
      </c>
      <c r="AE20" s="301">
        <v>30</v>
      </c>
      <c r="AF20" s="301">
        <v>10</v>
      </c>
      <c r="AG20" s="220">
        <f ca="1">IFERROR(__xludf.DUMMYFUNCTION("IMPORTRANGE(""https://docs.google.com/spreadsheets/d/11923uPwbBZFjjGgGUA6NLw09EwE0CqkOc4q9oUmW1yo/edit?usp=sharing"",""นครสวรรค์!J322"")"),0)</f>
        <v>0</v>
      </c>
      <c r="AH20" s="221">
        <f t="shared" ca="1" si="8"/>
        <v>0</v>
      </c>
      <c r="AI20" s="220">
        <f ca="1">IFERROR(__xludf.DUMMYFUNCTION("IMPORTRANGE(""https://docs.google.com/spreadsheets/d/11923uPwbBZFjjGgGUA6NLw09EwE0CqkOc4q9oUmW1yo/edit?usp=sharing"",""นครสวรรค์!J321"")"),0)</f>
        <v>0</v>
      </c>
      <c r="AJ20" s="221">
        <f t="shared" ca="1" si="9"/>
        <v>0</v>
      </c>
      <c r="AK20" s="220">
        <f ca="1">IFERROR(__xludf.DUMMYFUNCTION("IMPORTRANGE(""https://docs.google.com/spreadsheets/d/11923uPwbBZFjjGgGUA6NLw09EwE0CqkOc4q9oUmW1yo/edit?usp=sharing"",""นครสวรรค์!J323"")"),0)</f>
        <v>0</v>
      </c>
      <c r="AL20" s="220">
        <f ca="1">IFERROR(__xludf.DUMMYFUNCTION("IMPORTRANGE(""https://docs.google.com/spreadsheets/d/11923uPwbBZFjjGgGUA6NLw09EwE0CqkOc4q9oUmW1yo/edit?usp=sharing"",""นครสวรรค์!J324"")"),0)</f>
        <v>0</v>
      </c>
      <c r="AM20" s="220">
        <f t="shared" si="21"/>
        <v>35</v>
      </c>
      <c r="AN20" s="220">
        <f t="shared" ca="1" si="22"/>
        <v>0</v>
      </c>
      <c r="AO20" s="221">
        <f t="shared" ca="1" si="10"/>
        <v>0</v>
      </c>
      <c r="AP20" s="301">
        <v>10</v>
      </c>
      <c r="AQ20" s="220">
        <f ca="1">IFERROR(__xludf.DUMMYFUNCTION("IMPORTRANGE(""https://docs.google.com/spreadsheets/d/11923uPwbBZFjjGgGUA6NLw09EwE0CqkOc4q9oUmW1yo/edit?usp=sharing"",""นครสวรรค์!J326"")"),0)</f>
        <v>0</v>
      </c>
      <c r="AR20" s="301">
        <v>25</v>
      </c>
      <c r="AS20" s="313">
        <f ca="1">IFERROR(__xludf.DUMMYFUNCTION("IMPORTRANGE(""https://docs.google.com/spreadsheets/d/11923uPwbBZFjjGgGUA6NLw09EwE0CqkOc4q9oUmW1yo/edit?usp=sharing"",""นครสวรรค์!J327"")"),0)</f>
        <v>0</v>
      </c>
    </row>
    <row r="21" spans="1:45" ht="24" customHeight="1" x14ac:dyDescent="0.5">
      <c r="A21" s="216">
        <v>6</v>
      </c>
      <c r="B21" s="194" t="s">
        <v>36</v>
      </c>
      <c r="C21" s="312">
        <f t="shared" si="16"/>
        <v>172800</v>
      </c>
      <c r="D21" s="218">
        <v>0</v>
      </c>
      <c r="E21" s="218">
        <v>172800</v>
      </c>
      <c r="F21" s="219">
        <f ca="1">IFERROR(__xludf.DUMMYFUNCTION("IMPORTRANGE(""https://docs.google.com/spreadsheets/d/11923uPwbBZFjjGgGUA6NLw09EwE0CqkOc4q9oUmW1yo/edit?usp=sharing"",""น่าน!M299"")"),0)</f>
        <v>0</v>
      </c>
      <c r="G21" s="219">
        <f t="shared" ca="1" si="0"/>
        <v>0</v>
      </c>
      <c r="H21" s="220">
        <f t="shared" si="17"/>
        <v>150</v>
      </c>
      <c r="I21" s="220">
        <f t="shared" si="18"/>
        <v>50</v>
      </c>
      <c r="J21" s="220">
        <f t="shared" ca="1" si="19"/>
        <v>0</v>
      </c>
      <c r="K21" s="221">
        <f t="shared" ca="1" si="1"/>
        <v>0</v>
      </c>
      <c r="L21" s="220">
        <f t="shared" ca="1" si="20"/>
        <v>0</v>
      </c>
      <c r="M21" s="221">
        <f t="shared" ca="1" si="2"/>
        <v>0</v>
      </c>
      <c r="N21" s="301">
        <v>30</v>
      </c>
      <c r="O21" s="301">
        <v>10</v>
      </c>
      <c r="P21" s="220">
        <f ca="1">IFERROR(__xludf.DUMMYFUNCTION("IMPORTRANGE(""https://docs.google.com/spreadsheets/d/11923uPwbBZFjjGgGUA6NLw09EwE0CqkOc4q9oUmW1yo/edit?usp=sharing"",""น่าน!J313"")"),0)</f>
        <v>0</v>
      </c>
      <c r="Q21" s="221">
        <f t="shared" ca="1" si="3"/>
        <v>0</v>
      </c>
      <c r="R21" s="220">
        <f ca="1">IFERROR(__xludf.DUMMYFUNCTION("IMPORTRANGE(""https://docs.google.com/spreadsheets/d/11923uPwbBZFjjGgGUA6NLw09EwE0CqkOc4q9oUmW1yo/edit?usp=sharing"",""น่าน!J312"")"),0)</f>
        <v>0</v>
      </c>
      <c r="S21" s="221">
        <f t="shared" ca="1" si="4"/>
        <v>0</v>
      </c>
      <c r="T21" s="221">
        <f ca="1">IFERROR(__xludf.DUMMYFUNCTION("IMPORTRANGE(""https://docs.google.com/spreadsheets/d/11923uPwbBZFjjGgGUA6NLw09EwE0CqkOc4q9oUmW1yo/edit?usp=sharing"",""น่าน!J314"")"),0)</f>
        <v>0</v>
      </c>
      <c r="U21" s="221">
        <f ca="1">IFERROR(__xludf.DUMMYFUNCTION("IMPORTRANGE(""https://docs.google.com/spreadsheets/d/11923uPwbBZFjjGgGUA6NLw09EwE0CqkOc4q9oUmW1yo/edit?usp=sharing"",""น่าน!J315"")"),0)</f>
        <v>0</v>
      </c>
      <c r="V21" s="301">
        <v>90</v>
      </c>
      <c r="W21" s="301">
        <v>30</v>
      </c>
      <c r="X21" s="220">
        <f ca="1">IFERROR(__xludf.DUMMYFUNCTION("IMPORTRANGE(""https://docs.google.com/spreadsheets/d/11923uPwbBZFjjGgGUA6NLw09EwE0CqkOc4q9oUmW1yo/edit?usp=sharing"",""น่าน!J317"")"),0)</f>
        <v>0</v>
      </c>
      <c r="Y21" s="221">
        <f t="shared" ca="1" si="5"/>
        <v>0</v>
      </c>
      <c r="Z21" s="220">
        <f ca="1">IFERROR(__xludf.DUMMYFUNCTION("IMPORTRANGE(""https://docs.google.com/spreadsheets/d/11923uPwbBZFjjGgGUA6NLw09EwE0CqkOc4q9oUmW1yo/edit?usp=sharing"",""น่าน!J316"")"),0)</f>
        <v>0</v>
      </c>
      <c r="AA21" s="221">
        <f t="shared" ca="1" si="6"/>
        <v>0</v>
      </c>
      <c r="AB21" s="220">
        <f ca="1">IFERROR(__xludf.DUMMYFUNCTION("IMPORTRANGE(""https://docs.google.com/spreadsheets/d/11923uPwbBZFjjGgGUA6NLw09EwE0CqkOc4q9oUmW1yo/edit?usp=sharing"",""น่าน!J318"")"),0)</f>
        <v>0</v>
      </c>
      <c r="AC21" s="220">
        <f ca="1">IFERROR(__xludf.DUMMYFUNCTION("IMPORTRANGE(""https://docs.google.com/spreadsheets/d/11923uPwbBZFjjGgGUA6NLw09EwE0CqkOc4q9oUmW1yo/edit?usp=sharing"",""น่าน!J319"")"),0)</f>
        <v>0</v>
      </c>
      <c r="AD21" s="220">
        <f ca="1">IFERROR(__xludf.DUMMYFUNCTION("IMPORTRANGE(""https://docs.google.com/spreadsheets/d/11923uPwbBZFjjGgGUA6NLw09EwE0CqkOc4q9oUmW1yo/edit?usp=sharing"",""น่าน!J320"")"),0)</f>
        <v>0</v>
      </c>
      <c r="AE21" s="301">
        <v>30</v>
      </c>
      <c r="AF21" s="301">
        <v>10</v>
      </c>
      <c r="AG21" s="220">
        <f ca="1">IFERROR(__xludf.DUMMYFUNCTION("IMPORTRANGE(""https://docs.google.com/spreadsheets/d/11923uPwbBZFjjGgGUA6NLw09EwE0CqkOc4q9oUmW1yo/edit?usp=sharing"",""น่าน!J322"")"),0)</f>
        <v>0</v>
      </c>
      <c r="AH21" s="221">
        <f t="shared" ca="1" si="8"/>
        <v>0</v>
      </c>
      <c r="AI21" s="220">
        <f ca="1">IFERROR(__xludf.DUMMYFUNCTION("IMPORTRANGE(""https://docs.google.com/spreadsheets/d/11923uPwbBZFjjGgGUA6NLw09EwE0CqkOc4q9oUmW1yo/edit?usp=sharing"",""น่าน!J321"")"),0)</f>
        <v>0</v>
      </c>
      <c r="AJ21" s="221">
        <f t="shared" ca="1" si="9"/>
        <v>0</v>
      </c>
      <c r="AK21" s="220">
        <f ca="1">IFERROR(__xludf.DUMMYFUNCTION("IMPORTRANGE(""https://docs.google.com/spreadsheets/d/11923uPwbBZFjjGgGUA6NLw09EwE0CqkOc4q9oUmW1yo/edit?usp=sharing"",""น่าน!J323"")"),0)</f>
        <v>0</v>
      </c>
      <c r="AL21" s="220">
        <f ca="1">IFERROR(__xludf.DUMMYFUNCTION("IMPORTRANGE(""https://docs.google.com/spreadsheets/d/11923uPwbBZFjjGgGUA6NLw09EwE0CqkOc4q9oUmW1yo/edit?usp=sharing"",""น่าน!J324"")"),0)</f>
        <v>0</v>
      </c>
      <c r="AM21" s="220">
        <f t="shared" si="21"/>
        <v>40</v>
      </c>
      <c r="AN21" s="220">
        <f t="shared" ca="1" si="22"/>
        <v>0</v>
      </c>
      <c r="AO21" s="221">
        <f t="shared" ca="1" si="10"/>
        <v>0</v>
      </c>
      <c r="AP21" s="301">
        <v>10</v>
      </c>
      <c r="AQ21" s="220">
        <f ca="1">IFERROR(__xludf.DUMMYFUNCTION("IMPORTRANGE(""https://docs.google.com/spreadsheets/d/11923uPwbBZFjjGgGUA6NLw09EwE0CqkOc4q9oUmW1yo/edit?usp=sharing"",""น่าน!J326"")"),0)</f>
        <v>0</v>
      </c>
      <c r="AR21" s="301">
        <v>30</v>
      </c>
      <c r="AS21" s="313">
        <f ca="1">IFERROR(__xludf.DUMMYFUNCTION("IMPORTRANGE(""https://docs.google.com/spreadsheets/d/11923uPwbBZFjjGgGUA6NLw09EwE0CqkOc4q9oUmW1yo/edit?usp=sharing"",""น่าน!J327"")"),0)</f>
        <v>0</v>
      </c>
    </row>
    <row r="22" spans="1:45" ht="24" customHeight="1" x14ac:dyDescent="0.5">
      <c r="A22" s="216">
        <v>7</v>
      </c>
      <c r="B22" s="194" t="s">
        <v>37</v>
      </c>
      <c r="C22" s="312">
        <f t="shared" si="16"/>
        <v>271920</v>
      </c>
      <c r="D22" s="218">
        <v>0</v>
      </c>
      <c r="E22" s="218">
        <v>271920</v>
      </c>
      <c r="F22" s="219">
        <f ca="1">IFERROR(__xludf.DUMMYFUNCTION("IMPORTRANGE(""https://docs.google.com/spreadsheets/d/11923uPwbBZFjjGgGUA6NLw09EwE0CqkOc4q9oUmW1yo/edit?usp=sharing"",""พะเยา!M299"")"),0)</f>
        <v>0</v>
      </c>
      <c r="G22" s="219">
        <f t="shared" ca="1" si="0"/>
        <v>0</v>
      </c>
      <c r="H22" s="220">
        <f t="shared" si="17"/>
        <v>261</v>
      </c>
      <c r="I22" s="220">
        <f t="shared" si="18"/>
        <v>87</v>
      </c>
      <c r="J22" s="220">
        <f t="shared" ca="1" si="19"/>
        <v>0</v>
      </c>
      <c r="K22" s="221">
        <f t="shared" ca="1" si="1"/>
        <v>0</v>
      </c>
      <c r="L22" s="220">
        <f t="shared" ca="1" si="20"/>
        <v>0</v>
      </c>
      <c r="M22" s="221">
        <f t="shared" ca="1" si="2"/>
        <v>0</v>
      </c>
      <c r="N22" s="301">
        <v>60</v>
      </c>
      <c r="O22" s="301">
        <v>20</v>
      </c>
      <c r="P22" s="220">
        <f ca="1">IFERROR(__xludf.DUMMYFUNCTION("IMPORTRANGE(""https://docs.google.com/spreadsheets/d/11923uPwbBZFjjGgGUA6NLw09EwE0CqkOc4q9oUmW1yo/edit?usp=sharing"",""พะเยา!J313"")"),0)</f>
        <v>0</v>
      </c>
      <c r="Q22" s="221">
        <f t="shared" ca="1" si="3"/>
        <v>0</v>
      </c>
      <c r="R22" s="220">
        <f ca="1">IFERROR(__xludf.DUMMYFUNCTION("IMPORTRANGE(""https://docs.google.com/spreadsheets/d/11923uPwbBZFjjGgGUA6NLw09EwE0CqkOc4q9oUmW1yo/edit?usp=sharing"",""พะเยา!J312"")"),0)</f>
        <v>0</v>
      </c>
      <c r="S22" s="221">
        <f t="shared" ca="1" si="4"/>
        <v>0</v>
      </c>
      <c r="T22" s="221">
        <f ca="1">IFERROR(__xludf.DUMMYFUNCTION("IMPORTRANGE(""https://docs.google.com/spreadsheets/d/11923uPwbBZFjjGgGUA6NLw09EwE0CqkOc4q9oUmW1yo/edit?usp=sharing"",""พะเยา!J314"")"),0)</f>
        <v>0</v>
      </c>
      <c r="U22" s="221">
        <f ca="1">IFERROR(__xludf.DUMMYFUNCTION("IMPORTRANGE(""https://docs.google.com/spreadsheets/d/11923uPwbBZFjjGgGUA6NLw09EwE0CqkOc4q9oUmW1yo/edit?usp=sharing"",""พะเยา!J315"")"),0)</f>
        <v>0</v>
      </c>
      <c r="V22" s="301">
        <v>150</v>
      </c>
      <c r="W22" s="301">
        <v>50</v>
      </c>
      <c r="X22" s="220">
        <f ca="1">IFERROR(__xludf.DUMMYFUNCTION("IMPORTRANGE(""https://docs.google.com/spreadsheets/d/11923uPwbBZFjjGgGUA6NLw09EwE0CqkOc4q9oUmW1yo/edit?usp=sharing"",""พะเยา!J317"")"),0)</f>
        <v>0</v>
      </c>
      <c r="Y22" s="221">
        <f t="shared" ca="1" si="5"/>
        <v>0</v>
      </c>
      <c r="Z22" s="220">
        <f ca="1">IFERROR(__xludf.DUMMYFUNCTION("IMPORTRANGE(""https://docs.google.com/spreadsheets/d/11923uPwbBZFjjGgGUA6NLw09EwE0CqkOc4q9oUmW1yo/edit?usp=sharing"",""พะเยา!J316"")"),0)</f>
        <v>0</v>
      </c>
      <c r="AA22" s="221">
        <f t="shared" ca="1" si="6"/>
        <v>0</v>
      </c>
      <c r="AB22" s="220">
        <f ca="1">IFERROR(__xludf.DUMMYFUNCTION("IMPORTRANGE(""https://docs.google.com/spreadsheets/d/11923uPwbBZFjjGgGUA6NLw09EwE0CqkOc4q9oUmW1yo/edit?usp=sharing"",""พะเยา!J318"")"),0)</f>
        <v>0</v>
      </c>
      <c r="AC22" s="220">
        <f ca="1">IFERROR(__xludf.DUMMYFUNCTION("IMPORTRANGE(""https://docs.google.com/spreadsheets/d/11923uPwbBZFjjGgGUA6NLw09EwE0CqkOc4q9oUmW1yo/edit?usp=sharing"",""พะเยา!J319"")"),0)</f>
        <v>0</v>
      </c>
      <c r="AD22" s="220">
        <f ca="1">IFERROR(__xludf.DUMMYFUNCTION("IMPORTRANGE(""https://docs.google.com/spreadsheets/d/11923uPwbBZFjjGgGUA6NLw09EwE0CqkOc4q9oUmW1yo/edit?usp=sharing"",""พะเยา!J320"")"),0)</f>
        <v>0</v>
      </c>
      <c r="AE22" s="301">
        <v>51</v>
      </c>
      <c r="AF22" s="301">
        <v>17</v>
      </c>
      <c r="AG22" s="220">
        <f ca="1">IFERROR(__xludf.DUMMYFUNCTION("IMPORTRANGE(""https://docs.google.com/spreadsheets/d/11923uPwbBZFjjGgGUA6NLw09EwE0CqkOc4q9oUmW1yo/edit?usp=sharing"",""พะเยา!J322"")"),0)</f>
        <v>0</v>
      </c>
      <c r="AH22" s="221">
        <f t="shared" ca="1" si="8"/>
        <v>0</v>
      </c>
      <c r="AI22" s="220">
        <f ca="1">IFERROR(__xludf.DUMMYFUNCTION("IMPORTRANGE(""https://docs.google.com/spreadsheets/d/11923uPwbBZFjjGgGUA6NLw09EwE0CqkOc4q9oUmW1yo/edit?usp=sharing"",""พะเยา!J321"")"),0)</f>
        <v>0</v>
      </c>
      <c r="AJ22" s="221">
        <f t="shared" ca="1" si="9"/>
        <v>0</v>
      </c>
      <c r="AK22" s="220">
        <f ca="1">IFERROR(__xludf.DUMMYFUNCTION("IMPORTRANGE(""https://docs.google.com/spreadsheets/d/11923uPwbBZFjjGgGUA6NLw09EwE0CqkOc4q9oUmW1yo/edit?usp=sharing"",""พะเยา!J323"")"),0)</f>
        <v>0</v>
      </c>
      <c r="AL22" s="220">
        <f ca="1">IFERROR(__xludf.DUMMYFUNCTION("IMPORTRANGE(""https://docs.google.com/spreadsheets/d/11923uPwbBZFjjGgGUA6NLw09EwE0CqkOc4q9oUmW1yo/edit?usp=sharing"",""พะเยา!J324"")"),0)</f>
        <v>0</v>
      </c>
      <c r="AM22" s="220">
        <f t="shared" si="21"/>
        <v>70</v>
      </c>
      <c r="AN22" s="220">
        <f t="shared" ca="1" si="22"/>
        <v>0</v>
      </c>
      <c r="AO22" s="221">
        <f t="shared" ca="1" si="10"/>
        <v>0</v>
      </c>
      <c r="AP22" s="301">
        <v>20</v>
      </c>
      <c r="AQ22" s="220">
        <f ca="1">IFERROR(__xludf.DUMMYFUNCTION("IMPORTRANGE(""https://docs.google.com/spreadsheets/d/11923uPwbBZFjjGgGUA6NLw09EwE0CqkOc4q9oUmW1yo/edit?usp=sharing"",""พะเยา!J326"")"),0)</f>
        <v>0</v>
      </c>
      <c r="AR22" s="301">
        <v>50</v>
      </c>
      <c r="AS22" s="313">
        <f ca="1">IFERROR(__xludf.DUMMYFUNCTION("IMPORTRANGE(""https://docs.google.com/spreadsheets/d/11923uPwbBZFjjGgGUA6NLw09EwE0CqkOc4q9oUmW1yo/edit?usp=sharing"",""พะเยา!J327"")"),0)</f>
        <v>0</v>
      </c>
    </row>
    <row r="23" spans="1:45" ht="24" customHeight="1" x14ac:dyDescent="0.5">
      <c r="A23" s="216">
        <v>8</v>
      </c>
      <c r="B23" s="194" t="s">
        <v>38</v>
      </c>
      <c r="C23" s="312">
        <f t="shared" si="16"/>
        <v>195900</v>
      </c>
      <c r="D23" s="218">
        <v>0</v>
      </c>
      <c r="E23" s="218">
        <v>195900</v>
      </c>
      <c r="F23" s="219">
        <f ca="1">IFERROR(__xludf.DUMMYFUNCTION("IMPORTRANGE(""https://docs.google.com/spreadsheets/d/11923uPwbBZFjjGgGUA6NLw09EwE0CqkOc4q9oUmW1yo/edit?usp=sharing"",""พิจิตร!M299"")"),0)</f>
        <v>0</v>
      </c>
      <c r="G23" s="219">
        <f t="shared" ca="1" si="0"/>
        <v>0</v>
      </c>
      <c r="H23" s="220">
        <f t="shared" si="17"/>
        <v>174</v>
      </c>
      <c r="I23" s="220">
        <f t="shared" si="18"/>
        <v>58</v>
      </c>
      <c r="J23" s="220">
        <f t="shared" ca="1" si="19"/>
        <v>0</v>
      </c>
      <c r="K23" s="221">
        <f t="shared" ca="1" si="1"/>
        <v>0</v>
      </c>
      <c r="L23" s="220">
        <f t="shared" ca="1" si="20"/>
        <v>0</v>
      </c>
      <c r="M23" s="221">
        <f t="shared" ca="1" si="2"/>
        <v>0</v>
      </c>
      <c r="N23" s="301">
        <v>30</v>
      </c>
      <c r="O23" s="301">
        <v>10</v>
      </c>
      <c r="P23" s="220">
        <f ca="1">IFERROR(__xludf.DUMMYFUNCTION("IMPORTRANGE(""https://docs.google.com/spreadsheets/d/11923uPwbBZFjjGgGUA6NLw09EwE0CqkOc4q9oUmW1yo/edit?usp=sharing"",""พิจิตร!J313"")"),0)</f>
        <v>0</v>
      </c>
      <c r="Q23" s="221">
        <f t="shared" ca="1" si="3"/>
        <v>0</v>
      </c>
      <c r="R23" s="220">
        <f ca="1">IFERROR(__xludf.DUMMYFUNCTION("IMPORTRANGE(""https://docs.google.com/spreadsheets/d/11923uPwbBZFjjGgGUA6NLw09EwE0CqkOc4q9oUmW1yo/edit?usp=sharing"",""พิจิตร!J312"")"),0)</f>
        <v>0</v>
      </c>
      <c r="S23" s="221">
        <f t="shared" ca="1" si="4"/>
        <v>0</v>
      </c>
      <c r="T23" s="221">
        <f ca="1">IFERROR(__xludf.DUMMYFUNCTION("IMPORTRANGE(""https://docs.google.com/spreadsheets/d/11923uPwbBZFjjGgGUA6NLw09EwE0CqkOc4q9oUmW1yo/edit?usp=sharing"",""พิจิตร!J314"")"),0)</f>
        <v>0</v>
      </c>
      <c r="U23" s="221">
        <f ca="1">IFERROR(__xludf.DUMMYFUNCTION("IMPORTRANGE(""https://docs.google.com/spreadsheets/d/11923uPwbBZFjjGgGUA6NLw09EwE0CqkOc4q9oUmW1yo/edit?usp=sharing"",""พิจิตร!J315"")"),0)</f>
        <v>0</v>
      </c>
      <c r="V23" s="301">
        <v>114</v>
      </c>
      <c r="W23" s="301">
        <v>38</v>
      </c>
      <c r="X23" s="220">
        <f ca="1">IFERROR(__xludf.DUMMYFUNCTION("IMPORTRANGE(""https://docs.google.com/spreadsheets/d/11923uPwbBZFjjGgGUA6NLw09EwE0CqkOc4q9oUmW1yo/edit?usp=sharing"",""พิจิตร!J317"")"),0)</f>
        <v>0</v>
      </c>
      <c r="Y23" s="221">
        <f t="shared" ca="1" si="5"/>
        <v>0</v>
      </c>
      <c r="Z23" s="220">
        <f ca="1">IFERROR(__xludf.DUMMYFUNCTION("IMPORTRANGE(""https://docs.google.com/spreadsheets/d/11923uPwbBZFjjGgGUA6NLw09EwE0CqkOc4q9oUmW1yo/edit?usp=sharing"",""พิจิตร!J316"")"),0)</f>
        <v>0</v>
      </c>
      <c r="AA23" s="221">
        <f t="shared" ca="1" si="6"/>
        <v>0</v>
      </c>
      <c r="AB23" s="220">
        <f ca="1">IFERROR(__xludf.DUMMYFUNCTION("IMPORTRANGE(""https://docs.google.com/spreadsheets/d/11923uPwbBZFjjGgGUA6NLw09EwE0CqkOc4q9oUmW1yo/edit?usp=sharing"",""พิจิตร!J318"")"),0)</f>
        <v>0</v>
      </c>
      <c r="AC23" s="220">
        <f ca="1">IFERROR(__xludf.DUMMYFUNCTION("IMPORTRANGE(""https://docs.google.com/spreadsheets/d/11923uPwbBZFjjGgGUA6NLw09EwE0CqkOc4q9oUmW1yo/edit?usp=sharing"",""พิจิตร!J319"")"),0)</f>
        <v>0</v>
      </c>
      <c r="AD23" s="220">
        <f ca="1">IFERROR(__xludf.DUMMYFUNCTION("IMPORTRANGE(""https://docs.google.com/spreadsheets/d/11923uPwbBZFjjGgGUA6NLw09EwE0CqkOc4q9oUmW1yo/edit?usp=sharing"",""พิจิตร!J320"")"),0)</f>
        <v>0</v>
      </c>
      <c r="AE23" s="301">
        <v>30</v>
      </c>
      <c r="AF23" s="301">
        <v>10</v>
      </c>
      <c r="AG23" s="220">
        <f ca="1">IFERROR(__xludf.DUMMYFUNCTION("IMPORTRANGE(""https://docs.google.com/spreadsheets/d/11923uPwbBZFjjGgGUA6NLw09EwE0CqkOc4q9oUmW1yo/edit?usp=sharing"",""พิจิตร!J322"")"),0)</f>
        <v>0</v>
      </c>
      <c r="AH23" s="221">
        <f t="shared" ca="1" si="8"/>
        <v>0</v>
      </c>
      <c r="AI23" s="220">
        <f ca="1">IFERROR(__xludf.DUMMYFUNCTION("IMPORTRANGE(""https://docs.google.com/spreadsheets/d/11923uPwbBZFjjGgGUA6NLw09EwE0CqkOc4q9oUmW1yo/edit?usp=sharing"",""พิจิตร!J321"")"),0)</f>
        <v>0</v>
      </c>
      <c r="AJ23" s="221">
        <f t="shared" ca="1" si="9"/>
        <v>0</v>
      </c>
      <c r="AK23" s="220">
        <f ca="1">IFERROR(__xludf.DUMMYFUNCTION("IMPORTRANGE(""https://docs.google.com/spreadsheets/d/11923uPwbBZFjjGgGUA6NLw09EwE0CqkOc4q9oUmW1yo/edit?usp=sharing"",""พิจิตร!J323"")"),0)</f>
        <v>0</v>
      </c>
      <c r="AL23" s="220">
        <f ca="1">IFERROR(__xludf.DUMMYFUNCTION("IMPORTRANGE(""https://docs.google.com/spreadsheets/d/11923uPwbBZFjjGgGUA6NLw09EwE0CqkOc4q9oUmW1yo/edit?usp=sharing"",""พิจิตร!J324"")"),0)</f>
        <v>0</v>
      </c>
      <c r="AM23" s="220">
        <f t="shared" si="21"/>
        <v>48</v>
      </c>
      <c r="AN23" s="220">
        <f t="shared" ca="1" si="22"/>
        <v>0</v>
      </c>
      <c r="AO23" s="221">
        <f t="shared" ca="1" si="10"/>
        <v>0</v>
      </c>
      <c r="AP23" s="301">
        <v>10</v>
      </c>
      <c r="AQ23" s="220">
        <f ca="1">IFERROR(__xludf.DUMMYFUNCTION("IMPORTRANGE(""https://docs.google.com/spreadsheets/d/11923uPwbBZFjjGgGUA6NLw09EwE0CqkOc4q9oUmW1yo/edit?usp=sharing"",""พิจิตร!J326"")"),0)</f>
        <v>0</v>
      </c>
      <c r="AR23" s="301">
        <v>38</v>
      </c>
      <c r="AS23" s="313">
        <f ca="1">IFERROR(__xludf.DUMMYFUNCTION("IMPORTRANGE(""https://docs.google.com/spreadsheets/d/11923uPwbBZFjjGgGUA6NLw09EwE0CqkOc4q9oUmW1yo/edit?usp=sharing"",""พิจิตร!J327"")"),0)</f>
        <v>0</v>
      </c>
    </row>
    <row r="24" spans="1:45" ht="24" customHeight="1" x14ac:dyDescent="0.5">
      <c r="A24" s="216">
        <v>9</v>
      </c>
      <c r="B24" s="194" t="s">
        <v>39</v>
      </c>
      <c r="C24" s="312">
        <f t="shared" si="16"/>
        <v>252320</v>
      </c>
      <c r="D24" s="218">
        <v>0</v>
      </c>
      <c r="E24" s="218">
        <v>252320</v>
      </c>
      <c r="F24" s="219">
        <f ca="1">IFERROR(__xludf.DUMMYFUNCTION("IMPORTRANGE(""https://docs.google.com/spreadsheets/d/11923uPwbBZFjjGgGUA6NLw09EwE0CqkOc4q9oUmW1yo/edit?usp=sharing"",""พิษณุโลก!M299"")"),0)</f>
        <v>0</v>
      </c>
      <c r="G24" s="219">
        <f t="shared" ca="1" si="0"/>
        <v>0</v>
      </c>
      <c r="H24" s="220">
        <f t="shared" si="17"/>
        <v>225</v>
      </c>
      <c r="I24" s="220">
        <f t="shared" si="18"/>
        <v>75</v>
      </c>
      <c r="J24" s="220">
        <f t="shared" ca="1" si="19"/>
        <v>0</v>
      </c>
      <c r="K24" s="221">
        <f t="shared" ca="1" si="1"/>
        <v>0</v>
      </c>
      <c r="L24" s="220">
        <f t="shared" ca="1" si="20"/>
        <v>0</v>
      </c>
      <c r="M24" s="221">
        <f t="shared" ca="1" si="2"/>
        <v>0</v>
      </c>
      <c r="N24" s="301">
        <v>75</v>
      </c>
      <c r="O24" s="301">
        <v>25</v>
      </c>
      <c r="P24" s="220">
        <f ca="1">IFERROR(__xludf.DUMMYFUNCTION("IMPORTRANGE(""https://docs.google.com/spreadsheets/d/11923uPwbBZFjjGgGUA6NLw09EwE0CqkOc4q9oUmW1yo/edit?usp=sharing"",""พิษณุโลก!J313"")"),0)</f>
        <v>0</v>
      </c>
      <c r="Q24" s="221">
        <f t="shared" ca="1" si="3"/>
        <v>0</v>
      </c>
      <c r="R24" s="220">
        <f ca="1">IFERROR(__xludf.DUMMYFUNCTION("IMPORTRANGE(""https://docs.google.com/spreadsheets/d/11923uPwbBZFjjGgGUA6NLw09EwE0CqkOc4q9oUmW1yo/edit?usp=sharing"",""พิษณุโลก!J312"")"),0)</f>
        <v>0</v>
      </c>
      <c r="S24" s="221">
        <f t="shared" ca="1" si="4"/>
        <v>0</v>
      </c>
      <c r="T24" s="221">
        <f ca="1">IFERROR(__xludf.DUMMYFUNCTION("IMPORTRANGE(""https://docs.google.com/spreadsheets/d/11923uPwbBZFjjGgGUA6NLw09EwE0CqkOc4q9oUmW1yo/edit?usp=sharing"",""พิษณุโลก!J314"")"),0)</f>
        <v>0</v>
      </c>
      <c r="U24" s="221">
        <f ca="1">IFERROR(__xludf.DUMMYFUNCTION("IMPORTRANGE(""https://docs.google.com/spreadsheets/d/11923uPwbBZFjjGgGUA6NLw09EwE0CqkOc4q9oUmW1yo/edit?usp=sharing"",""พิษณุโลก!J315"")"),0)</f>
        <v>0</v>
      </c>
      <c r="V24" s="301">
        <v>120</v>
      </c>
      <c r="W24" s="301">
        <v>40</v>
      </c>
      <c r="X24" s="220">
        <f ca="1">IFERROR(__xludf.DUMMYFUNCTION("IMPORTRANGE(""https://docs.google.com/spreadsheets/d/11923uPwbBZFjjGgGUA6NLw09EwE0CqkOc4q9oUmW1yo/edit?usp=sharing"",""พิษณุโลก!J317"")"),0)</f>
        <v>0</v>
      </c>
      <c r="Y24" s="221">
        <f t="shared" ca="1" si="5"/>
        <v>0</v>
      </c>
      <c r="Z24" s="220">
        <f ca="1">IFERROR(__xludf.DUMMYFUNCTION("IMPORTRANGE(""https://docs.google.com/spreadsheets/d/11923uPwbBZFjjGgGUA6NLw09EwE0CqkOc4q9oUmW1yo/edit?usp=sharing"",""พิษณุโลก!J316"")"),0)</f>
        <v>0</v>
      </c>
      <c r="AA24" s="221">
        <f t="shared" ca="1" si="6"/>
        <v>0</v>
      </c>
      <c r="AB24" s="220">
        <f ca="1">IFERROR(__xludf.DUMMYFUNCTION("IMPORTRANGE(""https://docs.google.com/spreadsheets/d/11923uPwbBZFjjGgGUA6NLw09EwE0CqkOc4q9oUmW1yo/edit?usp=sharing"",""พิษณุโลก!J318"")"),0)</f>
        <v>0</v>
      </c>
      <c r="AC24" s="220">
        <f ca="1">IFERROR(__xludf.DUMMYFUNCTION("IMPORTRANGE(""https://docs.google.com/spreadsheets/d/11923uPwbBZFjjGgGUA6NLw09EwE0CqkOc4q9oUmW1yo/edit?usp=sharing"",""พิษณุโลก!J319"")"),0)</f>
        <v>0</v>
      </c>
      <c r="AD24" s="220">
        <f ca="1">IFERROR(__xludf.DUMMYFUNCTION("IMPORTRANGE(""https://docs.google.com/spreadsheets/d/11923uPwbBZFjjGgGUA6NLw09EwE0CqkOc4q9oUmW1yo/edit?usp=sharing"",""พิษณุโลก!J320"")"),0)</f>
        <v>0</v>
      </c>
      <c r="AE24" s="301">
        <v>30</v>
      </c>
      <c r="AF24" s="301">
        <v>10</v>
      </c>
      <c r="AG24" s="220">
        <f ca="1">IFERROR(__xludf.DUMMYFUNCTION("IMPORTRANGE(""https://docs.google.com/spreadsheets/d/11923uPwbBZFjjGgGUA6NLw09EwE0CqkOc4q9oUmW1yo/edit?usp=sharing"",""พิษณุโลก!J322"")"),0)</f>
        <v>0</v>
      </c>
      <c r="AH24" s="221">
        <f t="shared" ca="1" si="8"/>
        <v>0</v>
      </c>
      <c r="AI24" s="220">
        <f ca="1">IFERROR(__xludf.DUMMYFUNCTION("IMPORTRANGE(""https://docs.google.com/spreadsheets/d/11923uPwbBZFjjGgGUA6NLw09EwE0CqkOc4q9oUmW1yo/edit?usp=sharing"",""พิษณุโลก!J321"")"),0)</f>
        <v>0</v>
      </c>
      <c r="AJ24" s="221">
        <f t="shared" ca="1" si="9"/>
        <v>0</v>
      </c>
      <c r="AK24" s="220">
        <f ca="1">IFERROR(__xludf.DUMMYFUNCTION("IMPORTRANGE(""https://docs.google.com/spreadsheets/d/11923uPwbBZFjjGgGUA6NLw09EwE0CqkOc4q9oUmW1yo/edit?usp=sharing"",""พิษณุโลก!J323"")"),0)</f>
        <v>0</v>
      </c>
      <c r="AL24" s="220">
        <f ca="1">IFERROR(__xludf.DUMMYFUNCTION("IMPORTRANGE(""https://docs.google.com/spreadsheets/d/11923uPwbBZFjjGgGUA6NLw09EwE0CqkOc4q9oUmW1yo/edit?usp=sharing"",""พิษณุโลก!J324"")"),0)</f>
        <v>0</v>
      </c>
      <c r="AM24" s="220">
        <f t="shared" si="21"/>
        <v>65</v>
      </c>
      <c r="AN24" s="220">
        <f t="shared" ca="1" si="22"/>
        <v>0</v>
      </c>
      <c r="AO24" s="221">
        <f t="shared" ca="1" si="10"/>
        <v>0</v>
      </c>
      <c r="AP24" s="301">
        <v>25</v>
      </c>
      <c r="AQ24" s="220">
        <f ca="1">IFERROR(__xludf.DUMMYFUNCTION("IMPORTRANGE(""https://docs.google.com/spreadsheets/d/11923uPwbBZFjjGgGUA6NLw09EwE0CqkOc4q9oUmW1yo/edit?usp=sharing"",""พิษณุโลก!J326"")"),0)</f>
        <v>0</v>
      </c>
      <c r="AR24" s="301">
        <v>40</v>
      </c>
      <c r="AS24" s="313">
        <f ca="1">IFERROR(__xludf.DUMMYFUNCTION("IMPORTRANGE(""https://docs.google.com/spreadsheets/d/11923uPwbBZFjjGgGUA6NLw09EwE0CqkOc4q9oUmW1yo/edit?usp=sharing"",""พิษณุโลก!J327"")"),0)</f>
        <v>0</v>
      </c>
    </row>
    <row r="25" spans="1:45" ht="24" customHeight="1" x14ac:dyDescent="0.5">
      <c r="A25" s="216">
        <v>10</v>
      </c>
      <c r="B25" s="194" t="s">
        <v>40</v>
      </c>
      <c r="C25" s="312">
        <f t="shared" si="16"/>
        <v>244540</v>
      </c>
      <c r="D25" s="218">
        <v>0</v>
      </c>
      <c r="E25" s="218">
        <v>244540</v>
      </c>
      <c r="F25" s="219">
        <f ca="1">IFERROR(__xludf.DUMMYFUNCTION("IMPORTRANGE(""https://docs.google.com/spreadsheets/d/11923uPwbBZFjjGgGUA6NLw09EwE0CqkOc4q9oUmW1yo/edit?usp=sharing"",""เพชรบูรณ์!M299"")"),0)</f>
        <v>0</v>
      </c>
      <c r="G25" s="219">
        <f t="shared" ca="1" si="0"/>
        <v>0</v>
      </c>
      <c r="H25" s="220">
        <f t="shared" si="17"/>
        <v>219</v>
      </c>
      <c r="I25" s="220">
        <f t="shared" si="18"/>
        <v>73</v>
      </c>
      <c r="J25" s="220">
        <f t="shared" ca="1" si="19"/>
        <v>0</v>
      </c>
      <c r="K25" s="221">
        <f t="shared" ca="1" si="1"/>
        <v>0</v>
      </c>
      <c r="L25" s="220">
        <f t="shared" ca="1" si="20"/>
        <v>0</v>
      </c>
      <c r="M25" s="221">
        <f t="shared" ca="1" si="2"/>
        <v>0</v>
      </c>
      <c r="N25" s="301">
        <v>75</v>
      </c>
      <c r="O25" s="301">
        <v>25</v>
      </c>
      <c r="P25" s="220">
        <f ca="1">IFERROR(__xludf.DUMMYFUNCTION("IMPORTRANGE(""https://docs.google.com/spreadsheets/d/11923uPwbBZFjjGgGUA6NLw09EwE0CqkOc4q9oUmW1yo/edit?usp=sharing"",""เพชรบูรณ์!J313"")"),0)</f>
        <v>0</v>
      </c>
      <c r="Q25" s="221">
        <f t="shared" ca="1" si="3"/>
        <v>0</v>
      </c>
      <c r="R25" s="220">
        <f ca="1">IFERROR(__xludf.DUMMYFUNCTION("IMPORTRANGE(""https://docs.google.com/spreadsheets/d/11923uPwbBZFjjGgGUA6NLw09EwE0CqkOc4q9oUmW1yo/edit?usp=sharing"",""เพชรบูรณ์!J312"")"),0)</f>
        <v>0</v>
      </c>
      <c r="S25" s="221">
        <f t="shared" ca="1" si="4"/>
        <v>0</v>
      </c>
      <c r="T25" s="221">
        <f ca="1">IFERROR(__xludf.DUMMYFUNCTION("IMPORTRANGE(""https://docs.google.com/spreadsheets/d/11923uPwbBZFjjGgGUA6NLw09EwE0CqkOc4q9oUmW1yo/edit?usp=sharing"",""เพชรบูรณ์!J314"")"),0)</f>
        <v>0</v>
      </c>
      <c r="U25" s="221">
        <f ca="1">IFERROR(__xludf.DUMMYFUNCTION("IMPORTRANGE(""https://docs.google.com/spreadsheets/d/11923uPwbBZFjjGgGUA6NLw09EwE0CqkOc4q9oUmW1yo/edit?usp=sharing"",""เพชรบูรณ์!J315"")"),0)</f>
        <v>0</v>
      </c>
      <c r="V25" s="301">
        <v>114</v>
      </c>
      <c r="W25" s="301">
        <v>38</v>
      </c>
      <c r="X25" s="220">
        <f ca="1">IFERROR(__xludf.DUMMYFUNCTION("IMPORTRANGE(""https://docs.google.com/spreadsheets/d/11923uPwbBZFjjGgGUA6NLw09EwE0CqkOc4q9oUmW1yo/edit?usp=sharing"",""เพชรบูรณ์!J317"")"),0)</f>
        <v>0</v>
      </c>
      <c r="Y25" s="221">
        <f t="shared" ca="1" si="5"/>
        <v>0</v>
      </c>
      <c r="Z25" s="220">
        <f ca="1">IFERROR(__xludf.DUMMYFUNCTION("IMPORTRANGE(""https://docs.google.com/spreadsheets/d/11923uPwbBZFjjGgGUA6NLw09EwE0CqkOc4q9oUmW1yo/edit?usp=sharing"",""เพชรบูรณ์!J316"")"),0)</f>
        <v>0</v>
      </c>
      <c r="AA25" s="221">
        <f t="shared" ca="1" si="6"/>
        <v>0</v>
      </c>
      <c r="AB25" s="220">
        <f ca="1">IFERROR(__xludf.DUMMYFUNCTION("IMPORTRANGE(""https://docs.google.com/spreadsheets/d/11923uPwbBZFjjGgGUA6NLw09EwE0CqkOc4q9oUmW1yo/edit?usp=sharing"",""เพชรบูรณ์!J318"")"),0)</f>
        <v>0</v>
      </c>
      <c r="AC25" s="220">
        <f ca="1">IFERROR(__xludf.DUMMYFUNCTION("IMPORTRANGE(""https://docs.google.com/spreadsheets/d/11923uPwbBZFjjGgGUA6NLw09EwE0CqkOc4q9oUmW1yo/edit?usp=sharing"",""เพชรบูรณ์!J319"")"),0)</f>
        <v>0</v>
      </c>
      <c r="AD25" s="220">
        <f ca="1">IFERROR(__xludf.DUMMYFUNCTION("IMPORTRANGE(""https://docs.google.com/spreadsheets/d/11923uPwbBZFjjGgGUA6NLw09EwE0CqkOc4q9oUmW1yo/edit?usp=sharing"",""เพชรบูรณ์!J320"")"),0)</f>
        <v>0</v>
      </c>
      <c r="AE25" s="301">
        <v>30</v>
      </c>
      <c r="AF25" s="301">
        <v>10</v>
      </c>
      <c r="AG25" s="220">
        <f ca="1">IFERROR(__xludf.DUMMYFUNCTION("IMPORTRANGE(""https://docs.google.com/spreadsheets/d/11923uPwbBZFjjGgGUA6NLw09EwE0CqkOc4q9oUmW1yo/edit?usp=sharing"",""เพชรบูรณ์!J322"")"),0)</f>
        <v>0</v>
      </c>
      <c r="AH25" s="221">
        <f t="shared" ca="1" si="8"/>
        <v>0</v>
      </c>
      <c r="AI25" s="220">
        <f ca="1">IFERROR(__xludf.DUMMYFUNCTION("IMPORTRANGE(""https://docs.google.com/spreadsheets/d/11923uPwbBZFjjGgGUA6NLw09EwE0CqkOc4q9oUmW1yo/edit?usp=sharing"",""เพชรบูรณ์!J321"")"),0)</f>
        <v>0</v>
      </c>
      <c r="AJ25" s="221">
        <f t="shared" ca="1" si="9"/>
        <v>0</v>
      </c>
      <c r="AK25" s="220">
        <f ca="1">IFERROR(__xludf.DUMMYFUNCTION("IMPORTRANGE(""https://docs.google.com/spreadsheets/d/11923uPwbBZFjjGgGUA6NLw09EwE0CqkOc4q9oUmW1yo/edit?usp=sharing"",""เพชรบูรณ์!J323"")"),0)</f>
        <v>0</v>
      </c>
      <c r="AL25" s="220">
        <f ca="1">IFERROR(__xludf.DUMMYFUNCTION("IMPORTRANGE(""https://docs.google.com/spreadsheets/d/11923uPwbBZFjjGgGUA6NLw09EwE0CqkOc4q9oUmW1yo/edit?usp=sharing"",""เพชรบูรณ์!J324"")"),0)</f>
        <v>0</v>
      </c>
      <c r="AM25" s="220">
        <f t="shared" si="21"/>
        <v>63</v>
      </c>
      <c r="AN25" s="220">
        <f t="shared" ca="1" si="22"/>
        <v>0</v>
      </c>
      <c r="AO25" s="221">
        <f t="shared" ca="1" si="10"/>
        <v>0</v>
      </c>
      <c r="AP25" s="301">
        <v>25</v>
      </c>
      <c r="AQ25" s="220">
        <f ca="1">IFERROR(__xludf.DUMMYFUNCTION("IMPORTRANGE(""https://docs.google.com/spreadsheets/d/11923uPwbBZFjjGgGUA6NLw09EwE0CqkOc4q9oUmW1yo/edit?usp=sharing"",""เพชรบูรณ์!J326"")"),0)</f>
        <v>0</v>
      </c>
      <c r="AR25" s="301">
        <v>38</v>
      </c>
      <c r="AS25" s="313">
        <f ca="1">IFERROR(__xludf.DUMMYFUNCTION("IMPORTRANGE(""https://docs.google.com/spreadsheets/d/11923uPwbBZFjjGgGUA6NLw09EwE0CqkOc4q9oUmW1yo/edit?usp=sharing"",""เพชรบูรณ์!J327"")"),0)</f>
        <v>0</v>
      </c>
    </row>
    <row r="26" spans="1:45" ht="24" customHeight="1" x14ac:dyDescent="0.5">
      <c r="A26" s="216">
        <v>11</v>
      </c>
      <c r="B26" s="194" t="s">
        <v>41</v>
      </c>
      <c r="C26" s="312">
        <f t="shared" si="16"/>
        <v>135020</v>
      </c>
      <c r="D26" s="218">
        <v>0</v>
      </c>
      <c r="E26" s="218">
        <v>135020</v>
      </c>
      <c r="F26" s="219">
        <f ca="1">IFERROR(__xludf.DUMMYFUNCTION("IMPORTRANGE(""https://docs.google.com/spreadsheets/d/11923uPwbBZFjjGgGUA6NLw09EwE0CqkOc4q9oUmW1yo/edit?usp=sharing"",""แพร่!M299"")"),0)</f>
        <v>0</v>
      </c>
      <c r="G26" s="219">
        <f t="shared" ca="1" si="0"/>
        <v>0</v>
      </c>
      <c r="H26" s="220">
        <f t="shared" si="17"/>
        <v>120</v>
      </c>
      <c r="I26" s="220">
        <f t="shared" si="18"/>
        <v>40</v>
      </c>
      <c r="J26" s="220">
        <f t="shared" ca="1" si="19"/>
        <v>0</v>
      </c>
      <c r="K26" s="221">
        <f t="shared" ca="1" si="1"/>
        <v>0</v>
      </c>
      <c r="L26" s="220">
        <f t="shared" ca="1" si="20"/>
        <v>0</v>
      </c>
      <c r="M26" s="221">
        <f t="shared" ca="1" si="2"/>
        <v>0</v>
      </c>
      <c r="N26" s="301">
        <v>30</v>
      </c>
      <c r="O26" s="301">
        <v>10</v>
      </c>
      <c r="P26" s="220">
        <f ca="1">IFERROR(__xludf.DUMMYFUNCTION("IMPORTRANGE(""https://docs.google.com/spreadsheets/d/11923uPwbBZFjjGgGUA6NLw09EwE0CqkOc4q9oUmW1yo/edit?usp=sharing"",""แพร่!J313"")"),0)</f>
        <v>0</v>
      </c>
      <c r="Q26" s="221">
        <f t="shared" ca="1" si="3"/>
        <v>0</v>
      </c>
      <c r="R26" s="220">
        <f ca="1">IFERROR(__xludf.DUMMYFUNCTION("IMPORTRANGE(""https://docs.google.com/spreadsheets/d/11923uPwbBZFjjGgGUA6NLw09EwE0CqkOc4q9oUmW1yo/edit?usp=sharing"",""แพร่!J312"")"),0)</f>
        <v>0</v>
      </c>
      <c r="S26" s="221">
        <f t="shared" ca="1" si="4"/>
        <v>0</v>
      </c>
      <c r="T26" s="221">
        <f ca="1">IFERROR(__xludf.DUMMYFUNCTION("IMPORTRANGE(""https://docs.google.com/spreadsheets/d/11923uPwbBZFjjGgGUA6NLw09EwE0CqkOc4q9oUmW1yo/edit?usp=sharing"",""แพร่!J314"")"),0)</f>
        <v>0</v>
      </c>
      <c r="U26" s="221">
        <f ca="1">IFERROR(__xludf.DUMMYFUNCTION("IMPORTRANGE(""https://docs.google.com/spreadsheets/d/11923uPwbBZFjjGgGUA6NLw09EwE0CqkOc4q9oUmW1yo/edit?usp=sharing"",""แพร่!J315"")"),0)</f>
        <v>0</v>
      </c>
      <c r="V26" s="301">
        <v>42</v>
      </c>
      <c r="W26" s="301">
        <v>14</v>
      </c>
      <c r="X26" s="220">
        <f ca="1">IFERROR(__xludf.DUMMYFUNCTION("IMPORTRANGE(""https://docs.google.com/spreadsheets/d/11923uPwbBZFjjGgGUA6NLw09EwE0CqkOc4q9oUmW1yo/edit?usp=sharing"",""แพร่!J317"")"),0)</f>
        <v>0</v>
      </c>
      <c r="Y26" s="221">
        <f t="shared" ca="1" si="5"/>
        <v>0</v>
      </c>
      <c r="Z26" s="220">
        <f ca="1">IFERROR(__xludf.DUMMYFUNCTION("IMPORTRANGE(""https://docs.google.com/spreadsheets/d/11923uPwbBZFjjGgGUA6NLw09EwE0CqkOc4q9oUmW1yo/edit?usp=sharing"",""แพร่!J316"")"),0)</f>
        <v>0</v>
      </c>
      <c r="AA26" s="221">
        <f t="shared" ca="1" si="6"/>
        <v>0</v>
      </c>
      <c r="AB26" s="220">
        <f ca="1">IFERROR(__xludf.DUMMYFUNCTION("IMPORTRANGE(""https://docs.google.com/spreadsheets/d/11923uPwbBZFjjGgGUA6NLw09EwE0CqkOc4q9oUmW1yo/edit?usp=sharing"",""แพร่!J318"")"),0)</f>
        <v>0</v>
      </c>
      <c r="AC26" s="220">
        <f ca="1">IFERROR(__xludf.DUMMYFUNCTION("IMPORTRANGE(""https://docs.google.com/spreadsheets/d/11923uPwbBZFjjGgGUA6NLw09EwE0CqkOc4q9oUmW1yo/edit?usp=sharing"",""แพร่!J319"")"),0)</f>
        <v>0</v>
      </c>
      <c r="AD26" s="220">
        <f ca="1">IFERROR(__xludf.DUMMYFUNCTION("IMPORTRANGE(""https://docs.google.com/spreadsheets/d/11923uPwbBZFjjGgGUA6NLw09EwE0CqkOc4q9oUmW1yo/edit?usp=sharing"",""แพร่!J320"")"),0)</f>
        <v>0</v>
      </c>
      <c r="AE26" s="301">
        <v>48</v>
      </c>
      <c r="AF26" s="301">
        <v>16</v>
      </c>
      <c r="AG26" s="220">
        <f ca="1">IFERROR(__xludf.DUMMYFUNCTION("IMPORTRANGE(""https://docs.google.com/spreadsheets/d/11923uPwbBZFjjGgGUA6NLw09EwE0CqkOc4q9oUmW1yo/edit?usp=sharing"",""แพร่!J322"")"),0)</f>
        <v>0</v>
      </c>
      <c r="AH26" s="221">
        <f t="shared" ca="1" si="8"/>
        <v>0</v>
      </c>
      <c r="AI26" s="220">
        <f ca="1">IFERROR(__xludf.DUMMYFUNCTION("IMPORTRANGE(""https://docs.google.com/spreadsheets/d/11923uPwbBZFjjGgGUA6NLw09EwE0CqkOc4q9oUmW1yo/edit?usp=sharing"",""แพร่!J321"")"),0)</f>
        <v>0</v>
      </c>
      <c r="AJ26" s="221">
        <f t="shared" ca="1" si="9"/>
        <v>0</v>
      </c>
      <c r="AK26" s="220">
        <f ca="1">IFERROR(__xludf.DUMMYFUNCTION("IMPORTRANGE(""https://docs.google.com/spreadsheets/d/11923uPwbBZFjjGgGUA6NLw09EwE0CqkOc4q9oUmW1yo/edit?usp=sharing"",""แพร่!J323"")"),0)</f>
        <v>0</v>
      </c>
      <c r="AL26" s="220">
        <f ca="1">IFERROR(__xludf.DUMMYFUNCTION("IMPORTRANGE(""https://docs.google.com/spreadsheets/d/11923uPwbBZFjjGgGUA6NLw09EwE0CqkOc4q9oUmW1yo/edit?usp=sharing"",""แพร่!J324"")"),0)</f>
        <v>0</v>
      </c>
      <c r="AM26" s="220">
        <f t="shared" si="21"/>
        <v>24</v>
      </c>
      <c r="AN26" s="220">
        <f t="shared" ca="1" si="22"/>
        <v>0</v>
      </c>
      <c r="AO26" s="221">
        <f t="shared" ca="1" si="10"/>
        <v>0</v>
      </c>
      <c r="AP26" s="301">
        <v>10</v>
      </c>
      <c r="AQ26" s="220">
        <f ca="1">IFERROR(__xludf.DUMMYFUNCTION("IMPORTRANGE(""https://docs.google.com/spreadsheets/d/11923uPwbBZFjjGgGUA6NLw09EwE0CqkOc4q9oUmW1yo/edit?usp=sharing"",""แพร่!J326"")"),0)</f>
        <v>0</v>
      </c>
      <c r="AR26" s="301">
        <v>14</v>
      </c>
      <c r="AS26" s="313">
        <f ca="1">IFERROR(__xludf.DUMMYFUNCTION("IMPORTRANGE(""https://docs.google.com/spreadsheets/d/11923uPwbBZFjjGgGUA6NLw09EwE0CqkOc4q9oUmW1yo/edit?usp=sharing"",""แพร่!J327"")"),0)</f>
        <v>0</v>
      </c>
    </row>
    <row r="27" spans="1:45" ht="24" customHeight="1" x14ac:dyDescent="0.5">
      <c r="A27" s="216">
        <v>12</v>
      </c>
      <c r="B27" s="194" t="s">
        <v>42</v>
      </c>
      <c r="C27" s="312">
        <f t="shared" si="16"/>
        <v>104590</v>
      </c>
      <c r="D27" s="218">
        <v>0</v>
      </c>
      <c r="E27" s="218">
        <v>104590</v>
      </c>
      <c r="F27" s="219">
        <f ca="1">IFERROR(__xludf.DUMMYFUNCTION("IMPORTRANGE(""https://docs.google.com/spreadsheets/d/11923uPwbBZFjjGgGUA6NLw09EwE0CqkOc4q9oUmW1yo/edit?usp=sharing"",""แม่ฮ่องสอน!M299"")"),0)</f>
        <v>0</v>
      </c>
      <c r="G27" s="219">
        <f t="shared" ca="1" si="0"/>
        <v>0</v>
      </c>
      <c r="H27" s="220">
        <f t="shared" si="17"/>
        <v>93</v>
      </c>
      <c r="I27" s="220">
        <f t="shared" si="18"/>
        <v>31</v>
      </c>
      <c r="J27" s="220">
        <f t="shared" ca="1" si="19"/>
        <v>0</v>
      </c>
      <c r="K27" s="221">
        <f t="shared" ca="1" si="1"/>
        <v>0</v>
      </c>
      <c r="L27" s="220">
        <f t="shared" ca="1" si="20"/>
        <v>0</v>
      </c>
      <c r="M27" s="221">
        <f t="shared" ca="1" si="2"/>
        <v>0</v>
      </c>
      <c r="N27" s="301">
        <v>0</v>
      </c>
      <c r="O27" s="301">
        <v>0</v>
      </c>
      <c r="P27" s="220">
        <f ca="1">IFERROR(__xludf.DUMMYFUNCTION("IMPORTRANGE(""https://docs.google.com/spreadsheets/d/11923uPwbBZFjjGgGUA6NLw09EwE0CqkOc4q9oUmW1yo/edit?usp=sharing"",""แม่ฮ่องสอน!J313"")"),0)</f>
        <v>0</v>
      </c>
      <c r="Q27" s="221">
        <f t="shared" si="3"/>
        <v>0</v>
      </c>
      <c r="R27" s="220">
        <f ca="1">IFERROR(__xludf.DUMMYFUNCTION("IMPORTRANGE(""https://docs.google.com/spreadsheets/d/11923uPwbBZFjjGgGUA6NLw09EwE0CqkOc4q9oUmW1yo/edit?usp=sharing"",""แม่ฮ่องสอน!J312"")"),0)</f>
        <v>0</v>
      </c>
      <c r="S27" s="221">
        <f t="shared" si="4"/>
        <v>0</v>
      </c>
      <c r="T27" s="221">
        <f ca="1">IFERROR(__xludf.DUMMYFUNCTION("IMPORTRANGE(""https://docs.google.com/spreadsheets/d/11923uPwbBZFjjGgGUA6NLw09EwE0CqkOc4q9oUmW1yo/edit?usp=sharing"",""แม่ฮ่องสอน!J314"")"),0)</f>
        <v>0</v>
      </c>
      <c r="U27" s="221">
        <f ca="1">IFERROR(__xludf.DUMMYFUNCTION("IMPORTRANGE(""https://docs.google.com/spreadsheets/d/11923uPwbBZFjjGgGUA6NLw09EwE0CqkOc4q9oUmW1yo/edit?usp=sharing"",""แม่ฮ่องสอน!J315"")"),0)</f>
        <v>0</v>
      </c>
      <c r="V27" s="301">
        <v>63</v>
      </c>
      <c r="W27" s="301">
        <v>21</v>
      </c>
      <c r="X27" s="220">
        <f ca="1">IFERROR(__xludf.DUMMYFUNCTION("IMPORTRANGE(""https://docs.google.com/spreadsheets/d/11923uPwbBZFjjGgGUA6NLw09EwE0CqkOc4q9oUmW1yo/edit?usp=sharing"",""แม่ฮ่องสอน!J317"")"),0)</f>
        <v>0</v>
      </c>
      <c r="Y27" s="221">
        <f t="shared" ca="1" si="5"/>
        <v>0</v>
      </c>
      <c r="Z27" s="220">
        <f ca="1">IFERROR(__xludf.DUMMYFUNCTION("IMPORTRANGE(""https://docs.google.com/spreadsheets/d/11923uPwbBZFjjGgGUA6NLw09EwE0CqkOc4q9oUmW1yo/edit?usp=sharing"",""แม่ฮ่องสอน!J316"")"),0)</f>
        <v>0</v>
      </c>
      <c r="AA27" s="221">
        <f t="shared" ca="1" si="6"/>
        <v>0</v>
      </c>
      <c r="AB27" s="220">
        <f ca="1">IFERROR(__xludf.DUMMYFUNCTION("IMPORTRANGE(""https://docs.google.com/spreadsheets/d/11923uPwbBZFjjGgGUA6NLw09EwE0CqkOc4q9oUmW1yo/edit?usp=sharing"",""แม่ฮ่องสอน!J318"")"),0)</f>
        <v>0</v>
      </c>
      <c r="AC27" s="220">
        <f ca="1">IFERROR(__xludf.DUMMYFUNCTION("IMPORTRANGE(""https://docs.google.com/spreadsheets/d/11923uPwbBZFjjGgGUA6NLw09EwE0CqkOc4q9oUmW1yo/edit?usp=sharing"",""แม่ฮ่องสอน!J319"")"),0)</f>
        <v>0</v>
      </c>
      <c r="AD27" s="220">
        <f ca="1">IFERROR(__xludf.DUMMYFUNCTION("IMPORTRANGE(""https://docs.google.com/spreadsheets/d/11923uPwbBZFjjGgGUA6NLw09EwE0CqkOc4q9oUmW1yo/edit?usp=sharing"",""แม่ฮ่องสอน!J320"")"),0)</f>
        <v>0</v>
      </c>
      <c r="AE27" s="301">
        <v>30</v>
      </c>
      <c r="AF27" s="301">
        <v>10</v>
      </c>
      <c r="AG27" s="220">
        <f ca="1">IFERROR(__xludf.DUMMYFUNCTION("IMPORTRANGE(""https://docs.google.com/spreadsheets/d/11923uPwbBZFjjGgGUA6NLw09EwE0CqkOc4q9oUmW1yo/edit?usp=sharing"",""แม่ฮ่องสอน!J322"")"),0)</f>
        <v>0</v>
      </c>
      <c r="AH27" s="221">
        <f t="shared" ca="1" si="8"/>
        <v>0</v>
      </c>
      <c r="AI27" s="220">
        <f ca="1">IFERROR(__xludf.DUMMYFUNCTION("IMPORTRANGE(""https://docs.google.com/spreadsheets/d/11923uPwbBZFjjGgGUA6NLw09EwE0CqkOc4q9oUmW1yo/edit?usp=sharing"",""แม่ฮ่องสอน!J321"")"),0)</f>
        <v>0</v>
      </c>
      <c r="AJ27" s="221">
        <f t="shared" ca="1" si="9"/>
        <v>0</v>
      </c>
      <c r="AK27" s="220">
        <f ca="1">IFERROR(__xludf.DUMMYFUNCTION("IMPORTRANGE(""https://docs.google.com/spreadsheets/d/11923uPwbBZFjjGgGUA6NLw09EwE0CqkOc4q9oUmW1yo/edit?usp=sharing"",""แม่ฮ่องสอน!J323"")"),0)</f>
        <v>0</v>
      </c>
      <c r="AL27" s="220">
        <f ca="1">IFERROR(__xludf.DUMMYFUNCTION("IMPORTRANGE(""https://docs.google.com/spreadsheets/d/11923uPwbBZFjjGgGUA6NLw09EwE0CqkOc4q9oUmW1yo/edit?usp=sharing"",""แม่ฮ่องสอน!J324"")"),0)</f>
        <v>0</v>
      </c>
      <c r="AM27" s="220">
        <f t="shared" si="21"/>
        <v>21</v>
      </c>
      <c r="AN27" s="220">
        <f t="shared" ca="1" si="22"/>
        <v>0</v>
      </c>
      <c r="AO27" s="221">
        <f t="shared" ca="1" si="10"/>
        <v>0</v>
      </c>
      <c r="AP27" s="301">
        <v>0</v>
      </c>
      <c r="AQ27" s="220">
        <f ca="1">IFERROR(__xludf.DUMMYFUNCTION("IMPORTRANGE(""https://docs.google.com/spreadsheets/d/11923uPwbBZFjjGgGUA6NLw09EwE0CqkOc4q9oUmW1yo/edit?usp=sharing"",""แม่ฮ่องสอน!J326"")"),0)</f>
        <v>0</v>
      </c>
      <c r="AR27" s="301">
        <v>21</v>
      </c>
      <c r="AS27" s="313">
        <f ca="1">IFERROR(__xludf.DUMMYFUNCTION("IMPORTRANGE(""https://docs.google.com/spreadsheets/d/11923uPwbBZFjjGgGUA6NLw09EwE0CqkOc4q9oUmW1yo/edit?usp=sharing"",""แม่ฮ่องสอน!J327"")"),0)</f>
        <v>0</v>
      </c>
    </row>
    <row r="28" spans="1:45" ht="24" customHeight="1" x14ac:dyDescent="0.5">
      <c r="A28" s="216">
        <v>13</v>
      </c>
      <c r="B28" s="194" t="s">
        <v>43</v>
      </c>
      <c r="C28" s="312">
        <f t="shared" si="16"/>
        <v>144560</v>
      </c>
      <c r="D28" s="218">
        <v>0</v>
      </c>
      <c r="E28" s="218">
        <v>144560</v>
      </c>
      <c r="F28" s="219">
        <f ca="1">IFERROR(__xludf.DUMMYFUNCTION("IMPORTRANGE(""https://docs.google.com/spreadsheets/d/11923uPwbBZFjjGgGUA6NLw09EwE0CqkOc4q9oUmW1yo/edit?usp=sharing"",""ลำปาง!M299"")"),0)</f>
        <v>0</v>
      </c>
      <c r="G28" s="219">
        <f t="shared" ca="1" si="0"/>
        <v>0</v>
      </c>
      <c r="H28" s="220">
        <f t="shared" si="17"/>
        <v>120</v>
      </c>
      <c r="I28" s="220">
        <f t="shared" si="18"/>
        <v>40</v>
      </c>
      <c r="J28" s="220">
        <f t="shared" ca="1" si="19"/>
        <v>0</v>
      </c>
      <c r="K28" s="221">
        <f t="shared" ca="1" si="1"/>
        <v>0</v>
      </c>
      <c r="L28" s="220">
        <f t="shared" ca="1" si="20"/>
        <v>0</v>
      </c>
      <c r="M28" s="221">
        <f t="shared" ca="1" si="2"/>
        <v>0</v>
      </c>
      <c r="N28" s="301">
        <v>30</v>
      </c>
      <c r="O28" s="301">
        <v>10</v>
      </c>
      <c r="P28" s="220">
        <f ca="1">IFERROR(__xludf.DUMMYFUNCTION("IMPORTRANGE(""https://docs.google.com/spreadsheets/d/11923uPwbBZFjjGgGUA6NLw09EwE0CqkOc4q9oUmW1yo/edit?usp=sharing"",""ลำปาง!J313"")"),0)</f>
        <v>0</v>
      </c>
      <c r="Q28" s="221">
        <f t="shared" ca="1" si="3"/>
        <v>0</v>
      </c>
      <c r="R28" s="220">
        <f ca="1">IFERROR(__xludf.DUMMYFUNCTION("IMPORTRANGE(""https://docs.google.com/spreadsheets/d/11923uPwbBZFjjGgGUA6NLw09EwE0CqkOc4q9oUmW1yo/edit?usp=sharing"",""ลำปาง!J312"")"),0)</f>
        <v>0</v>
      </c>
      <c r="S28" s="221">
        <f t="shared" ca="1" si="4"/>
        <v>0</v>
      </c>
      <c r="T28" s="221">
        <f ca="1">IFERROR(__xludf.DUMMYFUNCTION("IMPORTRANGE(""https://docs.google.com/spreadsheets/d/11923uPwbBZFjjGgGUA6NLw09EwE0CqkOc4q9oUmW1yo/edit?usp=sharing"",""ลำปาง!J314"")"),0)</f>
        <v>0</v>
      </c>
      <c r="U28" s="221">
        <f ca="1">IFERROR(__xludf.DUMMYFUNCTION("IMPORTRANGE(""https://docs.google.com/spreadsheets/d/11923uPwbBZFjjGgGUA6NLw09EwE0CqkOc4q9oUmW1yo/edit?usp=sharing"",""ลำปาง!J315"")"),0)</f>
        <v>0</v>
      </c>
      <c r="V28" s="301">
        <v>60</v>
      </c>
      <c r="W28" s="301">
        <v>20</v>
      </c>
      <c r="X28" s="220">
        <f ca="1">IFERROR(__xludf.DUMMYFUNCTION("IMPORTRANGE(""https://docs.google.com/spreadsheets/d/11923uPwbBZFjjGgGUA6NLw09EwE0CqkOc4q9oUmW1yo/edit?usp=sharing"",""ลำปาง!J317"")"),0)</f>
        <v>0</v>
      </c>
      <c r="Y28" s="221">
        <f t="shared" ca="1" si="5"/>
        <v>0</v>
      </c>
      <c r="Z28" s="220">
        <f ca="1">IFERROR(__xludf.DUMMYFUNCTION("IMPORTRANGE(""https://docs.google.com/spreadsheets/d/11923uPwbBZFjjGgGUA6NLw09EwE0CqkOc4q9oUmW1yo/edit?usp=sharing"",""ลำปาง!J316"")"),0)</f>
        <v>0</v>
      </c>
      <c r="AA28" s="221">
        <f t="shared" ca="1" si="6"/>
        <v>0</v>
      </c>
      <c r="AB28" s="220">
        <f ca="1">IFERROR(__xludf.DUMMYFUNCTION("IMPORTRANGE(""https://docs.google.com/spreadsheets/d/11923uPwbBZFjjGgGUA6NLw09EwE0CqkOc4q9oUmW1yo/edit?usp=sharing"",""ลำปาง!J318"")"),0)</f>
        <v>0</v>
      </c>
      <c r="AC28" s="220">
        <f ca="1">IFERROR(__xludf.DUMMYFUNCTION("IMPORTRANGE(""https://docs.google.com/spreadsheets/d/11923uPwbBZFjjGgGUA6NLw09EwE0CqkOc4q9oUmW1yo/edit?usp=sharing"",""ลำปาง!J319"")"),0)</f>
        <v>0</v>
      </c>
      <c r="AD28" s="220">
        <f ca="1">IFERROR(__xludf.DUMMYFUNCTION("IMPORTRANGE(""https://docs.google.com/spreadsheets/d/11923uPwbBZFjjGgGUA6NLw09EwE0CqkOc4q9oUmW1yo/edit?usp=sharing"",""ลำปาง!J320"")"),0)</f>
        <v>0</v>
      </c>
      <c r="AE28" s="301">
        <v>30</v>
      </c>
      <c r="AF28" s="301">
        <v>10</v>
      </c>
      <c r="AG28" s="220">
        <f ca="1">IFERROR(__xludf.DUMMYFUNCTION("IMPORTRANGE(""https://docs.google.com/spreadsheets/d/11923uPwbBZFjjGgGUA6NLw09EwE0CqkOc4q9oUmW1yo/edit?usp=sharing"",""ลำปาง!J322"")"),0)</f>
        <v>0</v>
      </c>
      <c r="AH28" s="221">
        <f t="shared" ca="1" si="8"/>
        <v>0</v>
      </c>
      <c r="AI28" s="220">
        <f ca="1">IFERROR(__xludf.DUMMYFUNCTION("IMPORTRANGE(""https://docs.google.com/spreadsheets/d/11923uPwbBZFjjGgGUA6NLw09EwE0CqkOc4q9oUmW1yo/edit?usp=sharing"",""ลำปาง!J321"")"),0)</f>
        <v>0</v>
      </c>
      <c r="AJ28" s="221">
        <f t="shared" ca="1" si="9"/>
        <v>0</v>
      </c>
      <c r="AK28" s="220">
        <f ca="1">IFERROR(__xludf.DUMMYFUNCTION("IMPORTRANGE(""https://docs.google.com/spreadsheets/d/11923uPwbBZFjjGgGUA6NLw09EwE0CqkOc4q9oUmW1yo/edit?usp=sharing"",""ลำปาง!J323"")"),0)</f>
        <v>0</v>
      </c>
      <c r="AL28" s="220">
        <f ca="1">IFERROR(__xludf.DUMMYFUNCTION("IMPORTRANGE(""https://docs.google.com/spreadsheets/d/11923uPwbBZFjjGgGUA6NLw09EwE0CqkOc4q9oUmW1yo/edit?usp=sharing"",""ลำปาง!J324"")"),0)</f>
        <v>0</v>
      </c>
      <c r="AM28" s="220">
        <f t="shared" si="21"/>
        <v>30</v>
      </c>
      <c r="AN28" s="220">
        <f t="shared" ca="1" si="22"/>
        <v>0</v>
      </c>
      <c r="AO28" s="221">
        <f t="shared" ca="1" si="10"/>
        <v>0</v>
      </c>
      <c r="AP28" s="301">
        <v>10</v>
      </c>
      <c r="AQ28" s="220">
        <f ca="1">IFERROR(__xludf.DUMMYFUNCTION("IMPORTRANGE(""https://docs.google.com/spreadsheets/d/11923uPwbBZFjjGgGUA6NLw09EwE0CqkOc4q9oUmW1yo/edit?usp=sharing"",""ลำปาง!J326"")"),0)</f>
        <v>0</v>
      </c>
      <c r="AR28" s="301">
        <v>20</v>
      </c>
      <c r="AS28" s="313">
        <f ca="1">IFERROR(__xludf.DUMMYFUNCTION("IMPORTRANGE(""https://docs.google.com/spreadsheets/d/11923uPwbBZFjjGgGUA6NLw09EwE0CqkOc4q9oUmW1yo/edit?usp=sharing"",""ลำปาง!J327"")"),0)</f>
        <v>0</v>
      </c>
    </row>
    <row r="29" spans="1:45" ht="24" customHeight="1" x14ac:dyDescent="0.5">
      <c r="A29" s="216">
        <v>14</v>
      </c>
      <c r="B29" s="194" t="s">
        <v>44</v>
      </c>
      <c r="C29" s="312">
        <f t="shared" si="16"/>
        <v>188190</v>
      </c>
      <c r="D29" s="218">
        <v>0</v>
      </c>
      <c r="E29" s="218">
        <v>188190</v>
      </c>
      <c r="F29" s="219">
        <f ca="1">IFERROR(__xludf.DUMMYFUNCTION("IMPORTRANGE(""https://docs.google.com/spreadsheets/d/11923uPwbBZFjjGgGUA6NLw09EwE0CqkOc4q9oUmW1yo/edit?usp=sharing"",""ลำพูน!M299"")"),0)</f>
        <v>0</v>
      </c>
      <c r="G29" s="219">
        <f t="shared" ca="1" si="0"/>
        <v>0</v>
      </c>
      <c r="H29" s="220">
        <f t="shared" si="17"/>
        <v>165</v>
      </c>
      <c r="I29" s="220">
        <f t="shared" si="18"/>
        <v>55</v>
      </c>
      <c r="J29" s="220">
        <f t="shared" ca="1" si="19"/>
        <v>0</v>
      </c>
      <c r="K29" s="221">
        <f t="shared" ca="1" si="1"/>
        <v>0</v>
      </c>
      <c r="L29" s="220">
        <f t="shared" ca="1" si="20"/>
        <v>0</v>
      </c>
      <c r="M29" s="221">
        <f t="shared" ca="1" si="2"/>
        <v>0</v>
      </c>
      <c r="N29" s="301">
        <v>30</v>
      </c>
      <c r="O29" s="301">
        <v>10</v>
      </c>
      <c r="P29" s="220">
        <f ca="1">IFERROR(__xludf.DUMMYFUNCTION("IMPORTRANGE(""https://docs.google.com/spreadsheets/d/11923uPwbBZFjjGgGUA6NLw09EwE0CqkOc4q9oUmW1yo/edit?usp=sharing"",""ลำพูน!J313"")"),0)</f>
        <v>0</v>
      </c>
      <c r="Q29" s="221">
        <f t="shared" ca="1" si="3"/>
        <v>0</v>
      </c>
      <c r="R29" s="220">
        <f ca="1">IFERROR(__xludf.DUMMYFUNCTION("IMPORTRANGE(""https://docs.google.com/spreadsheets/d/11923uPwbBZFjjGgGUA6NLw09EwE0CqkOc4q9oUmW1yo/edit?usp=sharing"",""ลำพูน!J312"")"),0)</f>
        <v>0</v>
      </c>
      <c r="S29" s="221">
        <f t="shared" ca="1" si="4"/>
        <v>0</v>
      </c>
      <c r="T29" s="221">
        <f ca="1">IFERROR(__xludf.DUMMYFUNCTION("IMPORTRANGE(""https://docs.google.com/spreadsheets/d/11923uPwbBZFjjGgGUA6NLw09EwE0CqkOc4q9oUmW1yo/edit?usp=sharing"",""ลำพูน!J314"")"),0)</f>
        <v>0</v>
      </c>
      <c r="U29" s="221">
        <f ca="1">IFERROR(__xludf.DUMMYFUNCTION("IMPORTRANGE(""https://docs.google.com/spreadsheets/d/11923uPwbBZFjjGgGUA6NLw09EwE0CqkOc4q9oUmW1yo/edit?usp=sharing"",""ลำพูน!J315"")"),0)</f>
        <v>0</v>
      </c>
      <c r="V29" s="301">
        <v>105</v>
      </c>
      <c r="W29" s="301">
        <v>35</v>
      </c>
      <c r="X29" s="220">
        <f ca="1">IFERROR(__xludf.DUMMYFUNCTION("IMPORTRANGE(""https://docs.google.com/spreadsheets/d/11923uPwbBZFjjGgGUA6NLw09EwE0CqkOc4q9oUmW1yo/edit?usp=sharing"",""ลำพูน!J317"")"),0)</f>
        <v>0</v>
      </c>
      <c r="Y29" s="221">
        <f t="shared" ca="1" si="5"/>
        <v>0</v>
      </c>
      <c r="Z29" s="220">
        <f ca="1">IFERROR(__xludf.DUMMYFUNCTION("IMPORTRANGE(""https://docs.google.com/spreadsheets/d/11923uPwbBZFjjGgGUA6NLw09EwE0CqkOc4q9oUmW1yo/edit?usp=sharing"",""ลำพูน!J316"")"),0)</f>
        <v>0</v>
      </c>
      <c r="AA29" s="221">
        <f t="shared" ca="1" si="6"/>
        <v>0</v>
      </c>
      <c r="AB29" s="220">
        <f ca="1">IFERROR(__xludf.DUMMYFUNCTION("IMPORTRANGE(""https://docs.google.com/spreadsheets/d/11923uPwbBZFjjGgGUA6NLw09EwE0CqkOc4q9oUmW1yo/edit?usp=sharing"",""ลำพูน!J318"")"),0)</f>
        <v>0</v>
      </c>
      <c r="AC29" s="220">
        <f ca="1">IFERROR(__xludf.DUMMYFUNCTION("IMPORTRANGE(""https://docs.google.com/spreadsheets/d/11923uPwbBZFjjGgGUA6NLw09EwE0CqkOc4q9oUmW1yo/edit?usp=sharing"",""ลำพูน!J319"")"),0)</f>
        <v>0</v>
      </c>
      <c r="AD29" s="220">
        <f ca="1">IFERROR(__xludf.DUMMYFUNCTION("IMPORTRANGE(""https://docs.google.com/spreadsheets/d/11923uPwbBZFjjGgGUA6NLw09EwE0CqkOc4q9oUmW1yo/edit?usp=sharing"",""ลำพูน!J320"")"),0)</f>
        <v>0</v>
      </c>
      <c r="AE29" s="301">
        <v>30</v>
      </c>
      <c r="AF29" s="301">
        <v>10</v>
      </c>
      <c r="AG29" s="220">
        <f ca="1">IFERROR(__xludf.DUMMYFUNCTION("IMPORTRANGE(""https://docs.google.com/spreadsheets/d/11923uPwbBZFjjGgGUA6NLw09EwE0CqkOc4q9oUmW1yo/edit?usp=sharing"",""ลำพูน!J322"")"),0)</f>
        <v>0</v>
      </c>
      <c r="AH29" s="221">
        <f t="shared" ca="1" si="8"/>
        <v>0</v>
      </c>
      <c r="AI29" s="220">
        <f ca="1">IFERROR(__xludf.DUMMYFUNCTION("IMPORTRANGE(""https://docs.google.com/spreadsheets/d/11923uPwbBZFjjGgGUA6NLw09EwE0CqkOc4q9oUmW1yo/edit?usp=sharing"",""ลำพูน!J321"")"),0)</f>
        <v>0</v>
      </c>
      <c r="AJ29" s="221">
        <f t="shared" ca="1" si="9"/>
        <v>0</v>
      </c>
      <c r="AK29" s="220">
        <f ca="1">IFERROR(__xludf.DUMMYFUNCTION("IMPORTRANGE(""https://docs.google.com/spreadsheets/d/11923uPwbBZFjjGgGUA6NLw09EwE0CqkOc4q9oUmW1yo/edit?usp=sharing"",""ลำพูน!J323"")"),0)</f>
        <v>0</v>
      </c>
      <c r="AL29" s="220">
        <f ca="1">IFERROR(__xludf.DUMMYFUNCTION("IMPORTRANGE(""https://docs.google.com/spreadsheets/d/11923uPwbBZFjjGgGUA6NLw09EwE0CqkOc4q9oUmW1yo/edit?usp=sharing"",""ลำพูน!J324"")"),0)</f>
        <v>0</v>
      </c>
      <c r="AM29" s="220">
        <f t="shared" si="21"/>
        <v>45</v>
      </c>
      <c r="AN29" s="220">
        <f t="shared" ca="1" si="22"/>
        <v>0</v>
      </c>
      <c r="AO29" s="221">
        <f t="shared" ca="1" si="10"/>
        <v>0</v>
      </c>
      <c r="AP29" s="301">
        <v>10</v>
      </c>
      <c r="AQ29" s="220">
        <f ca="1">IFERROR(__xludf.DUMMYFUNCTION("IMPORTRANGE(""https://docs.google.com/spreadsheets/d/11923uPwbBZFjjGgGUA6NLw09EwE0CqkOc4q9oUmW1yo/edit?usp=sharing"",""ลำพูน!J326"")"),0)</f>
        <v>0</v>
      </c>
      <c r="AR29" s="301">
        <v>35</v>
      </c>
      <c r="AS29" s="313">
        <f ca="1">IFERROR(__xludf.DUMMYFUNCTION("IMPORTRANGE(""https://docs.google.com/spreadsheets/d/11923uPwbBZFjjGgGUA6NLw09EwE0CqkOc4q9oUmW1yo/edit?usp=sharing"",""ลำพูน!J327"")"),0)</f>
        <v>0</v>
      </c>
    </row>
    <row r="30" spans="1:45" ht="24" customHeight="1" x14ac:dyDescent="0.5">
      <c r="A30" s="216">
        <v>15</v>
      </c>
      <c r="B30" s="194" t="s">
        <v>45</v>
      </c>
      <c r="C30" s="312">
        <f t="shared" si="16"/>
        <v>300950</v>
      </c>
      <c r="D30" s="218">
        <v>0</v>
      </c>
      <c r="E30" s="218">
        <v>300950</v>
      </c>
      <c r="F30" s="219">
        <f ca="1">IFERROR(__xludf.DUMMYFUNCTION("IMPORTRANGE(""https://docs.google.com/spreadsheets/d/11923uPwbBZFjjGgGUA6NLw09EwE0CqkOc4q9oUmW1yo/edit?usp=sharing"",""สุโขทัย!M299"")"),0)</f>
        <v>0</v>
      </c>
      <c r="G30" s="219">
        <f t="shared" ca="1" si="0"/>
        <v>0</v>
      </c>
      <c r="H30" s="220">
        <f t="shared" si="17"/>
        <v>285</v>
      </c>
      <c r="I30" s="220">
        <f t="shared" si="18"/>
        <v>95</v>
      </c>
      <c r="J30" s="220">
        <f t="shared" ca="1" si="19"/>
        <v>0</v>
      </c>
      <c r="K30" s="221">
        <f t="shared" ca="1" si="1"/>
        <v>0</v>
      </c>
      <c r="L30" s="220">
        <f t="shared" ca="1" si="20"/>
        <v>10</v>
      </c>
      <c r="M30" s="221">
        <f t="shared" ca="1" si="2"/>
        <v>10.526315789473685</v>
      </c>
      <c r="N30" s="301">
        <v>30</v>
      </c>
      <c r="O30" s="301">
        <v>10</v>
      </c>
      <c r="P30" s="220">
        <f ca="1">IFERROR(__xludf.DUMMYFUNCTION("IMPORTRANGE(""https://docs.google.com/spreadsheets/d/11923uPwbBZFjjGgGUA6NLw09EwE0CqkOc4q9oUmW1yo/edit?usp=sharing"",""สุโขทัย!J313"")"),0)</f>
        <v>0</v>
      </c>
      <c r="Q30" s="221">
        <f t="shared" ca="1" si="3"/>
        <v>0</v>
      </c>
      <c r="R30" s="220">
        <f ca="1">IFERROR(__xludf.DUMMYFUNCTION("IMPORTRANGE(""https://docs.google.com/spreadsheets/d/11923uPwbBZFjjGgGUA6NLw09EwE0CqkOc4q9oUmW1yo/edit?usp=sharing"",""สุโขทัย!J312"")"),10)</f>
        <v>10</v>
      </c>
      <c r="S30" s="221">
        <f t="shared" ca="1" si="4"/>
        <v>100</v>
      </c>
      <c r="T30" s="221">
        <f ca="1">IFERROR(__xludf.DUMMYFUNCTION("IMPORTRANGE(""https://docs.google.com/spreadsheets/d/11923uPwbBZFjjGgGUA6NLw09EwE0CqkOc4q9oUmW1yo/edit?usp=sharing"",""สุโขทัย!J314"")"),10)</f>
        <v>10</v>
      </c>
      <c r="U30" s="221">
        <f ca="1">IFERROR(__xludf.DUMMYFUNCTION("IMPORTRANGE(""https://docs.google.com/spreadsheets/d/11923uPwbBZFjjGgGUA6NLw09EwE0CqkOc4q9oUmW1yo/edit?usp=sharing"",""สุโขทัย!J315"")"),10)</f>
        <v>10</v>
      </c>
      <c r="V30" s="301">
        <v>225</v>
      </c>
      <c r="W30" s="301">
        <v>75</v>
      </c>
      <c r="X30" s="220">
        <f ca="1">IFERROR(__xludf.DUMMYFUNCTION("IMPORTRANGE(""https://docs.google.com/spreadsheets/d/11923uPwbBZFjjGgGUA6NLw09EwE0CqkOc4q9oUmW1yo/edit?usp=sharing"",""สุโขทัย!J317"")"),0)</f>
        <v>0</v>
      </c>
      <c r="Y30" s="221">
        <f t="shared" ca="1" si="5"/>
        <v>0</v>
      </c>
      <c r="Z30" s="220">
        <f ca="1">IFERROR(__xludf.DUMMYFUNCTION("IMPORTRANGE(""https://docs.google.com/spreadsheets/d/11923uPwbBZFjjGgGUA6NLw09EwE0CqkOc4q9oUmW1yo/edit?usp=sharing"",""สุโขทัย!J316"")"),0)</f>
        <v>0</v>
      </c>
      <c r="AA30" s="221">
        <f t="shared" ca="1" si="6"/>
        <v>0</v>
      </c>
      <c r="AB30" s="220">
        <f ca="1">IFERROR(__xludf.DUMMYFUNCTION("IMPORTRANGE(""https://docs.google.com/spreadsheets/d/11923uPwbBZFjjGgGUA6NLw09EwE0CqkOc4q9oUmW1yo/edit?usp=sharing"",""สุโขทัย!J318"")"),0)</f>
        <v>0</v>
      </c>
      <c r="AC30" s="220">
        <f ca="1">IFERROR(__xludf.DUMMYFUNCTION("IMPORTRANGE(""https://docs.google.com/spreadsheets/d/11923uPwbBZFjjGgGUA6NLw09EwE0CqkOc4q9oUmW1yo/edit?usp=sharing"",""สุโขทัย!J319"")"),0)</f>
        <v>0</v>
      </c>
      <c r="AD30" s="220">
        <f ca="1">IFERROR(__xludf.DUMMYFUNCTION("IMPORTRANGE(""https://docs.google.com/spreadsheets/d/11923uPwbBZFjjGgGUA6NLw09EwE0CqkOc4q9oUmW1yo/edit?usp=sharing"",""สุโขทัย!J320"")"),0)</f>
        <v>0</v>
      </c>
      <c r="AE30" s="301">
        <v>30</v>
      </c>
      <c r="AF30" s="301">
        <v>10</v>
      </c>
      <c r="AG30" s="220">
        <f ca="1">IFERROR(__xludf.DUMMYFUNCTION("IMPORTRANGE(""https://docs.google.com/spreadsheets/d/11923uPwbBZFjjGgGUA6NLw09EwE0CqkOc4q9oUmW1yo/edit?usp=sharing"",""สุโขทัย!J322"")"),0)</f>
        <v>0</v>
      </c>
      <c r="AH30" s="221">
        <f t="shared" ca="1" si="8"/>
        <v>0</v>
      </c>
      <c r="AI30" s="220">
        <f ca="1">IFERROR(__xludf.DUMMYFUNCTION("IMPORTRANGE(""https://docs.google.com/spreadsheets/d/11923uPwbBZFjjGgGUA6NLw09EwE0CqkOc4q9oUmW1yo/edit?usp=sharing"",""สุโขทัย!J321"")"),0)</f>
        <v>0</v>
      </c>
      <c r="AJ30" s="221">
        <f t="shared" ca="1" si="9"/>
        <v>0</v>
      </c>
      <c r="AK30" s="220">
        <f ca="1">IFERROR(__xludf.DUMMYFUNCTION("IMPORTRANGE(""https://docs.google.com/spreadsheets/d/11923uPwbBZFjjGgGUA6NLw09EwE0CqkOc4q9oUmW1yo/edit?usp=sharing"",""สุโขทัย!J323"")"),0)</f>
        <v>0</v>
      </c>
      <c r="AL30" s="220">
        <f ca="1">IFERROR(__xludf.DUMMYFUNCTION("IMPORTRANGE(""https://docs.google.com/spreadsheets/d/11923uPwbBZFjjGgGUA6NLw09EwE0CqkOc4q9oUmW1yo/edit?usp=sharing"",""สุโขทัย!J324"")"),0)</f>
        <v>0</v>
      </c>
      <c r="AM30" s="220">
        <f t="shared" si="21"/>
        <v>85</v>
      </c>
      <c r="AN30" s="220">
        <f t="shared" ca="1" si="22"/>
        <v>0</v>
      </c>
      <c r="AO30" s="221">
        <f t="shared" ca="1" si="10"/>
        <v>0</v>
      </c>
      <c r="AP30" s="301">
        <v>10</v>
      </c>
      <c r="AQ30" s="220">
        <f ca="1">IFERROR(__xludf.DUMMYFUNCTION("IMPORTRANGE(""https://docs.google.com/spreadsheets/d/11923uPwbBZFjjGgGUA6NLw09EwE0CqkOc4q9oUmW1yo/edit?usp=sharing"",""สุโขทัย!J326"")"),0)</f>
        <v>0</v>
      </c>
      <c r="AR30" s="301">
        <v>75</v>
      </c>
      <c r="AS30" s="313">
        <f ca="1">IFERROR(__xludf.DUMMYFUNCTION("IMPORTRANGE(""https://docs.google.com/spreadsheets/d/11923uPwbBZFjjGgGUA6NLw09EwE0CqkOc4q9oUmW1yo/edit?usp=sharing"",""สุโขทัย!J327"")"),0)</f>
        <v>0</v>
      </c>
    </row>
    <row r="31" spans="1:45" ht="24" customHeight="1" x14ac:dyDescent="0.5">
      <c r="A31" s="216">
        <v>16</v>
      </c>
      <c r="B31" s="194" t="s">
        <v>46</v>
      </c>
      <c r="C31" s="312">
        <f t="shared" si="16"/>
        <v>159950</v>
      </c>
      <c r="D31" s="218">
        <v>0</v>
      </c>
      <c r="E31" s="218">
        <v>159950</v>
      </c>
      <c r="F31" s="219">
        <f ca="1">IFERROR(__xludf.DUMMYFUNCTION("IMPORTRANGE(""https://docs.google.com/spreadsheets/d/11923uPwbBZFjjGgGUA6NLw09EwE0CqkOc4q9oUmW1yo/edit?usp=sharing"",""อุตรดิตถ์!M299"")"),0)</f>
        <v>0</v>
      </c>
      <c r="G31" s="219">
        <f t="shared" ca="1" si="0"/>
        <v>0</v>
      </c>
      <c r="H31" s="220">
        <f t="shared" si="17"/>
        <v>135</v>
      </c>
      <c r="I31" s="220">
        <f t="shared" si="18"/>
        <v>45</v>
      </c>
      <c r="J31" s="220">
        <f t="shared" ca="1" si="19"/>
        <v>0</v>
      </c>
      <c r="K31" s="221">
        <f t="shared" ca="1" si="1"/>
        <v>0</v>
      </c>
      <c r="L31" s="220">
        <f t="shared" ca="1" si="20"/>
        <v>0</v>
      </c>
      <c r="M31" s="221">
        <f t="shared" ca="1" si="2"/>
        <v>0</v>
      </c>
      <c r="N31" s="301">
        <v>30</v>
      </c>
      <c r="O31" s="301">
        <v>10</v>
      </c>
      <c r="P31" s="220">
        <f ca="1">IFERROR(__xludf.DUMMYFUNCTION("IMPORTRANGE(""https://docs.google.com/spreadsheets/d/11923uPwbBZFjjGgGUA6NLw09EwE0CqkOc4q9oUmW1yo/edit?usp=sharing"",""อุตรดิตถ์!J313"")"),0)</f>
        <v>0</v>
      </c>
      <c r="Q31" s="221">
        <f t="shared" ca="1" si="3"/>
        <v>0</v>
      </c>
      <c r="R31" s="220">
        <f ca="1">IFERROR(__xludf.DUMMYFUNCTION("IMPORTRANGE(""https://docs.google.com/spreadsheets/d/11923uPwbBZFjjGgGUA6NLw09EwE0CqkOc4q9oUmW1yo/edit?usp=sharing"",""อุตรดิตถ์!J312"")"),0)</f>
        <v>0</v>
      </c>
      <c r="S31" s="221">
        <f t="shared" ca="1" si="4"/>
        <v>0</v>
      </c>
      <c r="T31" s="221">
        <f ca="1">IFERROR(__xludf.DUMMYFUNCTION("IMPORTRANGE(""https://docs.google.com/spreadsheets/d/11923uPwbBZFjjGgGUA6NLw09EwE0CqkOc4q9oUmW1yo/edit?usp=sharing"",""อุตรดิตถ์!J314"")"),0)</f>
        <v>0</v>
      </c>
      <c r="U31" s="221">
        <f ca="1">IFERROR(__xludf.DUMMYFUNCTION("IMPORTRANGE(""https://docs.google.com/spreadsheets/d/11923uPwbBZFjjGgGUA6NLw09EwE0CqkOc4q9oUmW1yo/edit?usp=sharing"",""อุตรดิตถ์!J315"")"),0)</f>
        <v>0</v>
      </c>
      <c r="V31" s="301">
        <v>75</v>
      </c>
      <c r="W31" s="301">
        <v>25</v>
      </c>
      <c r="X31" s="220">
        <f ca="1">IFERROR(__xludf.DUMMYFUNCTION("IMPORTRANGE(""https://docs.google.com/spreadsheets/d/11923uPwbBZFjjGgGUA6NLw09EwE0CqkOc4q9oUmW1yo/edit?usp=sharing"",""อุตรดิตถ์!J317"")"),0)</f>
        <v>0</v>
      </c>
      <c r="Y31" s="221">
        <f t="shared" ca="1" si="5"/>
        <v>0</v>
      </c>
      <c r="Z31" s="220">
        <f ca="1">IFERROR(__xludf.DUMMYFUNCTION("IMPORTRANGE(""https://docs.google.com/spreadsheets/d/11923uPwbBZFjjGgGUA6NLw09EwE0CqkOc4q9oUmW1yo/edit?usp=sharing"",""อุตรดิตถ์!J316"")"),0)</f>
        <v>0</v>
      </c>
      <c r="AA31" s="221">
        <f t="shared" ca="1" si="6"/>
        <v>0</v>
      </c>
      <c r="AB31" s="220">
        <f ca="1">IFERROR(__xludf.DUMMYFUNCTION("IMPORTRANGE(""https://docs.google.com/spreadsheets/d/11923uPwbBZFjjGgGUA6NLw09EwE0CqkOc4q9oUmW1yo/edit?usp=sharing"",""อุตรดิตถ์!J318"")"),0)</f>
        <v>0</v>
      </c>
      <c r="AC31" s="220">
        <f ca="1">IFERROR(__xludf.DUMMYFUNCTION("IMPORTRANGE(""https://docs.google.com/spreadsheets/d/11923uPwbBZFjjGgGUA6NLw09EwE0CqkOc4q9oUmW1yo/edit?usp=sharing"",""อุตรดิตถ์!J319"")"),0)</f>
        <v>0</v>
      </c>
      <c r="AD31" s="220">
        <f ca="1">IFERROR(__xludf.DUMMYFUNCTION("IMPORTRANGE(""https://docs.google.com/spreadsheets/d/11923uPwbBZFjjGgGUA6NLw09EwE0CqkOc4q9oUmW1yo/edit?usp=sharing"",""อุตรดิตถ์!J320"")"),0)</f>
        <v>0</v>
      </c>
      <c r="AE31" s="301">
        <v>30</v>
      </c>
      <c r="AF31" s="301">
        <v>10</v>
      </c>
      <c r="AG31" s="220">
        <f ca="1">IFERROR(__xludf.DUMMYFUNCTION("IMPORTRANGE(""https://docs.google.com/spreadsheets/d/11923uPwbBZFjjGgGUA6NLw09EwE0CqkOc4q9oUmW1yo/edit?usp=sharing"",""อุตรดิตถ์!J322"")"),0)</f>
        <v>0</v>
      </c>
      <c r="AH31" s="221">
        <f t="shared" ca="1" si="8"/>
        <v>0</v>
      </c>
      <c r="AI31" s="220">
        <f ca="1">IFERROR(__xludf.DUMMYFUNCTION("IMPORTRANGE(""https://docs.google.com/spreadsheets/d/11923uPwbBZFjjGgGUA6NLw09EwE0CqkOc4q9oUmW1yo/edit?usp=sharing"",""อุตรดิตถ์!J321"")"),0)</f>
        <v>0</v>
      </c>
      <c r="AJ31" s="221">
        <f t="shared" ca="1" si="9"/>
        <v>0</v>
      </c>
      <c r="AK31" s="220">
        <f ca="1">IFERROR(__xludf.DUMMYFUNCTION("IMPORTRANGE(""https://docs.google.com/spreadsheets/d/11923uPwbBZFjjGgGUA6NLw09EwE0CqkOc4q9oUmW1yo/edit?usp=sharing"",""อุตรดิตถ์!J323"")"),0)</f>
        <v>0</v>
      </c>
      <c r="AL31" s="220">
        <f ca="1">IFERROR(__xludf.DUMMYFUNCTION("IMPORTRANGE(""https://docs.google.com/spreadsheets/d/11923uPwbBZFjjGgGUA6NLw09EwE0CqkOc4q9oUmW1yo/edit?usp=sharing"",""อุตรดิตถ์!J324"")"),0)</f>
        <v>0</v>
      </c>
      <c r="AM31" s="220">
        <f t="shared" si="21"/>
        <v>35</v>
      </c>
      <c r="AN31" s="220">
        <f t="shared" ca="1" si="22"/>
        <v>0</v>
      </c>
      <c r="AO31" s="221">
        <f t="shared" ca="1" si="10"/>
        <v>0</v>
      </c>
      <c r="AP31" s="301">
        <v>10</v>
      </c>
      <c r="AQ31" s="220">
        <f ca="1">IFERROR(__xludf.DUMMYFUNCTION("IMPORTRANGE(""https://docs.google.com/spreadsheets/d/11923uPwbBZFjjGgGUA6NLw09EwE0CqkOc4q9oUmW1yo/edit?usp=sharing"",""อุตรดิตถ์!J326"")"),0)</f>
        <v>0</v>
      </c>
      <c r="AR31" s="301">
        <v>25</v>
      </c>
      <c r="AS31" s="313">
        <f ca="1">IFERROR(__xludf.DUMMYFUNCTION("IMPORTRANGE(""https://docs.google.com/spreadsheets/d/11923uPwbBZFjjGgGUA6NLw09EwE0CqkOc4q9oUmW1yo/edit?usp=sharing"",""อุตรดิตถ์!J327"")"),0)</f>
        <v>0</v>
      </c>
    </row>
    <row r="32" spans="1:45" ht="24" customHeight="1" x14ac:dyDescent="0.5">
      <c r="A32" s="222">
        <v>17</v>
      </c>
      <c r="B32" s="195" t="s">
        <v>47</v>
      </c>
      <c r="C32" s="314">
        <f t="shared" si="16"/>
        <v>177900</v>
      </c>
      <c r="D32" s="223">
        <v>0</v>
      </c>
      <c r="E32" s="223">
        <v>177900</v>
      </c>
      <c r="F32" s="224">
        <f ca="1">IFERROR(__xludf.DUMMYFUNCTION("IMPORTRANGE(""https://docs.google.com/spreadsheets/d/11923uPwbBZFjjGgGUA6NLw09EwE0CqkOc4q9oUmW1yo/edit?usp=sharing"",""อุทัยธานี!M299"")"),0)</f>
        <v>0</v>
      </c>
      <c r="G32" s="224">
        <f t="shared" ca="1" si="0"/>
        <v>0</v>
      </c>
      <c r="H32" s="225">
        <f t="shared" si="17"/>
        <v>150</v>
      </c>
      <c r="I32" s="225">
        <f t="shared" si="18"/>
        <v>50</v>
      </c>
      <c r="J32" s="225">
        <f t="shared" ca="1" si="19"/>
        <v>0</v>
      </c>
      <c r="K32" s="226">
        <f t="shared" ca="1" si="1"/>
        <v>0</v>
      </c>
      <c r="L32" s="225">
        <f t="shared" ca="1" si="20"/>
        <v>0</v>
      </c>
      <c r="M32" s="226">
        <f t="shared" ca="1" si="2"/>
        <v>0</v>
      </c>
      <c r="N32" s="302">
        <v>60</v>
      </c>
      <c r="O32" s="302">
        <v>20</v>
      </c>
      <c r="P32" s="225">
        <f ca="1">IFERROR(__xludf.DUMMYFUNCTION("IMPORTRANGE(""https://docs.google.com/spreadsheets/d/11923uPwbBZFjjGgGUA6NLw09EwE0CqkOc4q9oUmW1yo/edit?usp=sharing"",""อุทัยธานี!J313"")"),0)</f>
        <v>0</v>
      </c>
      <c r="Q32" s="226">
        <f t="shared" ca="1" si="3"/>
        <v>0</v>
      </c>
      <c r="R32" s="225">
        <f ca="1">IFERROR(__xludf.DUMMYFUNCTION("IMPORTRANGE(""https://docs.google.com/spreadsheets/d/11923uPwbBZFjjGgGUA6NLw09EwE0CqkOc4q9oUmW1yo/edit?usp=sharing"",""อุทัยธานี!J312"")"),0)</f>
        <v>0</v>
      </c>
      <c r="S32" s="226">
        <f t="shared" ca="1" si="4"/>
        <v>0</v>
      </c>
      <c r="T32" s="226">
        <f ca="1">IFERROR(__xludf.DUMMYFUNCTION("IMPORTRANGE(""https://docs.google.com/spreadsheets/d/11923uPwbBZFjjGgGUA6NLw09EwE0CqkOc4q9oUmW1yo/edit?usp=sharing"",""อุทัยธานี!J314"")"),0)</f>
        <v>0</v>
      </c>
      <c r="U32" s="226">
        <f ca="1">IFERROR(__xludf.DUMMYFUNCTION("IMPORTRANGE(""https://docs.google.com/spreadsheets/d/11923uPwbBZFjjGgGUA6NLw09EwE0CqkOc4q9oUmW1yo/edit?usp=sharing"",""อุทัยธานี!J315"")"),0)</f>
        <v>0</v>
      </c>
      <c r="V32" s="302">
        <v>60</v>
      </c>
      <c r="W32" s="302">
        <v>20</v>
      </c>
      <c r="X32" s="225">
        <f ca="1">IFERROR(__xludf.DUMMYFUNCTION("IMPORTRANGE(""https://docs.google.com/spreadsheets/d/11923uPwbBZFjjGgGUA6NLw09EwE0CqkOc4q9oUmW1yo/edit?usp=sharing"",""อุทัยธานี!J317"")"),0)</f>
        <v>0</v>
      </c>
      <c r="Y32" s="226">
        <f t="shared" ca="1" si="5"/>
        <v>0</v>
      </c>
      <c r="Z32" s="225">
        <f ca="1">IFERROR(__xludf.DUMMYFUNCTION("IMPORTRANGE(""https://docs.google.com/spreadsheets/d/11923uPwbBZFjjGgGUA6NLw09EwE0CqkOc4q9oUmW1yo/edit?usp=sharing"",""อุทัยธานี!J316"")"),0)</f>
        <v>0</v>
      </c>
      <c r="AA32" s="226">
        <f t="shared" ca="1" si="6"/>
        <v>0</v>
      </c>
      <c r="AB32" s="225">
        <f ca="1">IFERROR(__xludf.DUMMYFUNCTION("IMPORTRANGE(""https://docs.google.com/spreadsheets/d/11923uPwbBZFjjGgGUA6NLw09EwE0CqkOc4q9oUmW1yo/edit?usp=sharing"",""อุทัยธานี!J318"")"),0)</f>
        <v>0</v>
      </c>
      <c r="AC32" s="225">
        <f ca="1">IFERROR(__xludf.DUMMYFUNCTION("IMPORTRANGE(""https://docs.google.com/spreadsheets/d/11923uPwbBZFjjGgGUA6NLw09EwE0CqkOc4q9oUmW1yo/edit?usp=sharing"",""อุทัยธานี!J319"")"),0)</f>
        <v>0</v>
      </c>
      <c r="AD32" s="225">
        <f ca="1">IFERROR(__xludf.DUMMYFUNCTION("IMPORTRANGE(""https://docs.google.com/spreadsheets/d/11923uPwbBZFjjGgGUA6NLw09EwE0CqkOc4q9oUmW1yo/edit?usp=sharing"",""อุทัยธานี!J320"")"),0)</f>
        <v>0</v>
      </c>
      <c r="AE32" s="302">
        <v>30</v>
      </c>
      <c r="AF32" s="302">
        <v>10</v>
      </c>
      <c r="AG32" s="225">
        <f ca="1">IFERROR(__xludf.DUMMYFUNCTION("IMPORTRANGE(""https://docs.google.com/spreadsheets/d/11923uPwbBZFjjGgGUA6NLw09EwE0CqkOc4q9oUmW1yo/edit?usp=sharing"",""อุทัยธานี!J322"")"),0)</f>
        <v>0</v>
      </c>
      <c r="AH32" s="226">
        <f t="shared" ca="1" si="8"/>
        <v>0</v>
      </c>
      <c r="AI32" s="225">
        <f ca="1">IFERROR(__xludf.DUMMYFUNCTION("IMPORTRANGE(""https://docs.google.com/spreadsheets/d/11923uPwbBZFjjGgGUA6NLw09EwE0CqkOc4q9oUmW1yo/edit?usp=sharing"",""อุทัยธานี!J321"")"),0)</f>
        <v>0</v>
      </c>
      <c r="AJ32" s="226">
        <f t="shared" ca="1" si="9"/>
        <v>0</v>
      </c>
      <c r="AK32" s="225">
        <f ca="1">IFERROR(__xludf.DUMMYFUNCTION("IMPORTRANGE(""https://docs.google.com/spreadsheets/d/11923uPwbBZFjjGgGUA6NLw09EwE0CqkOc4q9oUmW1yo/edit?usp=sharing"",""อุทัยธานี!J323"")"),0)</f>
        <v>0</v>
      </c>
      <c r="AL32" s="225">
        <f ca="1">IFERROR(__xludf.DUMMYFUNCTION("IMPORTRANGE(""https://docs.google.com/spreadsheets/d/11923uPwbBZFjjGgGUA6NLw09EwE0CqkOc4q9oUmW1yo/edit?usp=sharing"",""อุทัยธานี!J324"")"),0)</f>
        <v>0</v>
      </c>
      <c r="AM32" s="225">
        <f t="shared" si="21"/>
        <v>40</v>
      </c>
      <c r="AN32" s="225">
        <f t="shared" ca="1" si="22"/>
        <v>0</v>
      </c>
      <c r="AO32" s="226">
        <f t="shared" ca="1" si="10"/>
        <v>0</v>
      </c>
      <c r="AP32" s="302">
        <v>20</v>
      </c>
      <c r="AQ32" s="225">
        <f ca="1">IFERROR(__xludf.DUMMYFUNCTION("IMPORTRANGE(""https://docs.google.com/spreadsheets/d/11923uPwbBZFjjGgGUA6NLw09EwE0CqkOc4q9oUmW1yo/edit?usp=sharing"",""อุทัยธานี!J326"")"),0)</f>
        <v>0</v>
      </c>
      <c r="AR32" s="302">
        <v>20</v>
      </c>
      <c r="AS32" s="315">
        <f ca="1">IFERROR(__xludf.DUMMYFUNCTION("IMPORTRANGE(""https://docs.google.com/spreadsheets/d/11923uPwbBZFjjGgGUA6NLw09EwE0CqkOc4q9oUmW1yo/edit?usp=sharing"",""อุทัยธานี!J327"")"),0)</f>
        <v>0</v>
      </c>
    </row>
    <row r="33" spans="1:45" ht="24" customHeight="1" x14ac:dyDescent="0.5">
      <c r="A33" s="807" t="s">
        <v>48</v>
      </c>
      <c r="B33" s="713"/>
      <c r="C33" s="300">
        <f>SUM(C34:C53)</f>
        <v>3732450</v>
      </c>
      <c r="D33" s="177">
        <f>SUM(D34:D53)</f>
        <v>0</v>
      </c>
      <c r="E33" s="177">
        <f>SUM(E34:E53)</f>
        <v>3732450</v>
      </c>
      <c r="F33" s="176">
        <f ca="1">SUM(F34:F53)</f>
        <v>0</v>
      </c>
      <c r="G33" s="176">
        <f t="shared" ca="1" si="0"/>
        <v>0</v>
      </c>
      <c r="H33" s="177">
        <f>SUM(H34:H53)</f>
        <v>3294</v>
      </c>
      <c r="I33" s="177">
        <f>SUM(I34:I53)</f>
        <v>1098</v>
      </c>
      <c r="J33" s="177">
        <f ca="1">SUM(J34:J53)</f>
        <v>0</v>
      </c>
      <c r="K33" s="176">
        <f t="shared" ca="1" si="1"/>
        <v>0</v>
      </c>
      <c r="L33" s="177">
        <f ca="1">SUM(L34:L53)</f>
        <v>0</v>
      </c>
      <c r="M33" s="176">
        <f t="shared" ca="1" si="2"/>
        <v>0</v>
      </c>
      <c r="N33" s="177">
        <f>SUM(N34:N53)</f>
        <v>810</v>
      </c>
      <c r="O33" s="177">
        <f>SUM(O34:O53)</f>
        <v>270</v>
      </c>
      <c r="P33" s="177">
        <f ca="1">SUM(P34:P53)</f>
        <v>0</v>
      </c>
      <c r="Q33" s="176">
        <f t="shared" ca="1" si="3"/>
        <v>0</v>
      </c>
      <c r="R33" s="177">
        <f ca="1">SUM(R34:R53)</f>
        <v>0</v>
      </c>
      <c r="S33" s="176">
        <f t="shared" ca="1" si="4"/>
        <v>0</v>
      </c>
      <c r="T33" s="176">
        <f ca="1">SUM(T34:T53)</f>
        <v>0</v>
      </c>
      <c r="U33" s="176">
        <f ca="1">SUM(U34:U53)</f>
        <v>0</v>
      </c>
      <c r="V33" s="316">
        <f>SUM(V34:V53)</f>
        <v>1827</v>
      </c>
      <c r="W33" s="316">
        <f>SUM(W34:W53)</f>
        <v>609</v>
      </c>
      <c r="X33" s="177">
        <f ca="1">SUM(X34:X53)</f>
        <v>0</v>
      </c>
      <c r="Y33" s="176">
        <f t="shared" ca="1" si="5"/>
        <v>0</v>
      </c>
      <c r="Z33" s="177">
        <f ca="1">SUM(Z34:Z53)</f>
        <v>0</v>
      </c>
      <c r="AA33" s="176">
        <f t="shared" ca="1" si="6"/>
        <v>0</v>
      </c>
      <c r="AB33" s="177">
        <f t="shared" ref="AB33:AG33" ca="1" si="23">SUM(AB34:AB53)</f>
        <v>0</v>
      </c>
      <c r="AC33" s="177">
        <f t="shared" ca="1" si="23"/>
        <v>0</v>
      </c>
      <c r="AD33" s="177">
        <f t="shared" ca="1" si="23"/>
        <v>0</v>
      </c>
      <c r="AE33" s="177">
        <f t="shared" si="23"/>
        <v>657</v>
      </c>
      <c r="AF33" s="177">
        <f t="shared" si="23"/>
        <v>219</v>
      </c>
      <c r="AG33" s="177">
        <f t="shared" ca="1" si="23"/>
        <v>0</v>
      </c>
      <c r="AH33" s="176">
        <f t="shared" ca="1" si="8"/>
        <v>0</v>
      </c>
      <c r="AI33" s="177">
        <f ca="1">SUM(AI34:AI53)</f>
        <v>0</v>
      </c>
      <c r="AJ33" s="176">
        <f t="shared" ca="1" si="9"/>
        <v>0</v>
      </c>
      <c r="AK33" s="177">
        <f ca="1">SUM(AK34:AK53)</f>
        <v>0</v>
      </c>
      <c r="AL33" s="177">
        <f ca="1">SUM(AL34:AL53)</f>
        <v>0</v>
      </c>
      <c r="AM33" s="177">
        <f>SUM(AM34:AM53)</f>
        <v>879</v>
      </c>
      <c r="AN33" s="177">
        <f ca="1">SUM(AN34:AN53)</f>
        <v>0</v>
      </c>
      <c r="AO33" s="176">
        <f t="shared" ca="1" si="10"/>
        <v>0</v>
      </c>
      <c r="AP33" s="177">
        <f>SUM(AP34:AP53)</f>
        <v>270</v>
      </c>
      <c r="AQ33" s="177">
        <f ca="1">SUM(AQ34:AQ53)</f>
        <v>0</v>
      </c>
      <c r="AR33" s="177">
        <f>SUM(AR34:AR53)</f>
        <v>609</v>
      </c>
      <c r="AS33" s="177">
        <f ca="1">SUM(AS34:AS53)</f>
        <v>0</v>
      </c>
    </row>
    <row r="34" spans="1:45" ht="24" customHeight="1" x14ac:dyDescent="0.5">
      <c r="A34" s="212">
        <v>1</v>
      </c>
      <c r="B34" s="191" t="s">
        <v>49</v>
      </c>
      <c r="C34" s="309">
        <f t="shared" ref="C34:C53" si="24">+D34+E34</f>
        <v>131710</v>
      </c>
      <c r="D34" s="193">
        <v>0</v>
      </c>
      <c r="E34" s="193">
        <v>131710</v>
      </c>
      <c r="F34" s="192">
        <f ca="1">IFERROR(__xludf.DUMMYFUNCTION("IMPORTRANGE(""https://docs.google.com/spreadsheets/d/1XL5vhW3sbDhbH9Cz0tuDiY8C3ctxq1tqvaCgkFb8cCA/edit?usp=sharing"",""กาฬสินธุ์!M299"")"),0)</f>
        <v>0</v>
      </c>
      <c r="G34" s="192">
        <f t="shared" ca="1" si="0"/>
        <v>0</v>
      </c>
      <c r="H34" s="214">
        <f t="shared" ref="H34:H53" si="25">+N34+V34+AE34</f>
        <v>105</v>
      </c>
      <c r="I34" s="214">
        <f t="shared" ref="I34:I53" si="26">+O34+W34+AF34</f>
        <v>35</v>
      </c>
      <c r="J34" s="214">
        <f t="shared" ref="J34:J53" ca="1" si="27">P34+X34+AG34</f>
        <v>0</v>
      </c>
      <c r="K34" s="215">
        <f t="shared" ca="1" si="1"/>
        <v>0</v>
      </c>
      <c r="L34" s="214">
        <f t="shared" ref="L34:L53" ca="1" si="28">R34+Z34+AI34</f>
        <v>0</v>
      </c>
      <c r="M34" s="215">
        <f t="shared" ca="1" si="2"/>
        <v>0</v>
      </c>
      <c r="N34" s="310">
        <v>30</v>
      </c>
      <c r="O34" s="310">
        <v>10</v>
      </c>
      <c r="P34" s="214">
        <f ca="1">IFERROR(__xludf.DUMMYFUNCTION("IMPORTRANGE(""https://docs.google.com/spreadsheets/d/1XL5vhW3sbDhbH9Cz0tuDiY8C3ctxq1tqvaCgkFb8cCA/edit?usp=sharing"",""กาฬสินธุ์!J313"")"),0)</f>
        <v>0</v>
      </c>
      <c r="Q34" s="215">
        <f t="shared" ca="1" si="3"/>
        <v>0</v>
      </c>
      <c r="R34" s="214">
        <f ca="1">IFERROR(__xludf.DUMMYFUNCTION("IMPORTRANGE(""https://docs.google.com/spreadsheets/d/1XL5vhW3sbDhbH9Cz0tuDiY8C3ctxq1tqvaCgkFb8cCA/edit?usp=sharing"",""กาฬสินธุ์!J312"")"),0)</f>
        <v>0</v>
      </c>
      <c r="S34" s="215">
        <f t="shared" ca="1" si="4"/>
        <v>0</v>
      </c>
      <c r="T34" s="215">
        <f ca="1">IFERROR(__xludf.DUMMYFUNCTION("IMPORTRANGE(""https://docs.google.com/spreadsheets/d/1XL5vhW3sbDhbH9Cz0tuDiY8C3ctxq1tqvaCgkFb8cCA/edit?usp=sharing"",""กาฬสินธุ์!J314"")"),0)</f>
        <v>0</v>
      </c>
      <c r="U34" s="215">
        <f ca="1">IFERROR(__xludf.DUMMYFUNCTION("IMPORTRANGE(""https://docs.google.com/spreadsheets/d/1XL5vhW3sbDhbH9Cz0tuDiY8C3ctxq1tqvaCgkFb8cCA/edit?usp=sharing"",""กาฬสินธุ์!J315"")"),0)</f>
        <v>0</v>
      </c>
      <c r="V34" s="310">
        <v>45</v>
      </c>
      <c r="W34" s="310">
        <v>15</v>
      </c>
      <c r="X34" s="214">
        <f ca="1">IFERROR(__xludf.DUMMYFUNCTION("IMPORTRANGE(""https://docs.google.com/spreadsheets/d/1XL5vhW3sbDhbH9Cz0tuDiY8C3ctxq1tqvaCgkFb8cCA/edit?usp=sharing"",""กาฬสินธุ์!J317"")"),0)</f>
        <v>0</v>
      </c>
      <c r="Y34" s="215">
        <f t="shared" ca="1" si="5"/>
        <v>0</v>
      </c>
      <c r="Z34" s="214">
        <f ca="1">IFERROR(__xludf.DUMMYFUNCTION("IMPORTRANGE(""https://docs.google.com/spreadsheets/d/1XL5vhW3sbDhbH9Cz0tuDiY8C3ctxq1tqvaCgkFb8cCA/edit?usp=sharing"",""กาฬสินธุ์!J316"")"),0)</f>
        <v>0</v>
      </c>
      <c r="AA34" s="215">
        <f t="shared" ca="1" si="6"/>
        <v>0</v>
      </c>
      <c r="AB34" s="214">
        <f ca="1">IFERROR(__xludf.DUMMYFUNCTION("IMPORTRANGE(""https://docs.google.com/spreadsheets/d/1XL5vhW3sbDhbH9Cz0tuDiY8C3ctxq1tqvaCgkFb8cCA/edit?usp=sharing"",""กาฬสินธุ์!J318"")"),0)</f>
        <v>0</v>
      </c>
      <c r="AC34" s="214">
        <f ca="1">IFERROR(__xludf.DUMMYFUNCTION("IMPORTRANGE(""https://docs.google.com/spreadsheets/d/1XL5vhW3sbDhbH9Cz0tuDiY8C3ctxq1tqvaCgkFb8cCA/edit?usp=sharing"",""กาฬสินธุ์!J319"")"),0)</f>
        <v>0</v>
      </c>
      <c r="AD34" s="214">
        <f ca="1">IFERROR(__xludf.DUMMYFUNCTION("IMPORTRANGE(""https://docs.google.com/spreadsheets/d/1XL5vhW3sbDhbH9Cz0tuDiY8C3ctxq1tqvaCgkFb8cCA/edit?usp=sharing"",""กาฬสินธุ์!J320"")"),0)</f>
        <v>0</v>
      </c>
      <c r="AE34" s="310">
        <v>30</v>
      </c>
      <c r="AF34" s="310">
        <v>10</v>
      </c>
      <c r="AG34" s="214">
        <f ca="1">IFERROR(__xludf.DUMMYFUNCTION("IMPORTRANGE(""https://docs.google.com/spreadsheets/d/1XL5vhW3sbDhbH9Cz0tuDiY8C3ctxq1tqvaCgkFb8cCA/edit?usp=sharing"",""กาฬสินธุ์!J322"")"),0)</f>
        <v>0</v>
      </c>
      <c r="AH34" s="215">
        <f t="shared" ca="1" si="8"/>
        <v>0</v>
      </c>
      <c r="AI34" s="214">
        <f ca="1">IFERROR(__xludf.DUMMYFUNCTION("IMPORTRANGE(""https://docs.google.com/spreadsheets/d/1XL5vhW3sbDhbH9Cz0tuDiY8C3ctxq1tqvaCgkFb8cCA/edit?usp=sharing"",""กาฬสินธุ์!J321"")"),0)</f>
        <v>0</v>
      </c>
      <c r="AJ34" s="215">
        <f t="shared" ca="1" si="9"/>
        <v>0</v>
      </c>
      <c r="AK34" s="214">
        <f ca="1">IFERROR(__xludf.DUMMYFUNCTION("IMPORTRANGE(""https://docs.google.com/spreadsheets/d/1XL5vhW3sbDhbH9Cz0tuDiY8C3ctxq1tqvaCgkFb8cCA/edit?usp=sharing"",""กาฬสินธุ์!J323"")"),0)</f>
        <v>0</v>
      </c>
      <c r="AL34" s="214">
        <f ca="1">IFERROR(__xludf.DUMMYFUNCTION("IMPORTRANGE(""https://docs.google.com/spreadsheets/d/1XL5vhW3sbDhbH9Cz0tuDiY8C3ctxq1tqvaCgkFb8cCA/edit?usp=sharing"",""กาฬสินธุ์!J324"")"),0)</f>
        <v>0</v>
      </c>
      <c r="AM34" s="214">
        <f t="shared" ref="AM34:AM53" si="29">+AP34+AR34</f>
        <v>25</v>
      </c>
      <c r="AN34" s="214">
        <f t="shared" ref="AN34:AN53" ca="1" si="30">SUM(AQ34,AS34)</f>
        <v>0</v>
      </c>
      <c r="AO34" s="215">
        <f t="shared" ca="1" si="10"/>
        <v>0</v>
      </c>
      <c r="AP34" s="310">
        <v>10</v>
      </c>
      <c r="AQ34" s="214">
        <f ca="1">IFERROR(__xludf.DUMMYFUNCTION("IMPORTRANGE(""https://docs.google.com/spreadsheets/d/1XL5vhW3sbDhbH9Cz0tuDiY8C3ctxq1tqvaCgkFb8cCA/edit?usp=sharing"",""กาฬสินธุ์!J326"")"),0)</f>
        <v>0</v>
      </c>
      <c r="AR34" s="310">
        <v>15</v>
      </c>
      <c r="AS34" s="311">
        <f ca="1">IFERROR(__xludf.DUMMYFUNCTION("IMPORTRANGE(""https://docs.google.com/spreadsheets/d/1XL5vhW3sbDhbH9Cz0tuDiY8C3ctxq1tqvaCgkFb8cCA/edit?usp=sharing"",""กาฬสินธุ์!J327"")"),0)</f>
        <v>0</v>
      </c>
    </row>
    <row r="35" spans="1:45" ht="24" customHeight="1" x14ac:dyDescent="0.5">
      <c r="A35" s="216">
        <v>2</v>
      </c>
      <c r="B35" s="194" t="s">
        <v>50</v>
      </c>
      <c r="C35" s="312">
        <f t="shared" si="24"/>
        <v>229140</v>
      </c>
      <c r="D35" s="218">
        <v>0</v>
      </c>
      <c r="E35" s="218">
        <v>229140</v>
      </c>
      <c r="F35" s="219">
        <f ca="1">IFERROR(__xludf.DUMMYFUNCTION("IMPORTRANGE(""https://docs.google.com/spreadsheets/d/1XL5vhW3sbDhbH9Cz0tuDiY8C3ctxq1tqvaCgkFb8cCA/edit?usp=sharing"",""ขอนแก่น!M299"")"),0)</f>
        <v>0</v>
      </c>
      <c r="G35" s="219">
        <f t="shared" ca="1" si="0"/>
        <v>0</v>
      </c>
      <c r="H35" s="220">
        <f t="shared" si="25"/>
        <v>204</v>
      </c>
      <c r="I35" s="220">
        <f t="shared" si="26"/>
        <v>68</v>
      </c>
      <c r="J35" s="220">
        <f t="shared" ca="1" si="27"/>
        <v>0</v>
      </c>
      <c r="K35" s="221">
        <f t="shared" ca="1" si="1"/>
        <v>0</v>
      </c>
      <c r="L35" s="220">
        <f t="shared" ca="1" si="28"/>
        <v>0</v>
      </c>
      <c r="M35" s="221">
        <f t="shared" ca="1" si="2"/>
        <v>0</v>
      </c>
      <c r="N35" s="301">
        <v>60</v>
      </c>
      <c r="O35" s="301">
        <v>20</v>
      </c>
      <c r="P35" s="220">
        <f ca="1">IFERROR(__xludf.DUMMYFUNCTION("IMPORTRANGE(""https://docs.google.com/spreadsheets/d/1XL5vhW3sbDhbH9Cz0tuDiY8C3ctxq1tqvaCgkFb8cCA/edit?usp=sharing"",""ขอนแก่น!J313"")"),0)</f>
        <v>0</v>
      </c>
      <c r="Q35" s="221">
        <f t="shared" ca="1" si="3"/>
        <v>0</v>
      </c>
      <c r="R35" s="220">
        <f ca="1">IFERROR(__xludf.DUMMYFUNCTION("IMPORTRANGE(""https://docs.google.com/spreadsheets/d/1XL5vhW3sbDhbH9Cz0tuDiY8C3ctxq1tqvaCgkFb8cCA/edit?usp=sharing"",""ขอนแก่น!J312"")"),0)</f>
        <v>0</v>
      </c>
      <c r="S35" s="221">
        <f t="shared" ca="1" si="4"/>
        <v>0</v>
      </c>
      <c r="T35" s="221">
        <f ca="1">IFERROR(__xludf.DUMMYFUNCTION("IMPORTRANGE(""https://docs.google.com/spreadsheets/d/1XL5vhW3sbDhbH9Cz0tuDiY8C3ctxq1tqvaCgkFb8cCA/edit?usp=sharing"",""ขอนแก่น!J314"")"),0)</f>
        <v>0</v>
      </c>
      <c r="U35" s="221">
        <f ca="1">IFERROR(__xludf.DUMMYFUNCTION("IMPORTRANGE(""https://docs.google.com/spreadsheets/d/1XL5vhW3sbDhbH9Cz0tuDiY8C3ctxq1tqvaCgkFb8cCA/edit?usp=sharing"",""ขอนแก่น!J315"")"),0)</f>
        <v>0</v>
      </c>
      <c r="V35" s="301">
        <v>114</v>
      </c>
      <c r="W35" s="301">
        <v>38</v>
      </c>
      <c r="X35" s="220">
        <f ca="1">IFERROR(__xludf.DUMMYFUNCTION("IMPORTRANGE(""https://docs.google.com/spreadsheets/d/1XL5vhW3sbDhbH9Cz0tuDiY8C3ctxq1tqvaCgkFb8cCA/edit?usp=sharing"",""ขอนแก่น!J317"")"),0)</f>
        <v>0</v>
      </c>
      <c r="Y35" s="221">
        <f t="shared" ca="1" si="5"/>
        <v>0</v>
      </c>
      <c r="Z35" s="220">
        <f ca="1">IFERROR(__xludf.DUMMYFUNCTION("IMPORTRANGE(""https://docs.google.com/spreadsheets/d/1XL5vhW3sbDhbH9Cz0tuDiY8C3ctxq1tqvaCgkFb8cCA/edit?usp=sharing"",""ขอนแก่น!J316"")"),0)</f>
        <v>0</v>
      </c>
      <c r="AA35" s="221">
        <f t="shared" ca="1" si="6"/>
        <v>0</v>
      </c>
      <c r="AB35" s="220">
        <f ca="1">IFERROR(__xludf.DUMMYFUNCTION("IMPORTRANGE(""https://docs.google.com/spreadsheets/d/1XL5vhW3sbDhbH9Cz0tuDiY8C3ctxq1tqvaCgkFb8cCA/edit?usp=sharing"",""ขอนแก่น!J318"")"),0)</f>
        <v>0</v>
      </c>
      <c r="AC35" s="220">
        <f ca="1">IFERROR(__xludf.DUMMYFUNCTION("IMPORTRANGE(""https://docs.google.com/spreadsheets/d/1XL5vhW3sbDhbH9Cz0tuDiY8C3ctxq1tqvaCgkFb8cCA/edit?usp=sharing"",""ขอนแก่น!J319"")"),0)</f>
        <v>0</v>
      </c>
      <c r="AD35" s="220">
        <f ca="1">IFERROR(__xludf.DUMMYFUNCTION("IMPORTRANGE(""https://docs.google.com/spreadsheets/d/1XL5vhW3sbDhbH9Cz0tuDiY8C3ctxq1tqvaCgkFb8cCA/edit?usp=sharing"",""ขอนแก่น!J320"")"),0)</f>
        <v>0</v>
      </c>
      <c r="AE35" s="301">
        <v>30</v>
      </c>
      <c r="AF35" s="301">
        <v>10</v>
      </c>
      <c r="AG35" s="220">
        <f ca="1">IFERROR(__xludf.DUMMYFUNCTION("IMPORTRANGE(""https://docs.google.com/spreadsheets/d/1XL5vhW3sbDhbH9Cz0tuDiY8C3ctxq1tqvaCgkFb8cCA/edit?usp=sharing"",""ขอนแก่น!J322"")"),0)</f>
        <v>0</v>
      </c>
      <c r="AH35" s="221">
        <f t="shared" ca="1" si="8"/>
        <v>0</v>
      </c>
      <c r="AI35" s="220">
        <f ca="1">IFERROR(__xludf.DUMMYFUNCTION("IMPORTRANGE(""https://docs.google.com/spreadsheets/d/1XL5vhW3sbDhbH9Cz0tuDiY8C3ctxq1tqvaCgkFb8cCA/edit?usp=sharing"",""ขอนแก่น!J321"")"),0)</f>
        <v>0</v>
      </c>
      <c r="AJ35" s="221">
        <f t="shared" ca="1" si="9"/>
        <v>0</v>
      </c>
      <c r="AK35" s="220">
        <f ca="1">IFERROR(__xludf.DUMMYFUNCTION("IMPORTRANGE(""https://docs.google.com/spreadsheets/d/1XL5vhW3sbDhbH9Cz0tuDiY8C3ctxq1tqvaCgkFb8cCA/edit?usp=sharing"",""ขอนแก่น!J323"")"),0)</f>
        <v>0</v>
      </c>
      <c r="AL35" s="220">
        <f ca="1">IFERROR(__xludf.DUMMYFUNCTION("IMPORTRANGE(""https://docs.google.com/spreadsheets/d/1XL5vhW3sbDhbH9Cz0tuDiY8C3ctxq1tqvaCgkFb8cCA/edit?usp=sharing"",""ขอนแก่น!J324"")"),0)</f>
        <v>0</v>
      </c>
      <c r="AM35" s="220">
        <f t="shared" si="29"/>
        <v>58</v>
      </c>
      <c r="AN35" s="220">
        <f t="shared" ca="1" si="30"/>
        <v>0</v>
      </c>
      <c r="AO35" s="221">
        <f t="shared" ca="1" si="10"/>
        <v>0</v>
      </c>
      <c r="AP35" s="301">
        <v>20</v>
      </c>
      <c r="AQ35" s="220">
        <f ca="1">IFERROR(__xludf.DUMMYFUNCTION("IMPORTRANGE(""https://docs.google.com/spreadsheets/d/1XL5vhW3sbDhbH9Cz0tuDiY8C3ctxq1tqvaCgkFb8cCA/edit?usp=sharing"",""ขอนแก่น!J326"")"),0)</f>
        <v>0</v>
      </c>
      <c r="AR35" s="301">
        <v>38</v>
      </c>
      <c r="AS35" s="313">
        <f ca="1">IFERROR(__xludf.DUMMYFUNCTION("IMPORTRANGE(""https://docs.google.com/spreadsheets/d/1XL5vhW3sbDhbH9Cz0tuDiY8C3ctxq1tqvaCgkFb8cCA/edit?usp=sharing"",""ขอนแก่น!J327"")"),0)</f>
        <v>0</v>
      </c>
    </row>
    <row r="36" spans="1:45" ht="24" customHeight="1" x14ac:dyDescent="0.5">
      <c r="A36" s="216">
        <v>3</v>
      </c>
      <c r="B36" s="194" t="s">
        <v>51</v>
      </c>
      <c r="C36" s="312">
        <f t="shared" si="24"/>
        <v>101920</v>
      </c>
      <c r="D36" s="218">
        <v>0</v>
      </c>
      <c r="E36" s="218">
        <v>101920</v>
      </c>
      <c r="F36" s="219">
        <f ca="1">IFERROR(__xludf.DUMMYFUNCTION("IMPORTRANGE(""https://docs.google.com/spreadsheets/d/1XL5vhW3sbDhbH9Cz0tuDiY8C3ctxq1tqvaCgkFb8cCA/edit?usp=sharing"",""ชัยภูมิ!M299"")"),0)</f>
        <v>0</v>
      </c>
      <c r="G36" s="219">
        <f t="shared" ca="1" si="0"/>
        <v>0</v>
      </c>
      <c r="H36" s="220">
        <f t="shared" si="25"/>
        <v>90</v>
      </c>
      <c r="I36" s="220">
        <f t="shared" si="26"/>
        <v>30</v>
      </c>
      <c r="J36" s="220">
        <f t="shared" ca="1" si="27"/>
        <v>0</v>
      </c>
      <c r="K36" s="221">
        <f t="shared" ca="1" si="1"/>
        <v>0</v>
      </c>
      <c r="L36" s="220">
        <f t="shared" ca="1" si="28"/>
        <v>0</v>
      </c>
      <c r="M36" s="221">
        <f t="shared" ca="1" si="2"/>
        <v>0</v>
      </c>
      <c r="N36" s="301">
        <v>0</v>
      </c>
      <c r="O36" s="301">
        <v>0</v>
      </c>
      <c r="P36" s="220">
        <f ca="1">IFERROR(__xludf.DUMMYFUNCTION("IMPORTRANGE(""https://docs.google.com/spreadsheets/d/1XL5vhW3sbDhbH9Cz0tuDiY8C3ctxq1tqvaCgkFb8cCA/edit?usp=sharing"",""ชัยภูมิ!J313"")"),0)</f>
        <v>0</v>
      </c>
      <c r="Q36" s="221">
        <f t="shared" si="3"/>
        <v>0</v>
      </c>
      <c r="R36" s="220">
        <f ca="1">IFERROR(__xludf.DUMMYFUNCTION("IMPORTRANGE(""https://docs.google.com/spreadsheets/d/1XL5vhW3sbDhbH9Cz0tuDiY8C3ctxq1tqvaCgkFb8cCA/edit?usp=sharing"",""ชัยภูมิ!J312"")"),0)</f>
        <v>0</v>
      </c>
      <c r="S36" s="221">
        <f t="shared" si="4"/>
        <v>0</v>
      </c>
      <c r="T36" s="221">
        <f ca="1">IFERROR(__xludf.DUMMYFUNCTION("IMPORTRANGE(""https://docs.google.com/spreadsheets/d/1XL5vhW3sbDhbH9Cz0tuDiY8C3ctxq1tqvaCgkFb8cCA/edit?usp=sharing"",""ชัยภูมิ!J314"")"),0)</f>
        <v>0</v>
      </c>
      <c r="U36" s="221">
        <f ca="1">IFERROR(__xludf.DUMMYFUNCTION("IMPORTRANGE(""https://docs.google.com/spreadsheets/d/1XL5vhW3sbDhbH9Cz0tuDiY8C3ctxq1tqvaCgkFb8cCA/edit?usp=sharing"",""ชัยภูมิ!J315"")"),0)</f>
        <v>0</v>
      </c>
      <c r="V36" s="301">
        <v>60</v>
      </c>
      <c r="W36" s="301">
        <v>20</v>
      </c>
      <c r="X36" s="220">
        <f ca="1">IFERROR(__xludf.DUMMYFUNCTION("IMPORTRANGE(""https://docs.google.com/spreadsheets/d/1XL5vhW3sbDhbH9Cz0tuDiY8C3ctxq1tqvaCgkFb8cCA/edit?usp=sharing"",""ชัยภูมิ!J317"")"),0)</f>
        <v>0</v>
      </c>
      <c r="Y36" s="221">
        <f t="shared" ca="1" si="5"/>
        <v>0</v>
      </c>
      <c r="Z36" s="220">
        <f ca="1">IFERROR(__xludf.DUMMYFUNCTION("IMPORTRANGE(""https://docs.google.com/spreadsheets/d/1XL5vhW3sbDhbH9Cz0tuDiY8C3ctxq1tqvaCgkFb8cCA/edit?usp=sharing"",""ชัยภูมิ!J316"")"),0)</f>
        <v>0</v>
      </c>
      <c r="AA36" s="221">
        <f t="shared" ca="1" si="6"/>
        <v>0</v>
      </c>
      <c r="AB36" s="220">
        <f ca="1">IFERROR(__xludf.DUMMYFUNCTION("IMPORTRANGE(""https://docs.google.com/spreadsheets/d/1XL5vhW3sbDhbH9Cz0tuDiY8C3ctxq1tqvaCgkFb8cCA/edit?usp=sharing"",""ชัยภูมิ!J318"")"),0)</f>
        <v>0</v>
      </c>
      <c r="AC36" s="220">
        <f ca="1">IFERROR(__xludf.DUMMYFUNCTION("IMPORTRANGE(""https://docs.google.com/spreadsheets/d/1XL5vhW3sbDhbH9Cz0tuDiY8C3ctxq1tqvaCgkFb8cCA/edit?usp=sharing"",""ชัยภูมิ!J319"")"),0)</f>
        <v>0</v>
      </c>
      <c r="AD36" s="220">
        <f ca="1">IFERROR(__xludf.DUMMYFUNCTION("IMPORTRANGE(""https://docs.google.com/spreadsheets/d/1XL5vhW3sbDhbH9Cz0tuDiY8C3ctxq1tqvaCgkFb8cCA/edit?usp=sharing"",""ชัยภูมิ!J320"")"),0)</f>
        <v>0</v>
      </c>
      <c r="AE36" s="301">
        <v>30</v>
      </c>
      <c r="AF36" s="301">
        <v>10</v>
      </c>
      <c r="AG36" s="220">
        <f ca="1">IFERROR(__xludf.DUMMYFUNCTION("IMPORTRANGE(""https://docs.google.com/spreadsheets/d/1XL5vhW3sbDhbH9Cz0tuDiY8C3ctxq1tqvaCgkFb8cCA/edit?usp=sharing"",""ชัยภูมิ!J322"")"),0)</f>
        <v>0</v>
      </c>
      <c r="AH36" s="221">
        <f t="shared" ca="1" si="8"/>
        <v>0</v>
      </c>
      <c r="AI36" s="220">
        <f ca="1">IFERROR(__xludf.DUMMYFUNCTION("IMPORTRANGE(""https://docs.google.com/spreadsheets/d/1XL5vhW3sbDhbH9Cz0tuDiY8C3ctxq1tqvaCgkFb8cCA/edit?usp=sharing"",""ชัยภูมิ!J321"")"),0)</f>
        <v>0</v>
      </c>
      <c r="AJ36" s="221">
        <f t="shared" ca="1" si="9"/>
        <v>0</v>
      </c>
      <c r="AK36" s="220">
        <f ca="1">IFERROR(__xludf.DUMMYFUNCTION("IMPORTRANGE(""https://docs.google.com/spreadsheets/d/1XL5vhW3sbDhbH9Cz0tuDiY8C3ctxq1tqvaCgkFb8cCA/edit?usp=sharing"",""ชัยภูมิ!J323"")"),0)</f>
        <v>0</v>
      </c>
      <c r="AL36" s="220">
        <f ca="1">IFERROR(__xludf.DUMMYFUNCTION("IMPORTRANGE(""https://docs.google.com/spreadsheets/d/1XL5vhW3sbDhbH9Cz0tuDiY8C3ctxq1tqvaCgkFb8cCA/edit?usp=sharing"",""ชัยภูมิ!J324"")"),0)</f>
        <v>0</v>
      </c>
      <c r="AM36" s="220">
        <f t="shared" si="29"/>
        <v>20</v>
      </c>
      <c r="AN36" s="220">
        <f t="shared" ca="1" si="30"/>
        <v>0</v>
      </c>
      <c r="AO36" s="221">
        <f t="shared" ca="1" si="10"/>
        <v>0</v>
      </c>
      <c r="AP36" s="301">
        <v>0</v>
      </c>
      <c r="AQ36" s="220">
        <f ca="1">IFERROR(__xludf.DUMMYFUNCTION("IMPORTRANGE(""https://docs.google.com/spreadsheets/d/1XL5vhW3sbDhbH9Cz0tuDiY8C3ctxq1tqvaCgkFb8cCA/edit?usp=sharing"",""ชัยภูมิ!J326"")"),0)</f>
        <v>0</v>
      </c>
      <c r="AR36" s="301">
        <v>20</v>
      </c>
      <c r="AS36" s="313">
        <f ca="1">IFERROR(__xludf.DUMMYFUNCTION("IMPORTRANGE(""https://docs.google.com/spreadsheets/d/1XL5vhW3sbDhbH9Cz0tuDiY8C3ctxq1tqvaCgkFb8cCA/edit?usp=sharing"",""ชัยภูมิ!J327"")"),0)</f>
        <v>0</v>
      </c>
    </row>
    <row r="37" spans="1:45" ht="24" customHeight="1" x14ac:dyDescent="0.5">
      <c r="A37" s="216">
        <v>4</v>
      </c>
      <c r="B37" s="194" t="s">
        <v>52</v>
      </c>
      <c r="C37" s="312">
        <f t="shared" si="24"/>
        <v>144560</v>
      </c>
      <c r="D37" s="218">
        <v>0</v>
      </c>
      <c r="E37" s="218">
        <v>144560</v>
      </c>
      <c r="F37" s="219">
        <f ca="1">IFERROR(__xludf.DUMMYFUNCTION("IMPORTRANGE(""https://docs.google.com/spreadsheets/d/1XL5vhW3sbDhbH9Cz0tuDiY8C3ctxq1tqvaCgkFb8cCA/edit?usp=sharing"",""นครพนม!M299"")"),0)</f>
        <v>0</v>
      </c>
      <c r="G37" s="219">
        <f t="shared" ca="1" si="0"/>
        <v>0</v>
      </c>
      <c r="H37" s="220">
        <f t="shared" si="25"/>
        <v>120</v>
      </c>
      <c r="I37" s="220">
        <f t="shared" si="26"/>
        <v>40</v>
      </c>
      <c r="J37" s="220">
        <f t="shared" ca="1" si="27"/>
        <v>0</v>
      </c>
      <c r="K37" s="221">
        <f t="shared" ca="1" si="1"/>
        <v>0</v>
      </c>
      <c r="L37" s="220">
        <f t="shared" ca="1" si="28"/>
        <v>0</v>
      </c>
      <c r="M37" s="221">
        <f t="shared" ca="1" si="2"/>
        <v>0</v>
      </c>
      <c r="N37" s="301">
        <v>30</v>
      </c>
      <c r="O37" s="301">
        <v>10</v>
      </c>
      <c r="P37" s="220">
        <f ca="1">IFERROR(__xludf.DUMMYFUNCTION("IMPORTRANGE(""https://docs.google.com/spreadsheets/d/1XL5vhW3sbDhbH9Cz0tuDiY8C3ctxq1tqvaCgkFb8cCA/edit?usp=sharing"",""นครพนม!J313"")"),0)</f>
        <v>0</v>
      </c>
      <c r="Q37" s="221">
        <f t="shared" ca="1" si="3"/>
        <v>0</v>
      </c>
      <c r="R37" s="220">
        <f ca="1">IFERROR(__xludf.DUMMYFUNCTION("IMPORTRANGE(""https://docs.google.com/spreadsheets/d/1XL5vhW3sbDhbH9Cz0tuDiY8C3ctxq1tqvaCgkFb8cCA/edit?usp=sharing"",""นครพนม!J312"")"),0)</f>
        <v>0</v>
      </c>
      <c r="S37" s="221">
        <f t="shared" ca="1" si="4"/>
        <v>0</v>
      </c>
      <c r="T37" s="221">
        <f ca="1">IFERROR(__xludf.DUMMYFUNCTION("IMPORTRANGE(""https://docs.google.com/spreadsheets/d/1XL5vhW3sbDhbH9Cz0tuDiY8C3ctxq1tqvaCgkFb8cCA/edit?usp=sharing"",""นครพนม!J314"")"),0)</f>
        <v>0</v>
      </c>
      <c r="U37" s="221">
        <f ca="1">IFERROR(__xludf.DUMMYFUNCTION("IMPORTRANGE(""https://docs.google.com/spreadsheets/d/1XL5vhW3sbDhbH9Cz0tuDiY8C3ctxq1tqvaCgkFb8cCA/edit?usp=sharing"",""นครพนม!J315"")"),0)</f>
        <v>0</v>
      </c>
      <c r="V37" s="301">
        <v>60</v>
      </c>
      <c r="W37" s="301">
        <v>20</v>
      </c>
      <c r="X37" s="220">
        <f ca="1">IFERROR(__xludf.DUMMYFUNCTION("IMPORTRANGE(""https://docs.google.com/spreadsheets/d/1XL5vhW3sbDhbH9Cz0tuDiY8C3ctxq1tqvaCgkFb8cCA/edit?usp=sharing"",""นครพนม!J317"")"),0)</f>
        <v>0</v>
      </c>
      <c r="Y37" s="221">
        <f t="shared" ca="1" si="5"/>
        <v>0</v>
      </c>
      <c r="Z37" s="220">
        <f ca="1">IFERROR(__xludf.DUMMYFUNCTION("IMPORTRANGE(""https://docs.google.com/spreadsheets/d/1XL5vhW3sbDhbH9Cz0tuDiY8C3ctxq1tqvaCgkFb8cCA/edit?usp=sharing"",""นครพนม!J316"")"),0)</f>
        <v>0</v>
      </c>
      <c r="AA37" s="221">
        <f t="shared" ca="1" si="6"/>
        <v>0</v>
      </c>
      <c r="AB37" s="220">
        <f ca="1">IFERROR(__xludf.DUMMYFUNCTION("IMPORTRANGE(""https://docs.google.com/spreadsheets/d/1XL5vhW3sbDhbH9Cz0tuDiY8C3ctxq1tqvaCgkFb8cCA/edit?usp=sharing"",""นครพนม!J318"")"),0)</f>
        <v>0</v>
      </c>
      <c r="AC37" s="220">
        <f ca="1">IFERROR(__xludf.DUMMYFUNCTION("IMPORTRANGE(""https://docs.google.com/spreadsheets/d/1XL5vhW3sbDhbH9Cz0tuDiY8C3ctxq1tqvaCgkFb8cCA/edit?usp=sharing"",""นครพนม!J319"")"),0)</f>
        <v>0</v>
      </c>
      <c r="AD37" s="220">
        <f ca="1">IFERROR(__xludf.DUMMYFUNCTION("IMPORTRANGE(""https://docs.google.com/spreadsheets/d/1XL5vhW3sbDhbH9Cz0tuDiY8C3ctxq1tqvaCgkFb8cCA/edit?usp=sharing"",""นครพนม!J320"")"),0)</f>
        <v>0</v>
      </c>
      <c r="AE37" s="301">
        <v>30</v>
      </c>
      <c r="AF37" s="301">
        <v>10</v>
      </c>
      <c r="AG37" s="220">
        <f ca="1">IFERROR(__xludf.DUMMYFUNCTION("IMPORTRANGE(""https://docs.google.com/spreadsheets/d/1XL5vhW3sbDhbH9Cz0tuDiY8C3ctxq1tqvaCgkFb8cCA/edit?usp=sharing"",""นครพนม!J322"")"),0)</f>
        <v>0</v>
      </c>
      <c r="AH37" s="221">
        <f t="shared" ca="1" si="8"/>
        <v>0</v>
      </c>
      <c r="AI37" s="220">
        <f ca="1">IFERROR(__xludf.DUMMYFUNCTION("IMPORTRANGE(""https://docs.google.com/spreadsheets/d/1XL5vhW3sbDhbH9Cz0tuDiY8C3ctxq1tqvaCgkFb8cCA/edit?usp=sharing"",""นครพนม!J321"")"),0)</f>
        <v>0</v>
      </c>
      <c r="AJ37" s="221">
        <f t="shared" ca="1" si="9"/>
        <v>0</v>
      </c>
      <c r="AK37" s="220">
        <f ca="1">IFERROR(__xludf.DUMMYFUNCTION("IMPORTRANGE(""https://docs.google.com/spreadsheets/d/1XL5vhW3sbDhbH9Cz0tuDiY8C3ctxq1tqvaCgkFb8cCA/edit?usp=sharing"",""นครพนม!J323"")"),0)</f>
        <v>0</v>
      </c>
      <c r="AL37" s="220">
        <f ca="1">IFERROR(__xludf.DUMMYFUNCTION("IMPORTRANGE(""https://docs.google.com/spreadsheets/d/1XL5vhW3sbDhbH9Cz0tuDiY8C3ctxq1tqvaCgkFb8cCA/edit?usp=sharing"",""นครพนม!J324"")"),0)</f>
        <v>0</v>
      </c>
      <c r="AM37" s="220">
        <f t="shared" si="29"/>
        <v>30</v>
      </c>
      <c r="AN37" s="220">
        <f t="shared" ca="1" si="30"/>
        <v>0</v>
      </c>
      <c r="AO37" s="221">
        <f t="shared" ca="1" si="10"/>
        <v>0</v>
      </c>
      <c r="AP37" s="301">
        <v>10</v>
      </c>
      <c r="AQ37" s="220">
        <f ca="1">IFERROR(__xludf.DUMMYFUNCTION("IMPORTRANGE(""https://docs.google.com/spreadsheets/d/1XL5vhW3sbDhbH9Cz0tuDiY8C3ctxq1tqvaCgkFb8cCA/edit?usp=sharing"",""นครพนม!J326"")"),0)</f>
        <v>0</v>
      </c>
      <c r="AR37" s="301">
        <v>20</v>
      </c>
      <c r="AS37" s="313">
        <f ca="1">IFERROR(__xludf.DUMMYFUNCTION("IMPORTRANGE(""https://docs.google.com/spreadsheets/d/1XL5vhW3sbDhbH9Cz0tuDiY8C3ctxq1tqvaCgkFb8cCA/edit?usp=sharing"",""นครพนม!J327"")"),0)</f>
        <v>0</v>
      </c>
    </row>
    <row r="38" spans="1:45" ht="24" customHeight="1" x14ac:dyDescent="0.5">
      <c r="A38" s="216">
        <v>5</v>
      </c>
      <c r="B38" s="194" t="s">
        <v>53</v>
      </c>
      <c r="C38" s="312">
        <f t="shared" si="24"/>
        <v>310620</v>
      </c>
      <c r="D38" s="218">
        <v>0</v>
      </c>
      <c r="E38" s="218">
        <v>310620</v>
      </c>
      <c r="F38" s="219">
        <f ca="1">IFERROR(__xludf.DUMMYFUNCTION("IMPORTRANGE(""https://docs.google.com/spreadsheets/d/1XL5vhW3sbDhbH9Cz0tuDiY8C3ctxq1tqvaCgkFb8cCA/edit?usp=sharing"",""นครราชสีมา!M299"")"),0)</f>
        <v>0</v>
      </c>
      <c r="G38" s="219">
        <f t="shared" ca="1" si="0"/>
        <v>0</v>
      </c>
      <c r="H38" s="220">
        <f t="shared" si="25"/>
        <v>282</v>
      </c>
      <c r="I38" s="220">
        <f t="shared" si="26"/>
        <v>94</v>
      </c>
      <c r="J38" s="220">
        <f t="shared" ca="1" si="27"/>
        <v>0</v>
      </c>
      <c r="K38" s="221">
        <f t="shared" ca="1" si="1"/>
        <v>0</v>
      </c>
      <c r="L38" s="220">
        <f t="shared" ca="1" si="28"/>
        <v>0</v>
      </c>
      <c r="M38" s="221">
        <f t="shared" ca="1" si="2"/>
        <v>0</v>
      </c>
      <c r="N38" s="301">
        <v>102</v>
      </c>
      <c r="O38" s="301">
        <v>34</v>
      </c>
      <c r="P38" s="220">
        <f ca="1">IFERROR(__xludf.DUMMYFUNCTION("IMPORTRANGE(""https://docs.google.com/spreadsheets/d/1XL5vhW3sbDhbH9Cz0tuDiY8C3ctxq1tqvaCgkFb8cCA/edit?usp=sharing"",""นครราชสีมา!J313"")"),0)</f>
        <v>0</v>
      </c>
      <c r="Q38" s="221">
        <f t="shared" ca="1" si="3"/>
        <v>0</v>
      </c>
      <c r="R38" s="220">
        <f ca="1">IFERROR(__xludf.DUMMYFUNCTION("IMPORTRANGE(""https://docs.google.com/spreadsheets/d/1XL5vhW3sbDhbH9Cz0tuDiY8C3ctxq1tqvaCgkFb8cCA/edit?usp=sharing"",""นครราชสีมา!J312"")"),0)</f>
        <v>0</v>
      </c>
      <c r="S38" s="221">
        <f t="shared" ca="1" si="4"/>
        <v>0</v>
      </c>
      <c r="T38" s="221">
        <f ca="1">IFERROR(__xludf.DUMMYFUNCTION("IMPORTRANGE(""https://docs.google.com/spreadsheets/d/1XL5vhW3sbDhbH9Cz0tuDiY8C3ctxq1tqvaCgkFb8cCA/edit?usp=sharing"",""นครราชสีมา!J314"")"),0)</f>
        <v>0</v>
      </c>
      <c r="U38" s="221">
        <f ca="1">IFERROR(__xludf.DUMMYFUNCTION("IMPORTRANGE(""https://docs.google.com/spreadsheets/d/1XL5vhW3sbDhbH9Cz0tuDiY8C3ctxq1tqvaCgkFb8cCA/edit?usp=sharing"",""นครราชสีมา!J315"")"),0)</f>
        <v>0</v>
      </c>
      <c r="V38" s="301">
        <v>150</v>
      </c>
      <c r="W38" s="301">
        <v>50</v>
      </c>
      <c r="X38" s="220">
        <f ca="1">IFERROR(__xludf.DUMMYFUNCTION("IMPORTRANGE(""https://docs.google.com/spreadsheets/d/1XL5vhW3sbDhbH9Cz0tuDiY8C3ctxq1tqvaCgkFb8cCA/edit?usp=sharing"",""นครราชสีมา!J317"")"),0)</f>
        <v>0</v>
      </c>
      <c r="Y38" s="221">
        <f t="shared" ca="1" si="5"/>
        <v>0</v>
      </c>
      <c r="Z38" s="220">
        <f ca="1">IFERROR(__xludf.DUMMYFUNCTION("IMPORTRANGE(""https://docs.google.com/spreadsheets/d/1XL5vhW3sbDhbH9Cz0tuDiY8C3ctxq1tqvaCgkFb8cCA/edit?usp=sharing"",""นครราชสีมา!J316"")"),0)</f>
        <v>0</v>
      </c>
      <c r="AA38" s="221">
        <f t="shared" ca="1" si="6"/>
        <v>0</v>
      </c>
      <c r="AB38" s="220">
        <f ca="1">IFERROR(__xludf.DUMMYFUNCTION("IMPORTRANGE(""https://docs.google.com/spreadsheets/d/1XL5vhW3sbDhbH9Cz0tuDiY8C3ctxq1tqvaCgkFb8cCA/edit?usp=sharing"",""นครราชสีมา!J318"")"),0)</f>
        <v>0</v>
      </c>
      <c r="AC38" s="220">
        <f ca="1">IFERROR(__xludf.DUMMYFUNCTION("IMPORTRANGE(""https://docs.google.com/spreadsheets/d/1XL5vhW3sbDhbH9Cz0tuDiY8C3ctxq1tqvaCgkFb8cCA/edit?usp=sharing"",""นครราชสีมา!J319"")"),0)</f>
        <v>0</v>
      </c>
      <c r="AD38" s="220">
        <f ca="1">IFERROR(__xludf.DUMMYFUNCTION("IMPORTRANGE(""https://docs.google.com/spreadsheets/d/1XL5vhW3sbDhbH9Cz0tuDiY8C3ctxq1tqvaCgkFb8cCA/edit?usp=sharing"",""นครราชสีมา!J320"")"),0)</f>
        <v>0</v>
      </c>
      <c r="AE38" s="301">
        <v>30</v>
      </c>
      <c r="AF38" s="301">
        <v>10</v>
      </c>
      <c r="AG38" s="220">
        <f ca="1">IFERROR(__xludf.DUMMYFUNCTION("IMPORTRANGE(""https://docs.google.com/spreadsheets/d/1XL5vhW3sbDhbH9Cz0tuDiY8C3ctxq1tqvaCgkFb8cCA/edit?usp=sharing"",""นครราชสีมา!J322"")"),0)</f>
        <v>0</v>
      </c>
      <c r="AH38" s="221">
        <f t="shared" ca="1" si="8"/>
        <v>0</v>
      </c>
      <c r="AI38" s="220">
        <f ca="1">IFERROR(__xludf.DUMMYFUNCTION("IMPORTRANGE(""https://docs.google.com/spreadsheets/d/1XL5vhW3sbDhbH9Cz0tuDiY8C3ctxq1tqvaCgkFb8cCA/edit?usp=sharing"",""นครราชสีมา!J321"")"),0)</f>
        <v>0</v>
      </c>
      <c r="AJ38" s="221">
        <f t="shared" ca="1" si="9"/>
        <v>0</v>
      </c>
      <c r="AK38" s="220">
        <f ca="1">IFERROR(__xludf.DUMMYFUNCTION("IMPORTRANGE(""https://docs.google.com/spreadsheets/d/1XL5vhW3sbDhbH9Cz0tuDiY8C3ctxq1tqvaCgkFb8cCA/edit?usp=sharing"",""นครราชสีมา!J323"")"),0)</f>
        <v>0</v>
      </c>
      <c r="AL38" s="220">
        <f ca="1">IFERROR(__xludf.DUMMYFUNCTION("IMPORTRANGE(""https://docs.google.com/spreadsheets/d/1XL5vhW3sbDhbH9Cz0tuDiY8C3ctxq1tqvaCgkFb8cCA/edit?usp=sharing"",""นครราชสีมา!J324"")"),0)</f>
        <v>0</v>
      </c>
      <c r="AM38" s="220">
        <f t="shared" si="29"/>
        <v>84</v>
      </c>
      <c r="AN38" s="220">
        <f t="shared" ca="1" si="30"/>
        <v>0</v>
      </c>
      <c r="AO38" s="221">
        <f t="shared" ca="1" si="10"/>
        <v>0</v>
      </c>
      <c r="AP38" s="301">
        <v>34</v>
      </c>
      <c r="AQ38" s="220">
        <f ca="1">IFERROR(__xludf.DUMMYFUNCTION("IMPORTRANGE(""https://docs.google.com/spreadsheets/d/1XL5vhW3sbDhbH9Cz0tuDiY8C3ctxq1tqvaCgkFb8cCA/edit?usp=sharing"",""นครราชสีมา!J326"")"),0)</f>
        <v>0</v>
      </c>
      <c r="AR38" s="301">
        <v>50</v>
      </c>
      <c r="AS38" s="313">
        <f ca="1">IFERROR(__xludf.DUMMYFUNCTION("IMPORTRANGE(""https://docs.google.com/spreadsheets/d/1XL5vhW3sbDhbH9Cz0tuDiY8C3ctxq1tqvaCgkFb8cCA/edit?usp=sharing"",""นครราชสีมา!J327"")"),0)</f>
        <v>0</v>
      </c>
    </row>
    <row r="39" spans="1:45" ht="24" customHeight="1" x14ac:dyDescent="0.5">
      <c r="A39" s="216">
        <v>6</v>
      </c>
      <c r="B39" s="194" t="s">
        <v>54</v>
      </c>
      <c r="C39" s="312">
        <f t="shared" si="24"/>
        <v>144560</v>
      </c>
      <c r="D39" s="218">
        <v>0</v>
      </c>
      <c r="E39" s="218">
        <v>144560</v>
      </c>
      <c r="F39" s="219">
        <f ca="1">IFERROR(__xludf.DUMMYFUNCTION("IMPORTRANGE(""https://docs.google.com/spreadsheets/d/1XL5vhW3sbDhbH9Cz0tuDiY8C3ctxq1tqvaCgkFb8cCA/edit?usp=sharing"",""บึงกาฬ!M299"")"),0)</f>
        <v>0</v>
      </c>
      <c r="G39" s="219">
        <f t="shared" ca="1" si="0"/>
        <v>0</v>
      </c>
      <c r="H39" s="220">
        <f t="shared" si="25"/>
        <v>120</v>
      </c>
      <c r="I39" s="220">
        <f t="shared" si="26"/>
        <v>40</v>
      </c>
      <c r="J39" s="220">
        <f t="shared" ca="1" si="27"/>
        <v>0</v>
      </c>
      <c r="K39" s="221">
        <f t="shared" ca="1" si="1"/>
        <v>0</v>
      </c>
      <c r="L39" s="220">
        <f t="shared" ca="1" si="28"/>
        <v>0</v>
      </c>
      <c r="M39" s="221">
        <f t="shared" ca="1" si="2"/>
        <v>0</v>
      </c>
      <c r="N39" s="301">
        <v>30</v>
      </c>
      <c r="O39" s="301">
        <v>10</v>
      </c>
      <c r="P39" s="220">
        <f ca="1">IFERROR(__xludf.DUMMYFUNCTION("IMPORTRANGE(""https://docs.google.com/spreadsheets/d/1XL5vhW3sbDhbH9Cz0tuDiY8C3ctxq1tqvaCgkFb8cCA/edit?usp=sharing"",""บึงกาฬ!J313"")"),0)</f>
        <v>0</v>
      </c>
      <c r="Q39" s="221">
        <f t="shared" ca="1" si="3"/>
        <v>0</v>
      </c>
      <c r="R39" s="220">
        <f ca="1">IFERROR(__xludf.DUMMYFUNCTION("IMPORTRANGE(""https://docs.google.com/spreadsheets/d/1XL5vhW3sbDhbH9Cz0tuDiY8C3ctxq1tqvaCgkFb8cCA/edit?usp=sharing"",""บึงกาฬ!J312"")"),0)</f>
        <v>0</v>
      </c>
      <c r="S39" s="221">
        <f t="shared" ca="1" si="4"/>
        <v>0</v>
      </c>
      <c r="T39" s="221">
        <f ca="1">IFERROR(__xludf.DUMMYFUNCTION("IMPORTRANGE(""https://docs.google.com/spreadsheets/d/1XL5vhW3sbDhbH9Cz0tuDiY8C3ctxq1tqvaCgkFb8cCA/edit?usp=sharing"",""บึงกาฬ!J314"")"),0)</f>
        <v>0</v>
      </c>
      <c r="U39" s="221">
        <f ca="1">IFERROR(__xludf.DUMMYFUNCTION("IMPORTRANGE(""https://docs.google.com/spreadsheets/d/1XL5vhW3sbDhbH9Cz0tuDiY8C3ctxq1tqvaCgkFb8cCA/edit?usp=sharing"",""บึงกาฬ!J315"")"),0)</f>
        <v>0</v>
      </c>
      <c r="V39" s="301">
        <v>60</v>
      </c>
      <c r="W39" s="301">
        <v>20</v>
      </c>
      <c r="X39" s="220">
        <f ca="1">IFERROR(__xludf.DUMMYFUNCTION("IMPORTRANGE(""https://docs.google.com/spreadsheets/d/1XL5vhW3sbDhbH9Cz0tuDiY8C3ctxq1tqvaCgkFb8cCA/edit?usp=sharing"",""บึงกาฬ!J317"")"),0)</f>
        <v>0</v>
      </c>
      <c r="Y39" s="221">
        <f t="shared" ca="1" si="5"/>
        <v>0</v>
      </c>
      <c r="Z39" s="220">
        <f ca="1">IFERROR(__xludf.DUMMYFUNCTION("IMPORTRANGE(""https://docs.google.com/spreadsheets/d/1XL5vhW3sbDhbH9Cz0tuDiY8C3ctxq1tqvaCgkFb8cCA/edit?usp=sharing"",""บึงกาฬ!J316"")"),0)</f>
        <v>0</v>
      </c>
      <c r="AA39" s="221">
        <f t="shared" ca="1" si="6"/>
        <v>0</v>
      </c>
      <c r="AB39" s="220">
        <f ca="1">IFERROR(__xludf.DUMMYFUNCTION("IMPORTRANGE(""https://docs.google.com/spreadsheets/d/1XL5vhW3sbDhbH9Cz0tuDiY8C3ctxq1tqvaCgkFb8cCA/edit?usp=sharing"",""บึงกาฬ!J318"")"),0)</f>
        <v>0</v>
      </c>
      <c r="AC39" s="220">
        <f ca="1">IFERROR(__xludf.DUMMYFUNCTION("IMPORTRANGE(""https://docs.google.com/spreadsheets/d/1XL5vhW3sbDhbH9Cz0tuDiY8C3ctxq1tqvaCgkFb8cCA/edit?usp=sharing"",""บึงกาฬ!J319"")"),0)</f>
        <v>0</v>
      </c>
      <c r="AD39" s="220">
        <f ca="1">IFERROR(__xludf.DUMMYFUNCTION("IMPORTRANGE(""https://docs.google.com/spreadsheets/d/1XL5vhW3sbDhbH9Cz0tuDiY8C3ctxq1tqvaCgkFb8cCA/edit?usp=sharing"",""บึงกาฬ!J320"")"),0)</f>
        <v>0</v>
      </c>
      <c r="AE39" s="301">
        <v>30</v>
      </c>
      <c r="AF39" s="301">
        <v>10</v>
      </c>
      <c r="AG39" s="220">
        <f ca="1">IFERROR(__xludf.DUMMYFUNCTION("IMPORTRANGE(""https://docs.google.com/spreadsheets/d/1XL5vhW3sbDhbH9Cz0tuDiY8C3ctxq1tqvaCgkFb8cCA/edit?usp=sharing"",""บึงกาฬ!J322"")"),0)</f>
        <v>0</v>
      </c>
      <c r="AH39" s="221">
        <f t="shared" ca="1" si="8"/>
        <v>0</v>
      </c>
      <c r="AI39" s="220">
        <f ca="1">IFERROR(__xludf.DUMMYFUNCTION("IMPORTRANGE(""https://docs.google.com/spreadsheets/d/1XL5vhW3sbDhbH9Cz0tuDiY8C3ctxq1tqvaCgkFb8cCA/edit?usp=sharing"",""บึงกาฬ!J321"")"),0)</f>
        <v>0</v>
      </c>
      <c r="AJ39" s="221">
        <f t="shared" ca="1" si="9"/>
        <v>0</v>
      </c>
      <c r="AK39" s="220">
        <f ca="1">IFERROR(__xludf.DUMMYFUNCTION("IMPORTRANGE(""https://docs.google.com/spreadsheets/d/1XL5vhW3sbDhbH9Cz0tuDiY8C3ctxq1tqvaCgkFb8cCA/edit?usp=sharing"",""บึงกาฬ!J323"")"),0)</f>
        <v>0</v>
      </c>
      <c r="AL39" s="220">
        <f ca="1">IFERROR(__xludf.DUMMYFUNCTION("IMPORTRANGE(""https://docs.google.com/spreadsheets/d/1XL5vhW3sbDhbH9Cz0tuDiY8C3ctxq1tqvaCgkFb8cCA/edit?usp=sharing"",""บึงกาฬ!J324"")"),0)</f>
        <v>0</v>
      </c>
      <c r="AM39" s="220">
        <f t="shared" si="29"/>
        <v>30</v>
      </c>
      <c r="AN39" s="220">
        <f t="shared" ca="1" si="30"/>
        <v>0</v>
      </c>
      <c r="AO39" s="221">
        <f t="shared" ca="1" si="10"/>
        <v>0</v>
      </c>
      <c r="AP39" s="301">
        <v>10</v>
      </c>
      <c r="AQ39" s="220">
        <f ca="1">IFERROR(__xludf.DUMMYFUNCTION("IMPORTRANGE(""https://docs.google.com/spreadsheets/d/1XL5vhW3sbDhbH9Cz0tuDiY8C3ctxq1tqvaCgkFb8cCA/edit?usp=sharing"",""บึงกาฬ!J326"")"),0)</f>
        <v>0</v>
      </c>
      <c r="AR39" s="301">
        <v>20</v>
      </c>
      <c r="AS39" s="313">
        <f ca="1">IFERROR(__xludf.DUMMYFUNCTION("IMPORTRANGE(""https://docs.google.com/spreadsheets/d/1XL5vhW3sbDhbH9Cz0tuDiY8C3ctxq1tqvaCgkFb8cCA/edit?usp=sharing"",""บึงกาฬ!J327"")"),0)</f>
        <v>0</v>
      </c>
    </row>
    <row r="40" spans="1:45" ht="24" customHeight="1" x14ac:dyDescent="0.5">
      <c r="A40" s="216">
        <v>7</v>
      </c>
      <c r="B40" s="194" t="s">
        <v>55</v>
      </c>
      <c r="C40" s="312">
        <f t="shared" si="24"/>
        <v>230070</v>
      </c>
      <c r="D40" s="218">
        <v>0</v>
      </c>
      <c r="E40" s="218">
        <v>230070</v>
      </c>
      <c r="F40" s="219">
        <f ca="1">IFERROR(__xludf.DUMMYFUNCTION("IMPORTRANGE(""https://docs.google.com/spreadsheets/d/1XL5vhW3sbDhbH9Cz0tuDiY8C3ctxq1tqvaCgkFb8cCA/edit?usp=sharing"",""บุรีรัมย์!M299"")"),0)</f>
        <v>0</v>
      </c>
      <c r="G40" s="219">
        <f t="shared" ca="1" si="0"/>
        <v>0</v>
      </c>
      <c r="H40" s="220">
        <f t="shared" si="25"/>
        <v>225</v>
      </c>
      <c r="I40" s="220">
        <f t="shared" si="26"/>
        <v>75</v>
      </c>
      <c r="J40" s="220">
        <f t="shared" ca="1" si="27"/>
        <v>0</v>
      </c>
      <c r="K40" s="221">
        <f t="shared" ca="1" si="1"/>
        <v>0</v>
      </c>
      <c r="L40" s="220">
        <f t="shared" ca="1" si="28"/>
        <v>0</v>
      </c>
      <c r="M40" s="221">
        <f t="shared" ca="1" si="2"/>
        <v>0</v>
      </c>
      <c r="N40" s="301">
        <v>0</v>
      </c>
      <c r="O40" s="301">
        <v>0</v>
      </c>
      <c r="P40" s="220">
        <f ca="1">IFERROR(__xludf.DUMMYFUNCTION("IMPORTRANGE(""https://docs.google.com/spreadsheets/d/1XL5vhW3sbDhbH9Cz0tuDiY8C3ctxq1tqvaCgkFb8cCA/edit?usp=sharing"",""บุรีรัมย์!J313"")"),0)</f>
        <v>0</v>
      </c>
      <c r="Q40" s="221">
        <f t="shared" si="3"/>
        <v>0</v>
      </c>
      <c r="R40" s="220">
        <f ca="1">IFERROR(__xludf.DUMMYFUNCTION("IMPORTRANGE(""https://docs.google.com/spreadsheets/d/1XL5vhW3sbDhbH9Cz0tuDiY8C3ctxq1tqvaCgkFb8cCA/edit?usp=sharing"",""บุรีรัมย์!J312"")"),0)</f>
        <v>0</v>
      </c>
      <c r="S40" s="221">
        <f t="shared" si="4"/>
        <v>0</v>
      </c>
      <c r="T40" s="221">
        <f ca="1">IFERROR(__xludf.DUMMYFUNCTION("IMPORTRANGE(""https://docs.google.com/spreadsheets/d/1XL5vhW3sbDhbH9Cz0tuDiY8C3ctxq1tqvaCgkFb8cCA/edit?usp=sharing"",""บุรีรัมย์!J314"")"),0)</f>
        <v>0</v>
      </c>
      <c r="U40" s="221">
        <f ca="1">IFERROR(__xludf.DUMMYFUNCTION("IMPORTRANGE(""https://docs.google.com/spreadsheets/d/1XL5vhW3sbDhbH9Cz0tuDiY8C3ctxq1tqvaCgkFb8cCA/edit?usp=sharing"",""บุรีรัมย์!J315"")"),0)</f>
        <v>0</v>
      </c>
      <c r="V40" s="301">
        <v>195</v>
      </c>
      <c r="W40" s="301">
        <v>65</v>
      </c>
      <c r="X40" s="220">
        <f ca="1">IFERROR(__xludf.DUMMYFUNCTION("IMPORTRANGE(""https://docs.google.com/spreadsheets/d/1XL5vhW3sbDhbH9Cz0tuDiY8C3ctxq1tqvaCgkFb8cCA/edit?usp=sharing"",""บุรีรัมย์!J317"")"),0)</f>
        <v>0</v>
      </c>
      <c r="Y40" s="221">
        <f t="shared" ca="1" si="5"/>
        <v>0</v>
      </c>
      <c r="Z40" s="220">
        <f ca="1">IFERROR(__xludf.DUMMYFUNCTION("IMPORTRANGE(""https://docs.google.com/spreadsheets/d/1XL5vhW3sbDhbH9Cz0tuDiY8C3ctxq1tqvaCgkFb8cCA/edit?usp=sharing"",""บุรีรัมย์!J316"")"),0)</f>
        <v>0</v>
      </c>
      <c r="AA40" s="221">
        <f t="shared" ca="1" si="6"/>
        <v>0</v>
      </c>
      <c r="AB40" s="220">
        <f ca="1">IFERROR(__xludf.DUMMYFUNCTION("IMPORTRANGE(""https://docs.google.com/spreadsheets/d/1XL5vhW3sbDhbH9Cz0tuDiY8C3ctxq1tqvaCgkFb8cCA/edit?usp=sharing"",""บุรีรัมย์!J318"")"),0)</f>
        <v>0</v>
      </c>
      <c r="AC40" s="220">
        <f ca="1">IFERROR(__xludf.DUMMYFUNCTION("IMPORTRANGE(""https://docs.google.com/spreadsheets/d/1XL5vhW3sbDhbH9Cz0tuDiY8C3ctxq1tqvaCgkFb8cCA/edit?usp=sharing"",""บุรีรัมย์!J319"")"),0)</f>
        <v>0</v>
      </c>
      <c r="AD40" s="220">
        <f ca="1">IFERROR(__xludf.DUMMYFUNCTION("IMPORTRANGE(""https://docs.google.com/spreadsheets/d/1XL5vhW3sbDhbH9Cz0tuDiY8C3ctxq1tqvaCgkFb8cCA/edit?usp=sharing"",""บุรีรัมย์!J320"")"),0)</f>
        <v>0</v>
      </c>
      <c r="AE40" s="301">
        <v>30</v>
      </c>
      <c r="AF40" s="301">
        <v>10</v>
      </c>
      <c r="AG40" s="220">
        <f ca="1">IFERROR(__xludf.DUMMYFUNCTION("IMPORTRANGE(""https://docs.google.com/spreadsheets/d/1XL5vhW3sbDhbH9Cz0tuDiY8C3ctxq1tqvaCgkFb8cCA/edit?usp=sharing"",""บุรีรัมย์!J322"")"),0)</f>
        <v>0</v>
      </c>
      <c r="AH40" s="221">
        <f t="shared" ca="1" si="8"/>
        <v>0</v>
      </c>
      <c r="AI40" s="220">
        <f ca="1">IFERROR(__xludf.DUMMYFUNCTION("IMPORTRANGE(""https://docs.google.com/spreadsheets/d/1XL5vhW3sbDhbH9Cz0tuDiY8C3ctxq1tqvaCgkFb8cCA/edit?usp=sharing"",""บุรีรัมย์!J321"")"),0)</f>
        <v>0</v>
      </c>
      <c r="AJ40" s="221">
        <f t="shared" ca="1" si="9"/>
        <v>0</v>
      </c>
      <c r="AK40" s="220">
        <f ca="1">IFERROR(__xludf.DUMMYFUNCTION("IMPORTRANGE(""https://docs.google.com/spreadsheets/d/1XL5vhW3sbDhbH9Cz0tuDiY8C3ctxq1tqvaCgkFb8cCA/edit?usp=sharing"",""บุรีรัมย์!J323"")"),0)</f>
        <v>0</v>
      </c>
      <c r="AL40" s="220">
        <f ca="1">IFERROR(__xludf.DUMMYFUNCTION("IMPORTRANGE(""https://docs.google.com/spreadsheets/d/1XL5vhW3sbDhbH9Cz0tuDiY8C3ctxq1tqvaCgkFb8cCA/edit?usp=sharing"",""บุรีรัมย์!J324"")"),0)</f>
        <v>0</v>
      </c>
      <c r="AM40" s="220">
        <f t="shared" si="29"/>
        <v>65</v>
      </c>
      <c r="AN40" s="220">
        <f t="shared" ca="1" si="30"/>
        <v>0</v>
      </c>
      <c r="AO40" s="221">
        <f t="shared" ca="1" si="10"/>
        <v>0</v>
      </c>
      <c r="AP40" s="301">
        <v>0</v>
      </c>
      <c r="AQ40" s="220">
        <f ca="1">IFERROR(__xludf.DUMMYFUNCTION("IMPORTRANGE(""https://docs.google.com/spreadsheets/d/1XL5vhW3sbDhbH9Cz0tuDiY8C3ctxq1tqvaCgkFb8cCA/edit?usp=sharing"",""บุรีรัมย์!J326"")"),0)</f>
        <v>0</v>
      </c>
      <c r="AR40" s="301">
        <v>65</v>
      </c>
      <c r="AS40" s="313">
        <f ca="1">IFERROR(__xludf.DUMMYFUNCTION("IMPORTRANGE(""https://docs.google.com/spreadsheets/d/1XL5vhW3sbDhbH9Cz0tuDiY8C3ctxq1tqvaCgkFb8cCA/edit?usp=sharing"",""บุรีรัมย์!J327"")"),0)</f>
        <v>0</v>
      </c>
    </row>
    <row r="41" spans="1:45" ht="24" customHeight="1" x14ac:dyDescent="0.5">
      <c r="A41" s="216">
        <v>8</v>
      </c>
      <c r="B41" s="194" t="s">
        <v>56</v>
      </c>
      <c r="C41" s="312">
        <f t="shared" si="24"/>
        <v>234280</v>
      </c>
      <c r="D41" s="218">
        <v>0</v>
      </c>
      <c r="E41" s="218">
        <v>234280</v>
      </c>
      <c r="F41" s="219">
        <f ca="1">IFERROR(__xludf.DUMMYFUNCTION("IMPORTRANGE(""https://docs.google.com/spreadsheets/d/1XL5vhW3sbDhbH9Cz0tuDiY8C3ctxq1tqvaCgkFb8cCA/edit?usp=sharing"",""มหาสารคาม!M299"")"),0)</f>
        <v>0</v>
      </c>
      <c r="G41" s="219">
        <f t="shared" ref="G41:G72" ca="1" si="31">IF(C41&gt;0,F41*100/C41,0)</f>
        <v>0</v>
      </c>
      <c r="H41" s="220">
        <f t="shared" si="25"/>
        <v>210</v>
      </c>
      <c r="I41" s="220">
        <f t="shared" si="26"/>
        <v>70</v>
      </c>
      <c r="J41" s="220">
        <f t="shared" ca="1" si="27"/>
        <v>0</v>
      </c>
      <c r="K41" s="221">
        <f t="shared" ref="K41:K72" ca="1" si="32">IF(H41&gt;0,J41*100/H41,0)</f>
        <v>0</v>
      </c>
      <c r="L41" s="220">
        <f t="shared" ca="1" si="28"/>
        <v>0</v>
      </c>
      <c r="M41" s="221">
        <f t="shared" ref="M41:M72" ca="1" si="33">IF(I41&gt;0,L41*100/I41,0)</f>
        <v>0</v>
      </c>
      <c r="N41" s="301">
        <v>60</v>
      </c>
      <c r="O41" s="301">
        <v>20</v>
      </c>
      <c r="P41" s="220">
        <f ca="1">IFERROR(__xludf.DUMMYFUNCTION("IMPORTRANGE(""https://docs.google.com/spreadsheets/d/1XL5vhW3sbDhbH9Cz0tuDiY8C3ctxq1tqvaCgkFb8cCA/edit?usp=sharing"",""มหาสารคาม!J313"")"),0)</f>
        <v>0</v>
      </c>
      <c r="Q41" s="221">
        <f t="shared" ref="Q41:Q72" ca="1" si="34">IF(N41&gt;0,P41*100/N41,0)</f>
        <v>0</v>
      </c>
      <c r="R41" s="220">
        <f ca="1">IFERROR(__xludf.DUMMYFUNCTION("IMPORTRANGE(""https://docs.google.com/spreadsheets/d/1XL5vhW3sbDhbH9Cz0tuDiY8C3ctxq1tqvaCgkFb8cCA/edit?usp=sharing"",""มหาสารคาม!J312"")"),0)</f>
        <v>0</v>
      </c>
      <c r="S41" s="221">
        <f t="shared" ref="S41:S72" ca="1" si="35">IF(O41&gt;0,R41*100/O41,0)</f>
        <v>0</v>
      </c>
      <c r="T41" s="221">
        <f ca="1">IFERROR(__xludf.DUMMYFUNCTION("IMPORTRANGE(""https://docs.google.com/spreadsheets/d/1XL5vhW3sbDhbH9Cz0tuDiY8C3ctxq1tqvaCgkFb8cCA/edit?usp=sharing"",""มหาสารคาม!J314"")"),0)</f>
        <v>0</v>
      </c>
      <c r="U41" s="221">
        <f ca="1">IFERROR(__xludf.DUMMYFUNCTION("IMPORTRANGE(""https://docs.google.com/spreadsheets/d/1XL5vhW3sbDhbH9Cz0tuDiY8C3ctxq1tqvaCgkFb8cCA/edit?usp=sharing"",""มหาสารคาม!J315"")"),0)</f>
        <v>0</v>
      </c>
      <c r="V41" s="301">
        <v>120</v>
      </c>
      <c r="W41" s="301">
        <v>40</v>
      </c>
      <c r="X41" s="220">
        <f ca="1">IFERROR(__xludf.DUMMYFUNCTION("IMPORTRANGE(""https://docs.google.com/spreadsheets/d/1XL5vhW3sbDhbH9Cz0tuDiY8C3ctxq1tqvaCgkFb8cCA/edit?usp=sharing"",""มหาสารคาม!J317"")"),0)</f>
        <v>0</v>
      </c>
      <c r="Y41" s="221">
        <f t="shared" ref="Y41:Y72" ca="1" si="36">IF(V41&gt;0,X41*100/V41,0)</f>
        <v>0</v>
      </c>
      <c r="Z41" s="220">
        <f ca="1">IFERROR(__xludf.DUMMYFUNCTION("IMPORTRANGE(""https://docs.google.com/spreadsheets/d/1XL5vhW3sbDhbH9Cz0tuDiY8C3ctxq1tqvaCgkFb8cCA/edit?usp=sharing"",""มหาสารคาม!J316"")"),0)</f>
        <v>0</v>
      </c>
      <c r="AA41" s="221">
        <f t="shared" ref="AA41:AA72" ca="1" si="37">IF(W41&gt;0,Z41*100/W41,0)</f>
        <v>0</v>
      </c>
      <c r="AB41" s="220">
        <f ca="1">IFERROR(__xludf.DUMMYFUNCTION("IMPORTRANGE(""https://docs.google.com/spreadsheets/d/1XL5vhW3sbDhbH9Cz0tuDiY8C3ctxq1tqvaCgkFb8cCA/edit?usp=sharing"",""มหาสารคาม!J318"")"),0)</f>
        <v>0</v>
      </c>
      <c r="AC41" s="220">
        <f ca="1">IFERROR(__xludf.DUMMYFUNCTION("IMPORTRANGE(""https://docs.google.com/spreadsheets/d/1XL5vhW3sbDhbH9Cz0tuDiY8C3ctxq1tqvaCgkFb8cCA/edit?usp=sharing"",""มหาสารคาม!J319"")"),0)</f>
        <v>0</v>
      </c>
      <c r="AD41" s="220">
        <f ca="1">IFERROR(__xludf.DUMMYFUNCTION("IMPORTRANGE(""https://docs.google.com/spreadsheets/d/1XL5vhW3sbDhbH9Cz0tuDiY8C3ctxq1tqvaCgkFb8cCA/edit?usp=sharing"",""มหาสารคาม!J320"")"),0)</f>
        <v>0</v>
      </c>
      <c r="AE41" s="301">
        <v>30</v>
      </c>
      <c r="AF41" s="301">
        <v>10</v>
      </c>
      <c r="AG41" s="220">
        <f ca="1">IFERROR(__xludf.DUMMYFUNCTION("IMPORTRANGE(""https://docs.google.com/spreadsheets/d/1XL5vhW3sbDhbH9Cz0tuDiY8C3ctxq1tqvaCgkFb8cCA/edit?usp=sharing"",""มหาสารคาม!J322"")"),0)</f>
        <v>0</v>
      </c>
      <c r="AH41" s="221">
        <f t="shared" ref="AH41:AH72" ca="1" si="38">IF(AE41&gt;0,AG41*100/AE41,0)</f>
        <v>0</v>
      </c>
      <c r="AI41" s="220">
        <f ca="1">IFERROR(__xludf.DUMMYFUNCTION("IMPORTRANGE(""https://docs.google.com/spreadsheets/d/1XL5vhW3sbDhbH9Cz0tuDiY8C3ctxq1tqvaCgkFb8cCA/edit?usp=sharing"",""มหาสารคาม!J321"")"),0)</f>
        <v>0</v>
      </c>
      <c r="AJ41" s="221">
        <f t="shared" ref="AJ41:AJ72" ca="1" si="39">IF(AF41&gt;0,AI41*100/AF41,0)</f>
        <v>0</v>
      </c>
      <c r="AK41" s="220">
        <f ca="1">IFERROR(__xludf.DUMMYFUNCTION("IMPORTRANGE(""https://docs.google.com/spreadsheets/d/1XL5vhW3sbDhbH9Cz0tuDiY8C3ctxq1tqvaCgkFb8cCA/edit?usp=sharing"",""มหาสารคาม!J323"")"),0)</f>
        <v>0</v>
      </c>
      <c r="AL41" s="220">
        <f ca="1">IFERROR(__xludf.DUMMYFUNCTION("IMPORTRANGE(""https://docs.google.com/spreadsheets/d/1XL5vhW3sbDhbH9Cz0tuDiY8C3ctxq1tqvaCgkFb8cCA/edit?usp=sharing"",""มหาสารคาม!J324"")"),0)</f>
        <v>0</v>
      </c>
      <c r="AM41" s="220">
        <f t="shared" si="29"/>
        <v>60</v>
      </c>
      <c r="AN41" s="220">
        <f t="shared" ca="1" si="30"/>
        <v>0</v>
      </c>
      <c r="AO41" s="221">
        <f t="shared" ref="AO41:AO72" ca="1" si="40">IF(AM41&gt;0,AN41*100/AM41,0)</f>
        <v>0</v>
      </c>
      <c r="AP41" s="301">
        <v>20</v>
      </c>
      <c r="AQ41" s="220">
        <f ca="1">IFERROR(__xludf.DUMMYFUNCTION("IMPORTRANGE(""https://docs.google.com/spreadsheets/d/1XL5vhW3sbDhbH9Cz0tuDiY8C3ctxq1tqvaCgkFb8cCA/edit?usp=sharing"",""มหาสารคาม!J326"")"),0)</f>
        <v>0</v>
      </c>
      <c r="AR41" s="301">
        <v>40</v>
      </c>
      <c r="AS41" s="313">
        <f ca="1">IFERROR(__xludf.DUMMYFUNCTION("IMPORTRANGE(""https://docs.google.com/spreadsheets/d/1XL5vhW3sbDhbH9Cz0tuDiY8C3ctxq1tqvaCgkFb8cCA/edit?usp=sharing"",""มหาสารคาม!J327"")"),0)</f>
        <v>0</v>
      </c>
    </row>
    <row r="42" spans="1:45" ht="24" customHeight="1" x14ac:dyDescent="0.5">
      <c r="A42" s="216">
        <v>9</v>
      </c>
      <c r="B42" s="194" t="s">
        <v>57</v>
      </c>
      <c r="C42" s="312">
        <f t="shared" si="24"/>
        <v>159950</v>
      </c>
      <c r="D42" s="218">
        <v>0</v>
      </c>
      <c r="E42" s="218">
        <v>159950</v>
      </c>
      <c r="F42" s="219">
        <f ca="1">IFERROR(__xludf.DUMMYFUNCTION("IMPORTRANGE(""https://docs.google.com/spreadsheets/d/1XL5vhW3sbDhbH9Cz0tuDiY8C3ctxq1tqvaCgkFb8cCA/edit?usp=sharing"",""มุกดาหาร!M299"")"),0)</f>
        <v>0</v>
      </c>
      <c r="G42" s="219">
        <f t="shared" ca="1" si="31"/>
        <v>0</v>
      </c>
      <c r="H42" s="220">
        <f t="shared" si="25"/>
        <v>135</v>
      </c>
      <c r="I42" s="220">
        <f t="shared" si="26"/>
        <v>45</v>
      </c>
      <c r="J42" s="220">
        <f t="shared" ca="1" si="27"/>
        <v>0</v>
      </c>
      <c r="K42" s="221">
        <f t="shared" ca="1" si="32"/>
        <v>0</v>
      </c>
      <c r="L42" s="220">
        <f t="shared" ca="1" si="28"/>
        <v>0</v>
      </c>
      <c r="M42" s="221">
        <f t="shared" ca="1" si="33"/>
        <v>0</v>
      </c>
      <c r="N42" s="301">
        <v>30</v>
      </c>
      <c r="O42" s="301">
        <v>10</v>
      </c>
      <c r="P42" s="220">
        <f ca="1">IFERROR(__xludf.DUMMYFUNCTION("IMPORTRANGE(""https://docs.google.com/spreadsheets/d/1XL5vhW3sbDhbH9Cz0tuDiY8C3ctxq1tqvaCgkFb8cCA/edit?usp=sharing"",""มุกดาหาร!J313"")"),0)</f>
        <v>0</v>
      </c>
      <c r="Q42" s="221">
        <f t="shared" ca="1" si="34"/>
        <v>0</v>
      </c>
      <c r="R42" s="220">
        <f ca="1">IFERROR(__xludf.DUMMYFUNCTION("IMPORTRANGE(""https://docs.google.com/spreadsheets/d/1XL5vhW3sbDhbH9Cz0tuDiY8C3ctxq1tqvaCgkFb8cCA/edit?usp=sharing"",""มุกดาหาร!J312"")"),0)</f>
        <v>0</v>
      </c>
      <c r="S42" s="221">
        <f t="shared" ca="1" si="35"/>
        <v>0</v>
      </c>
      <c r="T42" s="221">
        <f ca="1">IFERROR(__xludf.DUMMYFUNCTION("IMPORTRANGE(""https://docs.google.com/spreadsheets/d/1XL5vhW3sbDhbH9Cz0tuDiY8C3ctxq1tqvaCgkFb8cCA/edit?usp=sharing"",""มุกดาหาร!J314"")"),0)</f>
        <v>0</v>
      </c>
      <c r="U42" s="221">
        <f ca="1">IFERROR(__xludf.DUMMYFUNCTION("IMPORTRANGE(""https://docs.google.com/spreadsheets/d/1XL5vhW3sbDhbH9Cz0tuDiY8C3ctxq1tqvaCgkFb8cCA/edit?usp=sharing"",""มุกดาหาร!J315"")"),0)</f>
        <v>0</v>
      </c>
      <c r="V42" s="301">
        <v>75</v>
      </c>
      <c r="W42" s="301">
        <v>25</v>
      </c>
      <c r="X42" s="220">
        <f ca="1">IFERROR(__xludf.DUMMYFUNCTION("IMPORTRANGE(""https://docs.google.com/spreadsheets/d/1XL5vhW3sbDhbH9Cz0tuDiY8C3ctxq1tqvaCgkFb8cCA/edit?usp=sharing"",""มุกดาหาร!J317"")"),0)</f>
        <v>0</v>
      </c>
      <c r="Y42" s="221">
        <f t="shared" ca="1" si="36"/>
        <v>0</v>
      </c>
      <c r="Z42" s="220">
        <f ca="1">IFERROR(__xludf.DUMMYFUNCTION("IMPORTRANGE(""https://docs.google.com/spreadsheets/d/1XL5vhW3sbDhbH9Cz0tuDiY8C3ctxq1tqvaCgkFb8cCA/edit?usp=sharing"",""มุกดาหาร!J316"")"),0)</f>
        <v>0</v>
      </c>
      <c r="AA42" s="221">
        <f t="shared" ca="1" si="37"/>
        <v>0</v>
      </c>
      <c r="AB42" s="220">
        <f ca="1">IFERROR(__xludf.DUMMYFUNCTION("IMPORTRANGE(""https://docs.google.com/spreadsheets/d/1XL5vhW3sbDhbH9Cz0tuDiY8C3ctxq1tqvaCgkFb8cCA/edit?usp=sharing"",""มุกดาหาร!J318"")"),0)</f>
        <v>0</v>
      </c>
      <c r="AC42" s="220">
        <f ca="1">IFERROR(__xludf.DUMMYFUNCTION("IMPORTRANGE(""https://docs.google.com/spreadsheets/d/1XL5vhW3sbDhbH9Cz0tuDiY8C3ctxq1tqvaCgkFb8cCA/edit?usp=sharing"",""มุกดาหาร!J319"")"),0)</f>
        <v>0</v>
      </c>
      <c r="AD42" s="220">
        <f ca="1">IFERROR(__xludf.DUMMYFUNCTION("IMPORTRANGE(""https://docs.google.com/spreadsheets/d/1XL5vhW3sbDhbH9Cz0tuDiY8C3ctxq1tqvaCgkFb8cCA/edit?usp=sharing"",""มุกดาหาร!J320"")"),0)</f>
        <v>0</v>
      </c>
      <c r="AE42" s="301">
        <v>30</v>
      </c>
      <c r="AF42" s="301">
        <v>10</v>
      </c>
      <c r="AG42" s="220">
        <f ca="1">IFERROR(__xludf.DUMMYFUNCTION("IMPORTRANGE(""https://docs.google.com/spreadsheets/d/1XL5vhW3sbDhbH9Cz0tuDiY8C3ctxq1tqvaCgkFb8cCA/edit?usp=sharing"",""มุกดาหาร!J322"")"),0)</f>
        <v>0</v>
      </c>
      <c r="AH42" s="221">
        <f t="shared" ca="1" si="38"/>
        <v>0</v>
      </c>
      <c r="AI42" s="220">
        <f ca="1">IFERROR(__xludf.DUMMYFUNCTION("IMPORTRANGE(""https://docs.google.com/spreadsheets/d/1XL5vhW3sbDhbH9Cz0tuDiY8C3ctxq1tqvaCgkFb8cCA/edit?usp=sharing"",""มุกดาหาร!J321"")"),0)</f>
        <v>0</v>
      </c>
      <c r="AJ42" s="221">
        <f t="shared" ca="1" si="39"/>
        <v>0</v>
      </c>
      <c r="AK42" s="220">
        <f ca="1">IFERROR(__xludf.DUMMYFUNCTION("IMPORTRANGE(""https://docs.google.com/spreadsheets/d/1XL5vhW3sbDhbH9Cz0tuDiY8C3ctxq1tqvaCgkFb8cCA/edit?usp=sharing"",""มุกดาหาร!J323"")"),0)</f>
        <v>0</v>
      </c>
      <c r="AL42" s="220">
        <f ca="1">IFERROR(__xludf.DUMMYFUNCTION("IMPORTRANGE(""https://docs.google.com/spreadsheets/d/1XL5vhW3sbDhbH9Cz0tuDiY8C3ctxq1tqvaCgkFb8cCA/edit?usp=sharing"",""มุกดาหาร!J324"")"),0)</f>
        <v>0</v>
      </c>
      <c r="AM42" s="220">
        <f t="shared" si="29"/>
        <v>35</v>
      </c>
      <c r="AN42" s="220">
        <f t="shared" ca="1" si="30"/>
        <v>0</v>
      </c>
      <c r="AO42" s="221">
        <f t="shared" ca="1" si="40"/>
        <v>0</v>
      </c>
      <c r="AP42" s="301">
        <v>10</v>
      </c>
      <c r="AQ42" s="220">
        <f ca="1">IFERROR(__xludf.DUMMYFUNCTION("IMPORTRANGE(""https://docs.google.com/spreadsheets/d/1XL5vhW3sbDhbH9Cz0tuDiY8C3ctxq1tqvaCgkFb8cCA/edit?usp=sharing"",""มุกดาหาร!J326"")"),0)</f>
        <v>0</v>
      </c>
      <c r="AR42" s="301">
        <v>25</v>
      </c>
      <c r="AS42" s="313">
        <f ca="1">IFERROR(__xludf.DUMMYFUNCTION("IMPORTRANGE(""https://docs.google.com/spreadsheets/d/1XL5vhW3sbDhbH9Cz0tuDiY8C3ctxq1tqvaCgkFb8cCA/edit?usp=sharing"",""มุกดาหาร!J327"")"),0)</f>
        <v>0</v>
      </c>
    </row>
    <row r="43" spans="1:45" ht="24" customHeight="1" x14ac:dyDescent="0.5">
      <c r="A43" s="216">
        <v>10</v>
      </c>
      <c r="B43" s="194" t="s">
        <v>58</v>
      </c>
      <c r="C43" s="312">
        <f t="shared" si="24"/>
        <v>193190</v>
      </c>
      <c r="D43" s="218">
        <v>0</v>
      </c>
      <c r="E43" s="218">
        <v>193190</v>
      </c>
      <c r="F43" s="219">
        <f ca="1">IFERROR(__xludf.DUMMYFUNCTION("IMPORTRANGE(""https://docs.google.com/spreadsheets/d/1XL5vhW3sbDhbH9Cz0tuDiY8C3ctxq1tqvaCgkFb8cCA/edit?usp=sharing"",""ยโสธร!M299"")"),0)</f>
        <v>0</v>
      </c>
      <c r="G43" s="219">
        <f t="shared" ca="1" si="31"/>
        <v>0</v>
      </c>
      <c r="H43" s="220">
        <f t="shared" si="25"/>
        <v>165</v>
      </c>
      <c r="I43" s="220">
        <f t="shared" si="26"/>
        <v>55</v>
      </c>
      <c r="J43" s="220">
        <f t="shared" ca="1" si="27"/>
        <v>0</v>
      </c>
      <c r="K43" s="221">
        <f t="shared" ca="1" si="32"/>
        <v>0</v>
      </c>
      <c r="L43" s="220">
        <f t="shared" ca="1" si="28"/>
        <v>0</v>
      </c>
      <c r="M43" s="221">
        <f t="shared" ca="1" si="33"/>
        <v>0</v>
      </c>
      <c r="N43" s="301">
        <v>60</v>
      </c>
      <c r="O43" s="301">
        <v>20</v>
      </c>
      <c r="P43" s="220">
        <f ca="1">IFERROR(__xludf.DUMMYFUNCTION("IMPORTRANGE(""https://docs.google.com/spreadsheets/d/1XL5vhW3sbDhbH9Cz0tuDiY8C3ctxq1tqvaCgkFb8cCA/edit?usp=sharing"",""ยโสธร!J313"")"),0)</f>
        <v>0</v>
      </c>
      <c r="Q43" s="221">
        <f t="shared" ca="1" si="34"/>
        <v>0</v>
      </c>
      <c r="R43" s="220">
        <f ca="1">IFERROR(__xludf.DUMMYFUNCTION("IMPORTRANGE(""https://docs.google.com/spreadsheets/d/1XL5vhW3sbDhbH9Cz0tuDiY8C3ctxq1tqvaCgkFb8cCA/edit?usp=sharing"",""ยโสธร!J312"")"),0)</f>
        <v>0</v>
      </c>
      <c r="S43" s="221">
        <f t="shared" ca="1" si="35"/>
        <v>0</v>
      </c>
      <c r="T43" s="221">
        <f ca="1">IFERROR(__xludf.DUMMYFUNCTION("IMPORTRANGE(""https://docs.google.com/spreadsheets/d/1XL5vhW3sbDhbH9Cz0tuDiY8C3ctxq1tqvaCgkFb8cCA/edit?usp=sharing"",""ยโสธร!J314"")"),0)</f>
        <v>0</v>
      </c>
      <c r="U43" s="221">
        <f ca="1">IFERROR(__xludf.DUMMYFUNCTION("IMPORTRANGE(""https://docs.google.com/spreadsheets/d/1XL5vhW3sbDhbH9Cz0tuDiY8C3ctxq1tqvaCgkFb8cCA/edit?usp=sharing"",""ยโสธร!J315"")"),0)</f>
        <v>0</v>
      </c>
      <c r="V43" s="301">
        <v>75</v>
      </c>
      <c r="W43" s="301">
        <v>25</v>
      </c>
      <c r="X43" s="220">
        <f ca="1">IFERROR(__xludf.DUMMYFUNCTION("IMPORTRANGE(""https://docs.google.com/spreadsheets/d/1XL5vhW3sbDhbH9Cz0tuDiY8C3ctxq1tqvaCgkFb8cCA/edit?usp=sharing"",""ยโสธร!J317"")"),0)</f>
        <v>0</v>
      </c>
      <c r="Y43" s="221">
        <f t="shared" ca="1" si="36"/>
        <v>0</v>
      </c>
      <c r="Z43" s="220">
        <f ca="1">IFERROR(__xludf.DUMMYFUNCTION("IMPORTRANGE(""https://docs.google.com/spreadsheets/d/1XL5vhW3sbDhbH9Cz0tuDiY8C3ctxq1tqvaCgkFb8cCA/edit?usp=sharing"",""ยโสธร!J316"")"),0)</f>
        <v>0</v>
      </c>
      <c r="AA43" s="221">
        <f t="shared" ca="1" si="37"/>
        <v>0</v>
      </c>
      <c r="AB43" s="220">
        <f ca="1">IFERROR(__xludf.DUMMYFUNCTION("IMPORTRANGE(""https://docs.google.com/spreadsheets/d/1XL5vhW3sbDhbH9Cz0tuDiY8C3ctxq1tqvaCgkFb8cCA/edit?usp=sharing"",""ยโสธร!J318"")"),0)</f>
        <v>0</v>
      </c>
      <c r="AC43" s="220">
        <f ca="1">IFERROR(__xludf.DUMMYFUNCTION("IMPORTRANGE(""https://docs.google.com/spreadsheets/d/1XL5vhW3sbDhbH9Cz0tuDiY8C3ctxq1tqvaCgkFb8cCA/edit?usp=sharing"",""ยโสธร!J319"")"),0)</f>
        <v>0</v>
      </c>
      <c r="AD43" s="220">
        <f ca="1">IFERROR(__xludf.DUMMYFUNCTION("IMPORTRANGE(""https://docs.google.com/spreadsheets/d/1XL5vhW3sbDhbH9Cz0tuDiY8C3ctxq1tqvaCgkFb8cCA/edit?usp=sharing"",""ยโสธร!J320"")"),0)</f>
        <v>0</v>
      </c>
      <c r="AE43" s="301">
        <v>30</v>
      </c>
      <c r="AF43" s="301">
        <v>10</v>
      </c>
      <c r="AG43" s="220">
        <f ca="1">IFERROR(__xludf.DUMMYFUNCTION("IMPORTRANGE(""https://docs.google.com/spreadsheets/d/1XL5vhW3sbDhbH9Cz0tuDiY8C3ctxq1tqvaCgkFb8cCA/edit?usp=sharing"",""ยโสธร!J322"")"),0)</f>
        <v>0</v>
      </c>
      <c r="AH43" s="221">
        <f t="shared" ca="1" si="38"/>
        <v>0</v>
      </c>
      <c r="AI43" s="220">
        <f ca="1">IFERROR(__xludf.DUMMYFUNCTION("IMPORTRANGE(""https://docs.google.com/spreadsheets/d/1XL5vhW3sbDhbH9Cz0tuDiY8C3ctxq1tqvaCgkFb8cCA/edit?usp=sharing"",""ยโสธร!J321"")"),0)</f>
        <v>0</v>
      </c>
      <c r="AJ43" s="221">
        <f t="shared" ca="1" si="39"/>
        <v>0</v>
      </c>
      <c r="AK43" s="220">
        <f ca="1">IFERROR(__xludf.DUMMYFUNCTION("IMPORTRANGE(""https://docs.google.com/spreadsheets/d/1XL5vhW3sbDhbH9Cz0tuDiY8C3ctxq1tqvaCgkFb8cCA/edit?usp=sharing"",""ยโสธร!J323"")"),0)</f>
        <v>0</v>
      </c>
      <c r="AL43" s="220">
        <f ca="1">IFERROR(__xludf.DUMMYFUNCTION("IMPORTRANGE(""https://docs.google.com/spreadsheets/d/1XL5vhW3sbDhbH9Cz0tuDiY8C3ctxq1tqvaCgkFb8cCA/edit?usp=sharing"",""ยโสธร!J324"")"),0)</f>
        <v>0</v>
      </c>
      <c r="AM43" s="220">
        <f t="shared" si="29"/>
        <v>45</v>
      </c>
      <c r="AN43" s="220">
        <f t="shared" ca="1" si="30"/>
        <v>0</v>
      </c>
      <c r="AO43" s="221">
        <f t="shared" ca="1" si="40"/>
        <v>0</v>
      </c>
      <c r="AP43" s="301">
        <v>20</v>
      </c>
      <c r="AQ43" s="220">
        <f ca="1">IFERROR(__xludf.DUMMYFUNCTION("IMPORTRANGE(""https://docs.google.com/spreadsheets/d/1XL5vhW3sbDhbH9Cz0tuDiY8C3ctxq1tqvaCgkFb8cCA/edit?usp=sharing"",""ยโสธร!J326"")"),0)</f>
        <v>0</v>
      </c>
      <c r="AR43" s="301">
        <v>25</v>
      </c>
      <c r="AS43" s="313">
        <f ca="1">IFERROR(__xludf.DUMMYFUNCTION("IMPORTRANGE(""https://docs.google.com/spreadsheets/d/1XL5vhW3sbDhbH9Cz0tuDiY8C3ctxq1tqvaCgkFb8cCA/edit?usp=sharing"",""ยโสธร!J327"")"),0)</f>
        <v>0</v>
      </c>
    </row>
    <row r="44" spans="1:45" ht="24" customHeight="1" x14ac:dyDescent="0.5">
      <c r="A44" s="216">
        <v>11</v>
      </c>
      <c r="B44" s="194" t="s">
        <v>59</v>
      </c>
      <c r="C44" s="312">
        <f t="shared" si="24"/>
        <v>175650</v>
      </c>
      <c r="D44" s="218">
        <v>0</v>
      </c>
      <c r="E44" s="218">
        <v>175650</v>
      </c>
      <c r="F44" s="219">
        <f ca="1">IFERROR(__xludf.DUMMYFUNCTION("IMPORTRANGE(""https://docs.google.com/spreadsheets/d/1XL5vhW3sbDhbH9Cz0tuDiY8C3ctxq1tqvaCgkFb8cCA/edit?usp=sharing"",""ร้อยเอ็ด!M299"")"),0)</f>
        <v>0</v>
      </c>
      <c r="G44" s="219">
        <f t="shared" ca="1" si="31"/>
        <v>0</v>
      </c>
      <c r="H44" s="220">
        <f t="shared" si="25"/>
        <v>150</v>
      </c>
      <c r="I44" s="220">
        <f t="shared" si="26"/>
        <v>50</v>
      </c>
      <c r="J44" s="220">
        <f t="shared" ca="1" si="27"/>
        <v>0</v>
      </c>
      <c r="K44" s="221">
        <f t="shared" ca="1" si="32"/>
        <v>0</v>
      </c>
      <c r="L44" s="220">
        <f t="shared" ca="1" si="28"/>
        <v>0</v>
      </c>
      <c r="M44" s="221">
        <f t="shared" ca="1" si="33"/>
        <v>0</v>
      </c>
      <c r="N44" s="301">
        <v>45</v>
      </c>
      <c r="O44" s="301">
        <v>15</v>
      </c>
      <c r="P44" s="220">
        <f ca="1">IFERROR(__xludf.DUMMYFUNCTION("IMPORTRANGE(""https://docs.google.com/spreadsheets/d/1XL5vhW3sbDhbH9Cz0tuDiY8C3ctxq1tqvaCgkFb8cCA/edit?usp=sharing"",""ร้อยเอ็ด!J313"")"),0)</f>
        <v>0</v>
      </c>
      <c r="Q44" s="221">
        <f t="shared" ca="1" si="34"/>
        <v>0</v>
      </c>
      <c r="R44" s="220">
        <f ca="1">IFERROR(__xludf.DUMMYFUNCTION("IMPORTRANGE(""https://docs.google.com/spreadsheets/d/1XL5vhW3sbDhbH9Cz0tuDiY8C3ctxq1tqvaCgkFb8cCA/edit?usp=sharing"",""ร้อยเอ็ด!J312"")"),0)</f>
        <v>0</v>
      </c>
      <c r="S44" s="221">
        <f t="shared" ca="1" si="35"/>
        <v>0</v>
      </c>
      <c r="T44" s="221">
        <f ca="1">IFERROR(__xludf.DUMMYFUNCTION("IMPORTRANGE(""https://docs.google.com/spreadsheets/d/1XL5vhW3sbDhbH9Cz0tuDiY8C3ctxq1tqvaCgkFb8cCA/edit?usp=sharing"",""ร้อยเอ็ด!J314"")"),0)</f>
        <v>0</v>
      </c>
      <c r="U44" s="221">
        <f ca="1">IFERROR(__xludf.DUMMYFUNCTION("IMPORTRANGE(""https://docs.google.com/spreadsheets/d/1XL5vhW3sbDhbH9Cz0tuDiY8C3ctxq1tqvaCgkFb8cCA/edit?usp=sharing"",""ร้อยเอ็ด!J315"")"),0)</f>
        <v>0</v>
      </c>
      <c r="V44" s="301">
        <v>75</v>
      </c>
      <c r="W44" s="301">
        <v>25</v>
      </c>
      <c r="X44" s="220">
        <f ca="1">IFERROR(__xludf.DUMMYFUNCTION("IMPORTRANGE(""https://docs.google.com/spreadsheets/d/1XL5vhW3sbDhbH9Cz0tuDiY8C3ctxq1tqvaCgkFb8cCA/edit?usp=sharing"",""ร้อยเอ็ด!J317"")"),0)</f>
        <v>0</v>
      </c>
      <c r="Y44" s="221">
        <f t="shared" ca="1" si="36"/>
        <v>0</v>
      </c>
      <c r="Z44" s="220">
        <f ca="1">IFERROR(__xludf.DUMMYFUNCTION("IMPORTRANGE(""https://docs.google.com/spreadsheets/d/1XL5vhW3sbDhbH9Cz0tuDiY8C3ctxq1tqvaCgkFb8cCA/edit?usp=sharing"",""ร้อยเอ็ด!J316"")"),0)</f>
        <v>0</v>
      </c>
      <c r="AA44" s="221">
        <f t="shared" ca="1" si="37"/>
        <v>0</v>
      </c>
      <c r="AB44" s="220">
        <f ca="1">IFERROR(__xludf.DUMMYFUNCTION("IMPORTRANGE(""https://docs.google.com/spreadsheets/d/1XL5vhW3sbDhbH9Cz0tuDiY8C3ctxq1tqvaCgkFb8cCA/edit?usp=sharing"",""ร้อยเอ็ด!J318"")"),0)</f>
        <v>0</v>
      </c>
      <c r="AC44" s="220">
        <f ca="1">IFERROR(__xludf.DUMMYFUNCTION("IMPORTRANGE(""https://docs.google.com/spreadsheets/d/1XL5vhW3sbDhbH9Cz0tuDiY8C3ctxq1tqvaCgkFb8cCA/edit?usp=sharing"",""ร้อยเอ็ด!J319"")"),0)</f>
        <v>0</v>
      </c>
      <c r="AD44" s="220">
        <f ca="1">IFERROR(__xludf.DUMMYFUNCTION("IMPORTRANGE(""https://docs.google.com/spreadsheets/d/1XL5vhW3sbDhbH9Cz0tuDiY8C3ctxq1tqvaCgkFb8cCA/edit?usp=sharing"",""ร้อยเอ็ด!J320"")"),0)</f>
        <v>0</v>
      </c>
      <c r="AE44" s="301">
        <v>30</v>
      </c>
      <c r="AF44" s="301">
        <v>10</v>
      </c>
      <c r="AG44" s="220">
        <f ca="1">IFERROR(__xludf.DUMMYFUNCTION("IMPORTRANGE(""https://docs.google.com/spreadsheets/d/1XL5vhW3sbDhbH9Cz0tuDiY8C3ctxq1tqvaCgkFb8cCA/edit?usp=sharing"",""ร้อยเอ็ด!J322"")"),0)</f>
        <v>0</v>
      </c>
      <c r="AH44" s="221">
        <f t="shared" ca="1" si="38"/>
        <v>0</v>
      </c>
      <c r="AI44" s="220">
        <f ca="1">IFERROR(__xludf.DUMMYFUNCTION("IMPORTRANGE(""https://docs.google.com/spreadsheets/d/1XL5vhW3sbDhbH9Cz0tuDiY8C3ctxq1tqvaCgkFb8cCA/edit?usp=sharing"",""ร้อยเอ็ด!J321"")"),0)</f>
        <v>0</v>
      </c>
      <c r="AJ44" s="221">
        <f t="shared" ca="1" si="39"/>
        <v>0</v>
      </c>
      <c r="AK44" s="220">
        <f ca="1">IFERROR(__xludf.DUMMYFUNCTION("IMPORTRANGE(""https://docs.google.com/spreadsheets/d/1XL5vhW3sbDhbH9Cz0tuDiY8C3ctxq1tqvaCgkFb8cCA/edit?usp=sharing"",""ร้อยเอ็ด!J323"")"),0)</f>
        <v>0</v>
      </c>
      <c r="AL44" s="220">
        <f ca="1">IFERROR(__xludf.DUMMYFUNCTION("IMPORTRANGE(""https://docs.google.com/spreadsheets/d/1XL5vhW3sbDhbH9Cz0tuDiY8C3ctxq1tqvaCgkFb8cCA/edit?usp=sharing"",""ร้อยเอ็ด!J324"")"),0)</f>
        <v>0</v>
      </c>
      <c r="AM44" s="220">
        <f t="shared" si="29"/>
        <v>40</v>
      </c>
      <c r="AN44" s="220">
        <f t="shared" ca="1" si="30"/>
        <v>0</v>
      </c>
      <c r="AO44" s="221">
        <f t="shared" ca="1" si="40"/>
        <v>0</v>
      </c>
      <c r="AP44" s="301">
        <v>15</v>
      </c>
      <c r="AQ44" s="220">
        <f ca="1">IFERROR(__xludf.DUMMYFUNCTION("IMPORTRANGE(""https://docs.google.com/spreadsheets/d/1XL5vhW3sbDhbH9Cz0tuDiY8C3ctxq1tqvaCgkFb8cCA/edit?usp=sharing"",""ร้อยเอ็ด!J326"")"),0)</f>
        <v>0</v>
      </c>
      <c r="AR44" s="301">
        <v>25</v>
      </c>
      <c r="AS44" s="313">
        <f ca="1">IFERROR(__xludf.DUMMYFUNCTION("IMPORTRANGE(""https://docs.google.com/spreadsheets/d/1XL5vhW3sbDhbH9Cz0tuDiY8C3ctxq1tqvaCgkFb8cCA/edit?usp=sharing"",""ร้อยเอ็ด!J327"")"),0)</f>
        <v>0</v>
      </c>
    </row>
    <row r="45" spans="1:45" ht="24" customHeight="1" x14ac:dyDescent="0.5">
      <c r="A45" s="216">
        <v>12</v>
      </c>
      <c r="B45" s="194" t="s">
        <v>60</v>
      </c>
      <c r="C45" s="312">
        <f t="shared" si="24"/>
        <v>147110</v>
      </c>
      <c r="D45" s="218">
        <v>0</v>
      </c>
      <c r="E45" s="218">
        <v>147110</v>
      </c>
      <c r="F45" s="219">
        <f ca="1">IFERROR(__xludf.DUMMYFUNCTION("IMPORTRANGE(""https://docs.google.com/spreadsheets/d/1XL5vhW3sbDhbH9Cz0tuDiY8C3ctxq1tqvaCgkFb8cCA/edit?usp=sharing"",""เลย!M299"")"),0)</f>
        <v>0</v>
      </c>
      <c r="G45" s="219">
        <f t="shared" ca="1" si="31"/>
        <v>0</v>
      </c>
      <c r="H45" s="220">
        <f t="shared" si="25"/>
        <v>120</v>
      </c>
      <c r="I45" s="220">
        <f t="shared" si="26"/>
        <v>40</v>
      </c>
      <c r="J45" s="220">
        <f t="shared" ca="1" si="27"/>
        <v>0</v>
      </c>
      <c r="K45" s="221">
        <f t="shared" ca="1" si="32"/>
        <v>0</v>
      </c>
      <c r="L45" s="220">
        <f t="shared" ca="1" si="28"/>
        <v>0</v>
      </c>
      <c r="M45" s="221">
        <f t="shared" ca="1" si="33"/>
        <v>0</v>
      </c>
      <c r="N45" s="301">
        <v>45</v>
      </c>
      <c r="O45" s="301">
        <v>15</v>
      </c>
      <c r="P45" s="220">
        <f ca="1">IFERROR(__xludf.DUMMYFUNCTION("IMPORTRANGE(""https://docs.google.com/spreadsheets/d/1XL5vhW3sbDhbH9Cz0tuDiY8C3ctxq1tqvaCgkFb8cCA/edit?usp=sharing"",""เลย!J313"")"),0)</f>
        <v>0</v>
      </c>
      <c r="Q45" s="221">
        <f t="shared" ca="1" si="34"/>
        <v>0</v>
      </c>
      <c r="R45" s="220">
        <f ca="1">IFERROR(__xludf.DUMMYFUNCTION("IMPORTRANGE(""https://docs.google.com/spreadsheets/d/1XL5vhW3sbDhbH9Cz0tuDiY8C3ctxq1tqvaCgkFb8cCA/edit?usp=sharing"",""เลย!J312"")"),0)</f>
        <v>0</v>
      </c>
      <c r="S45" s="221">
        <f t="shared" ca="1" si="35"/>
        <v>0</v>
      </c>
      <c r="T45" s="221">
        <f ca="1">IFERROR(__xludf.DUMMYFUNCTION("IMPORTRANGE(""https://docs.google.com/spreadsheets/d/1XL5vhW3sbDhbH9Cz0tuDiY8C3ctxq1tqvaCgkFb8cCA/edit?usp=sharing"",""เลย!J314"")"),0)</f>
        <v>0</v>
      </c>
      <c r="U45" s="221">
        <f ca="1">IFERROR(__xludf.DUMMYFUNCTION("IMPORTRANGE(""https://docs.google.com/spreadsheets/d/1XL5vhW3sbDhbH9Cz0tuDiY8C3ctxq1tqvaCgkFb8cCA/edit?usp=sharing"",""เลย!J315"")"),0)</f>
        <v>0</v>
      </c>
      <c r="V45" s="301">
        <v>45</v>
      </c>
      <c r="W45" s="301">
        <v>15</v>
      </c>
      <c r="X45" s="220">
        <f ca="1">IFERROR(__xludf.DUMMYFUNCTION("IMPORTRANGE(""https://docs.google.com/spreadsheets/d/1XL5vhW3sbDhbH9Cz0tuDiY8C3ctxq1tqvaCgkFb8cCA/edit?usp=sharing"",""เลย!J317"")"),0)</f>
        <v>0</v>
      </c>
      <c r="Y45" s="221">
        <f t="shared" ca="1" si="36"/>
        <v>0</v>
      </c>
      <c r="Z45" s="220">
        <f ca="1">IFERROR(__xludf.DUMMYFUNCTION("IMPORTRANGE(""https://docs.google.com/spreadsheets/d/1XL5vhW3sbDhbH9Cz0tuDiY8C3ctxq1tqvaCgkFb8cCA/edit?usp=sharing"",""เลย!J316"")"),0)</f>
        <v>0</v>
      </c>
      <c r="AA45" s="221">
        <f t="shared" ca="1" si="37"/>
        <v>0</v>
      </c>
      <c r="AB45" s="220">
        <f ca="1">IFERROR(__xludf.DUMMYFUNCTION("IMPORTRANGE(""https://docs.google.com/spreadsheets/d/1XL5vhW3sbDhbH9Cz0tuDiY8C3ctxq1tqvaCgkFb8cCA/edit?usp=sharing"",""เลย!J318"")"),0)</f>
        <v>0</v>
      </c>
      <c r="AC45" s="220">
        <f ca="1">IFERROR(__xludf.DUMMYFUNCTION("IMPORTRANGE(""https://docs.google.com/spreadsheets/d/1XL5vhW3sbDhbH9Cz0tuDiY8C3ctxq1tqvaCgkFb8cCA/edit?usp=sharing"",""เลย!J319"")"),0)</f>
        <v>0</v>
      </c>
      <c r="AD45" s="220">
        <f ca="1">IFERROR(__xludf.DUMMYFUNCTION("IMPORTRANGE(""https://docs.google.com/spreadsheets/d/1XL5vhW3sbDhbH9Cz0tuDiY8C3ctxq1tqvaCgkFb8cCA/edit?usp=sharing"",""เลย!J320"")"),0)</f>
        <v>0</v>
      </c>
      <c r="AE45" s="301">
        <v>30</v>
      </c>
      <c r="AF45" s="301">
        <v>10</v>
      </c>
      <c r="AG45" s="220">
        <f ca="1">IFERROR(__xludf.DUMMYFUNCTION("IMPORTRANGE(""https://docs.google.com/spreadsheets/d/1XL5vhW3sbDhbH9Cz0tuDiY8C3ctxq1tqvaCgkFb8cCA/edit?usp=sharing"",""เลย!J322"")"),0)</f>
        <v>0</v>
      </c>
      <c r="AH45" s="221">
        <f t="shared" ca="1" si="38"/>
        <v>0</v>
      </c>
      <c r="AI45" s="220">
        <f ca="1">IFERROR(__xludf.DUMMYFUNCTION("IMPORTRANGE(""https://docs.google.com/spreadsheets/d/1XL5vhW3sbDhbH9Cz0tuDiY8C3ctxq1tqvaCgkFb8cCA/edit?usp=sharing"",""เลย!J321"")"),0)</f>
        <v>0</v>
      </c>
      <c r="AJ45" s="221">
        <f t="shared" ca="1" si="39"/>
        <v>0</v>
      </c>
      <c r="AK45" s="220">
        <f ca="1">IFERROR(__xludf.DUMMYFUNCTION("IMPORTRANGE(""https://docs.google.com/spreadsheets/d/1XL5vhW3sbDhbH9Cz0tuDiY8C3ctxq1tqvaCgkFb8cCA/edit?usp=sharing"",""เลย!J323"")"),0)</f>
        <v>0</v>
      </c>
      <c r="AL45" s="220">
        <f ca="1">IFERROR(__xludf.DUMMYFUNCTION("IMPORTRANGE(""https://docs.google.com/spreadsheets/d/1XL5vhW3sbDhbH9Cz0tuDiY8C3ctxq1tqvaCgkFb8cCA/edit?usp=sharing"",""เลย!J324"")"),0)</f>
        <v>0</v>
      </c>
      <c r="AM45" s="220">
        <f t="shared" si="29"/>
        <v>30</v>
      </c>
      <c r="AN45" s="220">
        <f t="shared" ca="1" si="30"/>
        <v>0</v>
      </c>
      <c r="AO45" s="221">
        <f t="shared" ca="1" si="40"/>
        <v>0</v>
      </c>
      <c r="AP45" s="301">
        <v>15</v>
      </c>
      <c r="AQ45" s="220">
        <f ca="1">IFERROR(__xludf.DUMMYFUNCTION("IMPORTRANGE(""https://docs.google.com/spreadsheets/d/1XL5vhW3sbDhbH9Cz0tuDiY8C3ctxq1tqvaCgkFb8cCA/edit?usp=sharing"",""เลย!J326"")"),0)</f>
        <v>0</v>
      </c>
      <c r="AR45" s="301">
        <v>15</v>
      </c>
      <c r="AS45" s="313">
        <f ca="1">IFERROR(__xludf.DUMMYFUNCTION("IMPORTRANGE(""https://docs.google.com/spreadsheets/d/1XL5vhW3sbDhbH9Cz0tuDiY8C3ctxq1tqvaCgkFb8cCA/edit?usp=sharing"",""เลย!J327"")"),0)</f>
        <v>0</v>
      </c>
    </row>
    <row r="46" spans="1:45" ht="24" customHeight="1" x14ac:dyDescent="0.5">
      <c r="A46" s="216">
        <v>13</v>
      </c>
      <c r="B46" s="194" t="s">
        <v>61</v>
      </c>
      <c r="C46" s="312">
        <f t="shared" si="24"/>
        <v>206330</v>
      </c>
      <c r="D46" s="218">
        <v>0</v>
      </c>
      <c r="E46" s="218">
        <v>206330</v>
      </c>
      <c r="F46" s="219">
        <f ca="1">IFERROR(__xludf.DUMMYFUNCTION("IMPORTRANGE(""https://docs.google.com/spreadsheets/d/1XL5vhW3sbDhbH9Cz0tuDiY8C3ctxq1tqvaCgkFb8cCA/edit?usp=sharing"",""ศรีสะเกษ!M299"")"),0)</f>
        <v>0</v>
      </c>
      <c r="G46" s="219">
        <f t="shared" ca="1" si="31"/>
        <v>0</v>
      </c>
      <c r="H46" s="220">
        <f t="shared" si="25"/>
        <v>195</v>
      </c>
      <c r="I46" s="220">
        <f t="shared" si="26"/>
        <v>65</v>
      </c>
      <c r="J46" s="220">
        <f t="shared" ca="1" si="27"/>
        <v>0</v>
      </c>
      <c r="K46" s="221">
        <f t="shared" ca="1" si="32"/>
        <v>0</v>
      </c>
      <c r="L46" s="220">
        <f t="shared" ca="1" si="28"/>
        <v>0</v>
      </c>
      <c r="M46" s="221">
        <f t="shared" ca="1" si="33"/>
        <v>0</v>
      </c>
      <c r="N46" s="301">
        <v>39</v>
      </c>
      <c r="O46" s="301">
        <v>13</v>
      </c>
      <c r="P46" s="220">
        <f ca="1">IFERROR(__xludf.DUMMYFUNCTION("IMPORTRANGE(""https://docs.google.com/spreadsheets/d/1XL5vhW3sbDhbH9Cz0tuDiY8C3ctxq1tqvaCgkFb8cCA/edit?usp=sharing"",""ศรีสะเกษ!J313"")"),0)</f>
        <v>0</v>
      </c>
      <c r="Q46" s="221">
        <f t="shared" ca="1" si="34"/>
        <v>0</v>
      </c>
      <c r="R46" s="220">
        <f ca="1">IFERROR(__xludf.DUMMYFUNCTION("IMPORTRANGE(""https://docs.google.com/spreadsheets/d/1XL5vhW3sbDhbH9Cz0tuDiY8C3ctxq1tqvaCgkFb8cCA/edit?usp=sharing"",""ศรีสะเกษ!J312"")"),0)</f>
        <v>0</v>
      </c>
      <c r="S46" s="221">
        <f t="shared" ca="1" si="35"/>
        <v>0</v>
      </c>
      <c r="T46" s="221">
        <f ca="1">IFERROR(__xludf.DUMMYFUNCTION("IMPORTRANGE(""https://docs.google.com/spreadsheets/d/1XL5vhW3sbDhbH9Cz0tuDiY8C3ctxq1tqvaCgkFb8cCA/edit?usp=sharing"",""ศรีสะเกษ!J314"")"),0)</f>
        <v>0</v>
      </c>
      <c r="U46" s="221">
        <f ca="1">IFERROR(__xludf.DUMMYFUNCTION("IMPORTRANGE(""https://docs.google.com/spreadsheets/d/1XL5vhW3sbDhbH9Cz0tuDiY8C3ctxq1tqvaCgkFb8cCA/edit?usp=sharing"",""ศรีสะเกษ!J315"")"),0)</f>
        <v>0</v>
      </c>
      <c r="V46" s="301">
        <v>105</v>
      </c>
      <c r="W46" s="301">
        <v>35</v>
      </c>
      <c r="X46" s="220">
        <f ca="1">IFERROR(__xludf.DUMMYFUNCTION("IMPORTRANGE(""https://docs.google.com/spreadsheets/d/1XL5vhW3sbDhbH9Cz0tuDiY8C3ctxq1tqvaCgkFb8cCA/edit?usp=sharing"",""ศรีสะเกษ!J317"")"),0)</f>
        <v>0</v>
      </c>
      <c r="Y46" s="221">
        <f t="shared" ca="1" si="36"/>
        <v>0</v>
      </c>
      <c r="Z46" s="220">
        <f ca="1">IFERROR(__xludf.DUMMYFUNCTION("IMPORTRANGE(""https://docs.google.com/spreadsheets/d/1XL5vhW3sbDhbH9Cz0tuDiY8C3ctxq1tqvaCgkFb8cCA/edit?usp=sharing"",""ศรีสะเกษ!J316"")"),0)</f>
        <v>0</v>
      </c>
      <c r="AA46" s="221">
        <f t="shared" ca="1" si="37"/>
        <v>0</v>
      </c>
      <c r="AB46" s="220">
        <f ca="1">IFERROR(__xludf.DUMMYFUNCTION("IMPORTRANGE(""https://docs.google.com/spreadsheets/d/1XL5vhW3sbDhbH9Cz0tuDiY8C3ctxq1tqvaCgkFb8cCA/edit?usp=sharing"",""ศรีสะเกษ!J318"")"),0)</f>
        <v>0</v>
      </c>
      <c r="AC46" s="220">
        <f ca="1">IFERROR(__xludf.DUMMYFUNCTION("IMPORTRANGE(""https://docs.google.com/spreadsheets/d/1XL5vhW3sbDhbH9Cz0tuDiY8C3ctxq1tqvaCgkFb8cCA/edit?usp=sharing"",""ศรีสะเกษ!J319"")"),0)</f>
        <v>0</v>
      </c>
      <c r="AD46" s="220">
        <f ca="1">IFERROR(__xludf.DUMMYFUNCTION("IMPORTRANGE(""https://docs.google.com/spreadsheets/d/1XL5vhW3sbDhbH9Cz0tuDiY8C3ctxq1tqvaCgkFb8cCA/edit?usp=sharing"",""ศรีสะเกษ!J320"")"),0)</f>
        <v>0</v>
      </c>
      <c r="AE46" s="301">
        <v>51</v>
      </c>
      <c r="AF46" s="301">
        <v>17</v>
      </c>
      <c r="AG46" s="220">
        <f ca="1">IFERROR(__xludf.DUMMYFUNCTION("IMPORTRANGE(""https://docs.google.com/spreadsheets/d/1XL5vhW3sbDhbH9Cz0tuDiY8C3ctxq1tqvaCgkFb8cCA/edit?usp=sharing"",""ศรีสะเกษ!J322"")"),0)</f>
        <v>0</v>
      </c>
      <c r="AH46" s="221">
        <f t="shared" ca="1" si="38"/>
        <v>0</v>
      </c>
      <c r="AI46" s="220">
        <f ca="1">IFERROR(__xludf.DUMMYFUNCTION("IMPORTRANGE(""https://docs.google.com/spreadsheets/d/1XL5vhW3sbDhbH9Cz0tuDiY8C3ctxq1tqvaCgkFb8cCA/edit?usp=sharing"",""ศรีสะเกษ!J321"")"),0)</f>
        <v>0</v>
      </c>
      <c r="AJ46" s="221">
        <f t="shared" ca="1" si="39"/>
        <v>0</v>
      </c>
      <c r="AK46" s="220">
        <f ca="1">IFERROR(__xludf.DUMMYFUNCTION("IMPORTRANGE(""https://docs.google.com/spreadsheets/d/1XL5vhW3sbDhbH9Cz0tuDiY8C3ctxq1tqvaCgkFb8cCA/edit?usp=sharing"",""ศรีสะเกษ!J323"")"),0)</f>
        <v>0</v>
      </c>
      <c r="AL46" s="220">
        <f ca="1">IFERROR(__xludf.DUMMYFUNCTION("IMPORTRANGE(""https://docs.google.com/spreadsheets/d/1XL5vhW3sbDhbH9Cz0tuDiY8C3ctxq1tqvaCgkFb8cCA/edit?usp=sharing"",""ศรีสะเกษ!J324"")"),0)</f>
        <v>0</v>
      </c>
      <c r="AM46" s="220">
        <f t="shared" si="29"/>
        <v>48</v>
      </c>
      <c r="AN46" s="220">
        <f t="shared" ca="1" si="30"/>
        <v>0</v>
      </c>
      <c r="AO46" s="221">
        <f t="shared" ca="1" si="40"/>
        <v>0</v>
      </c>
      <c r="AP46" s="301">
        <v>13</v>
      </c>
      <c r="AQ46" s="220">
        <f ca="1">IFERROR(__xludf.DUMMYFUNCTION("IMPORTRANGE(""https://docs.google.com/spreadsheets/d/1XL5vhW3sbDhbH9Cz0tuDiY8C3ctxq1tqvaCgkFb8cCA/edit?usp=sharing"",""ศรีสะเกษ!J326"")"),0)</f>
        <v>0</v>
      </c>
      <c r="AR46" s="301">
        <v>35</v>
      </c>
      <c r="AS46" s="313">
        <f ca="1">IFERROR(__xludf.DUMMYFUNCTION("IMPORTRANGE(""https://docs.google.com/spreadsheets/d/1XL5vhW3sbDhbH9Cz0tuDiY8C3ctxq1tqvaCgkFb8cCA/edit?usp=sharing"",""ศรีสะเกษ!J327"")"),0)</f>
        <v>0</v>
      </c>
    </row>
    <row r="47" spans="1:45" ht="24" customHeight="1" x14ac:dyDescent="0.5">
      <c r="A47" s="216">
        <v>14</v>
      </c>
      <c r="B47" s="194" t="s">
        <v>62</v>
      </c>
      <c r="C47" s="312">
        <f t="shared" si="24"/>
        <v>208700</v>
      </c>
      <c r="D47" s="218">
        <v>0</v>
      </c>
      <c r="E47" s="218">
        <v>208700</v>
      </c>
      <c r="F47" s="219">
        <f ca="1">IFERROR(__xludf.DUMMYFUNCTION("IMPORTRANGE(""https://docs.google.com/spreadsheets/d/1XL5vhW3sbDhbH9Cz0tuDiY8C3ctxq1tqvaCgkFb8cCA/edit?usp=sharing"",""สกลนคร!M299"")"),0)</f>
        <v>0</v>
      </c>
      <c r="G47" s="219">
        <f t="shared" ca="1" si="31"/>
        <v>0</v>
      </c>
      <c r="H47" s="220">
        <f t="shared" si="25"/>
        <v>186</v>
      </c>
      <c r="I47" s="220">
        <f t="shared" si="26"/>
        <v>62</v>
      </c>
      <c r="J47" s="220">
        <f t="shared" ca="1" si="27"/>
        <v>0</v>
      </c>
      <c r="K47" s="221">
        <f t="shared" ca="1" si="32"/>
        <v>0</v>
      </c>
      <c r="L47" s="220">
        <f t="shared" ca="1" si="28"/>
        <v>0</v>
      </c>
      <c r="M47" s="221">
        <f t="shared" ca="1" si="33"/>
        <v>0</v>
      </c>
      <c r="N47" s="301">
        <v>60</v>
      </c>
      <c r="O47" s="301">
        <v>20</v>
      </c>
      <c r="P47" s="220">
        <f ca="1">IFERROR(__xludf.DUMMYFUNCTION("IMPORTRANGE(""https://docs.google.com/spreadsheets/d/1XL5vhW3sbDhbH9Cz0tuDiY8C3ctxq1tqvaCgkFb8cCA/edit?usp=sharing"",""สกลนคร!J313"")"),0)</f>
        <v>0</v>
      </c>
      <c r="Q47" s="221">
        <f t="shared" ca="1" si="34"/>
        <v>0</v>
      </c>
      <c r="R47" s="220">
        <f ca="1">IFERROR(__xludf.DUMMYFUNCTION("IMPORTRANGE(""https://docs.google.com/spreadsheets/d/1XL5vhW3sbDhbH9Cz0tuDiY8C3ctxq1tqvaCgkFb8cCA/edit?usp=sharing"",""สกลนคร!J312"")"),0)</f>
        <v>0</v>
      </c>
      <c r="S47" s="221">
        <f t="shared" ca="1" si="35"/>
        <v>0</v>
      </c>
      <c r="T47" s="221">
        <f ca="1">IFERROR(__xludf.DUMMYFUNCTION("IMPORTRANGE(""https://docs.google.com/spreadsheets/d/1XL5vhW3sbDhbH9Cz0tuDiY8C3ctxq1tqvaCgkFb8cCA/edit?usp=sharing"",""สกลนคร!J314"")"),0)</f>
        <v>0</v>
      </c>
      <c r="U47" s="221">
        <f ca="1">IFERROR(__xludf.DUMMYFUNCTION("IMPORTRANGE(""https://docs.google.com/spreadsheets/d/1XL5vhW3sbDhbH9Cz0tuDiY8C3ctxq1tqvaCgkFb8cCA/edit?usp=sharing"",""สกลนคร!J315"")"),0)</f>
        <v>0</v>
      </c>
      <c r="V47" s="301">
        <v>90</v>
      </c>
      <c r="W47" s="301">
        <v>30</v>
      </c>
      <c r="X47" s="220">
        <f ca="1">IFERROR(__xludf.DUMMYFUNCTION("IMPORTRANGE(""https://docs.google.com/spreadsheets/d/1XL5vhW3sbDhbH9Cz0tuDiY8C3ctxq1tqvaCgkFb8cCA/edit?usp=sharing"",""สกลนคร!J317"")"),0)</f>
        <v>0</v>
      </c>
      <c r="Y47" s="221">
        <f t="shared" ca="1" si="36"/>
        <v>0</v>
      </c>
      <c r="Z47" s="220">
        <f ca="1">IFERROR(__xludf.DUMMYFUNCTION("IMPORTRANGE(""https://docs.google.com/spreadsheets/d/1XL5vhW3sbDhbH9Cz0tuDiY8C3ctxq1tqvaCgkFb8cCA/edit?usp=sharing"",""สกลนคร!J316"")"),0)</f>
        <v>0</v>
      </c>
      <c r="AA47" s="221">
        <f t="shared" ca="1" si="37"/>
        <v>0</v>
      </c>
      <c r="AB47" s="220">
        <f ca="1">IFERROR(__xludf.DUMMYFUNCTION("IMPORTRANGE(""https://docs.google.com/spreadsheets/d/1XL5vhW3sbDhbH9Cz0tuDiY8C3ctxq1tqvaCgkFb8cCA/edit?usp=sharing"",""สกลนคร!J318"")"),0)</f>
        <v>0</v>
      </c>
      <c r="AC47" s="220">
        <f ca="1">IFERROR(__xludf.DUMMYFUNCTION("IMPORTRANGE(""https://docs.google.com/spreadsheets/d/1XL5vhW3sbDhbH9Cz0tuDiY8C3ctxq1tqvaCgkFb8cCA/edit?usp=sharing"",""สกลนคร!J319"")"),0)</f>
        <v>0</v>
      </c>
      <c r="AD47" s="220">
        <f ca="1">IFERROR(__xludf.DUMMYFUNCTION("IMPORTRANGE(""https://docs.google.com/spreadsheets/d/1XL5vhW3sbDhbH9Cz0tuDiY8C3ctxq1tqvaCgkFb8cCA/edit?usp=sharing"",""สกลนคร!J320"")"),0)</f>
        <v>0</v>
      </c>
      <c r="AE47" s="301">
        <v>36</v>
      </c>
      <c r="AF47" s="301">
        <v>12</v>
      </c>
      <c r="AG47" s="220">
        <f ca="1">IFERROR(__xludf.DUMMYFUNCTION("IMPORTRANGE(""https://docs.google.com/spreadsheets/d/1XL5vhW3sbDhbH9Cz0tuDiY8C3ctxq1tqvaCgkFb8cCA/edit?usp=sharing"",""สกลนคร!J322"")"),0)</f>
        <v>0</v>
      </c>
      <c r="AH47" s="221">
        <f t="shared" ca="1" si="38"/>
        <v>0</v>
      </c>
      <c r="AI47" s="220">
        <f ca="1">IFERROR(__xludf.DUMMYFUNCTION("IMPORTRANGE(""https://docs.google.com/spreadsheets/d/1XL5vhW3sbDhbH9Cz0tuDiY8C3ctxq1tqvaCgkFb8cCA/edit?usp=sharing"",""สกลนคร!J321"")"),0)</f>
        <v>0</v>
      </c>
      <c r="AJ47" s="221">
        <f t="shared" ca="1" si="39"/>
        <v>0</v>
      </c>
      <c r="AK47" s="220">
        <f ca="1">IFERROR(__xludf.DUMMYFUNCTION("IMPORTRANGE(""https://docs.google.com/spreadsheets/d/1XL5vhW3sbDhbH9Cz0tuDiY8C3ctxq1tqvaCgkFb8cCA/edit?usp=sharing"",""สกลนคร!J323"")"),0)</f>
        <v>0</v>
      </c>
      <c r="AL47" s="220">
        <f ca="1">IFERROR(__xludf.DUMMYFUNCTION("IMPORTRANGE(""https://docs.google.com/spreadsheets/d/1XL5vhW3sbDhbH9Cz0tuDiY8C3ctxq1tqvaCgkFb8cCA/edit?usp=sharing"",""สกลนคร!J324"")"),0)</f>
        <v>0</v>
      </c>
      <c r="AM47" s="220">
        <f t="shared" si="29"/>
        <v>50</v>
      </c>
      <c r="AN47" s="220">
        <f t="shared" ca="1" si="30"/>
        <v>0</v>
      </c>
      <c r="AO47" s="221">
        <f t="shared" ca="1" si="40"/>
        <v>0</v>
      </c>
      <c r="AP47" s="301">
        <v>20</v>
      </c>
      <c r="AQ47" s="220">
        <f ca="1">IFERROR(__xludf.DUMMYFUNCTION("IMPORTRANGE(""https://docs.google.com/spreadsheets/d/1XL5vhW3sbDhbH9Cz0tuDiY8C3ctxq1tqvaCgkFb8cCA/edit?usp=sharing"",""สกลนคร!J326"")"),0)</f>
        <v>0</v>
      </c>
      <c r="AR47" s="301">
        <v>30</v>
      </c>
      <c r="AS47" s="313">
        <f ca="1">IFERROR(__xludf.DUMMYFUNCTION("IMPORTRANGE(""https://docs.google.com/spreadsheets/d/1XL5vhW3sbDhbH9Cz0tuDiY8C3ctxq1tqvaCgkFb8cCA/edit?usp=sharing"",""สกลนคร!J327"")"),0)</f>
        <v>0</v>
      </c>
    </row>
    <row r="48" spans="1:45" ht="24" customHeight="1" x14ac:dyDescent="0.5">
      <c r="A48" s="216">
        <v>15</v>
      </c>
      <c r="B48" s="194" t="s">
        <v>63</v>
      </c>
      <c r="C48" s="312">
        <f t="shared" si="24"/>
        <v>159950</v>
      </c>
      <c r="D48" s="218">
        <v>0</v>
      </c>
      <c r="E48" s="218">
        <v>159950</v>
      </c>
      <c r="F48" s="219">
        <f ca="1">IFERROR(__xludf.DUMMYFUNCTION("IMPORTRANGE(""https://docs.google.com/spreadsheets/d/1XL5vhW3sbDhbH9Cz0tuDiY8C3ctxq1tqvaCgkFb8cCA/edit?usp=sharing"",""สุรินทร์!M299"")"),0)</f>
        <v>0</v>
      </c>
      <c r="G48" s="219">
        <f t="shared" ca="1" si="31"/>
        <v>0</v>
      </c>
      <c r="H48" s="220">
        <f t="shared" si="25"/>
        <v>135</v>
      </c>
      <c r="I48" s="220">
        <f t="shared" si="26"/>
        <v>45</v>
      </c>
      <c r="J48" s="220">
        <f t="shared" ca="1" si="27"/>
        <v>0</v>
      </c>
      <c r="K48" s="221">
        <f t="shared" ca="1" si="32"/>
        <v>0</v>
      </c>
      <c r="L48" s="220">
        <f t="shared" ca="1" si="28"/>
        <v>0</v>
      </c>
      <c r="M48" s="221">
        <f t="shared" ca="1" si="33"/>
        <v>0</v>
      </c>
      <c r="N48" s="301">
        <v>30</v>
      </c>
      <c r="O48" s="301">
        <v>10</v>
      </c>
      <c r="P48" s="220">
        <f ca="1">IFERROR(__xludf.DUMMYFUNCTION("IMPORTRANGE(""https://docs.google.com/spreadsheets/d/1XL5vhW3sbDhbH9Cz0tuDiY8C3ctxq1tqvaCgkFb8cCA/edit?usp=sharing"",""สุรินทร์!J313"")"),0)</f>
        <v>0</v>
      </c>
      <c r="Q48" s="221">
        <f t="shared" ca="1" si="34"/>
        <v>0</v>
      </c>
      <c r="R48" s="220">
        <f ca="1">IFERROR(__xludf.DUMMYFUNCTION("IMPORTRANGE(""https://docs.google.com/spreadsheets/d/1XL5vhW3sbDhbH9Cz0tuDiY8C3ctxq1tqvaCgkFb8cCA/edit?usp=sharing"",""สุรินทร์!J312"")"),0)</f>
        <v>0</v>
      </c>
      <c r="S48" s="221">
        <f t="shared" ca="1" si="35"/>
        <v>0</v>
      </c>
      <c r="T48" s="221">
        <f ca="1">IFERROR(__xludf.DUMMYFUNCTION("IMPORTRANGE(""https://docs.google.com/spreadsheets/d/1XL5vhW3sbDhbH9Cz0tuDiY8C3ctxq1tqvaCgkFb8cCA/edit?usp=sharing"",""สุรินทร์!J314"")"),0)</f>
        <v>0</v>
      </c>
      <c r="U48" s="221">
        <f ca="1">IFERROR(__xludf.DUMMYFUNCTION("IMPORTRANGE(""https://docs.google.com/spreadsheets/d/1XL5vhW3sbDhbH9Cz0tuDiY8C3ctxq1tqvaCgkFb8cCA/edit?usp=sharing"",""สุรินทร์!J315"")"),0)</f>
        <v>0</v>
      </c>
      <c r="V48" s="301">
        <v>75</v>
      </c>
      <c r="W48" s="301">
        <v>25</v>
      </c>
      <c r="X48" s="220">
        <f ca="1">IFERROR(__xludf.DUMMYFUNCTION("IMPORTRANGE(""https://docs.google.com/spreadsheets/d/1XL5vhW3sbDhbH9Cz0tuDiY8C3ctxq1tqvaCgkFb8cCA/edit?usp=sharing"",""สุรินทร์!J317"")"),0)</f>
        <v>0</v>
      </c>
      <c r="Y48" s="221">
        <f t="shared" ca="1" si="36"/>
        <v>0</v>
      </c>
      <c r="Z48" s="220">
        <f ca="1">IFERROR(__xludf.DUMMYFUNCTION("IMPORTRANGE(""https://docs.google.com/spreadsheets/d/1XL5vhW3sbDhbH9Cz0tuDiY8C3ctxq1tqvaCgkFb8cCA/edit?usp=sharing"",""สุรินทร์!J316"")"),0)</f>
        <v>0</v>
      </c>
      <c r="AA48" s="221">
        <f t="shared" ca="1" si="37"/>
        <v>0</v>
      </c>
      <c r="AB48" s="220">
        <f ca="1">IFERROR(__xludf.DUMMYFUNCTION("IMPORTRANGE(""https://docs.google.com/spreadsheets/d/1XL5vhW3sbDhbH9Cz0tuDiY8C3ctxq1tqvaCgkFb8cCA/edit?usp=sharing"",""สุรินทร์!J318"")"),0)</f>
        <v>0</v>
      </c>
      <c r="AC48" s="220">
        <f ca="1">IFERROR(__xludf.DUMMYFUNCTION("IMPORTRANGE(""https://docs.google.com/spreadsheets/d/1XL5vhW3sbDhbH9Cz0tuDiY8C3ctxq1tqvaCgkFb8cCA/edit?usp=sharing"",""สุรินทร์!J319"")"),0)</f>
        <v>0</v>
      </c>
      <c r="AD48" s="220">
        <f ca="1">IFERROR(__xludf.DUMMYFUNCTION("IMPORTRANGE(""https://docs.google.com/spreadsheets/d/1XL5vhW3sbDhbH9Cz0tuDiY8C3ctxq1tqvaCgkFb8cCA/edit?usp=sharing"",""สุรินทร์!J320"")"),0)</f>
        <v>0</v>
      </c>
      <c r="AE48" s="301">
        <v>30</v>
      </c>
      <c r="AF48" s="301">
        <v>10</v>
      </c>
      <c r="AG48" s="220">
        <f ca="1">IFERROR(__xludf.DUMMYFUNCTION("IMPORTRANGE(""https://docs.google.com/spreadsheets/d/1XL5vhW3sbDhbH9Cz0tuDiY8C3ctxq1tqvaCgkFb8cCA/edit?usp=sharing"",""สุรินทร์!J322"")"),0)</f>
        <v>0</v>
      </c>
      <c r="AH48" s="221">
        <f t="shared" ca="1" si="38"/>
        <v>0</v>
      </c>
      <c r="AI48" s="220">
        <f ca="1">IFERROR(__xludf.DUMMYFUNCTION("IMPORTRANGE(""https://docs.google.com/spreadsheets/d/1XL5vhW3sbDhbH9Cz0tuDiY8C3ctxq1tqvaCgkFb8cCA/edit?usp=sharing"",""สุรินทร์!J321"")"),0)</f>
        <v>0</v>
      </c>
      <c r="AJ48" s="221">
        <f t="shared" ca="1" si="39"/>
        <v>0</v>
      </c>
      <c r="AK48" s="220">
        <f ca="1">IFERROR(__xludf.DUMMYFUNCTION("IMPORTRANGE(""https://docs.google.com/spreadsheets/d/1XL5vhW3sbDhbH9Cz0tuDiY8C3ctxq1tqvaCgkFb8cCA/edit?usp=sharing"",""สุรินทร์!J323"")"),0)</f>
        <v>0</v>
      </c>
      <c r="AL48" s="220">
        <f ca="1">IFERROR(__xludf.DUMMYFUNCTION("IMPORTRANGE(""https://docs.google.com/spreadsheets/d/1XL5vhW3sbDhbH9Cz0tuDiY8C3ctxq1tqvaCgkFb8cCA/edit?usp=sharing"",""สุรินทร์!J324"")"),0)</f>
        <v>0</v>
      </c>
      <c r="AM48" s="220">
        <f t="shared" si="29"/>
        <v>35</v>
      </c>
      <c r="AN48" s="220">
        <f t="shared" ca="1" si="30"/>
        <v>0</v>
      </c>
      <c r="AO48" s="221">
        <f t="shared" ca="1" si="40"/>
        <v>0</v>
      </c>
      <c r="AP48" s="301">
        <v>10</v>
      </c>
      <c r="AQ48" s="220">
        <f ca="1">IFERROR(__xludf.DUMMYFUNCTION("IMPORTRANGE(""https://docs.google.com/spreadsheets/d/1XL5vhW3sbDhbH9Cz0tuDiY8C3ctxq1tqvaCgkFb8cCA/edit?usp=sharing"",""สุรินทร์!J326"")"),0)</f>
        <v>0</v>
      </c>
      <c r="AR48" s="301">
        <v>25</v>
      </c>
      <c r="AS48" s="313">
        <f ca="1">IFERROR(__xludf.DUMMYFUNCTION("IMPORTRANGE(""https://docs.google.com/spreadsheets/d/1XL5vhW3sbDhbH9Cz0tuDiY8C3ctxq1tqvaCgkFb8cCA/edit?usp=sharing"",""สุรินทร์!J327"")"),0)</f>
        <v>0</v>
      </c>
    </row>
    <row r="49" spans="1:45" ht="24" customHeight="1" x14ac:dyDescent="0.5">
      <c r="A49" s="216">
        <v>16</v>
      </c>
      <c r="B49" s="194" t="s">
        <v>64</v>
      </c>
      <c r="C49" s="312">
        <f t="shared" si="24"/>
        <v>193290</v>
      </c>
      <c r="D49" s="218">
        <v>0</v>
      </c>
      <c r="E49" s="218">
        <v>193290</v>
      </c>
      <c r="F49" s="219">
        <f ca="1">IFERROR(__xludf.DUMMYFUNCTION("IMPORTRANGE(""https://docs.google.com/spreadsheets/d/1XL5vhW3sbDhbH9Cz0tuDiY8C3ctxq1tqvaCgkFb8cCA/edit?usp=sharing"",""หนองคาย!M299"")"),0)</f>
        <v>0</v>
      </c>
      <c r="G49" s="219">
        <f t="shared" ca="1" si="31"/>
        <v>0</v>
      </c>
      <c r="H49" s="220">
        <f t="shared" si="25"/>
        <v>165</v>
      </c>
      <c r="I49" s="220">
        <f t="shared" si="26"/>
        <v>55</v>
      </c>
      <c r="J49" s="220">
        <f t="shared" ca="1" si="27"/>
        <v>0</v>
      </c>
      <c r="K49" s="221">
        <f t="shared" ca="1" si="32"/>
        <v>0</v>
      </c>
      <c r="L49" s="220">
        <f t="shared" ca="1" si="28"/>
        <v>0</v>
      </c>
      <c r="M49" s="221">
        <f t="shared" ca="1" si="33"/>
        <v>0</v>
      </c>
      <c r="N49" s="301">
        <v>60</v>
      </c>
      <c r="O49" s="301">
        <v>20</v>
      </c>
      <c r="P49" s="220">
        <f ca="1">IFERROR(__xludf.DUMMYFUNCTION("IMPORTRANGE(""https://docs.google.com/spreadsheets/d/1XL5vhW3sbDhbH9Cz0tuDiY8C3ctxq1tqvaCgkFb8cCA/edit?usp=sharing"",""หนองคาย!J313"")"),0)</f>
        <v>0</v>
      </c>
      <c r="Q49" s="221">
        <f t="shared" ca="1" si="34"/>
        <v>0</v>
      </c>
      <c r="R49" s="220">
        <f ca="1">IFERROR(__xludf.DUMMYFUNCTION("IMPORTRANGE(""https://docs.google.com/spreadsheets/d/1XL5vhW3sbDhbH9Cz0tuDiY8C3ctxq1tqvaCgkFb8cCA/edit?usp=sharing"",""หนองคาย!J312"")"),0)</f>
        <v>0</v>
      </c>
      <c r="S49" s="221">
        <f t="shared" ca="1" si="35"/>
        <v>0</v>
      </c>
      <c r="T49" s="221">
        <f ca="1">IFERROR(__xludf.DUMMYFUNCTION("IMPORTRANGE(""https://docs.google.com/spreadsheets/d/1XL5vhW3sbDhbH9Cz0tuDiY8C3ctxq1tqvaCgkFb8cCA/edit?usp=sharing"",""หนองคาย!J314"")"),0)</f>
        <v>0</v>
      </c>
      <c r="U49" s="221">
        <f ca="1">IFERROR(__xludf.DUMMYFUNCTION("IMPORTRANGE(""https://docs.google.com/spreadsheets/d/1XL5vhW3sbDhbH9Cz0tuDiY8C3ctxq1tqvaCgkFb8cCA/edit?usp=sharing"",""หนองคาย!J315"")"),0)</f>
        <v>0</v>
      </c>
      <c r="V49" s="301">
        <v>75</v>
      </c>
      <c r="W49" s="301">
        <v>25</v>
      </c>
      <c r="X49" s="220">
        <f ca="1">IFERROR(__xludf.DUMMYFUNCTION("IMPORTRANGE(""https://docs.google.com/spreadsheets/d/1XL5vhW3sbDhbH9Cz0tuDiY8C3ctxq1tqvaCgkFb8cCA/edit?usp=sharing"",""หนองคาย!J317"")"),0)</f>
        <v>0</v>
      </c>
      <c r="Y49" s="221">
        <f t="shared" ca="1" si="36"/>
        <v>0</v>
      </c>
      <c r="Z49" s="220">
        <f ca="1">IFERROR(__xludf.DUMMYFUNCTION("IMPORTRANGE(""https://docs.google.com/spreadsheets/d/1XL5vhW3sbDhbH9Cz0tuDiY8C3ctxq1tqvaCgkFb8cCA/edit?usp=sharing"",""หนองคาย!J316"")"),0)</f>
        <v>0</v>
      </c>
      <c r="AA49" s="221">
        <f t="shared" ca="1" si="37"/>
        <v>0</v>
      </c>
      <c r="AB49" s="220">
        <f ca="1">IFERROR(__xludf.DUMMYFUNCTION("IMPORTRANGE(""https://docs.google.com/spreadsheets/d/1XL5vhW3sbDhbH9Cz0tuDiY8C3ctxq1tqvaCgkFb8cCA/edit?usp=sharing"",""หนองคาย!J318"")"),0)</f>
        <v>0</v>
      </c>
      <c r="AC49" s="220">
        <f ca="1">IFERROR(__xludf.DUMMYFUNCTION("IMPORTRANGE(""https://docs.google.com/spreadsheets/d/1XL5vhW3sbDhbH9Cz0tuDiY8C3ctxq1tqvaCgkFb8cCA/edit?usp=sharing"",""หนองคาย!J319"")"),0)</f>
        <v>0</v>
      </c>
      <c r="AD49" s="220">
        <f ca="1">IFERROR(__xludf.DUMMYFUNCTION("IMPORTRANGE(""https://docs.google.com/spreadsheets/d/1XL5vhW3sbDhbH9Cz0tuDiY8C3ctxq1tqvaCgkFb8cCA/edit?usp=sharing"",""หนองคาย!J320"")"),0)</f>
        <v>0</v>
      </c>
      <c r="AE49" s="301">
        <v>30</v>
      </c>
      <c r="AF49" s="301">
        <v>10</v>
      </c>
      <c r="AG49" s="220">
        <f ca="1">IFERROR(__xludf.DUMMYFUNCTION("IMPORTRANGE(""https://docs.google.com/spreadsheets/d/1XL5vhW3sbDhbH9Cz0tuDiY8C3ctxq1tqvaCgkFb8cCA/edit?usp=sharing"",""หนองคาย!J322"")"),0)</f>
        <v>0</v>
      </c>
      <c r="AH49" s="221">
        <f t="shared" ca="1" si="38"/>
        <v>0</v>
      </c>
      <c r="AI49" s="220">
        <f ca="1">IFERROR(__xludf.DUMMYFUNCTION("IMPORTRANGE(""https://docs.google.com/spreadsheets/d/1XL5vhW3sbDhbH9Cz0tuDiY8C3ctxq1tqvaCgkFb8cCA/edit?usp=sharing"",""หนองคาย!J321"")"),0)</f>
        <v>0</v>
      </c>
      <c r="AJ49" s="221">
        <f t="shared" ca="1" si="39"/>
        <v>0</v>
      </c>
      <c r="AK49" s="220">
        <f ca="1">IFERROR(__xludf.DUMMYFUNCTION("IMPORTRANGE(""https://docs.google.com/spreadsheets/d/1XL5vhW3sbDhbH9Cz0tuDiY8C3ctxq1tqvaCgkFb8cCA/edit?usp=sharing"",""หนองคาย!J323"")"),0)</f>
        <v>0</v>
      </c>
      <c r="AL49" s="220">
        <f ca="1">IFERROR(__xludf.DUMMYFUNCTION("IMPORTRANGE(""https://docs.google.com/spreadsheets/d/1XL5vhW3sbDhbH9Cz0tuDiY8C3ctxq1tqvaCgkFb8cCA/edit?usp=sharing"",""หนองคาย!J324"")"),0)</f>
        <v>0</v>
      </c>
      <c r="AM49" s="220">
        <f t="shared" si="29"/>
        <v>45</v>
      </c>
      <c r="AN49" s="220">
        <f t="shared" ca="1" si="30"/>
        <v>0</v>
      </c>
      <c r="AO49" s="221">
        <f t="shared" ca="1" si="40"/>
        <v>0</v>
      </c>
      <c r="AP49" s="301">
        <v>20</v>
      </c>
      <c r="AQ49" s="220">
        <f ca="1">IFERROR(__xludf.DUMMYFUNCTION("IMPORTRANGE(""https://docs.google.com/spreadsheets/d/1XL5vhW3sbDhbH9Cz0tuDiY8C3ctxq1tqvaCgkFb8cCA/edit?usp=sharing"",""หนองคาย!J326"")"),0)</f>
        <v>0</v>
      </c>
      <c r="AR49" s="301">
        <v>25</v>
      </c>
      <c r="AS49" s="313">
        <f ca="1">IFERROR(__xludf.DUMMYFUNCTION("IMPORTRANGE(""https://docs.google.com/spreadsheets/d/1XL5vhW3sbDhbH9Cz0tuDiY8C3ctxq1tqvaCgkFb8cCA/edit?usp=sharing"",""หนองคาย!J327"")"),0)</f>
        <v>0</v>
      </c>
    </row>
    <row r="50" spans="1:45" ht="24" customHeight="1" x14ac:dyDescent="0.5">
      <c r="A50" s="216">
        <v>17</v>
      </c>
      <c r="B50" s="194" t="s">
        <v>65</v>
      </c>
      <c r="C50" s="312">
        <f t="shared" si="24"/>
        <v>159950</v>
      </c>
      <c r="D50" s="218">
        <v>0</v>
      </c>
      <c r="E50" s="218">
        <v>159950</v>
      </c>
      <c r="F50" s="219">
        <f ca="1">IFERROR(__xludf.DUMMYFUNCTION("IMPORTRANGE(""https://docs.google.com/spreadsheets/d/1XL5vhW3sbDhbH9Cz0tuDiY8C3ctxq1tqvaCgkFb8cCA/edit?usp=sharing"",""หนองบัวลำภู!M299"")"),0)</f>
        <v>0</v>
      </c>
      <c r="G50" s="219">
        <f t="shared" ca="1" si="31"/>
        <v>0</v>
      </c>
      <c r="H50" s="220">
        <f t="shared" si="25"/>
        <v>135</v>
      </c>
      <c r="I50" s="220">
        <f t="shared" si="26"/>
        <v>45</v>
      </c>
      <c r="J50" s="220">
        <f t="shared" ca="1" si="27"/>
        <v>0</v>
      </c>
      <c r="K50" s="221">
        <f t="shared" ca="1" si="32"/>
        <v>0</v>
      </c>
      <c r="L50" s="220">
        <f t="shared" ca="1" si="28"/>
        <v>0</v>
      </c>
      <c r="M50" s="221">
        <f t="shared" ca="1" si="33"/>
        <v>0</v>
      </c>
      <c r="N50" s="301">
        <v>30</v>
      </c>
      <c r="O50" s="301">
        <v>10</v>
      </c>
      <c r="P50" s="220">
        <f ca="1">IFERROR(__xludf.DUMMYFUNCTION("IMPORTRANGE(""https://docs.google.com/spreadsheets/d/1XL5vhW3sbDhbH9Cz0tuDiY8C3ctxq1tqvaCgkFb8cCA/edit?usp=sharing"",""หนองบัวลำภู!J313"")"),0)</f>
        <v>0</v>
      </c>
      <c r="Q50" s="221">
        <f t="shared" ca="1" si="34"/>
        <v>0</v>
      </c>
      <c r="R50" s="220">
        <f ca="1">IFERROR(__xludf.DUMMYFUNCTION("IMPORTRANGE(""https://docs.google.com/spreadsheets/d/1XL5vhW3sbDhbH9Cz0tuDiY8C3ctxq1tqvaCgkFb8cCA/edit?usp=sharing"",""หนองบัวลำภู!J312"")"),0)</f>
        <v>0</v>
      </c>
      <c r="S50" s="221">
        <f t="shared" ca="1" si="35"/>
        <v>0</v>
      </c>
      <c r="T50" s="221">
        <f ca="1">IFERROR(__xludf.DUMMYFUNCTION("IMPORTRANGE(""https://docs.google.com/spreadsheets/d/1XL5vhW3sbDhbH9Cz0tuDiY8C3ctxq1tqvaCgkFb8cCA/edit?usp=sharing"",""หนองบัวลำภู!J314"")"),0)</f>
        <v>0</v>
      </c>
      <c r="U50" s="221">
        <f ca="1">IFERROR(__xludf.DUMMYFUNCTION("IMPORTRANGE(""https://docs.google.com/spreadsheets/d/1XL5vhW3sbDhbH9Cz0tuDiY8C3ctxq1tqvaCgkFb8cCA/edit?usp=sharing"",""หนองบัวลำภู!J315"")"),0)</f>
        <v>0</v>
      </c>
      <c r="V50" s="301">
        <v>75</v>
      </c>
      <c r="W50" s="301">
        <v>25</v>
      </c>
      <c r="X50" s="220">
        <f ca="1">IFERROR(__xludf.DUMMYFUNCTION("IMPORTRANGE(""https://docs.google.com/spreadsheets/d/1XL5vhW3sbDhbH9Cz0tuDiY8C3ctxq1tqvaCgkFb8cCA/edit?usp=sharing"",""หนองบัวลำภู!J317"")"),0)</f>
        <v>0</v>
      </c>
      <c r="Y50" s="221">
        <f t="shared" ca="1" si="36"/>
        <v>0</v>
      </c>
      <c r="Z50" s="220">
        <f ca="1">IFERROR(__xludf.DUMMYFUNCTION("IMPORTRANGE(""https://docs.google.com/spreadsheets/d/1XL5vhW3sbDhbH9Cz0tuDiY8C3ctxq1tqvaCgkFb8cCA/edit?usp=sharing"",""หนองบัวลำภู!J316"")"),0)</f>
        <v>0</v>
      </c>
      <c r="AA50" s="221">
        <f t="shared" ca="1" si="37"/>
        <v>0</v>
      </c>
      <c r="AB50" s="220">
        <f ca="1">IFERROR(__xludf.DUMMYFUNCTION("IMPORTRANGE(""https://docs.google.com/spreadsheets/d/1XL5vhW3sbDhbH9Cz0tuDiY8C3ctxq1tqvaCgkFb8cCA/edit?usp=sharing"",""หนองบัวลำภู!J318"")"),0)</f>
        <v>0</v>
      </c>
      <c r="AC50" s="220">
        <f ca="1">IFERROR(__xludf.DUMMYFUNCTION("IMPORTRANGE(""https://docs.google.com/spreadsheets/d/1XL5vhW3sbDhbH9Cz0tuDiY8C3ctxq1tqvaCgkFb8cCA/edit?usp=sharing"",""หนองบัวลำภู!J319"")"),0)</f>
        <v>0</v>
      </c>
      <c r="AD50" s="220">
        <f ca="1">IFERROR(__xludf.DUMMYFUNCTION("IMPORTRANGE(""https://docs.google.com/spreadsheets/d/1XL5vhW3sbDhbH9Cz0tuDiY8C3ctxq1tqvaCgkFb8cCA/edit?usp=sharing"",""หนองบัวลำภู!J320"")"),0)</f>
        <v>0</v>
      </c>
      <c r="AE50" s="301">
        <v>30</v>
      </c>
      <c r="AF50" s="301">
        <v>10</v>
      </c>
      <c r="AG50" s="220">
        <f ca="1">IFERROR(__xludf.DUMMYFUNCTION("IMPORTRANGE(""https://docs.google.com/spreadsheets/d/1XL5vhW3sbDhbH9Cz0tuDiY8C3ctxq1tqvaCgkFb8cCA/edit?usp=sharing"",""หนองบัวลำภู!J322"")"),0)</f>
        <v>0</v>
      </c>
      <c r="AH50" s="221">
        <f t="shared" ca="1" si="38"/>
        <v>0</v>
      </c>
      <c r="AI50" s="220">
        <f ca="1">IFERROR(__xludf.DUMMYFUNCTION("IMPORTRANGE(""https://docs.google.com/spreadsheets/d/1XL5vhW3sbDhbH9Cz0tuDiY8C3ctxq1tqvaCgkFb8cCA/edit?usp=sharing"",""หนองบัวลำภู!J321"")"),0)</f>
        <v>0</v>
      </c>
      <c r="AJ50" s="221">
        <f t="shared" ca="1" si="39"/>
        <v>0</v>
      </c>
      <c r="AK50" s="220">
        <f ca="1">IFERROR(__xludf.DUMMYFUNCTION("IMPORTRANGE(""https://docs.google.com/spreadsheets/d/1XL5vhW3sbDhbH9Cz0tuDiY8C3ctxq1tqvaCgkFb8cCA/edit?usp=sharing"",""หนองบัวลำภู!J323"")"),0)</f>
        <v>0</v>
      </c>
      <c r="AL50" s="220">
        <f ca="1">IFERROR(__xludf.DUMMYFUNCTION("IMPORTRANGE(""https://docs.google.com/spreadsheets/d/1XL5vhW3sbDhbH9Cz0tuDiY8C3ctxq1tqvaCgkFb8cCA/edit?usp=sharing"",""หนองบัวลำภู!J324"")"),0)</f>
        <v>0</v>
      </c>
      <c r="AM50" s="220">
        <f t="shared" si="29"/>
        <v>35</v>
      </c>
      <c r="AN50" s="220">
        <f t="shared" ca="1" si="30"/>
        <v>0</v>
      </c>
      <c r="AO50" s="221">
        <f t="shared" ca="1" si="40"/>
        <v>0</v>
      </c>
      <c r="AP50" s="301">
        <v>10</v>
      </c>
      <c r="AQ50" s="220">
        <f ca="1">IFERROR(__xludf.DUMMYFUNCTION("IMPORTRANGE(""https://docs.google.com/spreadsheets/d/1XL5vhW3sbDhbH9Cz0tuDiY8C3ctxq1tqvaCgkFb8cCA/edit?usp=sharing"",""หนองบัวลำภู!J326"")"),0)</f>
        <v>0</v>
      </c>
      <c r="AR50" s="301">
        <v>25</v>
      </c>
      <c r="AS50" s="313">
        <f ca="1">IFERROR(__xludf.DUMMYFUNCTION("IMPORTRANGE(""https://docs.google.com/spreadsheets/d/1XL5vhW3sbDhbH9Cz0tuDiY8C3ctxq1tqvaCgkFb8cCA/edit?usp=sharing"",""หนองบัวลำภู!J327"")"),0)</f>
        <v>0</v>
      </c>
    </row>
    <row r="51" spans="1:45" ht="24" customHeight="1" x14ac:dyDescent="0.5">
      <c r="A51" s="216">
        <v>18</v>
      </c>
      <c r="B51" s="194" t="s">
        <v>66</v>
      </c>
      <c r="C51" s="312">
        <f t="shared" si="24"/>
        <v>172290</v>
      </c>
      <c r="D51" s="218">
        <v>0</v>
      </c>
      <c r="E51" s="218">
        <v>172290</v>
      </c>
      <c r="F51" s="219">
        <f ca="1">IFERROR(__xludf.DUMMYFUNCTION("IMPORTRANGE(""https://docs.google.com/spreadsheets/d/1XL5vhW3sbDhbH9Cz0tuDiY8C3ctxq1tqvaCgkFb8cCA/edit?usp=sharing"",""อำนาจเจริญ!M299"")"),0)</f>
        <v>0</v>
      </c>
      <c r="G51" s="219">
        <f t="shared" ca="1" si="31"/>
        <v>0</v>
      </c>
      <c r="H51" s="220">
        <f t="shared" si="25"/>
        <v>165</v>
      </c>
      <c r="I51" s="220">
        <f t="shared" si="26"/>
        <v>55</v>
      </c>
      <c r="J51" s="220">
        <f t="shared" ca="1" si="27"/>
        <v>0</v>
      </c>
      <c r="K51" s="221">
        <f t="shared" ca="1" si="32"/>
        <v>0</v>
      </c>
      <c r="L51" s="220">
        <f t="shared" ca="1" si="28"/>
        <v>0</v>
      </c>
      <c r="M51" s="221">
        <f t="shared" ca="1" si="33"/>
        <v>0</v>
      </c>
      <c r="N51" s="301">
        <v>30</v>
      </c>
      <c r="O51" s="301">
        <v>10</v>
      </c>
      <c r="P51" s="220">
        <f ca="1">IFERROR(__xludf.DUMMYFUNCTION("IMPORTRANGE(""https://docs.google.com/spreadsheets/d/1XL5vhW3sbDhbH9Cz0tuDiY8C3ctxq1tqvaCgkFb8cCA/edit?usp=sharing"",""อำนาจเจริญ!J313"")"),0)</f>
        <v>0</v>
      </c>
      <c r="Q51" s="221">
        <f t="shared" ca="1" si="34"/>
        <v>0</v>
      </c>
      <c r="R51" s="220">
        <f ca="1">IFERROR(__xludf.DUMMYFUNCTION("IMPORTRANGE(""https://docs.google.com/spreadsheets/d/1XL5vhW3sbDhbH9Cz0tuDiY8C3ctxq1tqvaCgkFb8cCA/edit?usp=sharing"",""อำนาจเจริญ!J312"")"),0)</f>
        <v>0</v>
      </c>
      <c r="S51" s="221">
        <f t="shared" ca="1" si="35"/>
        <v>0</v>
      </c>
      <c r="T51" s="221">
        <f ca="1">IFERROR(__xludf.DUMMYFUNCTION("IMPORTRANGE(""https://docs.google.com/spreadsheets/d/1XL5vhW3sbDhbH9Cz0tuDiY8C3ctxq1tqvaCgkFb8cCA/edit?usp=sharing"",""อำนาจเจริญ!J314"")"),0)</f>
        <v>0</v>
      </c>
      <c r="U51" s="221">
        <f ca="1">IFERROR(__xludf.DUMMYFUNCTION("IMPORTRANGE(""https://docs.google.com/spreadsheets/d/1XL5vhW3sbDhbH9Cz0tuDiY8C3ctxq1tqvaCgkFb8cCA/edit?usp=sharing"",""อำนาจเจริญ!J315"")"),0)</f>
        <v>0</v>
      </c>
      <c r="V51" s="301">
        <v>75</v>
      </c>
      <c r="W51" s="301">
        <v>25</v>
      </c>
      <c r="X51" s="220">
        <f ca="1">IFERROR(__xludf.DUMMYFUNCTION("IMPORTRANGE(""https://docs.google.com/spreadsheets/d/1XL5vhW3sbDhbH9Cz0tuDiY8C3ctxq1tqvaCgkFb8cCA/edit?usp=sharing"",""อำนาจเจริญ!J317"")"),0)</f>
        <v>0</v>
      </c>
      <c r="Y51" s="221">
        <f t="shared" ca="1" si="36"/>
        <v>0</v>
      </c>
      <c r="Z51" s="220">
        <f ca="1">IFERROR(__xludf.DUMMYFUNCTION("IMPORTRANGE(""https://docs.google.com/spreadsheets/d/1XL5vhW3sbDhbH9Cz0tuDiY8C3ctxq1tqvaCgkFb8cCA/edit?usp=sharing"",""อำนาจเจริญ!J316"")"),0)</f>
        <v>0</v>
      </c>
      <c r="AA51" s="221">
        <f t="shared" ca="1" si="37"/>
        <v>0</v>
      </c>
      <c r="AB51" s="220">
        <f ca="1">IFERROR(__xludf.DUMMYFUNCTION("IMPORTRANGE(""https://docs.google.com/spreadsheets/d/1XL5vhW3sbDhbH9Cz0tuDiY8C3ctxq1tqvaCgkFb8cCA/edit?usp=sharing"",""อำนาจเจริญ!J318"")"),0)</f>
        <v>0</v>
      </c>
      <c r="AC51" s="220">
        <f ca="1">IFERROR(__xludf.DUMMYFUNCTION("IMPORTRANGE(""https://docs.google.com/spreadsheets/d/1XL5vhW3sbDhbH9Cz0tuDiY8C3ctxq1tqvaCgkFb8cCA/edit?usp=sharing"",""อำนาจเจริญ!J319"")"),0)</f>
        <v>0</v>
      </c>
      <c r="AD51" s="220">
        <f ca="1">IFERROR(__xludf.DUMMYFUNCTION("IMPORTRANGE(""https://docs.google.com/spreadsheets/d/1XL5vhW3sbDhbH9Cz0tuDiY8C3ctxq1tqvaCgkFb8cCA/edit?usp=sharing"",""อำนาจเจริญ!J320"")"),0)</f>
        <v>0</v>
      </c>
      <c r="AE51" s="301">
        <v>60</v>
      </c>
      <c r="AF51" s="301">
        <v>20</v>
      </c>
      <c r="AG51" s="220">
        <f ca="1">IFERROR(__xludf.DUMMYFUNCTION("IMPORTRANGE(""https://docs.google.com/spreadsheets/d/1XL5vhW3sbDhbH9Cz0tuDiY8C3ctxq1tqvaCgkFb8cCA/edit?usp=sharing"",""อำนาจเจริญ!J322"")"),0)</f>
        <v>0</v>
      </c>
      <c r="AH51" s="221">
        <f t="shared" ca="1" si="38"/>
        <v>0</v>
      </c>
      <c r="AI51" s="220">
        <f ca="1">IFERROR(__xludf.DUMMYFUNCTION("IMPORTRANGE(""https://docs.google.com/spreadsheets/d/1XL5vhW3sbDhbH9Cz0tuDiY8C3ctxq1tqvaCgkFb8cCA/edit?usp=sharing"",""อำนาจเจริญ!J321"")"),0)</f>
        <v>0</v>
      </c>
      <c r="AJ51" s="221">
        <f t="shared" ca="1" si="39"/>
        <v>0</v>
      </c>
      <c r="AK51" s="220">
        <f ca="1">IFERROR(__xludf.DUMMYFUNCTION("IMPORTRANGE(""https://docs.google.com/spreadsheets/d/1XL5vhW3sbDhbH9Cz0tuDiY8C3ctxq1tqvaCgkFb8cCA/edit?usp=sharing"",""อำนาจเจริญ!J323"")"),0)</f>
        <v>0</v>
      </c>
      <c r="AL51" s="220">
        <f ca="1">IFERROR(__xludf.DUMMYFUNCTION("IMPORTRANGE(""https://docs.google.com/spreadsheets/d/1XL5vhW3sbDhbH9Cz0tuDiY8C3ctxq1tqvaCgkFb8cCA/edit?usp=sharing"",""อำนาจเจริญ!J324"")"),0)</f>
        <v>0</v>
      </c>
      <c r="AM51" s="220">
        <f t="shared" si="29"/>
        <v>35</v>
      </c>
      <c r="AN51" s="220">
        <f t="shared" ca="1" si="30"/>
        <v>0</v>
      </c>
      <c r="AO51" s="221">
        <f t="shared" ca="1" si="40"/>
        <v>0</v>
      </c>
      <c r="AP51" s="301">
        <v>10</v>
      </c>
      <c r="AQ51" s="220">
        <f ca="1">IFERROR(__xludf.DUMMYFUNCTION("IMPORTRANGE(""https://docs.google.com/spreadsheets/d/1XL5vhW3sbDhbH9Cz0tuDiY8C3ctxq1tqvaCgkFb8cCA/edit?usp=sharing"",""อำนาจเจริญ!J326"")"),0)</f>
        <v>0</v>
      </c>
      <c r="AR51" s="301">
        <v>25</v>
      </c>
      <c r="AS51" s="313">
        <f ca="1">IFERROR(__xludf.DUMMYFUNCTION("IMPORTRANGE(""https://docs.google.com/spreadsheets/d/1XL5vhW3sbDhbH9Cz0tuDiY8C3ctxq1tqvaCgkFb8cCA/edit?usp=sharing"",""อำนาจเจริญ!J327"")"),0)</f>
        <v>0</v>
      </c>
    </row>
    <row r="52" spans="1:45" ht="24" customHeight="1" x14ac:dyDescent="0.5">
      <c r="A52" s="216">
        <v>19</v>
      </c>
      <c r="B52" s="194" t="s">
        <v>67</v>
      </c>
      <c r="C52" s="312">
        <f t="shared" si="24"/>
        <v>195900</v>
      </c>
      <c r="D52" s="218">
        <v>0</v>
      </c>
      <c r="E52" s="218">
        <v>195900</v>
      </c>
      <c r="F52" s="219">
        <f ca="1">IFERROR(__xludf.DUMMYFUNCTION("IMPORTRANGE(""https://docs.google.com/spreadsheets/d/1XL5vhW3sbDhbH9Cz0tuDiY8C3ctxq1tqvaCgkFb8cCA/edit?usp=sharing"",""อุดรธานี!M299"")"),0)</f>
        <v>0</v>
      </c>
      <c r="G52" s="219">
        <f t="shared" ca="1" si="31"/>
        <v>0</v>
      </c>
      <c r="H52" s="220">
        <f t="shared" si="25"/>
        <v>174</v>
      </c>
      <c r="I52" s="220">
        <f t="shared" si="26"/>
        <v>58</v>
      </c>
      <c r="J52" s="220">
        <f t="shared" ca="1" si="27"/>
        <v>0</v>
      </c>
      <c r="K52" s="221">
        <f t="shared" ca="1" si="32"/>
        <v>0</v>
      </c>
      <c r="L52" s="220">
        <f t="shared" ca="1" si="28"/>
        <v>0</v>
      </c>
      <c r="M52" s="221">
        <f t="shared" ca="1" si="33"/>
        <v>0</v>
      </c>
      <c r="N52" s="301">
        <v>30</v>
      </c>
      <c r="O52" s="301">
        <v>10</v>
      </c>
      <c r="P52" s="220">
        <f ca="1">IFERROR(__xludf.DUMMYFUNCTION("IMPORTRANGE(""https://docs.google.com/spreadsheets/d/1XL5vhW3sbDhbH9Cz0tuDiY8C3ctxq1tqvaCgkFb8cCA/edit?usp=sharing"",""อุดรธานี!J313"")"),0)</f>
        <v>0</v>
      </c>
      <c r="Q52" s="221">
        <f t="shared" ca="1" si="34"/>
        <v>0</v>
      </c>
      <c r="R52" s="220">
        <f ca="1">IFERROR(__xludf.DUMMYFUNCTION("IMPORTRANGE(""https://docs.google.com/spreadsheets/d/1XL5vhW3sbDhbH9Cz0tuDiY8C3ctxq1tqvaCgkFb8cCA/edit?usp=sharing"",""อุดรธานี!J312"")"),0)</f>
        <v>0</v>
      </c>
      <c r="S52" s="221">
        <f t="shared" ca="1" si="35"/>
        <v>0</v>
      </c>
      <c r="T52" s="221">
        <f ca="1">IFERROR(__xludf.DUMMYFUNCTION("IMPORTRANGE(""https://docs.google.com/spreadsheets/d/1XL5vhW3sbDhbH9Cz0tuDiY8C3ctxq1tqvaCgkFb8cCA/edit?usp=sharing"",""อุดรธานี!J314"")"),0)</f>
        <v>0</v>
      </c>
      <c r="U52" s="221">
        <f ca="1">IFERROR(__xludf.DUMMYFUNCTION("IMPORTRANGE(""https://docs.google.com/spreadsheets/d/1XL5vhW3sbDhbH9Cz0tuDiY8C3ctxq1tqvaCgkFb8cCA/edit?usp=sharing"",""อุดรธานี!J315"")"),0)</f>
        <v>0</v>
      </c>
      <c r="V52" s="301">
        <v>114</v>
      </c>
      <c r="W52" s="301">
        <v>38</v>
      </c>
      <c r="X52" s="220">
        <f ca="1">IFERROR(__xludf.DUMMYFUNCTION("IMPORTRANGE(""https://docs.google.com/spreadsheets/d/1XL5vhW3sbDhbH9Cz0tuDiY8C3ctxq1tqvaCgkFb8cCA/edit?usp=sharing"",""อุดรธานี!J317"")"),0)</f>
        <v>0</v>
      </c>
      <c r="Y52" s="221">
        <f t="shared" ca="1" si="36"/>
        <v>0</v>
      </c>
      <c r="Z52" s="220">
        <f ca="1">IFERROR(__xludf.DUMMYFUNCTION("IMPORTRANGE(""https://docs.google.com/spreadsheets/d/1XL5vhW3sbDhbH9Cz0tuDiY8C3ctxq1tqvaCgkFb8cCA/edit?usp=sharing"",""อุดรธานี!J316"")"),0)</f>
        <v>0</v>
      </c>
      <c r="AA52" s="221">
        <f t="shared" ca="1" si="37"/>
        <v>0</v>
      </c>
      <c r="AB52" s="220">
        <f ca="1">IFERROR(__xludf.DUMMYFUNCTION("IMPORTRANGE(""https://docs.google.com/spreadsheets/d/1XL5vhW3sbDhbH9Cz0tuDiY8C3ctxq1tqvaCgkFb8cCA/edit?usp=sharing"",""อุดรธานี!J318"")"),0)</f>
        <v>0</v>
      </c>
      <c r="AC52" s="220">
        <f ca="1">IFERROR(__xludf.DUMMYFUNCTION("IMPORTRANGE(""https://docs.google.com/spreadsheets/d/1XL5vhW3sbDhbH9Cz0tuDiY8C3ctxq1tqvaCgkFb8cCA/edit?usp=sharing"",""อุดรธานี!J319"")"),0)</f>
        <v>0</v>
      </c>
      <c r="AD52" s="220">
        <f ca="1">IFERROR(__xludf.DUMMYFUNCTION("IMPORTRANGE(""https://docs.google.com/spreadsheets/d/1XL5vhW3sbDhbH9Cz0tuDiY8C3ctxq1tqvaCgkFb8cCA/edit?usp=sharing"",""อุดรธานี!J320"")"),0)</f>
        <v>0</v>
      </c>
      <c r="AE52" s="301">
        <v>30</v>
      </c>
      <c r="AF52" s="301">
        <v>10</v>
      </c>
      <c r="AG52" s="220">
        <f ca="1">IFERROR(__xludf.DUMMYFUNCTION("IMPORTRANGE(""https://docs.google.com/spreadsheets/d/1XL5vhW3sbDhbH9Cz0tuDiY8C3ctxq1tqvaCgkFb8cCA/edit?usp=sharing"",""อุดรธานี!J322"")"),0)</f>
        <v>0</v>
      </c>
      <c r="AH52" s="221">
        <f t="shared" ca="1" si="38"/>
        <v>0</v>
      </c>
      <c r="AI52" s="220">
        <f ca="1">IFERROR(__xludf.DUMMYFUNCTION("IMPORTRANGE(""https://docs.google.com/spreadsheets/d/1XL5vhW3sbDhbH9Cz0tuDiY8C3ctxq1tqvaCgkFb8cCA/edit?usp=sharing"",""อุดรธานี!J321"")"),0)</f>
        <v>0</v>
      </c>
      <c r="AJ52" s="221">
        <f t="shared" ca="1" si="39"/>
        <v>0</v>
      </c>
      <c r="AK52" s="220">
        <f ca="1">IFERROR(__xludf.DUMMYFUNCTION("IMPORTRANGE(""https://docs.google.com/spreadsheets/d/1XL5vhW3sbDhbH9Cz0tuDiY8C3ctxq1tqvaCgkFb8cCA/edit?usp=sharing"",""อุดรธานี!J323"")"),0)</f>
        <v>0</v>
      </c>
      <c r="AL52" s="220">
        <f ca="1">IFERROR(__xludf.DUMMYFUNCTION("IMPORTRANGE(""https://docs.google.com/spreadsheets/d/1XL5vhW3sbDhbH9Cz0tuDiY8C3ctxq1tqvaCgkFb8cCA/edit?usp=sharing"",""อุดรธานี!J324"")"),0)</f>
        <v>0</v>
      </c>
      <c r="AM52" s="220">
        <f t="shared" si="29"/>
        <v>48</v>
      </c>
      <c r="AN52" s="220">
        <f t="shared" ca="1" si="30"/>
        <v>0</v>
      </c>
      <c r="AO52" s="221">
        <f t="shared" ca="1" si="40"/>
        <v>0</v>
      </c>
      <c r="AP52" s="301">
        <v>10</v>
      </c>
      <c r="AQ52" s="220">
        <f ca="1">IFERROR(__xludf.DUMMYFUNCTION("IMPORTRANGE(""https://docs.google.com/spreadsheets/d/1XL5vhW3sbDhbH9Cz0tuDiY8C3ctxq1tqvaCgkFb8cCA/edit?usp=sharing"",""อุดรธานี!J326"")"),0)</f>
        <v>0</v>
      </c>
      <c r="AR52" s="301">
        <v>38</v>
      </c>
      <c r="AS52" s="313">
        <f ca="1">IFERROR(__xludf.DUMMYFUNCTION("IMPORTRANGE(""https://docs.google.com/spreadsheets/d/1XL5vhW3sbDhbH9Cz0tuDiY8C3ctxq1tqvaCgkFb8cCA/edit?usp=sharing"",""อุดรธานี!J327"")"),0)</f>
        <v>0</v>
      </c>
    </row>
    <row r="53" spans="1:45" ht="24" customHeight="1" x14ac:dyDescent="0.5">
      <c r="A53" s="222">
        <v>20</v>
      </c>
      <c r="B53" s="195" t="s">
        <v>68</v>
      </c>
      <c r="C53" s="314">
        <f t="shared" si="24"/>
        <v>233280</v>
      </c>
      <c r="D53" s="223">
        <v>0</v>
      </c>
      <c r="E53" s="223">
        <v>233280</v>
      </c>
      <c r="F53" s="224">
        <f ca="1">IFERROR(__xludf.DUMMYFUNCTION("IMPORTRANGE(""https://docs.google.com/spreadsheets/d/1XL5vhW3sbDhbH9Cz0tuDiY8C3ctxq1tqvaCgkFb8cCA/edit?usp=sharing"",""อุบลราชธานี!M299"")"),0)</f>
        <v>0</v>
      </c>
      <c r="G53" s="224">
        <f t="shared" ca="1" si="31"/>
        <v>0</v>
      </c>
      <c r="H53" s="225">
        <f t="shared" si="25"/>
        <v>213</v>
      </c>
      <c r="I53" s="225">
        <f t="shared" si="26"/>
        <v>71</v>
      </c>
      <c r="J53" s="225">
        <f t="shared" ca="1" si="27"/>
        <v>0</v>
      </c>
      <c r="K53" s="226">
        <f t="shared" ca="1" si="32"/>
        <v>0</v>
      </c>
      <c r="L53" s="225">
        <f t="shared" ca="1" si="28"/>
        <v>0</v>
      </c>
      <c r="M53" s="226">
        <f t="shared" ca="1" si="33"/>
        <v>0</v>
      </c>
      <c r="N53" s="302">
        <v>39</v>
      </c>
      <c r="O53" s="302">
        <v>13</v>
      </c>
      <c r="P53" s="225">
        <f ca="1">IFERROR(__xludf.DUMMYFUNCTION("IMPORTRANGE(""https://docs.google.com/spreadsheets/d/1XL5vhW3sbDhbH9Cz0tuDiY8C3ctxq1tqvaCgkFb8cCA/edit?usp=sharing"",""อุบลราชธานี!J313"")"),0)</f>
        <v>0</v>
      </c>
      <c r="Q53" s="226">
        <f t="shared" ca="1" si="34"/>
        <v>0</v>
      </c>
      <c r="R53" s="225">
        <f ca="1">IFERROR(__xludf.DUMMYFUNCTION("IMPORTRANGE(""https://docs.google.com/spreadsheets/d/1XL5vhW3sbDhbH9Cz0tuDiY8C3ctxq1tqvaCgkFb8cCA/edit?usp=sharing"",""อุบลราชธานี!J312"")"),0)</f>
        <v>0</v>
      </c>
      <c r="S53" s="226">
        <f t="shared" ca="1" si="35"/>
        <v>0</v>
      </c>
      <c r="T53" s="226">
        <f ca="1">IFERROR(__xludf.DUMMYFUNCTION("IMPORTRANGE(""https://docs.google.com/spreadsheets/d/1XL5vhW3sbDhbH9Cz0tuDiY8C3ctxq1tqvaCgkFb8cCA/edit?usp=sharing"",""อุบลราชธานี!J314"")"),0)</f>
        <v>0</v>
      </c>
      <c r="U53" s="226">
        <f ca="1">IFERROR(__xludf.DUMMYFUNCTION("IMPORTRANGE(""https://docs.google.com/spreadsheets/d/1XL5vhW3sbDhbH9Cz0tuDiY8C3ctxq1tqvaCgkFb8cCA/edit?usp=sharing"",""อุบลราชธานี!J315"")"),0)</f>
        <v>0</v>
      </c>
      <c r="V53" s="302">
        <v>144</v>
      </c>
      <c r="W53" s="302">
        <v>48</v>
      </c>
      <c r="X53" s="225">
        <f ca="1">IFERROR(__xludf.DUMMYFUNCTION("IMPORTRANGE(""https://docs.google.com/spreadsheets/d/1XL5vhW3sbDhbH9Cz0tuDiY8C3ctxq1tqvaCgkFb8cCA/edit?usp=sharing"",""อุบลราชธานี!J317"")"),0)</f>
        <v>0</v>
      </c>
      <c r="Y53" s="226">
        <f t="shared" ca="1" si="36"/>
        <v>0</v>
      </c>
      <c r="Z53" s="225">
        <f ca="1">IFERROR(__xludf.DUMMYFUNCTION("IMPORTRANGE(""https://docs.google.com/spreadsheets/d/1XL5vhW3sbDhbH9Cz0tuDiY8C3ctxq1tqvaCgkFb8cCA/edit?usp=sharing"",""อุบลราชธานี!J316"")"),0)</f>
        <v>0</v>
      </c>
      <c r="AA53" s="226">
        <f t="shared" ca="1" si="37"/>
        <v>0</v>
      </c>
      <c r="AB53" s="225">
        <f ca="1">IFERROR(__xludf.DUMMYFUNCTION("IMPORTRANGE(""https://docs.google.com/spreadsheets/d/1XL5vhW3sbDhbH9Cz0tuDiY8C3ctxq1tqvaCgkFb8cCA/edit?usp=sharing"",""อุบลราชธานี!J318"")"),0)</f>
        <v>0</v>
      </c>
      <c r="AC53" s="225">
        <f ca="1">IFERROR(__xludf.DUMMYFUNCTION("IMPORTRANGE(""https://docs.google.com/spreadsheets/d/1XL5vhW3sbDhbH9Cz0tuDiY8C3ctxq1tqvaCgkFb8cCA/edit?usp=sharing"",""อุบลราชธานี!J319"")"),0)</f>
        <v>0</v>
      </c>
      <c r="AD53" s="225">
        <f ca="1">IFERROR(__xludf.DUMMYFUNCTION("IMPORTRANGE(""https://docs.google.com/spreadsheets/d/1XL5vhW3sbDhbH9Cz0tuDiY8C3ctxq1tqvaCgkFb8cCA/edit?usp=sharing"",""อุบลราชธานี!J320"")"),0)</f>
        <v>0</v>
      </c>
      <c r="AE53" s="302">
        <v>30</v>
      </c>
      <c r="AF53" s="302">
        <v>10</v>
      </c>
      <c r="AG53" s="225">
        <f ca="1">IFERROR(__xludf.DUMMYFUNCTION("IMPORTRANGE(""https://docs.google.com/spreadsheets/d/1XL5vhW3sbDhbH9Cz0tuDiY8C3ctxq1tqvaCgkFb8cCA/edit?usp=sharing"",""อุบลราชธานี!J322"")"),0)</f>
        <v>0</v>
      </c>
      <c r="AH53" s="226">
        <f t="shared" ca="1" si="38"/>
        <v>0</v>
      </c>
      <c r="AI53" s="225">
        <f ca="1">IFERROR(__xludf.DUMMYFUNCTION("IMPORTRANGE(""https://docs.google.com/spreadsheets/d/1XL5vhW3sbDhbH9Cz0tuDiY8C3ctxq1tqvaCgkFb8cCA/edit?usp=sharing"",""อุบลราชธานี!J321"")"),0)</f>
        <v>0</v>
      </c>
      <c r="AJ53" s="226">
        <f t="shared" ca="1" si="39"/>
        <v>0</v>
      </c>
      <c r="AK53" s="225">
        <f ca="1">IFERROR(__xludf.DUMMYFUNCTION("IMPORTRANGE(""https://docs.google.com/spreadsheets/d/1XL5vhW3sbDhbH9Cz0tuDiY8C3ctxq1tqvaCgkFb8cCA/edit?usp=sharing"",""อุบลราชธานี!J323"")"),0)</f>
        <v>0</v>
      </c>
      <c r="AL53" s="225">
        <f ca="1">IFERROR(__xludf.DUMMYFUNCTION("IMPORTRANGE(""https://docs.google.com/spreadsheets/d/1XL5vhW3sbDhbH9Cz0tuDiY8C3ctxq1tqvaCgkFb8cCA/edit?usp=sharing"",""อุบลราชธานี!J324"")"),0)</f>
        <v>0</v>
      </c>
      <c r="AM53" s="225">
        <f t="shared" si="29"/>
        <v>61</v>
      </c>
      <c r="AN53" s="225">
        <f t="shared" ca="1" si="30"/>
        <v>0</v>
      </c>
      <c r="AO53" s="226">
        <f t="shared" ca="1" si="40"/>
        <v>0</v>
      </c>
      <c r="AP53" s="302">
        <v>13</v>
      </c>
      <c r="AQ53" s="225">
        <f ca="1">IFERROR(__xludf.DUMMYFUNCTION("IMPORTRANGE(""https://docs.google.com/spreadsheets/d/1XL5vhW3sbDhbH9Cz0tuDiY8C3ctxq1tqvaCgkFb8cCA/edit?usp=sharing"",""อุบลราชธานี!J326"")"),0)</f>
        <v>0</v>
      </c>
      <c r="AR53" s="302">
        <v>48</v>
      </c>
      <c r="AS53" s="315">
        <f ca="1">IFERROR(__xludf.DUMMYFUNCTION("IMPORTRANGE(""https://docs.google.com/spreadsheets/d/1XL5vhW3sbDhbH9Cz0tuDiY8C3ctxq1tqvaCgkFb8cCA/edit?usp=sharing"",""อุบลราชธานี!J327"")"),0)</f>
        <v>0</v>
      </c>
    </row>
    <row r="54" spans="1:45" ht="24" customHeight="1" x14ac:dyDescent="0.5">
      <c r="A54" s="808" t="s">
        <v>69</v>
      </c>
      <c r="B54" s="713"/>
      <c r="C54" s="300">
        <f>SUM(C55:C75)</f>
        <v>3392750</v>
      </c>
      <c r="D54" s="177">
        <f>SUM(D55:D75)</f>
        <v>0</v>
      </c>
      <c r="E54" s="177">
        <f>SUM(E55:E75)</f>
        <v>3392750</v>
      </c>
      <c r="F54" s="176">
        <f ca="1">SUM(F55:F75)</f>
        <v>4560</v>
      </c>
      <c r="G54" s="176">
        <f t="shared" ca="1" si="31"/>
        <v>0.13440424434455825</v>
      </c>
      <c r="H54" s="177">
        <f>SUM(H55:H75)</f>
        <v>3015</v>
      </c>
      <c r="I54" s="177">
        <f>SUM(I55:I75)</f>
        <v>1005</v>
      </c>
      <c r="J54" s="177">
        <f ca="1">SUM(J55:J75)</f>
        <v>0</v>
      </c>
      <c r="K54" s="176">
        <f t="shared" ca="1" si="32"/>
        <v>0</v>
      </c>
      <c r="L54" s="177">
        <f ca="1">SUM(L55:L75)</f>
        <v>0</v>
      </c>
      <c r="M54" s="176">
        <f t="shared" ca="1" si="33"/>
        <v>0</v>
      </c>
      <c r="N54" s="177">
        <f>SUM(N55:N75)</f>
        <v>714</v>
      </c>
      <c r="O54" s="177">
        <f>SUM(O55:O75)</f>
        <v>238</v>
      </c>
      <c r="P54" s="177">
        <f ca="1">SUM(P55:P75)</f>
        <v>0</v>
      </c>
      <c r="Q54" s="176">
        <f t="shared" ca="1" si="34"/>
        <v>0</v>
      </c>
      <c r="R54" s="177">
        <f ca="1">SUM(R55:R75)</f>
        <v>0</v>
      </c>
      <c r="S54" s="176">
        <f t="shared" ca="1" si="35"/>
        <v>0</v>
      </c>
      <c r="T54" s="176">
        <f ca="1">SUM(T55:T75)</f>
        <v>0</v>
      </c>
      <c r="U54" s="176">
        <f ca="1">SUM(U55:U75)</f>
        <v>0</v>
      </c>
      <c r="V54" s="316">
        <f>SUM(V55:V75)</f>
        <v>1593</v>
      </c>
      <c r="W54" s="316">
        <f>SUM(W55:W75)</f>
        <v>531</v>
      </c>
      <c r="X54" s="177">
        <f ca="1">SUM(X55:X75)</f>
        <v>0</v>
      </c>
      <c r="Y54" s="176">
        <f t="shared" ca="1" si="36"/>
        <v>0</v>
      </c>
      <c r="Z54" s="177">
        <f ca="1">SUM(Z55:Z75)</f>
        <v>0</v>
      </c>
      <c r="AA54" s="176">
        <f t="shared" ca="1" si="37"/>
        <v>0</v>
      </c>
      <c r="AB54" s="177">
        <f t="shared" ref="AB54:AG54" ca="1" si="41">SUM(AB55:AB75)</f>
        <v>0</v>
      </c>
      <c r="AC54" s="177">
        <f t="shared" ca="1" si="41"/>
        <v>0</v>
      </c>
      <c r="AD54" s="177">
        <f t="shared" ca="1" si="41"/>
        <v>0</v>
      </c>
      <c r="AE54" s="177">
        <f t="shared" si="41"/>
        <v>708</v>
      </c>
      <c r="AF54" s="177">
        <f t="shared" si="41"/>
        <v>236</v>
      </c>
      <c r="AG54" s="177">
        <f t="shared" ca="1" si="41"/>
        <v>0</v>
      </c>
      <c r="AH54" s="176">
        <f t="shared" ca="1" si="38"/>
        <v>0</v>
      </c>
      <c r="AI54" s="177">
        <f ca="1">SUM(AI55:AI75)</f>
        <v>0</v>
      </c>
      <c r="AJ54" s="176">
        <f t="shared" ca="1" si="39"/>
        <v>0</v>
      </c>
      <c r="AK54" s="177">
        <f ca="1">SUM(AK55:AK75)</f>
        <v>0</v>
      </c>
      <c r="AL54" s="177">
        <f ca="1">SUM(AL55:AL75)</f>
        <v>0</v>
      </c>
      <c r="AM54" s="177">
        <f>SUM(AM55:AM75)</f>
        <v>769</v>
      </c>
      <c r="AN54" s="177">
        <f ca="1">SUM(AN55:AN75)</f>
        <v>0</v>
      </c>
      <c r="AO54" s="176">
        <f t="shared" ca="1" si="40"/>
        <v>0</v>
      </c>
      <c r="AP54" s="177">
        <f>SUM(AP55:AP75)</f>
        <v>238</v>
      </c>
      <c r="AQ54" s="177">
        <f ca="1">SUM(AQ55:AQ75)</f>
        <v>0</v>
      </c>
      <c r="AR54" s="177">
        <f>SUM(AR55:AR75)</f>
        <v>531</v>
      </c>
      <c r="AS54" s="177">
        <f ca="1">SUM(AS55:AS75)</f>
        <v>0</v>
      </c>
    </row>
    <row r="55" spans="1:45" ht="24" customHeight="1" x14ac:dyDescent="0.5">
      <c r="A55" s="212">
        <v>1</v>
      </c>
      <c r="B55" s="191" t="s">
        <v>70</v>
      </c>
      <c r="C55" s="309">
        <f t="shared" ref="C55:C75" si="42">+D55+E55</f>
        <v>169190</v>
      </c>
      <c r="D55" s="193">
        <v>0</v>
      </c>
      <c r="E55" s="193">
        <v>169190</v>
      </c>
      <c r="F55" s="192">
        <f ca="1">IFERROR(__xludf.DUMMYFUNCTION("IMPORTRANGE(""https://docs.google.com/spreadsheets/d/1SX6NBoVAgQJ6U1MVXOaj8PK2l7WJ3RER9xtqwdhxkhw/edit?usp=sharing"",""กาญจนบุรี!M299"")"),0)</f>
        <v>0</v>
      </c>
      <c r="G55" s="192">
        <f t="shared" ca="1" si="31"/>
        <v>0</v>
      </c>
      <c r="H55" s="214">
        <f t="shared" ref="H55:H75" si="43">+N55+V55+AE55</f>
        <v>144</v>
      </c>
      <c r="I55" s="214">
        <f t="shared" ref="I55:I75" si="44">+O55+W55+AF55</f>
        <v>48</v>
      </c>
      <c r="J55" s="214">
        <f t="shared" ref="J55:J75" ca="1" si="45">P55+X55+AG55</f>
        <v>0</v>
      </c>
      <c r="K55" s="215">
        <f t="shared" ca="1" si="32"/>
        <v>0</v>
      </c>
      <c r="L55" s="214">
        <f t="shared" ref="L55:L75" ca="1" si="46">R55+Z55+AI55</f>
        <v>0</v>
      </c>
      <c r="M55" s="215">
        <f t="shared" ca="1" si="33"/>
        <v>0</v>
      </c>
      <c r="N55" s="310">
        <v>39</v>
      </c>
      <c r="O55" s="310">
        <v>13</v>
      </c>
      <c r="P55" s="214">
        <f ca="1">IFERROR(__xludf.DUMMYFUNCTION("IMPORTRANGE(""https://docs.google.com/spreadsheets/d/1SX6NBoVAgQJ6U1MVXOaj8PK2l7WJ3RER9xtqwdhxkhw/edit?usp=sharing"",""กาญจนบุรี!J313"")"),0)</f>
        <v>0</v>
      </c>
      <c r="Q55" s="215">
        <f t="shared" ca="1" si="34"/>
        <v>0</v>
      </c>
      <c r="R55" s="214">
        <f ca="1">IFERROR(__xludf.DUMMYFUNCTION("IMPORTRANGE(""https://docs.google.com/spreadsheets/d/1SX6NBoVAgQJ6U1MVXOaj8PK2l7WJ3RER9xtqwdhxkhw/edit?usp=sharing"",""กาญจนบุรี!J312"")"),0)</f>
        <v>0</v>
      </c>
      <c r="S55" s="215">
        <f t="shared" ca="1" si="35"/>
        <v>0</v>
      </c>
      <c r="T55" s="215">
        <f ca="1">IFERROR(__xludf.DUMMYFUNCTION("IMPORTRANGE(""https://docs.google.com/spreadsheets/d/1SX6NBoVAgQJ6U1MVXOaj8PK2l7WJ3RER9xtqwdhxkhw/edit?usp=sharing"",""กาญจนบุรี!J314"")"),0)</f>
        <v>0</v>
      </c>
      <c r="U55" s="215">
        <f ca="1">IFERROR(__xludf.DUMMYFUNCTION("IMPORTRANGE(""https://docs.google.com/spreadsheets/d/1SX6NBoVAgQJ6U1MVXOaj8PK2l7WJ3RER9xtqwdhxkhw/edit?usp=sharing"",""กาญจนบุรี!J315"")"),0)</f>
        <v>0</v>
      </c>
      <c r="V55" s="310">
        <v>75</v>
      </c>
      <c r="W55" s="310">
        <v>25</v>
      </c>
      <c r="X55" s="214">
        <f ca="1">IFERROR(__xludf.DUMMYFUNCTION("IMPORTRANGE(""https://docs.google.com/spreadsheets/d/1SX6NBoVAgQJ6U1MVXOaj8PK2l7WJ3RER9xtqwdhxkhw/edit?usp=sharing"",""กาญจนบุรี!J317"")"),0)</f>
        <v>0</v>
      </c>
      <c r="Y55" s="215">
        <f t="shared" ca="1" si="36"/>
        <v>0</v>
      </c>
      <c r="Z55" s="214">
        <f ca="1">IFERROR(__xludf.DUMMYFUNCTION("IMPORTRANGE(""https://docs.google.com/spreadsheets/d/1SX6NBoVAgQJ6U1MVXOaj8PK2l7WJ3RER9xtqwdhxkhw/edit?usp=sharing"",""กาญจนบุรี!J316"")"),0)</f>
        <v>0</v>
      </c>
      <c r="AA55" s="215">
        <f t="shared" ca="1" si="37"/>
        <v>0</v>
      </c>
      <c r="AB55" s="214">
        <f ca="1">IFERROR(__xludf.DUMMYFUNCTION("IMPORTRANGE(""https://docs.google.com/spreadsheets/d/1SX6NBoVAgQJ6U1MVXOaj8PK2l7WJ3RER9xtqwdhxkhw/edit?usp=sharing"",""กาญจนบุรี!J318"")"),0)</f>
        <v>0</v>
      </c>
      <c r="AC55" s="214">
        <f ca="1">IFERROR(__xludf.DUMMYFUNCTION("IMPORTRANGE(""https://docs.google.com/spreadsheets/d/1SX6NBoVAgQJ6U1MVXOaj8PK2l7WJ3RER9xtqwdhxkhw/edit?usp=sharing"",""กาญจนบุรี!J319"")"),0)</f>
        <v>0</v>
      </c>
      <c r="AD55" s="214">
        <f ca="1">IFERROR(__xludf.DUMMYFUNCTION("IMPORTRANGE(""https://docs.google.com/spreadsheets/d/1SX6NBoVAgQJ6U1MVXOaj8PK2l7WJ3RER9xtqwdhxkhw/edit?usp=sharing"",""กาญจนบุรี!J320"")"),0)</f>
        <v>0</v>
      </c>
      <c r="AE55" s="310">
        <v>30</v>
      </c>
      <c r="AF55" s="310">
        <v>10</v>
      </c>
      <c r="AG55" s="214">
        <f ca="1">IFERROR(__xludf.DUMMYFUNCTION("IMPORTRANGE(""https://docs.google.com/spreadsheets/d/1SX6NBoVAgQJ6U1MVXOaj8PK2l7WJ3RER9xtqwdhxkhw/edit?usp=sharing"",""กาญจนบุรี!J322"")"),0)</f>
        <v>0</v>
      </c>
      <c r="AH55" s="215">
        <f t="shared" ca="1" si="38"/>
        <v>0</v>
      </c>
      <c r="AI55" s="214">
        <f ca="1">IFERROR(__xludf.DUMMYFUNCTION("IMPORTRANGE(""https://docs.google.com/spreadsheets/d/1SX6NBoVAgQJ6U1MVXOaj8PK2l7WJ3RER9xtqwdhxkhw/edit?usp=sharing"",""กาญจนบุรี!J321"")"),0)</f>
        <v>0</v>
      </c>
      <c r="AJ55" s="215">
        <f t="shared" ca="1" si="39"/>
        <v>0</v>
      </c>
      <c r="AK55" s="214">
        <f ca="1">IFERROR(__xludf.DUMMYFUNCTION("IMPORTRANGE(""https://docs.google.com/spreadsheets/d/1SX6NBoVAgQJ6U1MVXOaj8PK2l7WJ3RER9xtqwdhxkhw/edit?usp=sharing"",""กาญจนบุรี!J323"")"),0)</f>
        <v>0</v>
      </c>
      <c r="AL55" s="214">
        <f ca="1">IFERROR(__xludf.DUMMYFUNCTION("IMPORTRANGE(""https://docs.google.com/spreadsheets/d/1SX6NBoVAgQJ6U1MVXOaj8PK2l7WJ3RER9xtqwdhxkhw/edit?usp=sharing"",""กาญจนบุรี!J324"")"),0)</f>
        <v>0</v>
      </c>
      <c r="AM55" s="214">
        <f t="shared" ref="AM55:AM75" si="47">+AP55+AR55</f>
        <v>38</v>
      </c>
      <c r="AN55" s="214">
        <f t="shared" ref="AN55:AN75" ca="1" si="48">SUM(AQ55,AS55)</f>
        <v>0</v>
      </c>
      <c r="AO55" s="215">
        <f t="shared" ca="1" si="40"/>
        <v>0</v>
      </c>
      <c r="AP55" s="310">
        <v>13</v>
      </c>
      <c r="AQ55" s="214">
        <f ca="1">IFERROR(__xludf.DUMMYFUNCTION("IMPORTRANGE(""https://docs.google.com/spreadsheets/d/1SX6NBoVAgQJ6U1MVXOaj8PK2l7WJ3RER9xtqwdhxkhw/edit?usp=sharing"",""กาญจนบุรี!J326"")"),0)</f>
        <v>0</v>
      </c>
      <c r="AR55" s="310">
        <v>25</v>
      </c>
      <c r="AS55" s="311">
        <f ca="1">IFERROR(__xludf.DUMMYFUNCTION("IMPORTRANGE(""https://docs.google.com/spreadsheets/d/1SX6NBoVAgQJ6U1MVXOaj8PK2l7WJ3RER9xtqwdhxkhw/edit?usp=sharing"",""กาญจนบุรี!J327"")"),0)</f>
        <v>0</v>
      </c>
    </row>
    <row r="56" spans="1:45" ht="24" customHeight="1" x14ac:dyDescent="0.5">
      <c r="A56" s="216">
        <v>2</v>
      </c>
      <c r="B56" s="194" t="s">
        <v>71</v>
      </c>
      <c r="C56" s="312">
        <f t="shared" si="42"/>
        <v>144560</v>
      </c>
      <c r="D56" s="218">
        <v>0</v>
      </c>
      <c r="E56" s="218">
        <v>144560</v>
      </c>
      <c r="F56" s="219">
        <f ca="1">IFERROR(__xludf.DUMMYFUNCTION("IMPORTRANGE(""https://docs.google.com/spreadsheets/d/1SX6NBoVAgQJ6U1MVXOaj8PK2l7WJ3RER9xtqwdhxkhw/edit?usp=sharing"",""จันทบุรี!M299"")"),0)</f>
        <v>0</v>
      </c>
      <c r="G56" s="219">
        <f t="shared" ca="1" si="31"/>
        <v>0</v>
      </c>
      <c r="H56" s="220">
        <f t="shared" si="43"/>
        <v>120</v>
      </c>
      <c r="I56" s="220">
        <f t="shared" si="44"/>
        <v>40</v>
      </c>
      <c r="J56" s="220">
        <f t="shared" ca="1" si="45"/>
        <v>0</v>
      </c>
      <c r="K56" s="221">
        <f t="shared" ca="1" si="32"/>
        <v>0</v>
      </c>
      <c r="L56" s="220">
        <f t="shared" ca="1" si="46"/>
        <v>0</v>
      </c>
      <c r="M56" s="221">
        <f t="shared" ca="1" si="33"/>
        <v>0</v>
      </c>
      <c r="N56" s="301">
        <v>30</v>
      </c>
      <c r="O56" s="301">
        <v>10</v>
      </c>
      <c r="P56" s="220">
        <f ca="1">IFERROR(__xludf.DUMMYFUNCTION("IMPORTRANGE(""https://docs.google.com/spreadsheets/d/1SX6NBoVAgQJ6U1MVXOaj8PK2l7WJ3RER9xtqwdhxkhw/edit?usp=sharing"",""จันทบุรี!J313"")"),0)</f>
        <v>0</v>
      </c>
      <c r="Q56" s="221">
        <f t="shared" ca="1" si="34"/>
        <v>0</v>
      </c>
      <c r="R56" s="220">
        <f ca="1">IFERROR(__xludf.DUMMYFUNCTION("IMPORTRANGE(""https://docs.google.com/spreadsheets/d/1SX6NBoVAgQJ6U1MVXOaj8PK2l7WJ3RER9xtqwdhxkhw/edit?usp=sharing"",""จันทบุรี!J312"")"),0)</f>
        <v>0</v>
      </c>
      <c r="S56" s="221">
        <f t="shared" ca="1" si="35"/>
        <v>0</v>
      </c>
      <c r="T56" s="221">
        <f ca="1">IFERROR(__xludf.DUMMYFUNCTION("IMPORTRANGE(""https://docs.google.com/spreadsheets/d/1SX6NBoVAgQJ6U1MVXOaj8PK2l7WJ3RER9xtqwdhxkhw/edit?usp=sharing"",""จันทบุรี!J314"")"),0)</f>
        <v>0</v>
      </c>
      <c r="U56" s="221">
        <f ca="1">IFERROR(__xludf.DUMMYFUNCTION("IMPORTRANGE(""https://docs.google.com/spreadsheets/d/1SX6NBoVAgQJ6U1MVXOaj8PK2l7WJ3RER9xtqwdhxkhw/edit?usp=sharing"",""จันทบุรี!J315"")"),0)</f>
        <v>0</v>
      </c>
      <c r="V56" s="301">
        <v>60</v>
      </c>
      <c r="W56" s="301">
        <v>20</v>
      </c>
      <c r="X56" s="220">
        <f ca="1">IFERROR(__xludf.DUMMYFUNCTION("IMPORTRANGE(""https://docs.google.com/spreadsheets/d/1SX6NBoVAgQJ6U1MVXOaj8PK2l7WJ3RER9xtqwdhxkhw/edit?usp=sharing"",""จันทบุรี!J317"")"),0)</f>
        <v>0</v>
      </c>
      <c r="Y56" s="221">
        <f t="shared" ca="1" si="36"/>
        <v>0</v>
      </c>
      <c r="Z56" s="220">
        <f ca="1">IFERROR(__xludf.DUMMYFUNCTION("IMPORTRANGE(""https://docs.google.com/spreadsheets/d/1SX6NBoVAgQJ6U1MVXOaj8PK2l7WJ3RER9xtqwdhxkhw/edit?usp=sharing"",""จันทบุรี!J316"")"),0)</f>
        <v>0</v>
      </c>
      <c r="AA56" s="221">
        <f t="shared" ca="1" si="37"/>
        <v>0</v>
      </c>
      <c r="AB56" s="220">
        <f ca="1">IFERROR(__xludf.DUMMYFUNCTION("IMPORTRANGE(""https://docs.google.com/spreadsheets/d/1SX6NBoVAgQJ6U1MVXOaj8PK2l7WJ3RER9xtqwdhxkhw/edit?usp=sharing"",""จันทบุรี!J318"")"),0)</f>
        <v>0</v>
      </c>
      <c r="AC56" s="220">
        <f ca="1">IFERROR(__xludf.DUMMYFUNCTION("IMPORTRANGE(""https://docs.google.com/spreadsheets/d/1SX6NBoVAgQJ6U1MVXOaj8PK2l7WJ3RER9xtqwdhxkhw/edit?usp=sharing"",""จันทบุรี!J319"")"),0)</f>
        <v>0</v>
      </c>
      <c r="AD56" s="220">
        <f ca="1">IFERROR(__xludf.DUMMYFUNCTION("IMPORTRANGE(""https://docs.google.com/spreadsheets/d/1SX6NBoVAgQJ6U1MVXOaj8PK2l7WJ3RER9xtqwdhxkhw/edit?usp=sharing"",""จันทบุรี!J320"")"),0)</f>
        <v>0</v>
      </c>
      <c r="AE56" s="301">
        <v>30</v>
      </c>
      <c r="AF56" s="301">
        <v>10</v>
      </c>
      <c r="AG56" s="220">
        <f ca="1">IFERROR(__xludf.DUMMYFUNCTION("IMPORTRANGE(""https://docs.google.com/spreadsheets/d/1SX6NBoVAgQJ6U1MVXOaj8PK2l7WJ3RER9xtqwdhxkhw/edit?usp=sharing"",""จันทบุรี!J322"")"),0)</f>
        <v>0</v>
      </c>
      <c r="AH56" s="221">
        <f t="shared" ca="1" si="38"/>
        <v>0</v>
      </c>
      <c r="AI56" s="220">
        <f ca="1">IFERROR(__xludf.DUMMYFUNCTION("IMPORTRANGE(""https://docs.google.com/spreadsheets/d/1SX6NBoVAgQJ6U1MVXOaj8PK2l7WJ3RER9xtqwdhxkhw/edit?usp=sharing"",""จันทบุรี!J321"")"),0)</f>
        <v>0</v>
      </c>
      <c r="AJ56" s="221">
        <f t="shared" ca="1" si="39"/>
        <v>0</v>
      </c>
      <c r="AK56" s="220">
        <f ca="1">IFERROR(__xludf.DUMMYFUNCTION("IMPORTRANGE(""https://docs.google.com/spreadsheets/d/1SX6NBoVAgQJ6U1MVXOaj8PK2l7WJ3RER9xtqwdhxkhw/edit?usp=sharing"",""จันทบุรี!J323"")"),0)</f>
        <v>0</v>
      </c>
      <c r="AL56" s="220">
        <f ca="1">IFERROR(__xludf.DUMMYFUNCTION("IMPORTRANGE(""https://docs.google.com/spreadsheets/d/1SX6NBoVAgQJ6U1MVXOaj8PK2l7WJ3RER9xtqwdhxkhw/edit?usp=sharing"",""จันทบุรี!J324"")"),0)</f>
        <v>0</v>
      </c>
      <c r="AM56" s="220">
        <f t="shared" si="47"/>
        <v>30</v>
      </c>
      <c r="AN56" s="220">
        <f t="shared" ca="1" si="48"/>
        <v>0</v>
      </c>
      <c r="AO56" s="221">
        <f t="shared" ca="1" si="40"/>
        <v>0</v>
      </c>
      <c r="AP56" s="301">
        <v>10</v>
      </c>
      <c r="AQ56" s="220">
        <f ca="1">IFERROR(__xludf.DUMMYFUNCTION("IMPORTRANGE(""https://docs.google.com/spreadsheets/d/1SX6NBoVAgQJ6U1MVXOaj8PK2l7WJ3RER9xtqwdhxkhw/edit?usp=sharing"",""จันทบุรี!J326"")"),0)</f>
        <v>0</v>
      </c>
      <c r="AR56" s="301">
        <v>20</v>
      </c>
      <c r="AS56" s="313">
        <f ca="1">IFERROR(__xludf.DUMMYFUNCTION("IMPORTRANGE(""https://docs.google.com/spreadsheets/d/1SX6NBoVAgQJ6U1MVXOaj8PK2l7WJ3RER9xtqwdhxkhw/edit?usp=sharing"",""จันทบุรี!J327"")"),0)</f>
        <v>0</v>
      </c>
    </row>
    <row r="57" spans="1:45" ht="24" customHeight="1" x14ac:dyDescent="0.5">
      <c r="A57" s="216">
        <v>3</v>
      </c>
      <c r="B57" s="194" t="s">
        <v>72</v>
      </c>
      <c r="C57" s="312">
        <f t="shared" si="42"/>
        <v>267520</v>
      </c>
      <c r="D57" s="218">
        <v>0</v>
      </c>
      <c r="E57" s="218">
        <v>267520</v>
      </c>
      <c r="F57" s="219">
        <f ca="1">IFERROR(__xludf.DUMMYFUNCTION("IMPORTRANGE(""https://docs.google.com/spreadsheets/d/1SX6NBoVAgQJ6U1MVXOaj8PK2l7WJ3RER9xtqwdhxkhw/edit?usp=sharing"",""ฉะเชิงเทรา!M299"")"),0)</f>
        <v>0</v>
      </c>
      <c r="G57" s="219">
        <f t="shared" ca="1" si="31"/>
        <v>0</v>
      </c>
      <c r="H57" s="220">
        <f t="shared" si="43"/>
        <v>240</v>
      </c>
      <c r="I57" s="220">
        <f t="shared" si="44"/>
        <v>80</v>
      </c>
      <c r="J57" s="220">
        <f t="shared" ca="1" si="45"/>
        <v>0</v>
      </c>
      <c r="K57" s="221">
        <f t="shared" ca="1" si="32"/>
        <v>0</v>
      </c>
      <c r="L57" s="220">
        <f t="shared" ca="1" si="46"/>
        <v>0</v>
      </c>
      <c r="M57" s="221">
        <f t="shared" ca="1" si="33"/>
        <v>0</v>
      </c>
      <c r="N57" s="301">
        <v>90</v>
      </c>
      <c r="O57" s="301">
        <v>30</v>
      </c>
      <c r="P57" s="220">
        <f ca="1">IFERROR(__xludf.DUMMYFUNCTION("IMPORTRANGE(""https://docs.google.com/spreadsheets/d/1SX6NBoVAgQJ6U1MVXOaj8PK2l7WJ3RER9xtqwdhxkhw/edit?usp=sharing"",""ฉะเชิงเทรา!J313"")"),0)</f>
        <v>0</v>
      </c>
      <c r="Q57" s="221">
        <f t="shared" ca="1" si="34"/>
        <v>0</v>
      </c>
      <c r="R57" s="220">
        <f ca="1">IFERROR(__xludf.DUMMYFUNCTION("IMPORTRANGE(""https://docs.google.com/spreadsheets/d/1SX6NBoVAgQJ6U1MVXOaj8PK2l7WJ3RER9xtqwdhxkhw/edit?usp=sharing"",""ฉะเชิงเทรา!J312"")"),0)</f>
        <v>0</v>
      </c>
      <c r="S57" s="221">
        <f t="shared" ca="1" si="35"/>
        <v>0</v>
      </c>
      <c r="T57" s="221">
        <f ca="1">IFERROR(__xludf.DUMMYFUNCTION("IMPORTRANGE(""https://docs.google.com/spreadsheets/d/1SX6NBoVAgQJ6U1MVXOaj8PK2l7WJ3RER9xtqwdhxkhw/edit?usp=sharing"",""ฉะเชิงเทรา!J314"")"),0)</f>
        <v>0</v>
      </c>
      <c r="U57" s="221">
        <f ca="1">IFERROR(__xludf.DUMMYFUNCTION("IMPORTRANGE(""https://docs.google.com/spreadsheets/d/1SX6NBoVAgQJ6U1MVXOaj8PK2l7WJ3RER9xtqwdhxkhw/edit?usp=sharing"",""ฉะเชิงเทรา!J315"")"),0)</f>
        <v>0</v>
      </c>
      <c r="V57" s="301">
        <v>120</v>
      </c>
      <c r="W57" s="301">
        <v>40</v>
      </c>
      <c r="X57" s="220">
        <f ca="1">IFERROR(__xludf.DUMMYFUNCTION("IMPORTRANGE(""https://docs.google.com/spreadsheets/d/1SX6NBoVAgQJ6U1MVXOaj8PK2l7WJ3RER9xtqwdhxkhw/edit?usp=sharing"",""ฉะเชิงเทรา!J317"")"),0)</f>
        <v>0</v>
      </c>
      <c r="Y57" s="221">
        <f t="shared" ca="1" si="36"/>
        <v>0</v>
      </c>
      <c r="Z57" s="220">
        <f ca="1">IFERROR(__xludf.DUMMYFUNCTION("IMPORTRANGE(""https://docs.google.com/spreadsheets/d/1SX6NBoVAgQJ6U1MVXOaj8PK2l7WJ3RER9xtqwdhxkhw/edit?usp=sharing"",""ฉะเชิงเทรา!J316"")"),0)</f>
        <v>0</v>
      </c>
      <c r="AA57" s="221">
        <f t="shared" ca="1" si="37"/>
        <v>0</v>
      </c>
      <c r="AB57" s="220">
        <f ca="1">IFERROR(__xludf.DUMMYFUNCTION("IMPORTRANGE(""https://docs.google.com/spreadsheets/d/1SX6NBoVAgQJ6U1MVXOaj8PK2l7WJ3RER9xtqwdhxkhw/edit?usp=sharing"",""ฉะเชิงเทรา!J318"")"),0)</f>
        <v>0</v>
      </c>
      <c r="AC57" s="220">
        <f ca="1">IFERROR(__xludf.DUMMYFUNCTION("IMPORTRANGE(""https://docs.google.com/spreadsheets/d/1SX6NBoVAgQJ6U1MVXOaj8PK2l7WJ3RER9xtqwdhxkhw/edit?usp=sharing"",""ฉะเชิงเทรา!J319"")"),0)</f>
        <v>0</v>
      </c>
      <c r="AD57" s="220">
        <f ca="1">IFERROR(__xludf.DUMMYFUNCTION("IMPORTRANGE(""https://docs.google.com/spreadsheets/d/1SX6NBoVAgQJ6U1MVXOaj8PK2l7WJ3RER9xtqwdhxkhw/edit?usp=sharing"",""ฉะเชิงเทรา!J320"")"),0)</f>
        <v>0</v>
      </c>
      <c r="AE57" s="301">
        <v>30</v>
      </c>
      <c r="AF57" s="301">
        <v>10</v>
      </c>
      <c r="AG57" s="220">
        <f ca="1">IFERROR(__xludf.DUMMYFUNCTION("IMPORTRANGE(""https://docs.google.com/spreadsheets/d/1SX6NBoVAgQJ6U1MVXOaj8PK2l7WJ3RER9xtqwdhxkhw/edit?usp=sharing"",""ฉะเชิงเทรา!J322"")"),0)</f>
        <v>0</v>
      </c>
      <c r="AH57" s="221">
        <f t="shared" ca="1" si="38"/>
        <v>0</v>
      </c>
      <c r="AI57" s="220">
        <f ca="1">IFERROR(__xludf.DUMMYFUNCTION("IMPORTRANGE(""https://docs.google.com/spreadsheets/d/1SX6NBoVAgQJ6U1MVXOaj8PK2l7WJ3RER9xtqwdhxkhw/edit?usp=sharing"",""ฉะเชิงเทรา!J321"")"),0)</f>
        <v>0</v>
      </c>
      <c r="AJ57" s="221">
        <f t="shared" ca="1" si="39"/>
        <v>0</v>
      </c>
      <c r="AK57" s="220">
        <f ca="1">IFERROR(__xludf.DUMMYFUNCTION("IMPORTRANGE(""https://docs.google.com/spreadsheets/d/1SX6NBoVAgQJ6U1MVXOaj8PK2l7WJ3RER9xtqwdhxkhw/edit?usp=sharing"",""ฉะเชิงเทรา!J323"")"),0)</f>
        <v>0</v>
      </c>
      <c r="AL57" s="220">
        <f ca="1">IFERROR(__xludf.DUMMYFUNCTION("IMPORTRANGE(""https://docs.google.com/spreadsheets/d/1SX6NBoVAgQJ6U1MVXOaj8PK2l7WJ3RER9xtqwdhxkhw/edit?usp=sharing"",""ฉะเชิงเทรา!J324"")"),0)</f>
        <v>0</v>
      </c>
      <c r="AM57" s="220">
        <f t="shared" si="47"/>
        <v>70</v>
      </c>
      <c r="AN57" s="220">
        <f t="shared" ca="1" si="48"/>
        <v>0</v>
      </c>
      <c r="AO57" s="221">
        <f t="shared" ca="1" si="40"/>
        <v>0</v>
      </c>
      <c r="AP57" s="301">
        <v>30</v>
      </c>
      <c r="AQ57" s="220">
        <f ca="1">IFERROR(__xludf.DUMMYFUNCTION("IMPORTRANGE(""https://docs.google.com/spreadsheets/d/1SX6NBoVAgQJ6U1MVXOaj8PK2l7WJ3RER9xtqwdhxkhw/edit?usp=sharing"",""ฉะเชิงเทรา!J326"")"),0)</f>
        <v>0</v>
      </c>
      <c r="AR57" s="301">
        <v>40</v>
      </c>
      <c r="AS57" s="313">
        <f ca="1">IFERROR(__xludf.DUMMYFUNCTION("IMPORTRANGE(""https://docs.google.com/spreadsheets/d/1SX6NBoVAgQJ6U1MVXOaj8PK2l7WJ3RER9xtqwdhxkhw/edit?usp=sharing"",""ฉะเชิงเทรา!J327"")"),0)</f>
        <v>0</v>
      </c>
    </row>
    <row r="58" spans="1:45" ht="24" customHeight="1" x14ac:dyDescent="0.5">
      <c r="A58" s="216">
        <v>4</v>
      </c>
      <c r="B58" s="194" t="s">
        <v>73</v>
      </c>
      <c r="C58" s="312">
        <f t="shared" si="42"/>
        <v>101920</v>
      </c>
      <c r="D58" s="218">
        <v>0</v>
      </c>
      <c r="E58" s="218">
        <v>101920</v>
      </c>
      <c r="F58" s="219">
        <f ca="1">IFERROR(__xludf.DUMMYFUNCTION("IMPORTRANGE(""https://docs.google.com/spreadsheets/d/1SX6NBoVAgQJ6U1MVXOaj8PK2l7WJ3RER9xtqwdhxkhw/edit?usp=sharing"",""ชลบุรี!M299"")"),3060)</f>
        <v>3060</v>
      </c>
      <c r="G58" s="219">
        <f t="shared" ca="1" si="31"/>
        <v>3.002354788069074</v>
      </c>
      <c r="H58" s="220">
        <f t="shared" si="43"/>
        <v>90</v>
      </c>
      <c r="I58" s="220">
        <f t="shared" si="44"/>
        <v>30</v>
      </c>
      <c r="J58" s="220">
        <f t="shared" ca="1" si="45"/>
        <v>0</v>
      </c>
      <c r="K58" s="221">
        <f t="shared" ca="1" si="32"/>
        <v>0</v>
      </c>
      <c r="L58" s="220">
        <f t="shared" ca="1" si="46"/>
        <v>0</v>
      </c>
      <c r="M58" s="221">
        <f t="shared" ca="1" si="33"/>
        <v>0</v>
      </c>
      <c r="N58" s="301">
        <v>0</v>
      </c>
      <c r="O58" s="301">
        <v>0</v>
      </c>
      <c r="P58" s="220">
        <f ca="1">IFERROR(__xludf.DUMMYFUNCTION("IMPORTRANGE(""https://docs.google.com/spreadsheets/d/1SX6NBoVAgQJ6U1MVXOaj8PK2l7WJ3RER9xtqwdhxkhw/edit?usp=sharing"",""ชลบุรี!J313"")"),0)</f>
        <v>0</v>
      </c>
      <c r="Q58" s="221">
        <f t="shared" si="34"/>
        <v>0</v>
      </c>
      <c r="R58" s="220">
        <f ca="1">IFERROR(__xludf.DUMMYFUNCTION("IMPORTRANGE(""https://docs.google.com/spreadsheets/d/1SX6NBoVAgQJ6U1MVXOaj8PK2l7WJ3RER9xtqwdhxkhw/edit?usp=sharing"",""ชลบุรี!J312"")"),0)</f>
        <v>0</v>
      </c>
      <c r="S58" s="221">
        <f t="shared" si="35"/>
        <v>0</v>
      </c>
      <c r="T58" s="221">
        <f ca="1">IFERROR(__xludf.DUMMYFUNCTION("IMPORTRANGE(""https://docs.google.com/spreadsheets/d/1SX6NBoVAgQJ6U1MVXOaj8PK2l7WJ3RER9xtqwdhxkhw/edit?usp=sharing"",""ชลบุรี!J314"")"),0)</f>
        <v>0</v>
      </c>
      <c r="U58" s="221">
        <f ca="1">IFERROR(__xludf.DUMMYFUNCTION("IMPORTRANGE(""https://docs.google.com/spreadsheets/d/1SX6NBoVAgQJ6U1MVXOaj8PK2l7WJ3RER9xtqwdhxkhw/edit?usp=sharing"",""ชลบุรี!J315"")"),0)</f>
        <v>0</v>
      </c>
      <c r="V58" s="301">
        <v>60</v>
      </c>
      <c r="W58" s="301">
        <v>20</v>
      </c>
      <c r="X58" s="220">
        <f ca="1">IFERROR(__xludf.DUMMYFUNCTION("IMPORTRANGE(""https://docs.google.com/spreadsheets/d/1SX6NBoVAgQJ6U1MVXOaj8PK2l7WJ3RER9xtqwdhxkhw/edit?usp=sharing"",""ชลบุรี!J317"")"),0)</f>
        <v>0</v>
      </c>
      <c r="Y58" s="221">
        <f t="shared" ca="1" si="36"/>
        <v>0</v>
      </c>
      <c r="Z58" s="220">
        <f ca="1">IFERROR(__xludf.DUMMYFUNCTION("IMPORTRANGE(""https://docs.google.com/spreadsheets/d/1SX6NBoVAgQJ6U1MVXOaj8PK2l7WJ3RER9xtqwdhxkhw/edit?usp=sharing"",""ชลบุรี!J316"")"),0)</f>
        <v>0</v>
      </c>
      <c r="AA58" s="221">
        <f t="shared" ca="1" si="37"/>
        <v>0</v>
      </c>
      <c r="AB58" s="220">
        <f ca="1">IFERROR(__xludf.DUMMYFUNCTION("IMPORTRANGE(""https://docs.google.com/spreadsheets/d/1SX6NBoVAgQJ6U1MVXOaj8PK2l7WJ3RER9xtqwdhxkhw/edit?usp=sharing"",""ชลบุรี!J318"")"),0)</f>
        <v>0</v>
      </c>
      <c r="AC58" s="220">
        <f ca="1">IFERROR(__xludf.DUMMYFUNCTION("IMPORTRANGE(""https://docs.google.com/spreadsheets/d/1SX6NBoVAgQJ6U1MVXOaj8PK2l7WJ3RER9xtqwdhxkhw/edit?usp=sharing"",""ชลบุรี!J319"")"),0)</f>
        <v>0</v>
      </c>
      <c r="AD58" s="220">
        <f ca="1">IFERROR(__xludf.DUMMYFUNCTION("IMPORTRANGE(""https://docs.google.com/spreadsheets/d/1SX6NBoVAgQJ6U1MVXOaj8PK2l7WJ3RER9xtqwdhxkhw/edit?usp=sharing"",""ชลบุรี!J320"")"),0)</f>
        <v>0</v>
      </c>
      <c r="AE58" s="301">
        <v>30</v>
      </c>
      <c r="AF58" s="301">
        <v>10</v>
      </c>
      <c r="AG58" s="220">
        <f ca="1">IFERROR(__xludf.DUMMYFUNCTION("IMPORTRANGE(""https://docs.google.com/spreadsheets/d/1SX6NBoVAgQJ6U1MVXOaj8PK2l7WJ3RER9xtqwdhxkhw/edit?usp=sharing"",""ชลบุรี!J322"")"),0)</f>
        <v>0</v>
      </c>
      <c r="AH58" s="221">
        <f t="shared" ca="1" si="38"/>
        <v>0</v>
      </c>
      <c r="AI58" s="220">
        <f ca="1">IFERROR(__xludf.DUMMYFUNCTION("IMPORTRANGE(""https://docs.google.com/spreadsheets/d/1SX6NBoVAgQJ6U1MVXOaj8PK2l7WJ3RER9xtqwdhxkhw/edit?usp=sharing"",""ชลบุรี!J321"")"),0)</f>
        <v>0</v>
      </c>
      <c r="AJ58" s="221">
        <f t="shared" ca="1" si="39"/>
        <v>0</v>
      </c>
      <c r="AK58" s="220">
        <f ca="1">IFERROR(__xludf.DUMMYFUNCTION("IMPORTRANGE(""https://docs.google.com/spreadsheets/d/1SX6NBoVAgQJ6U1MVXOaj8PK2l7WJ3RER9xtqwdhxkhw/edit?usp=sharing"",""ชลบุรี!J323"")"),0)</f>
        <v>0</v>
      </c>
      <c r="AL58" s="220">
        <f ca="1">IFERROR(__xludf.DUMMYFUNCTION("IMPORTRANGE(""https://docs.google.com/spreadsheets/d/1SX6NBoVAgQJ6U1MVXOaj8PK2l7WJ3RER9xtqwdhxkhw/edit?usp=sharing"",""ชลบุรี!J324"")"),0)</f>
        <v>0</v>
      </c>
      <c r="AM58" s="220">
        <f t="shared" si="47"/>
        <v>20</v>
      </c>
      <c r="AN58" s="220">
        <f t="shared" ca="1" si="48"/>
        <v>0</v>
      </c>
      <c r="AO58" s="221">
        <f t="shared" ca="1" si="40"/>
        <v>0</v>
      </c>
      <c r="AP58" s="301">
        <v>0</v>
      </c>
      <c r="AQ58" s="220">
        <f ca="1">IFERROR(__xludf.DUMMYFUNCTION("IMPORTRANGE(""https://docs.google.com/spreadsheets/d/1SX6NBoVAgQJ6U1MVXOaj8PK2l7WJ3RER9xtqwdhxkhw/edit?usp=sharing"",""ชลบุรี!J326"")"),0)</f>
        <v>0</v>
      </c>
      <c r="AR58" s="301">
        <v>20</v>
      </c>
      <c r="AS58" s="313">
        <f ca="1">IFERROR(__xludf.DUMMYFUNCTION("IMPORTRANGE(""https://docs.google.com/spreadsheets/d/1SX6NBoVAgQJ6U1MVXOaj8PK2l7WJ3RER9xtqwdhxkhw/edit?usp=sharing"",""ชลบุรี!J327"")"),0)</f>
        <v>0</v>
      </c>
    </row>
    <row r="59" spans="1:45" ht="24" customHeight="1" x14ac:dyDescent="0.5">
      <c r="A59" s="216">
        <v>5</v>
      </c>
      <c r="B59" s="194" t="s">
        <v>74</v>
      </c>
      <c r="C59" s="312">
        <f t="shared" si="42"/>
        <v>226530</v>
      </c>
      <c r="D59" s="218">
        <v>0</v>
      </c>
      <c r="E59" s="218">
        <v>226530</v>
      </c>
      <c r="F59" s="219">
        <f ca="1">IFERROR(__xludf.DUMMYFUNCTION("IMPORTRANGE(""https://docs.google.com/spreadsheets/d/1SX6NBoVAgQJ6U1MVXOaj8PK2l7WJ3RER9xtqwdhxkhw/edit?usp=sharing"",""ชัยนาท!M299"")"),0)</f>
        <v>0</v>
      </c>
      <c r="G59" s="219">
        <f t="shared" ca="1" si="31"/>
        <v>0</v>
      </c>
      <c r="H59" s="220">
        <f t="shared" si="43"/>
        <v>195</v>
      </c>
      <c r="I59" s="220">
        <f t="shared" si="44"/>
        <v>65</v>
      </c>
      <c r="J59" s="220">
        <f t="shared" ca="1" si="45"/>
        <v>0</v>
      </c>
      <c r="K59" s="221">
        <f t="shared" ca="1" si="32"/>
        <v>0</v>
      </c>
      <c r="L59" s="220">
        <f t="shared" ca="1" si="46"/>
        <v>0</v>
      </c>
      <c r="M59" s="221">
        <f t="shared" ca="1" si="33"/>
        <v>0</v>
      </c>
      <c r="N59" s="301">
        <v>90</v>
      </c>
      <c r="O59" s="301">
        <v>30</v>
      </c>
      <c r="P59" s="220">
        <f ca="1">IFERROR(__xludf.DUMMYFUNCTION("IMPORTRANGE(""https://docs.google.com/spreadsheets/d/1SX6NBoVAgQJ6U1MVXOaj8PK2l7WJ3RER9xtqwdhxkhw/edit?usp=sharing"",""ชัยนาท!J313"")"),0)</f>
        <v>0</v>
      </c>
      <c r="Q59" s="221">
        <f t="shared" ca="1" si="34"/>
        <v>0</v>
      </c>
      <c r="R59" s="220">
        <f ca="1">IFERROR(__xludf.DUMMYFUNCTION("IMPORTRANGE(""https://docs.google.com/spreadsheets/d/1SX6NBoVAgQJ6U1MVXOaj8PK2l7WJ3RER9xtqwdhxkhw/edit?usp=sharing"",""ชัยนาท!J312"")"),0)</f>
        <v>0</v>
      </c>
      <c r="S59" s="221">
        <f t="shared" ca="1" si="35"/>
        <v>0</v>
      </c>
      <c r="T59" s="221">
        <f ca="1">IFERROR(__xludf.DUMMYFUNCTION("IMPORTRANGE(""https://docs.google.com/spreadsheets/d/1SX6NBoVAgQJ6U1MVXOaj8PK2l7WJ3RER9xtqwdhxkhw/edit?usp=sharing"",""ชัยนาท!J314"")"),0)</f>
        <v>0</v>
      </c>
      <c r="U59" s="221">
        <f ca="1">IFERROR(__xludf.DUMMYFUNCTION("IMPORTRANGE(""https://docs.google.com/spreadsheets/d/1SX6NBoVAgQJ6U1MVXOaj8PK2l7WJ3RER9xtqwdhxkhw/edit?usp=sharing"",""ชัยนาท!J315"")"),0)</f>
        <v>0</v>
      </c>
      <c r="V59" s="301">
        <v>75</v>
      </c>
      <c r="W59" s="301">
        <v>25</v>
      </c>
      <c r="X59" s="220">
        <f ca="1">IFERROR(__xludf.DUMMYFUNCTION("IMPORTRANGE(""https://docs.google.com/spreadsheets/d/1SX6NBoVAgQJ6U1MVXOaj8PK2l7WJ3RER9xtqwdhxkhw/edit?usp=sharing"",""ชัยนาท!J317"")"),0)</f>
        <v>0</v>
      </c>
      <c r="Y59" s="221">
        <f t="shared" ca="1" si="36"/>
        <v>0</v>
      </c>
      <c r="Z59" s="220">
        <f ca="1">IFERROR(__xludf.DUMMYFUNCTION("IMPORTRANGE(""https://docs.google.com/spreadsheets/d/1SX6NBoVAgQJ6U1MVXOaj8PK2l7WJ3RER9xtqwdhxkhw/edit?usp=sharing"",""ชัยนาท!J316"")"),0)</f>
        <v>0</v>
      </c>
      <c r="AA59" s="221">
        <f t="shared" ca="1" si="37"/>
        <v>0</v>
      </c>
      <c r="AB59" s="220">
        <f ca="1">IFERROR(__xludf.DUMMYFUNCTION("IMPORTRANGE(""https://docs.google.com/spreadsheets/d/1SX6NBoVAgQJ6U1MVXOaj8PK2l7WJ3RER9xtqwdhxkhw/edit?usp=sharing"",""ชัยนาท!J318"")"),0)</f>
        <v>0</v>
      </c>
      <c r="AC59" s="220">
        <f ca="1">IFERROR(__xludf.DUMMYFUNCTION("IMPORTRANGE(""https://docs.google.com/spreadsheets/d/1SX6NBoVAgQJ6U1MVXOaj8PK2l7WJ3RER9xtqwdhxkhw/edit?usp=sharing"",""ชัยนาท!J319"")"),0)</f>
        <v>0</v>
      </c>
      <c r="AD59" s="220">
        <f ca="1">IFERROR(__xludf.DUMMYFUNCTION("IMPORTRANGE(""https://docs.google.com/spreadsheets/d/1SX6NBoVAgQJ6U1MVXOaj8PK2l7WJ3RER9xtqwdhxkhw/edit?usp=sharing"",""ชัยนาท!J320"")"),0)</f>
        <v>0</v>
      </c>
      <c r="AE59" s="301">
        <v>30</v>
      </c>
      <c r="AF59" s="301">
        <v>10</v>
      </c>
      <c r="AG59" s="220">
        <f ca="1">IFERROR(__xludf.DUMMYFUNCTION("IMPORTRANGE(""https://docs.google.com/spreadsheets/d/1SX6NBoVAgQJ6U1MVXOaj8PK2l7WJ3RER9xtqwdhxkhw/edit?usp=sharing"",""ชัยนาท!J322"")"),0)</f>
        <v>0</v>
      </c>
      <c r="AH59" s="221">
        <f t="shared" ca="1" si="38"/>
        <v>0</v>
      </c>
      <c r="AI59" s="220">
        <f ca="1">IFERROR(__xludf.DUMMYFUNCTION("IMPORTRANGE(""https://docs.google.com/spreadsheets/d/1SX6NBoVAgQJ6U1MVXOaj8PK2l7WJ3RER9xtqwdhxkhw/edit?usp=sharing"",""ชัยนาท!J321"")"),0)</f>
        <v>0</v>
      </c>
      <c r="AJ59" s="221">
        <f t="shared" ca="1" si="39"/>
        <v>0</v>
      </c>
      <c r="AK59" s="220">
        <f ca="1">IFERROR(__xludf.DUMMYFUNCTION("IMPORTRANGE(""https://docs.google.com/spreadsheets/d/1SX6NBoVAgQJ6U1MVXOaj8PK2l7WJ3RER9xtqwdhxkhw/edit?usp=sharing"",""ชัยนาท!J323"")"),0)</f>
        <v>0</v>
      </c>
      <c r="AL59" s="220">
        <f ca="1">IFERROR(__xludf.DUMMYFUNCTION("IMPORTRANGE(""https://docs.google.com/spreadsheets/d/1SX6NBoVAgQJ6U1MVXOaj8PK2l7WJ3RER9xtqwdhxkhw/edit?usp=sharing"",""ชัยนาท!J324"")"),0)</f>
        <v>0</v>
      </c>
      <c r="AM59" s="220">
        <f t="shared" si="47"/>
        <v>55</v>
      </c>
      <c r="AN59" s="220">
        <f t="shared" ca="1" si="48"/>
        <v>0</v>
      </c>
      <c r="AO59" s="221">
        <f t="shared" ca="1" si="40"/>
        <v>0</v>
      </c>
      <c r="AP59" s="301">
        <v>30</v>
      </c>
      <c r="AQ59" s="220">
        <f ca="1">IFERROR(__xludf.DUMMYFUNCTION("IMPORTRANGE(""https://docs.google.com/spreadsheets/d/1SX6NBoVAgQJ6U1MVXOaj8PK2l7WJ3RER9xtqwdhxkhw/edit?usp=sharing"",""ชัยนาท!J326"")"),0)</f>
        <v>0</v>
      </c>
      <c r="AR59" s="301">
        <v>25</v>
      </c>
      <c r="AS59" s="313">
        <f ca="1">IFERROR(__xludf.DUMMYFUNCTION("IMPORTRANGE(""https://docs.google.com/spreadsheets/d/1SX6NBoVAgQJ6U1MVXOaj8PK2l7WJ3RER9xtqwdhxkhw/edit?usp=sharing"",""ชัยนาท!J327"")"),0)</f>
        <v>0</v>
      </c>
    </row>
    <row r="60" spans="1:45" ht="24" customHeight="1" x14ac:dyDescent="0.5">
      <c r="A60" s="216">
        <v>6</v>
      </c>
      <c r="B60" s="194" t="s">
        <v>75</v>
      </c>
      <c r="C60" s="312">
        <f t="shared" si="42"/>
        <v>116320</v>
      </c>
      <c r="D60" s="218">
        <v>0</v>
      </c>
      <c r="E60" s="218">
        <v>116320</v>
      </c>
      <c r="F60" s="219">
        <f ca="1">IFERROR(__xludf.DUMMYFUNCTION("IMPORTRANGE(""https://docs.google.com/spreadsheets/d/1SX6NBoVAgQJ6U1MVXOaj8PK2l7WJ3RER9xtqwdhxkhw/edit?usp=sharing"",""ตราด!M299"")"),0)</f>
        <v>0</v>
      </c>
      <c r="G60" s="219">
        <f t="shared" ca="1" si="31"/>
        <v>0</v>
      </c>
      <c r="H60" s="220">
        <f t="shared" si="43"/>
        <v>90</v>
      </c>
      <c r="I60" s="220">
        <f t="shared" si="44"/>
        <v>30</v>
      </c>
      <c r="J60" s="220">
        <f t="shared" ca="1" si="45"/>
        <v>0</v>
      </c>
      <c r="K60" s="221">
        <f t="shared" ca="1" si="32"/>
        <v>0</v>
      </c>
      <c r="L60" s="220">
        <f t="shared" ca="1" si="46"/>
        <v>0</v>
      </c>
      <c r="M60" s="221">
        <f t="shared" ca="1" si="33"/>
        <v>0</v>
      </c>
      <c r="N60" s="301">
        <v>30</v>
      </c>
      <c r="O60" s="301">
        <v>10</v>
      </c>
      <c r="P60" s="220">
        <f ca="1">IFERROR(__xludf.DUMMYFUNCTION("IMPORTRANGE(""https://docs.google.com/spreadsheets/d/1SX6NBoVAgQJ6U1MVXOaj8PK2l7WJ3RER9xtqwdhxkhw/edit?usp=sharing"",""ตราด!J313"")"),0)</f>
        <v>0</v>
      </c>
      <c r="Q60" s="221">
        <f t="shared" ca="1" si="34"/>
        <v>0</v>
      </c>
      <c r="R60" s="220">
        <f ca="1">IFERROR(__xludf.DUMMYFUNCTION("IMPORTRANGE(""https://docs.google.com/spreadsheets/d/1SX6NBoVAgQJ6U1MVXOaj8PK2l7WJ3RER9xtqwdhxkhw/edit?usp=sharing"",""ตราด!J312"")"),0)</f>
        <v>0</v>
      </c>
      <c r="S60" s="221">
        <f t="shared" ca="1" si="35"/>
        <v>0</v>
      </c>
      <c r="T60" s="221">
        <f ca="1">IFERROR(__xludf.DUMMYFUNCTION("IMPORTRANGE(""https://docs.google.com/spreadsheets/d/1SX6NBoVAgQJ6U1MVXOaj8PK2l7WJ3RER9xtqwdhxkhw/edit?usp=sharing"",""ตราด!J314"")"),0)</f>
        <v>0</v>
      </c>
      <c r="U60" s="221">
        <f ca="1">IFERROR(__xludf.DUMMYFUNCTION("IMPORTRANGE(""https://docs.google.com/spreadsheets/d/1SX6NBoVAgQJ6U1MVXOaj8PK2l7WJ3RER9xtqwdhxkhw/edit?usp=sharing"",""ตราด!J315"")"),0)</f>
        <v>0</v>
      </c>
      <c r="V60" s="301">
        <v>30</v>
      </c>
      <c r="W60" s="301">
        <v>10</v>
      </c>
      <c r="X60" s="220">
        <f ca="1">IFERROR(__xludf.DUMMYFUNCTION("IMPORTRANGE(""https://docs.google.com/spreadsheets/d/1SX6NBoVAgQJ6U1MVXOaj8PK2l7WJ3RER9xtqwdhxkhw/edit?usp=sharing"",""ตราด!J317"")"),0)</f>
        <v>0</v>
      </c>
      <c r="Y60" s="221">
        <f t="shared" ca="1" si="36"/>
        <v>0</v>
      </c>
      <c r="Z60" s="220">
        <f ca="1">IFERROR(__xludf.DUMMYFUNCTION("IMPORTRANGE(""https://docs.google.com/spreadsheets/d/1SX6NBoVAgQJ6U1MVXOaj8PK2l7WJ3RER9xtqwdhxkhw/edit?usp=sharing"",""ตราด!J316"")"),0)</f>
        <v>0</v>
      </c>
      <c r="AA60" s="221">
        <f t="shared" ca="1" si="37"/>
        <v>0</v>
      </c>
      <c r="AB60" s="220">
        <f ca="1">IFERROR(__xludf.DUMMYFUNCTION("IMPORTRANGE(""https://docs.google.com/spreadsheets/d/1SX6NBoVAgQJ6U1MVXOaj8PK2l7WJ3RER9xtqwdhxkhw/edit?usp=sharing"",""ตราด!J318"")"),0)</f>
        <v>0</v>
      </c>
      <c r="AC60" s="220">
        <f ca="1">IFERROR(__xludf.DUMMYFUNCTION("IMPORTRANGE(""https://docs.google.com/spreadsheets/d/1SX6NBoVAgQJ6U1MVXOaj8PK2l7WJ3RER9xtqwdhxkhw/edit?usp=sharing"",""ตราด!J319"")"),0)</f>
        <v>0</v>
      </c>
      <c r="AD60" s="220">
        <f ca="1">IFERROR(__xludf.DUMMYFUNCTION("IMPORTRANGE(""https://docs.google.com/spreadsheets/d/1SX6NBoVAgQJ6U1MVXOaj8PK2l7WJ3RER9xtqwdhxkhw/edit?usp=sharing"",""ตราด!J320"")"),0)</f>
        <v>0</v>
      </c>
      <c r="AE60" s="301">
        <v>30</v>
      </c>
      <c r="AF60" s="301">
        <v>10</v>
      </c>
      <c r="AG60" s="220">
        <f ca="1">IFERROR(__xludf.DUMMYFUNCTION("IMPORTRANGE(""https://docs.google.com/spreadsheets/d/1SX6NBoVAgQJ6U1MVXOaj8PK2l7WJ3RER9xtqwdhxkhw/edit?usp=sharing"",""ตราด!J322"")"),0)</f>
        <v>0</v>
      </c>
      <c r="AH60" s="221">
        <f t="shared" ca="1" si="38"/>
        <v>0</v>
      </c>
      <c r="AI60" s="220">
        <f ca="1">IFERROR(__xludf.DUMMYFUNCTION("IMPORTRANGE(""https://docs.google.com/spreadsheets/d/1SX6NBoVAgQJ6U1MVXOaj8PK2l7WJ3RER9xtqwdhxkhw/edit?usp=sharing"",""ตราด!J321"")"),0)</f>
        <v>0</v>
      </c>
      <c r="AJ60" s="221">
        <f t="shared" ca="1" si="39"/>
        <v>0</v>
      </c>
      <c r="AK60" s="220">
        <f ca="1">IFERROR(__xludf.DUMMYFUNCTION("IMPORTRANGE(""https://docs.google.com/spreadsheets/d/1SX6NBoVAgQJ6U1MVXOaj8PK2l7WJ3RER9xtqwdhxkhw/edit?usp=sharing"",""ตราด!J323"")"),0)</f>
        <v>0</v>
      </c>
      <c r="AL60" s="220">
        <f ca="1">IFERROR(__xludf.DUMMYFUNCTION("IMPORTRANGE(""https://docs.google.com/spreadsheets/d/1SX6NBoVAgQJ6U1MVXOaj8PK2l7WJ3RER9xtqwdhxkhw/edit?usp=sharing"",""ตราด!J324"")"),0)</f>
        <v>0</v>
      </c>
      <c r="AM60" s="220">
        <f t="shared" si="47"/>
        <v>20</v>
      </c>
      <c r="AN60" s="220">
        <f t="shared" ca="1" si="48"/>
        <v>0</v>
      </c>
      <c r="AO60" s="221">
        <f t="shared" ca="1" si="40"/>
        <v>0</v>
      </c>
      <c r="AP60" s="301">
        <v>10</v>
      </c>
      <c r="AQ60" s="220">
        <f ca="1">IFERROR(__xludf.DUMMYFUNCTION("IMPORTRANGE(""https://docs.google.com/spreadsheets/d/1SX6NBoVAgQJ6U1MVXOaj8PK2l7WJ3RER9xtqwdhxkhw/edit?usp=sharing"",""ตราด!J326"")"),0)</f>
        <v>0</v>
      </c>
      <c r="AR60" s="301">
        <v>10</v>
      </c>
      <c r="AS60" s="313">
        <f ca="1">IFERROR(__xludf.DUMMYFUNCTION("IMPORTRANGE(""https://docs.google.com/spreadsheets/d/1SX6NBoVAgQJ6U1MVXOaj8PK2l7WJ3RER9xtqwdhxkhw/edit?usp=sharing"",""ตราด!J327"")"),0)</f>
        <v>0</v>
      </c>
    </row>
    <row r="61" spans="1:45" ht="24" customHeight="1" x14ac:dyDescent="0.5">
      <c r="A61" s="216">
        <v>7</v>
      </c>
      <c r="B61" s="194" t="s">
        <v>76</v>
      </c>
      <c r="C61" s="312">
        <f t="shared" si="42"/>
        <v>229370</v>
      </c>
      <c r="D61" s="218">
        <v>0</v>
      </c>
      <c r="E61" s="218">
        <v>229370</v>
      </c>
      <c r="F61" s="219">
        <f ca="1">IFERROR(__xludf.DUMMYFUNCTION("IMPORTRANGE(""https://docs.google.com/spreadsheets/d/1SX6NBoVAgQJ6U1MVXOaj8PK2l7WJ3RER9xtqwdhxkhw/edit?usp=sharing"",""นครนายก!M299"")"),0)</f>
        <v>0</v>
      </c>
      <c r="G61" s="219">
        <f t="shared" ca="1" si="31"/>
        <v>0</v>
      </c>
      <c r="H61" s="220">
        <f t="shared" si="43"/>
        <v>204</v>
      </c>
      <c r="I61" s="220">
        <f t="shared" si="44"/>
        <v>68</v>
      </c>
      <c r="J61" s="220">
        <f t="shared" ca="1" si="45"/>
        <v>0</v>
      </c>
      <c r="K61" s="221">
        <f t="shared" ca="1" si="32"/>
        <v>0</v>
      </c>
      <c r="L61" s="220">
        <f t="shared" ca="1" si="46"/>
        <v>0</v>
      </c>
      <c r="M61" s="221">
        <f t="shared" ca="1" si="33"/>
        <v>0</v>
      </c>
      <c r="N61" s="301">
        <v>90</v>
      </c>
      <c r="O61" s="301">
        <v>30</v>
      </c>
      <c r="P61" s="220">
        <f ca="1">IFERROR(__xludf.DUMMYFUNCTION("IMPORTRANGE(""https://docs.google.com/spreadsheets/d/1SX6NBoVAgQJ6U1MVXOaj8PK2l7WJ3RER9xtqwdhxkhw/edit?usp=sharing"",""นครนายก!J313"")"),0)</f>
        <v>0</v>
      </c>
      <c r="Q61" s="221">
        <f t="shared" ca="1" si="34"/>
        <v>0</v>
      </c>
      <c r="R61" s="220">
        <f ca="1">IFERROR(__xludf.DUMMYFUNCTION("IMPORTRANGE(""https://docs.google.com/spreadsheets/d/1SX6NBoVAgQJ6U1MVXOaj8PK2l7WJ3RER9xtqwdhxkhw/edit?usp=sharing"",""นครนายก!J312"")"),0)</f>
        <v>0</v>
      </c>
      <c r="S61" s="221">
        <f t="shared" ca="1" si="35"/>
        <v>0</v>
      </c>
      <c r="T61" s="221">
        <f ca="1">IFERROR(__xludf.DUMMYFUNCTION("IMPORTRANGE(""https://docs.google.com/spreadsheets/d/1SX6NBoVAgQJ6U1MVXOaj8PK2l7WJ3RER9xtqwdhxkhw/edit?usp=sharing"",""นครนายก!J314"")"),0)</f>
        <v>0</v>
      </c>
      <c r="U61" s="221">
        <f ca="1">IFERROR(__xludf.DUMMYFUNCTION("IMPORTRANGE(""https://docs.google.com/spreadsheets/d/1SX6NBoVAgQJ6U1MVXOaj8PK2l7WJ3RER9xtqwdhxkhw/edit?usp=sharing"",""นครนายก!J315"")"),0)</f>
        <v>0</v>
      </c>
      <c r="V61" s="301">
        <v>75</v>
      </c>
      <c r="W61" s="301">
        <v>25</v>
      </c>
      <c r="X61" s="220">
        <f ca="1">IFERROR(__xludf.DUMMYFUNCTION("IMPORTRANGE(""https://docs.google.com/spreadsheets/d/1SX6NBoVAgQJ6U1MVXOaj8PK2l7WJ3RER9xtqwdhxkhw/edit?usp=sharing"",""นครนายก!J317"")"),0)</f>
        <v>0</v>
      </c>
      <c r="Y61" s="221">
        <f t="shared" ca="1" si="36"/>
        <v>0</v>
      </c>
      <c r="Z61" s="220">
        <f ca="1">IFERROR(__xludf.DUMMYFUNCTION("IMPORTRANGE(""https://docs.google.com/spreadsheets/d/1SX6NBoVAgQJ6U1MVXOaj8PK2l7WJ3RER9xtqwdhxkhw/edit?usp=sharing"",""นครนายก!J316"")"),0)</f>
        <v>0</v>
      </c>
      <c r="AA61" s="221">
        <f t="shared" ca="1" si="37"/>
        <v>0</v>
      </c>
      <c r="AB61" s="220">
        <f ca="1">IFERROR(__xludf.DUMMYFUNCTION("IMPORTRANGE(""https://docs.google.com/spreadsheets/d/1SX6NBoVAgQJ6U1MVXOaj8PK2l7WJ3RER9xtqwdhxkhw/edit?usp=sharing"",""นครนายก!J318"")"),0)</f>
        <v>0</v>
      </c>
      <c r="AC61" s="220">
        <f ca="1">IFERROR(__xludf.DUMMYFUNCTION("IMPORTRANGE(""https://docs.google.com/spreadsheets/d/1SX6NBoVAgQJ6U1MVXOaj8PK2l7WJ3RER9xtqwdhxkhw/edit?usp=sharing"",""นครนายก!J319"")"),0)</f>
        <v>0</v>
      </c>
      <c r="AD61" s="220">
        <f ca="1">IFERROR(__xludf.DUMMYFUNCTION("IMPORTRANGE(""https://docs.google.com/spreadsheets/d/1SX6NBoVAgQJ6U1MVXOaj8PK2l7WJ3RER9xtqwdhxkhw/edit?usp=sharing"",""นครนายก!J320"")"),0)</f>
        <v>0</v>
      </c>
      <c r="AE61" s="301">
        <v>39</v>
      </c>
      <c r="AF61" s="301">
        <v>13</v>
      </c>
      <c r="AG61" s="220">
        <f ca="1">IFERROR(__xludf.DUMMYFUNCTION("IMPORTRANGE(""https://docs.google.com/spreadsheets/d/1SX6NBoVAgQJ6U1MVXOaj8PK2l7WJ3RER9xtqwdhxkhw/edit?usp=sharing"",""นครนายก!J322"")"),0)</f>
        <v>0</v>
      </c>
      <c r="AH61" s="221">
        <f t="shared" ca="1" si="38"/>
        <v>0</v>
      </c>
      <c r="AI61" s="220">
        <f ca="1">IFERROR(__xludf.DUMMYFUNCTION("IMPORTRANGE(""https://docs.google.com/spreadsheets/d/1SX6NBoVAgQJ6U1MVXOaj8PK2l7WJ3RER9xtqwdhxkhw/edit?usp=sharing"",""นครนายก!J321"")"),0)</f>
        <v>0</v>
      </c>
      <c r="AJ61" s="221">
        <f t="shared" ca="1" si="39"/>
        <v>0</v>
      </c>
      <c r="AK61" s="220">
        <f ca="1">IFERROR(__xludf.DUMMYFUNCTION("IMPORTRANGE(""https://docs.google.com/spreadsheets/d/1SX6NBoVAgQJ6U1MVXOaj8PK2l7WJ3RER9xtqwdhxkhw/edit?usp=sharing"",""นครนายก!J323"")"),0)</f>
        <v>0</v>
      </c>
      <c r="AL61" s="220">
        <f ca="1">IFERROR(__xludf.DUMMYFUNCTION("IMPORTRANGE(""https://docs.google.com/spreadsheets/d/1SX6NBoVAgQJ6U1MVXOaj8PK2l7WJ3RER9xtqwdhxkhw/edit?usp=sharing"",""นครนายก!J324"")"),0)</f>
        <v>0</v>
      </c>
      <c r="AM61" s="220">
        <f t="shared" si="47"/>
        <v>55</v>
      </c>
      <c r="AN61" s="220">
        <f t="shared" ca="1" si="48"/>
        <v>0</v>
      </c>
      <c r="AO61" s="221">
        <f t="shared" ca="1" si="40"/>
        <v>0</v>
      </c>
      <c r="AP61" s="301">
        <v>30</v>
      </c>
      <c r="AQ61" s="220">
        <f ca="1">IFERROR(__xludf.DUMMYFUNCTION("IMPORTRANGE(""https://docs.google.com/spreadsheets/d/1SX6NBoVAgQJ6U1MVXOaj8PK2l7WJ3RER9xtqwdhxkhw/edit?usp=sharing"",""นครนายก!J326"")"),0)</f>
        <v>0</v>
      </c>
      <c r="AR61" s="301">
        <v>25</v>
      </c>
      <c r="AS61" s="313">
        <f ca="1">IFERROR(__xludf.DUMMYFUNCTION("IMPORTRANGE(""https://docs.google.com/spreadsheets/d/1SX6NBoVAgQJ6U1MVXOaj8PK2l7WJ3RER9xtqwdhxkhw/edit?usp=sharing"",""นครนายก!J327"")"),0)</f>
        <v>0</v>
      </c>
    </row>
    <row r="62" spans="1:45" ht="24" customHeight="1" x14ac:dyDescent="0.5">
      <c r="A62" s="216">
        <v>8</v>
      </c>
      <c r="B62" s="194" t="s">
        <v>77</v>
      </c>
      <c r="C62" s="312">
        <f t="shared" si="42"/>
        <v>130250</v>
      </c>
      <c r="D62" s="218">
        <v>0</v>
      </c>
      <c r="E62" s="218">
        <v>130250</v>
      </c>
      <c r="F62" s="219">
        <f ca="1">IFERROR(__xludf.DUMMYFUNCTION("IMPORTRANGE(""https://docs.google.com/spreadsheets/d/1SX6NBoVAgQJ6U1MVXOaj8PK2l7WJ3RER9xtqwdhxkhw/edit?usp=sharing"",""นครปฐม!M299"")"),0)</f>
        <v>0</v>
      </c>
      <c r="G62" s="219">
        <f t="shared" ca="1" si="31"/>
        <v>0</v>
      </c>
      <c r="H62" s="220">
        <f t="shared" si="43"/>
        <v>150</v>
      </c>
      <c r="I62" s="220">
        <f t="shared" si="44"/>
        <v>50</v>
      </c>
      <c r="J62" s="220">
        <f t="shared" ca="1" si="45"/>
        <v>0</v>
      </c>
      <c r="K62" s="221">
        <f t="shared" ca="1" si="32"/>
        <v>0</v>
      </c>
      <c r="L62" s="220">
        <f t="shared" ca="1" si="46"/>
        <v>0</v>
      </c>
      <c r="M62" s="221">
        <f t="shared" ca="1" si="33"/>
        <v>0</v>
      </c>
      <c r="N62" s="301">
        <v>0</v>
      </c>
      <c r="O62" s="301">
        <v>0</v>
      </c>
      <c r="P62" s="220">
        <f ca="1">IFERROR(__xludf.DUMMYFUNCTION("IMPORTRANGE(""https://docs.google.com/spreadsheets/d/1SX6NBoVAgQJ6U1MVXOaj8PK2l7WJ3RER9xtqwdhxkhw/edit?usp=sharing"",""นครปฐม!J313"")"),0)</f>
        <v>0</v>
      </c>
      <c r="Q62" s="221">
        <f t="shared" si="34"/>
        <v>0</v>
      </c>
      <c r="R62" s="220">
        <f ca="1">IFERROR(__xludf.DUMMYFUNCTION("IMPORTRANGE(""https://docs.google.com/spreadsheets/d/1SX6NBoVAgQJ6U1MVXOaj8PK2l7WJ3RER9xtqwdhxkhw/edit?usp=sharing"",""นครปฐม!J312"")"),0)</f>
        <v>0</v>
      </c>
      <c r="S62" s="221">
        <f t="shared" si="35"/>
        <v>0</v>
      </c>
      <c r="T62" s="221">
        <f ca="1">IFERROR(__xludf.DUMMYFUNCTION("IMPORTRANGE(""https://docs.google.com/spreadsheets/d/1SX6NBoVAgQJ6U1MVXOaj8PK2l7WJ3RER9xtqwdhxkhw/edit?usp=sharing"",""นครปฐม!J314"")"),0)</f>
        <v>0</v>
      </c>
      <c r="U62" s="221">
        <f ca="1">IFERROR(__xludf.DUMMYFUNCTION("IMPORTRANGE(""https://docs.google.com/spreadsheets/d/1SX6NBoVAgQJ6U1MVXOaj8PK2l7WJ3RER9xtqwdhxkhw/edit?usp=sharing"",""นครปฐม!J315"")"),0)</f>
        <v>0</v>
      </c>
      <c r="V62" s="301">
        <v>120</v>
      </c>
      <c r="W62" s="301">
        <v>40</v>
      </c>
      <c r="X62" s="220">
        <f ca="1">IFERROR(__xludf.DUMMYFUNCTION("IMPORTRANGE(""https://docs.google.com/spreadsheets/d/1SX6NBoVAgQJ6U1MVXOaj8PK2l7WJ3RER9xtqwdhxkhw/edit?usp=sharing"",""นครปฐม!J317"")"),0)</f>
        <v>0</v>
      </c>
      <c r="Y62" s="221">
        <f t="shared" ca="1" si="36"/>
        <v>0</v>
      </c>
      <c r="Z62" s="220">
        <f ca="1">IFERROR(__xludf.DUMMYFUNCTION("IMPORTRANGE(""https://docs.google.com/spreadsheets/d/1SX6NBoVAgQJ6U1MVXOaj8PK2l7WJ3RER9xtqwdhxkhw/edit?usp=sharing"",""นครปฐม!J316"")"),0)</f>
        <v>0</v>
      </c>
      <c r="AA62" s="221">
        <f t="shared" ca="1" si="37"/>
        <v>0</v>
      </c>
      <c r="AB62" s="220">
        <f ca="1">IFERROR(__xludf.DUMMYFUNCTION("IMPORTRANGE(""https://docs.google.com/spreadsheets/d/1SX6NBoVAgQJ6U1MVXOaj8PK2l7WJ3RER9xtqwdhxkhw/edit?usp=sharing"",""นครปฐม!J318"")"),0)</f>
        <v>0</v>
      </c>
      <c r="AC62" s="220">
        <f ca="1">IFERROR(__xludf.DUMMYFUNCTION("IMPORTRANGE(""https://docs.google.com/spreadsheets/d/1SX6NBoVAgQJ6U1MVXOaj8PK2l7WJ3RER9xtqwdhxkhw/edit?usp=sharing"",""นครปฐม!J319"")"),0)</f>
        <v>0</v>
      </c>
      <c r="AD62" s="220">
        <f ca="1">IFERROR(__xludf.DUMMYFUNCTION("IMPORTRANGE(""https://docs.google.com/spreadsheets/d/1SX6NBoVAgQJ6U1MVXOaj8PK2l7WJ3RER9xtqwdhxkhw/edit?usp=sharing"",""นครปฐม!J320"")"),0)</f>
        <v>0</v>
      </c>
      <c r="AE62" s="301">
        <v>30</v>
      </c>
      <c r="AF62" s="301">
        <v>10</v>
      </c>
      <c r="AG62" s="220">
        <f ca="1">IFERROR(__xludf.DUMMYFUNCTION("IMPORTRANGE(""https://docs.google.com/spreadsheets/d/1SX6NBoVAgQJ6U1MVXOaj8PK2l7WJ3RER9xtqwdhxkhw/edit?usp=sharing"",""นครปฐม!J322"")"),0)</f>
        <v>0</v>
      </c>
      <c r="AH62" s="221">
        <f t="shared" ca="1" si="38"/>
        <v>0</v>
      </c>
      <c r="AI62" s="220">
        <f ca="1">IFERROR(__xludf.DUMMYFUNCTION("IMPORTRANGE(""https://docs.google.com/spreadsheets/d/1SX6NBoVAgQJ6U1MVXOaj8PK2l7WJ3RER9xtqwdhxkhw/edit?usp=sharing"",""นครปฐม!J321"")"),0)</f>
        <v>0</v>
      </c>
      <c r="AJ62" s="221">
        <f t="shared" ca="1" si="39"/>
        <v>0</v>
      </c>
      <c r="AK62" s="220">
        <f ca="1">IFERROR(__xludf.DUMMYFUNCTION("IMPORTRANGE(""https://docs.google.com/spreadsheets/d/1SX6NBoVAgQJ6U1MVXOaj8PK2l7WJ3RER9xtqwdhxkhw/edit?usp=sharing"",""นครปฐม!J323"")"),0)</f>
        <v>0</v>
      </c>
      <c r="AL62" s="220">
        <f ca="1">IFERROR(__xludf.DUMMYFUNCTION("IMPORTRANGE(""https://docs.google.com/spreadsheets/d/1SX6NBoVAgQJ6U1MVXOaj8PK2l7WJ3RER9xtqwdhxkhw/edit?usp=sharing"",""นครปฐม!J324"")"),0)</f>
        <v>0</v>
      </c>
      <c r="AM62" s="220">
        <f t="shared" si="47"/>
        <v>40</v>
      </c>
      <c r="AN62" s="220">
        <f t="shared" ca="1" si="48"/>
        <v>0</v>
      </c>
      <c r="AO62" s="221">
        <f t="shared" ca="1" si="40"/>
        <v>0</v>
      </c>
      <c r="AP62" s="301">
        <v>0</v>
      </c>
      <c r="AQ62" s="220">
        <f ca="1">IFERROR(__xludf.DUMMYFUNCTION("IMPORTRANGE(""https://docs.google.com/spreadsheets/d/1SX6NBoVAgQJ6U1MVXOaj8PK2l7WJ3RER9xtqwdhxkhw/edit?usp=sharing"",""นครปฐม!J326"")"),0)</f>
        <v>0</v>
      </c>
      <c r="AR62" s="301">
        <v>40</v>
      </c>
      <c r="AS62" s="313">
        <f ca="1">IFERROR(__xludf.DUMMYFUNCTION("IMPORTRANGE(""https://docs.google.com/spreadsheets/d/1SX6NBoVAgQJ6U1MVXOaj8PK2l7WJ3RER9xtqwdhxkhw/edit?usp=sharing"",""นครปฐม!J327"")"),0)</f>
        <v>0</v>
      </c>
    </row>
    <row r="63" spans="1:45" ht="24" customHeight="1" x14ac:dyDescent="0.5">
      <c r="A63" s="216">
        <v>9</v>
      </c>
      <c r="B63" s="194" t="s">
        <v>78</v>
      </c>
      <c r="C63" s="312">
        <f t="shared" si="42"/>
        <v>187300</v>
      </c>
      <c r="D63" s="218">
        <v>0</v>
      </c>
      <c r="E63" s="218">
        <v>187300</v>
      </c>
      <c r="F63" s="219">
        <f ca="1">IFERROR(__xludf.DUMMYFUNCTION("IMPORTRANGE(""https://docs.google.com/spreadsheets/d/1SX6NBoVAgQJ6U1MVXOaj8PK2l7WJ3RER9xtqwdhxkhw/edit?usp=sharing"",""ปทุมธานี!M299"")"),1000)</f>
        <v>1000</v>
      </c>
      <c r="G63" s="219">
        <f t="shared" ca="1" si="31"/>
        <v>0.53390282968499736</v>
      </c>
      <c r="H63" s="220">
        <f t="shared" si="43"/>
        <v>135</v>
      </c>
      <c r="I63" s="220">
        <f t="shared" si="44"/>
        <v>45</v>
      </c>
      <c r="J63" s="220">
        <f t="shared" ca="1" si="45"/>
        <v>0</v>
      </c>
      <c r="K63" s="221">
        <f t="shared" ca="1" si="32"/>
        <v>0</v>
      </c>
      <c r="L63" s="220">
        <f t="shared" ca="1" si="46"/>
        <v>0</v>
      </c>
      <c r="M63" s="221">
        <f t="shared" ca="1" si="33"/>
        <v>0</v>
      </c>
      <c r="N63" s="301">
        <v>30</v>
      </c>
      <c r="O63" s="301">
        <v>10</v>
      </c>
      <c r="P63" s="220">
        <f ca="1">IFERROR(__xludf.DUMMYFUNCTION("IMPORTRANGE(""https://docs.google.com/spreadsheets/d/1SX6NBoVAgQJ6U1MVXOaj8PK2l7WJ3RER9xtqwdhxkhw/edit?usp=sharing"",""ปทุมธานี!J313"")"),0)</f>
        <v>0</v>
      </c>
      <c r="Q63" s="221">
        <f t="shared" ca="1" si="34"/>
        <v>0</v>
      </c>
      <c r="R63" s="220">
        <f ca="1">IFERROR(__xludf.DUMMYFUNCTION("IMPORTRANGE(""https://docs.google.com/spreadsheets/d/1SX6NBoVAgQJ6U1MVXOaj8PK2l7WJ3RER9xtqwdhxkhw/edit?usp=sharing"",""ปทุมธานี!J312"")"),0)</f>
        <v>0</v>
      </c>
      <c r="S63" s="221">
        <f t="shared" ca="1" si="35"/>
        <v>0</v>
      </c>
      <c r="T63" s="221">
        <f ca="1">IFERROR(__xludf.DUMMYFUNCTION("IMPORTRANGE(""https://docs.google.com/spreadsheets/d/1SX6NBoVAgQJ6U1MVXOaj8PK2l7WJ3RER9xtqwdhxkhw/edit?usp=sharing"",""ปทุมธานี!J314"")"),0)</f>
        <v>0</v>
      </c>
      <c r="U63" s="221">
        <f ca="1">IFERROR(__xludf.DUMMYFUNCTION("IMPORTRANGE(""https://docs.google.com/spreadsheets/d/1SX6NBoVAgQJ6U1MVXOaj8PK2l7WJ3RER9xtqwdhxkhw/edit?usp=sharing"",""ปทุมธานี!J315"")"),0)</f>
        <v>0</v>
      </c>
      <c r="V63" s="301">
        <v>75</v>
      </c>
      <c r="W63" s="301">
        <v>25</v>
      </c>
      <c r="X63" s="220">
        <f ca="1">IFERROR(__xludf.DUMMYFUNCTION("IMPORTRANGE(""https://docs.google.com/spreadsheets/d/1SX6NBoVAgQJ6U1MVXOaj8PK2l7WJ3RER9xtqwdhxkhw/edit?usp=sharing"",""ปทุมธานี!J317"")"),0)</f>
        <v>0</v>
      </c>
      <c r="Y63" s="221">
        <f t="shared" ca="1" si="36"/>
        <v>0</v>
      </c>
      <c r="Z63" s="220">
        <f ca="1">IFERROR(__xludf.DUMMYFUNCTION("IMPORTRANGE(""https://docs.google.com/spreadsheets/d/1SX6NBoVAgQJ6U1MVXOaj8PK2l7WJ3RER9xtqwdhxkhw/edit?usp=sharing"",""ปทุมธานี!J316"")"),0)</f>
        <v>0</v>
      </c>
      <c r="AA63" s="221">
        <f t="shared" ca="1" si="37"/>
        <v>0</v>
      </c>
      <c r="AB63" s="220">
        <f ca="1">IFERROR(__xludf.DUMMYFUNCTION("IMPORTRANGE(""https://docs.google.com/spreadsheets/d/1SX6NBoVAgQJ6U1MVXOaj8PK2l7WJ3RER9xtqwdhxkhw/edit?usp=sharing"",""ปทุมธานี!J318"")"),0)</f>
        <v>0</v>
      </c>
      <c r="AC63" s="220">
        <f ca="1">IFERROR(__xludf.DUMMYFUNCTION("IMPORTRANGE(""https://docs.google.com/spreadsheets/d/1SX6NBoVAgQJ6U1MVXOaj8PK2l7WJ3RER9xtqwdhxkhw/edit?usp=sharing"",""ปทุมธานี!J319"")"),0)</f>
        <v>0</v>
      </c>
      <c r="AD63" s="220">
        <f ca="1">IFERROR(__xludf.DUMMYFUNCTION("IMPORTRANGE(""https://docs.google.com/spreadsheets/d/1SX6NBoVAgQJ6U1MVXOaj8PK2l7WJ3RER9xtqwdhxkhw/edit?usp=sharing"",""ปทุมธานี!J320"")"),0)</f>
        <v>0</v>
      </c>
      <c r="AE63" s="301">
        <v>30</v>
      </c>
      <c r="AF63" s="301">
        <v>10</v>
      </c>
      <c r="AG63" s="220">
        <f ca="1">IFERROR(__xludf.DUMMYFUNCTION("IMPORTRANGE(""https://docs.google.com/spreadsheets/d/1SX6NBoVAgQJ6U1MVXOaj8PK2l7WJ3RER9xtqwdhxkhw/edit?usp=sharing"",""ปทุมธานี!J322"")"),0)</f>
        <v>0</v>
      </c>
      <c r="AH63" s="221">
        <f t="shared" ca="1" si="38"/>
        <v>0</v>
      </c>
      <c r="AI63" s="220">
        <f ca="1">IFERROR(__xludf.DUMMYFUNCTION("IMPORTRANGE(""https://docs.google.com/spreadsheets/d/1SX6NBoVAgQJ6U1MVXOaj8PK2l7WJ3RER9xtqwdhxkhw/edit?usp=sharing"",""ปทุมธานี!J321"")"),0)</f>
        <v>0</v>
      </c>
      <c r="AJ63" s="221">
        <f t="shared" ca="1" si="39"/>
        <v>0</v>
      </c>
      <c r="AK63" s="220">
        <f ca="1">IFERROR(__xludf.DUMMYFUNCTION("IMPORTRANGE(""https://docs.google.com/spreadsheets/d/1SX6NBoVAgQJ6U1MVXOaj8PK2l7WJ3RER9xtqwdhxkhw/edit?usp=sharing"",""ปทุมธานี!J323"")"),0)</f>
        <v>0</v>
      </c>
      <c r="AL63" s="220">
        <f ca="1">IFERROR(__xludf.DUMMYFUNCTION("IMPORTRANGE(""https://docs.google.com/spreadsheets/d/1SX6NBoVAgQJ6U1MVXOaj8PK2l7WJ3RER9xtqwdhxkhw/edit?usp=sharing"",""ปทุมธานี!J324"")"),0)</f>
        <v>0</v>
      </c>
      <c r="AM63" s="220">
        <f t="shared" si="47"/>
        <v>35</v>
      </c>
      <c r="AN63" s="220">
        <f t="shared" ca="1" si="48"/>
        <v>0</v>
      </c>
      <c r="AO63" s="221">
        <f t="shared" ca="1" si="40"/>
        <v>0</v>
      </c>
      <c r="AP63" s="301">
        <v>10</v>
      </c>
      <c r="AQ63" s="220">
        <f ca="1">IFERROR(__xludf.DUMMYFUNCTION("IMPORTRANGE(""https://docs.google.com/spreadsheets/d/1SX6NBoVAgQJ6U1MVXOaj8PK2l7WJ3RER9xtqwdhxkhw/edit?usp=sharing"",""ปทุมธานี!J326"")"),0)</f>
        <v>0</v>
      </c>
      <c r="AR63" s="301">
        <v>25</v>
      </c>
      <c r="AS63" s="313">
        <f ca="1">IFERROR(__xludf.DUMMYFUNCTION("IMPORTRANGE(""https://docs.google.com/spreadsheets/d/1SX6NBoVAgQJ6U1MVXOaj8PK2l7WJ3RER9xtqwdhxkhw/edit?usp=sharing"",""ปทุมธานี!J327"")"),0)</f>
        <v>0</v>
      </c>
    </row>
    <row r="64" spans="1:45" ht="24" customHeight="1" x14ac:dyDescent="0.5">
      <c r="A64" s="216">
        <v>10</v>
      </c>
      <c r="B64" s="194" t="s">
        <v>79</v>
      </c>
      <c r="C64" s="312">
        <f t="shared" si="42"/>
        <v>95560</v>
      </c>
      <c r="D64" s="218">
        <v>0</v>
      </c>
      <c r="E64" s="218">
        <v>95560</v>
      </c>
      <c r="F64" s="219">
        <f ca="1">IFERROR(__xludf.DUMMYFUNCTION("IMPORTRANGE(""https://docs.google.com/spreadsheets/d/1SX6NBoVAgQJ6U1MVXOaj8PK2l7WJ3RER9xtqwdhxkhw/edit?usp=sharing"",""ประจวบคีรีขันธ์!M299"")"),0)</f>
        <v>0</v>
      </c>
      <c r="G64" s="219">
        <f t="shared" ca="1" si="31"/>
        <v>0</v>
      </c>
      <c r="H64" s="220">
        <f t="shared" si="43"/>
        <v>90</v>
      </c>
      <c r="I64" s="220">
        <f t="shared" si="44"/>
        <v>30</v>
      </c>
      <c r="J64" s="220">
        <f t="shared" ca="1" si="45"/>
        <v>0</v>
      </c>
      <c r="K64" s="221">
        <f t="shared" ca="1" si="32"/>
        <v>0</v>
      </c>
      <c r="L64" s="220">
        <f t="shared" ca="1" si="46"/>
        <v>0</v>
      </c>
      <c r="M64" s="221">
        <f t="shared" ca="1" si="33"/>
        <v>0</v>
      </c>
      <c r="N64" s="301">
        <v>0</v>
      </c>
      <c r="O64" s="301">
        <v>0</v>
      </c>
      <c r="P64" s="220">
        <f ca="1">IFERROR(__xludf.DUMMYFUNCTION("IMPORTRANGE(""https://docs.google.com/spreadsheets/d/1SX6NBoVAgQJ6U1MVXOaj8PK2l7WJ3RER9xtqwdhxkhw/edit?usp=sharing"",""ประจวบคีรีขันธ์!J313"")"),0)</f>
        <v>0</v>
      </c>
      <c r="Q64" s="221">
        <f t="shared" si="34"/>
        <v>0</v>
      </c>
      <c r="R64" s="220">
        <f ca="1">IFERROR(__xludf.DUMMYFUNCTION("IMPORTRANGE(""https://docs.google.com/spreadsheets/d/1SX6NBoVAgQJ6U1MVXOaj8PK2l7WJ3RER9xtqwdhxkhw/edit?usp=sharing"",""ประจวบคีรีขันธ์!J312"")"),0)</f>
        <v>0</v>
      </c>
      <c r="S64" s="221">
        <f t="shared" si="35"/>
        <v>0</v>
      </c>
      <c r="T64" s="221">
        <f ca="1">IFERROR(__xludf.DUMMYFUNCTION("IMPORTRANGE(""https://docs.google.com/spreadsheets/d/1SX6NBoVAgQJ6U1MVXOaj8PK2l7WJ3RER9xtqwdhxkhw/edit?usp=sharing"",""ประจวบคีรีขันธ์!J314"")"),0)</f>
        <v>0</v>
      </c>
      <c r="U64" s="221">
        <f ca="1">IFERROR(__xludf.DUMMYFUNCTION("IMPORTRANGE(""https://docs.google.com/spreadsheets/d/1SX6NBoVAgQJ6U1MVXOaj8PK2l7WJ3RER9xtqwdhxkhw/edit?usp=sharing"",""ประจวบคีรีขันธ์!J315"")"),0)</f>
        <v>0</v>
      </c>
      <c r="V64" s="301">
        <v>48</v>
      </c>
      <c r="W64" s="301">
        <v>16</v>
      </c>
      <c r="X64" s="220">
        <f ca="1">IFERROR(__xludf.DUMMYFUNCTION("IMPORTRANGE(""https://docs.google.com/spreadsheets/d/1SX6NBoVAgQJ6U1MVXOaj8PK2l7WJ3RER9xtqwdhxkhw/edit?usp=sharing"",""ประจวบคีรีขันธ์!J317"")"),0)</f>
        <v>0</v>
      </c>
      <c r="Y64" s="221">
        <f t="shared" ca="1" si="36"/>
        <v>0</v>
      </c>
      <c r="Z64" s="220">
        <f ca="1">IFERROR(__xludf.DUMMYFUNCTION("IMPORTRANGE(""https://docs.google.com/spreadsheets/d/1SX6NBoVAgQJ6U1MVXOaj8PK2l7WJ3RER9xtqwdhxkhw/edit?usp=sharing"",""ประจวบคีรีขันธ์!J316"")"),0)</f>
        <v>0</v>
      </c>
      <c r="AA64" s="221">
        <f t="shared" ca="1" si="37"/>
        <v>0</v>
      </c>
      <c r="AB64" s="220">
        <f ca="1">IFERROR(__xludf.DUMMYFUNCTION("IMPORTRANGE(""https://docs.google.com/spreadsheets/d/1SX6NBoVAgQJ6U1MVXOaj8PK2l7WJ3RER9xtqwdhxkhw/edit?usp=sharing"",""ประจวบคีรีขันธ์!J318"")"),0)</f>
        <v>0</v>
      </c>
      <c r="AC64" s="220">
        <f ca="1">IFERROR(__xludf.DUMMYFUNCTION("IMPORTRANGE(""https://docs.google.com/spreadsheets/d/1SX6NBoVAgQJ6U1MVXOaj8PK2l7WJ3RER9xtqwdhxkhw/edit?usp=sharing"",""ประจวบคีรีขันธ์!J319"")"),0)</f>
        <v>0</v>
      </c>
      <c r="AD64" s="220">
        <f ca="1">IFERROR(__xludf.DUMMYFUNCTION("IMPORTRANGE(""https://docs.google.com/spreadsheets/d/1SX6NBoVAgQJ6U1MVXOaj8PK2l7WJ3RER9xtqwdhxkhw/edit?usp=sharing"",""ประจวบคีรีขันธ์!J320"")"),0)</f>
        <v>0</v>
      </c>
      <c r="AE64" s="301">
        <v>42</v>
      </c>
      <c r="AF64" s="301">
        <v>14</v>
      </c>
      <c r="AG64" s="220">
        <f ca="1">IFERROR(__xludf.DUMMYFUNCTION("IMPORTRANGE(""https://docs.google.com/spreadsheets/d/1SX6NBoVAgQJ6U1MVXOaj8PK2l7WJ3RER9xtqwdhxkhw/edit?usp=sharing"",""ประจวบคีรีขันธ์!J322"")"),0)</f>
        <v>0</v>
      </c>
      <c r="AH64" s="221">
        <f t="shared" ca="1" si="38"/>
        <v>0</v>
      </c>
      <c r="AI64" s="220">
        <f ca="1">IFERROR(__xludf.DUMMYFUNCTION("IMPORTRANGE(""https://docs.google.com/spreadsheets/d/1SX6NBoVAgQJ6U1MVXOaj8PK2l7WJ3RER9xtqwdhxkhw/edit?usp=sharing"",""ประจวบคีรีขันธ์!J321"")"),0)</f>
        <v>0</v>
      </c>
      <c r="AJ64" s="221">
        <f t="shared" ca="1" si="39"/>
        <v>0</v>
      </c>
      <c r="AK64" s="220">
        <f ca="1">IFERROR(__xludf.DUMMYFUNCTION("IMPORTRANGE(""https://docs.google.com/spreadsheets/d/1SX6NBoVAgQJ6U1MVXOaj8PK2l7WJ3RER9xtqwdhxkhw/edit?usp=sharing"",""ประจวบคีรีขันธ์!J323"")"),0)</f>
        <v>0</v>
      </c>
      <c r="AL64" s="220">
        <f ca="1">IFERROR(__xludf.DUMMYFUNCTION("IMPORTRANGE(""https://docs.google.com/spreadsheets/d/1SX6NBoVAgQJ6U1MVXOaj8PK2l7WJ3RER9xtqwdhxkhw/edit?usp=sharing"",""ประจวบคีรีขันธ์!J324"")"),0)</f>
        <v>0</v>
      </c>
      <c r="AM64" s="220">
        <f t="shared" si="47"/>
        <v>16</v>
      </c>
      <c r="AN64" s="220">
        <f t="shared" ca="1" si="48"/>
        <v>0</v>
      </c>
      <c r="AO64" s="221">
        <f t="shared" ca="1" si="40"/>
        <v>0</v>
      </c>
      <c r="AP64" s="301">
        <v>0</v>
      </c>
      <c r="AQ64" s="220">
        <f ca="1">IFERROR(__xludf.DUMMYFUNCTION("IMPORTRANGE(""https://docs.google.com/spreadsheets/d/1SX6NBoVAgQJ6U1MVXOaj8PK2l7WJ3RER9xtqwdhxkhw/edit?usp=sharing"",""ประจวบคีรีขันธ์!J326"")"),0)</f>
        <v>0</v>
      </c>
      <c r="AR64" s="301">
        <v>16</v>
      </c>
      <c r="AS64" s="313">
        <f ca="1">IFERROR(__xludf.DUMMYFUNCTION("IMPORTRANGE(""https://docs.google.com/spreadsheets/d/1SX6NBoVAgQJ6U1MVXOaj8PK2l7WJ3RER9xtqwdhxkhw/edit?usp=sharing"",""ประจวบคีรีขันธ์!J327"")"),0)</f>
        <v>0</v>
      </c>
    </row>
    <row r="65" spans="1:45" ht="24" customHeight="1" x14ac:dyDescent="0.5">
      <c r="A65" s="216">
        <v>11</v>
      </c>
      <c r="B65" s="194" t="s">
        <v>80</v>
      </c>
      <c r="C65" s="312">
        <f t="shared" si="42"/>
        <v>116320</v>
      </c>
      <c r="D65" s="218">
        <v>0</v>
      </c>
      <c r="E65" s="218">
        <v>116320</v>
      </c>
      <c r="F65" s="219">
        <f ca="1">IFERROR(__xludf.DUMMYFUNCTION("IMPORTRANGE(""https://docs.google.com/spreadsheets/d/1SX6NBoVAgQJ6U1MVXOaj8PK2l7WJ3RER9xtqwdhxkhw/edit?usp=sharing"",""ปราจีนบุรี!M299"")"),0)</f>
        <v>0</v>
      </c>
      <c r="G65" s="219">
        <f t="shared" ca="1" si="31"/>
        <v>0</v>
      </c>
      <c r="H65" s="220">
        <f t="shared" si="43"/>
        <v>90</v>
      </c>
      <c r="I65" s="220">
        <f t="shared" si="44"/>
        <v>30</v>
      </c>
      <c r="J65" s="220">
        <f t="shared" ca="1" si="45"/>
        <v>0</v>
      </c>
      <c r="K65" s="221">
        <f t="shared" ca="1" si="32"/>
        <v>0</v>
      </c>
      <c r="L65" s="220">
        <f t="shared" ca="1" si="46"/>
        <v>0</v>
      </c>
      <c r="M65" s="221">
        <f t="shared" ca="1" si="33"/>
        <v>0</v>
      </c>
      <c r="N65" s="301">
        <v>30</v>
      </c>
      <c r="O65" s="301">
        <v>10</v>
      </c>
      <c r="P65" s="220">
        <f ca="1">IFERROR(__xludf.DUMMYFUNCTION("IMPORTRANGE(""https://docs.google.com/spreadsheets/d/1SX6NBoVAgQJ6U1MVXOaj8PK2l7WJ3RER9xtqwdhxkhw/edit?usp=sharing"",""ปราจีนบุรี!J313"")"),0)</f>
        <v>0</v>
      </c>
      <c r="Q65" s="221">
        <f t="shared" ca="1" si="34"/>
        <v>0</v>
      </c>
      <c r="R65" s="220">
        <f ca="1">IFERROR(__xludf.DUMMYFUNCTION("IMPORTRANGE(""https://docs.google.com/spreadsheets/d/1SX6NBoVAgQJ6U1MVXOaj8PK2l7WJ3RER9xtqwdhxkhw/edit?usp=sharing"",""ปราจีนบุรี!J312"")"),0)</f>
        <v>0</v>
      </c>
      <c r="S65" s="221">
        <f t="shared" ca="1" si="35"/>
        <v>0</v>
      </c>
      <c r="T65" s="221">
        <f ca="1">IFERROR(__xludf.DUMMYFUNCTION("IMPORTRANGE(""https://docs.google.com/spreadsheets/d/1SX6NBoVAgQJ6U1MVXOaj8PK2l7WJ3RER9xtqwdhxkhw/edit?usp=sharing"",""ปราจีนบุรี!J314"")"),0)</f>
        <v>0</v>
      </c>
      <c r="U65" s="221">
        <f ca="1">IFERROR(__xludf.DUMMYFUNCTION("IMPORTRANGE(""https://docs.google.com/spreadsheets/d/1SX6NBoVAgQJ6U1MVXOaj8PK2l7WJ3RER9xtqwdhxkhw/edit?usp=sharing"",""ปราจีนบุรี!J315"")"),0)</f>
        <v>0</v>
      </c>
      <c r="V65" s="301">
        <v>30</v>
      </c>
      <c r="W65" s="301">
        <v>10</v>
      </c>
      <c r="X65" s="220">
        <f ca="1">IFERROR(__xludf.DUMMYFUNCTION("IMPORTRANGE(""https://docs.google.com/spreadsheets/d/1SX6NBoVAgQJ6U1MVXOaj8PK2l7WJ3RER9xtqwdhxkhw/edit?usp=sharing"",""ปราจีนบุรี!J317"")"),0)</f>
        <v>0</v>
      </c>
      <c r="Y65" s="221">
        <f t="shared" ca="1" si="36"/>
        <v>0</v>
      </c>
      <c r="Z65" s="220">
        <f ca="1">IFERROR(__xludf.DUMMYFUNCTION("IMPORTRANGE(""https://docs.google.com/spreadsheets/d/1SX6NBoVAgQJ6U1MVXOaj8PK2l7WJ3RER9xtqwdhxkhw/edit?usp=sharing"",""ปราจีนบุรี!J316"")"),0)</f>
        <v>0</v>
      </c>
      <c r="AA65" s="221">
        <f t="shared" ca="1" si="37"/>
        <v>0</v>
      </c>
      <c r="AB65" s="220">
        <f ca="1">IFERROR(__xludf.DUMMYFUNCTION("IMPORTRANGE(""https://docs.google.com/spreadsheets/d/1SX6NBoVAgQJ6U1MVXOaj8PK2l7WJ3RER9xtqwdhxkhw/edit?usp=sharing"",""ปราจีนบุรี!J318"")"),0)</f>
        <v>0</v>
      </c>
      <c r="AC65" s="220">
        <f ca="1">IFERROR(__xludf.DUMMYFUNCTION("IMPORTRANGE(""https://docs.google.com/spreadsheets/d/1SX6NBoVAgQJ6U1MVXOaj8PK2l7WJ3RER9xtqwdhxkhw/edit?usp=sharing"",""ปราจีนบุรี!J319"")"),0)</f>
        <v>0</v>
      </c>
      <c r="AD65" s="220">
        <f ca="1">IFERROR(__xludf.DUMMYFUNCTION("IMPORTRANGE(""https://docs.google.com/spreadsheets/d/1SX6NBoVAgQJ6U1MVXOaj8PK2l7WJ3RER9xtqwdhxkhw/edit?usp=sharing"",""ปราจีนบุรี!J320"")"),0)</f>
        <v>0</v>
      </c>
      <c r="AE65" s="301">
        <v>30</v>
      </c>
      <c r="AF65" s="301">
        <v>10</v>
      </c>
      <c r="AG65" s="220">
        <f ca="1">IFERROR(__xludf.DUMMYFUNCTION("IMPORTRANGE(""https://docs.google.com/spreadsheets/d/1SX6NBoVAgQJ6U1MVXOaj8PK2l7WJ3RER9xtqwdhxkhw/edit?usp=sharing"",""ปราจีนบุรี!J322"")"),0)</f>
        <v>0</v>
      </c>
      <c r="AH65" s="221">
        <f t="shared" ca="1" si="38"/>
        <v>0</v>
      </c>
      <c r="AI65" s="220">
        <f ca="1">IFERROR(__xludf.DUMMYFUNCTION("IMPORTRANGE(""https://docs.google.com/spreadsheets/d/1SX6NBoVAgQJ6U1MVXOaj8PK2l7WJ3RER9xtqwdhxkhw/edit?usp=sharing"",""ปราจีนบุรี!J321"")"),0)</f>
        <v>0</v>
      </c>
      <c r="AJ65" s="221">
        <f t="shared" ca="1" si="39"/>
        <v>0</v>
      </c>
      <c r="AK65" s="220">
        <f ca="1">IFERROR(__xludf.DUMMYFUNCTION("IMPORTRANGE(""https://docs.google.com/spreadsheets/d/1SX6NBoVAgQJ6U1MVXOaj8PK2l7WJ3RER9xtqwdhxkhw/edit?usp=sharing"",""ปราจีนบุรี!J323"")"),0)</f>
        <v>0</v>
      </c>
      <c r="AL65" s="220">
        <f ca="1">IFERROR(__xludf.DUMMYFUNCTION("IMPORTRANGE(""https://docs.google.com/spreadsheets/d/1SX6NBoVAgQJ6U1MVXOaj8PK2l7WJ3RER9xtqwdhxkhw/edit?usp=sharing"",""ปราจีนบุรี!J324"")"),0)</f>
        <v>0</v>
      </c>
      <c r="AM65" s="220">
        <f t="shared" si="47"/>
        <v>20</v>
      </c>
      <c r="AN65" s="220">
        <f t="shared" ca="1" si="48"/>
        <v>0</v>
      </c>
      <c r="AO65" s="221">
        <f t="shared" ca="1" si="40"/>
        <v>0</v>
      </c>
      <c r="AP65" s="301">
        <v>10</v>
      </c>
      <c r="AQ65" s="220">
        <f ca="1">IFERROR(__xludf.DUMMYFUNCTION("IMPORTRANGE(""https://docs.google.com/spreadsheets/d/1SX6NBoVAgQJ6U1MVXOaj8PK2l7WJ3RER9xtqwdhxkhw/edit?usp=sharing"",""ปราจีนบุรี!J326"")"),0)</f>
        <v>0</v>
      </c>
      <c r="AR65" s="301">
        <v>10</v>
      </c>
      <c r="AS65" s="313">
        <f ca="1">IFERROR(__xludf.DUMMYFUNCTION("IMPORTRANGE(""https://docs.google.com/spreadsheets/d/1SX6NBoVAgQJ6U1MVXOaj8PK2l7WJ3RER9xtqwdhxkhw/edit?usp=sharing"",""ปราจีนบุรี!J327"")"),0)</f>
        <v>0</v>
      </c>
    </row>
    <row r="66" spans="1:45" ht="24" customHeight="1" x14ac:dyDescent="0.5">
      <c r="A66" s="216">
        <v>12</v>
      </c>
      <c r="B66" s="194" t="s">
        <v>81</v>
      </c>
      <c r="C66" s="312">
        <f t="shared" si="42"/>
        <v>230070</v>
      </c>
      <c r="D66" s="218">
        <v>0</v>
      </c>
      <c r="E66" s="218">
        <v>230070</v>
      </c>
      <c r="F66" s="219">
        <f ca="1">IFERROR(__xludf.DUMMYFUNCTION("IMPORTRANGE(""https://docs.google.com/spreadsheets/d/1SX6NBoVAgQJ6U1MVXOaj8PK2l7WJ3RER9xtqwdhxkhw/edit?usp=sharing"",""พระนครศรีอยุธยา!M299"")"),0)</f>
        <v>0</v>
      </c>
      <c r="G66" s="219">
        <f t="shared" ca="1" si="31"/>
        <v>0</v>
      </c>
      <c r="H66" s="220">
        <f t="shared" si="43"/>
        <v>225</v>
      </c>
      <c r="I66" s="220">
        <f t="shared" si="44"/>
        <v>75</v>
      </c>
      <c r="J66" s="220">
        <f t="shared" ca="1" si="45"/>
        <v>0</v>
      </c>
      <c r="K66" s="221">
        <f t="shared" ca="1" si="32"/>
        <v>0</v>
      </c>
      <c r="L66" s="220">
        <f t="shared" ca="1" si="46"/>
        <v>0</v>
      </c>
      <c r="M66" s="221">
        <f t="shared" ca="1" si="33"/>
        <v>0</v>
      </c>
      <c r="N66" s="301">
        <v>0</v>
      </c>
      <c r="O66" s="301">
        <v>0</v>
      </c>
      <c r="P66" s="220">
        <f ca="1">IFERROR(__xludf.DUMMYFUNCTION("IMPORTRANGE(""https://docs.google.com/spreadsheets/d/1SX6NBoVAgQJ6U1MVXOaj8PK2l7WJ3RER9xtqwdhxkhw/edit?usp=sharing"",""พระนครศรีอยุธยา!J313"")"),0)</f>
        <v>0</v>
      </c>
      <c r="Q66" s="221">
        <f t="shared" si="34"/>
        <v>0</v>
      </c>
      <c r="R66" s="220">
        <f ca="1">IFERROR(__xludf.DUMMYFUNCTION("IMPORTRANGE(""https://docs.google.com/spreadsheets/d/1SX6NBoVAgQJ6U1MVXOaj8PK2l7WJ3RER9xtqwdhxkhw/edit?usp=sharing"",""พระนครศรีอยุธยา!J312"")"),0)</f>
        <v>0</v>
      </c>
      <c r="S66" s="221">
        <f t="shared" si="35"/>
        <v>0</v>
      </c>
      <c r="T66" s="221">
        <f ca="1">IFERROR(__xludf.DUMMYFUNCTION("IMPORTRANGE(""https://docs.google.com/spreadsheets/d/1SX6NBoVAgQJ6U1MVXOaj8PK2l7WJ3RER9xtqwdhxkhw/edit?usp=sharing"",""พระนครศรีอยุธยา!J314"")"),0)</f>
        <v>0</v>
      </c>
      <c r="U66" s="221">
        <f ca="1">IFERROR(__xludf.DUMMYFUNCTION("IMPORTRANGE(""https://docs.google.com/spreadsheets/d/1SX6NBoVAgQJ6U1MVXOaj8PK2l7WJ3RER9xtqwdhxkhw/edit?usp=sharing"",""พระนครศรีอยุธยา!J315"")"),0)</f>
        <v>0</v>
      </c>
      <c r="V66" s="301">
        <v>195</v>
      </c>
      <c r="W66" s="301">
        <v>65</v>
      </c>
      <c r="X66" s="220">
        <f ca="1">IFERROR(__xludf.DUMMYFUNCTION("IMPORTRANGE(""https://docs.google.com/spreadsheets/d/1SX6NBoVAgQJ6U1MVXOaj8PK2l7WJ3RER9xtqwdhxkhw/edit?usp=sharing"",""พระนครศรีอยุธยา!J317"")"),0)</f>
        <v>0</v>
      </c>
      <c r="Y66" s="221">
        <f t="shared" ca="1" si="36"/>
        <v>0</v>
      </c>
      <c r="Z66" s="220">
        <f ca="1">IFERROR(__xludf.DUMMYFUNCTION("IMPORTRANGE(""https://docs.google.com/spreadsheets/d/1SX6NBoVAgQJ6U1MVXOaj8PK2l7WJ3RER9xtqwdhxkhw/edit?usp=sharing"",""พระนครศรีอยุธยา!J316"")"),0)</f>
        <v>0</v>
      </c>
      <c r="AA66" s="221">
        <f t="shared" ca="1" si="37"/>
        <v>0</v>
      </c>
      <c r="AB66" s="220">
        <f ca="1">IFERROR(__xludf.DUMMYFUNCTION("IMPORTRANGE(""https://docs.google.com/spreadsheets/d/1SX6NBoVAgQJ6U1MVXOaj8PK2l7WJ3RER9xtqwdhxkhw/edit?usp=sharing"",""พระนครศรีอยุธยา!J318"")"),0)</f>
        <v>0</v>
      </c>
      <c r="AC66" s="220">
        <f ca="1">IFERROR(__xludf.DUMMYFUNCTION("IMPORTRANGE(""https://docs.google.com/spreadsheets/d/1SX6NBoVAgQJ6U1MVXOaj8PK2l7WJ3RER9xtqwdhxkhw/edit?usp=sharing"",""พระนครศรีอยุธยา!J319"")"),0)</f>
        <v>0</v>
      </c>
      <c r="AD66" s="220">
        <f ca="1">IFERROR(__xludf.DUMMYFUNCTION("IMPORTRANGE(""https://docs.google.com/spreadsheets/d/1SX6NBoVAgQJ6U1MVXOaj8PK2l7WJ3RER9xtqwdhxkhw/edit?usp=sharing"",""พระนครศรีอยุธยา!J320"")"),0)</f>
        <v>0</v>
      </c>
      <c r="AE66" s="301">
        <v>30</v>
      </c>
      <c r="AF66" s="301">
        <v>10</v>
      </c>
      <c r="AG66" s="220">
        <f ca="1">IFERROR(__xludf.DUMMYFUNCTION("IMPORTRANGE(""https://docs.google.com/spreadsheets/d/1SX6NBoVAgQJ6U1MVXOaj8PK2l7WJ3RER9xtqwdhxkhw/edit?usp=sharing"",""พระนครศรีอยุธยา!J322"")"),0)</f>
        <v>0</v>
      </c>
      <c r="AH66" s="221">
        <f t="shared" ca="1" si="38"/>
        <v>0</v>
      </c>
      <c r="AI66" s="220">
        <f ca="1">IFERROR(__xludf.DUMMYFUNCTION("IMPORTRANGE(""https://docs.google.com/spreadsheets/d/1SX6NBoVAgQJ6U1MVXOaj8PK2l7WJ3RER9xtqwdhxkhw/edit?usp=sharing"",""พระนครศรีอยุธยา!J321"")"),0)</f>
        <v>0</v>
      </c>
      <c r="AJ66" s="221">
        <f t="shared" ca="1" si="39"/>
        <v>0</v>
      </c>
      <c r="AK66" s="220">
        <f ca="1">IFERROR(__xludf.DUMMYFUNCTION("IMPORTRANGE(""https://docs.google.com/spreadsheets/d/1SX6NBoVAgQJ6U1MVXOaj8PK2l7WJ3RER9xtqwdhxkhw/edit?usp=sharing"",""พระนครศรีอยุธยา!J323"")"),0)</f>
        <v>0</v>
      </c>
      <c r="AL66" s="220">
        <f ca="1">IFERROR(__xludf.DUMMYFUNCTION("IMPORTRANGE(""https://docs.google.com/spreadsheets/d/1SX6NBoVAgQJ6U1MVXOaj8PK2l7WJ3RER9xtqwdhxkhw/edit?usp=sharing"",""พระนครศรีอยุธยา!J324"")"),0)</f>
        <v>0</v>
      </c>
      <c r="AM66" s="220">
        <f t="shared" si="47"/>
        <v>65</v>
      </c>
      <c r="AN66" s="220">
        <f t="shared" ca="1" si="48"/>
        <v>0</v>
      </c>
      <c r="AO66" s="221">
        <f t="shared" ca="1" si="40"/>
        <v>0</v>
      </c>
      <c r="AP66" s="301">
        <v>0</v>
      </c>
      <c r="AQ66" s="220">
        <f ca="1">IFERROR(__xludf.DUMMYFUNCTION("IMPORTRANGE(""https://docs.google.com/spreadsheets/d/1SX6NBoVAgQJ6U1MVXOaj8PK2l7WJ3RER9xtqwdhxkhw/edit?usp=sharing"",""พระนครศรีอยุธยา!J326"")"),0)</f>
        <v>0</v>
      </c>
      <c r="AR66" s="301">
        <v>65</v>
      </c>
      <c r="AS66" s="313">
        <f ca="1">IFERROR(__xludf.DUMMYFUNCTION("IMPORTRANGE(""https://docs.google.com/spreadsheets/d/1SX6NBoVAgQJ6U1MVXOaj8PK2l7WJ3RER9xtqwdhxkhw/edit?usp=sharing"",""พระนครศรีอยุธยา!J327"")"),0)</f>
        <v>0</v>
      </c>
    </row>
    <row r="67" spans="1:45" ht="24" customHeight="1" x14ac:dyDescent="0.5">
      <c r="A67" s="216">
        <v>13</v>
      </c>
      <c r="B67" s="194" t="s">
        <v>82</v>
      </c>
      <c r="C67" s="312">
        <f t="shared" si="42"/>
        <v>207000</v>
      </c>
      <c r="D67" s="218">
        <v>0</v>
      </c>
      <c r="E67" s="218">
        <v>207000</v>
      </c>
      <c r="F67" s="219">
        <f ca="1">IFERROR(__xludf.DUMMYFUNCTION("IMPORTRANGE(""https://docs.google.com/spreadsheets/d/1SX6NBoVAgQJ6U1MVXOaj8PK2l7WJ3RER9xtqwdhxkhw/edit?usp=sharing"",""เพชรบุรี!M299"")"),0)</f>
        <v>0</v>
      </c>
      <c r="G67" s="219">
        <f t="shared" ca="1" si="31"/>
        <v>0</v>
      </c>
      <c r="H67" s="220">
        <f t="shared" si="43"/>
        <v>180</v>
      </c>
      <c r="I67" s="220">
        <f t="shared" si="44"/>
        <v>60</v>
      </c>
      <c r="J67" s="220">
        <f t="shared" ca="1" si="45"/>
        <v>0</v>
      </c>
      <c r="K67" s="221">
        <f t="shared" ca="1" si="32"/>
        <v>0</v>
      </c>
      <c r="L67" s="220">
        <f t="shared" ca="1" si="46"/>
        <v>0</v>
      </c>
      <c r="M67" s="221">
        <f t="shared" ca="1" si="33"/>
        <v>0</v>
      </c>
      <c r="N67" s="301">
        <v>75</v>
      </c>
      <c r="O67" s="301">
        <v>25</v>
      </c>
      <c r="P67" s="220">
        <f ca="1">IFERROR(__xludf.DUMMYFUNCTION("IMPORTRANGE(""https://docs.google.com/spreadsheets/d/1SX6NBoVAgQJ6U1MVXOaj8PK2l7WJ3RER9xtqwdhxkhw/edit?usp=sharing"",""เพชรบุรี!J313"")"),0)</f>
        <v>0</v>
      </c>
      <c r="Q67" s="221">
        <f t="shared" ca="1" si="34"/>
        <v>0</v>
      </c>
      <c r="R67" s="220">
        <f ca="1">IFERROR(__xludf.DUMMYFUNCTION("IMPORTRANGE(""https://docs.google.com/spreadsheets/d/1SX6NBoVAgQJ6U1MVXOaj8PK2l7WJ3RER9xtqwdhxkhw/edit?usp=sharing"",""เพชรบุรี!J312"")"),0)</f>
        <v>0</v>
      </c>
      <c r="S67" s="221">
        <f t="shared" ca="1" si="35"/>
        <v>0</v>
      </c>
      <c r="T67" s="221">
        <f ca="1">IFERROR(__xludf.DUMMYFUNCTION("IMPORTRANGE(""https://docs.google.com/spreadsheets/d/1SX6NBoVAgQJ6U1MVXOaj8PK2l7WJ3RER9xtqwdhxkhw/edit?usp=sharing"",""เพชรบุรี!J314"")"),0)</f>
        <v>0</v>
      </c>
      <c r="U67" s="221">
        <f ca="1">IFERROR(__xludf.DUMMYFUNCTION("IMPORTRANGE(""https://docs.google.com/spreadsheets/d/1SX6NBoVAgQJ6U1MVXOaj8PK2l7WJ3RER9xtqwdhxkhw/edit?usp=sharing"",""เพชรบุรี!J315"")"),0)</f>
        <v>0</v>
      </c>
      <c r="V67" s="301">
        <v>72</v>
      </c>
      <c r="W67" s="301">
        <v>24</v>
      </c>
      <c r="X67" s="220">
        <f ca="1">IFERROR(__xludf.DUMMYFUNCTION("IMPORTRANGE(""https://docs.google.com/spreadsheets/d/1SX6NBoVAgQJ6U1MVXOaj8PK2l7WJ3RER9xtqwdhxkhw/edit?usp=sharing"",""เพชรบุรี!J317"")"),0)</f>
        <v>0</v>
      </c>
      <c r="Y67" s="221">
        <f t="shared" ca="1" si="36"/>
        <v>0</v>
      </c>
      <c r="Z67" s="220">
        <f ca="1">IFERROR(__xludf.DUMMYFUNCTION("IMPORTRANGE(""https://docs.google.com/spreadsheets/d/1SX6NBoVAgQJ6U1MVXOaj8PK2l7WJ3RER9xtqwdhxkhw/edit?usp=sharing"",""เพชรบุรี!J316"")"),0)</f>
        <v>0</v>
      </c>
      <c r="AA67" s="221">
        <f t="shared" ca="1" si="37"/>
        <v>0</v>
      </c>
      <c r="AB67" s="220">
        <f ca="1">IFERROR(__xludf.DUMMYFUNCTION("IMPORTRANGE(""https://docs.google.com/spreadsheets/d/1SX6NBoVAgQJ6U1MVXOaj8PK2l7WJ3RER9xtqwdhxkhw/edit?usp=sharing"",""เพชรบุรี!J318"")"),0)</f>
        <v>0</v>
      </c>
      <c r="AC67" s="220">
        <f ca="1">IFERROR(__xludf.DUMMYFUNCTION("IMPORTRANGE(""https://docs.google.com/spreadsheets/d/1SX6NBoVAgQJ6U1MVXOaj8PK2l7WJ3RER9xtqwdhxkhw/edit?usp=sharing"",""เพชรบุรี!J319"")"),0)</f>
        <v>0</v>
      </c>
      <c r="AD67" s="220">
        <f ca="1">IFERROR(__xludf.DUMMYFUNCTION("IMPORTRANGE(""https://docs.google.com/spreadsheets/d/1SX6NBoVAgQJ6U1MVXOaj8PK2l7WJ3RER9xtqwdhxkhw/edit?usp=sharing"",""เพชรบุรี!J320"")"),0)</f>
        <v>0</v>
      </c>
      <c r="AE67" s="301">
        <v>33</v>
      </c>
      <c r="AF67" s="301">
        <v>11</v>
      </c>
      <c r="AG67" s="220">
        <f ca="1">IFERROR(__xludf.DUMMYFUNCTION("IMPORTRANGE(""https://docs.google.com/spreadsheets/d/1SX6NBoVAgQJ6U1MVXOaj8PK2l7WJ3RER9xtqwdhxkhw/edit?usp=sharing"",""เพชรบุรี!J322"")"),0)</f>
        <v>0</v>
      </c>
      <c r="AH67" s="221">
        <f t="shared" ca="1" si="38"/>
        <v>0</v>
      </c>
      <c r="AI67" s="220">
        <f ca="1">IFERROR(__xludf.DUMMYFUNCTION("IMPORTRANGE(""https://docs.google.com/spreadsheets/d/1SX6NBoVAgQJ6U1MVXOaj8PK2l7WJ3RER9xtqwdhxkhw/edit?usp=sharing"",""เพชรบุรี!J321"")"),0)</f>
        <v>0</v>
      </c>
      <c r="AJ67" s="221">
        <f t="shared" ca="1" si="39"/>
        <v>0</v>
      </c>
      <c r="AK67" s="220">
        <f ca="1">IFERROR(__xludf.DUMMYFUNCTION("IMPORTRANGE(""https://docs.google.com/spreadsheets/d/1SX6NBoVAgQJ6U1MVXOaj8PK2l7WJ3RER9xtqwdhxkhw/edit?usp=sharing"",""เพชรบุรี!J323"")"),0)</f>
        <v>0</v>
      </c>
      <c r="AL67" s="220">
        <f ca="1">IFERROR(__xludf.DUMMYFUNCTION("IMPORTRANGE(""https://docs.google.com/spreadsheets/d/1SX6NBoVAgQJ6U1MVXOaj8PK2l7WJ3RER9xtqwdhxkhw/edit?usp=sharing"",""เพชรบุรี!J324"")"),0)</f>
        <v>0</v>
      </c>
      <c r="AM67" s="220">
        <f t="shared" si="47"/>
        <v>49</v>
      </c>
      <c r="AN67" s="220">
        <f t="shared" ca="1" si="48"/>
        <v>0</v>
      </c>
      <c r="AO67" s="221">
        <f t="shared" ca="1" si="40"/>
        <v>0</v>
      </c>
      <c r="AP67" s="301">
        <v>25</v>
      </c>
      <c r="AQ67" s="220">
        <f ca="1">IFERROR(__xludf.DUMMYFUNCTION("IMPORTRANGE(""https://docs.google.com/spreadsheets/d/1SX6NBoVAgQJ6U1MVXOaj8PK2l7WJ3RER9xtqwdhxkhw/edit?usp=sharing"",""เพชรบุรี!J326"")"),0)</f>
        <v>0</v>
      </c>
      <c r="AR67" s="301">
        <v>24</v>
      </c>
      <c r="AS67" s="313">
        <f ca="1">IFERROR(__xludf.DUMMYFUNCTION("IMPORTRANGE(""https://docs.google.com/spreadsheets/d/1SX6NBoVAgQJ6U1MVXOaj8PK2l7WJ3RER9xtqwdhxkhw/edit?usp=sharing"",""เพชรบุรี!J327"")"),0)</f>
        <v>0</v>
      </c>
    </row>
    <row r="68" spans="1:45" ht="24" customHeight="1" x14ac:dyDescent="0.5">
      <c r="A68" s="216">
        <v>14</v>
      </c>
      <c r="B68" s="194" t="s">
        <v>83</v>
      </c>
      <c r="C68" s="312">
        <f t="shared" si="42"/>
        <v>156040</v>
      </c>
      <c r="D68" s="218">
        <v>0</v>
      </c>
      <c r="E68" s="218">
        <v>156040</v>
      </c>
      <c r="F68" s="219">
        <f ca="1">IFERROR(__xludf.DUMMYFUNCTION("IMPORTRANGE(""https://docs.google.com/spreadsheets/d/1SX6NBoVAgQJ6U1MVXOaj8PK2l7WJ3RER9xtqwdhxkhw/edit?usp=sharing"",""ระยอง!M299"")"),0)</f>
        <v>0</v>
      </c>
      <c r="G68" s="219">
        <f t="shared" ca="1" si="31"/>
        <v>0</v>
      </c>
      <c r="H68" s="220">
        <f t="shared" si="43"/>
        <v>135</v>
      </c>
      <c r="I68" s="220">
        <f t="shared" si="44"/>
        <v>45</v>
      </c>
      <c r="J68" s="220">
        <f t="shared" ca="1" si="45"/>
        <v>0</v>
      </c>
      <c r="K68" s="221">
        <f t="shared" ca="1" si="32"/>
        <v>0</v>
      </c>
      <c r="L68" s="220">
        <f t="shared" ca="1" si="46"/>
        <v>0</v>
      </c>
      <c r="M68" s="221">
        <f t="shared" ca="1" si="33"/>
        <v>0</v>
      </c>
      <c r="N68" s="301">
        <v>45</v>
      </c>
      <c r="O68" s="301">
        <v>15</v>
      </c>
      <c r="P68" s="220">
        <f ca="1">IFERROR(__xludf.DUMMYFUNCTION("IMPORTRANGE(""https://docs.google.com/spreadsheets/d/1SX6NBoVAgQJ6U1MVXOaj8PK2l7WJ3RER9xtqwdhxkhw/edit?usp=sharing"",""ระยอง!J313"")"),0)</f>
        <v>0</v>
      </c>
      <c r="Q68" s="221">
        <f t="shared" ca="1" si="34"/>
        <v>0</v>
      </c>
      <c r="R68" s="220">
        <f ca="1">IFERROR(__xludf.DUMMYFUNCTION("IMPORTRANGE(""https://docs.google.com/spreadsheets/d/1SX6NBoVAgQJ6U1MVXOaj8PK2l7WJ3RER9xtqwdhxkhw/edit?usp=sharing"",""ระยอง!J312"")"),0)</f>
        <v>0</v>
      </c>
      <c r="S68" s="221">
        <f t="shared" ca="1" si="35"/>
        <v>0</v>
      </c>
      <c r="T68" s="221">
        <f ca="1">IFERROR(__xludf.DUMMYFUNCTION("IMPORTRANGE(""https://docs.google.com/spreadsheets/d/1SX6NBoVAgQJ6U1MVXOaj8PK2l7WJ3RER9xtqwdhxkhw/edit?usp=sharing"",""ระยอง!J314"")"),0)</f>
        <v>0</v>
      </c>
      <c r="U68" s="221">
        <f ca="1">IFERROR(__xludf.DUMMYFUNCTION("IMPORTRANGE(""https://docs.google.com/spreadsheets/d/1SX6NBoVAgQJ6U1MVXOaj8PK2l7WJ3RER9xtqwdhxkhw/edit?usp=sharing"",""ระยอง!J315"")"),0)</f>
        <v>0</v>
      </c>
      <c r="V68" s="301">
        <v>48</v>
      </c>
      <c r="W68" s="301">
        <v>16</v>
      </c>
      <c r="X68" s="220">
        <f ca="1">IFERROR(__xludf.DUMMYFUNCTION("IMPORTRANGE(""https://docs.google.com/spreadsheets/d/1SX6NBoVAgQJ6U1MVXOaj8PK2l7WJ3RER9xtqwdhxkhw/edit?usp=sharing"",""ระยอง!J317"")"),0)</f>
        <v>0</v>
      </c>
      <c r="Y68" s="221">
        <f t="shared" ca="1" si="36"/>
        <v>0</v>
      </c>
      <c r="Z68" s="220">
        <f ca="1">IFERROR(__xludf.DUMMYFUNCTION("IMPORTRANGE(""https://docs.google.com/spreadsheets/d/1SX6NBoVAgQJ6U1MVXOaj8PK2l7WJ3RER9xtqwdhxkhw/edit?usp=sharing"",""ระยอง!J316"")"),0)</f>
        <v>0</v>
      </c>
      <c r="AA68" s="221">
        <f t="shared" ca="1" si="37"/>
        <v>0</v>
      </c>
      <c r="AB68" s="220">
        <f ca="1">IFERROR(__xludf.DUMMYFUNCTION("IMPORTRANGE(""https://docs.google.com/spreadsheets/d/1SX6NBoVAgQJ6U1MVXOaj8PK2l7WJ3RER9xtqwdhxkhw/edit?usp=sharing"",""ระยอง!J318"")"),0)</f>
        <v>0</v>
      </c>
      <c r="AC68" s="220">
        <f ca="1">IFERROR(__xludf.DUMMYFUNCTION("IMPORTRANGE(""https://docs.google.com/spreadsheets/d/1SX6NBoVAgQJ6U1MVXOaj8PK2l7WJ3RER9xtqwdhxkhw/edit?usp=sharing"",""ระยอง!J319"")"),0)</f>
        <v>0</v>
      </c>
      <c r="AD68" s="220">
        <f ca="1">IFERROR(__xludf.DUMMYFUNCTION("IMPORTRANGE(""https://docs.google.com/spreadsheets/d/1SX6NBoVAgQJ6U1MVXOaj8PK2l7WJ3RER9xtqwdhxkhw/edit?usp=sharing"",""ระยอง!J320"")"),0)</f>
        <v>0</v>
      </c>
      <c r="AE68" s="301">
        <v>42</v>
      </c>
      <c r="AF68" s="301">
        <v>14</v>
      </c>
      <c r="AG68" s="220">
        <f ca="1">IFERROR(__xludf.DUMMYFUNCTION("IMPORTRANGE(""https://docs.google.com/spreadsheets/d/1SX6NBoVAgQJ6U1MVXOaj8PK2l7WJ3RER9xtqwdhxkhw/edit?usp=sharing"",""ระยอง!J322"")"),0)</f>
        <v>0</v>
      </c>
      <c r="AH68" s="221">
        <f t="shared" ca="1" si="38"/>
        <v>0</v>
      </c>
      <c r="AI68" s="220">
        <f ca="1">IFERROR(__xludf.DUMMYFUNCTION("IMPORTRANGE(""https://docs.google.com/spreadsheets/d/1SX6NBoVAgQJ6U1MVXOaj8PK2l7WJ3RER9xtqwdhxkhw/edit?usp=sharing"",""ระยอง!J321"")"),0)</f>
        <v>0</v>
      </c>
      <c r="AJ68" s="221">
        <f t="shared" ca="1" si="39"/>
        <v>0</v>
      </c>
      <c r="AK68" s="220">
        <f ca="1">IFERROR(__xludf.DUMMYFUNCTION("IMPORTRANGE(""https://docs.google.com/spreadsheets/d/1SX6NBoVAgQJ6U1MVXOaj8PK2l7WJ3RER9xtqwdhxkhw/edit?usp=sharing"",""ระยอง!J323"")"),0)</f>
        <v>0</v>
      </c>
      <c r="AL68" s="220">
        <f ca="1">IFERROR(__xludf.DUMMYFUNCTION("IMPORTRANGE(""https://docs.google.com/spreadsheets/d/1SX6NBoVAgQJ6U1MVXOaj8PK2l7WJ3RER9xtqwdhxkhw/edit?usp=sharing"",""ระยอง!J324"")"),0)</f>
        <v>0</v>
      </c>
      <c r="AM68" s="220">
        <f t="shared" si="47"/>
        <v>31</v>
      </c>
      <c r="AN68" s="220">
        <f t="shared" ca="1" si="48"/>
        <v>0</v>
      </c>
      <c r="AO68" s="221">
        <f t="shared" ca="1" si="40"/>
        <v>0</v>
      </c>
      <c r="AP68" s="301">
        <v>15</v>
      </c>
      <c r="AQ68" s="220">
        <f ca="1">IFERROR(__xludf.DUMMYFUNCTION("IMPORTRANGE(""https://docs.google.com/spreadsheets/d/1SX6NBoVAgQJ6U1MVXOaj8PK2l7WJ3RER9xtqwdhxkhw/edit?usp=sharing"",""ระยอง!J326"")"),0)</f>
        <v>0</v>
      </c>
      <c r="AR68" s="301">
        <v>16</v>
      </c>
      <c r="AS68" s="313">
        <f ca="1">IFERROR(__xludf.DUMMYFUNCTION("IMPORTRANGE(""https://docs.google.com/spreadsheets/d/1SX6NBoVAgQJ6U1MVXOaj8PK2l7WJ3RER9xtqwdhxkhw/edit?usp=sharing"",""ระยอง!J327"")"),0)</f>
        <v>0</v>
      </c>
    </row>
    <row r="69" spans="1:45" ht="24" customHeight="1" x14ac:dyDescent="0.5">
      <c r="A69" s="216">
        <v>15</v>
      </c>
      <c r="B69" s="194" t="s">
        <v>84</v>
      </c>
      <c r="C69" s="312">
        <f t="shared" si="42"/>
        <v>226530</v>
      </c>
      <c r="D69" s="218">
        <v>0</v>
      </c>
      <c r="E69" s="218">
        <v>226530</v>
      </c>
      <c r="F69" s="219">
        <f ca="1">IFERROR(__xludf.DUMMYFUNCTION("IMPORTRANGE(""https://docs.google.com/spreadsheets/d/1SX6NBoVAgQJ6U1MVXOaj8PK2l7WJ3RER9xtqwdhxkhw/edit?usp=sharing"",""ราชบุรี!M299"")"),500)</f>
        <v>500</v>
      </c>
      <c r="G69" s="219">
        <f t="shared" ca="1" si="31"/>
        <v>0.22072131726482144</v>
      </c>
      <c r="H69" s="220">
        <f t="shared" si="43"/>
        <v>195</v>
      </c>
      <c r="I69" s="220">
        <f t="shared" si="44"/>
        <v>65</v>
      </c>
      <c r="J69" s="220">
        <f t="shared" ca="1" si="45"/>
        <v>0</v>
      </c>
      <c r="K69" s="221">
        <f t="shared" ca="1" si="32"/>
        <v>0</v>
      </c>
      <c r="L69" s="220">
        <f t="shared" ca="1" si="46"/>
        <v>0</v>
      </c>
      <c r="M69" s="221">
        <f t="shared" ca="1" si="33"/>
        <v>0</v>
      </c>
      <c r="N69" s="301">
        <v>90</v>
      </c>
      <c r="O69" s="301">
        <v>30</v>
      </c>
      <c r="P69" s="220">
        <f ca="1">IFERROR(__xludf.DUMMYFUNCTION("IMPORTRANGE(""https://docs.google.com/spreadsheets/d/1SX6NBoVAgQJ6U1MVXOaj8PK2l7WJ3RER9xtqwdhxkhw/edit?usp=sharing"",""ราชบุรี!J313"")"),0)</f>
        <v>0</v>
      </c>
      <c r="Q69" s="221">
        <f t="shared" ca="1" si="34"/>
        <v>0</v>
      </c>
      <c r="R69" s="220">
        <f ca="1">IFERROR(__xludf.DUMMYFUNCTION("IMPORTRANGE(""https://docs.google.com/spreadsheets/d/1SX6NBoVAgQJ6U1MVXOaj8PK2l7WJ3RER9xtqwdhxkhw/edit?usp=sharing"",""ราชบุรี!J312"")"),0)</f>
        <v>0</v>
      </c>
      <c r="S69" s="221">
        <f t="shared" ca="1" si="35"/>
        <v>0</v>
      </c>
      <c r="T69" s="221">
        <f ca="1">IFERROR(__xludf.DUMMYFUNCTION("IMPORTRANGE(""https://docs.google.com/spreadsheets/d/1SX6NBoVAgQJ6U1MVXOaj8PK2l7WJ3RER9xtqwdhxkhw/edit?usp=sharing"",""ราชบุรี!J314"")"),0)</f>
        <v>0</v>
      </c>
      <c r="U69" s="221">
        <f ca="1">IFERROR(__xludf.DUMMYFUNCTION("IMPORTRANGE(""https://docs.google.com/spreadsheets/d/1SX6NBoVAgQJ6U1MVXOaj8PK2l7WJ3RER9xtqwdhxkhw/edit?usp=sharing"",""ราชบุรี!J315"")"),0)</f>
        <v>0</v>
      </c>
      <c r="V69" s="301">
        <v>75</v>
      </c>
      <c r="W69" s="301">
        <v>25</v>
      </c>
      <c r="X69" s="220">
        <f ca="1">IFERROR(__xludf.DUMMYFUNCTION("IMPORTRANGE(""https://docs.google.com/spreadsheets/d/1SX6NBoVAgQJ6U1MVXOaj8PK2l7WJ3RER9xtqwdhxkhw/edit?usp=sharing"",""ราชบุรี!J317"")"),0)</f>
        <v>0</v>
      </c>
      <c r="Y69" s="221">
        <f t="shared" ca="1" si="36"/>
        <v>0</v>
      </c>
      <c r="Z69" s="220">
        <f ca="1">IFERROR(__xludf.DUMMYFUNCTION("IMPORTRANGE(""https://docs.google.com/spreadsheets/d/1SX6NBoVAgQJ6U1MVXOaj8PK2l7WJ3RER9xtqwdhxkhw/edit?usp=sharing"",""ราชบุรี!J316"")"),0)</f>
        <v>0</v>
      </c>
      <c r="AA69" s="221">
        <f t="shared" ca="1" si="37"/>
        <v>0</v>
      </c>
      <c r="AB69" s="220">
        <f ca="1">IFERROR(__xludf.DUMMYFUNCTION("IMPORTRANGE(""https://docs.google.com/spreadsheets/d/1SX6NBoVAgQJ6U1MVXOaj8PK2l7WJ3RER9xtqwdhxkhw/edit?usp=sharing"",""ราชบุรี!J318"")"),0)</f>
        <v>0</v>
      </c>
      <c r="AC69" s="220">
        <f ca="1">IFERROR(__xludf.DUMMYFUNCTION("IMPORTRANGE(""https://docs.google.com/spreadsheets/d/1SX6NBoVAgQJ6U1MVXOaj8PK2l7WJ3RER9xtqwdhxkhw/edit?usp=sharing"",""ราชบุรี!J319"")"),0)</f>
        <v>0</v>
      </c>
      <c r="AD69" s="220">
        <f ca="1">IFERROR(__xludf.DUMMYFUNCTION("IMPORTRANGE(""https://docs.google.com/spreadsheets/d/1SX6NBoVAgQJ6U1MVXOaj8PK2l7WJ3RER9xtqwdhxkhw/edit?usp=sharing"",""ราชบุรี!J320"")"),0)</f>
        <v>0</v>
      </c>
      <c r="AE69" s="301">
        <v>30</v>
      </c>
      <c r="AF69" s="301">
        <v>10</v>
      </c>
      <c r="AG69" s="220">
        <f ca="1">IFERROR(__xludf.DUMMYFUNCTION("IMPORTRANGE(""https://docs.google.com/spreadsheets/d/1SX6NBoVAgQJ6U1MVXOaj8PK2l7WJ3RER9xtqwdhxkhw/edit?usp=sharing"",""ราชบุรี!J322"")"),0)</f>
        <v>0</v>
      </c>
      <c r="AH69" s="221">
        <f t="shared" ca="1" si="38"/>
        <v>0</v>
      </c>
      <c r="AI69" s="220">
        <f ca="1">IFERROR(__xludf.DUMMYFUNCTION("IMPORTRANGE(""https://docs.google.com/spreadsheets/d/1SX6NBoVAgQJ6U1MVXOaj8PK2l7WJ3RER9xtqwdhxkhw/edit?usp=sharing"",""ราชบุรี!J321"")"),0)</f>
        <v>0</v>
      </c>
      <c r="AJ69" s="221">
        <f t="shared" ca="1" si="39"/>
        <v>0</v>
      </c>
      <c r="AK69" s="220">
        <f ca="1">IFERROR(__xludf.DUMMYFUNCTION("IMPORTRANGE(""https://docs.google.com/spreadsheets/d/1SX6NBoVAgQJ6U1MVXOaj8PK2l7WJ3RER9xtqwdhxkhw/edit?usp=sharing"",""ราชบุรี!J323"")"),0)</f>
        <v>0</v>
      </c>
      <c r="AL69" s="220">
        <f ca="1">IFERROR(__xludf.DUMMYFUNCTION("IMPORTRANGE(""https://docs.google.com/spreadsheets/d/1SX6NBoVAgQJ6U1MVXOaj8PK2l7WJ3RER9xtqwdhxkhw/edit?usp=sharing"",""ราชบุรี!J324"")"),0)</f>
        <v>0</v>
      </c>
      <c r="AM69" s="220">
        <f t="shared" si="47"/>
        <v>55</v>
      </c>
      <c r="AN69" s="220">
        <f t="shared" ca="1" si="48"/>
        <v>0</v>
      </c>
      <c r="AO69" s="221">
        <f t="shared" ca="1" si="40"/>
        <v>0</v>
      </c>
      <c r="AP69" s="301">
        <v>30</v>
      </c>
      <c r="AQ69" s="220">
        <f ca="1">IFERROR(__xludf.DUMMYFUNCTION("IMPORTRANGE(""https://docs.google.com/spreadsheets/d/1SX6NBoVAgQJ6U1MVXOaj8PK2l7WJ3RER9xtqwdhxkhw/edit?usp=sharing"",""ราชบุรี!J326"")"),0)</f>
        <v>0</v>
      </c>
      <c r="AR69" s="301">
        <v>25</v>
      </c>
      <c r="AS69" s="313">
        <f ca="1">IFERROR(__xludf.DUMMYFUNCTION("IMPORTRANGE(""https://docs.google.com/spreadsheets/d/1SX6NBoVAgQJ6U1MVXOaj8PK2l7WJ3RER9xtqwdhxkhw/edit?usp=sharing"",""ราชบุรี!J327"")"),0)</f>
        <v>0</v>
      </c>
    </row>
    <row r="70" spans="1:45" ht="24" customHeight="1" x14ac:dyDescent="0.5">
      <c r="A70" s="216">
        <v>16</v>
      </c>
      <c r="B70" s="194" t="s">
        <v>85</v>
      </c>
      <c r="C70" s="312">
        <f t="shared" si="42"/>
        <v>172800</v>
      </c>
      <c r="D70" s="218">
        <v>0</v>
      </c>
      <c r="E70" s="218">
        <v>172800</v>
      </c>
      <c r="F70" s="219">
        <f ca="1">IFERROR(__xludf.DUMMYFUNCTION("IMPORTRANGE(""https://docs.google.com/spreadsheets/d/1SX6NBoVAgQJ6U1MVXOaj8PK2l7WJ3RER9xtqwdhxkhw/edit?usp=sharing"",""ลพบุรี!M299"")"),0)</f>
        <v>0</v>
      </c>
      <c r="G70" s="219">
        <f t="shared" ca="1" si="31"/>
        <v>0</v>
      </c>
      <c r="H70" s="220">
        <f t="shared" si="43"/>
        <v>150</v>
      </c>
      <c r="I70" s="220">
        <f t="shared" si="44"/>
        <v>50</v>
      </c>
      <c r="J70" s="220">
        <f t="shared" ca="1" si="45"/>
        <v>0</v>
      </c>
      <c r="K70" s="221">
        <f t="shared" ca="1" si="32"/>
        <v>0</v>
      </c>
      <c r="L70" s="220">
        <f t="shared" ca="1" si="46"/>
        <v>0</v>
      </c>
      <c r="M70" s="221">
        <f t="shared" ca="1" si="33"/>
        <v>0</v>
      </c>
      <c r="N70" s="301">
        <v>30</v>
      </c>
      <c r="O70" s="301">
        <v>10</v>
      </c>
      <c r="P70" s="220">
        <f ca="1">IFERROR(__xludf.DUMMYFUNCTION("IMPORTRANGE(""https://docs.google.com/spreadsheets/d/1SX6NBoVAgQJ6U1MVXOaj8PK2l7WJ3RER9xtqwdhxkhw/edit?usp=sharing"",""ลพบุรี!J313"")"),0)</f>
        <v>0</v>
      </c>
      <c r="Q70" s="221">
        <f t="shared" ca="1" si="34"/>
        <v>0</v>
      </c>
      <c r="R70" s="220">
        <f ca="1">IFERROR(__xludf.DUMMYFUNCTION("IMPORTRANGE(""https://docs.google.com/spreadsheets/d/1SX6NBoVAgQJ6U1MVXOaj8PK2l7WJ3RER9xtqwdhxkhw/edit?usp=sharing"",""ลพบุรี!J312"")"),0)</f>
        <v>0</v>
      </c>
      <c r="S70" s="221">
        <f t="shared" ca="1" si="35"/>
        <v>0</v>
      </c>
      <c r="T70" s="221">
        <f ca="1">IFERROR(__xludf.DUMMYFUNCTION("IMPORTRANGE(""https://docs.google.com/spreadsheets/d/1SX6NBoVAgQJ6U1MVXOaj8PK2l7WJ3RER9xtqwdhxkhw/edit?usp=sharing"",""ลพบุรี!J314"")"),0)</f>
        <v>0</v>
      </c>
      <c r="U70" s="221">
        <f ca="1">IFERROR(__xludf.DUMMYFUNCTION("IMPORTRANGE(""https://docs.google.com/spreadsheets/d/1SX6NBoVAgQJ6U1MVXOaj8PK2l7WJ3RER9xtqwdhxkhw/edit?usp=sharing"",""ลพบุรี!J315"")"),0)</f>
        <v>0</v>
      </c>
      <c r="V70" s="301">
        <v>90</v>
      </c>
      <c r="W70" s="301">
        <v>30</v>
      </c>
      <c r="X70" s="220">
        <f ca="1">IFERROR(__xludf.DUMMYFUNCTION("IMPORTRANGE(""https://docs.google.com/spreadsheets/d/1SX6NBoVAgQJ6U1MVXOaj8PK2l7WJ3RER9xtqwdhxkhw/edit?usp=sharing"",""ลพบุรี!J317"")"),0)</f>
        <v>0</v>
      </c>
      <c r="Y70" s="221">
        <f t="shared" ca="1" si="36"/>
        <v>0</v>
      </c>
      <c r="Z70" s="220">
        <f ca="1">IFERROR(__xludf.DUMMYFUNCTION("IMPORTRANGE(""https://docs.google.com/spreadsheets/d/1SX6NBoVAgQJ6U1MVXOaj8PK2l7WJ3RER9xtqwdhxkhw/edit?usp=sharing"",""ลพบุรี!J316"")"),0)</f>
        <v>0</v>
      </c>
      <c r="AA70" s="221">
        <f t="shared" ca="1" si="37"/>
        <v>0</v>
      </c>
      <c r="AB70" s="220">
        <f ca="1">IFERROR(__xludf.DUMMYFUNCTION("IMPORTRANGE(""https://docs.google.com/spreadsheets/d/1SX6NBoVAgQJ6U1MVXOaj8PK2l7WJ3RER9xtqwdhxkhw/edit?usp=sharing"",""ลพบุรี!J318"")"),0)</f>
        <v>0</v>
      </c>
      <c r="AC70" s="220">
        <f ca="1">IFERROR(__xludf.DUMMYFUNCTION("IMPORTRANGE(""https://docs.google.com/spreadsheets/d/1SX6NBoVAgQJ6U1MVXOaj8PK2l7WJ3RER9xtqwdhxkhw/edit?usp=sharing"",""ลพบุรี!J319"")"),0)</f>
        <v>0</v>
      </c>
      <c r="AD70" s="220">
        <f ca="1">IFERROR(__xludf.DUMMYFUNCTION("IMPORTRANGE(""https://docs.google.com/spreadsheets/d/1SX6NBoVAgQJ6U1MVXOaj8PK2l7WJ3RER9xtqwdhxkhw/edit?usp=sharing"",""ลพบุรี!J320"")"),0)</f>
        <v>0</v>
      </c>
      <c r="AE70" s="301">
        <v>30</v>
      </c>
      <c r="AF70" s="301">
        <v>10</v>
      </c>
      <c r="AG70" s="220">
        <f ca="1">IFERROR(__xludf.DUMMYFUNCTION("IMPORTRANGE(""https://docs.google.com/spreadsheets/d/1SX6NBoVAgQJ6U1MVXOaj8PK2l7WJ3RER9xtqwdhxkhw/edit?usp=sharing"",""ลพบุรี!J322"")"),0)</f>
        <v>0</v>
      </c>
      <c r="AH70" s="221">
        <f t="shared" ca="1" si="38"/>
        <v>0</v>
      </c>
      <c r="AI70" s="220">
        <f ca="1">IFERROR(__xludf.DUMMYFUNCTION("IMPORTRANGE(""https://docs.google.com/spreadsheets/d/1SX6NBoVAgQJ6U1MVXOaj8PK2l7WJ3RER9xtqwdhxkhw/edit?usp=sharing"",""ลพบุรี!J321"")"),0)</f>
        <v>0</v>
      </c>
      <c r="AJ70" s="221">
        <f t="shared" ca="1" si="39"/>
        <v>0</v>
      </c>
      <c r="AK70" s="220">
        <f ca="1">IFERROR(__xludf.DUMMYFUNCTION("IMPORTRANGE(""https://docs.google.com/spreadsheets/d/1SX6NBoVAgQJ6U1MVXOaj8PK2l7WJ3RER9xtqwdhxkhw/edit?usp=sharing"",""ลพบุรี!J323"")"),0)</f>
        <v>0</v>
      </c>
      <c r="AL70" s="220">
        <f ca="1">IFERROR(__xludf.DUMMYFUNCTION("IMPORTRANGE(""https://docs.google.com/spreadsheets/d/1SX6NBoVAgQJ6U1MVXOaj8PK2l7WJ3RER9xtqwdhxkhw/edit?usp=sharing"",""ลพบุรี!J324"")"),0)</f>
        <v>0</v>
      </c>
      <c r="AM70" s="220">
        <f t="shared" si="47"/>
        <v>40</v>
      </c>
      <c r="AN70" s="220">
        <f t="shared" ca="1" si="48"/>
        <v>0</v>
      </c>
      <c r="AO70" s="221">
        <f t="shared" ca="1" si="40"/>
        <v>0</v>
      </c>
      <c r="AP70" s="301">
        <v>10</v>
      </c>
      <c r="AQ70" s="220">
        <f ca="1">IFERROR(__xludf.DUMMYFUNCTION("IMPORTRANGE(""https://docs.google.com/spreadsheets/d/1SX6NBoVAgQJ6U1MVXOaj8PK2l7WJ3RER9xtqwdhxkhw/edit?usp=sharing"",""ลพบุรี!J326"")"),0)</f>
        <v>0</v>
      </c>
      <c r="AR70" s="301">
        <v>30</v>
      </c>
      <c r="AS70" s="313">
        <f ca="1">IFERROR(__xludf.DUMMYFUNCTION("IMPORTRANGE(""https://docs.google.com/spreadsheets/d/1SX6NBoVAgQJ6U1MVXOaj8PK2l7WJ3RER9xtqwdhxkhw/edit?usp=sharing"",""ลพบุรี!J327"")"),0)</f>
        <v>0</v>
      </c>
    </row>
    <row r="71" spans="1:45" ht="24" customHeight="1" x14ac:dyDescent="0.5">
      <c r="A71" s="216">
        <v>17</v>
      </c>
      <c r="B71" s="194" t="s">
        <v>86</v>
      </c>
      <c r="C71" s="312">
        <f t="shared" si="42"/>
        <v>196620</v>
      </c>
      <c r="D71" s="218">
        <v>0</v>
      </c>
      <c r="E71" s="218">
        <v>196620</v>
      </c>
      <c r="F71" s="219">
        <f ca="1">IFERROR(__xludf.DUMMYFUNCTION("IMPORTRANGE(""https://docs.google.com/spreadsheets/d/1SX6NBoVAgQJ6U1MVXOaj8PK2l7WJ3RER9xtqwdhxkhw/edit?usp=sharing"",""สระแก้ว!M299"")"),0)</f>
        <v>0</v>
      </c>
      <c r="G71" s="219">
        <f t="shared" ca="1" si="31"/>
        <v>0</v>
      </c>
      <c r="H71" s="220">
        <f t="shared" si="43"/>
        <v>195</v>
      </c>
      <c r="I71" s="220">
        <f t="shared" si="44"/>
        <v>65</v>
      </c>
      <c r="J71" s="220">
        <f t="shared" ca="1" si="45"/>
        <v>0</v>
      </c>
      <c r="K71" s="221">
        <f t="shared" ca="1" si="32"/>
        <v>0</v>
      </c>
      <c r="L71" s="220">
        <f t="shared" ca="1" si="46"/>
        <v>0</v>
      </c>
      <c r="M71" s="221">
        <f t="shared" ca="1" si="33"/>
        <v>0</v>
      </c>
      <c r="N71" s="301">
        <v>45</v>
      </c>
      <c r="O71" s="301">
        <v>15</v>
      </c>
      <c r="P71" s="220">
        <f ca="1">IFERROR(__xludf.DUMMYFUNCTION("IMPORTRANGE(""https://docs.google.com/spreadsheets/d/1SX6NBoVAgQJ6U1MVXOaj8PK2l7WJ3RER9xtqwdhxkhw/edit?usp=sharing"",""สระแก้ว!J313"")"),0)</f>
        <v>0</v>
      </c>
      <c r="Q71" s="221">
        <f t="shared" ca="1" si="34"/>
        <v>0</v>
      </c>
      <c r="R71" s="220">
        <f ca="1">IFERROR(__xludf.DUMMYFUNCTION("IMPORTRANGE(""https://docs.google.com/spreadsheets/d/1SX6NBoVAgQJ6U1MVXOaj8PK2l7WJ3RER9xtqwdhxkhw/edit?usp=sharing"",""สระแก้ว!J312"")"),0)</f>
        <v>0</v>
      </c>
      <c r="S71" s="221">
        <f t="shared" ca="1" si="35"/>
        <v>0</v>
      </c>
      <c r="T71" s="221">
        <f ca="1">IFERROR(__xludf.DUMMYFUNCTION("IMPORTRANGE(""https://docs.google.com/spreadsheets/d/1SX6NBoVAgQJ6U1MVXOaj8PK2l7WJ3RER9xtqwdhxkhw/edit?usp=sharing"",""สระแก้ว!J314"")"),0)</f>
        <v>0</v>
      </c>
      <c r="U71" s="221">
        <f ca="1">IFERROR(__xludf.DUMMYFUNCTION("IMPORTRANGE(""https://docs.google.com/spreadsheets/d/1SX6NBoVAgQJ6U1MVXOaj8PK2l7WJ3RER9xtqwdhxkhw/edit?usp=sharing"",""สระแก้ว!J315"")"),0)</f>
        <v>0</v>
      </c>
      <c r="V71" s="301">
        <v>78</v>
      </c>
      <c r="W71" s="301">
        <v>26</v>
      </c>
      <c r="X71" s="220">
        <f ca="1">IFERROR(__xludf.DUMMYFUNCTION("IMPORTRANGE(""https://docs.google.com/spreadsheets/d/1SX6NBoVAgQJ6U1MVXOaj8PK2l7WJ3RER9xtqwdhxkhw/edit?usp=sharing"",""สระแก้ว!J317"")"),0)</f>
        <v>0</v>
      </c>
      <c r="Y71" s="221">
        <f t="shared" ca="1" si="36"/>
        <v>0</v>
      </c>
      <c r="Z71" s="220">
        <f ca="1">IFERROR(__xludf.DUMMYFUNCTION("IMPORTRANGE(""https://docs.google.com/spreadsheets/d/1SX6NBoVAgQJ6U1MVXOaj8PK2l7WJ3RER9xtqwdhxkhw/edit?usp=sharing"",""สระแก้ว!J316"")"),0)</f>
        <v>0</v>
      </c>
      <c r="AA71" s="221">
        <f t="shared" ca="1" si="37"/>
        <v>0</v>
      </c>
      <c r="AB71" s="220">
        <f ca="1">IFERROR(__xludf.DUMMYFUNCTION("IMPORTRANGE(""https://docs.google.com/spreadsheets/d/1SX6NBoVAgQJ6U1MVXOaj8PK2l7WJ3RER9xtqwdhxkhw/edit?usp=sharing"",""สระแก้ว!J318"")"),0)</f>
        <v>0</v>
      </c>
      <c r="AC71" s="220">
        <f ca="1">IFERROR(__xludf.DUMMYFUNCTION("IMPORTRANGE(""https://docs.google.com/spreadsheets/d/1SX6NBoVAgQJ6U1MVXOaj8PK2l7WJ3RER9xtqwdhxkhw/edit?usp=sharing"",""สระแก้ว!J319"")"),0)</f>
        <v>0</v>
      </c>
      <c r="AD71" s="220">
        <f ca="1">IFERROR(__xludf.DUMMYFUNCTION("IMPORTRANGE(""https://docs.google.com/spreadsheets/d/1SX6NBoVAgQJ6U1MVXOaj8PK2l7WJ3RER9xtqwdhxkhw/edit?usp=sharing"",""สระแก้ว!J320"")"),0)</f>
        <v>0</v>
      </c>
      <c r="AE71" s="301">
        <v>72</v>
      </c>
      <c r="AF71" s="301">
        <v>24</v>
      </c>
      <c r="AG71" s="220">
        <f ca="1">IFERROR(__xludf.DUMMYFUNCTION("IMPORTRANGE(""https://docs.google.com/spreadsheets/d/1SX6NBoVAgQJ6U1MVXOaj8PK2l7WJ3RER9xtqwdhxkhw/edit?usp=sharing"",""สระแก้ว!J322"")"),0)</f>
        <v>0</v>
      </c>
      <c r="AH71" s="221">
        <f t="shared" ca="1" si="38"/>
        <v>0</v>
      </c>
      <c r="AI71" s="220">
        <f ca="1">IFERROR(__xludf.DUMMYFUNCTION("IMPORTRANGE(""https://docs.google.com/spreadsheets/d/1SX6NBoVAgQJ6U1MVXOaj8PK2l7WJ3RER9xtqwdhxkhw/edit?usp=sharing"",""สระแก้ว!J321"")"),0)</f>
        <v>0</v>
      </c>
      <c r="AJ71" s="221">
        <f t="shared" ca="1" si="39"/>
        <v>0</v>
      </c>
      <c r="AK71" s="220">
        <f ca="1">IFERROR(__xludf.DUMMYFUNCTION("IMPORTRANGE(""https://docs.google.com/spreadsheets/d/1SX6NBoVAgQJ6U1MVXOaj8PK2l7WJ3RER9xtqwdhxkhw/edit?usp=sharing"",""สระแก้ว!J323"")"),0)</f>
        <v>0</v>
      </c>
      <c r="AL71" s="220">
        <f ca="1">IFERROR(__xludf.DUMMYFUNCTION("IMPORTRANGE(""https://docs.google.com/spreadsheets/d/1SX6NBoVAgQJ6U1MVXOaj8PK2l7WJ3RER9xtqwdhxkhw/edit?usp=sharing"",""สระแก้ว!J324"")"),0)</f>
        <v>0</v>
      </c>
      <c r="AM71" s="220">
        <f t="shared" si="47"/>
        <v>41</v>
      </c>
      <c r="AN71" s="220">
        <f t="shared" ca="1" si="48"/>
        <v>0</v>
      </c>
      <c r="AO71" s="221">
        <f t="shared" ca="1" si="40"/>
        <v>0</v>
      </c>
      <c r="AP71" s="301">
        <v>15</v>
      </c>
      <c r="AQ71" s="220">
        <f ca="1">IFERROR(__xludf.DUMMYFUNCTION("IMPORTRANGE(""https://docs.google.com/spreadsheets/d/1SX6NBoVAgQJ6U1MVXOaj8PK2l7WJ3RER9xtqwdhxkhw/edit?usp=sharing"",""สระแก้ว!J326"")"),0)</f>
        <v>0</v>
      </c>
      <c r="AR71" s="301">
        <v>26</v>
      </c>
      <c r="AS71" s="313">
        <f ca="1">IFERROR(__xludf.DUMMYFUNCTION("IMPORTRANGE(""https://docs.google.com/spreadsheets/d/1SX6NBoVAgQJ6U1MVXOaj8PK2l7WJ3RER9xtqwdhxkhw/edit?usp=sharing"",""สระแก้ว!J327"")"),0)</f>
        <v>0</v>
      </c>
    </row>
    <row r="72" spans="1:45" ht="24" customHeight="1" x14ac:dyDescent="0.5">
      <c r="A72" s="216">
        <v>18</v>
      </c>
      <c r="B72" s="194" t="s">
        <v>87</v>
      </c>
      <c r="C72" s="312">
        <f t="shared" si="42"/>
        <v>101920</v>
      </c>
      <c r="D72" s="218">
        <v>0</v>
      </c>
      <c r="E72" s="218">
        <v>101920</v>
      </c>
      <c r="F72" s="219">
        <f ca="1">IFERROR(__xludf.DUMMYFUNCTION("IMPORTRANGE(""https://docs.google.com/spreadsheets/d/1SX6NBoVAgQJ6U1MVXOaj8PK2l7WJ3RER9xtqwdhxkhw/edit?usp=sharing"",""สระบุรี!M299"")"),0)</f>
        <v>0</v>
      </c>
      <c r="G72" s="219">
        <f t="shared" ca="1" si="31"/>
        <v>0</v>
      </c>
      <c r="H72" s="220">
        <f t="shared" si="43"/>
        <v>90</v>
      </c>
      <c r="I72" s="220">
        <f t="shared" si="44"/>
        <v>30</v>
      </c>
      <c r="J72" s="220">
        <f t="shared" ca="1" si="45"/>
        <v>0</v>
      </c>
      <c r="K72" s="221">
        <f t="shared" ca="1" si="32"/>
        <v>0</v>
      </c>
      <c r="L72" s="220">
        <f t="shared" ca="1" si="46"/>
        <v>0</v>
      </c>
      <c r="M72" s="221">
        <f t="shared" ca="1" si="33"/>
        <v>0</v>
      </c>
      <c r="N72" s="301">
        <v>0</v>
      </c>
      <c r="O72" s="301">
        <v>0</v>
      </c>
      <c r="P72" s="220">
        <f ca="1">IFERROR(__xludf.DUMMYFUNCTION("IMPORTRANGE(""https://docs.google.com/spreadsheets/d/1SX6NBoVAgQJ6U1MVXOaj8PK2l7WJ3RER9xtqwdhxkhw/edit?usp=sharing"",""สระบุรี!J313"")"),0)</f>
        <v>0</v>
      </c>
      <c r="Q72" s="221">
        <f t="shared" si="34"/>
        <v>0</v>
      </c>
      <c r="R72" s="220">
        <f ca="1">IFERROR(__xludf.DUMMYFUNCTION("IMPORTRANGE(""https://docs.google.com/spreadsheets/d/1SX6NBoVAgQJ6U1MVXOaj8PK2l7WJ3RER9xtqwdhxkhw/edit?usp=sharing"",""สระบุรี!J312"")"),0)</f>
        <v>0</v>
      </c>
      <c r="S72" s="221">
        <f t="shared" si="35"/>
        <v>0</v>
      </c>
      <c r="T72" s="221">
        <f ca="1">IFERROR(__xludf.DUMMYFUNCTION("IMPORTRANGE(""https://docs.google.com/spreadsheets/d/1SX6NBoVAgQJ6U1MVXOaj8PK2l7WJ3RER9xtqwdhxkhw/edit?usp=sharing"",""สระบุรี!J314"")"),0)</f>
        <v>0</v>
      </c>
      <c r="U72" s="221">
        <f ca="1">IFERROR(__xludf.DUMMYFUNCTION("IMPORTRANGE(""https://docs.google.com/spreadsheets/d/1SX6NBoVAgQJ6U1MVXOaj8PK2l7WJ3RER9xtqwdhxkhw/edit?usp=sharing"",""สระบุรี!J315"")"),0)</f>
        <v>0</v>
      </c>
      <c r="V72" s="301">
        <v>60</v>
      </c>
      <c r="W72" s="301">
        <v>20</v>
      </c>
      <c r="X72" s="220">
        <f ca="1">IFERROR(__xludf.DUMMYFUNCTION("IMPORTRANGE(""https://docs.google.com/spreadsheets/d/1SX6NBoVAgQJ6U1MVXOaj8PK2l7WJ3RER9xtqwdhxkhw/edit?usp=sharing"",""สระบุรี!J317"")"),0)</f>
        <v>0</v>
      </c>
      <c r="Y72" s="221">
        <f t="shared" ca="1" si="36"/>
        <v>0</v>
      </c>
      <c r="Z72" s="220">
        <f ca="1">IFERROR(__xludf.DUMMYFUNCTION("IMPORTRANGE(""https://docs.google.com/spreadsheets/d/1SX6NBoVAgQJ6U1MVXOaj8PK2l7WJ3RER9xtqwdhxkhw/edit?usp=sharing"",""สระบุรี!J316"")"),0)</f>
        <v>0</v>
      </c>
      <c r="AA72" s="221">
        <f t="shared" ca="1" si="37"/>
        <v>0</v>
      </c>
      <c r="AB72" s="220">
        <f ca="1">IFERROR(__xludf.DUMMYFUNCTION("IMPORTRANGE(""https://docs.google.com/spreadsheets/d/1SX6NBoVAgQJ6U1MVXOaj8PK2l7WJ3RER9xtqwdhxkhw/edit?usp=sharing"",""สระบุรี!J318"")"),0)</f>
        <v>0</v>
      </c>
      <c r="AC72" s="220">
        <f ca="1">IFERROR(__xludf.DUMMYFUNCTION("IMPORTRANGE(""https://docs.google.com/spreadsheets/d/1SX6NBoVAgQJ6U1MVXOaj8PK2l7WJ3RER9xtqwdhxkhw/edit?usp=sharing"",""สระบุรี!J319"")"),0)</f>
        <v>0</v>
      </c>
      <c r="AD72" s="220">
        <f ca="1">IFERROR(__xludf.DUMMYFUNCTION("IMPORTRANGE(""https://docs.google.com/spreadsheets/d/1SX6NBoVAgQJ6U1MVXOaj8PK2l7WJ3RER9xtqwdhxkhw/edit?usp=sharing"",""สระบุรี!J320"")"),0)</f>
        <v>0</v>
      </c>
      <c r="AE72" s="301">
        <v>30</v>
      </c>
      <c r="AF72" s="301">
        <v>10</v>
      </c>
      <c r="AG72" s="220">
        <f ca="1">IFERROR(__xludf.DUMMYFUNCTION("IMPORTRANGE(""https://docs.google.com/spreadsheets/d/1SX6NBoVAgQJ6U1MVXOaj8PK2l7WJ3RER9xtqwdhxkhw/edit?usp=sharing"",""สระบุรี!J322"")"),0)</f>
        <v>0</v>
      </c>
      <c r="AH72" s="221">
        <f t="shared" ca="1" si="38"/>
        <v>0</v>
      </c>
      <c r="AI72" s="220">
        <f ca="1">IFERROR(__xludf.DUMMYFUNCTION("IMPORTRANGE(""https://docs.google.com/spreadsheets/d/1SX6NBoVAgQJ6U1MVXOaj8PK2l7WJ3RER9xtqwdhxkhw/edit?usp=sharing"",""สระบุรี!J321"")"),0)</f>
        <v>0</v>
      </c>
      <c r="AJ72" s="221">
        <f t="shared" ca="1" si="39"/>
        <v>0</v>
      </c>
      <c r="AK72" s="220">
        <f ca="1">IFERROR(__xludf.DUMMYFUNCTION("IMPORTRANGE(""https://docs.google.com/spreadsheets/d/1SX6NBoVAgQJ6U1MVXOaj8PK2l7WJ3RER9xtqwdhxkhw/edit?usp=sharing"",""สระบุรี!J323"")"),0)</f>
        <v>0</v>
      </c>
      <c r="AL72" s="220">
        <f ca="1">IFERROR(__xludf.DUMMYFUNCTION("IMPORTRANGE(""https://docs.google.com/spreadsheets/d/1SX6NBoVAgQJ6U1MVXOaj8PK2l7WJ3RER9xtqwdhxkhw/edit?usp=sharing"",""สระบุรี!J324"")"),0)</f>
        <v>0</v>
      </c>
      <c r="AM72" s="220">
        <f t="shared" si="47"/>
        <v>20</v>
      </c>
      <c r="AN72" s="220">
        <f t="shared" ca="1" si="48"/>
        <v>0</v>
      </c>
      <c r="AO72" s="221">
        <f t="shared" ca="1" si="40"/>
        <v>0</v>
      </c>
      <c r="AP72" s="301">
        <v>0</v>
      </c>
      <c r="AQ72" s="220">
        <f ca="1">IFERROR(__xludf.DUMMYFUNCTION("IMPORTRANGE(""https://docs.google.com/spreadsheets/d/1SX6NBoVAgQJ6U1MVXOaj8PK2l7WJ3RER9xtqwdhxkhw/edit?usp=sharing"",""สระบุรี!J326"")"),0)</f>
        <v>0</v>
      </c>
      <c r="AR72" s="301">
        <v>20</v>
      </c>
      <c r="AS72" s="313">
        <f ca="1">IFERROR(__xludf.DUMMYFUNCTION("IMPORTRANGE(""https://docs.google.com/spreadsheets/d/1SX6NBoVAgQJ6U1MVXOaj8PK2l7WJ3RER9xtqwdhxkhw/edit?usp=sharing"",""สระบุรี!J327"")"),0)</f>
        <v>0</v>
      </c>
    </row>
    <row r="73" spans="1:45" ht="24" customHeight="1" x14ac:dyDescent="0.5">
      <c r="A73" s="216">
        <v>19</v>
      </c>
      <c r="B73" s="194" t="s">
        <v>88</v>
      </c>
      <c r="C73" s="312">
        <f t="shared" si="42"/>
        <v>98950</v>
      </c>
      <c r="D73" s="218">
        <v>0</v>
      </c>
      <c r="E73" s="218">
        <v>98950</v>
      </c>
      <c r="F73" s="219">
        <f ca="1">IFERROR(__xludf.DUMMYFUNCTION("IMPORTRANGE(""https://docs.google.com/spreadsheets/d/1SX6NBoVAgQJ6U1MVXOaj8PK2l7WJ3RER9xtqwdhxkhw/edit?usp=sharing"",""สิงห์บุรี!M299"")"),0)</f>
        <v>0</v>
      </c>
      <c r="G73" s="219">
        <f t="shared" ref="G73:G104" ca="1" si="49">IF(C73&gt;0,F73*100/C73,0)</f>
        <v>0</v>
      </c>
      <c r="H73" s="220">
        <f t="shared" si="43"/>
        <v>87</v>
      </c>
      <c r="I73" s="220">
        <f t="shared" si="44"/>
        <v>29</v>
      </c>
      <c r="J73" s="220">
        <f t="shared" ca="1" si="45"/>
        <v>0</v>
      </c>
      <c r="K73" s="221">
        <f t="shared" ref="K73:K104" ca="1" si="50">IF(H73&gt;0,J73*100/H73,0)</f>
        <v>0</v>
      </c>
      <c r="L73" s="220">
        <f t="shared" ca="1" si="46"/>
        <v>0</v>
      </c>
      <c r="M73" s="221">
        <f t="shared" ref="M73:M104" ca="1" si="51">IF(I73&gt;0,L73*100/I73,0)</f>
        <v>0</v>
      </c>
      <c r="N73" s="301">
        <v>0</v>
      </c>
      <c r="O73" s="301">
        <v>0</v>
      </c>
      <c r="P73" s="220">
        <f ca="1">IFERROR(__xludf.DUMMYFUNCTION("IMPORTRANGE(""https://docs.google.com/spreadsheets/d/1SX6NBoVAgQJ6U1MVXOaj8PK2l7WJ3RER9xtqwdhxkhw/edit?usp=sharing"",""สิงห์บุรี!J313"")"),0)</f>
        <v>0</v>
      </c>
      <c r="Q73" s="221">
        <f t="shared" ref="Q73:Q104" si="52">IF(N73&gt;0,P73*100/N73,0)</f>
        <v>0</v>
      </c>
      <c r="R73" s="220">
        <f ca="1">IFERROR(__xludf.DUMMYFUNCTION("IMPORTRANGE(""https://docs.google.com/spreadsheets/d/1SX6NBoVAgQJ6U1MVXOaj8PK2l7WJ3RER9xtqwdhxkhw/edit?usp=sharing"",""สิงห์บุรี!J312"")"),0)</f>
        <v>0</v>
      </c>
      <c r="S73" s="221">
        <f t="shared" ref="S73:S104" si="53">IF(O73&gt;0,R73*100/O73,0)</f>
        <v>0</v>
      </c>
      <c r="T73" s="221">
        <f ca="1">IFERROR(__xludf.DUMMYFUNCTION("IMPORTRANGE(""https://docs.google.com/spreadsheets/d/1SX6NBoVAgQJ6U1MVXOaj8PK2l7WJ3RER9xtqwdhxkhw/edit?usp=sharing"",""สิงห์บุรี!J314"")"),0)</f>
        <v>0</v>
      </c>
      <c r="U73" s="221">
        <f ca="1">IFERROR(__xludf.DUMMYFUNCTION("IMPORTRANGE(""https://docs.google.com/spreadsheets/d/1SX6NBoVAgQJ6U1MVXOaj8PK2l7WJ3RER9xtqwdhxkhw/edit?usp=sharing"",""สิงห์บุรี!J315"")"),0)</f>
        <v>0</v>
      </c>
      <c r="V73" s="301">
        <v>57</v>
      </c>
      <c r="W73" s="301">
        <v>19</v>
      </c>
      <c r="X73" s="220">
        <f ca="1">IFERROR(__xludf.DUMMYFUNCTION("IMPORTRANGE(""https://docs.google.com/spreadsheets/d/1SX6NBoVAgQJ6U1MVXOaj8PK2l7WJ3RER9xtqwdhxkhw/edit?usp=sharing"",""สิงห์บุรี!J317"")"),0)</f>
        <v>0</v>
      </c>
      <c r="Y73" s="221">
        <f t="shared" ref="Y73:Y104" ca="1" si="54">IF(V73&gt;0,X73*100/V73,0)</f>
        <v>0</v>
      </c>
      <c r="Z73" s="220">
        <f ca="1">IFERROR(__xludf.DUMMYFUNCTION("IMPORTRANGE(""https://docs.google.com/spreadsheets/d/1SX6NBoVAgQJ6U1MVXOaj8PK2l7WJ3RER9xtqwdhxkhw/edit?usp=sharing"",""สิงห์บุรี!J316"")"),0)</f>
        <v>0</v>
      </c>
      <c r="AA73" s="221">
        <f t="shared" ref="AA73:AA104" ca="1" si="55">IF(W73&gt;0,Z73*100/W73,0)</f>
        <v>0</v>
      </c>
      <c r="AB73" s="220">
        <f ca="1">IFERROR(__xludf.DUMMYFUNCTION("IMPORTRANGE(""https://docs.google.com/spreadsheets/d/1SX6NBoVAgQJ6U1MVXOaj8PK2l7WJ3RER9xtqwdhxkhw/edit?usp=sharing"",""สิงห์บุรี!J318"")"),0)</f>
        <v>0</v>
      </c>
      <c r="AC73" s="220">
        <f ca="1">IFERROR(__xludf.DUMMYFUNCTION("IMPORTRANGE(""https://docs.google.com/spreadsheets/d/1SX6NBoVAgQJ6U1MVXOaj8PK2l7WJ3RER9xtqwdhxkhw/edit?usp=sharing"",""สิงห์บุรี!J319"")"),0)</f>
        <v>0</v>
      </c>
      <c r="AD73" s="220">
        <f ca="1">IFERROR(__xludf.DUMMYFUNCTION("IMPORTRANGE(""https://docs.google.com/spreadsheets/d/1SX6NBoVAgQJ6U1MVXOaj8PK2l7WJ3RER9xtqwdhxkhw/edit?usp=sharing"",""สิงห์บุรี!J320"")"),0)</f>
        <v>0</v>
      </c>
      <c r="AE73" s="301">
        <v>30</v>
      </c>
      <c r="AF73" s="301">
        <v>10</v>
      </c>
      <c r="AG73" s="220">
        <f ca="1">IFERROR(__xludf.DUMMYFUNCTION("IMPORTRANGE(""https://docs.google.com/spreadsheets/d/1SX6NBoVAgQJ6U1MVXOaj8PK2l7WJ3RER9xtqwdhxkhw/edit?usp=sharing"",""สิงห์บุรี!J322"")"),0)</f>
        <v>0</v>
      </c>
      <c r="AH73" s="221">
        <f t="shared" ref="AH73:AH104" ca="1" si="56">IF(AE73&gt;0,AG73*100/AE73,0)</f>
        <v>0</v>
      </c>
      <c r="AI73" s="220">
        <f ca="1">IFERROR(__xludf.DUMMYFUNCTION("IMPORTRANGE(""https://docs.google.com/spreadsheets/d/1SX6NBoVAgQJ6U1MVXOaj8PK2l7WJ3RER9xtqwdhxkhw/edit?usp=sharing"",""สิงห์บุรี!J321"")"),0)</f>
        <v>0</v>
      </c>
      <c r="AJ73" s="221">
        <f t="shared" ref="AJ73:AJ104" ca="1" si="57">IF(AF73&gt;0,AI73*100/AF73,0)</f>
        <v>0</v>
      </c>
      <c r="AK73" s="220">
        <f ca="1">IFERROR(__xludf.DUMMYFUNCTION("IMPORTRANGE(""https://docs.google.com/spreadsheets/d/1SX6NBoVAgQJ6U1MVXOaj8PK2l7WJ3RER9xtqwdhxkhw/edit?usp=sharing"",""สิงห์บุรี!J323"")"),0)</f>
        <v>0</v>
      </c>
      <c r="AL73" s="220">
        <f ca="1">IFERROR(__xludf.DUMMYFUNCTION("IMPORTRANGE(""https://docs.google.com/spreadsheets/d/1SX6NBoVAgQJ6U1MVXOaj8PK2l7WJ3RER9xtqwdhxkhw/edit?usp=sharing"",""สิงห์บุรี!J324"")"),0)</f>
        <v>0</v>
      </c>
      <c r="AM73" s="220">
        <f t="shared" si="47"/>
        <v>19</v>
      </c>
      <c r="AN73" s="220">
        <f t="shared" ca="1" si="48"/>
        <v>0</v>
      </c>
      <c r="AO73" s="221">
        <f t="shared" ref="AO73:AO104" ca="1" si="58">IF(AM73&gt;0,AN73*100/AM73,0)</f>
        <v>0</v>
      </c>
      <c r="AP73" s="301">
        <v>0</v>
      </c>
      <c r="AQ73" s="220">
        <f ca="1">IFERROR(__xludf.DUMMYFUNCTION("IMPORTRANGE(""https://docs.google.com/spreadsheets/d/1SX6NBoVAgQJ6U1MVXOaj8PK2l7WJ3RER9xtqwdhxkhw/edit?usp=sharing"",""สิงห์บุรี!J326"")"),0)</f>
        <v>0</v>
      </c>
      <c r="AR73" s="301">
        <v>19</v>
      </c>
      <c r="AS73" s="313">
        <f ca="1">IFERROR(__xludf.DUMMYFUNCTION("IMPORTRANGE(""https://docs.google.com/spreadsheets/d/1SX6NBoVAgQJ6U1MVXOaj8PK2l7WJ3RER9xtqwdhxkhw/edit?usp=sharing"",""สิงห์บุรี!J327"")"),0)</f>
        <v>0</v>
      </c>
    </row>
    <row r="74" spans="1:45" ht="24" customHeight="1" x14ac:dyDescent="0.5">
      <c r="A74" s="216">
        <v>20</v>
      </c>
      <c r="B74" s="194" t="s">
        <v>89</v>
      </c>
      <c r="C74" s="312">
        <f t="shared" si="42"/>
        <v>186540</v>
      </c>
      <c r="D74" s="218">
        <v>0</v>
      </c>
      <c r="E74" s="218">
        <v>186540</v>
      </c>
      <c r="F74" s="219">
        <f ca="1">IFERROR(__xludf.DUMMYFUNCTION("IMPORTRANGE(""https://docs.google.com/spreadsheets/d/1SX6NBoVAgQJ6U1MVXOaj8PK2l7WJ3RER9xtqwdhxkhw/edit?usp=sharing"",""สุพรรณบุรี!M299"")"),0)</f>
        <v>0</v>
      </c>
      <c r="G74" s="219">
        <f t="shared" ca="1" si="49"/>
        <v>0</v>
      </c>
      <c r="H74" s="220">
        <f t="shared" si="43"/>
        <v>180</v>
      </c>
      <c r="I74" s="220">
        <f t="shared" si="44"/>
        <v>60</v>
      </c>
      <c r="J74" s="220">
        <f t="shared" ca="1" si="45"/>
        <v>0</v>
      </c>
      <c r="K74" s="221">
        <f t="shared" ca="1" si="50"/>
        <v>0</v>
      </c>
      <c r="L74" s="220">
        <f t="shared" ca="1" si="46"/>
        <v>0</v>
      </c>
      <c r="M74" s="221">
        <f t="shared" ca="1" si="51"/>
        <v>0</v>
      </c>
      <c r="N74" s="301">
        <v>0</v>
      </c>
      <c r="O74" s="301">
        <v>0</v>
      </c>
      <c r="P74" s="220">
        <f ca="1">IFERROR(__xludf.DUMMYFUNCTION("IMPORTRANGE(""https://docs.google.com/spreadsheets/d/1SX6NBoVAgQJ6U1MVXOaj8PK2l7WJ3RER9xtqwdhxkhw/edit?usp=sharing"",""สุพรรณบุรี!J313"")"),0)</f>
        <v>0</v>
      </c>
      <c r="Q74" s="221">
        <f t="shared" si="52"/>
        <v>0</v>
      </c>
      <c r="R74" s="220">
        <f ca="1">IFERROR(__xludf.DUMMYFUNCTION("IMPORTRANGE(""https://docs.google.com/spreadsheets/d/1SX6NBoVAgQJ6U1MVXOaj8PK2l7WJ3RER9xtqwdhxkhw/edit?usp=sharing"",""สุพรรณบุรี!J312"")"),0)</f>
        <v>0</v>
      </c>
      <c r="S74" s="221">
        <f t="shared" si="53"/>
        <v>0</v>
      </c>
      <c r="T74" s="221">
        <f ca="1">IFERROR(__xludf.DUMMYFUNCTION("IMPORTRANGE(""https://docs.google.com/spreadsheets/d/1SX6NBoVAgQJ6U1MVXOaj8PK2l7WJ3RER9xtqwdhxkhw/edit?usp=sharing"",""สุพรรณบุรี!J314"")"),0)</f>
        <v>0</v>
      </c>
      <c r="U74" s="221">
        <f ca="1">IFERROR(__xludf.DUMMYFUNCTION("IMPORTRANGE(""https://docs.google.com/spreadsheets/d/1SX6NBoVAgQJ6U1MVXOaj8PK2l7WJ3RER9xtqwdhxkhw/edit?usp=sharing"",""สุพรรณบุรี!J315"")"),0)</f>
        <v>0</v>
      </c>
      <c r="V74" s="301">
        <v>150</v>
      </c>
      <c r="W74" s="301">
        <v>50</v>
      </c>
      <c r="X74" s="220">
        <f ca="1">IFERROR(__xludf.DUMMYFUNCTION("IMPORTRANGE(""https://docs.google.com/spreadsheets/d/1SX6NBoVAgQJ6U1MVXOaj8PK2l7WJ3RER9xtqwdhxkhw/edit?usp=sharing"",""สุพรรณบุรี!J317"")"),0)</f>
        <v>0</v>
      </c>
      <c r="Y74" s="221">
        <f t="shared" ca="1" si="54"/>
        <v>0</v>
      </c>
      <c r="Z74" s="220">
        <f ca="1">IFERROR(__xludf.DUMMYFUNCTION("IMPORTRANGE(""https://docs.google.com/spreadsheets/d/1SX6NBoVAgQJ6U1MVXOaj8PK2l7WJ3RER9xtqwdhxkhw/edit?usp=sharing"",""สุพรรณบุรี!J316"")"),0)</f>
        <v>0</v>
      </c>
      <c r="AA74" s="221">
        <f t="shared" ca="1" si="55"/>
        <v>0</v>
      </c>
      <c r="AB74" s="220">
        <f ca="1">IFERROR(__xludf.DUMMYFUNCTION("IMPORTRANGE(""https://docs.google.com/spreadsheets/d/1SX6NBoVAgQJ6U1MVXOaj8PK2l7WJ3RER9xtqwdhxkhw/edit?usp=sharing"",""สุพรรณบุรี!J318"")"),0)</f>
        <v>0</v>
      </c>
      <c r="AC74" s="220">
        <f ca="1">IFERROR(__xludf.DUMMYFUNCTION("IMPORTRANGE(""https://docs.google.com/spreadsheets/d/1SX6NBoVAgQJ6U1MVXOaj8PK2l7WJ3RER9xtqwdhxkhw/edit?usp=sharing"",""สุพรรณบุรี!J319"")"),0)</f>
        <v>0</v>
      </c>
      <c r="AD74" s="220">
        <f ca="1">IFERROR(__xludf.DUMMYFUNCTION("IMPORTRANGE(""https://docs.google.com/spreadsheets/d/1SX6NBoVAgQJ6U1MVXOaj8PK2l7WJ3RER9xtqwdhxkhw/edit?usp=sharing"",""สุพรรณบุรี!J320"")"),0)</f>
        <v>0</v>
      </c>
      <c r="AE74" s="301">
        <v>30</v>
      </c>
      <c r="AF74" s="301">
        <v>10</v>
      </c>
      <c r="AG74" s="220">
        <f ca="1">IFERROR(__xludf.DUMMYFUNCTION("IMPORTRANGE(""https://docs.google.com/spreadsheets/d/1SX6NBoVAgQJ6U1MVXOaj8PK2l7WJ3RER9xtqwdhxkhw/edit?usp=sharing"",""สุพรรณบุรี!J322"")"),0)</f>
        <v>0</v>
      </c>
      <c r="AH74" s="221">
        <f t="shared" ca="1" si="56"/>
        <v>0</v>
      </c>
      <c r="AI74" s="220">
        <f ca="1">IFERROR(__xludf.DUMMYFUNCTION("IMPORTRANGE(""https://docs.google.com/spreadsheets/d/1SX6NBoVAgQJ6U1MVXOaj8PK2l7WJ3RER9xtqwdhxkhw/edit?usp=sharing"",""สุพรรณบุรี!J321"")"),0)</f>
        <v>0</v>
      </c>
      <c r="AJ74" s="221">
        <f t="shared" ca="1" si="57"/>
        <v>0</v>
      </c>
      <c r="AK74" s="220">
        <f ca="1">IFERROR(__xludf.DUMMYFUNCTION("IMPORTRANGE(""https://docs.google.com/spreadsheets/d/1SX6NBoVAgQJ6U1MVXOaj8PK2l7WJ3RER9xtqwdhxkhw/edit?usp=sharing"",""สุพรรณบุรี!J323"")"),0)</f>
        <v>0</v>
      </c>
      <c r="AL74" s="220">
        <f ca="1">IFERROR(__xludf.DUMMYFUNCTION("IMPORTRANGE(""https://docs.google.com/spreadsheets/d/1SX6NBoVAgQJ6U1MVXOaj8PK2l7WJ3RER9xtqwdhxkhw/edit?usp=sharing"",""สุพรรณบุรี!J324"")"),0)</f>
        <v>0</v>
      </c>
      <c r="AM74" s="220">
        <f t="shared" si="47"/>
        <v>50</v>
      </c>
      <c r="AN74" s="220">
        <f t="shared" ca="1" si="48"/>
        <v>0</v>
      </c>
      <c r="AO74" s="221">
        <f t="shared" ca="1" si="58"/>
        <v>0</v>
      </c>
      <c r="AP74" s="301">
        <v>0</v>
      </c>
      <c r="AQ74" s="220">
        <f ca="1">IFERROR(__xludf.DUMMYFUNCTION("IMPORTRANGE(""https://docs.google.com/spreadsheets/d/1SX6NBoVAgQJ6U1MVXOaj8PK2l7WJ3RER9xtqwdhxkhw/edit?usp=sharing"",""สุพรรณบุรี!J326"")"),0)</f>
        <v>0</v>
      </c>
      <c r="AR74" s="301">
        <v>50</v>
      </c>
      <c r="AS74" s="313">
        <f ca="1">IFERROR(__xludf.DUMMYFUNCTION("IMPORTRANGE(""https://docs.google.com/spreadsheets/d/1SX6NBoVAgQJ6U1MVXOaj8PK2l7WJ3RER9xtqwdhxkhw/edit?usp=sharing"",""สุพรรณบุรี!J327"")"),0)</f>
        <v>0</v>
      </c>
    </row>
    <row r="75" spans="1:45" ht="24" customHeight="1" x14ac:dyDescent="0.5">
      <c r="A75" s="222">
        <v>21</v>
      </c>
      <c r="B75" s="195" t="s">
        <v>90</v>
      </c>
      <c r="C75" s="314">
        <f t="shared" si="42"/>
        <v>31440</v>
      </c>
      <c r="D75" s="223">
        <v>0</v>
      </c>
      <c r="E75" s="223">
        <v>31440</v>
      </c>
      <c r="F75" s="224">
        <f ca="1">IFERROR(__xludf.DUMMYFUNCTION("IMPORTRANGE(""https://docs.google.com/spreadsheets/d/1SX6NBoVAgQJ6U1MVXOaj8PK2l7WJ3RER9xtqwdhxkhw/edit?usp=sharing"",""อ่างทอง!M299"")"),0)</f>
        <v>0</v>
      </c>
      <c r="G75" s="224">
        <f t="shared" ca="1" si="49"/>
        <v>0</v>
      </c>
      <c r="H75" s="225">
        <f t="shared" si="43"/>
        <v>30</v>
      </c>
      <c r="I75" s="225">
        <f t="shared" si="44"/>
        <v>10</v>
      </c>
      <c r="J75" s="225">
        <f t="shared" ca="1" si="45"/>
        <v>0</v>
      </c>
      <c r="K75" s="226">
        <f t="shared" ca="1" si="50"/>
        <v>0</v>
      </c>
      <c r="L75" s="225">
        <f t="shared" ca="1" si="46"/>
        <v>0</v>
      </c>
      <c r="M75" s="226">
        <f t="shared" ca="1" si="51"/>
        <v>0</v>
      </c>
      <c r="N75" s="302">
        <v>0</v>
      </c>
      <c r="O75" s="302">
        <v>0</v>
      </c>
      <c r="P75" s="225">
        <f ca="1">IFERROR(__xludf.DUMMYFUNCTION("IMPORTRANGE(""https://docs.google.com/spreadsheets/d/1SX6NBoVAgQJ6U1MVXOaj8PK2l7WJ3RER9xtqwdhxkhw/edit?usp=sharing"",""อ่างทอง!J313"")"),0)</f>
        <v>0</v>
      </c>
      <c r="Q75" s="226">
        <f t="shared" si="52"/>
        <v>0</v>
      </c>
      <c r="R75" s="225">
        <f ca="1">IFERROR(__xludf.DUMMYFUNCTION("IMPORTRANGE(""https://docs.google.com/spreadsheets/d/1SX6NBoVAgQJ6U1MVXOaj8PK2l7WJ3RER9xtqwdhxkhw/edit?usp=sharing"",""อ่างทอง!J312"")"),0)</f>
        <v>0</v>
      </c>
      <c r="S75" s="226">
        <f t="shared" si="53"/>
        <v>0</v>
      </c>
      <c r="T75" s="226">
        <f ca="1">IFERROR(__xludf.DUMMYFUNCTION("IMPORTRANGE(""https://docs.google.com/spreadsheets/d/1SX6NBoVAgQJ6U1MVXOaj8PK2l7WJ3RER9xtqwdhxkhw/edit?usp=sharing"",""อ่างทอง!J314"")"),0)</f>
        <v>0</v>
      </c>
      <c r="U75" s="226">
        <f ca="1">IFERROR(__xludf.DUMMYFUNCTION("IMPORTRANGE(""https://docs.google.com/spreadsheets/d/1SX6NBoVAgQJ6U1MVXOaj8PK2l7WJ3RER9xtqwdhxkhw/edit?usp=sharing"",""อ่างทอง!J315"")"),0)</f>
        <v>0</v>
      </c>
      <c r="V75" s="302">
        <v>0</v>
      </c>
      <c r="W75" s="302">
        <v>0</v>
      </c>
      <c r="X75" s="225">
        <f ca="1">IFERROR(__xludf.DUMMYFUNCTION("IMPORTRANGE(""https://docs.google.com/spreadsheets/d/1SX6NBoVAgQJ6U1MVXOaj8PK2l7WJ3RER9xtqwdhxkhw/edit?usp=sharing"",""อ่างทอง!J317"")"),0)</f>
        <v>0</v>
      </c>
      <c r="Y75" s="226">
        <f t="shared" si="54"/>
        <v>0</v>
      </c>
      <c r="Z75" s="225">
        <f ca="1">IFERROR(__xludf.DUMMYFUNCTION("IMPORTRANGE(""https://docs.google.com/spreadsheets/d/1SX6NBoVAgQJ6U1MVXOaj8PK2l7WJ3RER9xtqwdhxkhw/edit?usp=sharing"",""อ่างทอง!J316"")"),0)</f>
        <v>0</v>
      </c>
      <c r="AA75" s="226">
        <f t="shared" si="55"/>
        <v>0</v>
      </c>
      <c r="AB75" s="225">
        <f ca="1">IFERROR(__xludf.DUMMYFUNCTION("IMPORTRANGE(""https://docs.google.com/spreadsheets/d/1SX6NBoVAgQJ6U1MVXOaj8PK2l7WJ3RER9xtqwdhxkhw/edit?usp=sharing"",""อ่างทอง!J318"")"),0)</f>
        <v>0</v>
      </c>
      <c r="AC75" s="225">
        <f ca="1">IFERROR(__xludf.DUMMYFUNCTION("IMPORTRANGE(""https://docs.google.com/spreadsheets/d/1SX6NBoVAgQJ6U1MVXOaj8PK2l7WJ3RER9xtqwdhxkhw/edit?usp=sharing"",""อ่างทอง!J319"")"),0)</f>
        <v>0</v>
      </c>
      <c r="AD75" s="225">
        <f ca="1">IFERROR(__xludf.DUMMYFUNCTION("IMPORTRANGE(""https://docs.google.com/spreadsheets/d/1SX6NBoVAgQJ6U1MVXOaj8PK2l7WJ3RER9xtqwdhxkhw/edit?usp=sharing"",""อ่างทอง!J320"")"),0)</f>
        <v>0</v>
      </c>
      <c r="AE75" s="302">
        <v>30</v>
      </c>
      <c r="AF75" s="302">
        <v>10</v>
      </c>
      <c r="AG75" s="225">
        <f ca="1">IFERROR(__xludf.DUMMYFUNCTION("IMPORTRANGE(""https://docs.google.com/spreadsheets/d/1SX6NBoVAgQJ6U1MVXOaj8PK2l7WJ3RER9xtqwdhxkhw/edit?usp=sharing"",""อ่างทอง!J322"")"),0)</f>
        <v>0</v>
      </c>
      <c r="AH75" s="226">
        <f t="shared" ca="1" si="56"/>
        <v>0</v>
      </c>
      <c r="AI75" s="225">
        <f ca="1">IFERROR(__xludf.DUMMYFUNCTION("IMPORTRANGE(""https://docs.google.com/spreadsheets/d/1SX6NBoVAgQJ6U1MVXOaj8PK2l7WJ3RER9xtqwdhxkhw/edit?usp=sharing"",""อ่างทอง!J321"")"),0)</f>
        <v>0</v>
      </c>
      <c r="AJ75" s="226">
        <f t="shared" ca="1" si="57"/>
        <v>0</v>
      </c>
      <c r="AK75" s="225">
        <f ca="1">IFERROR(__xludf.DUMMYFUNCTION("IMPORTRANGE(""https://docs.google.com/spreadsheets/d/1SX6NBoVAgQJ6U1MVXOaj8PK2l7WJ3RER9xtqwdhxkhw/edit?usp=sharing"",""อ่างทอง!J323"")"),0)</f>
        <v>0</v>
      </c>
      <c r="AL75" s="225">
        <f ca="1">IFERROR(__xludf.DUMMYFUNCTION("IMPORTRANGE(""https://docs.google.com/spreadsheets/d/1SX6NBoVAgQJ6U1MVXOaj8PK2l7WJ3RER9xtqwdhxkhw/edit?usp=sharing"",""อ่างทอง!J324"")"),0)</f>
        <v>0</v>
      </c>
      <c r="AM75" s="225">
        <f t="shared" si="47"/>
        <v>0</v>
      </c>
      <c r="AN75" s="225">
        <f t="shared" ca="1" si="48"/>
        <v>0</v>
      </c>
      <c r="AO75" s="226">
        <f t="shared" si="58"/>
        <v>0</v>
      </c>
      <c r="AP75" s="302">
        <v>0</v>
      </c>
      <c r="AQ75" s="225">
        <f ca="1">IFERROR(__xludf.DUMMYFUNCTION("IMPORTRANGE(""https://docs.google.com/spreadsheets/d/1SX6NBoVAgQJ6U1MVXOaj8PK2l7WJ3RER9xtqwdhxkhw/edit?usp=sharing"",""อ่างทอง!J326"")"),0)</f>
        <v>0</v>
      </c>
      <c r="AR75" s="302">
        <v>0</v>
      </c>
      <c r="AS75" s="315">
        <f ca="1">IFERROR(__xludf.DUMMYFUNCTION("IMPORTRANGE(""https://docs.google.com/spreadsheets/d/1SX6NBoVAgQJ6U1MVXOaj8PK2l7WJ3RER9xtqwdhxkhw/edit?usp=sharing"",""อ่างทอง!J327"")"),0)</f>
        <v>0</v>
      </c>
    </row>
    <row r="76" spans="1:45" ht="24" customHeight="1" x14ac:dyDescent="0.5">
      <c r="A76" s="806" t="s">
        <v>91</v>
      </c>
      <c r="B76" s="716"/>
      <c r="C76" s="300">
        <f>SUM(C77:C90)</f>
        <v>1883810</v>
      </c>
      <c r="D76" s="177">
        <f>SUM(D77:D90)</f>
        <v>0</v>
      </c>
      <c r="E76" s="177">
        <f>SUM(E77:E90)</f>
        <v>1883810</v>
      </c>
      <c r="F76" s="176">
        <f ca="1">SUM(F77:F90)</f>
        <v>0</v>
      </c>
      <c r="G76" s="176">
        <f t="shared" ca="1" si="49"/>
        <v>0</v>
      </c>
      <c r="H76" s="177">
        <f>SUM(H77:H90)</f>
        <v>1620</v>
      </c>
      <c r="I76" s="177">
        <f>SUM(I77:I90)</f>
        <v>540</v>
      </c>
      <c r="J76" s="177">
        <f ca="1">SUM(J77:J90)</f>
        <v>0</v>
      </c>
      <c r="K76" s="176">
        <f t="shared" ca="1" si="50"/>
        <v>0</v>
      </c>
      <c r="L76" s="177">
        <f ca="1">SUM(L77:L90)</f>
        <v>15</v>
      </c>
      <c r="M76" s="176">
        <f t="shared" ca="1" si="51"/>
        <v>2.7777777777777777</v>
      </c>
      <c r="N76" s="177">
        <f>SUM(N77:N90)</f>
        <v>405</v>
      </c>
      <c r="O76" s="177">
        <f>SUM(O77:O90)</f>
        <v>135</v>
      </c>
      <c r="P76" s="177">
        <f ca="1">SUM(P77:P90)</f>
        <v>0</v>
      </c>
      <c r="Q76" s="176">
        <f t="shared" ca="1" si="52"/>
        <v>0</v>
      </c>
      <c r="R76" s="177">
        <f ca="1">SUM(R77:R90)</f>
        <v>0</v>
      </c>
      <c r="S76" s="176">
        <f t="shared" ca="1" si="53"/>
        <v>0</v>
      </c>
      <c r="T76" s="176">
        <f ca="1">SUM(T77:T90)</f>
        <v>0</v>
      </c>
      <c r="U76" s="176">
        <f ca="1">SUM(U77:U90)</f>
        <v>0</v>
      </c>
      <c r="V76" s="316">
        <f>SUM(V77:V90)</f>
        <v>705</v>
      </c>
      <c r="W76" s="316">
        <f>SUM(W77:W90)</f>
        <v>235</v>
      </c>
      <c r="X76" s="177">
        <f ca="1">SUM(X77:X90)</f>
        <v>0</v>
      </c>
      <c r="Y76" s="176">
        <f t="shared" ca="1" si="54"/>
        <v>0</v>
      </c>
      <c r="Z76" s="177">
        <f ca="1">SUM(Z77:Z90)</f>
        <v>0</v>
      </c>
      <c r="AA76" s="176">
        <f t="shared" ca="1" si="55"/>
        <v>0</v>
      </c>
      <c r="AB76" s="177">
        <f t="shared" ref="AB76:AG76" ca="1" si="59">SUM(AB77:AB90)</f>
        <v>0</v>
      </c>
      <c r="AC76" s="177">
        <f t="shared" ca="1" si="59"/>
        <v>0</v>
      </c>
      <c r="AD76" s="177">
        <f t="shared" ca="1" si="59"/>
        <v>0</v>
      </c>
      <c r="AE76" s="177">
        <f t="shared" si="59"/>
        <v>510</v>
      </c>
      <c r="AF76" s="177">
        <f t="shared" si="59"/>
        <v>170</v>
      </c>
      <c r="AG76" s="177">
        <f t="shared" ca="1" si="59"/>
        <v>0</v>
      </c>
      <c r="AH76" s="176">
        <f t="shared" ca="1" si="56"/>
        <v>0</v>
      </c>
      <c r="AI76" s="177">
        <f ca="1">SUM(AI77:AI90)</f>
        <v>15</v>
      </c>
      <c r="AJ76" s="176">
        <f t="shared" ca="1" si="57"/>
        <v>8.8235294117647065</v>
      </c>
      <c r="AK76" s="177">
        <f ca="1">SUM(AK77:AK90)</f>
        <v>15</v>
      </c>
      <c r="AL76" s="177">
        <f ca="1">SUM(AL77:AL90)</f>
        <v>15</v>
      </c>
      <c r="AM76" s="177">
        <f>SUM(AM77:AM90)</f>
        <v>370</v>
      </c>
      <c r="AN76" s="177">
        <f ca="1">SUM(AN77:AN90)</f>
        <v>0</v>
      </c>
      <c r="AO76" s="176">
        <f t="shared" ca="1" si="58"/>
        <v>0</v>
      </c>
      <c r="AP76" s="177">
        <f>SUM(AP77:AP90)</f>
        <v>135</v>
      </c>
      <c r="AQ76" s="177">
        <f ca="1">SUM(AQ77:AQ90)</f>
        <v>0</v>
      </c>
      <c r="AR76" s="177">
        <f>SUM(AR77:AR90)</f>
        <v>235</v>
      </c>
      <c r="AS76" s="177">
        <f ca="1">SUM(AS77:AS90)</f>
        <v>0</v>
      </c>
    </row>
    <row r="77" spans="1:45" ht="24" customHeight="1" x14ac:dyDescent="0.5">
      <c r="A77" s="212">
        <v>1</v>
      </c>
      <c r="B77" s="191" t="s">
        <v>92</v>
      </c>
      <c r="C77" s="309">
        <f t="shared" ref="C77:C90" si="60">+D77+E77</f>
        <v>131710</v>
      </c>
      <c r="D77" s="193">
        <v>0</v>
      </c>
      <c r="E77" s="193">
        <v>131710</v>
      </c>
      <c r="F77" s="192">
        <f ca="1">IFERROR(__xludf.DUMMYFUNCTION("IMPORTRANGE(""https://docs.google.com/spreadsheets/d/1IYY_tgx_IHuhSq3AJ5eI5OnqOPBNLWSHKh2a30DoXe8/edit?usp=sharing"",""กระบี่!M299"")"),0)</f>
        <v>0</v>
      </c>
      <c r="G77" s="192">
        <f t="shared" ca="1" si="49"/>
        <v>0</v>
      </c>
      <c r="H77" s="214">
        <f t="shared" ref="H77:H90" si="61">+N77+V77+AE77</f>
        <v>105</v>
      </c>
      <c r="I77" s="214">
        <f t="shared" ref="I77:I90" si="62">+O77+W77+AF77</f>
        <v>35</v>
      </c>
      <c r="J77" s="214">
        <f t="shared" ref="J77:J90" ca="1" si="63">P77+X77+AG77</f>
        <v>0</v>
      </c>
      <c r="K77" s="215">
        <f t="shared" ca="1" si="50"/>
        <v>0</v>
      </c>
      <c r="L77" s="214">
        <f t="shared" ref="L77:L90" ca="1" si="64">R77+Z77+AI77</f>
        <v>0</v>
      </c>
      <c r="M77" s="215">
        <f t="shared" ca="1" si="51"/>
        <v>0</v>
      </c>
      <c r="N77" s="310">
        <v>30</v>
      </c>
      <c r="O77" s="310">
        <v>10</v>
      </c>
      <c r="P77" s="214">
        <f ca="1">IFERROR(__xludf.DUMMYFUNCTION("IMPORTRANGE(""https://docs.google.com/spreadsheets/d/1IYY_tgx_IHuhSq3AJ5eI5OnqOPBNLWSHKh2a30DoXe8/edit?usp=sharing"",""กระบี่!J313"")"),0)</f>
        <v>0</v>
      </c>
      <c r="Q77" s="215">
        <f t="shared" ca="1" si="52"/>
        <v>0</v>
      </c>
      <c r="R77" s="214">
        <f ca="1">IFERROR(__xludf.DUMMYFUNCTION("IMPORTRANGE(""https://docs.google.com/spreadsheets/d/1IYY_tgx_IHuhSq3AJ5eI5OnqOPBNLWSHKh2a30DoXe8/edit?usp=sharing"",""กระบี่!J312"")"),0)</f>
        <v>0</v>
      </c>
      <c r="S77" s="215">
        <f t="shared" ca="1" si="53"/>
        <v>0</v>
      </c>
      <c r="T77" s="215">
        <f ca="1">IFERROR(__xludf.DUMMYFUNCTION("IMPORTRANGE(""https://docs.google.com/spreadsheets/d/1IYY_tgx_IHuhSq3AJ5eI5OnqOPBNLWSHKh2a30DoXe8/edit?usp=sharing"",""กระบี่!J314"")"),0)</f>
        <v>0</v>
      </c>
      <c r="U77" s="215">
        <f ca="1">IFERROR(__xludf.DUMMYFUNCTION("IMPORTRANGE(""https://docs.google.com/spreadsheets/d/1IYY_tgx_IHuhSq3AJ5eI5OnqOPBNLWSHKh2a30DoXe8/edit?usp=sharing"",""กระบี่!J315"")"),0)</f>
        <v>0</v>
      </c>
      <c r="V77" s="310">
        <v>45</v>
      </c>
      <c r="W77" s="310">
        <v>15</v>
      </c>
      <c r="X77" s="214">
        <f ca="1">IFERROR(__xludf.DUMMYFUNCTION("IMPORTRANGE(""https://docs.google.com/spreadsheets/d/1IYY_tgx_IHuhSq3AJ5eI5OnqOPBNLWSHKh2a30DoXe8/edit?usp=sharing"",""กระบี่!J317"")"),0)</f>
        <v>0</v>
      </c>
      <c r="Y77" s="215">
        <f t="shared" ca="1" si="54"/>
        <v>0</v>
      </c>
      <c r="Z77" s="214">
        <f ca="1">IFERROR(__xludf.DUMMYFUNCTION("IMPORTRANGE(""https://docs.google.com/spreadsheets/d/1IYY_tgx_IHuhSq3AJ5eI5OnqOPBNLWSHKh2a30DoXe8/edit?usp=sharing"",""กระบี่!J316"")"),0)</f>
        <v>0</v>
      </c>
      <c r="AA77" s="215">
        <f t="shared" ca="1" si="55"/>
        <v>0</v>
      </c>
      <c r="AB77" s="214">
        <f ca="1">IFERROR(__xludf.DUMMYFUNCTION("IMPORTRANGE(""https://docs.google.com/spreadsheets/d/1IYY_tgx_IHuhSq3AJ5eI5OnqOPBNLWSHKh2a30DoXe8/edit?usp=sharing"",""กระบี่!J318"")"),0)</f>
        <v>0</v>
      </c>
      <c r="AC77" s="214">
        <f ca="1">IFERROR(__xludf.DUMMYFUNCTION("IMPORTRANGE(""https://docs.google.com/spreadsheets/d/1IYY_tgx_IHuhSq3AJ5eI5OnqOPBNLWSHKh2a30DoXe8/edit?usp=sharing"",""กระบี่!J319"")"),0)</f>
        <v>0</v>
      </c>
      <c r="AD77" s="214">
        <f ca="1">IFERROR(__xludf.DUMMYFUNCTION("IMPORTRANGE(""https://docs.google.com/spreadsheets/d/1IYY_tgx_IHuhSq3AJ5eI5OnqOPBNLWSHKh2a30DoXe8/edit?usp=sharing"",""กระบี่!J320"")"),0)</f>
        <v>0</v>
      </c>
      <c r="AE77" s="310">
        <v>30</v>
      </c>
      <c r="AF77" s="310">
        <v>10</v>
      </c>
      <c r="AG77" s="214">
        <f ca="1">IFERROR(__xludf.DUMMYFUNCTION("IMPORTRANGE(""https://docs.google.com/spreadsheets/d/1IYY_tgx_IHuhSq3AJ5eI5OnqOPBNLWSHKh2a30DoXe8/edit?usp=sharing"",""กระบี่!J322"")"),0)</f>
        <v>0</v>
      </c>
      <c r="AH77" s="215">
        <f t="shared" ca="1" si="56"/>
        <v>0</v>
      </c>
      <c r="AI77" s="214">
        <f ca="1">IFERROR(__xludf.DUMMYFUNCTION("IMPORTRANGE(""https://docs.google.com/spreadsheets/d/1IYY_tgx_IHuhSq3AJ5eI5OnqOPBNLWSHKh2a30DoXe8/edit?usp=sharing"",""กระบี่!J321"")"),0)</f>
        <v>0</v>
      </c>
      <c r="AJ77" s="215">
        <f t="shared" ca="1" si="57"/>
        <v>0</v>
      </c>
      <c r="AK77" s="214">
        <f ca="1">IFERROR(__xludf.DUMMYFUNCTION("IMPORTRANGE(""https://docs.google.com/spreadsheets/d/1IYY_tgx_IHuhSq3AJ5eI5OnqOPBNLWSHKh2a30DoXe8/edit?usp=sharing"",""กระบี่!J323"")"),0)</f>
        <v>0</v>
      </c>
      <c r="AL77" s="214">
        <f ca="1">IFERROR(__xludf.DUMMYFUNCTION("IMPORTRANGE(""https://docs.google.com/spreadsheets/d/1IYY_tgx_IHuhSq3AJ5eI5OnqOPBNLWSHKh2a30DoXe8/edit?usp=sharing"",""กระบี่!J324"")"),0)</f>
        <v>0</v>
      </c>
      <c r="AM77" s="214">
        <f t="shared" ref="AM77:AM90" si="65">+AP77+AR77</f>
        <v>25</v>
      </c>
      <c r="AN77" s="214">
        <f t="shared" ref="AN77:AN90" ca="1" si="66">SUM(AQ77,AS77)</f>
        <v>0</v>
      </c>
      <c r="AO77" s="215">
        <f t="shared" ca="1" si="58"/>
        <v>0</v>
      </c>
      <c r="AP77" s="310">
        <v>10</v>
      </c>
      <c r="AQ77" s="214">
        <f ca="1">IFERROR(__xludf.DUMMYFUNCTION("IMPORTRANGE(""https://docs.google.com/spreadsheets/d/1IYY_tgx_IHuhSq3AJ5eI5OnqOPBNLWSHKh2a30DoXe8/edit?usp=sharing"",""กระบี่!J326"")"),0)</f>
        <v>0</v>
      </c>
      <c r="AR77" s="310">
        <v>15</v>
      </c>
      <c r="AS77" s="311">
        <f ca="1">IFERROR(__xludf.DUMMYFUNCTION("IMPORTRANGE(""https://docs.google.com/spreadsheets/d/1IYY_tgx_IHuhSq3AJ5eI5OnqOPBNLWSHKh2a30DoXe8/edit?usp=sharing"",""กระบี่!J327"")"),0)</f>
        <v>0</v>
      </c>
    </row>
    <row r="78" spans="1:45" ht="24" customHeight="1" x14ac:dyDescent="0.5">
      <c r="A78" s="216">
        <v>2</v>
      </c>
      <c r="B78" s="194" t="s">
        <v>93</v>
      </c>
      <c r="C78" s="312">
        <f t="shared" si="60"/>
        <v>159950</v>
      </c>
      <c r="D78" s="218">
        <v>0</v>
      </c>
      <c r="E78" s="218">
        <v>159950</v>
      </c>
      <c r="F78" s="219">
        <f ca="1">IFERROR(__xludf.DUMMYFUNCTION("IMPORTRANGE(""https://docs.google.com/spreadsheets/d/1IYY_tgx_IHuhSq3AJ5eI5OnqOPBNLWSHKh2a30DoXe8/edit?usp=sharing"",""ชุมพร!M299"")"),0)</f>
        <v>0</v>
      </c>
      <c r="G78" s="219">
        <f t="shared" ca="1" si="49"/>
        <v>0</v>
      </c>
      <c r="H78" s="220">
        <f t="shared" si="61"/>
        <v>135</v>
      </c>
      <c r="I78" s="220">
        <f t="shared" si="62"/>
        <v>45</v>
      </c>
      <c r="J78" s="220">
        <f t="shared" ca="1" si="63"/>
        <v>0</v>
      </c>
      <c r="K78" s="221">
        <f t="shared" ca="1" si="50"/>
        <v>0</v>
      </c>
      <c r="L78" s="220">
        <f t="shared" ca="1" si="64"/>
        <v>0</v>
      </c>
      <c r="M78" s="221">
        <f t="shared" ca="1" si="51"/>
        <v>0</v>
      </c>
      <c r="N78" s="301">
        <v>30</v>
      </c>
      <c r="O78" s="301">
        <v>10</v>
      </c>
      <c r="P78" s="220">
        <f ca="1">IFERROR(__xludf.DUMMYFUNCTION("IMPORTRANGE(""https://docs.google.com/spreadsheets/d/1IYY_tgx_IHuhSq3AJ5eI5OnqOPBNLWSHKh2a30DoXe8/edit?usp=sharing"",""ชุมพร!J313"")"),0)</f>
        <v>0</v>
      </c>
      <c r="Q78" s="221">
        <f t="shared" ca="1" si="52"/>
        <v>0</v>
      </c>
      <c r="R78" s="220">
        <f ca="1">IFERROR(__xludf.DUMMYFUNCTION("IMPORTRANGE(""https://docs.google.com/spreadsheets/d/1IYY_tgx_IHuhSq3AJ5eI5OnqOPBNLWSHKh2a30DoXe8/edit?usp=sharing"",""ชุมพร!J312"")"),0)</f>
        <v>0</v>
      </c>
      <c r="S78" s="221">
        <f t="shared" ca="1" si="53"/>
        <v>0</v>
      </c>
      <c r="T78" s="221">
        <f ca="1">IFERROR(__xludf.DUMMYFUNCTION("IMPORTRANGE(""https://docs.google.com/spreadsheets/d/1IYY_tgx_IHuhSq3AJ5eI5OnqOPBNLWSHKh2a30DoXe8/edit?usp=sharing"",""ชุมพร!J314"")"),0)</f>
        <v>0</v>
      </c>
      <c r="U78" s="221">
        <f ca="1">IFERROR(__xludf.DUMMYFUNCTION("IMPORTRANGE(""https://docs.google.com/spreadsheets/d/1IYY_tgx_IHuhSq3AJ5eI5OnqOPBNLWSHKh2a30DoXe8/edit?usp=sharing"",""ชุมพร!J315"")"),0)</f>
        <v>0</v>
      </c>
      <c r="V78" s="301">
        <v>75</v>
      </c>
      <c r="W78" s="301">
        <v>25</v>
      </c>
      <c r="X78" s="220">
        <f ca="1">IFERROR(__xludf.DUMMYFUNCTION("IMPORTRANGE(""https://docs.google.com/spreadsheets/d/1IYY_tgx_IHuhSq3AJ5eI5OnqOPBNLWSHKh2a30DoXe8/edit?usp=sharing"",""ชุมพร!J317"")"),0)</f>
        <v>0</v>
      </c>
      <c r="Y78" s="221">
        <f t="shared" ca="1" si="54"/>
        <v>0</v>
      </c>
      <c r="Z78" s="220">
        <f ca="1">IFERROR(__xludf.DUMMYFUNCTION("IMPORTRANGE(""https://docs.google.com/spreadsheets/d/1IYY_tgx_IHuhSq3AJ5eI5OnqOPBNLWSHKh2a30DoXe8/edit?usp=sharing"",""ชุมพร!J316"")"),0)</f>
        <v>0</v>
      </c>
      <c r="AA78" s="221">
        <f t="shared" ca="1" si="55"/>
        <v>0</v>
      </c>
      <c r="AB78" s="220">
        <f ca="1">IFERROR(__xludf.DUMMYFUNCTION("IMPORTRANGE(""https://docs.google.com/spreadsheets/d/1IYY_tgx_IHuhSq3AJ5eI5OnqOPBNLWSHKh2a30DoXe8/edit?usp=sharing"",""ชุมพร!J318"")"),0)</f>
        <v>0</v>
      </c>
      <c r="AC78" s="220">
        <f ca="1">IFERROR(__xludf.DUMMYFUNCTION("IMPORTRANGE(""https://docs.google.com/spreadsheets/d/1IYY_tgx_IHuhSq3AJ5eI5OnqOPBNLWSHKh2a30DoXe8/edit?usp=sharing"",""ชุมพร!J319"")"),0)</f>
        <v>0</v>
      </c>
      <c r="AD78" s="220">
        <f ca="1">IFERROR(__xludf.DUMMYFUNCTION("IMPORTRANGE(""https://docs.google.com/spreadsheets/d/1IYY_tgx_IHuhSq3AJ5eI5OnqOPBNLWSHKh2a30DoXe8/edit?usp=sharing"",""ชุมพร!J320"")"),0)</f>
        <v>0</v>
      </c>
      <c r="AE78" s="301">
        <v>30</v>
      </c>
      <c r="AF78" s="301">
        <v>10</v>
      </c>
      <c r="AG78" s="220">
        <f ca="1">IFERROR(__xludf.DUMMYFUNCTION("IMPORTRANGE(""https://docs.google.com/spreadsheets/d/1IYY_tgx_IHuhSq3AJ5eI5OnqOPBNLWSHKh2a30DoXe8/edit?usp=sharing"",""ชุมพร!J322"")"),0)</f>
        <v>0</v>
      </c>
      <c r="AH78" s="221">
        <f t="shared" ca="1" si="56"/>
        <v>0</v>
      </c>
      <c r="AI78" s="220">
        <f ca="1">IFERROR(__xludf.DUMMYFUNCTION("IMPORTRANGE(""https://docs.google.com/spreadsheets/d/1IYY_tgx_IHuhSq3AJ5eI5OnqOPBNLWSHKh2a30DoXe8/edit?usp=sharing"",""ชุมพร!J321"")"),0)</f>
        <v>0</v>
      </c>
      <c r="AJ78" s="221">
        <f t="shared" ca="1" si="57"/>
        <v>0</v>
      </c>
      <c r="AK78" s="220">
        <f ca="1">IFERROR(__xludf.DUMMYFUNCTION("IMPORTRANGE(""https://docs.google.com/spreadsheets/d/1IYY_tgx_IHuhSq3AJ5eI5OnqOPBNLWSHKh2a30DoXe8/edit?usp=sharing"",""ชุมพร!J323"")"),0)</f>
        <v>0</v>
      </c>
      <c r="AL78" s="220">
        <f ca="1">IFERROR(__xludf.DUMMYFUNCTION("IMPORTRANGE(""https://docs.google.com/spreadsheets/d/1IYY_tgx_IHuhSq3AJ5eI5OnqOPBNLWSHKh2a30DoXe8/edit?usp=sharing"",""ชุมพร!J324"")"),0)</f>
        <v>0</v>
      </c>
      <c r="AM78" s="220">
        <f t="shared" si="65"/>
        <v>35</v>
      </c>
      <c r="AN78" s="220">
        <f t="shared" ca="1" si="66"/>
        <v>0</v>
      </c>
      <c r="AO78" s="221">
        <f t="shared" ca="1" si="58"/>
        <v>0</v>
      </c>
      <c r="AP78" s="301">
        <v>10</v>
      </c>
      <c r="AQ78" s="220">
        <f ca="1">IFERROR(__xludf.DUMMYFUNCTION("IMPORTRANGE(""https://docs.google.com/spreadsheets/d/1IYY_tgx_IHuhSq3AJ5eI5OnqOPBNLWSHKh2a30DoXe8/edit?usp=sharing"",""ชุมพร!J326"")"),0)</f>
        <v>0</v>
      </c>
      <c r="AR78" s="301">
        <v>25</v>
      </c>
      <c r="AS78" s="313">
        <f ca="1">IFERROR(__xludf.DUMMYFUNCTION("IMPORTRANGE(""https://docs.google.com/spreadsheets/d/1IYY_tgx_IHuhSq3AJ5eI5OnqOPBNLWSHKh2a30DoXe8/edit?usp=sharing"",""ชุมพร!J327"")"),0)</f>
        <v>0</v>
      </c>
    </row>
    <row r="79" spans="1:45" ht="24" customHeight="1" x14ac:dyDescent="0.5">
      <c r="A79" s="216">
        <v>3</v>
      </c>
      <c r="B79" s="194" t="s">
        <v>94</v>
      </c>
      <c r="C79" s="312">
        <f t="shared" si="60"/>
        <v>131810</v>
      </c>
      <c r="D79" s="218">
        <v>0</v>
      </c>
      <c r="E79" s="218">
        <v>131810</v>
      </c>
      <c r="F79" s="219">
        <f ca="1">IFERROR(__xludf.DUMMYFUNCTION("IMPORTRANGE(""https://docs.google.com/spreadsheets/d/1IYY_tgx_IHuhSq3AJ5eI5OnqOPBNLWSHKh2a30DoXe8/edit?usp=sharing"",""ตรัง!M299"")"),0)</f>
        <v>0</v>
      </c>
      <c r="G79" s="219">
        <f t="shared" ca="1" si="49"/>
        <v>0</v>
      </c>
      <c r="H79" s="220">
        <f t="shared" si="61"/>
        <v>105</v>
      </c>
      <c r="I79" s="220">
        <f t="shared" si="62"/>
        <v>35</v>
      </c>
      <c r="J79" s="220">
        <f t="shared" ca="1" si="63"/>
        <v>0</v>
      </c>
      <c r="K79" s="221">
        <f t="shared" ca="1" si="50"/>
        <v>0</v>
      </c>
      <c r="L79" s="220">
        <f t="shared" ca="1" si="64"/>
        <v>0</v>
      </c>
      <c r="M79" s="221">
        <f t="shared" ca="1" si="51"/>
        <v>0</v>
      </c>
      <c r="N79" s="301">
        <v>30</v>
      </c>
      <c r="O79" s="301">
        <v>10</v>
      </c>
      <c r="P79" s="220">
        <f ca="1">IFERROR(__xludf.DUMMYFUNCTION("IMPORTRANGE(""https://docs.google.com/spreadsheets/d/1IYY_tgx_IHuhSq3AJ5eI5OnqOPBNLWSHKh2a30DoXe8/edit?usp=sharing"",""ตรัง!J313"")"),0)</f>
        <v>0</v>
      </c>
      <c r="Q79" s="221">
        <f t="shared" ca="1" si="52"/>
        <v>0</v>
      </c>
      <c r="R79" s="220">
        <f ca="1">IFERROR(__xludf.DUMMYFUNCTION("IMPORTRANGE(""https://docs.google.com/spreadsheets/d/1IYY_tgx_IHuhSq3AJ5eI5OnqOPBNLWSHKh2a30DoXe8/edit?usp=sharing"",""ตรัง!J312"")"),0)</f>
        <v>0</v>
      </c>
      <c r="S79" s="221">
        <f t="shared" ca="1" si="53"/>
        <v>0</v>
      </c>
      <c r="T79" s="221">
        <f ca="1">IFERROR(__xludf.DUMMYFUNCTION("IMPORTRANGE(""https://docs.google.com/spreadsheets/d/1IYY_tgx_IHuhSq3AJ5eI5OnqOPBNLWSHKh2a30DoXe8/edit?usp=sharing"",""ตรัง!J314"")"),0)</f>
        <v>0</v>
      </c>
      <c r="U79" s="221">
        <f ca="1">IFERROR(__xludf.DUMMYFUNCTION("IMPORTRANGE(""https://docs.google.com/spreadsheets/d/1IYY_tgx_IHuhSq3AJ5eI5OnqOPBNLWSHKh2a30DoXe8/edit?usp=sharing"",""ตรัง!J315"")"),0)</f>
        <v>0</v>
      </c>
      <c r="V79" s="301">
        <v>45</v>
      </c>
      <c r="W79" s="301">
        <v>15</v>
      </c>
      <c r="X79" s="220">
        <f ca="1">IFERROR(__xludf.DUMMYFUNCTION("IMPORTRANGE(""https://docs.google.com/spreadsheets/d/1IYY_tgx_IHuhSq3AJ5eI5OnqOPBNLWSHKh2a30DoXe8/edit?usp=sharing"",""ตรัง!J317"")"),0)</f>
        <v>0</v>
      </c>
      <c r="Y79" s="221">
        <f t="shared" ca="1" si="54"/>
        <v>0</v>
      </c>
      <c r="Z79" s="220">
        <f ca="1">IFERROR(__xludf.DUMMYFUNCTION("IMPORTRANGE(""https://docs.google.com/spreadsheets/d/1IYY_tgx_IHuhSq3AJ5eI5OnqOPBNLWSHKh2a30DoXe8/edit?usp=sharing"",""ตรัง!J316"")"),0)</f>
        <v>0</v>
      </c>
      <c r="AA79" s="221">
        <f t="shared" ca="1" si="55"/>
        <v>0</v>
      </c>
      <c r="AB79" s="220">
        <f ca="1">IFERROR(__xludf.DUMMYFUNCTION("IMPORTRANGE(""https://docs.google.com/spreadsheets/d/1IYY_tgx_IHuhSq3AJ5eI5OnqOPBNLWSHKh2a30DoXe8/edit?usp=sharing"",""ตรัง!J318"")"),0)</f>
        <v>0</v>
      </c>
      <c r="AC79" s="220">
        <f ca="1">IFERROR(__xludf.DUMMYFUNCTION("IMPORTRANGE(""https://docs.google.com/spreadsheets/d/1IYY_tgx_IHuhSq3AJ5eI5OnqOPBNLWSHKh2a30DoXe8/edit?usp=sharing"",""ตรัง!J319"")"),0)</f>
        <v>0</v>
      </c>
      <c r="AD79" s="220">
        <f ca="1">IFERROR(__xludf.DUMMYFUNCTION("IMPORTRANGE(""https://docs.google.com/spreadsheets/d/1IYY_tgx_IHuhSq3AJ5eI5OnqOPBNLWSHKh2a30DoXe8/edit?usp=sharing"",""ตรัง!J320"")"),0)</f>
        <v>0</v>
      </c>
      <c r="AE79" s="301">
        <v>30</v>
      </c>
      <c r="AF79" s="301">
        <v>10</v>
      </c>
      <c r="AG79" s="220">
        <f ca="1">IFERROR(__xludf.DUMMYFUNCTION("IMPORTRANGE(""https://docs.google.com/spreadsheets/d/1IYY_tgx_IHuhSq3AJ5eI5OnqOPBNLWSHKh2a30DoXe8/edit?usp=sharing"",""ตรัง!J322"")"),0)</f>
        <v>0</v>
      </c>
      <c r="AH79" s="221">
        <f t="shared" ca="1" si="56"/>
        <v>0</v>
      </c>
      <c r="AI79" s="220">
        <f ca="1">IFERROR(__xludf.DUMMYFUNCTION("IMPORTRANGE(""https://docs.google.com/spreadsheets/d/1IYY_tgx_IHuhSq3AJ5eI5OnqOPBNLWSHKh2a30DoXe8/edit?usp=sharing"",""ตรัง!J321"")"),0)</f>
        <v>0</v>
      </c>
      <c r="AJ79" s="221">
        <f t="shared" ca="1" si="57"/>
        <v>0</v>
      </c>
      <c r="AK79" s="220">
        <f ca="1">IFERROR(__xludf.DUMMYFUNCTION("IMPORTRANGE(""https://docs.google.com/spreadsheets/d/1IYY_tgx_IHuhSq3AJ5eI5OnqOPBNLWSHKh2a30DoXe8/edit?usp=sharing"",""ตรัง!J323"")"),0)</f>
        <v>0</v>
      </c>
      <c r="AL79" s="220">
        <f ca="1">IFERROR(__xludf.DUMMYFUNCTION("IMPORTRANGE(""https://docs.google.com/spreadsheets/d/1IYY_tgx_IHuhSq3AJ5eI5OnqOPBNLWSHKh2a30DoXe8/edit?usp=sharing"",""ตรัง!J324"")"),0)</f>
        <v>0</v>
      </c>
      <c r="AM79" s="220">
        <f t="shared" si="65"/>
        <v>25</v>
      </c>
      <c r="AN79" s="220">
        <f t="shared" ca="1" si="66"/>
        <v>0</v>
      </c>
      <c r="AO79" s="221">
        <f t="shared" ca="1" si="58"/>
        <v>0</v>
      </c>
      <c r="AP79" s="301">
        <v>10</v>
      </c>
      <c r="AQ79" s="220">
        <f ca="1">IFERROR(__xludf.DUMMYFUNCTION("IMPORTRANGE(""https://docs.google.com/spreadsheets/d/1IYY_tgx_IHuhSq3AJ5eI5OnqOPBNLWSHKh2a30DoXe8/edit?usp=sharing"",""ตรัง!J326"")"),0)</f>
        <v>0</v>
      </c>
      <c r="AR79" s="301">
        <v>15</v>
      </c>
      <c r="AS79" s="313">
        <f ca="1">IFERROR(__xludf.DUMMYFUNCTION("IMPORTRANGE(""https://docs.google.com/spreadsheets/d/1IYY_tgx_IHuhSq3AJ5eI5OnqOPBNLWSHKh2a30DoXe8/edit?usp=sharing"",""ตรัง!J327"")"),0)</f>
        <v>0</v>
      </c>
    </row>
    <row r="80" spans="1:45" ht="24" customHeight="1" x14ac:dyDescent="0.5">
      <c r="A80" s="216">
        <v>4</v>
      </c>
      <c r="B80" s="194" t="s">
        <v>95</v>
      </c>
      <c r="C80" s="312">
        <f t="shared" si="60"/>
        <v>114760</v>
      </c>
      <c r="D80" s="218">
        <v>0</v>
      </c>
      <c r="E80" s="218">
        <v>114760</v>
      </c>
      <c r="F80" s="219">
        <f ca="1">IFERROR(__xludf.DUMMYFUNCTION("IMPORTRANGE(""https://docs.google.com/spreadsheets/d/1IYY_tgx_IHuhSq3AJ5eI5OnqOPBNLWSHKh2a30DoXe8/edit?usp=sharing"",""นครศรีธรรมราช!M299"")"),0)</f>
        <v>0</v>
      </c>
      <c r="G80" s="219">
        <f t="shared" ca="1" si="49"/>
        <v>0</v>
      </c>
      <c r="H80" s="220">
        <f t="shared" si="61"/>
        <v>120</v>
      </c>
      <c r="I80" s="220">
        <f t="shared" si="62"/>
        <v>40</v>
      </c>
      <c r="J80" s="220">
        <f t="shared" ca="1" si="63"/>
        <v>0</v>
      </c>
      <c r="K80" s="221">
        <f t="shared" ca="1" si="50"/>
        <v>0</v>
      </c>
      <c r="L80" s="220">
        <f t="shared" ca="1" si="64"/>
        <v>0</v>
      </c>
      <c r="M80" s="221">
        <f t="shared" ca="1" si="51"/>
        <v>0</v>
      </c>
      <c r="N80" s="301">
        <v>0</v>
      </c>
      <c r="O80" s="301">
        <v>0</v>
      </c>
      <c r="P80" s="220">
        <f ca="1">IFERROR(__xludf.DUMMYFUNCTION("IMPORTRANGE(""https://docs.google.com/spreadsheets/d/1IYY_tgx_IHuhSq3AJ5eI5OnqOPBNLWSHKh2a30DoXe8/edit?usp=sharing"",""นครศรีธรรมราช!J313"")"),0)</f>
        <v>0</v>
      </c>
      <c r="Q80" s="221">
        <f t="shared" si="52"/>
        <v>0</v>
      </c>
      <c r="R80" s="220">
        <f ca="1">IFERROR(__xludf.DUMMYFUNCTION("IMPORTRANGE(""https://docs.google.com/spreadsheets/d/1IYY_tgx_IHuhSq3AJ5eI5OnqOPBNLWSHKh2a30DoXe8/edit?usp=sharing"",""นครศรีธรรมราช!J312"")"),0)</f>
        <v>0</v>
      </c>
      <c r="S80" s="221">
        <f t="shared" si="53"/>
        <v>0</v>
      </c>
      <c r="T80" s="221">
        <f ca="1">IFERROR(__xludf.DUMMYFUNCTION("IMPORTRANGE(""https://docs.google.com/spreadsheets/d/1IYY_tgx_IHuhSq3AJ5eI5OnqOPBNLWSHKh2a30DoXe8/edit?usp=sharing"",""นครศรีธรรมราช!J314"")"),0)</f>
        <v>0</v>
      </c>
      <c r="U80" s="221">
        <f ca="1">IFERROR(__xludf.DUMMYFUNCTION("IMPORTRANGE(""https://docs.google.com/spreadsheets/d/1IYY_tgx_IHuhSq3AJ5eI5OnqOPBNLWSHKh2a30DoXe8/edit?usp=sharing"",""นครศรีธรรมราช!J315"")"),0)</f>
        <v>0</v>
      </c>
      <c r="V80" s="301">
        <v>60</v>
      </c>
      <c r="W80" s="301">
        <v>20</v>
      </c>
      <c r="X80" s="220">
        <f ca="1">IFERROR(__xludf.DUMMYFUNCTION("IMPORTRANGE(""https://docs.google.com/spreadsheets/d/1IYY_tgx_IHuhSq3AJ5eI5OnqOPBNLWSHKh2a30DoXe8/edit?usp=sharing"",""นครศรีธรรมราช!J317"")"),0)</f>
        <v>0</v>
      </c>
      <c r="Y80" s="221">
        <f t="shared" ca="1" si="54"/>
        <v>0</v>
      </c>
      <c r="Z80" s="220">
        <f ca="1">IFERROR(__xludf.DUMMYFUNCTION("IMPORTRANGE(""https://docs.google.com/spreadsheets/d/1IYY_tgx_IHuhSq3AJ5eI5OnqOPBNLWSHKh2a30DoXe8/edit?usp=sharing"",""นครศรีธรรมราช!J316"")"),0)</f>
        <v>0</v>
      </c>
      <c r="AA80" s="221">
        <f t="shared" ca="1" si="55"/>
        <v>0</v>
      </c>
      <c r="AB80" s="220">
        <f ca="1">IFERROR(__xludf.DUMMYFUNCTION("IMPORTRANGE(""https://docs.google.com/spreadsheets/d/1IYY_tgx_IHuhSq3AJ5eI5OnqOPBNLWSHKh2a30DoXe8/edit?usp=sharing"",""นครศรีธรรมราช!J318"")"),0)</f>
        <v>0</v>
      </c>
      <c r="AC80" s="220">
        <f ca="1">IFERROR(__xludf.DUMMYFUNCTION("IMPORTRANGE(""https://docs.google.com/spreadsheets/d/1IYY_tgx_IHuhSq3AJ5eI5OnqOPBNLWSHKh2a30DoXe8/edit?usp=sharing"",""นครศรีธรรมราช!J319"")"),0)</f>
        <v>0</v>
      </c>
      <c r="AD80" s="220">
        <f ca="1">IFERROR(__xludf.DUMMYFUNCTION("IMPORTRANGE(""https://docs.google.com/spreadsheets/d/1IYY_tgx_IHuhSq3AJ5eI5OnqOPBNLWSHKh2a30DoXe8/edit?usp=sharing"",""นครศรีธรรมราช!J320"")"),0)</f>
        <v>0</v>
      </c>
      <c r="AE80" s="301">
        <v>60</v>
      </c>
      <c r="AF80" s="301">
        <v>20</v>
      </c>
      <c r="AG80" s="220">
        <f ca="1">IFERROR(__xludf.DUMMYFUNCTION("IMPORTRANGE(""https://docs.google.com/spreadsheets/d/1IYY_tgx_IHuhSq3AJ5eI5OnqOPBNLWSHKh2a30DoXe8/edit?usp=sharing"",""นครศรีธรรมราช!J322"")"),0)</f>
        <v>0</v>
      </c>
      <c r="AH80" s="221">
        <f t="shared" ca="1" si="56"/>
        <v>0</v>
      </c>
      <c r="AI80" s="220">
        <f ca="1">IFERROR(__xludf.DUMMYFUNCTION("IMPORTRANGE(""https://docs.google.com/spreadsheets/d/1IYY_tgx_IHuhSq3AJ5eI5OnqOPBNLWSHKh2a30DoXe8/edit?usp=sharing"",""นครศรีธรรมราช!J321"")"),0)</f>
        <v>0</v>
      </c>
      <c r="AJ80" s="221">
        <f t="shared" ca="1" si="57"/>
        <v>0</v>
      </c>
      <c r="AK80" s="220">
        <f ca="1">IFERROR(__xludf.DUMMYFUNCTION("IMPORTRANGE(""https://docs.google.com/spreadsheets/d/1IYY_tgx_IHuhSq3AJ5eI5OnqOPBNLWSHKh2a30DoXe8/edit?usp=sharing"",""นครศรีธรรมราช!J323"")"),0)</f>
        <v>0</v>
      </c>
      <c r="AL80" s="220">
        <f ca="1">IFERROR(__xludf.DUMMYFUNCTION("IMPORTRANGE(""https://docs.google.com/spreadsheets/d/1IYY_tgx_IHuhSq3AJ5eI5OnqOPBNLWSHKh2a30DoXe8/edit?usp=sharing"",""นครศรีธรรมราช!J324"")"),0)</f>
        <v>0</v>
      </c>
      <c r="AM80" s="220">
        <f t="shared" si="65"/>
        <v>20</v>
      </c>
      <c r="AN80" s="220">
        <f t="shared" ca="1" si="66"/>
        <v>0</v>
      </c>
      <c r="AO80" s="221">
        <f t="shared" ca="1" si="58"/>
        <v>0</v>
      </c>
      <c r="AP80" s="301">
        <v>0</v>
      </c>
      <c r="AQ80" s="220">
        <f ca="1">IFERROR(__xludf.DUMMYFUNCTION("IMPORTRANGE(""https://docs.google.com/spreadsheets/d/1IYY_tgx_IHuhSq3AJ5eI5OnqOPBNLWSHKh2a30DoXe8/edit?usp=sharing"",""นครศรีธรรมราช!J326"")"),0)</f>
        <v>0</v>
      </c>
      <c r="AR80" s="301">
        <v>20</v>
      </c>
      <c r="AS80" s="313">
        <f ca="1">IFERROR(__xludf.DUMMYFUNCTION("IMPORTRANGE(""https://docs.google.com/spreadsheets/d/1IYY_tgx_IHuhSq3AJ5eI5OnqOPBNLWSHKh2a30DoXe8/edit?usp=sharing"",""นครศรีธรรมราช!J327"")"),0)</f>
        <v>0</v>
      </c>
    </row>
    <row r="81" spans="1:45" ht="24" customHeight="1" x14ac:dyDescent="0.5">
      <c r="A81" s="216">
        <v>5</v>
      </c>
      <c r="B81" s="194" t="s">
        <v>96</v>
      </c>
      <c r="C81" s="312">
        <f t="shared" si="60"/>
        <v>195740</v>
      </c>
      <c r="D81" s="218">
        <v>0</v>
      </c>
      <c r="E81" s="218">
        <v>195740</v>
      </c>
      <c r="F81" s="219">
        <f ca="1">IFERROR(__xludf.DUMMYFUNCTION("IMPORTRANGE(""https://docs.google.com/spreadsheets/d/1IYY_tgx_IHuhSq3AJ5eI5OnqOPBNLWSHKh2a30DoXe8/edit?usp=sharing"",""นราธิวาส!M299"")"),0)</f>
        <v>0</v>
      </c>
      <c r="G81" s="219">
        <f t="shared" ca="1" si="49"/>
        <v>0</v>
      </c>
      <c r="H81" s="220">
        <f t="shared" si="61"/>
        <v>165</v>
      </c>
      <c r="I81" s="220">
        <f t="shared" si="62"/>
        <v>55</v>
      </c>
      <c r="J81" s="220">
        <f t="shared" ca="1" si="63"/>
        <v>0</v>
      </c>
      <c r="K81" s="221">
        <f t="shared" ca="1" si="50"/>
        <v>0</v>
      </c>
      <c r="L81" s="220">
        <f t="shared" ca="1" si="64"/>
        <v>0</v>
      </c>
      <c r="M81" s="221">
        <f t="shared" ca="1" si="51"/>
        <v>0</v>
      </c>
      <c r="N81" s="301">
        <v>75</v>
      </c>
      <c r="O81" s="301">
        <v>25</v>
      </c>
      <c r="P81" s="220">
        <f ca="1">IFERROR(__xludf.DUMMYFUNCTION("IMPORTRANGE(""https://docs.google.com/spreadsheets/d/1IYY_tgx_IHuhSq3AJ5eI5OnqOPBNLWSHKh2a30DoXe8/edit?usp=sharing"",""นราธิวาส!J313"")"),0)</f>
        <v>0</v>
      </c>
      <c r="Q81" s="221">
        <f t="shared" ca="1" si="52"/>
        <v>0</v>
      </c>
      <c r="R81" s="220">
        <f ca="1">IFERROR(__xludf.DUMMYFUNCTION("IMPORTRANGE(""https://docs.google.com/spreadsheets/d/1IYY_tgx_IHuhSq3AJ5eI5OnqOPBNLWSHKh2a30DoXe8/edit?usp=sharing"",""นราธิวาส!J312"")"),0)</f>
        <v>0</v>
      </c>
      <c r="S81" s="221">
        <f t="shared" ca="1" si="53"/>
        <v>0</v>
      </c>
      <c r="T81" s="221">
        <f ca="1">IFERROR(__xludf.DUMMYFUNCTION("IMPORTRANGE(""https://docs.google.com/spreadsheets/d/1IYY_tgx_IHuhSq3AJ5eI5OnqOPBNLWSHKh2a30DoXe8/edit?usp=sharing"",""นราธิวาส!J314"")"),0)</f>
        <v>0</v>
      </c>
      <c r="U81" s="221">
        <f ca="1">IFERROR(__xludf.DUMMYFUNCTION("IMPORTRANGE(""https://docs.google.com/spreadsheets/d/1IYY_tgx_IHuhSq3AJ5eI5OnqOPBNLWSHKh2a30DoXe8/edit?usp=sharing"",""นราธิวาส!J315"")"),0)</f>
        <v>0</v>
      </c>
      <c r="V81" s="301">
        <v>60</v>
      </c>
      <c r="W81" s="301">
        <v>20</v>
      </c>
      <c r="X81" s="220">
        <f ca="1">IFERROR(__xludf.DUMMYFUNCTION("IMPORTRANGE(""https://docs.google.com/spreadsheets/d/1IYY_tgx_IHuhSq3AJ5eI5OnqOPBNLWSHKh2a30DoXe8/edit?usp=sharing"",""นราธิวาส!J317"")"),0)</f>
        <v>0</v>
      </c>
      <c r="Y81" s="221">
        <f t="shared" ca="1" si="54"/>
        <v>0</v>
      </c>
      <c r="Z81" s="220">
        <f ca="1">IFERROR(__xludf.DUMMYFUNCTION("IMPORTRANGE(""https://docs.google.com/spreadsheets/d/1IYY_tgx_IHuhSq3AJ5eI5OnqOPBNLWSHKh2a30DoXe8/edit?usp=sharing"",""นราธิวาส!J316"")"),0)</f>
        <v>0</v>
      </c>
      <c r="AA81" s="221">
        <f t="shared" ca="1" si="55"/>
        <v>0</v>
      </c>
      <c r="AB81" s="220">
        <f ca="1">IFERROR(__xludf.DUMMYFUNCTION("IMPORTRANGE(""https://docs.google.com/spreadsheets/d/1IYY_tgx_IHuhSq3AJ5eI5OnqOPBNLWSHKh2a30DoXe8/edit?usp=sharing"",""นราธิวาส!J318"")"),0)</f>
        <v>0</v>
      </c>
      <c r="AC81" s="220">
        <f ca="1">IFERROR(__xludf.DUMMYFUNCTION("IMPORTRANGE(""https://docs.google.com/spreadsheets/d/1IYY_tgx_IHuhSq3AJ5eI5OnqOPBNLWSHKh2a30DoXe8/edit?usp=sharing"",""นราธิวาส!J319"")"),0)</f>
        <v>0</v>
      </c>
      <c r="AD81" s="220">
        <f ca="1">IFERROR(__xludf.DUMMYFUNCTION("IMPORTRANGE(""https://docs.google.com/spreadsheets/d/1IYY_tgx_IHuhSq3AJ5eI5OnqOPBNLWSHKh2a30DoXe8/edit?usp=sharing"",""นราธิวาส!J320"")"),0)</f>
        <v>0</v>
      </c>
      <c r="AE81" s="301">
        <v>30</v>
      </c>
      <c r="AF81" s="301">
        <v>10</v>
      </c>
      <c r="AG81" s="220">
        <f ca="1">IFERROR(__xludf.DUMMYFUNCTION("IMPORTRANGE(""https://docs.google.com/spreadsheets/d/1IYY_tgx_IHuhSq3AJ5eI5OnqOPBNLWSHKh2a30DoXe8/edit?usp=sharing"",""นราธิวาส!J322"")"),0)</f>
        <v>0</v>
      </c>
      <c r="AH81" s="221">
        <f t="shared" ca="1" si="56"/>
        <v>0</v>
      </c>
      <c r="AI81" s="220">
        <f ca="1">IFERROR(__xludf.DUMMYFUNCTION("IMPORTRANGE(""https://docs.google.com/spreadsheets/d/1IYY_tgx_IHuhSq3AJ5eI5OnqOPBNLWSHKh2a30DoXe8/edit?usp=sharing"",""นราธิวาส!J321"")"),0)</f>
        <v>0</v>
      </c>
      <c r="AJ81" s="221">
        <f t="shared" ca="1" si="57"/>
        <v>0</v>
      </c>
      <c r="AK81" s="220">
        <f ca="1">IFERROR(__xludf.DUMMYFUNCTION("IMPORTRANGE(""https://docs.google.com/spreadsheets/d/1IYY_tgx_IHuhSq3AJ5eI5OnqOPBNLWSHKh2a30DoXe8/edit?usp=sharing"",""นราธิวาส!J323"")"),0)</f>
        <v>0</v>
      </c>
      <c r="AL81" s="220">
        <f ca="1">IFERROR(__xludf.DUMMYFUNCTION("IMPORTRANGE(""https://docs.google.com/spreadsheets/d/1IYY_tgx_IHuhSq3AJ5eI5OnqOPBNLWSHKh2a30DoXe8/edit?usp=sharing"",""นราธิวาส!J324"")"),0)</f>
        <v>0</v>
      </c>
      <c r="AM81" s="220">
        <f t="shared" si="65"/>
        <v>45</v>
      </c>
      <c r="AN81" s="220">
        <f t="shared" ca="1" si="66"/>
        <v>0</v>
      </c>
      <c r="AO81" s="221">
        <f t="shared" ca="1" si="58"/>
        <v>0</v>
      </c>
      <c r="AP81" s="301">
        <v>25</v>
      </c>
      <c r="AQ81" s="220">
        <f ca="1">IFERROR(__xludf.DUMMYFUNCTION("IMPORTRANGE(""https://docs.google.com/spreadsheets/d/1IYY_tgx_IHuhSq3AJ5eI5OnqOPBNLWSHKh2a30DoXe8/edit?usp=sharing"",""นราธิวาส!J326"")"),0)</f>
        <v>0</v>
      </c>
      <c r="AR81" s="301">
        <v>20</v>
      </c>
      <c r="AS81" s="313">
        <f ca="1">IFERROR(__xludf.DUMMYFUNCTION("IMPORTRANGE(""https://docs.google.com/spreadsheets/d/1IYY_tgx_IHuhSq3AJ5eI5OnqOPBNLWSHKh2a30DoXe8/edit?usp=sharing"",""นราธิวาส!J327"")"),0)</f>
        <v>0</v>
      </c>
    </row>
    <row r="82" spans="1:45" ht="24" customHeight="1" x14ac:dyDescent="0.5">
      <c r="A82" s="216">
        <v>6</v>
      </c>
      <c r="B82" s="194" t="s">
        <v>97</v>
      </c>
      <c r="C82" s="312">
        <f t="shared" si="60"/>
        <v>131710</v>
      </c>
      <c r="D82" s="218">
        <v>0</v>
      </c>
      <c r="E82" s="218">
        <v>131710</v>
      </c>
      <c r="F82" s="219">
        <f ca="1">IFERROR(__xludf.DUMMYFUNCTION("IMPORTRANGE(""https://docs.google.com/spreadsheets/d/1IYY_tgx_IHuhSq3AJ5eI5OnqOPBNLWSHKh2a30DoXe8/edit?usp=sharing"",""ปัตตานี!M299"")"),0)</f>
        <v>0</v>
      </c>
      <c r="G82" s="219">
        <f t="shared" ca="1" si="49"/>
        <v>0</v>
      </c>
      <c r="H82" s="220">
        <f t="shared" si="61"/>
        <v>105</v>
      </c>
      <c r="I82" s="220">
        <f t="shared" si="62"/>
        <v>35</v>
      </c>
      <c r="J82" s="220">
        <f t="shared" ca="1" si="63"/>
        <v>0</v>
      </c>
      <c r="K82" s="221">
        <f t="shared" ca="1" si="50"/>
        <v>0</v>
      </c>
      <c r="L82" s="220">
        <f t="shared" ca="1" si="64"/>
        <v>0</v>
      </c>
      <c r="M82" s="221">
        <f t="shared" ca="1" si="51"/>
        <v>0</v>
      </c>
      <c r="N82" s="301">
        <v>30</v>
      </c>
      <c r="O82" s="301">
        <v>10</v>
      </c>
      <c r="P82" s="220">
        <f ca="1">IFERROR(__xludf.DUMMYFUNCTION("IMPORTRANGE(""https://docs.google.com/spreadsheets/d/1IYY_tgx_IHuhSq3AJ5eI5OnqOPBNLWSHKh2a30DoXe8/edit?usp=sharing"",""ปัตตานี!J313"")"),0)</f>
        <v>0</v>
      </c>
      <c r="Q82" s="221">
        <f t="shared" ca="1" si="52"/>
        <v>0</v>
      </c>
      <c r="R82" s="220">
        <f ca="1">IFERROR(__xludf.DUMMYFUNCTION("IMPORTRANGE(""https://docs.google.com/spreadsheets/d/1IYY_tgx_IHuhSq3AJ5eI5OnqOPBNLWSHKh2a30DoXe8/edit?usp=sharing"",""ปัตตานี!J312"")"),0)</f>
        <v>0</v>
      </c>
      <c r="S82" s="221">
        <f t="shared" ca="1" si="53"/>
        <v>0</v>
      </c>
      <c r="T82" s="221">
        <f ca="1">IFERROR(__xludf.DUMMYFUNCTION("IMPORTRANGE(""https://docs.google.com/spreadsheets/d/1IYY_tgx_IHuhSq3AJ5eI5OnqOPBNLWSHKh2a30DoXe8/edit?usp=sharing"",""ปัตตานี!J314"")"),0)</f>
        <v>0</v>
      </c>
      <c r="U82" s="221">
        <f ca="1">IFERROR(__xludf.DUMMYFUNCTION("IMPORTRANGE(""https://docs.google.com/spreadsheets/d/1IYY_tgx_IHuhSq3AJ5eI5OnqOPBNLWSHKh2a30DoXe8/edit?usp=sharing"",""ปัตตานี!J315"")"),0)</f>
        <v>0</v>
      </c>
      <c r="V82" s="301">
        <v>45</v>
      </c>
      <c r="W82" s="301">
        <v>15</v>
      </c>
      <c r="X82" s="220">
        <f ca="1">IFERROR(__xludf.DUMMYFUNCTION("IMPORTRANGE(""https://docs.google.com/spreadsheets/d/1IYY_tgx_IHuhSq3AJ5eI5OnqOPBNLWSHKh2a30DoXe8/edit?usp=sharing"",""ปัตตานี!J317"")"),0)</f>
        <v>0</v>
      </c>
      <c r="Y82" s="221">
        <f t="shared" ca="1" si="54"/>
        <v>0</v>
      </c>
      <c r="Z82" s="220">
        <f ca="1">IFERROR(__xludf.DUMMYFUNCTION("IMPORTRANGE(""https://docs.google.com/spreadsheets/d/1IYY_tgx_IHuhSq3AJ5eI5OnqOPBNLWSHKh2a30DoXe8/edit?usp=sharing"",""ปัตตานี!J316"")"),0)</f>
        <v>0</v>
      </c>
      <c r="AA82" s="221">
        <f t="shared" ca="1" si="55"/>
        <v>0</v>
      </c>
      <c r="AB82" s="220">
        <f ca="1">IFERROR(__xludf.DUMMYFUNCTION("IMPORTRANGE(""https://docs.google.com/spreadsheets/d/1IYY_tgx_IHuhSq3AJ5eI5OnqOPBNLWSHKh2a30DoXe8/edit?usp=sharing"",""ปัตตานี!J318"")"),0)</f>
        <v>0</v>
      </c>
      <c r="AC82" s="220">
        <f ca="1">IFERROR(__xludf.DUMMYFUNCTION("IMPORTRANGE(""https://docs.google.com/spreadsheets/d/1IYY_tgx_IHuhSq3AJ5eI5OnqOPBNLWSHKh2a30DoXe8/edit?usp=sharing"",""ปัตตานี!J319"")"),0)</f>
        <v>0</v>
      </c>
      <c r="AD82" s="220">
        <f ca="1">IFERROR(__xludf.DUMMYFUNCTION("IMPORTRANGE(""https://docs.google.com/spreadsheets/d/1IYY_tgx_IHuhSq3AJ5eI5OnqOPBNLWSHKh2a30DoXe8/edit?usp=sharing"",""ปัตตานี!J320"")"),0)</f>
        <v>0</v>
      </c>
      <c r="AE82" s="301">
        <v>30</v>
      </c>
      <c r="AF82" s="301">
        <v>10</v>
      </c>
      <c r="AG82" s="220">
        <f ca="1">IFERROR(__xludf.DUMMYFUNCTION("IMPORTRANGE(""https://docs.google.com/spreadsheets/d/1IYY_tgx_IHuhSq3AJ5eI5OnqOPBNLWSHKh2a30DoXe8/edit?usp=sharing"",""ปัตตานี!J322"")"),0)</f>
        <v>0</v>
      </c>
      <c r="AH82" s="221">
        <f t="shared" ca="1" si="56"/>
        <v>0</v>
      </c>
      <c r="AI82" s="220">
        <f ca="1">IFERROR(__xludf.DUMMYFUNCTION("IMPORTRANGE(""https://docs.google.com/spreadsheets/d/1IYY_tgx_IHuhSq3AJ5eI5OnqOPBNLWSHKh2a30DoXe8/edit?usp=sharing"",""ปัตตานี!J321"")"),0)</f>
        <v>0</v>
      </c>
      <c r="AJ82" s="221">
        <f t="shared" ca="1" si="57"/>
        <v>0</v>
      </c>
      <c r="AK82" s="220">
        <f ca="1">IFERROR(__xludf.DUMMYFUNCTION("IMPORTRANGE(""https://docs.google.com/spreadsheets/d/1IYY_tgx_IHuhSq3AJ5eI5OnqOPBNLWSHKh2a30DoXe8/edit?usp=sharing"",""ปัตตานี!J323"")"),0)</f>
        <v>0</v>
      </c>
      <c r="AL82" s="220">
        <f ca="1">IFERROR(__xludf.DUMMYFUNCTION("IMPORTRANGE(""https://docs.google.com/spreadsheets/d/1IYY_tgx_IHuhSq3AJ5eI5OnqOPBNLWSHKh2a30DoXe8/edit?usp=sharing"",""ปัตตานี!J324"")"),0)</f>
        <v>0</v>
      </c>
      <c r="AM82" s="220">
        <f t="shared" si="65"/>
        <v>25</v>
      </c>
      <c r="AN82" s="220">
        <f t="shared" ca="1" si="66"/>
        <v>0</v>
      </c>
      <c r="AO82" s="221">
        <f t="shared" ca="1" si="58"/>
        <v>0</v>
      </c>
      <c r="AP82" s="301">
        <v>10</v>
      </c>
      <c r="AQ82" s="220">
        <f ca="1">IFERROR(__xludf.DUMMYFUNCTION("IMPORTRANGE(""https://docs.google.com/spreadsheets/d/1IYY_tgx_IHuhSq3AJ5eI5OnqOPBNLWSHKh2a30DoXe8/edit?usp=sharing"",""ปัตตานี!J326"")"),0)</f>
        <v>0</v>
      </c>
      <c r="AR82" s="301">
        <v>15</v>
      </c>
      <c r="AS82" s="313">
        <f ca="1">IFERROR(__xludf.DUMMYFUNCTION("IMPORTRANGE(""https://docs.google.com/spreadsheets/d/1IYY_tgx_IHuhSq3AJ5eI5OnqOPBNLWSHKh2a30DoXe8/edit?usp=sharing"",""ปัตตานี!J327"")"),0)</f>
        <v>0</v>
      </c>
    </row>
    <row r="83" spans="1:45" ht="24" customHeight="1" x14ac:dyDescent="0.5">
      <c r="A83" s="216">
        <v>7</v>
      </c>
      <c r="B83" s="194" t="s">
        <v>98</v>
      </c>
      <c r="C83" s="312">
        <f t="shared" si="60"/>
        <v>116320</v>
      </c>
      <c r="D83" s="218">
        <v>0</v>
      </c>
      <c r="E83" s="218">
        <v>116320</v>
      </c>
      <c r="F83" s="219">
        <f ca="1">IFERROR(__xludf.DUMMYFUNCTION("IMPORTRANGE(""https://docs.google.com/spreadsheets/d/1IYY_tgx_IHuhSq3AJ5eI5OnqOPBNLWSHKh2a30DoXe8/edit?usp=sharing"",""พังงา!M299"")"),0)</f>
        <v>0</v>
      </c>
      <c r="G83" s="219">
        <f t="shared" ca="1" si="49"/>
        <v>0</v>
      </c>
      <c r="H83" s="220">
        <f t="shared" si="61"/>
        <v>90</v>
      </c>
      <c r="I83" s="220">
        <f t="shared" si="62"/>
        <v>30</v>
      </c>
      <c r="J83" s="220">
        <f t="shared" ca="1" si="63"/>
        <v>0</v>
      </c>
      <c r="K83" s="221">
        <f t="shared" ca="1" si="50"/>
        <v>0</v>
      </c>
      <c r="L83" s="220">
        <f t="shared" ca="1" si="64"/>
        <v>0</v>
      </c>
      <c r="M83" s="221">
        <f t="shared" ca="1" si="51"/>
        <v>0</v>
      </c>
      <c r="N83" s="301">
        <v>30</v>
      </c>
      <c r="O83" s="301">
        <v>10</v>
      </c>
      <c r="P83" s="220">
        <f ca="1">IFERROR(__xludf.DUMMYFUNCTION("IMPORTRANGE(""https://docs.google.com/spreadsheets/d/1IYY_tgx_IHuhSq3AJ5eI5OnqOPBNLWSHKh2a30DoXe8/edit?usp=sharing"",""พังงา!J313"")"),0)</f>
        <v>0</v>
      </c>
      <c r="Q83" s="221">
        <f t="shared" ca="1" si="52"/>
        <v>0</v>
      </c>
      <c r="R83" s="220">
        <f ca="1">IFERROR(__xludf.DUMMYFUNCTION("IMPORTRANGE(""https://docs.google.com/spreadsheets/d/1IYY_tgx_IHuhSq3AJ5eI5OnqOPBNLWSHKh2a30DoXe8/edit?usp=sharing"",""พังงา!J312"")"),0)</f>
        <v>0</v>
      </c>
      <c r="S83" s="221">
        <f t="shared" ca="1" si="53"/>
        <v>0</v>
      </c>
      <c r="T83" s="221">
        <f ca="1">IFERROR(__xludf.DUMMYFUNCTION("IMPORTRANGE(""https://docs.google.com/spreadsheets/d/1IYY_tgx_IHuhSq3AJ5eI5OnqOPBNLWSHKh2a30DoXe8/edit?usp=sharing"",""พังงา!J314"")"),0)</f>
        <v>0</v>
      </c>
      <c r="U83" s="221">
        <f ca="1">IFERROR(__xludf.DUMMYFUNCTION("IMPORTRANGE(""https://docs.google.com/spreadsheets/d/1IYY_tgx_IHuhSq3AJ5eI5OnqOPBNLWSHKh2a30DoXe8/edit?usp=sharing"",""พังงา!J315"")"),0)</f>
        <v>0</v>
      </c>
      <c r="V83" s="301">
        <v>30</v>
      </c>
      <c r="W83" s="301">
        <v>10</v>
      </c>
      <c r="X83" s="220">
        <f ca="1">IFERROR(__xludf.DUMMYFUNCTION("IMPORTRANGE(""https://docs.google.com/spreadsheets/d/1IYY_tgx_IHuhSq3AJ5eI5OnqOPBNLWSHKh2a30DoXe8/edit?usp=sharing"",""พังงา!J317"")"),0)</f>
        <v>0</v>
      </c>
      <c r="Y83" s="221">
        <f t="shared" ca="1" si="54"/>
        <v>0</v>
      </c>
      <c r="Z83" s="220">
        <f ca="1">IFERROR(__xludf.DUMMYFUNCTION("IMPORTRANGE(""https://docs.google.com/spreadsheets/d/1IYY_tgx_IHuhSq3AJ5eI5OnqOPBNLWSHKh2a30DoXe8/edit?usp=sharing"",""พังงา!J316"")"),0)</f>
        <v>0</v>
      </c>
      <c r="AA83" s="221">
        <f t="shared" ca="1" si="55"/>
        <v>0</v>
      </c>
      <c r="AB83" s="220">
        <f ca="1">IFERROR(__xludf.DUMMYFUNCTION("IMPORTRANGE(""https://docs.google.com/spreadsheets/d/1IYY_tgx_IHuhSq3AJ5eI5OnqOPBNLWSHKh2a30DoXe8/edit?usp=sharing"",""พังงา!J318"")"),0)</f>
        <v>0</v>
      </c>
      <c r="AC83" s="220">
        <f ca="1">IFERROR(__xludf.DUMMYFUNCTION("IMPORTRANGE(""https://docs.google.com/spreadsheets/d/1IYY_tgx_IHuhSq3AJ5eI5OnqOPBNLWSHKh2a30DoXe8/edit?usp=sharing"",""พังงา!J319"")"),0)</f>
        <v>0</v>
      </c>
      <c r="AD83" s="220">
        <f ca="1">IFERROR(__xludf.DUMMYFUNCTION("IMPORTRANGE(""https://docs.google.com/spreadsheets/d/1IYY_tgx_IHuhSq3AJ5eI5OnqOPBNLWSHKh2a30DoXe8/edit?usp=sharing"",""พังงา!J320"")"),0)</f>
        <v>0</v>
      </c>
      <c r="AE83" s="301">
        <v>30</v>
      </c>
      <c r="AF83" s="301">
        <v>10</v>
      </c>
      <c r="AG83" s="220">
        <f ca="1">IFERROR(__xludf.DUMMYFUNCTION("IMPORTRANGE(""https://docs.google.com/spreadsheets/d/1IYY_tgx_IHuhSq3AJ5eI5OnqOPBNLWSHKh2a30DoXe8/edit?usp=sharing"",""พังงา!J322"")"),0)</f>
        <v>0</v>
      </c>
      <c r="AH83" s="221">
        <f t="shared" ca="1" si="56"/>
        <v>0</v>
      </c>
      <c r="AI83" s="220">
        <f ca="1">IFERROR(__xludf.DUMMYFUNCTION("IMPORTRANGE(""https://docs.google.com/spreadsheets/d/1IYY_tgx_IHuhSq3AJ5eI5OnqOPBNLWSHKh2a30DoXe8/edit?usp=sharing"",""พังงา!J321"")"),0)</f>
        <v>0</v>
      </c>
      <c r="AJ83" s="221">
        <f t="shared" ca="1" si="57"/>
        <v>0</v>
      </c>
      <c r="AK83" s="220">
        <f ca="1">IFERROR(__xludf.DUMMYFUNCTION("IMPORTRANGE(""https://docs.google.com/spreadsheets/d/1IYY_tgx_IHuhSq3AJ5eI5OnqOPBNLWSHKh2a30DoXe8/edit?usp=sharing"",""พังงา!J323"")"),0)</f>
        <v>0</v>
      </c>
      <c r="AL83" s="220">
        <f ca="1">IFERROR(__xludf.DUMMYFUNCTION("IMPORTRANGE(""https://docs.google.com/spreadsheets/d/1IYY_tgx_IHuhSq3AJ5eI5OnqOPBNLWSHKh2a30DoXe8/edit?usp=sharing"",""พังงา!J324"")"),0)</f>
        <v>0</v>
      </c>
      <c r="AM83" s="220">
        <f t="shared" si="65"/>
        <v>20</v>
      </c>
      <c r="AN83" s="220">
        <f t="shared" ca="1" si="66"/>
        <v>0</v>
      </c>
      <c r="AO83" s="221">
        <f t="shared" ca="1" si="58"/>
        <v>0</v>
      </c>
      <c r="AP83" s="301">
        <v>10</v>
      </c>
      <c r="AQ83" s="220">
        <f ca="1">IFERROR(__xludf.DUMMYFUNCTION("IMPORTRANGE(""https://docs.google.com/spreadsheets/d/1IYY_tgx_IHuhSq3AJ5eI5OnqOPBNLWSHKh2a30DoXe8/edit?usp=sharing"",""พังงา!J326"")"),0)</f>
        <v>0</v>
      </c>
      <c r="AR83" s="301">
        <v>10</v>
      </c>
      <c r="AS83" s="313">
        <f ca="1">IFERROR(__xludf.DUMMYFUNCTION("IMPORTRANGE(""https://docs.google.com/spreadsheets/d/1IYY_tgx_IHuhSq3AJ5eI5OnqOPBNLWSHKh2a30DoXe8/edit?usp=sharing"",""พังงา!J327"")"),0)</f>
        <v>0</v>
      </c>
    </row>
    <row r="84" spans="1:45" ht="24" customHeight="1" x14ac:dyDescent="0.5">
      <c r="A84" s="216">
        <v>8</v>
      </c>
      <c r="B84" s="194" t="s">
        <v>99</v>
      </c>
      <c r="C84" s="312">
        <f t="shared" si="60"/>
        <v>159950</v>
      </c>
      <c r="D84" s="218">
        <v>0</v>
      </c>
      <c r="E84" s="218">
        <v>159950</v>
      </c>
      <c r="F84" s="219">
        <f ca="1">IFERROR(__xludf.DUMMYFUNCTION("IMPORTRANGE(""https://docs.google.com/spreadsheets/d/1IYY_tgx_IHuhSq3AJ5eI5OnqOPBNLWSHKh2a30DoXe8/edit?usp=sharing"",""พัทลุง!M299"")"),0)</f>
        <v>0</v>
      </c>
      <c r="G84" s="219">
        <f t="shared" ca="1" si="49"/>
        <v>0</v>
      </c>
      <c r="H84" s="220">
        <f t="shared" si="61"/>
        <v>135</v>
      </c>
      <c r="I84" s="220">
        <f t="shared" si="62"/>
        <v>45</v>
      </c>
      <c r="J84" s="220">
        <f t="shared" ca="1" si="63"/>
        <v>0</v>
      </c>
      <c r="K84" s="221">
        <f t="shared" ca="1" si="50"/>
        <v>0</v>
      </c>
      <c r="L84" s="220">
        <f t="shared" ca="1" si="64"/>
        <v>0</v>
      </c>
      <c r="M84" s="221">
        <f t="shared" ca="1" si="51"/>
        <v>0</v>
      </c>
      <c r="N84" s="301">
        <v>30</v>
      </c>
      <c r="O84" s="301">
        <v>10</v>
      </c>
      <c r="P84" s="220">
        <f ca="1">IFERROR(__xludf.DUMMYFUNCTION("IMPORTRANGE(""https://docs.google.com/spreadsheets/d/1IYY_tgx_IHuhSq3AJ5eI5OnqOPBNLWSHKh2a30DoXe8/edit?usp=sharing"",""พัทลุง!J313"")"),0)</f>
        <v>0</v>
      </c>
      <c r="Q84" s="221">
        <f t="shared" ca="1" si="52"/>
        <v>0</v>
      </c>
      <c r="R84" s="220">
        <f ca="1">IFERROR(__xludf.DUMMYFUNCTION("IMPORTRANGE(""https://docs.google.com/spreadsheets/d/1IYY_tgx_IHuhSq3AJ5eI5OnqOPBNLWSHKh2a30DoXe8/edit?usp=sharing"",""พัทลุง!J312"")"),0)</f>
        <v>0</v>
      </c>
      <c r="S84" s="221">
        <f t="shared" ca="1" si="53"/>
        <v>0</v>
      </c>
      <c r="T84" s="221">
        <f ca="1">IFERROR(__xludf.DUMMYFUNCTION("IMPORTRANGE(""https://docs.google.com/spreadsheets/d/1IYY_tgx_IHuhSq3AJ5eI5OnqOPBNLWSHKh2a30DoXe8/edit?usp=sharing"",""พัทลุง!J314"")"),0)</f>
        <v>0</v>
      </c>
      <c r="U84" s="221">
        <f ca="1">IFERROR(__xludf.DUMMYFUNCTION("IMPORTRANGE(""https://docs.google.com/spreadsheets/d/1IYY_tgx_IHuhSq3AJ5eI5OnqOPBNLWSHKh2a30DoXe8/edit?usp=sharing"",""พัทลุง!J315"")"),0)</f>
        <v>0</v>
      </c>
      <c r="V84" s="301">
        <v>75</v>
      </c>
      <c r="W84" s="301">
        <v>25</v>
      </c>
      <c r="X84" s="220">
        <f ca="1">IFERROR(__xludf.DUMMYFUNCTION("IMPORTRANGE(""https://docs.google.com/spreadsheets/d/1IYY_tgx_IHuhSq3AJ5eI5OnqOPBNLWSHKh2a30DoXe8/edit?usp=sharing"",""พัทลุง!J317"")"),0)</f>
        <v>0</v>
      </c>
      <c r="Y84" s="221">
        <f t="shared" ca="1" si="54"/>
        <v>0</v>
      </c>
      <c r="Z84" s="220">
        <f ca="1">IFERROR(__xludf.DUMMYFUNCTION("IMPORTRANGE(""https://docs.google.com/spreadsheets/d/1IYY_tgx_IHuhSq3AJ5eI5OnqOPBNLWSHKh2a30DoXe8/edit?usp=sharing"",""พัทลุง!J316"")"),0)</f>
        <v>0</v>
      </c>
      <c r="AA84" s="221">
        <f t="shared" ca="1" si="55"/>
        <v>0</v>
      </c>
      <c r="AB84" s="220">
        <f ca="1">IFERROR(__xludf.DUMMYFUNCTION("IMPORTRANGE(""https://docs.google.com/spreadsheets/d/1IYY_tgx_IHuhSq3AJ5eI5OnqOPBNLWSHKh2a30DoXe8/edit?usp=sharing"",""พัทลุง!J318"")"),0)</f>
        <v>0</v>
      </c>
      <c r="AC84" s="220">
        <f ca="1">IFERROR(__xludf.DUMMYFUNCTION("IMPORTRANGE(""https://docs.google.com/spreadsheets/d/1IYY_tgx_IHuhSq3AJ5eI5OnqOPBNLWSHKh2a30DoXe8/edit?usp=sharing"",""พัทลุง!J319"")"),0)</f>
        <v>0</v>
      </c>
      <c r="AD84" s="220">
        <f ca="1">IFERROR(__xludf.DUMMYFUNCTION("IMPORTRANGE(""https://docs.google.com/spreadsheets/d/1IYY_tgx_IHuhSq3AJ5eI5OnqOPBNLWSHKh2a30DoXe8/edit?usp=sharing"",""พัทลุง!J320"")"),0)</f>
        <v>0</v>
      </c>
      <c r="AE84" s="301">
        <v>30</v>
      </c>
      <c r="AF84" s="301">
        <v>10</v>
      </c>
      <c r="AG84" s="220">
        <f ca="1">IFERROR(__xludf.DUMMYFUNCTION("IMPORTRANGE(""https://docs.google.com/spreadsheets/d/1IYY_tgx_IHuhSq3AJ5eI5OnqOPBNLWSHKh2a30DoXe8/edit?usp=sharing"",""พัทลุง!J322"")"),0)</f>
        <v>0</v>
      </c>
      <c r="AH84" s="221">
        <f t="shared" ca="1" si="56"/>
        <v>0</v>
      </c>
      <c r="AI84" s="220">
        <f ca="1">IFERROR(__xludf.DUMMYFUNCTION("IMPORTRANGE(""https://docs.google.com/spreadsheets/d/1IYY_tgx_IHuhSq3AJ5eI5OnqOPBNLWSHKh2a30DoXe8/edit?usp=sharing"",""พัทลุง!J321"")"),0)</f>
        <v>0</v>
      </c>
      <c r="AJ84" s="221">
        <f t="shared" ca="1" si="57"/>
        <v>0</v>
      </c>
      <c r="AK84" s="220">
        <f ca="1">IFERROR(__xludf.DUMMYFUNCTION("IMPORTRANGE(""https://docs.google.com/spreadsheets/d/1IYY_tgx_IHuhSq3AJ5eI5OnqOPBNLWSHKh2a30DoXe8/edit?usp=sharing"",""พัทลุง!J323"")"),0)</f>
        <v>0</v>
      </c>
      <c r="AL84" s="220">
        <f ca="1">IFERROR(__xludf.DUMMYFUNCTION("IMPORTRANGE(""https://docs.google.com/spreadsheets/d/1IYY_tgx_IHuhSq3AJ5eI5OnqOPBNLWSHKh2a30DoXe8/edit?usp=sharing"",""พัทลุง!J324"")"),0)</f>
        <v>0</v>
      </c>
      <c r="AM84" s="220">
        <f t="shared" si="65"/>
        <v>35</v>
      </c>
      <c r="AN84" s="220">
        <f t="shared" ca="1" si="66"/>
        <v>0</v>
      </c>
      <c r="AO84" s="221">
        <f t="shared" ca="1" si="58"/>
        <v>0</v>
      </c>
      <c r="AP84" s="301">
        <v>10</v>
      </c>
      <c r="AQ84" s="220">
        <f ca="1">IFERROR(__xludf.DUMMYFUNCTION("IMPORTRANGE(""https://docs.google.com/spreadsheets/d/1IYY_tgx_IHuhSq3AJ5eI5OnqOPBNLWSHKh2a30DoXe8/edit?usp=sharing"",""พัทลุง!J326"")"),0)</f>
        <v>0</v>
      </c>
      <c r="AR84" s="301">
        <v>25</v>
      </c>
      <c r="AS84" s="313">
        <f ca="1">IFERROR(__xludf.DUMMYFUNCTION("IMPORTRANGE(""https://docs.google.com/spreadsheets/d/1IYY_tgx_IHuhSq3AJ5eI5OnqOPBNLWSHKh2a30DoXe8/edit?usp=sharing"",""พัทลุง!J327"")"),0)</f>
        <v>0</v>
      </c>
    </row>
    <row r="85" spans="1:45" ht="24" customHeight="1" x14ac:dyDescent="0.5">
      <c r="A85" s="216">
        <v>9</v>
      </c>
      <c r="B85" s="194" t="s">
        <v>100</v>
      </c>
      <c r="C85" s="312">
        <f t="shared" si="60"/>
        <v>116320</v>
      </c>
      <c r="D85" s="218">
        <v>0</v>
      </c>
      <c r="E85" s="218">
        <v>116320</v>
      </c>
      <c r="F85" s="219">
        <f ca="1">IFERROR(__xludf.DUMMYFUNCTION("IMPORTRANGE(""https://docs.google.com/spreadsheets/d/1IYY_tgx_IHuhSq3AJ5eI5OnqOPBNLWSHKh2a30DoXe8/edit?usp=sharing"",""ภูเก็ต!M299"")"),0)</f>
        <v>0</v>
      </c>
      <c r="G85" s="219">
        <f t="shared" ca="1" si="49"/>
        <v>0</v>
      </c>
      <c r="H85" s="220">
        <f t="shared" si="61"/>
        <v>90</v>
      </c>
      <c r="I85" s="220">
        <f t="shared" si="62"/>
        <v>30</v>
      </c>
      <c r="J85" s="220">
        <f t="shared" ca="1" si="63"/>
        <v>0</v>
      </c>
      <c r="K85" s="221">
        <f t="shared" ca="1" si="50"/>
        <v>0</v>
      </c>
      <c r="L85" s="220">
        <f t="shared" ca="1" si="64"/>
        <v>0</v>
      </c>
      <c r="M85" s="221">
        <f t="shared" ca="1" si="51"/>
        <v>0</v>
      </c>
      <c r="N85" s="301">
        <v>30</v>
      </c>
      <c r="O85" s="301">
        <v>10</v>
      </c>
      <c r="P85" s="220">
        <f ca="1">IFERROR(__xludf.DUMMYFUNCTION("IMPORTRANGE(""https://docs.google.com/spreadsheets/d/1IYY_tgx_IHuhSq3AJ5eI5OnqOPBNLWSHKh2a30DoXe8/edit?usp=sharing"",""ภูเก็ต!J313"")"),0)</f>
        <v>0</v>
      </c>
      <c r="Q85" s="221">
        <f t="shared" ca="1" si="52"/>
        <v>0</v>
      </c>
      <c r="R85" s="220">
        <f ca="1">IFERROR(__xludf.DUMMYFUNCTION("IMPORTRANGE(""https://docs.google.com/spreadsheets/d/1IYY_tgx_IHuhSq3AJ5eI5OnqOPBNLWSHKh2a30DoXe8/edit?usp=sharing"",""ภูเก็ต!J312"")"),0)</f>
        <v>0</v>
      </c>
      <c r="S85" s="221">
        <f t="shared" ca="1" si="53"/>
        <v>0</v>
      </c>
      <c r="T85" s="221">
        <f ca="1">IFERROR(__xludf.DUMMYFUNCTION("IMPORTRANGE(""https://docs.google.com/spreadsheets/d/1IYY_tgx_IHuhSq3AJ5eI5OnqOPBNLWSHKh2a30DoXe8/edit?usp=sharing"",""ภูเก็ต!J314"")"),0)</f>
        <v>0</v>
      </c>
      <c r="U85" s="221">
        <f ca="1">IFERROR(__xludf.DUMMYFUNCTION("IMPORTRANGE(""https://docs.google.com/spreadsheets/d/1IYY_tgx_IHuhSq3AJ5eI5OnqOPBNLWSHKh2a30DoXe8/edit?usp=sharing"",""ภูเก็ต!J315"")"),0)</f>
        <v>0</v>
      </c>
      <c r="V85" s="301">
        <v>30</v>
      </c>
      <c r="W85" s="301">
        <v>10</v>
      </c>
      <c r="X85" s="220">
        <f ca="1">IFERROR(__xludf.DUMMYFUNCTION("IMPORTRANGE(""https://docs.google.com/spreadsheets/d/1IYY_tgx_IHuhSq3AJ5eI5OnqOPBNLWSHKh2a30DoXe8/edit?usp=sharing"",""ภูเก็ต!J317"")"),0)</f>
        <v>0</v>
      </c>
      <c r="Y85" s="221">
        <f t="shared" ca="1" si="54"/>
        <v>0</v>
      </c>
      <c r="Z85" s="220">
        <f ca="1">IFERROR(__xludf.DUMMYFUNCTION("IMPORTRANGE(""https://docs.google.com/spreadsheets/d/1IYY_tgx_IHuhSq3AJ5eI5OnqOPBNLWSHKh2a30DoXe8/edit?usp=sharing"",""ภูเก็ต!J316"")"),0)</f>
        <v>0</v>
      </c>
      <c r="AA85" s="221">
        <f t="shared" ca="1" si="55"/>
        <v>0</v>
      </c>
      <c r="AB85" s="220">
        <f ca="1">IFERROR(__xludf.DUMMYFUNCTION("IMPORTRANGE(""https://docs.google.com/spreadsheets/d/1IYY_tgx_IHuhSq3AJ5eI5OnqOPBNLWSHKh2a30DoXe8/edit?usp=sharing"",""ภูเก็ต!J318"")"),0)</f>
        <v>0</v>
      </c>
      <c r="AC85" s="220">
        <f ca="1">IFERROR(__xludf.DUMMYFUNCTION("IMPORTRANGE(""https://docs.google.com/spreadsheets/d/1IYY_tgx_IHuhSq3AJ5eI5OnqOPBNLWSHKh2a30DoXe8/edit?usp=sharing"",""ภูเก็ต!J319"")"),0)</f>
        <v>0</v>
      </c>
      <c r="AD85" s="220">
        <f ca="1">IFERROR(__xludf.DUMMYFUNCTION("IMPORTRANGE(""https://docs.google.com/spreadsheets/d/1IYY_tgx_IHuhSq3AJ5eI5OnqOPBNLWSHKh2a30DoXe8/edit?usp=sharing"",""ภูเก็ต!J320"")"),0)</f>
        <v>0</v>
      </c>
      <c r="AE85" s="301">
        <v>30</v>
      </c>
      <c r="AF85" s="301">
        <v>10</v>
      </c>
      <c r="AG85" s="220">
        <f ca="1">IFERROR(__xludf.DUMMYFUNCTION("IMPORTRANGE(""https://docs.google.com/spreadsheets/d/1IYY_tgx_IHuhSq3AJ5eI5OnqOPBNLWSHKh2a30DoXe8/edit?usp=sharing"",""ภูเก็ต!J322"")"),0)</f>
        <v>0</v>
      </c>
      <c r="AH85" s="221">
        <f t="shared" ca="1" si="56"/>
        <v>0</v>
      </c>
      <c r="AI85" s="220">
        <f ca="1">IFERROR(__xludf.DUMMYFUNCTION("IMPORTRANGE(""https://docs.google.com/spreadsheets/d/1IYY_tgx_IHuhSq3AJ5eI5OnqOPBNLWSHKh2a30DoXe8/edit?usp=sharing"",""ภูเก็ต!J321"")"),0)</f>
        <v>0</v>
      </c>
      <c r="AJ85" s="221">
        <f t="shared" ca="1" si="57"/>
        <v>0</v>
      </c>
      <c r="AK85" s="220">
        <f ca="1">IFERROR(__xludf.DUMMYFUNCTION("IMPORTRANGE(""https://docs.google.com/spreadsheets/d/1IYY_tgx_IHuhSq3AJ5eI5OnqOPBNLWSHKh2a30DoXe8/edit?usp=sharing"",""ภูเก็ต!J323"")"),0)</f>
        <v>0</v>
      </c>
      <c r="AL85" s="220">
        <f ca="1">IFERROR(__xludf.DUMMYFUNCTION("IMPORTRANGE(""https://docs.google.com/spreadsheets/d/1IYY_tgx_IHuhSq3AJ5eI5OnqOPBNLWSHKh2a30DoXe8/edit?usp=sharing"",""ภูเก็ต!J324"")"),0)</f>
        <v>0</v>
      </c>
      <c r="AM85" s="220">
        <f t="shared" si="65"/>
        <v>20</v>
      </c>
      <c r="AN85" s="220">
        <f t="shared" ca="1" si="66"/>
        <v>0</v>
      </c>
      <c r="AO85" s="221">
        <f t="shared" ca="1" si="58"/>
        <v>0</v>
      </c>
      <c r="AP85" s="301">
        <v>10</v>
      </c>
      <c r="AQ85" s="220">
        <f ca="1">IFERROR(__xludf.DUMMYFUNCTION("IMPORTRANGE(""https://docs.google.com/spreadsheets/d/1IYY_tgx_IHuhSq3AJ5eI5OnqOPBNLWSHKh2a30DoXe8/edit?usp=sharing"",""ภูเก็ต!J326"")"),0)</f>
        <v>0</v>
      </c>
      <c r="AR85" s="301">
        <v>10</v>
      </c>
      <c r="AS85" s="313">
        <f ca="1">IFERROR(__xludf.DUMMYFUNCTION("IMPORTRANGE(""https://docs.google.com/spreadsheets/d/1IYY_tgx_IHuhSq3AJ5eI5OnqOPBNLWSHKh2a30DoXe8/edit?usp=sharing"",""ภูเก็ต!J327"")"),0)</f>
        <v>0</v>
      </c>
    </row>
    <row r="86" spans="1:45" ht="24" customHeight="1" x14ac:dyDescent="0.5">
      <c r="A86" s="216">
        <v>10</v>
      </c>
      <c r="B86" s="194" t="s">
        <v>101</v>
      </c>
      <c r="C86" s="312">
        <f t="shared" si="60"/>
        <v>131710</v>
      </c>
      <c r="D86" s="218">
        <v>0</v>
      </c>
      <c r="E86" s="218">
        <v>131710</v>
      </c>
      <c r="F86" s="219">
        <f ca="1">IFERROR(__xludf.DUMMYFUNCTION("IMPORTRANGE(""https://docs.google.com/spreadsheets/d/1IYY_tgx_IHuhSq3AJ5eI5OnqOPBNLWSHKh2a30DoXe8/edit?usp=sharing"",""ยะลา!M299"")"),0)</f>
        <v>0</v>
      </c>
      <c r="G86" s="219">
        <f t="shared" ca="1" si="49"/>
        <v>0</v>
      </c>
      <c r="H86" s="220">
        <f t="shared" si="61"/>
        <v>105</v>
      </c>
      <c r="I86" s="220">
        <f t="shared" si="62"/>
        <v>35</v>
      </c>
      <c r="J86" s="220">
        <f t="shared" ca="1" si="63"/>
        <v>0</v>
      </c>
      <c r="K86" s="221">
        <f t="shared" ca="1" si="50"/>
        <v>0</v>
      </c>
      <c r="L86" s="220">
        <f t="shared" ca="1" si="64"/>
        <v>0</v>
      </c>
      <c r="M86" s="221">
        <f t="shared" ca="1" si="51"/>
        <v>0</v>
      </c>
      <c r="N86" s="301">
        <v>30</v>
      </c>
      <c r="O86" s="301">
        <v>10</v>
      </c>
      <c r="P86" s="220">
        <f ca="1">IFERROR(__xludf.DUMMYFUNCTION("IMPORTRANGE(""https://docs.google.com/spreadsheets/d/1IYY_tgx_IHuhSq3AJ5eI5OnqOPBNLWSHKh2a30DoXe8/edit?usp=sharing"",""ยะลา!J313"")"),0)</f>
        <v>0</v>
      </c>
      <c r="Q86" s="221">
        <f t="shared" ca="1" si="52"/>
        <v>0</v>
      </c>
      <c r="R86" s="220">
        <f ca="1">IFERROR(__xludf.DUMMYFUNCTION("IMPORTRANGE(""https://docs.google.com/spreadsheets/d/1IYY_tgx_IHuhSq3AJ5eI5OnqOPBNLWSHKh2a30DoXe8/edit?usp=sharing"",""ยะลา!J312"")"),0)</f>
        <v>0</v>
      </c>
      <c r="S86" s="221">
        <f t="shared" ca="1" si="53"/>
        <v>0</v>
      </c>
      <c r="T86" s="221">
        <f ca="1">IFERROR(__xludf.DUMMYFUNCTION("IMPORTRANGE(""https://docs.google.com/spreadsheets/d/1IYY_tgx_IHuhSq3AJ5eI5OnqOPBNLWSHKh2a30DoXe8/edit?usp=sharing"",""ยะลา!J314"")"),0)</f>
        <v>0</v>
      </c>
      <c r="U86" s="221">
        <f ca="1">IFERROR(__xludf.DUMMYFUNCTION("IMPORTRANGE(""https://docs.google.com/spreadsheets/d/1IYY_tgx_IHuhSq3AJ5eI5OnqOPBNLWSHKh2a30DoXe8/edit?usp=sharing"",""ยะลา!J315"")"),0)</f>
        <v>0</v>
      </c>
      <c r="V86" s="301">
        <v>45</v>
      </c>
      <c r="W86" s="301">
        <v>15</v>
      </c>
      <c r="X86" s="220">
        <f ca="1">IFERROR(__xludf.DUMMYFUNCTION("IMPORTRANGE(""https://docs.google.com/spreadsheets/d/1IYY_tgx_IHuhSq3AJ5eI5OnqOPBNLWSHKh2a30DoXe8/edit?usp=sharing"",""ยะลา!J317"")"),0)</f>
        <v>0</v>
      </c>
      <c r="Y86" s="221">
        <f t="shared" ca="1" si="54"/>
        <v>0</v>
      </c>
      <c r="Z86" s="220">
        <f ca="1">IFERROR(__xludf.DUMMYFUNCTION("IMPORTRANGE(""https://docs.google.com/spreadsheets/d/1IYY_tgx_IHuhSq3AJ5eI5OnqOPBNLWSHKh2a30DoXe8/edit?usp=sharing"",""ยะลา!J316"")"),0)</f>
        <v>0</v>
      </c>
      <c r="AA86" s="221">
        <f t="shared" ca="1" si="55"/>
        <v>0</v>
      </c>
      <c r="AB86" s="220">
        <f ca="1">IFERROR(__xludf.DUMMYFUNCTION("IMPORTRANGE(""https://docs.google.com/spreadsheets/d/1IYY_tgx_IHuhSq3AJ5eI5OnqOPBNLWSHKh2a30DoXe8/edit?usp=sharing"",""ยะลา!J318"")"),0)</f>
        <v>0</v>
      </c>
      <c r="AC86" s="220">
        <f ca="1">IFERROR(__xludf.DUMMYFUNCTION("IMPORTRANGE(""https://docs.google.com/spreadsheets/d/1IYY_tgx_IHuhSq3AJ5eI5OnqOPBNLWSHKh2a30DoXe8/edit?usp=sharing"",""ยะลา!J319"")"),0)</f>
        <v>0</v>
      </c>
      <c r="AD86" s="220">
        <f ca="1">IFERROR(__xludf.DUMMYFUNCTION("IMPORTRANGE(""https://docs.google.com/spreadsheets/d/1IYY_tgx_IHuhSq3AJ5eI5OnqOPBNLWSHKh2a30DoXe8/edit?usp=sharing"",""ยะลา!J320"")"),0)</f>
        <v>0</v>
      </c>
      <c r="AE86" s="301">
        <v>30</v>
      </c>
      <c r="AF86" s="301">
        <v>10</v>
      </c>
      <c r="AG86" s="220">
        <f ca="1">IFERROR(__xludf.DUMMYFUNCTION("IMPORTRANGE(""https://docs.google.com/spreadsheets/d/1IYY_tgx_IHuhSq3AJ5eI5OnqOPBNLWSHKh2a30DoXe8/edit?usp=sharing"",""ยะลา!J322"")"),0)</f>
        <v>0</v>
      </c>
      <c r="AH86" s="221">
        <f t="shared" ca="1" si="56"/>
        <v>0</v>
      </c>
      <c r="AI86" s="220">
        <f ca="1">IFERROR(__xludf.DUMMYFUNCTION("IMPORTRANGE(""https://docs.google.com/spreadsheets/d/1IYY_tgx_IHuhSq3AJ5eI5OnqOPBNLWSHKh2a30DoXe8/edit?usp=sharing"",""ยะลา!J321"")"),0)</f>
        <v>0</v>
      </c>
      <c r="AJ86" s="221">
        <f t="shared" ca="1" si="57"/>
        <v>0</v>
      </c>
      <c r="AK86" s="220">
        <f ca="1">IFERROR(__xludf.DUMMYFUNCTION("IMPORTRANGE(""https://docs.google.com/spreadsheets/d/1IYY_tgx_IHuhSq3AJ5eI5OnqOPBNLWSHKh2a30DoXe8/edit?usp=sharing"",""ยะลา!J323"")"),0)</f>
        <v>0</v>
      </c>
      <c r="AL86" s="220">
        <f ca="1">IFERROR(__xludf.DUMMYFUNCTION("IMPORTRANGE(""https://docs.google.com/spreadsheets/d/1IYY_tgx_IHuhSq3AJ5eI5OnqOPBNLWSHKh2a30DoXe8/edit?usp=sharing"",""ยะลา!J324"")"),0)</f>
        <v>0</v>
      </c>
      <c r="AM86" s="220">
        <f t="shared" si="65"/>
        <v>25</v>
      </c>
      <c r="AN86" s="220">
        <f t="shared" ca="1" si="66"/>
        <v>0</v>
      </c>
      <c r="AO86" s="221">
        <f t="shared" ca="1" si="58"/>
        <v>0</v>
      </c>
      <c r="AP86" s="301">
        <v>10</v>
      </c>
      <c r="AQ86" s="220">
        <f ca="1">IFERROR(__xludf.DUMMYFUNCTION("IMPORTRANGE(""https://docs.google.com/spreadsheets/d/1IYY_tgx_IHuhSq3AJ5eI5OnqOPBNLWSHKh2a30DoXe8/edit?usp=sharing"",""ยะลา!J326"")"),0)</f>
        <v>0</v>
      </c>
      <c r="AR86" s="301">
        <v>15</v>
      </c>
      <c r="AS86" s="313">
        <f ca="1">IFERROR(__xludf.DUMMYFUNCTION("IMPORTRANGE(""https://docs.google.com/spreadsheets/d/1IYY_tgx_IHuhSq3AJ5eI5OnqOPBNLWSHKh2a30DoXe8/edit?usp=sharing"",""ยะลา!J327"")"),0)</f>
        <v>0</v>
      </c>
    </row>
    <row r="87" spans="1:45" ht="24" customHeight="1" x14ac:dyDescent="0.5">
      <c r="A87" s="216">
        <v>11</v>
      </c>
      <c r="B87" s="194" t="s">
        <v>102</v>
      </c>
      <c r="C87" s="312">
        <f t="shared" si="60"/>
        <v>172190</v>
      </c>
      <c r="D87" s="218">
        <v>0</v>
      </c>
      <c r="E87" s="218">
        <v>172190</v>
      </c>
      <c r="F87" s="219">
        <f ca="1">IFERROR(__xludf.DUMMYFUNCTION("IMPORTRANGE(""https://docs.google.com/spreadsheets/d/1IYY_tgx_IHuhSq3AJ5eI5OnqOPBNLWSHKh2a30DoXe8/edit?usp=sharing"",""ระนอง!M299"")"),0)</f>
        <v>0</v>
      </c>
      <c r="G87" s="219">
        <f t="shared" ca="1" si="49"/>
        <v>0</v>
      </c>
      <c r="H87" s="220">
        <f t="shared" si="61"/>
        <v>165</v>
      </c>
      <c r="I87" s="220">
        <f t="shared" si="62"/>
        <v>55</v>
      </c>
      <c r="J87" s="220">
        <f t="shared" ca="1" si="63"/>
        <v>0</v>
      </c>
      <c r="K87" s="221">
        <f t="shared" ca="1" si="50"/>
        <v>0</v>
      </c>
      <c r="L87" s="220">
        <f t="shared" ca="1" si="64"/>
        <v>0</v>
      </c>
      <c r="M87" s="221">
        <f t="shared" ca="1" si="51"/>
        <v>0</v>
      </c>
      <c r="N87" s="301">
        <v>30</v>
      </c>
      <c r="O87" s="301">
        <v>10</v>
      </c>
      <c r="P87" s="220">
        <f ca="1">IFERROR(__xludf.DUMMYFUNCTION("IMPORTRANGE(""https://docs.google.com/spreadsheets/d/1IYY_tgx_IHuhSq3AJ5eI5OnqOPBNLWSHKh2a30DoXe8/edit?usp=sharing"",""ระนอง!J313"")"),0)</f>
        <v>0</v>
      </c>
      <c r="Q87" s="221">
        <f t="shared" ca="1" si="52"/>
        <v>0</v>
      </c>
      <c r="R87" s="220">
        <f ca="1">IFERROR(__xludf.DUMMYFUNCTION("IMPORTRANGE(""https://docs.google.com/spreadsheets/d/1IYY_tgx_IHuhSq3AJ5eI5OnqOPBNLWSHKh2a30DoXe8/edit?usp=sharing"",""ระนอง!J312"")"),0)</f>
        <v>0</v>
      </c>
      <c r="S87" s="221">
        <f t="shared" ca="1" si="53"/>
        <v>0</v>
      </c>
      <c r="T87" s="221">
        <f ca="1">IFERROR(__xludf.DUMMYFUNCTION("IMPORTRANGE(""https://docs.google.com/spreadsheets/d/1IYY_tgx_IHuhSq3AJ5eI5OnqOPBNLWSHKh2a30DoXe8/edit?usp=sharing"",""ระนอง!J314"")"),0)</f>
        <v>0</v>
      </c>
      <c r="U87" s="221">
        <f ca="1">IFERROR(__xludf.DUMMYFUNCTION("IMPORTRANGE(""https://docs.google.com/spreadsheets/d/1IYY_tgx_IHuhSq3AJ5eI5OnqOPBNLWSHKh2a30DoXe8/edit?usp=sharing"",""ระนอง!J315"")"),0)</f>
        <v>0</v>
      </c>
      <c r="V87" s="301">
        <v>75</v>
      </c>
      <c r="W87" s="301">
        <v>25</v>
      </c>
      <c r="X87" s="220">
        <f ca="1">IFERROR(__xludf.DUMMYFUNCTION("IMPORTRANGE(""https://docs.google.com/spreadsheets/d/1IYY_tgx_IHuhSq3AJ5eI5OnqOPBNLWSHKh2a30DoXe8/edit?usp=sharing"",""ระนอง!J317"")"),0)</f>
        <v>0</v>
      </c>
      <c r="Y87" s="221">
        <f t="shared" ca="1" si="54"/>
        <v>0</v>
      </c>
      <c r="Z87" s="220">
        <f ca="1">IFERROR(__xludf.DUMMYFUNCTION("IMPORTRANGE(""https://docs.google.com/spreadsheets/d/1IYY_tgx_IHuhSq3AJ5eI5OnqOPBNLWSHKh2a30DoXe8/edit?usp=sharing"",""ระนอง!J316"")"),0)</f>
        <v>0</v>
      </c>
      <c r="AA87" s="221">
        <f t="shared" ca="1" si="55"/>
        <v>0</v>
      </c>
      <c r="AB87" s="220">
        <f ca="1">IFERROR(__xludf.DUMMYFUNCTION("IMPORTRANGE(""https://docs.google.com/spreadsheets/d/1IYY_tgx_IHuhSq3AJ5eI5OnqOPBNLWSHKh2a30DoXe8/edit?usp=sharing"",""ระนอง!J318"")"),0)</f>
        <v>0</v>
      </c>
      <c r="AC87" s="220">
        <f ca="1">IFERROR(__xludf.DUMMYFUNCTION("IMPORTRANGE(""https://docs.google.com/spreadsheets/d/1IYY_tgx_IHuhSq3AJ5eI5OnqOPBNLWSHKh2a30DoXe8/edit?usp=sharing"",""ระนอง!J319"")"),0)</f>
        <v>0</v>
      </c>
      <c r="AD87" s="220">
        <f ca="1">IFERROR(__xludf.DUMMYFUNCTION("IMPORTRANGE(""https://docs.google.com/spreadsheets/d/1IYY_tgx_IHuhSq3AJ5eI5OnqOPBNLWSHKh2a30DoXe8/edit?usp=sharing"",""ระนอง!J320"")"),0)</f>
        <v>0</v>
      </c>
      <c r="AE87" s="301">
        <v>60</v>
      </c>
      <c r="AF87" s="301">
        <v>20</v>
      </c>
      <c r="AG87" s="220">
        <f ca="1">IFERROR(__xludf.DUMMYFUNCTION("IMPORTRANGE(""https://docs.google.com/spreadsheets/d/1IYY_tgx_IHuhSq3AJ5eI5OnqOPBNLWSHKh2a30DoXe8/edit?usp=sharing"",""ระนอง!J322"")"),0)</f>
        <v>0</v>
      </c>
      <c r="AH87" s="221">
        <f t="shared" ca="1" si="56"/>
        <v>0</v>
      </c>
      <c r="AI87" s="220">
        <f ca="1">IFERROR(__xludf.DUMMYFUNCTION("IMPORTRANGE(""https://docs.google.com/spreadsheets/d/1IYY_tgx_IHuhSq3AJ5eI5OnqOPBNLWSHKh2a30DoXe8/edit?usp=sharing"",""ระนอง!J321"")"),0)</f>
        <v>0</v>
      </c>
      <c r="AJ87" s="221">
        <f t="shared" ca="1" si="57"/>
        <v>0</v>
      </c>
      <c r="AK87" s="220">
        <f ca="1">IFERROR(__xludf.DUMMYFUNCTION("IMPORTRANGE(""https://docs.google.com/spreadsheets/d/1IYY_tgx_IHuhSq3AJ5eI5OnqOPBNLWSHKh2a30DoXe8/edit?usp=sharing"",""ระนอง!J323"")"),0)</f>
        <v>0</v>
      </c>
      <c r="AL87" s="220">
        <f ca="1">IFERROR(__xludf.DUMMYFUNCTION("IMPORTRANGE(""https://docs.google.com/spreadsheets/d/1IYY_tgx_IHuhSq3AJ5eI5OnqOPBNLWSHKh2a30DoXe8/edit?usp=sharing"",""ระนอง!J324"")"),0)</f>
        <v>0</v>
      </c>
      <c r="AM87" s="220">
        <f t="shared" si="65"/>
        <v>35</v>
      </c>
      <c r="AN87" s="220">
        <f t="shared" ca="1" si="66"/>
        <v>0</v>
      </c>
      <c r="AO87" s="221">
        <f t="shared" ca="1" si="58"/>
        <v>0</v>
      </c>
      <c r="AP87" s="301">
        <v>10</v>
      </c>
      <c r="AQ87" s="220">
        <f ca="1">IFERROR(__xludf.DUMMYFUNCTION("IMPORTRANGE(""https://docs.google.com/spreadsheets/d/1IYY_tgx_IHuhSq3AJ5eI5OnqOPBNLWSHKh2a30DoXe8/edit?usp=sharing"",""ระนอง!J326"")"),0)</f>
        <v>0</v>
      </c>
      <c r="AR87" s="301">
        <v>25</v>
      </c>
      <c r="AS87" s="313">
        <f ca="1">IFERROR(__xludf.DUMMYFUNCTION("IMPORTRANGE(""https://docs.google.com/spreadsheets/d/1IYY_tgx_IHuhSq3AJ5eI5OnqOPBNLWSHKh2a30DoXe8/edit?usp=sharing"",""ระนอง!J327"")"),0)</f>
        <v>0</v>
      </c>
    </row>
    <row r="88" spans="1:45" ht="24" customHeight="1" x14ac:dyDescent="0.5">
      <c r="A88" s="216">
        <v>12</v>
      </c>
      <c r="B88" s="194" t="s">
        <v>103</v>
      </c>
      <c r="C88" s="312">
        <f t="shared" si="60"/>
        <v>158400</v>
      </c>
      <c r="D88" s="218">
        <v>0</v>
      </c>
      <c r="E88" s="218">
        <v>158400</v>
      </c>
      <c r="F88" s="219">
        <f ca="1">IFERROR(__xludf.DUMMYFUNCTION("IMPORTRANGE(""https://docs.google.com/spreadsheets/d/1IYY_tgx_IHuhSq3AJ5eI5OnqOPBNLWSHKh2a30DoXe8/edit?usp=sharing"",""สงขลา!M299"")"),0)</f>
        <v>0</v>
      </c>
      <c r="G88" s="219">
        <f t="shared" ca="1" si="49"/>
        <v>0</v>
      </c>
      <c r="H88" s="220">
        <f t="shared" si="61"/>
        <v>150</v>
      </c>
      <c r="I88" s="220">
        <f t="shared" si="62"/>
        <v>50</v>
      </c>
      <c r="J88" s="220">
        <f t="shared" ca="1" si="63"/>
        <v>0</v>
      </c>
      <c r="K88" s="221">
        <f t="shared" ca="1" si="50"/>
        <v>0</v>
      </c>
      <c r="L88" s="220">
        <f t="shared" ca="1" si="64"/>
        <v>0</v>
      </c>
      <c r="M88" s="221">
        <f t="shared" ca="1" si="51"/>
        <v>0</v>
      </c>
      <c r="N88" s="301">
        <v>0</v>
      </c>
      <c r="O88" s="301">
        <v>0</v>
      </c>
      <c r="P88" s="220">
        <f ca="1">IFERROR(__xludf.DUMMYFUNCTION("IMPORTRANGE(""https://docs.google.com/spreadsheets/d/1IYY_tgx_IHuhSq3AJ5eI5OnqOPBNLWSHKh2a30DoXe8/edit?usp=sharing"",""สงขลา!J313"")"),0)</f>
        <v>0</v>
      </c>
      <c r="Q88" s="221">
        <f t="shared" si="52"/>
        <v>0</v>
      </c>
      <c r="R88" s="220">
        <f ca="1">IFERROR(__xludf.DUMMYFUNCTION("IMPORTRANGE(""https://docs.google.com/spreadsheets/d/1IYY_tgx_IHuhSq3AJ5eI5OnqOPBNLWSHKh2a30DoXe8/edit?usp=sharing"",""สงขลา!J312"")"),0)</f>
        <v>0</v>
      </c>
      <c r="S88" s="221">
        <f t="shared" si="53"/>
        <v>0</v>
      </c>
      <c r="T88" s="221">
        <f ca="1">IFERROR(__xludf.DUMMYFUNCTION("IMPORTRANGE(""https://docs.google.com/spreadsheets/d/1IYY_tgx_IHuhSq3AJ5eI5OnqOPBNLWSHKh2a30DoXe8/edit?usp=sharing"",""สงขลา!J314"")"),0)</f>
        <v>0</v>
      </c>
      <c r="U88" s="221">
        <f ca="1">IFERROR(__xludf.DUMMYFUNCTION("IMPORTRANGE(""https://docs.google.com/spreadsheets/d/1IYY_tgx_IHuhSq3AJ5eI5OnqOPBNLWSHKh2a30DoXe8/edit?usp=sharing"",""สงขลา!J315"")"),0)</f>
        <v>0</v>
      </c>
      <c r="V88" s="301">
        <v>120</v>
      </c>
      <c r="W88" s="301">
        <v>40</v>
      </c>
      <c r="X88" s="220">
        <f ca="1">IFERROR(__xludf.DUMMYFUNCTION("IMPORTRANGE(""https://docs.google.com/spreadsheets/d/1IYY_tgx_IHuhSq3AJ5eI5OnqOPBNLWSHKh2a30DoXe8/edit?usp=sharing"",""สงขลา!J317"")"),0)</f>
        <v>0</v>
      </c>
      <c r="Y88" s="221">
        <f t="shared" ca="1" si="54"/>
        <v>0</v>
      </c>
      <c r="Z88" s="220">
        <f ca="1">IFERROR(__xludf.DUMMYFUNCTION("IMPORTRANGE(""https://docs.google.com/spreadsheets/d/1IYY_tgx_IHuhSq3AJ5eI5OnqOPBNLWSHKh2a30DoXe8/edit?usp=sharing"",""สงขลา!J316"")"),0)</f>
        <v>0</v>
      </c>
      <c r="AA88" s="221">
        <f t="shared" ca="1" si="55"/>
        <v>0</v>
      </c>
      <c r="AB88" s="220">
        <f ca="1">IFERROR(__xludf.DUMMYFUNCTION("IMPORTRANGE(""https://docs.google.com/spreadsheets/d/1IYY_tgx_IHuhSq3AJ5eI5OnqOPBNLWSHKh2a30DoXe8/edit?usp=sharing"",""สงขลา!J318"")"),0)</f>
        <v>0</v>
      </c>
      <c r="AC88" s="220">
        <f ca="1">IFERROR(__xludf.DUMMYFUNCTION("IMPORTRANGE(""https://docs.google.com/spreadsheets/d/1IYY_tgx_IHuhSq3AJ5eI5OnqOPBNLWSHKh2a30DoXe8/edit?usp=sharing"",""สงขลา!J319"")"),0)</f>
        <v>0</v>
      </c>
      <c r="AD88" s="220">
        <f ca="1">IFERROR(__xludf.DUMMYFUNCTION("IMPORTRANGE(""https://docs.google.com/spreadsheets/d/1IYY_tgx_IHuhSq3AJ5eI5OnqOPBNLWSHKh2a30DoXe8/edit?usp=sharing"",""สงขลา!J320"")"),0)</f>
        <v>0</v>
      </c>
      <c r="AE88" s="301">
        <v>30</v>
      </c>
      <c r="AF88" s="301">
        <v>10</v>
      </c>
      <c r="AG88" s="220">
        <f ca="1">IFERROR(__xludf.DUMMYFUNCTION("IMPORTRANGE(""https://docs.google.com/spreadsheets/d/1IYY_tgx_IHuhSq3AJ5eI5OnqOPBNLWSHKh2a30DoXe8/edit?usp=sharing"",""สงขลา!J322"")"),0)</f>
        <v>0</v>
      </c>
      <c r="AH88" s="221">
        <f t="shared" ca="1" si="56"/>
        <v>0</v>
      </c>
      <c r="AI88" s="220">
        <f ca="1">IFERROR(__xludf.DUMMYFUNCTION("IMPORTRANGE(""https://docs.google.com/spreadsheets/d/1IYY_tgx_IHuhSq3AJ5eI5OnqOPBNLWSHKh2a30DoXe8/edit?usp=sharing"",""สงขลา!J321"")"),0)</f>
        <v>0</v>
      </c>
      <c r="AJ88" s="221">
        <f t="shared" ca="1" si="57"/>
        <v>0</v>
      </c>
      <c r="AK88" s="220">
        <f ca="1">IFERROR(__xludf.DUMMYFUNCTION("IMPORTRANGE(""https://docs.google.com/spreadsheets/d/1IYY_tgx_IHuhSq3AJ5eI5OnqOPBNLWSHKh2a30DoXe8/edit?usp=sharing"",""สงขลา!J323"")"),0)</f>
        <v>0</v>
      </c>
      <c r="AL88" s="220">
        <f ca="1">IFERROR(__xludf.DUMMYFUNCTION("IMPORTRANGE(""https://docs.google.com/spreadsheets/d/1IYY_tgx_IHuhSq3AJ5eI5OnqOPBNLWSHKh2a30DoXe8/edit?usp=sharing"",""สงขลา!J324"")"),0)</f>
        <v>0</v>
      </c>
      <c r="AM88" s="220">
        <f t="shared" si="65"/>
        <v>40</v>
      </c>
      <c r="AN88" s="220">
        <f t="shared" ca="1" si="66"/>
        <v>0</v>
      </c>
      <c r="AO88" s="221">
        <f t="shared" ca="1" si="58"/>
        <v>0</v>
      </c>
      <c r="AP88" s="301">
        <v>0</v>
      </c>
      <c r="AQ88" s="220">
        <f ca="1">IFERROR(__xludf.DUMMYFUNCTION("IMPORTRANGE(""https://docs.google.com/spreadsheets/d/1IYY_tgx_IHuhSq3AJ5eI5OnqOPBNLWSHKh2a30DoXe8/edit?usp=sharing"",""สงขลา!J326"")"),0)</f>
        <v>0</v>
      </c>
      <c r="AR88" s="301">
        <v>40</v>
      </c>
      <c r="AS88" s="313">
        <f ca="1">IFERROR(__xludf.DUMMYFUNCTION("IMPORTRANGE(""https://docs.google.com/spreadsheets/d/1IYY_tgx_IHuhSq3AJ5eI5OnqOPBNLWSHKh2a30DoXe8/edit?usp=sharing"",""สงขลา!J327"")"),0)</f>
        <v>0</v>
      </c>
    </row>
    <row r="89" spans="1:45" ht="24" customHeight="1" x14ac:dyDescent="0.5">
      <c r="A89" s="216">
        <v>13</v>
      </c>
      <c r="B89" s="194" t="s">
        <v>104</v>
      </c>
      <c r="C89" s="312">
        <f t="shared" si="60"/>
        <v>81620</v>
      </c>
      <c r="D89" s="218">
        <v>0</v>
      </c>
      <c r="E89" s="218">
        <v>81620</v>
      </c>
      <c r="F89" s="219">
        <f ca="1">IFERROR(__xludf.DUMMYFUNCTION("IMPORTRANGE(""https://docs.google.com/spreadsheets/d/1IYY_tgx_IHuhSq3AJ5eI5OnqOPBNLWSHKh2a30DoXe8/edit?usp=sharing"",""สตูล!M299"")"),0)</f>
        <v>0</v>
      </c>
      <c r="G89" s="219">
        <f t="shared" ca="1" si="49"/>
        <v>0</v>
      </c>
      <c r="H89" s="220">
        <f t="shared" si="61"/>
        <v>75</v>
      </c>
      <c r="I89" s="220">
        <f t="shared" si="62"/>
        <v>25</v>
      </c>
      <c r="J89" s="220">
        <f t="shared" ca="1" si="63"/>
        <v>0</v>
      </c>
      <c r="K89" s="221">
        <f t="shared" ca="1" si="50"/>
        <v>0</v>
      </c>
      <c r="L89" s="220">
        <f t="shared" ca="1" si="64"/>
        <v>15</v>
      </c>
      <c r="M89" s="221">
        <f t="shared" ca="1" si="51"/>
        <v>60</v>
      </c>
      <c r="N89" s="301">
        <v>30</v>
      </c>
      <c r="O89" s="301">
        <v>10</v>
      </c>
      <c r="P89" s="220">
        <f ca="1">IFERROR(__xludf.DUMMYFUNCTION("IMPORTRANGE(""https://docs.google.com/spreadsheets/d/1IYY_tgx_IHuhSq3AJ5eI5OnqOPBNLWSHKh2a30DoXe8/edit?usp=sharing"",""สตูล!J313"")"),0)</f>
        <v>0</v>
      </c>
      <c r="Q89" s="221">
        <f t="shared" ca="1" si="52"/>
        <v>0</v>
      </c>
      <c r="R89" s="220">
        <f ca="1">IFERROR(__xludf.DUMMYFUNCTION("IMPORTRANGE(""https://docs.google.com/spreadsheets/d/1IYY_tgx_IHuhSq3AJ5eI5OnqOPBNLWSHKh2a30DoXe8/edit?usp=sharing"",""สตูล!J312"")"),0)</f>
        <v>0</v>
      </c>
      <c r="S89" s="221">
        <f t="shared" ca="1" si="53"/>
        <v>0</v>
      </c>
      <c r="T89" s="221">
        <f ca="1">IFERROR(__xludf.DUMMYFUNCTION("IMPORTRANGE(""https://docs.google.com/spreadsheets/d/1IYY_tgx_IHuhSq3AJ5eI5OnqOPBNLWSHKh2a30DoXe8/edit?usp=sharing"",""สตูล!J314"")"),0)</f>
        <v>0</v>
      </c>
      <c r="U89" s="221">
        <f ca="1">IFERROR(__xludf.DUMMYFUNCTION("IMPORTRANGE(""https://docs.google.com/spreadsheets/d/1IYY_tgx_IHuhSq3AJ5eI5OnqOPBNLWSHKh2a30DoXe8/edit?usp=sharing"",""สตูล!J315"")"),0)</f>
        <v>0</v>
      </c>
      <c r="V89" s="301">
        <v>0</v>
      </c>
      <c r="W89" s="301">
        <v>0</v>
      </c>
      <c r="X89" s="220">
        <f ca="1">IFERROR(__xludf.DUMMYFUNCTION("IMPORTRANGE(""https://docs.google.com/spreadsheets/d/1IYY_tgx_IHuhSq3AJ5eI5OnqOPBNLWSHKh2a30DoXe8/edit?usp=sharing"",""สตูล!J317"")"),0)</f>
        <v>0</v>
      </c>
      <c r="Y89" s="221">
        <f t="shared" si="54"/>
        <v>0</v>
      </c>
      <c r="Z89" s="220">
        <f ca="1">IFERROR(__xludf.DUMMYFUNCTION("IMPORTRANGE(""https://docs.google.com/spreadsheets/d/1IYY_tgx_IHuhSq3AJ5eI5OnqOPBNLWSHKh2a30DoXe8/edit?usp=sharing"",""สตูล!J316"")"),0)</f>
        <v>0</v>
      </c>
      <c r="AA89" s="221">
        <f t="shared" si="55"/>
        <v>0</v>
      </c>
      <c r="AB89" s="220">
        <f ca="1">IFERROR(__xludf.DUMMYFUNCTION("IMPORTRANGE(""https://docs.google.com/spreadsheets/d/1IYY_tgx_IHuhSq3AJ5eI5OnqOPBNLWSHKh2a30DoXe8/edit?usp=sharing"",""สตูล!J318"")"),0)</f>
        <v>0</v>
      </c>
      <c r="AC89" s="220">
        <f ca="1">IFERROR(__xludf.DUMMYFUNCTION("IMPORTRANGE(""https://docs.google.com/spreadsheets/d/1IYY_tgx_IHuhSq3AJ5eI5OnqOPBNLWSHKh2a30DoXe8/edit?usp=sharing"",""สตูล!J319"")"),0)</f>
        <v>0</v>
      </c>
      <c r="AD89" s="220">
        <f ca="1">IFERROR(__xludf.DUMMYFUNCTION("IMPORTRANGE(""https://docs.google.com/spreadsheets/d/1IYY_tgx_IHuhSq3AJ5eI5OnqOPBNLWSHKh2a30DoXe8/edit?usp=sharing"",""สตูล!J320"")"),0)</f>
        <v>0</v>
      </c>
      <c r="AE89" s="301">
        <v>45</v>
      </c>
      <c r="AF89" s="301">
        <v>15</v>
      </c>
      <c r="AG89" s="220">
        <f ca="1">IFERROR(__xludf.DUMMYFUNCTION("IMPORTRANGE(""https://docs.google.com/spreadsheets/d/1IYY_tgx_IHuhSq3AJ5eI5OnqOPBNLWSHKh2a30DoXe8/edit?usp=sharing"",""สตูล!J322"")"),0)</f>
        <v>0</v>
      </c>
      <c r="AH89" s="221">
        <f t="shared" ca="1" si="56"/>
        <v>0</v>
      </c>
      <c r="AI89" s="220">
        <f ca="1">IFERROR(__xludf.DUMMYFUNCTION("IMPORTRANGE(""https://docs.google.com/spreadsheets/d/1IYY_tgx_IHuhSq3AJ5eI5OnqOPBNLWSHKh2a30DoXe8/edit?usp=sharing"",""สตูล!J321"")"),15)</f>
        <v>15</v>
      </c>
      <c r="AJ89" s="221">
        <f t="shared" ca="1" si="57"/>
        <v>100</v>
      </c>
      <c r="AK89" s="220">
        <f ca="1">IFERROR(__xludf.DUMMYFUNCTION("IMPORTRANGE(""https://docs.google.com/spreadsheets/d/1IYY_tgx_IHuhSq3AJ5eI5OnqOPBNLWSHKh2a30DoXe8/edit?usp=sharing"",""สตูล!J323"")"),15)</f>
        <v>15</v>
      </c>
      <c r="AL89" s="220">
        <f ca="1">IFERROR(__xludf.DUMMYFUNCTION("IMPORTRANGE(""https://docs.google.com/spreadsheets/d/1IYY_tgx_IHuhSq3AJ5eI5OnqOPBNLWSHKh2a30DoXe8/edit?usp=sharing"",""สตูล!J324"")"),15)</f>
        <v>15</v>
      </c>
      <c r="AM89" s="220">
        <f t="shared" si="65"/>
        <v>10</v>
      </c>
      <c r="AN89" s="220">
        <f t="shared" ca="1" si="66"/>
        <v>0</v>
      </c>
      <c r="AO89" s="221">
        <f t="shared" ca="1" si="58"/>
        <v>0</v>
      </c>
      <c r="AP89" s="301">
        <v>10</v>
      </c>
      <c r="AQ89" s="220">
        <f ca="1">IFERROR(__xludf.DUMMYFUNCTION("IMPORTRANGE(""https://docs.google.com/spreadsheets/d/1IYY_tgx_IHuhSq3AJ5eI5OnqOPBNLWSHKh2a30DoXe8/edit?usp=sharing"",""สตูล!J326"")"),0)</f>
        <v>0</v>
      </c>
      <c r="AR89" s="301">
        <v>0</v>
      </c>
      <c r="AS89" s="313">
        <f ca="1">IFERROR(__xludf.DUMMYFUNCTION("IMPORTRANGE(""https://docs.google.com/spreadsheets/d/1IYY_tgx_IHuhSq3AJ5eI5OnqOPBNLWSHKh2a30DoXe8/edit?usp=sharing"",""สตูล!J327"")"),0)</f>
        <v>0</v>
      </c>
    </row>
    <row r="90" spans="1:45" ht="24" customHeight="1" x14ac:dyDescent="0.5">
      <c r="A90" s="222">
        <v>14</v>
      </c>
      <c r="B90" s="195" t="s">
        <v>105</v>
      </c>
      <c r="C90" s="314">
        <f t="shared" si="60"/>
        <v>81620</v>
      </c>
      <c r="D90" s="223">
        <v>0</v>
      </c>
      <c r="E90" s="223">
        <v>81620</v>
      </c>
      <c r="F90" s="224">
        <f ca="1">IFERROR(__xludf.DUMMYFUNCTION("IMPORTRANGE(""https://docs.google.com/spreadsheets/d/1IYY_tgx_IHuhSq3AJ5eI5OnqOPBNLWSHKh2a30DoXe8/edit?usp=sharing"",""สุราษฎร์ธานี!M299"")"),0)</f>
        <v>0</v>
      </c>
      <c r="G90" s="224">
        <f t="shared" ca="1" si="49"/>
        <v>0</v>
      </c>
      <c r="H90" s="225">
        <f t="shared" si="61"/>
        <v>75</v>
      </c>
      <c r="I90" s="225">
        <f t="shared" si="62"/>
        <v>25</v>
      </c>
      <c r="J90" s="225">
        <f t="shared" ca="1" si="63"/>
        <v>0</v>
      </c>
      <c r="K90" s="226">
        <f t="shared" ca="1" si="50"/>
        <v>0</v>
      </c>
      <c r="L90" s="225">
        <f t="shared" ca="1" si="64"/>
        <v>0</v>
      </c>
      <c r="M90" s="226">
        <f t="shared" ca="1" si="51"/>
        <v>0</v>
      </c>
      <c r="N90" s="302">
        <v>30</v>
      </c>
      <c r="O90" s="302">
        <v>10</v>
      </c>
      <c r="P90" s="225">
        <f ca="1">IFERROR(__xludf.DUMMYFUNCTION("IMPORTRANGE(""https://docs.google.com/spreadsheets/d/1IYY_tgx_IHuhSq3AJ5eI5OnqOPBNLWSHKh2a30DoXe8/edit?usp=sharing"",""สุราษฎร์ธานี!J313"")"),0)</f>
        <v>0</v>
      </c>
      <c r="Q90" s="226">
        <f t="shared" ca="1" si="52"/>
        <v>0</v>
      </c>
      <c r="R90" s="225">
        <f ca="1">IFERROR(__xludf.DUMMYFUNCTION("IMPORTRANGE(""https://docs.google.com/spreadsheets/d/1IYY_tgx_IHuhSq3AJ5eI5OnqOPBNLWSHKh2a30DoXe8/edit?usp=sharing"",""สุราษฎร์ธานี!J312"")"),0)</f>
        <v>0</v>
      </c>
      <c r="S90" s="226">
        <f t="shared" ca="1" si="53"/>
        <v>0</v>
      </c>
      <c r="T90" s="226">
        <f ca="1">IFERROR(__xludf.DUMMYFUNCTION("IMPORTRANGE(""https://docs.google.com/spreadsheets/d/1IYY_tgx_IHuhSq3AJ5eI5OnqOPBNLWSHKh2a30DoXe8/edit?usp=sharing"",""สุราษฎร์ธานี!J314"")"),0)</f>
        <v>0</v>
      </c>
      <c r="U90" s="226">
        <f ca="1">IFERROR(__xludf.DUMMYFUNCTION("IMPORTRANGE(""https://docs.google.com/spreadsheets/d/1IYY_tgx_IHuhSq3AJ5eI5OnqOPBNLWSHKh2a30DoXe8/edit?usp=sharing"",""สุราษฎร์ธานี!J315"")"),0)</f>
        <v>0</v>
      </c>
      <c r="V90" s="302">
        <v>0</v>
      </c>
      <c r="W90" s="302">
        <v>0</v>
      </c>
      <c r="X90" s="225">
        <f ca="1">IFERROR(__xludf.DUMMYFUNCTION("IMPORTRANGE(""https://docs.google.com/spreadsheets/d/1IYY_tgx_IHuhSq3AJ5eI5OnqOPBNLWSHKh2a30DoXe8/edit?usp=sharing"",""สุราษฎร์ธานี!J317"")"),0)</f>
        <v>0</v>
      </c>
      <c r="Y90" s="226">
        <f t="shared" si="54"/>
        <v>0</v>
      </c>
      <c r="Z90" s="225">
        <f ca="1">IFERROR(__xludf.DUMMYFUNCTION("IMPORTRANGE(""https://docs.google.com/spreadsheets/d/1IYY_tgx_IHuhSq3AJ5eI5OnqOPBNLWSHKh2a30DoXe8/edit?usp=sharing"",""สุราษฎร์ธานี!J316"")"),0)</f>
        <v>0</v>
      </c>
      <c r="AA90" s="226">
        <f t="shared" si="55"/>
        <v>0</v>
      </c>
      <c r="AB90" s="225">
        <f ca="1">IFERROR(__xludf.DUMMYFUNCTION("IMPORTRANGE(""https://docs.google.com/spreadsheets/d/1IYY_tgx_IHuhSq3AJ5eI5OnqOPBNLWSHKh2a30DoXe8/edit?usp=sharing"",""สุราษฎร์ธานี!J318"")"),0)</f>
        <v>0</v>
      </c>
      <c r="AC90" s="225">
        <f ca="1">IFERROR(__xludf.DUMMYFUNCTION("IMPORTRANGE(""https://docs.google.com/spreadsheets/d/1IYY_tgx_IHuhSq3AJ5eI5OnqOPBNLWSHKh2a30DoXe8/edit?usp=sharing"",""สุราษฎร์ธานี!J319"")"),0)</f>
        <v>0</v>
      </c>
      <c r="AD90" s="225">
        <f ca="1">IFERROR(__xludf.DUMMYFUNCTION("IMPORTRANGE(""https://docs.google.com/spreadsheets/d/1IYY_tgx_IHuhSq3AJ5eI5OnqOPBNLWSHKh2a30DoXe8/edit?usp=sharing"",""สุราษฎร์ธานี!J320"")"),0)</f>
        <v>0</v>
      </c>
      <c r="AE90" s="302">
        <v>45</v>
      </c>
      <c r="AF90" s="302">
        <v>15</v>
      </c>
      <c r="AG90" s="225">
        <f ca="1">IFERROR(__xludf.DUMMYFUNCTION("IMPORTRANGE(""https://docs.google.com/spreadsheets/d/1IYY_tgx_IHuhSq3AJ5eI5OnqOPBNLWSHKh2a30DoXe8/edit?usp=sharing"",""สุราษฎร์ธานี!J322"")"),0)</f>
        <v>0</v>
      </c>
      <c r="AH90" s="226">
        <f t="shared" ca="1" si="56"/>
        <v>0</v>
      </c>
      <c r="AI90" s="225">
        <f ca="1">IFERROR(__xludf.DUMMYFUNCTION("IMPORTRANGE(""https://docs.google.com/spreadsheets/d/1IYY_tgx_IHuhSq3AJ5eI5OnqOPBNLWSHKh2a30DoXe8/edit?usp=sharing"",""สุราษฎร์ธานี!J321"")"),0)</f>
        <v>0</v>
      </c>
      <c r="AJ90" s="226">
        <f t="shared" ca="1" si="57"/>
        <v>0</v>
      </c>
      <c r="AK90" s="225">
        <f ca="1">IFERROR(__xludf.DUMMYFUNCTION("IMPORTRANGE(""https://docs.google.com/spreadsheets/d/1IYY_tgx_IHuhSq3AJ5eI5OnqOPBNLWSHKh2a30DoXe8/edit?usp=sharing"",""สุราษฎร์ธานี!J323"")"),0)</f>
        <v>0</v>
      </c>
      <c r="AL90" s="225">
        <f ca="1">IFERROR(__xludf.DUMMYFUNCTION("IMPORTRANGE(""https://docs.google.com/spreadsheets/d/1IYY_tgx_IHuhSq3AJ5eI5OnqOPBNLWSHKh2a30DoXe8/edit?usp=sharing"",""สุราษฎร์ธานี!J324"")"),0)</f>
        <v>0</v>
      </c>
      <c r="AM90" s="225">
        <f t="shared" si="65"/>
        <v>10</v>
      </c>
      <c r="AN90" s="225">
        <f t="shared" ca="1" si="66"/>
        <v>0</v>
      </c>
      <c r="AO90" s="226">
        <f t="shared" ca="1" si="58"/>
        <v>0</v>
      </c>
      <c r="AP90" s="302">
        <v>10</v>
      </c>
      <c r="AQ90" s="225">
        <f ca="1">IFERROR(__xludf.DUMMYFUNCTION("IMPORTRANGE(""https://docs.google.com/spreadsheets/d/1IYY_tgx_IHuhSq3AJ5eI5OnqOPBNLWSHKh2a30DoXe8/edit?usp=sharing"",""สุราษฎร์ธานี!J326"")"),0)</f>
        <v>0</v>
      </c>
      <c r="AR90" s="302">
        <v>0</v>
      </c>
      <c r="AS90" s="315">
        <f ca="1">IFERROR(__xludf.DUMMYFUNCTION("IMPORTRANGE(""https://docs.google.com/spreadsheets/d/1IYY_tgx_IHuhSq3AJ5eI5OnqOPBNLWSHKh2a30DoXe8/edit?usp=sharing"",""สุราษฎร์ธานี!J327"")"),0)</f>
        <v>0</v>
      </c>
    </row>
    <row r="91" spans="1:45" ht="24" customHeight="1" x14ac:dyDescent="0.5">
      <c r="A91" s="804" t="s">
        <v>106</v>
      </c>
      <c r="B91" s="716"/>
      <c r="C91" s="298">
        <f>+C92+C93+C94+C95+C96+C97+C98+C99+C100+C101+C102+C103+C104+C105</f>
        <v>526170</v>
      </c>
      <c r="D91" s="182">
        <f>+D92+D93+D94+D95+D96+D97+D98+D99+D100+D101+D102+D103+D104+D105</f>
        <v>0</v>
      </c>
      <c r="E91" s="182">
        <f>+E92+E93+E94+E95+E96+E97+E98+E99+E100+E101+E102+E103+E104+E105</f>
        <v>526170</v>
      </c>
      <c r="F91" s="183">
        <f>+F92+F93+F94+F95+F96+F97+F98+F99+F100+F101+F102+F103+F104+F105</f>
        <v>0</v>
      </c>
      <c r="G91" s="183">
        <f t="shared" si="49"/>
        <v>0</v>
      </c>
      <c r="H91" s="182">
        <f>+H92+H93+H94+H95+H96+H97+H98+H99+H100+H101+H102+H103+H104+H105</f>
        <v>0</v>
      </c>
      <c r="I91" s="182">
        <f>+I92+I93+I94+I95+I96+I97+I98+I99+I100+I101+I102+I103+I104+I105</f>
        <v>0</v>
      </c>
      <c r="J91" s="182">
        <f>+J92+J93+J94+J95+J96+J97+J98+J99+J100+J101+J102+J103+J104+J105</f>
        <v>0</v>
      </c>
      <c r="K91" s="183">
        <f t="shared" si="50"/>
        <v>0</v>
      </c>
      <c r="L91" s="182">
        <f>+L92+L93+L94+L95+L96+L97+L98+L99+L100+L101+L102+L103+L104+L105</f>
        <v>0</v>
      </c>
      <c r="M91" s="183">
        <f t="shared" si="51"/>
        <v>0</v>
      </c>
      <c r="N91" s="182">
        <f>+N92+N93+N94+N95+N96+N97+N98+N99+N100+N101+N102+N103+N104+N105</f>
        <v>0</v>
      </c>
      <c r="O91" s="182">
        <f>+O92+O93+O94+O95+O96+O97+O98+O99+O100+O101+O102+O103+O104+O105</f>
        <v>0</v>
      </c>
      <c r="P91" s="182">
        <f>+P92+P93+P94+P95+P96+P97+P98+P99+P100+P101+P102+P103+P104+P105</f>
        <v>0</v>
      </c>
      <c r="Q91" s="183">
        <f t="shared" si="52"/>
        <v>0</v>
      </c>
      <c r="R91" s="182">
        <f>+R92+R93+R94+R95+R96+R97+R98+R99+R100+R101+R102+R103+R104+R105</f>
        <v>0</v>
      </c>
      <c r="S91" s="183">
        <f t="shared" si="53"/>
        <v>0</v>
      </c>
      <c r="T91" s="182">
        <f>+T92+T93+T94+T95+T96+T97+T98+T99+T100+T101+T102+T103+T104+T105</f>
        <v>0</v>
      </c>
      <c r="U91" s="182">
        <f>+U92+U93+U94+U95+U96+U97+U98+U99+U100+U101+U102+U103+U104+U105</f>
        <v>0</v>
      </c>
      <c r="V91" s="182">
        <f>+V92+V93+V94+V95+V96+V97+V98+V99+V100+V101+V102+V103+V104+V105</f>
        <v>0</v>
      </c>
      <c r="W91" s="182">
        <f>+W92+W93+W94+W95+W96+W97+W98+W99+W100+W101+W102+W103+W104+W105</f>
        <v>0</v>
      </c>
      <c r="X91" s="182">
        <f>+X92+X93+X94+X95+X96+X97+X98+X99+X100+X101+X102+X103+X104+X105</f>
        <v>0</v>
      </c>
      <c r="Y91" s="183">
        <f t="shared" si="54"/>
        <v>0</v>
      </c>
      <c r="Z91" s="182">
        <f>+Z92+Z93+Z94+Z95+Z96+Z97+Z98+Z99+Z100+Z101+Z102+Z103+Z104+Z105</f>
        <v>0</v>
      </c>
      <c r="AA91" s="183">
        <f t="shared" si="55"/>
        <v>0</v>
      </c>
      <c r="AB91" s="182">
        <f t="shared" ref="AB91:AG91" si="67">+AB92+AB93+AB94+AB95+AB96+AB97+AB98+AB99+AB100+AB101+AB102+AB103+AB104+AB105</f>
        <v>0</v>
      </c>
      <c r="AC91" s="182">
        <f t="shared" si="67"/>
        <v>0</v>
      </c>
      <c r="AD91" s="182">
        <f t="shared" si="67"/>
        <v>0</v>
      </c>
      <c r="AE91" s="182">
        <f t="shared" si="67"/>
        <v>0</v>
      </c>
      <c r="AF91" s="182">
        <f t="shared" si="67"/>
        <v>0</v>
      </c>
      <c r="AG91" s="182">
        <f t="shared" si="67"/>
        <v>0</v>
      </c>
      <c r="AH91" s="182">
        <f t="shared" si="56"/>
        <v>0</v>
      </c>
      <c r="AI91" s="182">
        <f>+AI92+AI93+AI94+AI95+AI96+AI97+AI98+AI99+AI100+AI101+AI102+AI103+AI104+AI105</f>
        <v>0</v>
      </c>
      <c r="AJ91" s="182">
        <f t="shared" si="57"/>
        <v>0</v>
      </c>
      <c r="AK91" s="182">
        <f>+AK92+AK93+AK94+AK95+AK96+AK97+AK98+AK99+AK100+AK101+AK102+AK103+AK104+AK105</f>
        <v>0</v>
      </c>
      <c r="AL91" s="182">
        <f>+AL92+AL93+AL94+AL95+AL96+AL97+AL98+AL99+AL100+AL101+AL102+AL103+AL104+AL105</f>
        <v>0</v>
      </c>
      <c r="AM91" s="182">
        <f>+AM92+AM93+AM94+AM95+AM96+AM97+AM98+AM99+AM100+AM101+AM102+AM103+AM104+AM105</f>
        <v>0</v>
      </c>
      <c r="AN91" s="182">
        <f>+AN92+AN93+AN94+AN95+AN96+AN97+AN98+AN99+AN100+AN101+AN102+AN103+AN104+AN105</f>
        <v>0</v>
      </c>
      <c r="AO91" s="182">
        <f t="shared" si="58"/>
        <v>0</v>
      </c>
      <c r="AP91" s="182">
        <f>+AP92+AP93+AP94+AP95+AP96+AP97+AP98+AP99+AP100+AP101+AP102+AP103+AP104+AP105</f>
        <v>0</v>
      </c>
      <c r="AQ91" s="182">
        <f>+AQ92+AQ93+AQ94+AQ95+AQ96+AQ97+AQ98+AQ99+AQ100+AQ101+AQ102+AQ103+AQ104+AQ105</f>
        <v>0</v>
      </c>
      <c r="AR91" s="182">
        <f>+AR92+AR93+AR94+AR95+AR96+AR97+AR98+AR99+AR100+AR101+AR102+AR103+AR104+AR105</f>
        <v>0</v>
      </c>
      <c r="AS91" s="182">
        <f>+AS92+AS93+AS94+AS95+AS96+AS97+AS98+AS99+AS100+AS101+AS102+AS103+AS104+AS105</f>
        <v>0</v>
      </c>
    </row>
    <row r="92" spans="1:45" ht="24" customHeight="1" x14ac:dyDescent="0.5">
      <c r="A92" s="227">
        <v>1</v>
      </c>
      <c r="B92" s="228" t="s">
        <v>107</v>
      </c>
      <c r="C92" s="309">
        <f t="shared" ref="C92:C105" si="68">+D92+E92</f>
        <v>0</v>
      </c>
      <c r="D92" s="193">
        <v>0</v>
      </c>
      <c r="E92" s="193">
        <v>0</v>
      </c>
      <c r="F92" s="192">
        <v>0</v>
      </c>
      <c r="G92" s="192">
        <f t="shared" si="49"/>
        <v>0</v>
      </c>
      <c r="H92" s="214">
        <f t="shared" ref="H92:H105" si="69">+N92+V92+AE92</f>
        <v>0</v>
      </c>
      <c r="I92" s="214">
        <f t="shared" ref="I92:I105" si="70">+O92+W92+AF92</f>
        <v>0</v>
      </c>
      <c r="J92" s="214">
        <v>0</v>
      </c>
      <c r="K92" s="215">
        <f t="shared" si="50"/>
        <v>0</v>
      </c>
      <c r="L92" s="214">
        <v>0</v>
      </c>
      <c r="M92" s="215">
        <f t="shared" si="51"/>
        <v>0</v>
      </c>
      <c r="N92" s="214">
        <v>0</v>
      </c>
      <c r="O92" s="214">
        <v>0</v>
      </c>
      <c r="P92" s="214">
        <v>0</v>
      </c>
      <c r="Q92" s="215">
        <f t="shared" si="52"/>
        <v>0</v>
      </c>
      <c r="R92" s="214">
        <v>0</v>
      </c>
      <c r="S92" s="215">
        <f t="shared" si="53"/>
        <v>0</v>
      </c>
      <c r="T92" s="215">
        <v>0</v>
      </c>
      <c r="U92" s="215">
        <v>0</v>
      </c>
      <c r="V92" s="214">
        <v>0</v>
      </c>
      <c r="W92" s="214">
        <v>0</v>
      </c>
      <c r="X92" s="214">
        <v>0</v>
      </c>
      <c r="Y92" s="215">
        <f t="shared" si="54"/>
        <v>0</v>
      </c>
      <c r="Z92" s="214">
        <f t="shared" ref="Z92:Z105" si="71">SUM(AB92:AD92)</f>
        <v>0</v>
      </c>
      <c r="AA92" s="215">
        <f t="shared" si="55"/>
        <v>0</v>
      </c>
      <c r="AB92" s="214">
        <v>0</v>
      </c>
      <c r="AC92" s="214">
        <v>0</v>
      </c>
      <c r="AD92" s="214">
        <v>0</v>
      </c>
      <c r="AE92" s="214">
        <v>0</v>
      </c>
      <c r="AF92" s="214">
        <v>0</v>
      </c>
      <c r="AG92" s="214">
        <v>0</v>
      </c>
      <c r="AH92" s="215">
        <f t="shared" si="56"/>
        <v>0</v>
      </c>
      <c r="AI92" s="214">
        <f t="shared" ref="AI92:AI105" si="72">SUM(AK92:AL92)</f>
        <v>0</v>
      </c>
      <c r="AJ92" s="215">
        <f t="shared" si="57"/>
        <v>0</v>
      </c>
      <c r="AK92" s="214">
        <v>0</v>
      </c>
      <c r="AL92" s="214">
        <v>0</v>
      </c>
      <c r="AM92" s="214">
        <f t="shared" ref="AM92:AM105" si="73">+AP92+AR92</f>
        <v>0</v>
      </c>
      <c r="AN92" s="214">
        <f t="shared" ref="AN92:AN105" si="74">SUM(AQ92,AS92)</f>
        <v>0</v>
      </c>
      <c r="AO92" s="215">
        <f t="shared" si="58"/>
        <v>0</v>
      </c>
      <c r="AP92" s="214">
        <v>0</v>
      </c>
      <c r="AQ92" s="214">
        <v>0</v>
      </c>
      <c r="AR92" s="214">
        <v>0</v>
      </c>
      <c r="AS92" s="311">
        <v>0</v>
      </c>
    </row>
    <row r="93" spans="1:45" ht="24" customHeight="1" x14ac:dyDescent="0.5">
      <c r="A93" s="229">
        <v>2</v>
      </c>
      <c r="B93" s="230" t="s">
        <v>108</v>
      </c>
      <c r="C93" s="312">
        <f t="shared" si="68"/>
        <v>0</v>
      </c>
      <c r="D93" s="218">
        <v>0</v>
      </c>
      <c r="E93" s="218">
        <v>0</v>
      </c>
      <c r="F93" s="219">
        <v>0</v>
      </c>
      <c r="G93" s="219">
        <f t="shared" si="49"/>
        <v>0</v>
      </c>
      <c r="H93" s="220">
        <f t="shared" si="69"/>
        <v>0</v>
      </c>
      <c r="I93" s="220">
        <f t="shared" si="70"/>
        <v>0</v>
      </c>
      <c r="J93" s="220">
        <v>0</v>
      </c>
      <c r="K93" s="221">
        <f t="shared" si="50"/>
        <v>0</v>
      </c>
      <c r="L93" s="220">
        <v>0</v>
      </c>
      <c r="M93" s="221">
        <f t="shared" si="51"/>
        <v>0</v>
      </c>
      <c r="N93" s="220">
        <v>0</v>
      </c>
      <c r="O93" s="220">
        <v>0</v>
      </c>
      <c r="P93" s="220">
        <v>0</v>
      </c>
      <c r="Q93" s="221">
        <f t="shared" si="52"/>
        <v>0</v>
      </c>
      <c r="R93" s="220">
        <v>0</v>
      </c>
      <c r="S93" s="221">
        <f t="shared" si="53"/>
        <v>0</v>
      </c>
      <c r="T93" s="221">
        <v>0</v>
      </c>
      <c r="U93" s="221">
        <v>0</v>
      </c>
      <c r="V93" s="220">
        <v>0</v>
      </c>
      <c r="W93" s="220">
        <v>0</v>
      </c>
      <c r="X93" s="220">
        <v>0</v>
      </c>
      <c r="Y93" s="221">
        <f t="shared" si="54"/>
        <v>0</v>
      </c>
      <c r="Z93" s="220">
        <f t="shared" si="71"/>
        <v>0</v>
      </c>
      <c r="AA93" s="221">
        <f t="shared" si="55"/>
        <v>0</v>
      </c>
      <c r="AB93" s="220">
        <v>0</v>
      </c>
      <c r="AC93" s="220">
        <v>0</v>
      </c>
      <c r="AD93" s="220">
        <v>0</v>
      </c>
      <c r="AE93" s="220">
        <v>0</v>
      </c>
      <c r="AF93" s="220">
        <v>0</v>
      </c>
      <c r="AG93" s="220">
        <v>0</v>
      </c>
      <c r="AH93" s="221">
        <f t="shared" si="56"/>
        <v>0</v>
      </c>
      <c r="AI93" s="220">
        <f t="shared" si="72"/>
        <v>0</v>
      </c>
      <c r="AJ93" s="221">
        <f t="shared" si="57"/>
        <v>0</v>
      </c>
      <c r="AK93" s="220">
        <v>0</v>
      </c>
      <c r="AL93" s="220">
        <v>0</v>
      </c>
      <c r="AM93" s="220">
        <f t="shared" si="73"/>
        <v>0</v>
      </c>
      <c r="AN93" s="220">
        <f t="shared" si="74"/>
        <v>0</v>
      </c>
      <c r="AO93" s="221">
        <f t="shared" si="58"/>
        <v>0</v>
      </c>
      <c r="AP93" s="220">
        <v>0</v>
      </c>
      <c r="AQ93" s="220">
        <v>0</v>
      </c>
      <c r="AR93" s="220">
        <v>0</v>
      </c>
      <c r="AS93" s="313">
        <v>0</v>
      </c>
    </row>
    <row r="94" spans="1:45" ht="24" customHeight="1" x14ac:dyDescent="0.5">
      <c r="A94" s="229">
        <v>3</v>
      </c>
      <c r="B94" s="230" t="s">
        <v>109</v>
      </c>
      <c r="C94" s="312">
        <f t="shared" si="68"/>
        <v>0</v>
      </c>
      <c r="D94" s="218">
        <v>0</v>
      </c>
      <c r="E94" s="218">
        <v>0</v>
      </c>
      <c r="F94" s="219">
        <v>0</v>
      </c>
      <c r="G94" s="219">
        <f t="shared" si="49"/>
        <v>0</v>
      </c>
      <c r="H94" s="220">
        <f t="shared" si="69"/>
        <v>0</v>
      </c>
      <c r="I94" s="220">
        <f t="shared" si="70"/>
        <v>0</v>
      </c>
      <c r="J94" s="220">
        <v>0</v>
      </c>
      <c r="K94" s="221">
        <f t="shared" si="50"/>
        <v>0</v>
      </c>
      <c r="L94" s="220">
        <v>0</v>
      </c>
      <c r="M94" s="221">
        <f t="shared" si="51"/>
        <v>0</v>
      </c>
      <c r="N94" s="220">
        <v>0</v>
      </c>
      <c r="O94" s="220">
        <v>0</v>
      </c>
      <c r="P94" s="220">
        <v>0</v>
      </c>
      <c r="Q94" s="221">
        <f t="shared" si="52"/>
        <v>0</v>
      </c>
      <c r="R94" s="220">
        <v>0</v>
      </c>
      <c r="S94" s="221">
        <f t="shared" si="53"/>
        <v>0</v>
      </c>
      <c r="T94" s="221">
        <v>0</v>
      </c>
      <c r="U94" s="221">
        <v>0</v>
      </c>
      <c r="V94" s="220">
        <v>0</v>
      </c>
      <c r="W94" s="220">
        <v>0</v>
      </c>
      <c r="X94" s="220">
        <v>0</v>
      </c>
      <c r="Y94" s="221">
        <f t="shared" si="54"/>
        <v>0</v>
      </c>
      <c r="Z94" s="220">
        <f t="shared" si="71"/>
        <v>0</v>
      </c>
      <c r="AA94" s="221">
        <f t="shared" si="55"/>
        <v>0</v>
      </c>
      <c r="AB94" s="220">
        <v>0</v>
      </c>
      <c r="AC94" s="220">
        <v>0</v>
      </c>
      <c r="AD94" s="220">
        <v>0</v>
      </c>
      <c r="AE94" s="220">
        <v>0</v>
      </c>
      <c r="AF94" s="220">
        <v>0</v>
      </c>
      <c r="AG94" s="220">
        <v>0</v>
      </c>
      <c r="AH94" s="221">
        <f t="shared" si="56"/>
        <v>0</v>
      </c>
      <c r="AI94" s="220">
        <f t="shared" si="72"/>
        <v>0</v>
      </c>
      <c r="AJ94" s="221">
        <f t="shared" si="57"/>
        <v>0</v>
      </c>
      <c r="AK94" s="220">
        <v>0</v>
      </c>
      <c r="AL94" s="220">
        <v>0</v>
      </c>
      <c r="AM94" s="220">
        <f t="shared" si="73"/>
        <v>0</v>
      </c>
      <c r="AN94" s="220">
        <f t="shared" si="74"/>
        <v>0</v>
      </c>
      <c r="AO94" s="221">
        <f t="shared" si="58"/>
        <v>0</v>
      </c>
      <c r="AP94" s="220">
        <v>0</v>
      </c>
      <c r="AQ94" s="220">
        <v>0</v>
      </c>
      <c r="AR94" s="220">
        <v>0</v>
      </c>
      <c r="AS94" s="313">
        <v>0</v>
      </c>
    </row>
    <row r="95" spans="1:45" ht="24" customHeight="1" x14ac:dyDescent="0.5">
      <c r="A95" s="229">
        <f t="shared" ref="A95:A105" si="75">+A94+1</f>
        <v>4</v>
      </c>
      <c r="B95" s="230" t="s">
        <v>110</v>
      </c>
      <c r="C95" s="312">
        <f t="shared" si="68"/>
        <v>0</v>
      </c>
      <c r="D95" s="218">
        <v>0</v>
      </c>
      <c r="E95" s="218">
        <v>0</v>
      </c>
      <c r="F95" s="219">
        <v>0</v>
      </c>
      <c r="G95" s="219">
        <f t="shared" si="49"/>
        <v>0</v>
      </c>
      <c r="H95" s="220">
        <f t="shared" si="69"/>
        <v>0</v>
      </c>
      <c r="I95" s="220">
        <f t="shared" si="70"/>
        <v>0</v>
      </c>
      <c r="J95" s="220">
        <v>0</v>
      </c>
      <c r="K95" s="221">
        <f t="shared" si="50"/>
        <v>0</v>
      </c>
      <c r="L95" s="220">
        <v>0</v>
      </c>
      <c r="M95" s="221">
        <f t="shared" si="51"/>
        <v>0</v>
      </c>
      <c r="N95" s="220">
        <v>0</v>
      </c>
      <c r="O95" s="220">
        <v>0</v>
      </c>
      <c r="P95" s="220">
        <v>0</v>
      </c>
      <c r="Q95" s="221">
        <f t="shared" si="52"/>
        <v>0</v>
      </c>
      <c r="R95" s="220">
        <v>0</v>
      </c>
      <c r="S95" s="221">
        <f t="shared" si="53"/>
        <v>0</v>
      </c>
      <c r="T95" s="221">
        <v>0</v>
      </c>
      <c r="U95" s="221">
        <v>0</v>
      </c>
      <c r="V95" s="220">
        <v>0</v>
      </c>
      <c r="W95" s="220">
        <v>0</v>
      </c>
      <c r="X95" s="220">
        <v>0</v>
      </c>
      <c r="Y95" s="221">
        <f t="shared" si="54"/>
        <v>0</v>
      </c>
      <c r="Z95" s="220">
        <f t="shared" si="71"/>
        <v>0</v>
      </c>
      <c r="AA95" s="221">
        <f t="shared" si="55"/>
        <v>0</v>
      </c>
      <c r="AB95" s="220">
        <v>0</v>
      </c>
      <c r="AC95" s="220">
        <v>0</v>
      </c>
      <c r="AD95" s="220">
        <v>0</v>
      </c>
      <c r="AE95" s="220">
        <v>0</v>
      </c>
      <c r="AF95" s="220">
        <v>0</v>
      </c>
      <c r="AG95" s="220">
        <v>0</v>
      </c>
      <c r="AH95" s="221">
        <f t="shared" si="56"/>
        <v>0</v>
      </c>
      <c r="AI95" s="220">
        <f t="shared" si="72"/>
        <v>0</v>
      </c>
      <c r="AJ95" s="221">
        <f t="shared" si="57"/>
        <v>0</v>
      </c>
      <c r="AK95" s="220">
        <v>0</v>
      </c>
      <c r="AL95" s="220">
        <v>0</v>
      </c>
      <c r="AM95" s="220">
        <f t="shared" si="73"/>
        <v>0</v>
      </c>
      <c r="AN95" s="220">
        <f t="shared" si="74"/>
        <v>0</v>
      </c>
      <c r="AO95" s="221">
        <f t="shared" si="58"/>
        <v>0</v>
      </c>
      <c r="AP95" s="220">
        <v>0</v>
      </c>
      <c r="AQ95" s="220">
        <v>0</v>
      </c>
      <c r="AR95" s="220">
        <v>0</v>
      </c>
      <c r="AS95" s="313">
        <v>0</v>
      </c>
    </row>
    <row r="96" spans="1:45" ht="24" customHeight="1" x14ac:dyDescent="0.5">
      <c r="A96" s="229">
        <f t="shared" si="75"/>
        <v>5</v>
      </c>
      <c r="B96" s="230" t="s">
        <v>111</v>
      </c>
      <c r="C96" s="312">
        <f t="shared" si="68"/>
        <v>0</v>
      </c>
      <c r="D96" s="218">
        <v>0</v>
      </c>
      <c r="E96" s="218">
        <v>0</v>
      </c>
      <c r="F96" s="219">
        <v>0</v>
      </c>
      <c r="G96" s="219">
        <f t="shared" si="49"/>
        <v>0</v>
      </c>
      <c r="H96" s="220">
        <f t="shared" si="69"/>
        <v>0</v>
      </c>
      <c r="I96" s="220">
        <f t="shared" si="70"/>
        <v>0</v>
      </c>
      <c r="J96" s="220">
        <v>0</v>
      </c>
      <c r="K96" s="221">
        <f t="shared" si="50"/>
        <v>0</v>
      </c>
      <c r="L96" s="220">
        <v>0</v>
      </c>
      <c r="M96" s="221">
        <f t="shared" si="51"/>
        <v>0</v>
      </c>
      <c r="N96" s="220">
        <v>0</v>
      </c>
      <c r="O96" s="220">
        <v>0</v>
      </c>
      <c r="P96" s="220">
        <v>0</v>
      </c>
      <c r="Q96" s="221">
        <f t="shared" si="52"/>
        <v>0</v>
      </c>
      <c r="R96" s="220">
        <v>0</v>
      </c>
      <c r="S96" s="221">
        <f t="shared" si="53"/>
        <v>0</v>
      </c>
      <c r="T96" s="221">
        <v>0</v>
      </c>
      <c r="U96" s="221">
        <v>0</v>
      </c>
      <c r="V96" s="220">
        <v>0</v>
      </c>
      <c r="W96" s="220">
        <v>0</v>
      </c>
      <c r="X96" s="220">
        <v>0</v>
      </c>
      <c r="Y96" s="221">
        <f t="shared" si="54"/>
        <v>0</v>
      </c>
      <c r="Z96" s="220">
        <f t="shared" si="71"/>
        <v>0</v>
      </c>
      <c r="AA96" s="221">
        <f t="shared" si="55"/>
        <v>0</v>
      </c>
      <c r="AB96" s="220">
        <v>0</v>
      </c>
      <c r="AC96" s="220">
        <v>0</v>
      </c>
      <c r="AD96" s="220">
        <v>0</v>
      </c>
      <c r="AE96" s="220">
        <v>0</v>
      </c>
      <c r="AF96" s="220">
        <v>0</v>
      </c>
      <c r="AG96" s="220">
        <v>0</v>
      </c>
      <c r="AH96" s="221">
        <f t="shared" si="56"/>
        <v>0</v>
      </c>
      <c r="AI96" s="220">
        <f t="shared" si="72"/>
        <v>0</v>
      </c>
      <c r="AJ96" s="221">
        <f t="shared" si="57"/>
        <v>0</v>
      </c>
      <c r="AK96" s="220">
        <v>0</v>
      </c>
      <c r="AL96" s="220">
        <v>0</v>
      </c>
      <c r="AM96" s="220">
        <f t="shared" si="73"/>
        <v>0</v>
      </c>
      <c r="AN96" s="220">
        <f t="shared" si="74"/>
        <v>0</v>
      </c>
      <c r="AO96" s="221">
        <f t="shared" si="58"/>
        <v>0</v>
      </c>
      <c r="AP96" s="220">
        <v>0</v>
      </c>
      <c r="AQ96" s="220">
        <v>0</v>
      </c>
      <c r="AR96" s="220">
        <v>0</v>
      </c>
      <c r="AS96" s="313">
        <v>0</v>
      </c>
    </row>
    <row r="97" spans="1:45" ht="24" customHeight="1" x14ac:dyDescent="0.5">
      <c r="A97" s="229">
        <f t="shared" si="75"/>
        <v>6</v>
      </c>
      <c r="B97" s="230" t="s">
        <v>112</v>
      </c>
      <c r="C97" s="312">
        <f t="shared" si="68"/>
        <v>0</v>
      </c>
      <c r="D97" s="218">
        <v>0</v>
      </c>
      <c r="E97" s="218">
        <v>0</v>
      </c>
      <c r="F97" s="219">
        <v>0</v>
      </c>
      <c r="G97" s="219">
        <f t="shared" si="49"/>
        <v>0</v>
      </c>
      <c r="H97" s="220">
        <f t="shared" si="69"/>
        <v>0</v>
      </c>
      <c r="I97" s="220">
        <f t="shared" si="70"/>
        <v>0</v>
      </c>
      <c r="J97" s="220">
        <v>0</v>
      </c>
      <c r="K97" s="221">
        <f t="shared" si="50"/>
        <v>0</v>
      </c>
      <c r="L97" s="220">
        <v>0</v>
      </c>
      <c r="M97" s="221">
        <f t="shared" si="51"/>
        <v>0</v>
      </c>
      <c r="N97" s="220">
        <v>0</v>
      </c>
      <c r="O97" s="220">
        <v>0</v>
      </c>
      <c r="P97" s="220">
        <v>0</v>
      </c>
      <c r="Q97" s="221">
        <f t="shared" si="52"/>
        <v>0</v>
      </c>
      <c r="R97" s="220">
        <v>0</v>
      </c>
      <c r="S97" s="221">
        <f t="shared" si="53"/>
        <v>0</v>
      </c>
      <c r="T97" s="221">
        <v>0</v>
      </c>
      <c r="U97" s="221">
        <v>0</v>
      </c>
      <c r="V97" s="220">
        <v>0</v>
      </c>
      <c r="W97" s="220">
        <v>0</v>
      </c>
      <c r="X97" s="220">
        <v>0</v>
      </c>
      <c r="Y97" s="221">
        <f t="shared" si="54"/>
        <v>0</v>
      </c>
      <c r="Z97" s="220">
        <f t="shared" si="71"/>
        <v>0</v>
      </c>
      <c r="AA97" s="221">
        <f t="shared" si="55"/>
        <v>0</v>
      </c>
      <c r="AB97" s="220">
        <v>0</v>
      </c>
      <c r="AC97" s="220">
        <v>0</v>
      </c>
      <c r="AD97" s="220">
        <v>0</v>
      </c>
      <c r="AE97" s="220">
        <v>0</v>
      </c>
      <c r="AF97" s="220">
        <v>0</v>
      </c>
      <c r="AG97" s="220">
        <v>0</v>
      </c>
      <c r="AH97" s="221">
        <f t="shared" si="56"/>
        <v>0</v>
      </c>
      <c r="AI97" s="220">
        <f t="shared" si="72"/>
        <v>0</v>
      </c>
      <c r="AJ97" s="221">
        <f t="shared" si="57"/>
        <v>0</v>
      </c>
      <c r="AK97" s="220">
        <v>0</v>
      </c>
      <c r="AL97" s="220">
        <v>0</v>
      </c>
      <c r="AM97" s="220">
        <f t="shared" si="73"/>
        <v>0</v>
      </c>
      <c r="AN97" s="220">
        <f t="shared" si="74"/>
        <v>0</v>
      </c>
      <c r="AO97" s="221">
        <f t="shared" si="58"/>
        <v>0</v>
      </c>
      <c r="AP97" s="220">
        <v>0</v>
      </c>
      <c r="AQ97" s="220">
        <v>0</v>
      </c>
      <c r="AR97" s="220">
        <v>0</v>
      </c>
      <c r="AS97" s="313">
        <v>0</v>
      </c>
    </row>
    <row r="98" spans="1:45" ht="24" customHeight="1" x14ac:dyDescent="0.5">
      <c r="A98" s="229">
        <f t="shared" si="75"/>
        <v>7</v>
      </c>
      <c r="B98" s="230" t="s">
        <v>113</v>
      </c>
      <c r="C98" s="312">
        <f t="shared" si="68"/>
        <v>526170</v>
      </c>
      <c r="D98" s="218">
        <v>0</v>
      </c>
      <c r="E98" s="218">
        <v>526170</v>
      </c>
      <c r="F98" s="219">
        <v>0</v>
      </c>
      <c r="G98" s="219">
        <f t="shared" si="49"/>
        <v>0</v>
      </c>
      <c r="H98" s="220">
        <f t="shared" si="69"/>
        <v>0</v>
      </c>
      <c r="I98" s="220">
        <f t="shared" si="70"/>
        <v>0</v>
      </c>
      <c r="J98" s="220">
        <v>0</v>
      </c>
      <c r="K98" s="221">
        <f t="shared" si="50"/>
        <v>0</v>
      </c>
      <c r="L98" s="220">
        <v>0</v>
      </c>
      <c r="M98" s="221">
        <f t="shared" si="51"/>
        <v>0</v>
      </c>
      <c r="N98" s="220">
        <v>0</v>
      </c>
      <c r="O98" s="220">
        <v>0</v>
      </c>
      <c r="P98" s="220">
        <v>0</v>
      </c>
      <c r="Q98" s="221">
        <f t="shared" si="52"/>
        <v>0</v>
      </c>
      <c r="R98" s="220">
        <v>0</v>
      </c>
      <c r="S98" s="221">
        <f t="shared" si="53"/>
        <v>0</v>
      </c>
      <c r="T98" s="221">
        <v>0</v>
      </c>
      <c r="U98" s="221">
        <v>0</v>
      </c>
      <c r="V98" s="220">
        <v>0</v>
      </c>
      <c r="W98" s="220">
        <v>0</v>
      </c>
      <c r="X98" s="220">
        <v>0</v>
      </c>
      <c r="Y98" s="221">
        <f t="shared" si="54"/>
        <v>0</v>
      </c>
      <c r="Z98" s="220">
        <f t="shared" si="71"/>
        <v>0</v>
      </c>
      <c r="AA98" s="221">
        <f t="shared" si="55"/>
        <v>0</v>
      </c>
      <c r="AB98" s="220">
        <v>0</v>
      </c>
      <c r="AC98" s="220">
        <v>0</v>
      </c>
      <c r="AD98" s="220">
        <v>0</v>
      </c>
      <c r="AE98" s="220">
        <v>0</v>
      </c>
      <c r="AF98" s="220">
        <v>0</v>
      </c>
      <c r="AG98" s="220">
        <v>0</v>
      </c>
      <c r="AH98" s="221">
        <f t="shared" si="56"/>
        <v>0</v>
      </c>
      <c r="AI98" s="220">
        <f t="shared" si="72"/>
        <v>0</v>
      </c>
      <c r="AJ98" s="221">
        <f t="shared" si="57"/>
        <v>0</v>
      </c>
      <c r="AK98" s="220">
        <v>0</v>
      </c>
      <c r="AL98" s="220">
        <v>0</v>
      </c>
      <c r="AM98" s="220">
        <f t="shared" si="73"/>
        <v>0</v>
      </c>
      <c r="AN98" s="220">
        <f t="shared" si="74"/>
        <v>0</v>
      </c>
      <c r="AO98" s="221">
        <f t="shared" si="58"/>
        <v>0</v>
      </c>
      <c r="AP98" s="220">
        <v>0</v>
      </c>
      <c r="AQ98" s="220">
        <v>0</v>
      </c>
      <c r="AR98" s="220">
        <v>0</v>
      </c>
      <c r="AS98" s="313">
        <v>0</v>
      </c>
    </row>
    <row r="99" spans="1:45" ht="24" customHeight="1" x14ac:dyDescent="0.5">
      <c r="A99" s="229">
        <f t="shared" si="75"/>
        <v>8</v>
      </c>
      <c r="B99" s="230" t="s">
        <v>114</v>
      </c>
      <c r="C99" s="312">
        <f t="shared" si="68"/>
        <v>0</v>
      </c>
      <c r="D99" s="218">
        <v>0</v>
      </c>
      <c r="E99" s="218">
        <v>0</v>
      </c>
      <c r="F99" s="219">
        <v>0</v>
      </c>
      <c r="G99" s="219">
        <f t="shared" si="49"/>
        <v>0</v>
      </c>
      <c r="H99" s="220">
        <f t="shared" si="69"/>
        <v>0</v>
      </c>
      <c r="I99" s="220">
        <f t="shared" si="70"/>
        <v>0</v>
      </c>
      <c r="J99" s="220">
        <v>0</v>
      </c>
      <c r="K99" s="221">
        <f t="shared" si="50"/>
        <v>0</v>
      </c>
      <c r="L99" s="220">
        <v>0</v>
      </c>
      <c r="M99" s="221">
        <f t="shared" si="51"/>
        <v>0</v>
      </c>
      <c r="N99" s="220">
        <v>0</v>
      </c>
      <c r="O99" s="220">
        <v>0</v>
      </c>
      <c r="P99" s="220">
        <v>0</v>
      </c>
      <c r="Q99" s="221">
        <f t="shared" si="52"/>
        <v>0</v>
      </c>
      <c r="R99" s="220">
        <v>0</v>
      </c>
      <c r="S99" s="221">
        <f t="shared" si="53"/>
        <v>0</v>
      </c>
      <c r="T99" s="221">
        <v>0</v>
      </c>
      <c r="U99" s="221">
        <v>0</v>
      </c>
      <c r="V99" s="220">
        <v>0</v>
      </c>
      <c r="W99" s="220">
        <v>0</v>
      </c>
      <c r="X99" s="220">
        <v>0</v>
      </c>
      <c r="Y99" s="221">
        <f t="shared" si="54"/>
        <v>0</v>
      </c>
      <c r="Z99" s="220">
        <f t="shared" si="71"/>
        <v>0</v>
      </c>
      <c r="AA99" s="221">
        <f t="shared" si="55"/>
        <v>0</v>
      </c>
      <c r="AB99" s="220">
        <v>0</v>
      </c>
      <c r="AC99" s="220">
        <v>0</v>
      </c>
      <c r="AD99" s="220">
        <v>0</v>
      </c>
      <c r="AE99" s="220">
        <v>0</v>
      </c>
      <c r="AF99" s="220">
        <v>0</v>
      </c>
      <c r="AG99" s="220">
        <v>0</v>
      </c>
      <c r="AH99" s="221">
        <f t="shared" si="56"/>
        <v>0</v>
      </c>
      <c r="AI99" s="220">
        <f t="shared" si="72"/>
        <v>0</v>
      </c>
      <c r="AJ99" s="221">
        <f t="shared" si="57"/>
        <v>0</v>
      </c>
      <c r="AK99" s="220">
        <v>0</v>
      </c>
      <c r="AL99" s="220">
        <v>0</v>
      </c>
      <c r="AM99" s="220">
        <f t="shared" si="73"/>
        <v>0</v>
      </c>
      <c r="AN99" s="220">
        <f t="shared" si="74"/>
        <v>0</v>
      </c>
      <c r="AO99" s="221">
        <f t="shared" si="58"/>
        <v>0</v>
      </c>
      <c r="AP99" s="220">
        <v>0</v>
      </c>
      <c r="AQ99" s="220">
        <v>0</v>
      </c>
      <c r="AR99" s="220">
        <v>0</v>
      </c>
      <c r="AS99" s="313">
        <v>0</v>
      </c>
    </row>
    <row r="100" spans="1:45" ht="24" customHeight="1" x14ac:dyDescent="0.5">
      <c r="A100" s="229">
        <f t="shared" si="75"/>
        <v>9</v>
      </c>
      <c r="B100" s="230" t="s">
        <v>115</v>
      </c>
      <c r="C100" s="312">
        <f t="shared" si="68"/>
        <v>0</v>
      </c>
      <c r="D100" s="218">
        <v>0</v>
      </c>
      <c r="E100" s="218">
        <v>0</v>
      </c>
      <c r="F100" s="219">
        <v>0</v>
      </c>
      <c r="G100" s="219">
        <f t="shared" si="49"/>
        <v>0</v>
      </c>
      <c r="H100" s="220">
        <f t="shared" si="69"/>
        <v>0</v>
      </c>
      <c r="I100" s="220">
        <f t="shared" si="70"/>
        <v>0</v>
      </c>
      <c r="J100" s="220">
        <v>0</v>
      </c>
      <c r="K100" s="221">
        <f t="shared" si="50"/>
        <v>0</v>
      </c>
      <c r="L100" s="220">
        <v>0</v>
      </c>
      <c r="M100" s="221">
        <f t="shared" si="51"/>
        <v>0</v>
      </c>
      <c r="N100" s="220">
        <v>0</v>
      </c>
      <c r="O100" s="220">
        <v>0</v>
      </c>
      <c r="P100" s="220">
        <v>0</v>
      </c>
      <c r="Q100" s="221">
        <f t="shared" si="52"/>
        <v>0</v>
      </c>
      <c r="R100" s="220">
        <v>0</v>
      </c>
      <c r="S100" s="221">
        <f t="shared" si="53"/>
        <v>0</v>
      </c>
      <c r="T100" s="221">
        <v>0</v>
      </c>
      <c r="U100" s="221">
        <v>0</v>
      </c>
      <c r="V100" s="220">
        <v>0</v>
      </c>
      <c r="W100" s="220">
        <v>0</v>
      </c>
      <c r="X100" s="220">
        <v>0</v>
      </c>
      <c r="Y100" s="221">
        <f t="shared" si="54"/>
        <v>0</v>
      </c>
      <c r="Z100" s="220">
        <f t="shared" si="71"/>
        <v>0</v>
      </c>
      <c r="AA100" s="221">
        <f t="shared" si="55"/>
        <v>0</v>
      </c>
      <c r="AB100" s="220">
        <v>0</v>
      </c>
      <c r="AC100" s="220">
        <v>0</v>
      </c>
      <c r="AD100" s="220">
        <v>0</v>
      </c>
      <c r="AE100" s="220">
        <v>0</v>
      </c>
      <c r="AF100" s="220">
        <v>0</v>
      </c>
      <c r="AG100" s="220">
        <v>0</v>
      </c>
      <c r="AH100" s="221">
        <f t="shared" si="56"/>
        <v>0</v>
      </c>
      <c r="AI100" s="220">
        <f t="shared" si="72"/>
        <v>0</v>
      </c>
      <c r="AJ100" s="221">
        <f t="shared" si="57"/>
        <v>0</v>
      </c>
      <c r="AK100" s="220">
        <v>0</v>
      </c>
      <c r="AL100" s="220">
        <v>0</v>
      </c>
      <c r="AM100" s="220">
        <f t="shared" si="73"/>
        <v>0</v>
      </c>
      <c r="AN100" s="220">
        <f t="shared" si="74"/>
        <v>0</v>
      </c>
      <c r="AO100" s="221">
        <f t="shared" si="58"/>
        <v>0</v>
      </c>
      <c r="AP100" s="220">
        <v>0</v>
      </c>
      <c r="AQ100" s="220">
        <v>0</v>
      </c>
      <c r="AR100" s="220">
        <v>0</v>
      </c>
      <c r="AS100" s="313">
        <v>0</v>
      </c>
    </row>
    <row r="101" spans="1:45" ht="24" customHeight="1" x14ac:dyDescent="0.5">
      <c r="A101" s="229">
        <f t="shared" si="75"/>
        <v>10</v>
      </c>
      <c r="B101" s="230" t="s">
        <v>116</v>
      </c>
      <c r="C101" s="312">
        <f t="shared" si="68"/>
        <v>0</v>
      </c>
      <c r="D101" s="218">
        <v>0</v>
      </c>
      <c r="E101" s="218">
        <v>0</v>
      </c>
      <c r="F101" s="219">
        <v>0</v>
      </c>
      <c r="G101" s="219">
        <f t="shared" si="49"/>
        <v>0</v>
      </c>
      <c r="H101" s="220">
        <f t="shared" si="69"/>
        <v>0</v>
      </c>
      <c r="I101" s="220">
        <f t="shared" si="70"/>
        <v>0</v>
      </c>
      <c r="J101" s="220">
        <v>0</v>
      </c>
      <c r="K101" s="221">
        <f t="shared" si="50"/>
        <v>0</v>
      </c>
      <c r="L101" s="220">
        <v>0</v>
      </c>
      <c r="M101" s="221">
        <f t="shared" si="51"/>
        <v>0</v>
      </c>
      <c r="N101" s="220">
        <v>0</v>
      </c>
      <c r="O101" s="220">
        <v>0</v>
      </c>
      <c r="P101" s="220">
        <v>0</v>
      </c>
      <c r="Q101" s="221">
        <f t="shared" si="52"/>
        <v>0</v>
      </c>
      <c r="R101" s="220">
        <v>0</v>
      </c>
      <c r="S101" s="221">
        <f t="shared" si="53"/>
        <v>0</v>
      </c>
      <c r="T101" s="221">
        <v>0</v>
      </c>
      <c r="U101" s="221">
        <v>0</v>
      </c>
      <c r="V101" s="220">
        <v>0</v>
      </c>
      <c r="W101" s="220">
        <v>0</v>
      </c>
      <c r="X101" s="220">
        <v>0</v>
      </c>
      <c r="Y101" s="221">
        <f t="shared" si="54"/>
        <v>0</v>
      </c>
      <c r="Z101" s="220">
        <f t="shared" si="71"/>
        <v>0</v>
      </c>
      <c r="AA101" s="221">
        <f t="shared" si="55"/>
        <v>0</v>
      </c>
      <c r="AB101" s="220">
        <v>0</v>
      </c>
      <c r="AC101" s="220">
        <v>0</v>
      </c>
      <c r="AD101" s="220">
        <v>0</v>
      </c>
      <c r="AE101" s="220">
        <v>0</v>
      </c>
      <c r="AF101" s="220">
        <v>0</v>
      </c>
      <c r="AG101" s="220">
        <v>0</v>
      </c>
      <c r="AH101" s="221">
        <f t="shared" si="56"/>
        <v>0</v>
      </c>
      <c r="AI101" s="220">
        <f t="shared" si="72"/>
        <v>0</v>
      </c>
      <c r="AJ101" s="221">
        <f t="shared" si="57"/>
        <v>0</v>
      </c>
      <c r="AK101" s="220">
        <v>0</v>
      </c>
      <c r="AL101" s="220">
        <v>0</v>
      </c>
      <c r="AM101" s="220">
        <f t="shared" si="73"/>
        <v>0</v>
      </c>
      <c r="AN101" s="220">
        <f t="shared" si="74"/>
        <v>0</v>
      </c>
      <c r="AO101" s="221">
        <f t="shared" si="58"/>
        <v>0</v>
      </c>
      <c r="AP101" s="220">
        <v>0</v>
      </c>
      <c r="AQ101" s="220">
        <v>0</v>
      </c>
      <c r="AR101" s="220">
        <v>0</v>
      </c>
      <c r="AS101" s="313">
        <v>0</v>
      </c>
    </row>
    <row r="102" spans="1:45" ht="24" customHeight="1" x14ac:dyDescent="0.5">
      <c r="A102" s="229">
        <f t="shared" si="75"/>
        <v>11</v>
      </c>
      <c r="B102" s="230" t="s">
        <v>117</v>
      </c>
      <c r="C102" s="312">
        <f t="shared" si="68"/>
        <v>0</v>
      </c>
      <c r="D102" s="218">
        <v>0</v>
      </c>
      <c r="E102" s="218">
        <v>0</v>
      </c>
      <c r="F102" s="219">
        <v>0</v>
      </c>
      <c r="G102" s="219">
        <f t="shared" si="49"/>
        <v>0</v>
      </c>
      <c r="H102" s="220">
        <f t="shared" si="69"/>
        <v>0</v>
      </c>
      <c r="I102" s="220">
        <f t="shared" si="70"/>
        <v>0</v>
      </c>
      <c r="J102" s="220">
        <v>0</v>
      </c>
      <c r="K102" s="221">
        <f t="shared" si="50"/>
        <v>0</v>
      </c>
      <c r="L102" s="220">
        <v>0</v>
      </c>
      <c r="M102" s="221">
        <f t="shared" si="51"/>
        <v>0</v>
      </c>
      <c r="N102" s="220">
        <v>0</v>
      </c>
      <c r="O102" s="220">
        <v>0</v>
      </c>
      <c r="P102" s="220">
        <v>0</v>
      </c>
      <c r="Q102" s="221">
        <f t="shared" si="52"/>
        <v>0</v>
      </c>
      <c r="R102" s="220">
        <v>0</v>
      </c>
      <c r="S102" s="221">
        <f t="shared" si="53"/>
        <v>0</v>
      </c>
      <c r="T102" s="221">
        <v>0</v>
      </c>
      <c r="U102" s="221">
        <v>0</v>
      </c>
      <c r="V102" s="220">
        <v>0</v>
      </c>
      <c r="W102" s="220">
        <v>0</v>
      </c>
      <c r="X102" s="220">
        <v>0</v>
      </c>
      <c r="Y102" s="221">
        <f t="shared" si="54"/>
        <v>0</v>
      </c>
      <c r="Z102" s="220">
        <f t="shared" si="71"/>
        <v>0</v>
      </c>
      <c r="AA102" s="221">
        <f t="shared" si="55"/>
        <v>0</v>
      </c>
      <c r="AB102" s="220">
        <v>0</v>
      </c>
      <c r="AC102" s="220">
        <v>0</v>
      </c>
      <c r="AD102" s="220">
        <v>0</v>
      </c>
      <c r="AE102" s="220">
        <v>0</v>
      </c>
      <c r="AF102" s="220">
        <v>0</v>
      </c>
      <c r="AG102" s="220">
        <v>0</v>
      </c>
      <c r="AH102" s="221">
        <f t="shared" si="56"/>
        <v>0</v>
      </c>
      <c r="AI102" s="220">
        <f t="shared" si="72"/>
        <v>0</v>
      </c>
      <c r="AJ102" s="221">
        <f t="shared" si="57"/>
        <v>0</v>
      </c>
      <c r="AK102" s="220">
        <v>0</v>
      </c>
      <c r="AL102" s="220">
        <v>0</v>
      </c>
      <c r="AM102" s="220">
        <f t="shared" si="73"/>
        <v>0</v>
      </c>
      <c r="AN102" s="220">
        <f t="shared" si="74"/>
        <v>0</v>
      </c>
      <c r="AO102" s="221">
        <f t="shared" si="58"/>
        <v>0</v>
      </c>
      <c r="AP102" s="220">
        <v>0</v>
      </c>
      <c r="AQ102" s="220">
        <v>0</v>
      </c>
      <c r="AR102" s="220">
        <v>0</v>
      </c>
      <c r="AS102" s="313">
        <v>0</v>
      </c>
    </row>
    <row r="103" spans="1:45" ht="24" customHeight="1" x14ac:dyDescent="0.5">
      <c r="A103" s="229">
        <f t="shared" si="75"/>
        <v>12</v>
      </c>
      <c r="B103" s="230" t="s">
        <v>118</v>
      </c>
      <c r="C103" s="312">
        <f t="shared" si="68"/>
        <v>0</v>
      </c>
      <c r="D103" s="218">
        <v>0</v>
      </c>
      <c r="E103" s="218">
        <v>0</v>
      </c>
      <c r="F103" s="219">
        <v>0</v>
      </c>
      <c r="G103" s="219">
        <f t="shared" si="49"/>
        <v>0</v>
      </c>
      <c r="H103" s="220">
        <f t="shared" si="69"/>
        <v>0</v>
      </c>
      <c r="I103" s="220">
        <f t="shared" si="70"/>
        <v>0</v>
      </c>
      <c r="J103" s="220">
        <v>0</v>
      </c>
      <c r="K103" s="221">
        <f t="shared" si="50"/>
        <v>0</v>
      </c>
      <c r="L103" s="220">
        <v>0</v>
      </c>
      <c r="M103" s="221">
        <f t="shared" si="51"/>
        <v>0</v>
      </c>
      <c r="N103" s="220">
        <v>0</v>
      </c>
      <c r="O103" s="220">
        <v>0</v>
      </c>
      <c r="P103" s="220">
        <v>0</v>
      </c>
      <c r="Q103" s="221">
        <f t="shared" si="52"/>
        <v>0</v>
      </c>
      <c r="R103" s="220">
        <v>0</v>
      </c>
      <c r="S103" s="221">
        <f t="shared" si="53"/>
        <v>0</v>
      </c>
      <c r="T103" s="221">
        <v>0</v>
      </c>
      <c r="U103" s="221">
        <v>0</v>
      </c>
      <c r="V103" s="220">
        <v>0</v>
      </c>
      <c r="W103" s="220">
        <v>0</v>
      </c>
      <c r="X103" s="220">
        <v>0</v>
      </c>
      <c r="Y103" s="221">
        <f t="shared" si="54"/>
        <v>0</v>
      </c>
      <c r="Z103" s="220">
        <f t="shared" si="71"/>
        <v>0</v>
      </c>
      <c r="AA103" s="221">
        <f t="shared" si="55"/>
        <v>0</v>
      </c>
      <c r="AB103" s="220">
        <v>0</v>
      </c>
      <c r="AC103" s="220">
        <v>0</v>
      </c>
      <c r="AD103" s="220">
        <v>0</v>
      </c>
      <c r="AE103" s="220">
        <v>0</v>
      </c>
      <c r="AF103" s="220">
        <v>0</v>
      </c>
      <c r="AG103" s="220">
        <v>0</v>
      </c>
      <c r="AH103" s="221">
        <f t="shared" si="56"/>
        <v>0</v>
      </c>
      <c r="AI103" s="220">
        <f t="shared" si="72"/>
        <v>0</v>
      </c>
      <c r="AJ103" s="221">
        <f t="shared" si="57"/>
        <v>0</v>
      </c>
      <c r="AK103" s="220">
        <v>0</v>
      </c>
      <c r="AL103" s="220">
        <v>0</v>
      </c>
      <c r="AM103" s="220">
        <f t="shared" si="73"/>
        <v>0</v>
      </c>
      <c r="AN103" s="220">
        <f t="shared" si="74"/>
        <v>0</v>
      </c>
      <c r="AO103" s="221">
        <f t="shared" si="58"/>
        <v>0</v>
      </c>
      <c r="AP103" s="220">
        <v>0</v>
      </c>
      <c r="AQ103" s="220">
        <v>0</v>
      </c>
      <c r="AR103" s="220">
        <v>0</v>
      </c>
      <c r="AS103" s="313">
        <v>0</v>
      </c>
    </row>
    <row r="104" spans="1:45" ht="24" customHeight="1" x14ac:dyDescent="0.5">
      <c r="A104" s="229">
        <f t="shared" si="75"/>
        <v>13</v>
      </c>
      <c r="B104" s="230" t="s">
        <v>119</v>
      </c>
      <c r="C104" s="312">
        <f t="shared" si="68"/>
        <v>0</v>
      </c>
      <c r="D104" s="218">
        <v>0</v>
      </c>
      <c r="E104" s="218">
        <v>0</v>
      </c>
      <c r="F104" s="219">
        <v>0</v>
      </c>
      <c r="G104" s="219">
        <f t="shared" si="49"/>
        <v>0</v>
      </c>
      <c r="H104" s="220">
        <f t="shared" si="69"/>
        <v>0</v>
      </c>
      <c r="I104" s="220">
        <f t="shared" si="70"/>
        <v>0</v>
      </c>
      <c r="J104" s="220">
        <v>0</v>
      </c>
      <c r="K104" s="221">
        <f t="shared" si="50"/>
        <v>0</v>
      </c>
      <c r="L104" s="220">
        <v>0</v>
      </c>
      <c r="M104" s="221">
        <f t="shared" si="51"/>
        <v>0</v>
      </c>
      <c r="N104" s="220">
        <v>0</v>
      </c>
      <c r="O104" s="220">
        <v>0</v>
      </c>
      <c r="P104" s="220">
        <v>0</v>
      </c>
      <c r="Q104" s="221">
        <f t="shared" si="52"/>
        <v>0</v>
      </c>
      <c r="R104" s="220">
        <v>0</v>
      </c>
      <c r="S104" s="221">
        <f t="shared" si="53"/>
        <v>0</v>
      </c>
      <c r="T104" s="221">
        <v>0</v>
      </c>
      <c r="U104" s="221">
        <v>0</v>
      </c>
      <c r="V104" s="220">
        <v>0</v>
      </c>
      <c r="W104" s="220">
        <v>0</v>
      </c>
      <c r="X104" s="220">
        <v>0</v>
      </c>
      <c r="Y104" s="221">
        <f t="shared" si="54"/>
        <v>0</v>
      </c>
      <c r="Z104" s="220">
        <f t="shared" si="71"/>
        <v>0</v>
      </c>
      <c r="AA104" s="221">
        <f t="shared" si="55"/>
        <v>0</v>
      </c>
      <c r="AB104" s="220">
        <v>0</v>
      </c>
      <c r="AC104" s="220">
        <v>0</v>
      </c>
      <c r="AD104" s="220">
        <v>0</v>
      </c>
      <c r="AE104" s="220">
        <v>0</v>
      </c>
      <c r="AF104" s="220">
        <v>0</v>
      </c>
      <c r="AG104" s="220">
        <v>0</v>
      </c>
      <c r="AH104" s="221">
        <f t="shared" si="56"/>
        <v>0</v>
      </c>
      <c r="AI104" s="220">
        <f t="shared" si="72"/>
        <v>0</v>
      </c>
      <c r="AJ104" s="221">
        <f t="shared" si="57"/>
        <v>0</v>
      </c>
      <c r="AK104" s="220">
        <v>0</v>
      </c>
      <c r="AL104" s="220">
        <v>0</v>
      </c>
      <c r="AM104" s="220">
        <f t="shared" si="73"/>
        <v>0</v>
      </c>
      <c r="AN104" s="220">
        <f t="shared" si="74"/>
        <v>0</v>
      </c>
      <c r="AO104" s="221">
        <f t="shared" si="58"/>
        <v>0</v>
      </c>
      <c r="AP104" s="220">
        <v>0</v>
      </c>
      <c r="AQ104" s="220">
        <v>0</v>
      </c>
      <c r="AR104" s="220">
        <v>0</v>
      </c>
      <c r="AS104" s="313">
        <v>0</v>
      </c>
    </row>
    <row r="105" spans="1:45" ht="24" customHeight="1" x14ac:dyDescent="0.5">
      <c r="A105" s="231">
        <f t="shared" si="75"/>
        <v>14</v>
      </c>
      <c r="B105" s="232" t="s">
        <v>120</v>
      </c>
      <c r="C105" s="314">
        <f t="shared" si="68"/>
        <v>0</v>
      </c>
      <c r="D105" s="223">
        <v>0</v>
      </c>
      <c r="E105" s="223">
        <v>0</v>
      </c>
      <c r="F105" s="224">
        <v>0</v>
      </c>
      <c r="G105" s="224">
        <f t="shared" ref="G105:G114" si="76">IF(C105&gt;0,F105*100/C105,0)</f>
        <v>0</v>
      </c>
      <c r="H105" s="225">
        <f t="shared" si="69"/>
        <v>0</v>
      </c>
      <c r="I105" s="225">
        <f t="shared" si="70"/>
        <v>0</v>
      </c>
      <c r="J105" s="225">
        <v>0</v>
      </c>
      <c r="K105" s="226">
        <f t="shared" ref="K105:K114" si="77">IF(H105&gt;0,J105*100/H105,0)</f>
        <v>0</v>
      </c>
      <c r="L105" s="225">
        <v>0</v>
      </c>
      <c r="M105" s="226">
        <f t="shared" ref="M105:M114" si="78">IF(I105&gt;0,L105*100/I105,0)</f>
        <v>0</v>
      </c>
      <c r="N105" s="225">
        <v>0</v>
      </c>
      <c r="O105" s="225">
        <v>0</v>
      </c>
      <c r="P105" s="225">
        <v>0</v>
      </c>
      <c r="Q105" s="226">
        <f t="shared" ref="Q105:Q114" si="79">IF(N105&gt;0,P105*100/N105,0)</f>
        <v>0</v>
      </c>
      <c r="R105" s="225">
        <v>0</v>
      </c>
      <c r="S105" s="226">
        <f t="shared" ref="S105:S114" si="80">IF(O105&gt;0,R105*100/O105,0)</f>
        <v>0</v>
      </c>
      <c r="T105" s="226">
        <v>0</v>
      </c>
      <c r="U105" s="226">
        <v>0</v>
      </c>
      <c r="V105" s="225">
        <v>0</v>
      </c>
      <c r="W105" s="225">
        <v>0</v>
      </c>
      <c r="X105" s="225">
        <v>0</v>
      </c>
      <c r="Y105" s="226">
        <f t="shared" ref="Y105:Y114" si="81">IF(V105&gt;0,X105*100/V105,0)</f>
        <v>0</v>
      </c>
      <c r="Z105" s="225">
        <f t="shared" si="71"/>
        <v>0</v>
      </c>
      <c r="AA105" s="226">
        <f t="shared" ref="AA105:AA114" si="82">IF(W105&gt;0,Z105*100/W105,0)</f>
        <v>0</v>
      </c>
      <c r="AB105" s="225">
        <v>0</v>
      </c>
      <c r="AC105" s="225">
        <v>0</v>
      </c>
      <c r="AD105" s="225">
        <v>0</v>
      </c>
      <c r="AE105" s="225">
        <v>0</v>
      </c>
      <c r="AF105" s="225">
        <v>0</v>
      </c>
      <c r="AG105" s="225">
        <v>0</v>
      </c>
      <c r="AH105" s="226">
        <f t="shared" ref="AH105:AH114" si="83">IF(AE105&gt;0,AG105*100/AE105,0)</f>
        <v>0</v>
      </c>
      <c r="AI105" s="225">
        <f t="shared" si="72"/>
        <v>0</v>
      </c>
      <c r="AJ105" s="226">
        <f t="shared" ref="AJ105:AJ114" si="84">IF(AF105&gt;0,AI105*100/AF105,0)</f>
        <v>0</v>
      </c>
      <c r="AK105" s="225">
        <v>0</v>
      </c>
      <c r="AL105" s="225">
        <v>0</v>
      </c>
      <c r="AM105" s="225">
        <f t="shared" si="73"/>
        <v>0</v>
      </c>
      <c r="AN105" s="225">
        <f t="shared" si="74"/>
        <v>0</v>
      </c>
      <c r="AO105" s="226">
        <f t="shared" ref="AO105:AO114" si="85">IF(AM105&gt;0,AN105*100/AM105,0)</f>
        <v>0</v>
      </c>
      <c r="AP105" s="225">
        <v>0</v>
      </c>
      <c r="AQ105" s="225">
        <v>0</v>
      </c>
      <c r="AR105" s="225">
        <v>0</v>
      </c>
      <c r="AS105" s="315">
        <v>0</v>
      </c>
    </row>
    <row r="106" spans="1:45" ht="24" customHeight="1" x14ac:dyDescent="0.5">
      <c r="A106" s="804" t="s">
        <v>121</v>
      </c>
      <c r="B106" s="716"/>
      <c r="C106" s="298">
        <f>+C107+C108+C109+C110+C111+C112+C113+C114</f>
        <v>0</v>
      </c>
      <c r="D106" s="182">
        <f>+D107+D108+D109+D110+D111+D112+D113+D114</f>
        <v>0</v>
      </c>
      <c r="E106" s="182">
        <f>+E107+E108+E109+E110+E111+E112+E113+E114</f>
        <v>0</v>
      </c>
      <c r="F106" s="183">
        <f>+F107+F108+F109+F110+F111+F112+F113+F114</f>
        <v>0</v>
      </c>
      <c r="G106" s="183">
        <f t="shared" si="76"/>
        <v>0</v>
      </c>
      <c r="H106" s="182">
        <f>+H107+H108+H109+H110+H111+H112+H113+H114</f>
        <v>0</v>
      </c>
      <c r="I106" s="182">
        <f>+I107+I108+I109+I110+I111+I112+I113+I114</f>
        <v>0</v>
      </c>
      <c r="J106" s="182">
        <f>+J107+J108+J109+J110+J111+J112+J113+J114</f>
        <v>0</v>
      </c>
      <c r="K106" s="183">
        <f t="shared" si="77"/>
        <v>0</v>
      </c>
      <c r="L106" s="182">
        <f>+L107+L108+L109+L110+L111+L112+L113+L114</f>
        <v>0</v>
      </c>
      <c r="M106" s="183">
        <f t="shared" si="78"/>
        <v>0</v>
      </c>
      <c r="N106" s="182">
        <f>+N107+N108+N109+N110+N111+N112+N113+N114</f>
        <v>0</v>
      </c>
      <c r="O106" s="182">
        <f>+O107+O108+O109+O110+O111+O112+O113+O114</f>
        <v>0</v>
      </c>
      <c r="P106" s="182">
        <f>+P107+P108+P109+P110+P111+P112+P113+P114</f>
        <v>0</v>
      </c>
      <c r="Q106" s="183">
        <f t="shared" si="79"/>
        <v>0</v>
      </c>
      <c r="R106" s="182">
        <f>+R107+R108+R109+R110+R111+R112+R113+R114</f>
        <v>0</v>
      </c>
      <c r="S106" s="183">
        <f t="shared" si="80"/>
        <v>0</v>
      </c>
      <c r="T106" s="182">
        <f>+T107+T108+T109+T110+T111+T112+T113+T114</f>
        <v>0</v>
      </c>
      <c r="U106" s="182">
        <f>+U107+U108+U109+U110+U111+U112+U113+U114</f>
        <v>0</v>
      </c>
      <c r="V106" s="182">
        <f>+V107+V108+V109+V110+V111+V112+V113+V114</f>
        <v>0</v>
      </c>
      <c r="W106" s="182">
        <f>+W107+W108+W109+W110+W111+W112+W113+W114</f>
        <v>0</v>
      </c>
      <c r="X106" s="182">
        <f>+X107+X108+X109+X110+X111+X112+X113+X114</f>
        <v>0</v>
      </c>
      <c r="Y106" s="183">
        <f t="shared" si="81"/>
        <v>0</v>
      </c>
      <c r="Z106" s="182">
        <f>+Z107+Z108+Z109+Z110+Z111+Z112+Z113+Z114</f>
        <v>0</v>
      </c>
      <c r="AA106" s="183">
        <f t="shared" si="82"/>
        <v>0</v>
      </c>
      <c r="AB106" s="182">
        <f t="shared" ref="AB106:AG106" si="86">+AB107+AB108+AB109+AB110+AB111+AB112+AB113+AB114</f>
        <v>0</v>
      </c>
      <c r="AC106" s="182">
        <f t="shared" si="86"/>
        <v>0</v>
      </c>
      <c r="AD106" s="182">
        <f t="shared" si="86"/>
        <v>0</v>
      </c>
      <c r="AE106" s="182">
        <f t="shared" si="86"/>
        <v>0</v>
      </c>
      <c r="AF106" s="182">
        <f t="shared" si="86"/>
        <v>0</v>
      </c>
      <c r="AG106" s="182">
        <f t="shared" si="86"/>
        <v>0</v>
      </c>
      <c r="AH106" s="182">
        <f t="shared" si="83"/>
        <v>0</v>
      </c>
      <c r="AI106" s="182">
        <f>+AI107+AI108+AI109+AI110+AI111+AI112+AI113+AI114</f>
        <v>0</v>
      </c>
      <c r="AJ106" s="182">
        <f t="shared" si="84"/>
        <v>0</v>
      </c>
      <c r="AK106" s="182">
        <f>+AK107+AK108+AK109+AK110+AK111+AK112+AK113+AK114</f>
        <v>0</v>
      </c>
      <c r="AL106" s="182">
        <f>+AL107+AL108+AL109+AL110+AL111+AL112+AL113+AL114</f>
        <v>0</v>
      </c>
      <c r="AM106" s="182">
        <f>+AM107+AM108+AM109+AM110+AM111+AM112+AM113+AM114</f>
        <v>0</v>
      </c>
      <c r="AN106" s="182">
        <f>+AN107+AN108+AN109+AN110+AN111+AN112+AN113+AN114</f>
        <v>0</v>
      </c>
      <c r="AO106" s="182">
        <f t="shared" si="85"/>
        <v>0</v>
      </c>
      <c r="AP106" s="182">
        <f>+AP107+AP108+AP109+AP110+AP111+AP112+AP113+AP114</f>
        <v>0</v>
      </c>
      <c r="AQ106" s="182">
        <f>+AQ107+AQ108+AQ109+AQ110+AQ111+AQ112+AQ113+AQ114</f>
        <v>0</v>
      </c>
      <c r="AR106" s="182">
        <f>+AR107+AR108+AR109+AR110+AR111+AR112+AR113+AR114</f>
        <v>0</v>
      </c>
      <c r="AS106" s="182">
        <f>+AS107+AS108+AS109+AS110+AS111+AS112+AS113+AS114</f>
        <v>0</v>
      </c>
    </row>
    <row r="107" spans="1:45" ht="24" customHeight="1" x14ac:dyDescent="0.5">
      <c r="A107" s="227">
        <v>1</v>
      </c>
      <c r="B107" s="228" t="s">
        <v>122</v>
      </c>
      <c r="C107" s="309">
        <f t="shared" ref="C107:C114" si="87">+D107+E107</f>
        <v>0</v>
      </c>
      <c r="D107" s="193">
        <v>0</v>
      </c>
      <c r="E107" s="193">
        <v>0</v>
      </c>
      <c r="F107" s="192">
        <v>0</v>
      </c>
      <c r="G107" s="192">
        <f t="shared" si="76"/>
        <v>0</v>
      </c>
      <c r="H107" s="214">
        <f t="shared" ref="H107:I114" si="88">+N107+V107+AE107</f>
        <v>0</v>
      </c>
      <c r="I107" s="214">
        <f t="shared" si="88"/>
        <v>0</v>
      </c>
      <c r="J107" s="214">
        <v>0</v>
      </c>
      <c r="K107" s="215">
        <f t="shared" si="77"/>
        <v>0</v>
      </c>
      <c r="L107" s="214">
        <v>0</v>
      </c>
      <c r="M107" s="215">
        <f t="shared" si="78"/>
        <v>0</v>
      </c>
      <c r="N107" s="214">
        <v>0</v>
      </c>
      <c r="O107" s="214">
        <v>0</v>
      </c>
      <c r="P107" s="214">
        <v>0</v>
      </c>
      <c r="Q107" s="215">
        <f t="shared" si="79"/>
        <v>0</v>
      </c>
      <c r="R107" s="214">
        <v>0</v>
      </c>
      <c r="S107" s="215">
        <f t="shared" si="80"/>
        <v>0</v>
      </c>
      <c r="T107" s="215">
        <v>0</v>
      </c>
      <c r="U107" s="215">
        <v>0</v>
      </c>
      <c r="V107" s="214">
        <v>0</v>
      </c>
      <c r="W107" s="214">
        <v>0</v>
      </c>
      <c r="X107" s="214">
        <v>0</v>
      </c>
      <c r="Y107" s="215">
        <f t="shared" si="81"/>
        <v>0</v>
      </c>
      <c r="Z107" s="214">
        <f t="shared" ref="Z107:Z114" si="89">SUM(AB107:AD107)</f>
        <v>0</v>
      </c>
      <c r="AA107" s="215">
        <f t="shared" si="82"/>
        <v>0</v>
      </c>
      <c r="AB107" s="214">
        <v>0</v>
      </c>
      <c r="AC107" s="214">
        <v>0</v>
      </c>
      <c r="AD107" s="214">
        <v>0</v>
      </c>
      <c r="AE107" s="214">
        <v>0</v>
      </c>
      <c r="AF107" s="214">
        <v>0</v>
      </c>
      <c r="AG107" s="214">
        <v>0</v>
      </c>
      <c r="AH107" s="215">
        <f t="shared" si="83"/>
        <v>0</v>
      </c>
      <c r="AI107" s="214">
        <f t="shared" ref="AI107:AI114" si="90">SUM(AK107:AL107)</f>
        <v>0</v>
      </c>
      <c r="AJ107" s="215">
        <f t="shared" si="84"/>
        <v>0</v>
      </c>
      <c r="AK107" s="214">
        <v>0</v>
      </c>
      <c r="AL107" s="214">
        <v>0</v>
      </c>
      <c r="AM107" s="214">
        <f t="shared" ref="AM107:AM114" si="91">+AP107+AR107</f>
        <v>0</v>
      </c>
      <c r="AN107" s="214">
        <f t="shared" ref="AN107:AN114" si="92">SUM(AQ107,AS107)</f>
        <v>0</v>
      </c>
      <c r="AO107" s="215">
        <f t="shared" si="85"/>
        <v>0</v>
      </c>
      <c r="AP107" s="214">
        <v>0</v>
      </c>
      <c r="AQ107" s="214">
        <v>0</v>
      </c>
      <c r="AR107" s="214">
        <v>0</v>
      </c>
      <c r="AS107" s="311">
        <v>0</v>
      </c>
    </row>
    <row r="108" spans="1:45" ht="24" customHeight="1" x14ac:dyDescent="0.5">
      <c r="A108" s="229">
        <v>2</v>
      </c>
      <c r="B108" s="230" t="s">
        <v>123</v>
      </c>
      <c r="C108" s="312">
        <f t="shared" si="87"/>
        <v>0</v>
      </c>
      <c r="D108" s="218">
        <v>0</v>
      </c>
      <c r="E108" s="218">
        <v>0</v>
      </c>
      <c r="F108" s="219">
        <v>0</v>
      </c>
      <c r="G108" s="219">
        <f t="shared" si="76"/>
        <v>0</v>
      </c>
      <c r="H108" s="220">
        <f t="shared" si="88"/>
        <v>0</v>
      </c>
      <c r="I108" s="220">
        <f t="shared" si="88"/>
        <v>0</v>
      </c>
      <c r="J108" s="220">
        <v>0</v>
      </c>
      <c r="K108" s="221">
        <f t="shared" si="77"/>
        <v>0</v>
      </c>
      <c r="L108" s="220">
        <v>0</v>
      </c>
      <c r="M108" s="221">
        <f t="shared" si="78"/>
        <v>0</v>
      </c>
      <c r="N108" s="220">
        <v>0</v>
      </c>
      <c r="O108" s="220">
        <v>0</v>
      </c>
      <c r="P108" s="220">
        <v>0</v>
      </c>
      <c r="Q108" s="221">
        <f t="shared" si="79"/>
        <v>0</v>
      </c>
      <c r="R108" s="220">
        <v>0</v>
      </c>
      <c r="S108" s="221">
        <f t="shared" si="80"/>
        <v>0</v>
      </c>
      <c r="T108" s="221">
        <v>0</v>
      </c>
      <c r="U108" s="221">
        <v>0</v>
      </c>
      <c r="V108" s="220">
        <v>0</v>
      </c>
      <c r="W108" s="220">
        <v>0</v>
      </c>
      <c r="X108" s="220">
        <v>0</v>
      </c>
      <c r="Y108" s="221">
        <f t="shared" si="81"/>
        <v>0</v>
      </c>
      <c r="Z108" s="220">
        <f t="shared" si="89"/>
        <v>0</v>
      </c>
      <c r="AA108" s="221">
        <f t="shared" si="82"/>
        <v>0</v>
      </c>
      <c r="AB108" s="220">
        <v>0</v>
      </c>
      <c r="AC108" s="220">
        <v>0</v>
      </c>
      <c r="AD108" s="220">
        <v>0</v>
      </c>
      <c r="AE108" s="220">
        <v>0</v>
      </c>
      <c r="AF108" s="220">
        <v>0</v>
      </c>
      <c r="AG108" s="220">
        <v>0</v>
      </c>
      <c r="AH108" s="221">
        <f t="shared" si="83"/>
        <v>0</v>
      </c>
      <c r="AI108" s="220">
        <f t="shared" si="90"/>
        <v>0</v>
      </c>
      <c r="AJ108" s="221">
        <f t="shared" si="84"/>
        <v>0</v>
      </c>
      <c r="AK108" s="220">
        <v>0</v>
      </c>
      <c r="AL108" s="220">
        <v>0</v>
      </c>
      <c r="AM108" s="220">
        <f t="shared" si="91"/>
        <v>0</v>
      </c>
      <c r="AN108" s="220">
        <f t="shared" si="92"/>
        <v>0</v>
      </c>
      <c r="AO108" s="221">
        <f t="shared" si="85"/>
        <v>0</v>
      </c>
      <c r="AP108" s="220">
        <v>0</v>
      </c>
      <c r="AQ108" s="220">
        <v>0</v>
      </c>
      <c r="AR108" s="220">
        <v>0</v>
      </c>
      <c r="AS108" s="313">
        <v>0</v>
      </c>
    </row>
    <row r="109" spans="1:45" ht="24" customHeight="1" x14ac:dyDescent="0.5">
      <c r="A109" s="229">
        <v>3</v>
      </c>
      <c r="B109" s="230" t="s">
        <v>124</v>
      </c>
      <c r="C109" s="312">
        <f t="shared" si="87"/>
        <v>0</v>
      </c>
      <c r="D109" s="218">
        <v>0</v>
      </c>
      <c r="E109" s="218">
        <v>0</v>
      </c>
      <c r="F109" s="219">
        <v>0</v>
      </c>
      <c r="G109" s="219">
        <f t="shared" si="76"/>
        <v>0</v>
      </c>
      <c r="H109" s="220">
        <f t="shared" si="88"/>
        <v>0</v>
      </c>
      <c r="I109" s="220">
        <f t="shared" si="88"/>
        <v>0</v>
      </c>
      <c r="J109" s="220">
        <v>0</v>
      </c>
      <c r="K109" s="221">
        <f t="shared" si="77"/>
        <v>0</v>
      </c>
      <c r="L109" s="220">
        <v>0</v>
      </c>
      <c r="M109" s="221">
        <f t="shared" si="78"/>
        <v>0</v>
      </c>
      <c r="N109" s="220">
        <v>0</v>
      </c>
      <c r="O109" s="220">
        <v>0</v>
      </c>
      <c r="P109" s="220">
        <v>0</v>
      </c>
      <c r="Q109" s="221">
        <f t="shared" si="79"/>
        <v>0</v>
      </c>
      <c r="R109" s="220">
        <v>0</v>
      </c>
      <c r="S109" s="221">
        <f t="shared" si="80"/>
        <v>0</v>
      </c>
      <c r="T109" s="221">
        <v>0</v>
      </c>
      <c r="U109" s="221">
        <v>0</v>
      </c>
      <c r="V109" s="220">
        <v>0</v>
      </c>
      <c r="W109" s="220">
        <v>0</v>
      </c>
      <c r="X109" s="220">
        <v>0</v>
      </c>
      <c r="Y109" s="221">
        <f t="shared" si="81"/>
        <v>0</v>
      </c>
      <c r="Z109" s="220">
        <f t="shared" si="89"/>
        <v>0</v>
      </c>
      <c r="AA109" s="221">
        <f t="shared" si="82"/>
        <v>0</v>
      </c>
      <c r="AB109" s="220">
        <v>0</v>
      </c>
      <c r="AC109" s="220">
        <v>0</v>
      </c>
      <c r="AD109" s="220">
        <v>0</v>
      </c>
      <c r="AE109" s="220">
        <v>0</v>
      </c>
      <c r="AF109" s="220">
        <v>0</v>
      </c>
      <c r="AG109" s="220">
        <v>0</v>
      </c>
      <c r="AH109" s="221">
        <f t="shared" si="83"/>
        <v>0</v>
      </c>
      <c r="AI109" s="220">
        <f t="shared" si="90"/>
        <v>0</v>
      </c>
      <c r="AJ109" s="221">
        <f t="shared" si="84"/>
        <v>0</v>
      </c>
      <c r="AK109" s="220">
        <v>0</v>
      </c>
      <c r="AL109" s="220">
        <v>0</v>
      </c>
      <c r="AM109" s="220">
        <f t="shared" si="91"/>
        <v>0</v>
      </c>
      <c r="AN109" s="220">
        <f t="shared" si="92"/>
        <v>0</v>
      </c>
      <c r="AO109" s="221">
        <f t="shared" si="85"/>
        <v>0</v>
      </c>
      <c r="AP109" s="220">
        <v>0</v>
      </c>
      <c r="AQ109" s="220">
        <v>0</v>
      </c>
      <c r="AR109" s="220">
        <v>0</v>
      </c>
      <c r="AS109" s="313">
        <v>0</v>
      </c>
    </row>
    <row r="110" spans="1:45" ht="24" customHeight="1" x14ac:dyDescent="0.5">
      <c r="A110" s="229">
        <f>+A109+1</f>
        <v>4</v>
      </c>
      <c r="B110" s="230" t="s">
        <v>125</v>
      </c>
      <c r="C110" s="312">
        <f t="shared" si="87"/>
        <v>0</v>
      </c>
      <c r="D110" s="218">
        <v>0</v>
      </c>
      <c r="E110" s="218">
        <v>0</v>
      </c>
      <c r="F110" s="219">
        <v>0</v>
      </c>
      <c r="G110" s="219">
        <f t="shared" si="76"/>
        <v>0</v>
      </c>
      <c r="H110" s="220">
        <f t="shared" si="88"/>
        <v>0</v>
      </c>
      <c r="I110" s="220">
        <f t="shared" si="88"/>
        <v>0</v>
      </c>
      <c r="J110" s="220">
        <v>0</v>
      </c>
      <c r="K110" s="221">
        <f t="shared" si="77"/>
        <v>0</v>
      </c>
      <c r="L110" s="220">
        <v>0</v>
      </c>
      <c r="M110" s="221">
        <f t="shared" si="78"/>
        <v>0</v>
      </c>
      <c r="N110" s="220">
        <v>0</v>
      </c>
      <c r="O110" s="220">
        <v>0</v>
      </c>
      <c r="P110" s="220">
        <v>0</v>
      </c>
      <c r="Q110" s="221">
        <f t="shared" si="79"/>
        <v>0</v>
      </c>
      <c r="R110" s="220">
        <v>0</v>
      </c>
      <c r="S110" s="221">
        <f t="shared" si="80"/>
        <v>0</v>
      </c>
      <c r="T110" s="221">
        <v>0</v>
      </c>
      <c r="U110" s="221">
        <v>0</v>
      </c>
      <c r="V110" s="220">
        <v>0</v>
      </c>
      <c r="W110" s="220">
        <v>0</v>
      </c>
      <c r="X110" s="220">
        <v>0</v>
      </c>
      <c r="Y110" s="221">
        <f t="shared" si="81"/>
        <v>0</v>
      </c>
      <c r="Z110" s="220">
        <f t="shared" si="89"/>
        <v>0</v>
      </c>
      <c r="AA110" s="221">
        <f t="shared" si="82"/>
        <v>0</v>
      </c>
      <c r="AB110" s="220">
        <v>0</v>
      </c>
      <c r="AC110" s="220">
        <v>0</v>
      </c>
      <c r="AD110" s="220">
        <v>0</v>
      </c>
      <c r="AE110" s="220">
        <v>0</v>
      </c>
      <c r="AF110" s="220">
        <v>0</v>
      </c>
      <c r="AG110" s="220">
        <v>0</v>
      </c>
      <c r="AH110" s="221">
        <f t="shared" si="83"/>
        <v>0</v>
      </c>
      <c r="AI110" s="220">
        <f t="shared" si="90"/>
        <v>0</v>
      </c>
      <c r="AJ110" s="221">
        <f t="shared" si="84"/>
        <v>0</v>
      </c>
      <c r="AK110" s="220">
        <v>0</v>
      </c>
      <c r="AL110" s="220">
        <v>0</v>
      </c>
      <c r="AM110" s="220">
        <f t="shared" si="91"/>
        <v>0</v>
      </c>
      <c r="AN110" s="220">
        <f t="shared" si="92"/>
        <v>0</v>
      </c>
      <c r="AO110" s="221">
        <f t="shared" si="85"/>
        <v>0</v>
      </c>
      <c r="AP110" s="220">
        <v>0</v>
      </c>
      <c r="AQ110" s="220">
        <v>0</v>
      </c>
      <c r="AR110" s="220">
        <v>0</v>
      </c>
      <c r="AS110" s="313">
        <v>0</v>
      </c>
    </row>
    <row r="111" spans="1:45" ht="24" customHeight="1" x14ac:dyDescent="0.5">
      <c r="A111" s="229">
        <f>+A110+1</f>
        <v>5</v>
      </c>
      <c r="B111" s="230" t="s">
        <v>126</v>
      </c>
      <c r="C111" s="312">
        <f t="shared" si="87"/>
        <v>0</v>
      </c>
      <c r="D111" s="218">
        <v>0</v>
      </c>
      <c r="E111" s="218">
        <v>0</v>
      </c>
      <c r="F111" s="219">
        <v>0</v>
      </c>
      <c r="G111" s="219">
        <f t="shared" si="76"/>
        <v>0</v>
      </c>
      <c r="H111" s="220">
        <f t="shared" si="88"/>
        <v>0</v>
      </c>
      <c r="I111" s="220">
        <f t="shared" si="88"/>
        <v>0</v>
      </c>
      <c r="J111" s="220">
        <v>0</v>
      </c>
      <c r="K111" s="221">
        <f t="shared" si="77"/>
        <v>0</v>
      </c>
      <c r="L111" s="220">
        <v>0</v>
      </c>
      <c r="M111" s="221">
        <f t="shared" si="78"/>
        <v>0</v>
      </c>
      <c r="N111" s="220">
        <v>0</v>
      </c>
      <c r="O111" s="220">
        <v>0</v>
      </c>
      <c r="P111" s="220">
        <v>0</v>
      </c>
      <c r="Q111" s="221">
        <f t="shared" si="79"/>
        <v>0</v>
      </c>
      <c r="R111" s="220">
        <v>0</v>
      </c>
      <c r="S111" s="221">
        <f t="shared" si="80"/>
        <v>0</v>
      </c>
      <c r="T111" s="221">
        <v>0</v>
      </c>
      <c r="U111" s="221">
        <v>0</v>
      </c>
      <c r="V111" s="220">
        <v>0</v>
      </c>
      <c r="W111" s="220">
        <v>0</v>
      </c>
      <c r="X111" s="220">
        <v>0</v>
      </c>
      <c r="Y111" s="221">
        <f t="shared" si="81"/>
        <v>0</v>
      </c>
      <c r="Z111" s="220">
        <f t="shared" si="89"/>
        <v>0</v>
      </c>
      <c r="AA111" s="221">
        <f t="shared" si="82"/>
        <v>0</v>
      </c>
      <c r="AB111" s="220">
        <v>0</v>
      </c>
      <c r="AC111" s="220">
        <v>0</v>
      </c>
      <c r="AD111" s="220">
        <v>0</v>
      </c>
      <c r="AE111" s="220">
        <v>0</v>
      </c>
      <c r="AF111" s="220">
        <v>0</v>
      </c>
      <c r="AG111" s="220">
        <v>0</v>
      </c>
      <c r="AH111" s="221">
        <f t="shared" si="83"/>
        <v>0</v>
      </c>
      <c r="AI111" s="220">
        <f t="shared" si="90"/>
        <v>0</v>
      </c>
      <c r="AJ111" s="221">
        <f t="shared" si="84"/>
        <v>0</v>
      </c>
      <c r="AK111" s="220">
        <v>0</v>
      </c>
      <c r="AL111" s="220">
        <v>0</v>
      </c>
      <c r="AM111" s="220">
        <f t="shared" si="91"/>
        <v>0</v>
      </c>
      <c r="AN111" s="220">
        <f t="shared" si="92"/>
        <v>0</v>
      </c>
      <c r="AO111" s="221">
        <f t="shared" si="85"/>
        <v>0</v>
      </c>
      <c r="AP111" s="220">
        <v>0</v>
      </c>
      <c r="AQ111" s="220">
        <v>0</v>
      </c>
      <c r="AR111" s="220">
        <v>0</v>
      </c>
      <c r="AS111" s="313">
        <v>0</v>
      </c>
    </row>
    <row r="112" spans="1:45" ht="24" customHeight="1" x14ac:dyDescent="0.5">
      <c r="A112" s="229">
        <f>+A111+1</f>
        <v>6</v>
      </c>
      <c r="B112" s="230" t="s">
        <v>127</v>
      </c>
      <c r="C112" s="312">
        <f t="shared" si="87"/>
        <v>0</v>
      </c>
      <c r="D112" s="218">
        <v>0</v>
      </c>
      <c r="E112" s="218">
        <v>0</v>
      </c>
      <c r="F112" s="219">
        <v>0</v>
      </c>
      <c r="G112" s="219">
        <f t="shared" si="76"/>
        <v>0</v>
      </c>
      <c r="H112" s="220">
        <f t="shared" si="88"/>
        <v>0</v>
      </c>
      <c r="I112" s="220">
        <f t="shared" si="88"/>
        <v>0</v>
      </c>
      <c r="J112" s="220">
        <v>0</v>
      </c>
      <c r="K112" s="221">
        <f t="shared" si="77"/>
        <v>0</v>
      </c>
      <c r="L112" s="220">
        <v>0</v>
      </c>
      <c r="M112" s="221">
        <f t="shared" si="78"/>
        <v>0</v>
      </c>
      <c r="N112" s="220">
        <v>0</v>
      </c>
      <c r="O112" s="220">
        <v>0</v>
      </c>
      <c r="P112" s="220">
        <v>0</v>
      </c>
      <c r="Q112" s="221">
        <f t="shared" si="79"/>
        <v>0</v>
      </c>
      <c r="R112" s="220">
        <v>0</v>
      </c>
      <c r="S112" s="221">
        <f t="shared" si="80"/>
        <v>0</v>
      </c>
      <c r="T112" s="221">
        <v>0</v>
      </c>
      <c r="U112" s="221">
        <v>0</v>
      </c>
      <c r="V112" s="220">
        <v>0</v>
      </c>
      <c r="W112" s="220">
        <v>0</v>
      </c>
      <c r="X112" s="220">
        <v>0</v>
      </c>
      <c r="Y112" s="221">
        <f t="shared" si="81"/>
        <v>0</v>
      </c>
      <c r="Z112" s="220">
        <f t="shared" si="89"/>
        <v>0</v>
      </c>
      <c r="AA112" s="221">
        <f t="shared" si="82"/>
        <v>0</v>
      </c>
      <c r="AB112" s="220">
        <v>0</v>
      </c>
      <c r="AC112" s="220">
        <v>0</v>
      </c>
      <c r="AD112" s="220">
        <v>0</v>
      </c>
      <c r="AE112" s="220">
        <v>0</v>
      </c>
      <c r="AF112" s="220">
        <v>0</v>
      </c>
      <c r="AG112" s="220">
        <v>0</v>
      </c>
      <c r="AH112" s="221">
        <f t="shared" si="83"/>
        <v>0</v>
      </c>
      <c r="AI112" s="220">
        <f t="shared" si="90"/>
        <v>0</v>
      </c>
      <c r="AJ112" s="221">
        <f t="shared" si="84"/>
        <v>0</v>
      </c>
      <c r="AK112" s="220">
        <v>0</v>
      </c>
      <c r="AL112" s="220">
        <v>0</v>
      </c>
      <c r="AM112" s="220">
        <f t="shared" si="91"/>
        <v>0</v>
      </c>
      <c r="AN112" s="220">
        <f t="shared" si="92"/>
        <v>0</v>
      </c>
      <c r="AO112" s="221">
        <f t="shared" si="85"/>
        <v>0</v>
      </c>
      <c r="AP112" s="220">
        <v>0</v>
      </c>
      <c r="AQ112" s="220">
        <v>0</v>
      </c>
      <c r="AR112" s="220">
        <v>0</v>
      </c>
      <c r="AS112" s="313">
        <v>0</v>
      </c>
    </row>
    <row r="113" spans="1:45" ht="24" customHeight="1" x14ac:dyDescent="0.5">
      <c r="A113" s="229">
        <v>7</v>
      </c>
      <c r="B113" s="230" t="s">
        <v>128</v>
      </c>
      <c r="C113" s="312">
        <f t="shared" si="87"/>
        <v>0</v>
      </c>
      <c r="D113" s="218">
        <v>0</v>
      </c>
      <c r="E113" s="218">
        <v>0</v>
      </c>
      <c r="F113" s="219">
        <v>0</v>
      </c>
      <c r="G113" s="219">
        <f t="shared" si="76"/>
        <v>0</v>
      </c>
      <c r="H113" s="220">
        <f t="shared" si="88"/>
        <v>0</v>
      </c>
      <c r="I113" s="220">
        <f t="shared" si="88"/>
        <v>0</v>
      </c>
      <c r="J113" s="220">
        <v>0</v>
      </c>
      <c r="K113" s="221">
        <f t="shared" si="77"/>
        <v>0</v>
      </c>
      <c r="L113" s="220">
        <v>0</v>
      </c>
      <c r="M113" s="221">
        <f t="shared" si="78"/>
        <v>0</v>
      </c>
      <c r="N113" s="220">
        <v>0</v>
      </c>
      <c r="O113" s="220">
        <v>0</v>
      </c>
      <c r="P113" s="220">
        <v>0</v>
      </c>
      <c r="Q113" s="221">
        <f t="shared" si="79"/>
        <v>0</v>
      </c>
      <c r="R113" s="220">
        <v>0</v>
      </c>
      <c r="S113" s="221">
        <f t="shared" si="80"/>
        <v>0</v>
      </c>
      <c r="T113" s="221">
        <v>0</v>
      </c>
      <c r="U113" s="221">
        <v>0</v>
      </c>
      <c r="V113" s="220">
        <v>0</v>
      </c>
      <c r="W113" s="220">
        <v>0</v>
      </c>
      <c r="X113" s="220">
        <v>0</v>
      </c>
      <c r="Y113" s="221">
        <f t="shared" si="81"/>
        <v>0</v>
      </c>
      <c r="Z113" s="220">
        <f t="shared" si="89"/>
        <v>0</v>
      </c>
      <c r="AA113" s="221">
        <f t="shared" si="82"/>
        <v>0</v>
      </c>
      <c r="AB113" s="220">
        <v>0</v>
      </c>
      <c r="AC113" s="220">
        <v>0</v>
      </c>
      <c r="AD113" s="220">
        <v>0</v>
      </c>
      <c r="AE113" s="220">
        <v>0</v>
      </c>
      <c r="AF113" s="220">
        <v>0</v>
      </c>
      <c r="AG113" s="220">
        <v>0</v>
      </c>
      <c r="AH113" s="221">
        <f t="shared" si="83"/>
        <v>0</v>
      </c>
      <c r="AI113" s="220">
        <f t="shared" si="90"/>
        <v>0</v>
      </c>
      <c r="AJ113" s="221">
        <f t="shared" si="84"/>
        <v>0</v>
      </c>
      <c r="AK113" s="220">
        <v>0</v>
      </c>
      <c r="AL113" s="220">
        <v>0</v>
      </c>
      <c r="AM113" s="220">
        <f t="shared" si="91"/>
        <v>0</v>
      </c>
      <c r="AN113" s="220">
        <f t="shared" si="92"/>
        <v>0</v>
      </c>
      <c r="AO113" s="221">
        <f t="shared" si="85"/>
        <v>0</v>
      </c>
      <c r="AP113" s="220">
        <v>0</v>
      </c>
      <c r="AQ113" s="220">
        <v>0</v>
      </c>
      <c r="AR113" s="220">
        <v>0</v>
      </c>
      <c r="AS113" s="313">
        <v>0</v>
      </c>
    </row>
    <row r="114" spans="1:45" ht="24" customHeight="1" thickBot="1" x14ac:dyDescent="0.55000000000000004">
      <c r="A114" s="533">
        <v>8</v>
      </c>
      <c r="B114" s="534" t="s">
        <v>129</v>
      </c>
      <c r="C114" s="317">
        <f t="shared" si="87"/>
        <v>0</v>
      </c>
      <c r="D114" s="234">
        <v>0</v>
      </c>
      <c r="E114" s="234">
        <v>0</v>
      </c>
      <c r="F114" s="235">
        <v>0</v>
      </c>
      <c r="G114" s="235">
        <f t="shared" si="76"/>
        <v>0</v>
      </c>
      <c r="H114" s="236">
        <f t="shared" si="88"/>
        <v>0</v>
      </c>
      <c r="I114" s="236">
        <f t="shared" si="88"/>
        <v>0</v>
      </c>
      <c r="J114" s="236">
        <v>0</v>
      </c>
      <c r="K114" s="237">
        <f t="shared" si="77"/>
        <v>0</v>
      </c>
      <c r="L114" s="236">
        <v>0</v>
      </c>
      <c r="M114" s="237">
        <f t="shared" si="78"/>
        <v>0</v>
      </c>
      <c r="N114" s="236">
        <v>0</v>
      </c>
      <c r="O114" s="236">
        <v>0</v>
      </c>
      <c r="P114" s="236">
        <v>0</v>
      </c>
      <c r="Q114" s="237">
        <f t="shared" si="79"/>
        <v>0</v>
      </c>
      <c r="R114" s="236">
        <v>0</v>
      </c>
      <c r="S114" s="237">
        <f t="shared" si="80"/>
        <v>0</v>
      </c>
      <c r="T114" s="237">
        <v>0</v>
      </c>
      <c r="U114" s="237">
        <v>0</v>
      </c>
      <c r="V114" s="236">
        <v>0</v>
      </c>
      <c r="W114" s="236">
        <v>0</v>
      </c>
      <c r="X114" s="236">
        <v>0</v>
      </c>
      <c r="Y114" s="237">
        <f t="shared" si="81"/>
        <v>0</v>
      </c>
      <c r="Z114" s="236">
        <f t="shared" si="89"/>
        <v>0</v>
      </c>
      <c r="AA114" s="237">
        <f t="shared" si="82"/>
        <v>0</v>
      </c>
      <c r="AB114" s="236">
        <v>0</v>
      </c>
      <c r="AC114" s="236">
        <v>0</v>
      </c>
      <c r="AD114" s="236">
        <v>0</v>
      </c>
      <c r="AE114" s="236">
        <v>0</v>
      </c>
      <c r="AF114" s="236">
        <v>0</v>
      </c>
      <c r="AG114" s="236">
        <v>0</v>
      </c>
      <c r="AH114" s="237">
        <f t="shared" si="83"/>
        <v>0</v>
      </c>
      <c r="AI114" s="236">
        <f t="shared" si="90"/>
        <v>0</v>
      </c>
      <c r="AJ114" s="237">
        <f t="shared" si="84"/>
        <v>0</v>
      </c>
      <c r="AK114" s="236">
        <v>0</v>
      </c>
      <c r="AL114" s="236">
        <v>0</v>
      </c>
      <c r="AM114" s="236">
        <f t="shared" si="91"/>
        <v>0</v>
      </c>
      <c r="AN114" s="236">
        <f t="shared" si="92"/>
        <v>0</v>
      </c>
      <c r="AO114" s="237">
        <f t="shared" si="85"/>
        <v>0</v>
      </c>
      <c r="AP114" s="236">
        <v>0</v>
      </c>
      <c r="AQ114" s="236">
        <v>0</v>
      </c>
      <c r="AR114" s="236">
        <v>0</v>
      </c>
      <c r="AS114" s="318">
        <v>0</v>
      </c>
    </row>
    <row r="115" spans="1:45" ht="24" customHeight="1" x14ac:dyDescent="0.55000000000000004">
      <c r="A115" s="467" t="s">
        <v>322</v>
      </c>
    </row>
  </sheetData>
  <mergeCells count="38">
    <mergeCell ref="A106:B106"/>
    <mergeCell ref="F7:G7"/>
    <mergeCell ref="H7:I7"/>
    <mergeCell ref="A9:B9"/>
    <mergeCell ref="A15:B15"/>
    <mergeCell ref="A33:B33"/>
    <mergeCell ref="A54:B54"/>
    <mergeCell ref="A76:B76"/>
    <mergeCell ref="A91:B91"/>
    <mergeCell ref="D7:D8"/>
    <mergeCell ref="AN7:AO7"/>
    <mergeCell ref="AP6:AQ6"/>
    <mergeCell ref="V5:AD5"/>
    <mergeCell ref="AE5:AL5"/>
    <mergeCell ref="P6:U6"/>
    <mergeCell ref="X6:AD6"/>
    <mergeCell ref="AG6:AL6"/>
    <mergeCell ref="A2:B6"/>
    <mergeCell ref="C4:G5"/>
    <mergeCell ref="AM4:AS5"/>
    <mergeCell ref="H5:M6"/>
    <mergeCell ref="N5:U5"/>
    <mergeCell ref="V6:W7"/>
    <mergeCell ref="AE6:AF7"/>
    <mergeCell ref="A7:B8"/>
    <mergeCell ref="J7:M7"/>
    <mergeCell ref="P7:S7"/>
    <mergeCell ref="C6:E6"/>
    <mergeCell ref="F6:G6"/>
    <mergeCell ref="N6:O7"/>
    <mergeCell ref="X7:AA7"/>
    <mergeCell ref="AM6:AO6"/>
    <mergeCell ref="AG7:AJ7"/>
    <mergeCell ref="C2:U3"/>
    <mergeCell ref="V2:AS3"/>
    <mergeCell ref="H4:U4"/>
    <mergeCell ref="V4:AL4"/>
    <mergeCell ref="AR6:AS6"/>
  </mergeCells>
  <printOptions horizontalCentered="1"/>
  <pageMargins left="0.15" right="0.15" top="0.75" bottom="0.75" header="0.3" footer="0.3"/>
  <pageSetup paperSize="9" scale="60" orientation="landscape" r:id="rId1"/>
  <rowBreaks count="4" manualBreakCount="4">
    <brk id="32" max="44" man="1"/>
    <brk id="53" max="44" man="1"/>
    <brk id="75" max="16383" man="1"/>
    <brk id="90" max="44" man="1"/>
  </rowBreaks>
  <colBreaks count="1" manualBreakCount="1">
    <brk id="2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D965"/>
  </sheetPr>
  <dimension ref="A1:Z1000"/>
  <sheetViews>
    <sheetView view="pageBreakPreview" zoomScale="115" zoomScaleNormal="70" zoomScaleSheetLayoutView="115" workbookViewId="0">
      <pane xSplit="2" ySplit="9" topLeftCell="C10" activePane="bottomRight" state="frozen"/>
      <selection activeCell="Z5" sqref="Z5:AB6"/>
      <selection pane="topRight" activeCell="Z5" sqref="Z5:AB6"/>
      <selection pane="bottomLeft" activeCell="Z5" sqref="Z5:AB6"/>
      <selection pane="bottomRight" activeCell="Z5" sqref="Z5:AB6"/>
    </sheetView>
  </sheetViews>
  <sheetFormatPr defaultColWidth="12.625" defaultRowHeight="24" customHeight="1" x14ac:dyDescent="0.5"/>
  <cols>
    <col min="1" max="1" width="4.375" style="6" customWidth="1"/>
    <col min="2" max="2" width="27.75" style="6" customWidth="1"/>
    <col min="3" max="6" width="10.75" style="6" customWidth="1"/>
    <col min="7" max="7" width="6.75" style="6" customWidth="1"/>
    <col min="8" max="9" width="10.125" style="6" customWidth="1"/>
    <col min="10" max="10" width="6.75" style="6" customWidth="1"/>
    <col min="11" max="11" width="8.5" style="6" customWidth="1"/>
    <col min="12" max="12" width="9.375" style="6" customWidth="1"/>
    <col min="13" max="13" width="6.75" style="6" customWidth="1"/>
    <col min="14" max="14" width="11" style="6" customWidth="1"/>
    <col min="15" max="17" width="11.75" style="6" customWidth="1"/>
    <col min="18" max="19" width="9.75" style="6" customWidth="1"/>
    <col min="20" max="20" width="6.75" style="6" customWidth="1"/>
    <col min="21" max="16384" width="12.625" style="6"/>
  </cols>
  <sheetData>
    <row r="1" spans="1:26" ht="24" customHeight="1" x14ac:dyDescent="0.5">
      <c r="A1" s="257" t="s">
        <v>324</v>
      </c>
      <c r="B1" s="258"/>
      <c r="C1" s="260"/>
      <c r="D1" s="260"/>
      <c r="E1" s="260"/>
      <c r="F1" s="260"/>
      <c r="G1" s="260"/>
      <c r="H1" s="319"/>
      <c r="I1" s="259"/>
      <c r="J1" s="260"/>
      <c r="K1" s="319"/>
      <c r="L1" s="259"/>
      <c r="M1" s="319"/>
      <c r="N1" s="320"/>
      <c r="O1" s="321"/>
      <c r="P1" s="322"/>
      <c r="Q1" s="321"/>
      <c r="R1" s="258"/>
      <c r="S1" s="259"/>
      <c r="T1" s="258"/>
      <c r="U1" s="261"/>
      <c r="V1" s="261"/>
      <c r="W1" s="261"/>
      <c r="X1" s="261"/>
      <c r="Y1" s="261"/>
      <c r="Z1" s="261"/>
    </row>
    <row r="2" spans="1:26" ht="24" customHeight="1" x14ac:dyDescent="0.5">
      <c r="A2" s="752" t="s">
        <v>0</v>
      </c>
      <c r="B2" s="627"/>
      <c r="C2" s="813" t="s">
        <v>230</v>
      </c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755"/>
      <c r="U2" s="81"/>
      <c r="V2" s="81"/>
      <c r="W2" s="81"/>
      <c r="X2" s="81"/>
      <c r="Y2" s="81"/>
      <c r="Z2" s="81"/>
    </row>
    <row r="3" spans="1:26" ht="24" customHeight="1" x14ac:dyDescent="0.5">
      <c r="A3" s="628"/>
      <c r="B3" s="629"/>
      <c r="C3" s="815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757"/>
      <c r="U3" s="81"/>
      <c r="V3" s="81"/>
      <c r="W3" s="81"/>
      <c r="X3" s="81"/>
      <c r="Y3" s="81"/>
      <c r="Z3" s="81"/>
    </row>
    <row r="4" spans="1:26" ht="24" customHeight="1" x14ac:dyDescent="0.5">
      <c r="A4" s="628"/>
      <c r="B4" s="629"/>
      <c r="C4" s="816" t="s">
        <v>202</v>
      </c>
      <c r="D4" s="817"/>
      <c r="E4" s="817"/>
      <c r="F4" s="817"/>
      <c r="G4" s="817"/>
      <c r="H4" s="818" t="s">
        <v>231</v>
      </c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20"/>
      <c r="U4" s="81"/>
      <c r="V4" s="81"/>
      <c r="W4" s="81"/>
      <c r="X4" s="81"/>
      <c r="Y4" s="81"/>
      <c r="Z4" s="81"/>
    </row>
    <row r="5" spans="1:26" ht="24" customHeight="1" x14ac:dyDescent="0.5">
      <c r="A5" s="628"/>
      <c r="B5" s="629"/>
      <c r="C5" s="815"/>
      <c r="D5" s="669"/>
      <c r="E5" s="669"/>
      <c r="F5" s="669"/>
      <c r="G5" s="669"/>
      <c r="H5" s="821" t="s">
        <v>12</v>
      </c>
      <c r="I5" s="817"/>
      <c r="J5" s="822"/>
      <c r="K5" s="825" t="s">
        <v>232</v>
      </c>
      <c r="L5" s="669"/>
      <c r="M5" s="669"/>
      <c r="N5" s="669"/>
      <c r="O5" s="669"/>
      <c r="P5" s="669"/>
      <c r="Q5" s="824"/>
      <c r="R5" s="826" t="s">
        <v>335</v>
      </c>
      <c r="S5" s="827"/>
      <c r="T5" s="828"/>
      <c r="U5" s="81"/>
      <c r="V5" s="81"/>
      <c r="W5" s="81"/>
      <c r="X5" s="81"/>
      <c r="Y5" s="81"/>
      <c r="Z5" s="81"/>
    </row>
    <row r="6" spans="1:26" ht="24" customHeight="1" x14ac:dyDescent="0.5">
      <c r="A6" s="630"/>
      <c r="B6" s="631"/>
      <c r="C6" s="834" t="s">
        <v>6</v>
      </c>
      <c r="D6" s="819"/>
      <c r="E6" s="812"/>
      <c r="F6" s="835" t="s">
        <v>7</v>
      </c>
      <c r="G6" s="817"/>
      <c r="H6" s="823"/>
      <c r="I6" s="669"/>
      <c r="J6" s="824"/>
      <c r="K6" s="836" t="s">
        <v>233</v>
      </c>
      <c r="L6" s="819"/>
      <c r="M6" s="812"/>
      <c r="N6" s="832" t="s">
        <v>234</v>
      </c>
      <c r="O6" s="833"/>
      <c r="P6" s="832" t="s">
        <v>235</v>
      </c>
      <c r="Q6" s="833"/>
      <c r="R6" s="829"/>
      <c r="S6" s="830"/>
      <c r="T6" s="831"/>
      <c r="U6" s="262"/>
      <c r="V6" s="262"/>
      <c r="W6" s="262"/>
      <c r="X6" s="262"/>
      <c r="Y6" s="262"/>
      <c r="Z6" s="262"/>
    </row>
    <row r="7" spans="1:26" ht="24" customHeight="1" x14ac:dyDescent="0.5">
      <c r="A7" s="773" t="s">
        <v>207</v>
      </c>
      <c r="B7" s="774"/>
      <c r="C7" s="518" t="s">
        <v>12</v>
      </c>
      <c r="D7" s="604" t="s">
        <v>319</v>
      </c>
      <c r="E7" s="511" t="s">
        <v>14</v>
      </c>
      <c r="F7" s="838" t="s">
        <v>15</v>
      </c>
      <c r="G7" s="669"/>
      <c r="H7" s="479" t="s">
        <v>16</v>
      </c>
      <c r="I7" s="837" t="s">
        <v>17</v>
      </c>
      <c r="J7" s="824"/>
      <c r="K7" s="479" t="s">
        <v>16</v>
      </c>
      <c r="L7" s="811" t="s">
        <v>17</v>
      </c>
      <c r="M7" s="812"/>
      <c r="N7" s="479" t="s">
        <v>16</v>
      </c>
      <c r="O7" s="519" t="s">
        <v>17</v>
      </c>
      <c r="P7" s="479" t="s">
        <v>16</v>
      </c>
      <c r="Q7" s="519" t="s">
        <v>17</v>
      </c>
      <c r="R7" s="479" t="s">
        <v>16</v>
      </c>
      <c r="S7" s="811" t="s">
        <v>17</v>
      </c>
      <c r="T7" s="812"/>
      <c r="U7" s="262"/>
      <c r="V7" s="262"/>
      <c r="W7" s="262"/>
      <c r="X7" s="262"/>
      <c r="Y7" s="262"/>
      <c r="Z7" s="262"/>
    </row>
    <row r="8" spans="1:26" ht="24" customHeight="1" x14ac:dyDescent="0.5">
      <c r="A8" s="775"/>
      <c r="B8" s="776"/>
      <c r="C8" s="520"/>
      <c r="D8" s="605"/>
      <c r="E8" s="512"/>
      <c r="F8" s="14" t="s">
        <v>18</v>
      </c>
      <c r="G8" s="325" t="s">
        <v>19</v>
      </c>
      <c r="H8" s="497" t="s">
        <v>22</v>
      </c>
      <c r="I8" s="521" t="s">
        <v>21</v>
      </c>
      <c r="J8" s="522" t="s">
        <v>19</v>
      </c>
      <c r="K8" s="497" t="s">
        <v>21</v>
      </c>
      <c r="L8" s="521" t="s">
        <v>21</v>
      </c>
      <c r="M8" s="521" t="s">
        <v>19</v>
      </c>
      <c r="N8" s="497" t="s">
        <v>22</v>
      </c>
      <c r="O8" s="523" t="s">
        <v>22</v>
      </c>
      <c r="P8" s="497" t="s">
        <v>22</v>
      </c>
      <c r="Q8" s="523" t="s">
        <v>22</v>
      </c>
      <c r="R8" s="497" t="s">
        <v>22</v>
      </c>
      <c r="S8" s="521" t="s">
        <v>21</v>
      </c>
      <c r="T8" s="521" t="s">
        <v>19</v>
      </c>
      <c r="U8" s="241"/>
      <c r="V8" s="241"/>
      <c r="W8" s="241"/>
      <c r="X8" s="241"/>
      <c r="Y8" s="241"/>
      <c r="Z8" s="241"/>
    </row>
    <row r="9" spans="1:26" ht="24" customHeight="1" x14ac:dyDescent="0.5">
      <c r="A9" s="771" t="s">
        <v>24</v>
      </c>
      <c r="B9" s="643"/>
      <c r="C9" s="326">
        <f t="shared" ref="C9:E9" si="0">C10+C11</f>
        <v>8993000</v>
      </c>
      <c r="D9" s="266">
        <f t="shared" si="0"/>
        <v>0</v>
      </c>
      <c r="E9" s="267">
        <f t="shared" si="0"/>
        <v>8993000</v>
      </c>
      <c r="F9" s="327">
        <f ca="1">+F10+F11</f>
        <v>184280</v>
      </c>
      <c r="G9" s="328">
        <f t="shared" ref="G9:G114" ca="1" si="1">IF(C9&gt;0,F9*100/C9,0)</f>
        <v>2.0491493383742911</v>
      </c>
      <c r="H9" s="329">
        <f t="shared" ref="H9:I9" si="2">H10+H11</f>
        <v>2000</v>
      </c>
      <c r="I9" s="330">
        <f t="shared" ca="1" si="2"/>
        <v>30</v>
      </c>
      <c r="J9" s="331">
        <f t="shared" ref="J9:J114" ca="1" si="3">IF(H9&gt;0,I9*100/H9,0)</f>
        <v>1.5</v>
      </c>
      <c r="K9" s="329">
        <f t="shared" ref="K9:L9" si="4">K10+K11</f>
        <v>1784</v>
      </c>
      <c r="L9" s="330">
        <f t="shared" ca="1" si="4"/>
        <v>30</v>
      </c>
      <c r="M9" s="331">
        <f t="shared" ref="M9:M114" ca="1" si="5">IF(K9&gt;0,L9*100/K9,0)</f>
        <v>1.6816143497757847</v>
      </c>
      <c r="N9" s="329">
        <f t="shared" ref="N9:S9" si="6">N10+N11</f>
        <v>1430</v>
      </c>
      <c r="O9" s="330">
        <f t="shared" ca="1" si="6"/>
        <v>30</v>
      </c>
      <c r="P9" s="329">
        <f t="shared" si="6"/>
        <v>354</v>
      </c>
      <c r="Q9" s="330">
        <f t="shared" ca="1" si="6"/>
        <v>0</v>
      </c>
      <c r="R9" s="329">
        <f t="shared" si="6"/>
        <v>216</v>
      </c>
      <c r="S9" s="332">
        <f t="shared" si="6"/>
        <v>0</v>
      </c>
      <c r="T9" s="333">
        <f t="shared" ref="T9:T114" si="7">IF(R9&gt;0,S9*100/R9,0)</f>
        <v>0</v>
      </c>
      <c r="U9" s="3"/>
      <c r="V9" s="3"/>
      <c r="W9" s="3"/>
      <c r="X9" s="3"/>
      <c r="Y9" s="3"/>
      <c r="Z9" s="3"/>
    </row>
    <row r="10" spans="1:26" ht="24" customHeight="1" x14ac:dyDescent="0.5">
      <c r="A10" s="27" t="s">
        <v>25</v>
      </c>
      <c r="B10" s="28"/>
      <c r="C10" s="334">
        <f t="shared" ref="C10:F10" si="8">+C15+C33+C54+C76</f>
        <v>7475600</v>
      </c>
      <c r="D10" s="91">
        <f t="shared" si="8"/>
        <v>0</v>
      </c>
      <c r="E10" s="91">
        <f t="shared" si="8"/>
        <v>7475600</v>
      </c>
      <c r="F10" s="29">
        <f t="shared" ca="1" si="8"/>
        <v>184280</v>
      </c>
      <c r="G10" s="91">
        <f t="shared" ca="1" si="1"/>
        <v>2.4650864144684039</v>
      </c>
      <c r="H10" s="335">
        <f t="shared" ref="H10:I10" si="9">+H15+H33+H54+H76</f>
        <v>1784</v>
      </c>
      <c r="I10" s="66">
        <f t="shared" ca="1" si="9"/>
        <v>30</v>
      </c>
      <c r="J10" s="101">
        <f t="shared" ca="1" si="3"/>
        <v>1.6816143497757847</v>
      </c>
      <c r="K10" s="335">
        <f t="shared" ref="K10:L10" si="10">+K15+K33+K54+K76</f>
        <v>1784</v>
      </c>
      <c r="L10" s="66">
        <f t="shared" ca="1" si="10"/>
        <v>30</v>
      </c>
      <c r="M10" s="101">
        <f t="shared" ca="1" si="5"/>
        <v>1.6816143497757847</v>
      </c>
      <c r="N10" s="335">
        <f t="shared" ref="N10:S10" si="11">+N15+N33+N54+N76</f>
        <v>1430</v>
      </c>
      <c r="O10" s="66">
        <f t="shared" ca="1" si="11"/>
        <v>30</v>
      </c>
      <c r="P10" s="335">
        <f t="shared" si="11"/>
        <v>354</v>
      </c>
      <c r="Q10" s="66">
        <f t="shared" ca="1" si="11"/>
        <v>0</v>
      </c>
      <c r="R10" s="335">
        <f t="shared" si="11"/>
        <v>0</v>
      </c>
      <c r="S10" s="29">
        <f t="shared" si="11"/>
        <v>0</v>
      </c>
      <c r="T10" s="91">
        <f t="shared" si="7"/>
        <v>0</v>
      </c>
      <c r="U10" s="81"/>
      <c r="V10" s="81"/>
      <c r="W10" s="81"/>
      <c r="X10" s="81"/>
      <c r="Y10" s="81"/>
      <c r="Z10" s="81"/>
    </row>
    <row r="11" spans="1:26" ht="24" customHeight="1" x14ac:dyDescent="0.5">
      <c r="A11" s="33" t="s">
        <v>26</v>
      </c>
      <c r="B11" s="34"/>
      <c r="C11" s="336">
        <f t="shared" ref="C11:F11" si="12">+C12+C13</f>
        <v>1517400</v>
      </c>
      <c r="D11" s="92">
        <f t="shared" si="12"/>
        <v>0</v>
      </c>
      <c r="E11" s="92">
        <f t="shared" si="12"/>
        <v>1517400</v>
      </c>
      <c r="F11" s="35">
        <f t="shared" si="12"/>
        <v>0</v>
      </c>
      <c r="G11" s="92">
        <f t="shared" si="1"/>
        <v>0</v>
      </c>
      <c r="H11" s="337">
        <f t="shared" ref="H11:I11" si="13">+H12+H13</f>
        <v>216</v>
      </c>
      <c r="I11" s="35">
        <f t="shared" si="13"/>
        <v>0</v>
      </c>
      <c r="J11" s="92">
        <f t="shared" si="3"/>
        <v>0</v>
      </c>
      <c r="K11" s="337">
        <f t="shared" ref="K11:L11" si="14">+K12+K13</f>
        <v>0</v>
      </c>
      <c r="L11" s="35">
        <f t="shared" si="14"/>
        <v>0</v>
      </c>
      <c r="M11" s="92">
        <f t="shared" si="5"/>
        <v>0</v>
      </c>
      <c r="N11" s="337">
        <f t="shared" ref="N11:S11" si="15">+N12+N13</f>
        <v>0</v>
      </c>
      <c r="O11" s="35">
        <f t="shared" si="15"/>
        <v>0</v>
      </c>
      <c r="P11" s="337">
        <f t="shared" si="15"/>
        <v>0</v>
      </c>
      <c r="Q11" s="35">
        <f t="shared" si="15"/>
        <v>0</v>
      </c>
      <c r="R11" s="337">
        <f t="shared" si="15"/>
        <v>216</v>
      </c>
      <c r="S11" s="35">
        <f t="shared" si="15"/>
        <v>0</v>
      </c>
      <c r="T11" s="92">
        <f t="shared" si="7"/>
        <v>0</v>
      </c>
      <c r="U11" s="81"/>
      <c r="V11" s="81"/>
      <c r="W11" s="81"/>
      <c r="X11" s="81"/>
      <c r="Y11" s="81"/>
      <c r="Z11" s="81"/>
    </row>
    <row r="12" spans="1:26" ht="24" customHeight="1" x14ac:dyDescent="0.5">
      <c r="A12" s="33" t="s">
        <v>27</v>
      </c>
      <c r="B12" s="34"/>
      <c r="C12" s="336">
        <f t="shared" ref="C12:F12" si="16">+C91</f>
        <v>1517400</v>
      </c>
      <c r="D12" s="92">
        <f t="shared" si="16"/>
        <v>0</v>
      </c>
      <c r="E12" s="92">
        <f t="shared" si="16"/>
        <v>1517400</v>
      </c>
      <c r="F12" s="35">
        <f t="shared" si="16"/>
        <v>0</v>
      </c>
      <c r="G12" s="92">
        <f t="shared" si="1"/>
        <v>0</v>
      </c>
      <c r="H12" s="337">
        <f t="shared" ref="H12:I12" si="17">+H91</f>
        <v>216</v>
      </c>
      <c r="I12" s="35">
        <f t="shared" si="17"/>
        <v>0</v>
      </c>
      <c r="J12" s="92">
        <f t="shared" si="3"/>
        <v>0</v>
      </c>
      <c r="K12" s="337">
        <f t="shared" ref="K12:L12" si="18">+K91</f>
        <v>0</v>
      </c>
      <c r="L12" s="35">
        <f t="shared" si="18"/>
        <v>0</v>
      </c>
      <c r="M12" s="92">
        <f t="shared" si="5"/>
        <v>0</v>
      </c>
      <c r="N12" s="337">
        <f t="shared" ref="N12:S12" si="19">+N91</f>
        <v>0</v>
      </c>
      <c r="O12" s="35">
        <f t="shared" si="19"/>
        <v>0</v>
      </c>
      <c r="P12" s="337">
        <f t="shared" si="19"/>
        <v>0</v>
      </c>
      <c r="Q12" s="35">
        <f t="shared" si="19"/>
        <v>0</v>
      </c>
      <c r="R12" s="337">
        <f t="shared" si="19"/>
        <v>216</v>
      </c>
      <c r="S12" s="35">
        <f t="shared" si="19"/>
        <v>0</v>
      </c>
      <c r="T12" s="92">
        <f t="shared" si="7"/>
        <v>0</v>
      </c>
      <c r="U12" s="81"/>
      <c r="V12" s="81"/>
      <c r="W12" s="81"/>
      <c r="X12" s="81"/>
      <c r="Y12" s="81"/>
      <c r="Z12" s="81"/>
    </row>
    <row r="13" spans="1:26" ht="24" customHeight="1" x14ac:dyDescent="0.5">
      <c r="A13" s="33" t="s">
        <v>28</v>
      </c>
      <c r="B13" s="34"/>
      <c r="C13" s="336">
        <f t="shared" ref="C13:E13" si="20">+C106</f>
        <v>0</v>
      </c>
      <c r="D13" s="92">
        <f t="shared" si="20"/>
        <v>0</v>
      </c>
      <c r="E13" s="92">
        <f t="shared" si="20"/>
        <v>0</v>
      </c>
      <c r="F13" s="35"/>
      <c r="G13" s="92">
        <f t="shared" si="1"/>
        <v>0</v>
      </c>
      <c r="H13" s="337">
        <f t="shared" ref="H13:I13" si="21">+H106</f>
        <v>0</v>
      </c>
      <c r="I13" s="35">
        <f t="shared" si="21"/>
        <v>0</v>
      </c>
      <c r="J13" s="92">
        <f t="shared" si="3"/>
        <v>0</v>
      </c>
      <c r="K13" s="337">
        <f t="shared" ref="K13:L13" si="22">+K106</f>
        <v>0</v>
      </c>
      <c r="L13" s="35">
        <f t="shared" si="22"/>
        <v>0</v>
      </c>
      <c r="M13" s="92">
        <f t="shared" si="5"/>
        <v>0</v>
      </c>
      <c r="N13" s="337">
        <f t="shared" ref="N13:S13" si="23">+N106</f>
        <v>0</v>
      </c>
      <c r="O13" s="35">
        <f t="shared" si="23"/>
        <v>0</v>
      </c>
      <c r="P13" s="337">
        <f t="shared" si="23"/>
        <v>0</v>
      </c>
      <c r="Q13" s="35">
        <f t="shared" si="23"/>
        <v>0</v>
      </c>
      <c r="R13" s="337">
        <f t="shared" si="23"/>
        <v>0</v>
      </c>
      <c r="S13" s="35">
        <f t="shared" si="23"/>
        <v>0</v>
      </c>
      <c r="T13" s="92">
        <f t="shared" si="7"/>
        <v>0</v>
      </c>
      <c r="U13" s="81"/>
      <c r="V13" s="81"/>
      <c r="W13" s="81"/>
      <c r="X13" s="81"/>
      <c r="Y13" s="81"/>
      <c r="Z13" s="81"/>
    </row>
    <row r="14" spans="1:26" ht="24" hidden="1" customHeight="1" x14ac:dyDescent="0.5">
      <c r="A14" s="39" t="s">
        <v>208</v>
      </c>
      <c r="B14" s="252"/>
      <c r="C14" s="338">
        <v>0</v>
      </c>
      <c r="D14" s="96">
        <v>0</v>
      </c>
      <c r="E14" s="96">
        <v>0</v>
      </c>
      <c r="F14" s="93"/>
      <c r="G14" s="96">
        <f t="shared" si="1"/>
        <v>0</v>
      </c>
      <c r="H14" s="339" t="e">
        <f t="shared" ref="H14:I14" si="24">+N14+R14</f>
        <v>#REF!</v>
      </c>
      <c r="I14" s="93" t="e">
        <f t="shared" si="24"/>
        <v>#REF!</v>
      </c>
      <c r="J14" s="96" t="e">
        <f t="shared" si="3"/>
        <v>#REF!</v>
      </c>
      <c r="K14" s="339" t="e">
        <f t="shared" ref="K14:L14" si="25">+Q14+#REF!</f>
        <v>#REF!</v>
      </c>
      <c r="L14" s="93" t="e">
        <f t="shared" si="25"/>
        <v>#REF!</v>
      </c>
      <c r="M14" s="96" t="e">
        <f t="shared" si="5"/>
        <v>#REF!</v>
      </c>
      <c r="N14" s="339" t="e">
        <f>+T14+#REF!</f>
        <v>#REF!</v>
      </c>
      <c r="O14" s="93" t="e">
        <f t="shared" ref="O14:S14" si="26">+#REF!+#REF!</f>
        <v>#REF!</v>
      </c>
      <c r="P14" s="339" t="e">
        <f t="shared" si="26"/>
        <v>#REF!</v>
      </c>
      <c r="Q14" s="93" t="e">
        <f t="shared" si="26"/>
        <v>#REF!</v>
      </c>
      <c r="R14" s="339" t="e">
        <f t="shared" si="26"/>
        <v>#REF!</v>
      </c>
      <c r="S14" s="93" t="e">
        <f t="shared" si="26"/>
        <v>#REF!</v>
      </c>
      <c r="T14" s="96" t="e">
        <f t="shared" si="7"/>
        <v>#REF!</v>
      </c>
      <c r="U14" s="81"/>
      <c r="V14" s="81"/>
      <c r="W14" s="81"/>
      <c r="X14" s="81"/>
      <c r="Y14" s="81"/>
      <c r="Z14" s="81"/>
    </row>
    <row r="15" spans="1:26" ht="24" customHeight="1" x14ac:dyDescent="0.5">
      <c r="A15" s="777" t="s">
        <v>30</v>
      </c>
      <c r="B15" s="571"/>
      <c r="C15" s="340">
        <f t="shared" ref="C15:F15" si="27">SUM(C16:C32)</f>
        <v>1912200</v>
      </c>
      <c r="D15" s="101">
        <f t="shared" si="27"/>
        <v>0</v>
      </c>
      <c r="E15" s="101">
        <f t="shared" si="27"/>
        <v>1912200</v>
      </c>
      <c r="F15" s="101">
        <f t="shared" ca="1" si="27"/>
        <v>140950</v>
      </c>
      <c r="G15" s="101">
        <f t="shared" ca="1" si="1"/>
        <v>7.3710908900742602</v>
      </c>
      <c r="H15" s="139">
        <f t="shared" ref="H15:I15" si="28">SUM(H16:H32)</f>
        <v>489</v>
      </c>
      <c r="I15" s="138">
        <f t="shared" ca="1" si="28"/>
        <v>20</v>
      </c>
      <c r="J15" s="67">
        <f t="shared" ca="1" si="3"/>
        <v>4.0899795501022496</v>
      </c>
      <c r="K15" s="139">
        <f t="shared" ref="K15:L15" si="29">SUM(K16:K32)</f>
        <v>489</v>
      </c>
      <c r="L15" s="138">
        <f t="shared" ca="1" si="29"/>
        <v>20</v>
      </c>
      <c r="M15" s="67">
        <f t="shared" ca="1" si="5"/>
        <v>4.0899795501022496</v>
      </c>
      <c r="N15" s="139">
        <f t="shared" ref="N15:S15" si="30">SUM(N16:N32)</f>
        <v>360</v>
      </c>
      <c r="O15" s="138">
        <f t="shared" ca="1" si="30"/>
        <v>20</v>
      </c>
      <c r="P15" s="139">
        <f t="shared" si="30"/>
        <v>129</v>
      </c>
      <c r="Q15" s="138">
        <f t="shared" ca="1" si="30"/>
        <v>0</v>
      </c>
      <c r="R15" s="139">
        <f t="shared" si="30"/>
        <v>0</v>
      </c>
      <c r="S15" s="138">
        <f t="shared" si="30"/>
        <v>0</v>
      </c>
      <c r="T15" s="67">
        <f t="shared" si="7"/>
        <v>0</v>
      </c>
      <c r="U15" s="81"/>
      <c r="V15" s="81"/>
      <c r="W15" s="81"/>
      <c r="X15" s="81"/>
      <c r="Y15" s="81"/>
      <c r="Z15" s="81"/>
    </row>
    <row r="16" spans="1:26" ht="24" customHeight="1" x14ac:dyDescent="0.5">
      <c r="A16" s="268">
        <v>1</v>
      </c>
      <c r="B16" s="269" t="s">
        <v>31</v>
      </c>
      <c r="C16" s="341">
        <f t="shared" ref="C16:C32" si="31">+D16+E16</f>
        <v>134600</v>
      </c>
      <c r="D16" s="271">
        <v>0</v>
      </c>
      <c r="E16" s="271">
        <v>134600</v>
      </c>
      <c r="F16" s="271">
        <f ca="1">IFERROR(__xludf.DUMMYFUNCTION("IMPORTRANGE(""https://docs.google.com/spreadsheets/d/11923uPwbBZFjjGgGUA6NLw09EwE0CqkOc4q9oUmW1yo/edit?usp=sharing"",""กำแพงเพชร!M332"")"),0)</f>
        <v>0</v>
      </c>
      <c r="G16" s="271">
        <f t="shared" ca="1" si="1"/>
        <v>0</v>
      </c>
      <c r="H16" s="342">
        <f t="shared" ref="H16:H32" si="32">+N16+P16+R16</f>
        <v>40</v>
      </c>
      <c r="I16" s="49">
        <f t="shared" ref="I16:I32" ca="1" si="33">SUM(L16,S16)</f>
        <v>0</v>
      </c>
      <c r="J16" s="343">
        <f t="shared" ca="1" si="3"/>
        <v>0</v>
      </c>
      <c r="K16" s="344">
        <f t="shared" ref="K16:K32" si="34">+N16+P16</f>
        <v>40</v>
      </c>
      <c r="L16" s="49">
        <f t="shared" ref="L16:L32" ca="1" si="35">O16+Q16</f>
        <v>0</v>
      </c>
      <c r="M16" s="343">
        <f t="shared" ca="1" si="5"/>
        <v>0</v>
      </c>
      <c r="N16" s="345">
        <v>20</v>
      </c>
      <c r="O16" s="49">
        <f ca="1">IFERROR(__xludf.DUMMYFUNCTION("IMPORTRANGE(""https://docs.google.com/spreadsheets/d/11923uPwbBZFjjGgGUA6NLw09EwE0CqkOc4q9oUmW1yo/edit?usp=sharing"",""กำแพงเพชร!J345"")"),0)</f>
        <v>0</v>
      </c>
      <c r="P16" s="345">
        <v>20</v>
      </c>
      <c r="Q16" s="49">
        <f ca="1">IFERROR(__xludf.DUMMYFUNCTION("IMPORTRANGE(""https://docs.google.com/spreadsheets/d/11923uPwbBZFjjGgGUA6NLw09EwE0CqkOc4q9oUmW1yo/edit?usp=sharing"",""กำแพงเพชร!J346"")"),0)</f>
        <v>0</v>
      </c>
      <c r="R16" s="342">
        <v>0</v>
      </c>
      <c r="S16" s="49">
        <v>0</v>
      </c>
      <c r="T16" s="343">
        <f t="shared" si="7"/>
        <v>0</v>
      </c>
      <c r="U16" s="81"/>
      <c r="V16" s="81"/>
      <c r="W16" s="81"/>
      <c r="X16" s="81"/>
      <c r="Y16" s="81"/>
      <c r="Z16" s="81"/>
    </row>
    <row r="17" spans="1:26" ht="24" customHeight="1" x14ac:dyDescent="0.5">
      <c r="A17" s="273">
        <v>2</v>
      </c>
      <c r="B17" s="274" t="s">
        <v>32</v>
      </c>
      <c r="C17" s="346">
        <f t="shared" si="31"/>
        <v>154800</v>
      </c>
      <c r="D17" s="276">
        <v>0</v>
      </c>
      <c r="E17" s="276">
        <v>154800</v>
      </c>
      <c r="F17" s="276">
        <f ca="1">IFERROR(__xludf.DUMMYFUNCTION("IMPORTRANGE(""https://docs.google.com/spreadsheets/d/11923uPwbBZFjjGgGUA6NLw09EwE0CqkOc4q9oUmW1yo/edit?usp=sharing"",""เชียงราย!M332"")"),0)</f>
        <v>0</v>
      </c>
      <c r="G17" s="276">
        <f t="shared" ca="1" si="1"/>
        <v>0</v>
      </c>
      <c r="H17" s="347">
        <f t="shared" si="32"/>
        <v>50</v>
      </c>
      <c r="I17" s="57">
        <f t="shared" ca="1" si="33"/>
        <v>0</v>
      </c>
      <c r="J17" s="348">
        <f t="shared" ca="1" si="3"/>
        <v>0</v>
      </c>
      <c r="K17" s="349">
        <f t="shared" si="34"/>
        <v>50</v>
      </c>
      <c r="L17" s="57">
        <f t="shared" ca="1" si="35"/>
        <v>0</v>
      </c>
      <c r="M17" s="348">
        <f t="shared" ca="1" si="5"/>
        <v>0</v>
      </c>
      <c r="N17" s="350">
        <v>20</v>
      </c>
      <c r="O17" s="57">
        <f ca="1">IFERROR(__xludf.DUMMYFUNCTION("IMPORTRANGE(""https://docs.google.com/spreadsheets/d/11923uPwbBZFjjGgGUA6NLw09EwE0CqkOc4q9oUmW1yo/edit?usp=sharing"",""เชียงราย!J345"")"),0)</f>
        <v>0</v>
      </c>
      <c r="P17" s="350">
        <v>30</v>
      </c>
      <c r="Q17" s="57">
        <f ca="1">IFERROR(__xludf.DUMMYFUNCTION("IMPORTRANGE(""https://docs.google.com/spreadsheets/d/11923uPwbBZFjjGgGUA6NLw09EwE0CqkOc4q9oUmW1yo/edit?usp=sharing"",""เชียงราย!J346"")"),0)</f>
        <v>0</v>
      </c>
      <c r="R17" s="347">
        <v>0</v>
      </c>
      <c r="S17" s="57">
        <v>0</v>
      </c>
      <c r="T17" s="348">
        <f t="shared" si="7"/>
        <v>0</v>
      </c>
      <c r="U17" s="81"/>
      <c r="V17" s="81"/>
      <c r="W17" s="81"/>
      <c r="X17" s="81"/>
      <c r="Y17" s="81"/>
      <c r="Z17" s="81"/>
    </row>
    <row r="18" spans="1:26" ht="24" customHeight="1" x14ac:dyDescent="0.5">
      <c r="A18" s="273">
        <v>3</v>
      </c>
      <c r="B18" s="274" t="s">
        <v>33</v>
      </c>
      <c r="C18" s="346">
        <f t="shared" si="31"/>
        <v>95000</v>
      </c>
      <c r="D18" s="276">
        <v>0</v>
      </c>
      <c r="E18" s="276">
        <v>95000</v>
      </c>
      <c r="F18" s="276">
        <f ca="1">IFERROR(__xludf.DUMMYFUNCTION("IMPORTRANGE(""https://docs.google.com/spreadsheets/d/11923uPwbBZFjjGgGUA6NLw09EwE0CqkOc4q9oUmW1yo/edit?usp=sharing"",""เชียงใหม่!M332"")"),18580)</f>
        <v>18580</v>
      </c>
      <c r="G18" s="276">
        <f t="shared" ca="1" si="1"/>
        <v>19.557894736842105</v>
      </c>
      <c r="H18" s="347">
        <f t="shared" si="32"/>
        <v>20</v>
      </c>
      <c r="I18" s="57">
        <f t="shared" ca="1" si="33"/>
        <v>0</v>
      </c>
      <c r="J18" s="348">
        <f t="shared" ca="1" si="3"/>
        <v>0</v>
      </c>
      <c r="K18" s="349">
        <f t="shared" si="34"/>
        <v>20</v>
      </c>
      <c r="L18" s="57">
        <f t="shared" ca="1" si="35"/>
        <v>0</v>
      </c>
      <c r="M18" s="348">
        <f t="shared" ca="1" si="5"/>
        <v>0</v>
      </c>
      <c r="N18" s="351">
        <v>20</v>
      </c>
      <c r="O18" s="57">
        <f ca="1">IFERROR(__xludf.DUMMYFUNCTION("IMPORTRANGE(""https://docs.google.com/spreadsheets/d/11923uPwbBZFjjGgGUA6NLw09EwE0CqkOc4q9oUmW1yo/edit?usp=sharing"",""เชียงใหม่!J345"")"),0)</f>
        <v>0</v>
      </c>
      <c r="P18" s="351">
        <v>0</v>
      </c>
      <c r="Q18" s="57">
        <f ca="1">IFERROR(__xludf.DUMMYFUNCTION("IMPORTRANGE(""https://docs.google.com/spreadsheets/d/11923uPwbBZFjjGgGUA6NLw09EwE0CqkOc4q9oUmW1yo/edit?usp=sharing"",""เชียงใหม่!J346"")"),0)</f>
        <v>0</v>
      </c>
      <c r="R18" s="347">
        <v>0</v>
      </c>
      <c r="S18" s="57">
        <v>0</v>
      </c>
      <c r="T18" s="348">
        <f t="shared" si="7"/>
        <v>0</v>
      </c>
      <c r="U18" s="81"/>
      <c r="V18" s="81"/>
      <c r="W18" s="81"/>
      <c r="X18" s="81"/>
      <c r="Y18" s="81"/>
      <c r="Z18" s="81"/>
    </row>
    <row r="19" spans="1:26" ht="24" customHeight="1" x14ac:dyDescent="0.5">
      <c r="A19" s="273">
        <v>4</v>
      </c>
      <c r="B19" s="274" t="s">
        <v>34</v>
      </c>
      <c r="C19" s="346">
        <f t="shared" si="31"/>
        <v>95000</v>
      </c>
      <c r="D19" s="276">
        <v>0</v>
      </c>
      <c r="E19" s="276">
        <v>95000</v>
      </c>
      <c r="F19" s="276">
        <f ca="1">IFERROR(__xludf.DUMMYFUNCTION("IMPORTRANGE(""https://docs.google.com/spreadsheets/d/11923uPwbBZFjjGgGUA6NLw09EwE0CqkOc4q9oUmW1yo/edit?usp=sharing"",""ตาก!M332"")"),0)</f>
        <v>0</v>
      </c>
      <c r="G19" s="276">
        <f t="shared" ca="1" si="1"/>
        <v>0</v>
      </c>
      <c r="H19" s="347">
        <f t="shared" si="32"/>
        <v>20</v>
      </c>
      <c r="I19" s="57">
        <f t="shared" ca="1" si="33"/>
        <v>0</v>
      </c>
      <c r="J19" s="348">
        <f t="shared" ca="1" si="3"/>
        <v>0</v>
      </c>
      <c r="K19" s="349">
        <f t="shared" si="34"/>
        <v>20</v>
      </c>
      <c r="L19" s="57">
        <f t="shared" ca="1" si="35"/>
        <v>0</v>
      </c>
      <c r="M19" s="348">
        <f t="shared" ca="1" si="5"/>
        <v>0</v>
      </c>
      <c r="N19" s="351">
        <v>20</v>
      </c>
      <c r="O19" s="57">
        <f ca="1">IFERROR(__xludf.DUMMYFUNCTION("IMPORTRANGE(""https://docs.google.com/spreadsheets/d/11923uPwbBZFjjGgGUA6NLw09EwE0CqkOc4q9oUmW1yo/edit?usp=sharing"",""ตาก!J345"")"),0)</f>
        <v>0</v>
      </c>
      <c r="P19" s="351">
        <v>0</v>
      </c>
      <c r="Q19" s="57">
        <f ca="1">IFERROR(__xludf.DUMMYFUNCTION("IMPORTRANGE(""https://docs.google.com/spreadsheets/d/11923uPwbBZFjjGgGUA6NLw09EwE0CqkOc4q9oUmW1yo/edit?usp=sharing"",""ตาก!J346"")"),0)</f>
        <v>0</v>
      </c>
      <c r="R19" s="347">
        <v>0</v>
      </c>
      <c r="S19" s="57">
        <v>0</v>
      </c>
      <c r="T19" s="348">
        <f t="shared" si="7"/>
        <v>0</v>
      </c>
      <c r="U19" s="81"/>
      <c r="V19" s="81"/>
      <c r="W19" s="81"/>
      <c r="X19" s="81"/>
      <c r="Y19" s="81"/>
      <c r="Z19" s="81"/>
    </row>
    <row r="20" spans="1:26" ht="24" customHeight="1" x14ac:dyDescent="0.5">
      <c r="A20" s="273">
        <v>5</v>
      </c>
      <c r="B20" s="274" t="s">
        <v>35</v>
      </c>
      <c r="C20" s="346">
        <f t="shared" si="31"/>
        <v>83000</v>
      </c>
      <c r="D20" s="276">
        <v>0</v>
      </c>
      <c r="E20" s="276">
        <v>83000</v>
      </c>
      <c r="F20" s="276">
        <f ca="1">IFERROR(__xludf.DUMMYFUNCTION("IMPORTRANGE(""https://docs.google.com/spreadsheets/d/11923uPwbBZFjjGgGUA6NLw09EwE0CqkOc4q9oUmW1yo/edit?usp=sharing"",""นครสวรรค์!M332"")"),0)</f>
        <v>0</v>
      </c>
      <c r="G20" s="276">
        <f t="shared" ca="1" si="1"/>
        <v>0</v>
      </c>
      <c r="H20" s="347">
        <f t="shared" si="32"/>
        <v>15</v>
      </c>
      <c r="I20" s="57">
        <f t="shared" ca="1" si="33"/>
        <v>0</v>
      </c>
      <c r="J20" s="348">
        <f t="shared" ca="1" si="3"/>
        <v>0</v>
      </c>
      <c r="K20" s="349">
        <f t="shared" si="34"/>
        <v>15</v>
      </c>
      <c r="L20" s="57">
        <f t="shared" ca="1" si="35"/>
        <v>0</v>
      </c>
      <c r="M20" s="348">
        <f t="shared" ca="1" si="5"/>
        <v>0</v>
      </c>
      <c r="N20" s="351">
        <v>15</v>
      </c>
      <c r="O20" s="57">
        <f ca="1">IFERROR(__xludf.DUMMYFUNCTION("IMPORTRANGE(""https://docs.google.com/spreadsheets/d/11923uPwbBZFjjGgGUA6NLw09EwE0CqkOc4q9oUmW1yo/edit?usp=sharing"",""นครสวรรค์!J345"")"),0)</f>
        <v>0</v>
      </c>
      <c r="P20" s="351">
        <v>0</v>
      </c>
      <c r="Q20" s="57">
        <f ca="1">IFERROR(__xludf.DUMMYFUNCTION("IMPORTRANGE(""https://docs.google.com/spreadsheets/d/11923uPwbBZFjjGgGUA6NLw09EwE0CqkOc4q9oUmW1yo/edit?usp=sharing"",""นครสวรรค์!J346"")"),0)</f>
        <v>0</v>
      </c>
      <c r="R20" s="347">
        <v>0</v>
      </c>
      <c r="S20" s="57">
        <v>0</v>
      </c>
      <c r="T20" s="348">
        <f t="shared" si="7"/>
        <v>0</v>
      </c>
      <c r="U20" s="81"/>
      <c r="V20" s="81"/>
      <c r="W20" s="81"/>
      <c r="X20" s="81"/>
      <c r="Y20" s="81"/>
      <c r="Z20" s="81"/>
    </row>
    <row r="21" spans="1:26" ht="24" customHeight="1" x14ac:dyDescent="0.5">
      <c r="A21" s="273">
        <v>6</v>
      </c>
      <c r="B21" s="274" t="s">
        <v>36</v>
      </c>
      <c r="C21" s="346">
        <f t="shared" si="31"/>
        <v>123800</v>
      </c>
      <c r="D21" s="276">
        <v>0</v>
      </c>
      <c r="E21" s="276">
        <v>123800</v>
      </c>
      <c r="F21" s="276">
        <f ca="1">IFERROR(__xludf.DUMMYFUNCTION("IMPORTRANGE(""https://docs.google.com/spreadsheets/d/11923uPwbBZFjjGgGUA6NLw09EwE0CqkOc4q9oUmW1yo/edit?usp=sharing"",""น่าน!M332"")"),0)</f>
        <v>0</v>
      </c>
      <c r="G21" s="276">
        <f t="shared" ca="1" si="1"/>
        <v>0</v>
      </c>
      <c r="H21" s="347">
        <f t="shared" si="32"/>
        <v>35</v>
      </c>
      <c r="I21" s="57">
        <f t="shared" ca="1" si="33"/>
        <v>0</v>
      </c>
      <c r="J21" s="348">
        <f t="shared" ca="1" si="3"/>
        <v>0</v>
      </c>
      <c r="K21" s="349">
        <f t="shared" si="34"/>
        <v>35</v>
      </c>
      <c r="L21" s="57">
        <f t="shared" ca="1" si="35"/>
        <v>0</v>
      </c>
      <c r="M21" s="348">
        <f t="shared" ca="1" si="5"/>
        <v>0</v>
      </c>
      <c r="N21" s="351">
        <v>15</v>
      </c>
      <c r="O21" s="57">
        <f ca="1">IFERROR(__xludf.DUMMYFUNCTION("IMPORTRANGE(""https://docs.google.com/spreadsheets/d/11923uPwbBZFjjGgGUA6NLw09EwE0CqkOc4q9oUmW1yo/edit?usp=sharing"",""น่าน!J345"")"),0)</f>
        <v>0</v>
      </c>
      <c r="P21" s="351">
        <v>20</v>
      </c>
      <c r="Q21" s="57">
        <f ca="1">IFERROR(__xludf.DUMMYFUNCTION("IMPORTRANGE(""https://docs.google.com/spreadsheets/d/11923uPwbBZFjjGgGUA6NLw09EwE0CqkOc4q9oUmW1yo/edit?usp=sharing"",""น่าน!J346"")"),0)</f>
        <v>0</v>
      </c>
      <c r="R21" s="347">
        <v>0</v>
      </c>
      <c r="S21" s="57">
        <v>0</v>
      </c>
      <c r="T21" s="348">
        <f t="shared" si="7"/>
        <v>0</v>
      </c>
      <c r="U21" s="81"/>
      <c r="V21" s="81"/>
      <c r="W21" s="81"/>
      <c r="X21" s="81"/>
      <c r="Y21" s="81"/>
      <c r="Z21" s="81"/>
    </row>
    <row r="22" spans="1:26" ht="24" customHeight="1" x14ac:dyDescent="0.5">
      <c r="A22" s="273">
        <v>7</v>
      </c>
      <c r="B22" s="274" t="s">
        <v>37</v>
      </c>
      <c r="C22" s="346">
        <f t="shared" si="31"/>
        <v>145000</v>
      </c>
      <c r="D22" s="276">
        <v>0</v>
      </c>
      <c r="E22" s="276">
        <v>145000</v>
      </c>
      <c r="F22" s="276">
        <f ca="1">IFERROR(__xludf.DUMMYFUNCTION("IMPORTRANGE(""https://docs.google.com/spreadsheets/d/11923uPwbBZFjjGgGUA6NLw09EwE0CqkOc4q9oUmW1yo/edit?usp=sharing"",""พะเยา!M332"")"),0)</f>
        <v>0</v>
      </c>
      <c r="G22" s="276">
        <f t="shared" ca="1" si="1"/>
        <v>0</v>
      </c>
      <c r="H22" s="347">
        <f t="shared" si="32"/>
        <v>43</v>
      </c>
      <c r="I22" s="57">
        <f t="shared" ca="1" si="33"/>
        <v>0</v>
      </c>
      <c r="J22" s="348">
        <f t="shared" ca="1" si="3"/>
        <v>0</v>
      </c>
      <c r="K22" s="349">
        <f t="shared" si="34"/>
        <v>43</v>
      </c>
      <c r="L22" s="57">
        <f t="shared" ca="1" si="35"/>
        <v>0</v>
      </c>
      <c r="M22" s="348">
        <f t="shared" ca="1" si="5"/>
        <v>0</v>
      </c>
      <c r="N22" s="351">
        <v>43</v>
      </c>
      <c r="O22" s="57">
        <f ca="1">IFERROR(__xludf.DUMMYFUNCTION("IMPORTRANGE(""https://docs.google.com/spreadsheets/d/11923uPwbBZFjjGgGUA6NLw09EwE0CqkOc4q9oUmW1yo/edit?usp=sharing"",""พะเยา!J345"")"),0)</f>
        <v>0</v>
      </c>
      <c r="P22" s="351">
        <v>0</v>
      </c>
      <c r="Q22" s="57">
        <f ca="1">IFERROR(__xludf.DUMMYFUNCTION("IMPORTRANGE(""https://docs.google.com/spreadsheets/d/11923uPwbBZFjjGgGUA6NLw09EwE0CqkOc4q9oUmW1yo/edit?usp=sharing"",""พะเยา!J346"")"),0)</f>
        <v>0</v>
      </c>
      <c r="R22" s="347">
        <v>0</v>
      </c>
      <c r="S22" s="57">
        <v>0</v>
      </c>
      <c r="T22" s="348">
        <f t="shared" si="7"/>
        <v>0</v>
      </c>
      <c r="U22" s="81"/>
      <c r="V22" s="81"/>
      <c r="W22" s="81"/>
      <c r="X22" s="81"/>
      <c r="Y22" s="81"/>
      <c r="Z22" s="81"/>
    </row>
    <row r="23" spans="1:26" ht="24" customHeight="1" x14ac:dyDescent="0.5">
      <c r="A23" s="273">
        <v>8</v>
      </c>
      <c r="B23" s="274" t="s">
        <v>38</v>
      </c>
      <c r="C23" s="346">
        <f t="shared" si="31"/>
        <v>83000</v>
      </c>
      <c r="D23" s="276">
        <v>0</v>
      </c>
      <c r="E23" s="276">
        <v>83000</v>
      </c>
      <c r="F23" s="276">
        <f ca="1">IFERROR(__xludf.DUMMYFUNCTION("IMPORTRANGE(""https://docs.google.com/spreadsheets/d/11923uPwbBZFjjGgGUA6NLw09EwE0CqkOc4q9oUmW1yo/edit?usp=sharing"",""พิจิตร!M332"")"),0)</f>
        <v>0</v>
      </c>
      <c r="G23" s="276">
        <f t="shared" ca="1" si="1"/>
        <v>0</v>
      </c>
      <c r="H23" s="347">
        <f t="shared" si="32"/>
        <v>15</v>
      </c>
      <c r="I23" s="57">
        <f t="shared" ca="1" si="33"/>
        <v>0</v>
      </c>
      <c r="J23" s="348">
        <f t="shared" ca="1" si="3"/>
        <v>0</v>
      </c>
      <c r="K23" s="349">
        <f t="shared" si="34"/>
        <v>15</v>
      </c>
      <c r="L23" s="57">
        <f t="shared" ca="1" si="35"/>
        <v>0</v>
      </c>
      <c r="M23" s="348">
        <f t="shared" ca="1" si="5"/>
        <v>0</v>
      </c>
      <c r="N23" s="351">
        <v>15</v>
      </c>
      <c r="O23" s="57">
        <f ca="1">IFERROR(__xludf.DUMMYFUNCTION("IMPORTRANGE(""https://docs.google.com/spreadsheets/d/11923uPwbBZFjjGgGUA6NLw09EwE0CqkOc4q9oUmW1yo/edit?usp=sharing"",""พิจิตร!J345"")"),0)</f>
        <v>0</v>
      </c>
      <c r="P23" s="351">
        <v>0</v>
      </c>
      <c r="Q23" s="57">
        <f ca="1">IFERROR(__xludf.DUMMYFUNCTION("IMPORTRANGE(""https://docs.google.com/spreadsheets/d/11923uPwbBZFjjGgGUA6NLw09EwE0CqkOc4q9oUmW1yo/edit?usp=sharing"",""พิจิตร!J346"")"),0)</f>
        <v>0</v>
      </c>
      <c r="R23" s="347">
        <v>0</v>
      </c>
      <c r="S23" s="57">
        <v>0</v>
      </c>
      <c r="T23" s="348">
        <f t="shared" si="7"/>
        <v>0</v>
      </c>
      <c r="U23" s="81"/>
      <c r="V23" s="81"/>
      <c r="W23" s="81"/>
      <c r="X23" s="81"/>
      <c r="Y23" s="81"/>
      <c r="Z23" s="81"/>
    </row>
    <row r="24" spans="1:26" ht="24" customHeight="1" x14ac:dyDescent="0.5">
      <c r="A24" s="273">
        <v>9</v>
      </c>
      <c r="B24" s="274" t="s">
        <v>39</v>
      </c>
      <c r="C24" s="346">
        <f t="shared" si="31"/>
        <v>95000</v>
      </c>
      <c r="D24" s="276">
        <v>0</v>
      </c>
      <c r="E24" s="276">
        <v>95000</v>
      </c>
      <c r="F24" s="276">
        <f ca="1">IFERROR(__xludf.DUMMYFUNCTION("IMPORTRANGE(""https://docs.google.com/spreadsheets/d/11923uPwbBZFjjGgGUA6NLw09EwE0CqkOc4q9oUmW1yo/edit?usp=sharing"",""พิษณุโลก!M332"")"),0)</f>
        <v>0</v>
      </c>
      <c r="G24" s="276">
        <f t="shared" ca="1" si="1"/>
        <v>0</v>
      </c>
      <c r="H24" s="347">
        <f t="shared" si="32"/>
        <v>20</v>
      </c>
      <c r="I24" s="57">
        <f t="shared" ca="1" si="33"/>
        <v>0</v>
      </c>
      <c r="J24" s="348">
        <f t="shared" ca="1" si="3"/>
        <v>0</v>
      </c>
      <c r="K24" s="349">
        <f t="shared" si="34"/>
        <v>20</v>
      </c>
      <c r="L24" s="57">
        <f t="shared" ca="1" si="35"/>
        <v>0</v>
      </c>
      <c r="M24" s="348">
        <f t="shared" ca="1" si="5"/>
        <v>0</v>
      </c>
      <c r="N24" s="352">
        <v>20</v>
      </c>
      <c r="O24" s="57">
        <f ca="1">IFERROR(__xludf.DUMMYFUNCTION("IMPORTRANGE(""https://docs.google.com/spreadsheets/d/11923uPwbBZFjjGgGUA6NLw09EwE0CqkOc4q9oUmW1yo/edit?usp=sharing"",""พิษณุโลก!J345"")"),0)</f>
        <v>0</v>
      </c>
      <c r="P24" s="352">
        <v>0</v>
      </c>
      <c r="Q24" s="57">
        <f ca="1">IFERROR(__xludf.DUMMYFUNCTION("IMPORTRANGE(""https://docs.google.com/spreadsheets/d/11923uPwbBZFjjGgGUA6NLw09EwE0CqkOc4q9oUmW1yo/edit?usp=sharing"",""พิษณุโลก!J346"")"),0)</f>
        <v>0</v>
      </c>
      <c r="R24" s="347">
        <v>0</v>
      </c>
      <c r="S24" s="57">
        <v>0</v>
      </c>
      <c r="T24" s="348">
        <f t="shared" si="7"/>
        <v>0</v>
      </c>
      <c r="U24" s="81"/>
      <c r="V24" s="81"/>
      <c r="W24" s="81"/>
      <c r="X24" s="81"/>
      <c r="Y24" s="81"/>
      <c r="Z24" s="81"/>
    </row>
    <row r="25" spans="1:26" ht="24" customHeight="1" x14ac:dyDescent="0.5">
      <c r="A25" s="273">
        <v>10</v>
      </c>
      <c r="B25" s="274" t="s">
        <v>40</v>
      </c>
      <c r="C25" s="346">
        <f t="shared" si="31"/>
        <v>139000</v>
      </c>
      <c r="D25" s="276">
        <v>0</v>
      </c>
      <c r="E25" s="276">
        <v>139000</v>
      </c>
      <c r="F25" s="276">
        <f ca="1">IFERROR(__xludf.DUMMYFUNCTION("IMPORTRANGE(""https://docs.google.com/spreadsheets/d/11923uPwbBZFjjGgGUA6NLw09EwE0CqkOc4q9oUmW1yo/edit?usp=sharing"",""เพชรบูรณ์!M332"")"),0)</f>
        <v>0</v>
      </c>
      <c r="G25" s="276">
        <f t="shared" ca="1" si="1"/>
        <v>0</v>
      </c>
      <c r="H25" s="347">
        <f t="shared" si="32"/>
        <v>40</v>
      </c>
      <c r="I25" s="57">
        <f t="shared" ca="1" si="33"/>
        <v>0</v>
      </c>
      <c r="J25" s="348">
        <f t="shared" ca="1" si="3"/>
        <v>0</v>
      </c>
      <c r="K25" s="349">
        <f t="shared" si="34"/>
        <v>40</v>
      </c>
      <c r="L25" s="57">
        <f t="shared" ca="1" si="35"/>
        <v>0</v>
      </c>
      <c r="M25" s="348">
        <f t="shared" ca="1" si="5"/>
        <v>0</v>
      </c>
      <c r="N25" s="351">
        <v>40</v>
      </c>
      <c r="O25" s="57">
        <f ca="1">IFERROR(__xludf.DUMMYFUNCTION("IMPORTRANGE(""https://docs.google.com/spreadsheets/d/11923uPwbBZFjjGgGUA6NLw09EwE0CqkOc4q9oUmW1yo/edit?usp=sharing"",""เพชรบูรณ์!J345"")"),0)</f>
        <v>0</v>
      </c>
      <c r="P25" s="351">
        <v>0</v>
      </c>
      <c r="Q25" s="57">
        <f ca="1">IFERROR(__xludf.DUMMYFUNCTION("IMPORTRANGE(""https://docs.google.com/spreadsheets/d/11923uPwbBZFjjGgGUA6NLw09EwE0CqkOc4q9oUmW1yo/edit?usp=sharing"",""เพชรบูรณ์!J346"")"),0)</f>
        <v>0</v>
      </c>
      <c r="R25" s="347">
        <v>0</v>
      </c>
      <c r="S25" s="57">
        <v>0</v>
      </c>
      <c r="T25" s="348">
        <f t="shared" si="7"/>
        <v>0</v>
      </c>
      <c r="U25" s="81"/>
      <c r="V25" s="81"/>
      <c r="W25" s="81"/>
      <c r="X25" s="81"/>
      <c r="Y25" s="81"/>
      <c r="Z25" s="81"/>
    </row>
    <row r="26" spans="1:26" ht="24" customHeight="1" x14ac:dyDescent="0.5">
      <c r="A26" s="273">
        <v>11</v>
      </c>
      <c r="B26" s="274" t="s">
        <v>41</v>
      </c>
      <c r="C26" s="346">
        <f t="shared" si="31"/>
        <v>95000</v>
      </c>
      <c r="D26" s="276">
        <v>0</v>
      </c>
      <c r="E26" s="276">
        <v>95000</v>
      </c>
      <c r="F26" s="276">
        <f ca="1">IFERROR(__xludf.DUMMYFUNCTION("IMPORTRANGE(""https://docs.google.com/spreadsheets/d/11923uPwbBZFjjGgGUA6NLw09EwE0CqkOc4q9oUmW1yo/edit?usp=sharing"",""แพร่!M332"")"),0)</f>
        <v>0</v>
      </c>
      <c r="G26" s="276">
        <f t="shared" ca="1" si="1"/>
        <v>0</v>
      </c>
      <c r="H26" s="347">
        <f t="shared" si="32"/>
        <v>20</v>
      </c>
      <c r="I26" s="57">
        <f t="shared" ca="1" si="33"/>
        <v>0</v>
      </c>
      <c r="J26" s="348">
        <f t="shared" ca="1" si="3"/>
        <v>0</v>
      </c>
      <c r="K26" s="349">
        <f t="shared" si="34"/>
        <v>20</v>
      </c>
      <c r="L26" s="57">
        <f t="shared" ca="1" si="35"/>
        <v>0</v>
      </c>
      <c r="M26" s="348">
        <f t="shared" ca="1" si="5"/>
        <v>0</v>
      </c>
      <c r="N26" s="351">
        <v>20</v>
      </c>
      <c r="O26" s="57">
        <f ca="1">IFERROR(__xludf.DUMMYFUNCTION("IMPORTRANGE(""https://docs.google.com/spreadsheets/d/11923uPwbBZFjjGgGUA6NLw09EwE0CqkOc4q9oUmW1yo/edit?usp=sharing"",""แพร่!J345"")"),0)</f>
        <v>0</v>
      </c>
      <c r="P26" s="351">
        <v>0</v>
      </c>
      <c r="Q26" s="57">
        <f ca="1">IFERROR(__xludf.DUMMYFUNCTION("IMPORTRANGE(""https://docs.google.com/spreadsheets/d/11923uPwbBZFjjGgGUA6NLw09EwE0CqkOc4q9oUmW1yo/edit?usp=sharing"",""แพร่!J346"")"),0)</f>
        <v>0</v>
      </c>
      <c r="R26" s="347">
        <v>0</v>
      </c>
      <c r="S26" s="57">
        <v>0</v>
      </c>
      <c r="T26" s="348">
        <f t="shared" si="7"/>
        <v>0</v>
      </c>
      <c r="U26" s="81"/>
      <c r="V26" s="81"/>
      <c r="W26" s="81"/>
      <c r="X26" s="81"/>
      <c r="Y26" s="81"/>
      <c r="Z26" s="81"/>
    </row>
    <row r="27" spans="1:26" ht="24" customHeight="1" x14ac:dyDescent="0.5">
      <c r="A27" s="273">
        <v>12</v>
      </c>
      <c r="B27" s="274" t="s">
        <v>42</v>
      </c>
      <c r="C27" s="346">
        <f t="shared" si="31"/>
        <v>95000</v>
      </c>
      <c r="D27" s="276">
        <v>0</v>
      </c>
      <c r="E27" s="276">
        <v>95000</v>
      </c>
      <c r="F27" s="276">
        <f ca="1">IFERROR(__xludf.DUMMYFUNCTION("IMPORTRANGE(""https://docs.google.com/spreadsheets/d/11923uPwbBZFjjGgGUA6NLw09EwE0CqkOc4q9oUmW1yo/edit?usp=sharing"",""แม่ฮ่องสอน!M332"")"),48305)</f>
        <v>48305</v>
      </c>
      <c r="G27" s="276">
        <f t="shared" ca="1" si="1"/>
        <v>50.847368421052629</v>
      </c>
      <c r="H27" s="347">
        <f t="shared" si="32"/>
        <v>20</v>
      </c>
      <c r="I27" s="57">
        <f t="shared" ca="1" si="33"/>
        <v>20</v>
      </c>
      <c r="J27" s="348">
        <f t="shared" ca="1" si="3"/>
        <v>100</v>
      </c>
      <c r="K27" s="349">
        <f t="shared" si="34"/>
        <v>20</v>
      </c>
      <c r="L27" s="57">
        <f t="shared" ca="1" si="35"/>
        <v>20</v>
      </c>
      <c r="M27" s="348">
        <f t="shared" ca="1" si="5"/>
        <v>100</v>
      </c>
      <c r="N27" s="351">
        <v>20</v>
      </c>
      <c r="O27" s="57">
        <f ca="1">IFERROR(__xludf.DUMMYFUNCTION("IMPORTRANGE(""https://docs.google.com/spreadsheets/d/11923uPwbBZFjjGgGUA6NLw09EwE0CqkOc4q9oUmW1yo/edit?usp=sharing"",""แม่ฮ่องสอน!J345"")"),20)</f>
        <v>20</v>
      </c>
      <c r="P27" s="351">
        <v>0</v>
      </c>
      <c r="Q27" s="57">
        <f ca="1">IFERROR(__xludf.DUMMYFUNCTION("IMPORTRANGE(""https://docs.google.com/spreadsheets/d/11923uPwbBZFjjGgGUA6NLw09EwE0CqkOc4q9oUmW1yo/edit?usp=sharing"",""แม่ฮ่องสอน!J346"")"),0)</f>
        <v>0</v>
      </c>
      <c r="R27" s="347">
        <v>0</v>
      </c>
      <c r="S27" s="57">
        <v>0</v>
      </c>
      <c r="T27" s="348">
        <f t="shared" si="7"/>
        <v>0</v>
      </c>
      <c r="U27" s="81"/>
      <c r="V27" s="81"/>
      <c r="W27" s="81"/>
      <c r="X27" s="81"/>
      <c r="Y27" s="81"/>
      <c r="Z27" s="81"/>
    </row>
    <row r="28" spans="1:26" ht="24" customHeight="1" x14ac:dyDescent="0.5">
      <c r="A28" s="273">
        <v>13</v>
      </c>
      <c r="B28" s="274" t="s">
        <v>43</v>
      </c>
      <c r="C28" s="346">
        <f t="shared" si="31"/>
        <v>83000</v>
      </c>
      <c r="D28" s="276">
        <v>0</v>
      </c>
      <c r="E28" s="276">
        <v>83000</v>
      </c>
      <c r="F28" s="276">
        <f ca="1">IFERROR(__xludf.DUMMYFUNCTION("IMPORTRANGE(""https://docs.google.com/spreadsheets/d/11923uPwbBZFjjGgGUA6NLw09EwE0CqkOc4q9oUmW1yo/edit?usp=sharing"",""ลำปาง!M332"")"),0)</f>
        <v>0</v>
      </c>
      <c r="G28" s="276">
        <f t="shared" ca="1" si="1"/>
        <v>0</v>
      </c>
      <c r="H28" s="347">
        <f t="shared" si="32"/>
        <v>15</v>
      </c>
      <c r="I28" s="57">
        <f t="shared" ca="1" si="33"/>
        <v>0</v>
      </c>
      <c r="J28" s="348">
        <f t="shared" ca="1" si="3"/>
        <v>0</v>
      </c>
      <c r="K28" s="349">
        <f t="shared" si="34"/>
        <v>15</v>
      </c>
      <c r="L28" s="57">
        <f t="shared" ca="1" si="35"/>
        <v>0</v>
      </c>
      <c r="M28" s="348">
        <f t="shared" ca="1" si="5"/>
        <v>0</v>
      </c>
      <c r="N28" s="351">
        <v>15</v>
      </c>
      <c r="O28" s="57">
        <f ca="1">IFERROR(__xludf.DUMMYFUNCTION("IMPORTRANGE(""https://docs.google.com/spreadsheets/d/11923uPwbBZFjjGgGUA6NLw09EwE0CqkOc4q9oUmW1yo/edit?usp=sharing"",""ลำปาง!J345"")"),0)</f>
        <v>0</v>
      </c>
      <c r="P28" s="351">
        <v>0</v>
      </c>
      <c r="Q28" s="57">
        <f ca="1">IFERROR(__xludf.DUMMYFUNCTION("IMPORTRANGE(""https://docs.google.com/spreadsheets/d/11923uPwbBZFjjGgGUA6NLw09EwE0CqkOc4q9oUmW1yo/edit?usp=sharing"",""ลำปาง!J346"")"),0)</f>
        <v>0</v>
      </c>
      <c r="R28" s="347">
        <v>0</v>
      </c>
      <c r="S28" s="57">
        <v>0</v>
      </c>
      <c r="T28" s="348">
        <f t="shared" si="7"/>
        <v>0</v>
      </c>
      <c r="U28" s="81"/>
      <c r="V28" s="81"/>
      <c r="W28" s="81"/>
      <c r="X28" s="81"/>
      <c r="Y28" s="81"/>
      <c r="Z28" s="81"/>
    </row>
    <row r="29" spans="1:26" ht="24" customHeight="1" x14ac:dyDescent="0.5">
      <c r="A29" s="273">
        <v>14</v>
      </c>
      <c r="B29" s="274" t="s">
        <v>44</v>
      </c>
      <c r="C29" s="346">
        <f t="shared" si="31"/>
        <v>95000</v>
      </c>
      <c r="D29" s="276">
        <v>0</v>
      </c>
      <c r="E29" s="276">
        <v>95000</v>
      </c>
      <c r="F29" s="276">
        <f ca="1">IFERROR(__xludf.DUMMYFUNCTION("IMPORTRANGE(""https://docs.google.com/spreadsheets/d/11923uPwbBZFjjGgGUA6NLw09EwE0CqkOc4q9oUmW1yo/edit?usp=sharing"",""ลำพูน!M332"")"),0)</f>
        <v>0</v>
      </c>
      <c r="G29" s="276">
        <f t="shared" ca="1" si="1"/>
        <v>0</v>
      </c>
      <c r="H29" s="347">
        <f t="shared" si="32"/>
        <v>20</v>
      </c>
      <c r="I29" s="57">
        <f t="shared" ca="1" si="33"/>
        <v>0</v>
      </c>
      <c r="J29" s="348">
        <f t="shared" ca="1" si="3"/>
        <v>0</v>
      </c>
      <c r="K29" s="349">
        <f t="shared" si="34"/>
        <v>20</v>
      </c>
      <c r="L29" s="57">
        <f t="shared" ca="1" si="35"/>
        <v>0</v>
      </c>
      <c r="M29" s="348">
        <f t="shared" ca="1" si="5"/>
        <v>0</v>
      </c>
      <c r="N29" s="351">
        <v>20</v>
      </c>
      <c r="O29" s="57">
        <f ca="1">IFERROR(__xludf.DUMMYFUNCTION("IMPORTRANGE(""https://docs.google.com/spreadsheets/d/11923uPwbBZFjjGgGUA6NLw09EwE0CqkOc4q9oUmW1yo/edit?usp=sharing"",""ลำพูน!J345"")"),0)</f>
        <v>0</v>
      </c>
      <c r="P29" s="351">
        <v>0</v>
      </c>
      <c r="Q29" s="57">
        <f ca="1">IFERROR(__xludf.DUMMYFUNCTION("IMPORTRANGE(""https://docs.google.com/spreadsheets/d/11923uPwbBZFjjGgGUA6NLw09EwE0CqkOc4q9oUmW1yo/edit?usp=sharing"",""ลำพูน!J346"")"),0)</f>
        <v>0</v>
      </c>
      <c r="R29" s="347">
        <v>0</v>
      </c>
      <c r="S29" s="57">
        <v>0</v>
      </c>
      <c r="T29" s="348">
        <f t="shared" si="7"/>
        <v>0</v>
      </c>
      <c r="U29" s="81"/>
      <c r="V29" s="81"/>
      <c r="W29" s="81"/>
      <c r="X29" s="81"/>
      <c r="Y29" s="81"/>
      <c r="Z29" s="81"/>
    </row>
    <row r="30" spans="1:26" ht="24" customHeight="1" x14ac:dyDescent="0.5">
      <c r="A30" s="273">
        <v>15</v>
      </c>
      <c r="B30" s="274" t="s">
        <v>45</v>
      </c>
      <c r="C30" s="346">
        <f t="shared" si="31"/>
        <v>218000</v>
      </c>
      <c r="D30" s="276">
        <v>0</v>
      </c>
      <c r="E30" s="276">
        <v>218000</v>
      </c>
      <c r="F30" s="276">
        <f ca="1">IFERROR(__xludf.DUMMYFUNCTION("IMPORTRANGE(""https://docs.google.com/spreadsheets/d/11923uPwbBZFjjGgGUA6NLw09EwE0CqkOc4q9oUmW1yo/edit?usp=sharing"",""สุโขทัย!M332"")"),33660)</f>
        <v>33660</v>
      </c>
      <c r="G30" s="276">
        <f t="shared" ca="1" si="1"/>
        <v>15.440366972477063</v>
      </c>
      <c r="H30" s="347">
        <f t="shared" si="32"/>
        <v>81</v>
      </c>
      <c r="I30" s="57">
        <f t="shared" ca="1" si="33"/>
        <v>0</v>
      </c>
      <c r="J30" s="348">
        <f t="shared" ca="1" si="3"/>
        <v>0</v>
      </c>
      <c r="K30" s="349">
        <f t="shared" si="34"/>
        <v>81</v>
      </c>
      <c r="L30" s="57">
        <f t="shared" ca="1" si="35"/>
        <v>0</v>
      </c>
      <c r="M30" s="348">
        <f t="shared" ca="1" si="5"/>
        <v>0</v>
      </c>
      <c r="N30" s="351">
        <v>22</v>
      </c>
      <c r="O30" s="57">
        <f ca="1">IFERROR(__xludf.DUMMYFUNCTION("IMPORTRANGE(""https://docs.google.com/spreadsheets/d/11923uPwbBZFjjGgGUA6NLw09EwE0CqkOc4q9oUmW1yo/edit?usp=sharing"",""สุโขทัย!J345"")"),0)</f>
        <v>0</v>
      </c>
      <c r="P30" s="351">
        <v>59</v>
      </c>
      <c r="Q30" s="57">
        <f ca="1">IFERROR(__xludf.DUMMYFUNCTION("IMPORTRANGE(""https://docs.google.com/spreadsheets/d/11923uPwbBZFjjGgGUA6NLw09EwE0CqkOc4q9oUmW1yo/edit?usp=sharing"",""สุโขทัย!J346"")"),0)</f>
        <v>0</v>
      </c>
      <c r="R30" s="347">
        <v>0</v>
      </c>
      <c r="S30" s="57">
        <v>0</v>
      </c>
      <c r="T30" s="348">
        <f t="shared" si="7"/>
        <v>0</v>
      </c>
      <c r="U30" s="81"/>
      <c r="V30" s="81"/>
      <c r="W30" s="81"/>
      <c r="X30" s="81"/>
      <c r="Y30" s="81"/>
      <c r="Z30" s="81"/>
    </row>
    <row r="31" spans="1:26" ht="24" customHeight="1" x14ac:dyDescent="0.5">
      <c r="A31" s="273">
        <v>16</v>
      </c>
      <c r="B31" s="274" t="s">
        <v>46</v>
      </c>
      <c r="C31" s="346">
        <f t="shared" si="31"/>
        <v>95000</v>
      </c>
      <c r="D31" s="276">
        <v>0</v>
      </c>
      <c r="E31" s="276">
        <v>95000</v>
      </c>
      <c r="F31" s="276">
        <f ca="1">IFERROR(__xludf.DUMMYFUNCTION("IMPORTRANGE(""https://docs.google.com/spreadsheets/d/11923uPwbBZFjjGgGUA6NLw09EwE0CqkOc4q9oUmW1yo/edit?usp=sharing"",""อุตรดิตถ์!M332"")"),0)</f>
        <v>0</v>
      </c>
      <c r="G31" s="276">
        <f t="shared" ca="1" si="1"/>
        <v>0</v>
      </c>
      <c r="H31" s="347">
        <f t="shared" si="32"/>
        <v>20</v>
      </c>
      <c r="I31" s="57">
        <f t="shared" ca="1" si="33"/>
        <v>0</v>
      </c>
      <c r="J31" s="348">
        <f t="shared" ca="1" si="3"/>
        <v>0</v>
      </c>
      <c r="K31" s="349">
        <f t="shared" si="34"/>
        <v>20</v>
      </c>
      <c r="L31" s="57">
        <f t="shared" ca="1" si="35"/>
        <v>0</v>
      </c>
      <c r="M31" s="348">
        <f t="shared" ca="1" si="5"/>
        <v>0</v>
      </c>
      <c r="N31" s="351">
        <v>20</v>
      </c>
      <c r="O31" s="57">
        <f ca="1">IFERROR(__xludf.DUMMYFUNCTION("IMPORTRANGE(""https://docs.google.com/spreadsheets/d/11923uPwbBZFjjGgGUA6NLw09EwE0CqkOc4q9oUmW1yo/edit?usp=sharing"",""อุตรดิตถ์!J345"")"),0)</f>
        <v>0</v>
      </c>
      <c r="P31" s="351">
        <v>0</v>
      </c>
      <c r="Q31" s="57">
        <f ca="1">IFERROR(__xludf.DUMMYFUNCTION("IMPORTRANGE(""https://docs.google.com/spreadsheets/d/11923uPwbBZFjjGgGUA6NLw09EwE0CqkOc4q9oUmW1yo/edit?usp=sharing"",""อุตรดิตถ์!J346"")"),0)</f>
        <v>0</v>
      </c>
      <c r="R31" s="347">
        <v>0</v>
      </c>
      <c r="S31" s="57">
        <v>0</v>
      </c>
      <c r="T31" s="348">
        <f t="shared" si="7"/>
        <v>0</v>
      </c>
      <c r="U31" s="81"/>
      <c r="V31" s="81"/>
      <c r="W31" s="81"/>
      <c r="X31" s="81"/>
      <c r="Y31" s="81"/>
      <c r="Z31" s="81"/>
    </row>
    <row r="32" spans="1:26" ht="24" customHeight="1" x14ac:dyDescent="0.5">
      <c r="A32" s="278">
        <v>17</v>
      </c>
      <c r="B32" s="279" t="s">
        <v>47</v>
      </c>
      <c r="C32" s="353">
        <f t="shared" si="31"/>
        <v>83000</v>
      </c>
      <c r="D32" s="281">
        <v>0</v>
      </c>
      <c r="E32" s="281">
        <v>83000</v>
      </c>
      <c r="F32" s="281">
        <f ca="1">IFERROR(__xludf.DUMMYFUNCTION("IMPORTRANGE(""https://docs.google.com/spreadsheets/d/11923uPwbBZFjjGgGUA6NLw09EwE0CqkOc4q9oUmW1yo/edit?usp=sharing"",""อุทัยธานี!M332"")"),40405)</f>
        <v>40405</v>
      </c>
      <c r="G32" s="281">
        <f t="shared" ca="1" si="1"/>
        <v>48.680722891566262</v>
      </c>
      <c r="H32" s="354">
        <f t="shared" si="32"/>
        <v>15</v>
      </c>
      <c r="I32" s="64">
        <f t="shared" ca="1" si="33"/>
        <v>0</v>
      </c>
      <c r="J32" s="355">
        <f t="shared" ca="1" si="3"/>
        <v>0</v>
      </c>
      <c r="K32" s="356">
        <f t="shared" si="34"/>
        <v>15</v>
      </c>
      <c r="L32" s="64">
        <f t="shared" ca="1" si="35"/>
        <v>0</v>
      </c>
      <c r="M32" s="355">
        <f t="shared" ca="1" si="5"/>
        <v>0</v>
      </c>
      <c r="N32" s="357">
        <v>15</v>
      </c>
      <c r="O32" s="64">
        <f ca="1">IFERROR(__xludf.DUMMYFUNCTION("IMPORTRANGE(""https://docs.google.com/spreadsheets/d/11923uPwbBZFjjGgGUA6NLw09EwE0CqkOc4q9oUmW1yo/edit?usp=sharing"",""อุทัยธานี!J345"")"),0)</f>
        <v>0</v>
      </c>
      <c r="P32" s="357">
        <v>0</v>
      </c>
      <c r="Q32" s="64">
        <f ca="1">IFERROR(__xludf.DUMMYFUNCTION("IMPORTRANGE(""https://docs.google.com/spreadsheets/d/11923uPwbBZFjjGgGUA6NLw09EwE0CqkOc4q9oUmW1yo/edit?usp=sharing"",""อุทัยธานี!J346"")"),0)</f>
        <v>0</v>
      </c>
      <c r="R32" s="354">
        <v>0</v>
      </c>
      <c r="S32" s="64">
        <v>0</v>
      </c>
      <c r="T32" s="355">
        <f t="shared" si="7"/>
        <v>0</v>
      </c>
      <c r="U32" s="81"/>
      <c r="V32" s="81"/>
      <c r="W32" s="81"/>
      <c r="X32" s="81"/>
      <c r="Y32" s="81"/>
      <c r="Z32" s="81"/>
    </row>
    <row r="33" spans="1:26" ht="24" customHeight="1" x14ac:dyDescent="0.5">
      <c r="A33" s="778" t="s">
        <v>48</v>
      </c>
      <c r="B33" s="569"/>
      <c r="C33" s="340">
        <f t="shared" ref="C33:F33" si="36">SUM(C34:C53)</f>
        <v>2206000</v>
      </c>
      <c r="D33" s="101">
        <f t="shared" si="36"/>
        <v>0</v>
      </c>
      <c r="E33" s="101">
        <f t="shared" si="36"/>
        <v>2206000</v>
      </c>
      <c r="F33" s="101">
        <f t="shared" ca="1" si="36"/>
        <v>1720</v>
      </c>
      <c r="G33" s="101">
        <f t="shared" ca="1" si="1"/>
        <v>7.7969174977334549E-2</v>
      </c>
      <c r="H33" s="335">
        <f t="shared" ref="H33:I33" si="37">SUM(H34:H53)</f>
        <v>551</v>
      </c>
      <c r="I33" s="66">
        <f t="shared" ca="1" si="37"/>
        <v>0</v>
      </c>
      <c r="J33" s="101">
        <f t="shared" ca="1" si="3"/>
        <v>0</v>
      </c>
      <c r="K33" s="335">
        <f t="shared" ref="K33:L33" si="38">SUM(K34:K53)</f>
        <v>551</v>
      </c>
      <c r="L33" s="66">
        <f t="shared" ca="1" si="38"/>
        <v>0</v>
      </c>
      <c r="M33" s="101">
        <f t="shared" ca="1" si="5"/>
        <v>0</v>
      </c>
      <c r="N33" s="139">
        <f t="shared" ref="N33:S33" si="39">SUM(N34:N53)</f>
        <v>476</v>
      </c>
      <c r="O33" s="66">
        <f t="shared" ca="1" si="39"/>
        <v>0</v>
      </c>
      <c r="P33" s="139">
        <f t="shared" si="39"/>
        <v>75</v>
      </c>
      <c r="Q33" s="66">
        <f t="shared" ca="1" si="39"/>
        <v>0</v>
      </c>
      <c r="R33" s="139">
        <f t="shared" si="39"/>
        <v>0</v>
      </c>
      <c r="S33" s="66">
        <f t="shared" si="39"/>
        <v>0</v>
      </c>
      <c r="T33" s="101">
        <f t="shared" si="7"/>
        <v>0</v>
      </c>
      <c r="U33" s="81"/>
      <c r="V33" s="81"/>
      <c r="W33" s="81"/>
      <c r="X33" s="81"/>
      <c r="Y33" s="81"/>
      <c r="Z33" s="81"/>
    </row>
    <row r="34" spans="1:26" ht="24" customHeight="1" x14ac:dyDescent="0.5">
      <c r="A34" s="268">
        <v>1</v>
      </c>
      <c r="B34" s="269" t="s">
        <v>49</v>
      </c>
      <c r="C34" s="341">
        <f t="shared" ref="C34:C53" si="40">+D34+E34</f>
        <v>145000</v>
      </c>
      <c r="D34" s="271">
        <v>0</v>
      </c>
      <c r="E34" s="271">
        <v>145000</v>
      </c>
      <c r="F34" s="271">
        <f ca="1">IFERROR(__xludf.DUMMYFUNCTION("IMPORTRANGE(""https://docs.google.com/spreadsheets/d/1XL5vhW3sbDhbH9Cz0tuDiY8C3ctxq1tqvaCgkFb8cCA/edit?usp=sharing"",""กาฬสินธุ์!M332"")"),0)</f>
        <v>0</v>
      </c>
      <c r="G34" s="271">
        <f t="shared" ca="1" si="1"/>
        <v>0</v>
      </c>
      <c r="H34" s="342">
        <f t="shared" ref="H34:H53" si="41">+N34+P34+R34</f>
        <v>45</v>
      </c>
      <c r="I34" s="49">
        <f t="shared" ref="I34:I53" ca="1" si="42">SUM(L34,S34)</f>
        <v>0</v>
      </c>
      <c r="J34" s="343">
        <f t="shared" ca="1" si="3"/>
        <v>0</v>
      </c>
      <c r="K34" s="344">
        <f t="shared" ref="K34:K53" si="43">+N34+P34</f>
        <v>45</v>
      </c>
      <c r="L34" s="49">
        <f t="shared" ref="L34:L53" ca="1" si="44">O34+Q34</f>
        <v>0</v>
      </c>
      <c r="M34" s="343">
        <f t="shared" ca="1" si="5"/>
        <v>0</v>
      </c>
      <c r="N34" s="358">
        <v>20</v>
      </c>
      <c r="O34" s="49">
        <f ca="1">IFERROR(__xludf.DUMMYFUNCTION("IMPORTRANGE(""https://docs.google.com/spreadsheets/d/1XL5vhW3sbDhbH9Cz0tuDiY8C3ctxq1tqvaCgkFb8cCA/edit?usp=sharing"",""กาฬสินธุ์!J345"")"),0)</f>
        <v>0</v>
      </c>
      <c r="P34" s="358">
        <v>25</v>
      </c>
      <c r="Q34" s="49">
        <f ca="1">IFERROR(__xludf.DUMMYFUNCTION("IMPORTRANGE(""https://docs.google.com/spreadsheets/d/1XL5vhW3sbDhbH9Cz0tuDiY8C3ctxq1tqvaCgkFb8cCA/edit?usp=sharing"",""กาฬสินธุ์!J346"")"),0)</f>
        <v>0</v>
      </c>
      <c r="R34" s="342">
        <v>0</v>
      </c>
      <c r="S34" s="49">
        <v>0</v>
      </c>
      <c r="T34" s="343">
        <f t="shared" si="7"/>
        <v>0</v>
      </c>
      <c r="U34" s="81"/>
      <c r="V34" s="81"/>
      <c r="W34" s="81"/>
      <c r="X34" s="81"/>
      <c r="Y34" s="81"/>
      <c r="Z34" s="81"/>
    </row>
    <row r="35" spans="1:26" ht="24" customHeight="1" x14ac:dyDescent="0.5">
      <c r="A35" s="273">
        <v>2</v>
      </c>
      <c r="B35" s="274" t="s">
        <v>50</v>
      </c>
      <c r="C35" s="346">
        <f t="shared" si="40"/>
        <v>139000</v>
      </c>
      <c r="D35" s="276">
        <v>0</v>
      </c>
      <c r="E35" s="276">
        <v>139000</v>
      </c>
      <c r="F35" s="276">
        <f ca="1">IFERROR(__xludf.DUMMYFUNCTION("IMPORTRANGE(""https://docs.google.com/spreadsheets/d/1XL5vhW3sbDhbH9Cz0tuDiY8C3ctxq1tqvaCgkFb8cCA/edit?usp=sharing"",""ขอนแก่น!M332"")"),0)</f>
        <v>0</v>
      </c>
      <c r="G35" s="276">
        <f t="shared" ca="1" si="1"/>
        <v>0</v>
      </c>
      <c r="H35" s="347">
        <f t="shared" si="41"/>
        <v>40</v>
      </c>
      <c r="I35" s="57">
        <f t="shared" ca="1" si="42"/>
        <v>0</v>
      </c>
      <c r="J35" s="348">
        <f t="shared" ca="1" si="3"/>
        <v>0</v>
      </c>
      <c r="K35" s="349">
        <f t="shared" si="43"/>
        <v>40</v>
      </c>
      <c r="L35" s="57">
        <f t="shared" ca="1" si="44"/>
        <v>0</v>
      </c>
      <c r="M35" s="348">
        <f t="shared" ca="1" si="5"/>
        <v>0</v>
      </c>
      <c r="N35" s="359">
        <v>40</v>
      </c>
      <c r="O35" s="57">
        <f ca="1">IFERROR(__xludf.DUMMYFUNCTION("IMPORTRANGE(""https://docs.google.com/spreadsheets/d/1XL5vhW3sbDhbH9Cz0tuDiY8C3ctxq1tqvaCgkFb8cCA/edit?usp=sharing"",""ขอนแก่น!J345"")"),0)</f>
        <v>0</v>
      </c>
      <c r="P35" s="359">
        <v>0</v>
      </c>
      <c r="Q35" s="57">
        <f ca="1">IFERROR(__xludf.DUMMYFUNCTION("IMPORTRANGE(""https://docs.google.com/spreadsheets/d/1XL5vhW3sbDhbH9Cz0tuDiY8C3ctxq1tqvaCgkFb8cCA/edit?usp=sharing"",""ขอนแก่น!J346"")"),0)</f>
        <v>0</v>
      </c>
      <c r="R35" s="347">
        <v>0</v>
      </c>
      <c r="S35" s="57">
        <v>0</v>
      </c>
      <c r="T35" s="348">
        <f t="shared" si="7"/>
        <v>0</v>
      </c>
      <c r="U35" s="81"/>
      <c r="V35" s="81"/>
      <c r="W35" s="81"/>
      <c r="X35" s="81"/>
      <c r="Y35" s="81"/>
      <c r="Z35" s="81"/>
    </row>
    <row r="36" spans="1:26" ht="24" customHeight="1" x14ac:dyDescent="0.5">
      <c r="A36" s="273">
        <v>3</v>
      </c>
      <c r="B36" s="274" t="s">
        <v>51</v>
      </c>
      <c r="C36" s="346">
        <f t="shared" si="40"/>
        <v>83000</v>
      </c>
      <c r="D36" s="276">
        <v>0</v>
      </c>
      <c r="E36" s="276">
        <v>83000</v>
      </c>
      <c r="F36" s="276">
        <f ca="1">IFERROR(__xludf.DUMMYFUNCTION("IMPORTRANGE(""https://docs.google.com/spreadsheets/d/1XL5vhW3sbDhbH9Cz0tuDiY8C3ctxq1tqvaCgkFb8cCA/edit?usp=sharing"",""ชัยภูมิ!M332"")"),0)</f>
        <v>0</v>
      </c>
      <c r="G36" s="276">
        <f t="shared" ca="1" si="1"/>
        <v>0</v>
      </c>
      <c r="H36" s="347">
        <f t="shared" si="41"/>
        <v>15</v>
      </c>
      <c r="I36" s="57">
        <f t="shared" ca="1" si="42"/>
        <v>0</v>
      </c>
      <c r="J36" s="348">
        <f t="shared" ca="1" si="3"/>
        <v>0</v>
      </c>
      <c r="K36" s="349">
        <f t="shared" si="43"/>
        <v>15</v>
      </c>
      <c r="L36" s="57">
        <f t="shared" ca="1" si="44"/>
        <v>0</v>
      </c>
      <c r="M36" s="348">
        <f t="shared" ca="1" si="5"/>
        <v>0</v>
      </c>
      <c r="N36" s="359">
        <v>15</v>
      </c>
      <c r="O36" s="57">
        <f ca="1">IFERROR(__xludf.DUMMYFUNCTION("IMPORTRANGE(""https://docs.google.com/spreadsheets/d/1XL5vhW3sbDhbH9Cz0tuDiY8C3ctxq1tqvaCgkFb8cCA/edit?usp=sharing"",""ชัยภูมิ!J345"")"),0)</f>
        <v>0</v>
      </c>
      <c r="P36" s="359">
        <v>0</v>
      </c>
      <c r="Q36" s="57">
        <f ca="1">IFERROR(__xludf.DUMMYFUNCTION("IMPORTRANGE(""https://docs.google.com/spreadsheets/d/1XL5vhW3sbDhbH9Cz0tuDiY8C3ctxq1tqvaCgkFb8cCA/edit?usp=sharing"",""ชัยภูมิ!J346"")"),0)</f>
        <v>0</v>
      </c>
      <c r="R36" s="347">
        <v>0</v>
      </c>
      <c r="S36" s="57">
        <v>0</v>
      </c>
      <c r="T36" s="348">
        <f t="shared" si="7"/>
        <v>0</v>
      </c>
      <c r="U36" s="81"/>
      <c r="V36" s="81"/>
      <c r="W36" s="81"/>
      <c r="X36" s="81"/>
      <c r="Y36" s="81"/>
      <c r="Z36" s="81"/>
    </row>
    <row r="37" spans="1:26" ht="24" customHeight="1" x14ac:dyDescent="0.5">
      <c r="A37" s="273">
        <v>4</v>
      </c>
      <c r="B37" s="274" t="s">
        <v>52</v>
      </c>
      <c r="C37" s="346">
        <f t="shared" si="40"/>
        <v>105500</v>
      </c>
      <c r="D37" s="276">
        <v>0</v>
      </c>
      <c r="E37" s="276">
        <v>105500</v>
      </c>
      <c r="F37" s="276">
        <f ca="1">IFERROR(__xludf.DUMMYFUNCTION("IMPORTRANGE(""https://docs.google.com/spreadsheets/d/1XL5vhW3sbDhbH9Cz0tuDiY8C3ctxq1tqvaCgkFb8cCA/edit?usp=sharing"",""นครพนม!M332"")"),0)</f>
        <v>0</v>
      </c>
      <c r="G37" s="276">
        <f t="shared" ca="1" si="1"/>
        <v>0</v>
      </c>
      <c r="H37" s="347">
        <f t="shared" si="41"/>
        <v>25</v>
      </c>
      <c r="I37" s="57">
        <f t="shared" ca="1" si="42"/>
        <v>0</v>
      </c>
      <c r="J37" s="348">
        <f t="shared" ca="1" si="3"/>
        <v>0</v>
      </c>
      <c r="K37" s="349">
        <f t="shared" si="43"/>
        <v>25</v>
      </c>
      <c r="L37" s="57">
        <f t="shared" ca="1" si="44"/>
        <v>0</v>
      </c>
      <c r="M37" s="348">
        <f t="shared" ca="1" si="5"/>
        <v>0</v>
      </c>
      <c r="N37" s="352">
        <v>25</v>
      </c>
      <c r="O37" s="57">
        <f ca="1">IFERROR(__xludf.DUMMYFUNCTION("IMPORTRANGE(""https://docs.google.com/spreadsheets/d/1XL5vhW3sbDhbH9Cz0tuDiY8C3ctxq1tqvaCgkFb8cCA/edit?usp=sharing"",""นครพนม!J345"")"),0)</f>
        <v>0</v>
      </c>
      <c r="P37" s="352">
        <v>0</v>
      </c>
      <c r="Q37" s="57">
        <f ca="1">IFERROR(__xludf.DUMMYFUNCTION("IMPORTRANGE(""https://docs.google.com/spreadsheets/d/1XL5vhW3sbDhbH9Cz0tuDiY8C3ctxq1tqvaCgkFb8cCA/edit?usp=sharing"",""นครพนม!J346"")"),0)</f>
        <v>0</v>
      </c>
      <c r="R37" s="347">
        <v>0</v>
      </c>
      <c r="S37" s="57">
        <v>0</v>
      </c>
      <c r="T37" s="348">
        <f t="shared" si="7"/>
        <v>0</v>
      </c>
      <c r="U37" s="81"/>
      <c r="V37" s="81"/>
      <c r="W37" s="81"/>
      <c r="X37" s="81"/>
      <c r="Y37" s="81"/>
      <c r="Z37" s="81"/>
    </row>
    <row r="38" spans="1:26" ht="24" customHeight="1" x14ac:dyDescent="0.5">
      <c r="A38" s="273">
        <v>5</v>
      </c>
      <c r="B38" s="274" t="s">
        <v>53</v>
      </c>
      <c r="C38" s="346">
        <f t="shared" si="40"/>
        <v>139000</v>
      </c>
      <c r="D38" s="276">
        <v>0</v>
      </c>
      <c r="E38" s="276">
        <v>139000</v>
      </c>
      <c r="F38" s="276">
        <f ca="1">IFERROR(__xludf.DUMMYFUNCTION("IMPORTRANGE(""https://docs.google.com/spreadsheets/d/1XL5vhW3sbDhbH9Cz0tuDiY8C3ctxq1tqvaCgkFb8cCA/edit?usp=sharing"",""นครราชสีมา!M332"")"),0)</f>
        <v>0</v>
      </c>
      <c r="G38" s="276">
        <f t="shared" ca="1" si="1"/>
        <v>0</v>
      </c>
      <c r="H38" s="347">
        <f t="shared" si="41"/>
        <v>40</v>
      </c>
      <c r="I38" s="57">
        <f t="shared" ca="1" si="42"/>
        <v>0</v>
      </c>
      <c r="J38" s="348">
        <f t="shared" ca="1" si="3"/>
        <v>0</v>
      </c>
      <c r="K38" s="349">
        <f t="shared" si="43"/>
        <v>40</v>
      </c>
      <c r="L38" s="57">
        <f t="shared" ca="1" si="44"/>
        <v>0</v>
      </c>
      <c r="M38" s="348">
        <f t="shared" ca="1" si="5"/>
        <v>0</v>
      </c>
      <c r="N38" s="359">
        <v>40</v>
      </c>
      <c r="O38" s="57">
        <f ca="1">IFERROR(__xludf.DUMMYFUNCTION("IMPORTRANGE(""https://docs.google.com/spreadsheets/d/1XL5vhW3sbDhbH9Cz0tuDiY8C3ctxq1tqvaCgkFb8cCA/edit?usp=sharing"",""นครราชสีมา!J345"")"),0)</f>
        <v>0</v>
      </c>
      <c r="P38" s="359">
        <v>0</v>
      </c>
      <c r="Q38" s="57">
        <f ca="1">IFERROR(__xludf.DUMMYFUNCTION("IMPORTRANGE(""https://docs.google.com/spreadsheets/d/1XL5vhW3sbDhbH9Cz0tuDiY8C3ctxq1tqvaCgkFb8cCA/edit?usp=sharing"",""นครราชสีมา!J346"")"),0)</f>
        <v>0</v>
      </c>
      <c r="R38" s="347">
        <v>0</v>
      </c>
      <c r="S38" s="57">
        <v>0</v>
      </c>
      <c r="T38" s="348">
        <f t="shared" si="7"/>
        <v>0</v>
      </c>
      <c r="U38" s="81"/>
      <c r="V38" s="81"/>
      <c r="W38" s="81"/>
      <c r="X38" s="81"/>
      <c r="Y38" s="81"/>
      <c r="Z38" s="81"/>
    </row>
    <row r="39" spans="1:26" ht="24" customHeight="1" x14ac:dyDescent="0.5">
      <c r="A39" s="273">
        <v>6</v>
      </c>
      <c r="B39" s="274" t="s">
        <v>54</v>
      </c>
      <c r="C39" s="346">
        <f t="shared" si="40"/>
        <v>105500</v>
      </c>
      <c r="D39" s="276">
        <v>0</v>
      </c>
      <c r="E39" s="276">
        <v>105500</v>
      </c>
      <c r="F39" s="276">
        <f ca="1">IFERROR(__xludf.DUMMYFUNCTION("IMPORTRANGE(""https://docs.google.com/spreadsheets/d/1XL5vhW3sbDhbH9Cz0tuDiY8C3ctxq1tqvaCgkFb8cCA/edit?usp=sharing"",""บึงกาฬ!M332"")"),0)</f>
        <v>0</v>
      </c>
      <c r="G39" s="276">
        <f t="shared" ca="1" si="1"/>
        <v>0</v>
      </c>
      <c r="H39" s="347">
        <f t="shared" si="41"/>
        <v>25</v>
      </c>
      <c r="I39" s="57">
        <f t="shared" ca="1" si="42"/>
        <v>0</v>
      </c>
      <c r="J39" s="348">
        <f t="shared" ca="1" si="3"/>
        <v>0</v>
      </c>
      <c r="K39" s="349">
        <f t="shared" si="43"/>
        <v>25</v>
      </c>
      <c r="L39" s="57">
        <f t="shared" ca="1" si="44"/>
        <v>0</v>
      </c>
      <c r="M39" s="348">
        <f t="shared" ca="1" si="5"/>
        <v>0</v>
      </c>
      <c r="N39" s="359">
        <v>25</v>
      </c>
      <c r="O39" s="57">
        <f ca="1">IFERROR(__xludf.DUMMYFUNCTION("IMPORTRANGE(""https://docs.google.com/spreadsheets/d/1XL5vhW3sbDhbH9Cz0tuDiY8C3ctxq1tqvaCgkFb8cCA/edit?usp=sharing"",""บึงกาฬ!J345"")"),0)</f>
        <v>0</v>
      </c>
      <c r="P39" s="359">
        <v>0</v>
      </c>
      <c r="Q39" s="57">
        <f ca="1">IFERROR(__xludf.DUMMYFUNCTION("IMPORTRANGE(""https://docs.google.com/spreadsheets/d/1XL5vhW3sbDhbH9Cz0tuDiY8C3ctxq1tqvaCgkFb8cCA/edit?usp=sharing"",""บึงกาฬ!J346"")"),0)</f>
        <v>0</v>
      </c>
      <c r="R39" s="347">
        <v>0</v>
      </c>
      <c r="S39" s="57">
        <v>0</v>
      </c>
      <c r="T39" s="348">
        <f t="shared" si="7"/>
        <v>0</v>
      </c>
      <c r="U39" s="81"/>
      <c r="V39" s="81"/>
      <c r="W39" s="81"/>
      <c r="X39" s="81"/>
      <c r="Y39" s="81"/>
      <c r="Z39" s="81"/>
    </row>
    <row r="40" spans="1:26" ht="24" customHeight="1" x14ac:dyDescent="0.5">
      <c r="A40" s="273">
        <v>7</v>
      </c>
      <c r="B40" s="274" t="s">
        <v>55</v>
      </c>
      <c r="C40" s="346">
        <f t="shared" si="40"/>
        <v>95000</v>
      </c>
      <c r="D40" s="276">
        <v>0</v>
      </c>
      <c r="E40" s="276">
        <v>95000</v>
      </c>
      <c r="F40" s="276">
        <f ca="1">IFERROR(__xludf.DUMMYFUNCTION("IMPORTRANGE(""https://docs.google.com/spreadsheets/d/1XL5vhW3sbDhbH9Cz0tuDiY8C3ctxq1tqvaCgkFb8cCA/edit?usp=sharing"",""บุรีรัมย์!M332"")"),0)</f>
        <v>0</v>
      </c>
      <c r="G40" s="276">
        <f t="shared" ca="1" si="1"/>
        <v>0</v>
      </c>
      <c r="H40" s="347">
        <f t="shared" si="41"/>
        <v>20</v>
      </c>
      <c r="I40" s="57">
        <f t="shared" ca="1" si="42"/>
        <v>0</v>
      </c>
      <c r="J40" s="348">
        <f t="shared" ca="1" si="3"/>
        <v>0</v>
      </c>
      <c r="K40" s="349">
        <f t="shared" si="43"/>
        <v>20</v>
      </c>
      <c r="L40" s="57">
        <f t="shared" ca="1" si="44"/>
        <v>0</v>
      </c>
      <c r="M40" s="348">
        <f t="shared" ca="1" si="5"/>
        <v>0</v>
      </c>
      <c r="N40" s="359">
        <v>20</v>
      </c>
      <c r="O40" s="57">
        <f ca="1">IFERROR(__xludf.DUMMYFUNCTION("IMPORTRANGE(""https://docs.google.com/spreadsheets/d/1XL5vhW3sbDhbH9Cz0tuDiY8C3ctxq1tqvaCgkFb8cCA/edit?usp=sharing"",""บุรีรัมย์!J345"")"),0)</f>
        <v>0</v>
      </c>
      <c r="P40" s="359">
        <v>0</v>
      </c>
      <c r="Q40" s="57">
        <f ca="1">IFERROR(__xludf.DUMMYFUNCTION("IMPORTRANGE(""https://docs.google.com/spreadsheets/d/1XL5vhW3sbDhbH9Cz0tuDiY8C3ctxq1tqvaCgkFb8cCA/edit?usp=sharing"",""บุรีรัมย์!J346"")"),0)</f>
        <v>0</v>
      </c>
      <c r="R40" s="347">
        <v>0</v>
      </c>
      <c r="S40" s="57">
        <v>0</v>
      </c>
      <c r="T40" s="348">
        <f t="shared" si="7"/>
        <v>0</v>
      </c>
      <c r="U40" s="81"/>
      <c r="V40" s="81"/>
      <c r="W40" s="81"/>
      <c r="X40" s="81"/>
      <c r="Y40" s="81"/>
      <c r="Z40" s="81"/>
    </row>
    <row r="41" spans="1:26" ht="24" customHeight="1" x14ac:dyDescent="0.5">
      <c r="A41" s="273">
        <v>8</v>
      </c>
      <c r="B41" s="274" t="s">
        <v>56</v>
      </c>
      <c r="C41" s="346">
        <f t="shared" si="40"/>
        <v>96000</v>
      </c>
      <c r="D41" s="276">
        <v>0</v>
      </c>
      <c r="E41" s="276">
        <v>96000</v>
      </c>
      <c r="F41" s="276">
        <f ca="1">IFERROR(__xludf.DUMMYFUNCTION("IMPORTRANGE(""https://docs.google.com/spreadsheets/d/1XL5vhW3sbDhbH9Cz0tuDiY8C3ctxq1tqvaCgkFb8cCA/edit?usp=sharing"",""มหาสารคาม!M332"")"),0)</f>
        <v>0</v>
      </c>
      <c r="G41" s="276">
        <f t="shared" ca="1" si="1"/>
        <v>0</v>
      </c>
      <c r="H41" s="347">
        <f t="shared" si="41"/>
        <v>21</v>
      </c>
      <c r="I41" s="57">
        <f t="shared" ca="1" si="42"/>
        <v>0</v>
      </c>
      <c r="J41" s="348">
        <f t="shared" ca="1" si="3"/>
        <v>0</v>
      </c>
      <c r="K41" s="349">
        <f t="shared" si="43"/>
        <v>21</v>
      </c>
      <c r="L41" s="57">
        <f t="shared" ca="1" si="44"/>
        <v>0</v>
      </c>
      <c r="M41" s="348">
        <f t="shared" ca="1" si="5"/>
        <v>0</v>
      </c>
      <c r="N41" s="359">
        <v>21</v>
      </c>
      <c r="O41" s="57">
        <f ca="1">IFERROR(__xludf.DUMMYFUNCTION("IMPORTRANGE(""https://docs.google.com/spreadsheets/d/1XL5vhW3sbDhbH9Cz0tuDiY8C3ctxq1tqvaCgkFb8cCA/edit?usp=sharing"",""มหาสารคาม!J345"")"),0)</f>
        <v>0</v>
      </c>
      <c r="P41" s="359">
        <v>0</v>
      </c>
      <c r="Q41" s="57">
        <f ca="1">IFERROR(__xludf.DUMMYFUNCTION("IMPORTRANGE(""https://docs.google.com/spreadsheets/d/1XL5vhW3sbDhbH9Cz0tuDiY8C3ctxq1tqvaCgkFb8cCA/edit?usp=sharing"",""มหาสารคาม!J346"")"),0)</f>
        <v>0</v>
      </c>
      <c r="R41" s="347">
        <v>0</v>
      </c>
      <c r="S41" s="57">
        <v>0</v>
      </c>
      <c r="T41" s="348">
        <f t="shared" si="7"/>
        <v>0</v>
      </c>
      <c r="U41" s="81"/>
      <c r="V41" s="81"/>
      <c r="W41" s="81"/>
      <c r="X41" s="81"/>
      <c r="Y41" s="81"/>
      <c r="Z41" s="81"/>
    </row>
    <row r="42" spans="1:26" ht="24" customHeight="1" x14ac:dyDescent="0.5">
      <c r="A42" s="273">
        <v>9</v>
      </c>
      <c r="B42" s="274" t="s">
        <v>57</v>
      </c>
      <c r="C42" s="346">
        <f t="shared" si="40"/>
        <v>116000</v>
      </c>
      <c r="D42" s="276">
        <v>0</v>
      </c>
      <c r="E42" s="276">
        <v>116000</v>
      </c>
      <c r="F42" s="276">
        <f ca="1">IFERROR(__xludf.DUMMYFUNCTION("IMPORTRANGE(""https://docs.google.com/spreadsheets/d/1XL5vhW3sbDhbH9Cz0tuDiY8C3ctxq1tqvaCgkFb8cCA/edit?usp=sharing"",""มุกดาหาร!M332"")"),0)</f>
        <v>0</v>
      </c>
      <c r="G42" s="276">
        <f t="shared" ca="1" si="1"/>
        <v>0</v>
      </c>
      <c r="H42" s="347">
        <f t="shared" si="41"/>
        <v>30</v>
      </c>
      <c r="I42" s="57">
        <f t="shared" ca="1" si="42"/>
        <v>0</v>
      </c>
      <c r="J42" s="348">
        <f t="shared" ca="1" si="3"/>
        <v>0</v>
      </c>
      <c r="K42" s="349">
        <f t="shared" si="43"/>
        <v>30</v>
      </c>
      <c r="L42" s="57">
        <f t="shared" ca="1" si="44"/>
        <v>0</v>
      </c>
      <c r="M42" s="348">
        <f t="shared" ca="1" si="5"/>
        <v>0</v>
      </c>
      <c r="N42" s="359">
        <v>30</v>
      </c>
      <c r="O42" s="57">
        <f ca="1">IFERROR(__xludf.DUMMYFUNCTION("IMPORTRANGE(""https://docs.google.com/spreadsheets/d/1XL5vhW3sbDhbH9Cz0tuDiY8C3ctxq1tqvaCgkFb8cCA/edit?usp=sharing"",""มุกดาหาร!J345"")"),0)</f>
        <v>0</v>
      </c>
      <c r="P42" s="359">
        <v>0</v>
      </c>
      <c r="Q42" s="57">
        <f ca="1">IFERROR(__xludf.DUMMYFUNCTION("IMPORTRANGE(""https://docs.google.com/spreadsheets/d/1XL5vhW3sbDhbH9Cz0tuDiY8C3ctxq1tqvaCgkFb8cCA/edit?usp=sharing"",""มุกดาหาร!J346"")"),0)</f>
        <v>0</v>
      </c>
      <c r="R42" s="347">
        <v>0</v>
      </c>
      <c r="S42" s="57">
        <v>0</v>
      </c>
      <c r="T42" s="348">
        <f t="shared" si="7"/>
        <v>0</v>
      </c>
      <c r="U42" s="81"/>
      <c r="V42" s="81"/>
      <c r="W42" s="81"/>
      <c r="X42" s="81"/>
      <c r="Y42" s="81"/>
      <c r="Z42" s="81"/>
    </row>
    <row r="43" spans="1:26" ht="24" customHeight="1" x14ac:dyDescent="0.5">
      <c r="A43" s="273">
        <v>10</v>
      </c>
      <c r="B43" s="274" t="s">
        <v>58</v>
      </c>
      <c r="C43" s="346">
        <f t="shared" si="40"/>
        <v>83000</v>
      </c>
      <c r="D43" s="276">
        <v>0</v>
      </c>
      <c r="E43" s="276">
        <v>83000</v>
      </c>
      <c r="F43" s="276">
        <f ca="1">IFERROR(__xludf.DUMMYFUNCTION("IMPORTRANGE(""https://docs.google.com/spreadsheets/d/1XL5vhW3sbDhbH9Cz0tuDiY8C3ctxq1tqvaCgkFb8cCA/edit?usp=sharing"",""ยโสธร!M332"")"),0)</f>
        <v>0</v>
      </c>
      <c r="G43" s="276">
        <f t="shared" ca="1" si="1"/>
        <v>0</v>
      </c>
      <c r="H43" s="347">
        <f t="shared" si="41"/>
        <v>15</v>
      </c>
      <c r="I43" s="57">
        <f t="shared" ca="1" si="42"/>
        <v>0</v>
      </c>
      <c r="J43" s="348">
        <f t="shared" ca="1" si="3"/>
        <v>0</v>
      </c>
      <c r="K43" s="349">
        <f t="shared" si="43"/>
        <v>15</v>
      </c>
      <c r="L43" s="57">
        <f t="shared" ca="1" si="44"/>
        <v>0</v>
      </c>
      <c r="M43" s="348">
        <f t="shared" ca="1" si="5"/>
        <v>0</v>
      </c>
      <c r="N43" s="359">
        <v>15</v>
      </c>
      <c r="O43" s="57">
        <f ca="1">IFERROR(__xludf.DUMMYFUNCTION("IMPORTRANGE(""https://docs.google.com/spreadsheets/d/1XL5vhW3sbDhbH9Cz0tuDiY8C3ctxq1tqvaCgkFb8cCA/edit?usp=sharing"",""ยโสธร!J345"")"),0)</f>
        <v>0</v>
      </c>
      <c r="P43" s="359">
        <v>0</v>
      </c>
      <c r="Q43" s="57">
        <f ca="1">IFERROR(__xludf.DUMMYFUNCTION("IMPORTRANGE(""https://docs.google.com/spreadsheets/d/1XL5vhW3sbDhbH9Cz0tuDiY8C3ctxq1tqvaCgkFb8cCA/edit?usp=sharing"",""ยโสธร!J346"")"),0)</f>
        <v>0</v>
      </c>
      <c r="R43" s="347">
        <v>0</v>
      </c>
      <c r="S43" s="57">
        <v>0</v>
      </c>
      <c r="T43" s="348">
        <f t="shared" si="7"/>
        <v>0</v>
      </c>
      <c r="U43" s="81"/>
      <c r="V43" s="81"/>
      <c r="W43" s="81"/>
      <c r="X43" s="81"/>
      <c r="Y43" s="81"/>
      <c r="Z43" s="81"/>
    </row>
    <row r="44" spans="1:26" ht="24" customHeight="1" x14ac:dyDescent="0.5">
      <c r="A44" s="273">
        <v>11</v>
      </c>
      <c r="B44" s="274" t="s">
        <v>59</v>
      </c>
      <c r="C44" s="346">
        <f t="shared" si="40"/>
        <v>83000</v>
      </c>
      <c r="D44" s="276">
        <v>0</v>
      </c>
      <c r="E44" s="276">
        <v>83000</v>
      </c>
      <c r="F44" s="276">
        <f ca="1">IFERROR(__xludf.DUMMYFUNCTION("IMPORTRANGE(""https://docs.google.com/spreadsheets/d/1XL5vhW3sbDhbH9Cz0tuDiY8C3ctxq1tqvaCgkFb8cCA/edit?usp=sharing"",""ร้อยเอ็ด!M332"")"),0)</f>
        <v>0</v>
      </c>
      <c r="G44" s="276">
        <f t="shared" ca="1" si="1"/>
        <v>0</v>
      </c>
      <c r="H44" s="347">
        <f t="shared" si="41"/>
        <v>15</v>
      </c>
      <c r="I44" s="57">
        <f t="shared" ca="1" si="42"/>
        <v>0</v>
      </c>
      <c r="J44" s="348">
        <f t="shared" ca="1" si="3"/>
        <v>0</v>
      </c>
      <c r="K44" s="349">
        <f t="shared" si="43"/>
        <v>15</v>
      </c>
      <c r="L44" s="57">
        <f t="shared" ca="1" si="44"/>
        <v>0</v>
      </c>
      <c r="M44" s="348">
        <f t="shared" ca="1" si="5"/>
        <v>0</v>
      </c>
      <c r="N44" s="359">
        <v>15</v>
      </c>
      <c r="O44" s="57">
        <f ca="1">IFERROR(__xludf.DUMMYFUNCTION("IMPORTRANGE(""https://docs.google.com/spreadsheets/d/1XL5vhW3sbDhbH9Cz0tuDiY8C3ctxq1tqvaCgkFb8cCA/edit?usp=sharing"",""ร้อยเอ็ด!J345"")"),0)</f>
        <v>0</v>
      </c>
      <c r="P44" s="359">
        <v>0</v>
      </c>
      <c r="Q44" s="57">
        <f ca="1">IFERROR(__xludf.DUMMYFUNCTION("IMPORTRANGE(""https://docs.google.com/spreadsheets/d/1XL5vhW3sbDhbH9Cz0tuDiY8C3ctxq1tqvaCgkFb8cCA/edit?usp=sharing"",""ร้อยเอ็ด!J346"")"),0)</f>
        <v>0</v>
      </c>
      <c r="R44" s="347">
        <v>0</v>
      </c>
      <c r="S44" s="57">
        <v>0</v>
      </c>
      <c r="T44" s="348">
        <f t="shared" si="7"/>
        <v>0</v>
      </c>
      <c r="U44" s="81"/>
      <c r="V44" s="81"/>
      <c r="W44" s="81"/>
      <c r="X44" s="81"/>
      <c r="Y44" s="81"/>
      <c r="Z44" s="81"/>
    </row>
    <row r="45" spans="1:26" ht="24" customHeight="1" x14ac:dyDescent="0.5">
      <c r="A45" s="273">
        <v>12</v>
      </c>
      <c r="B45" s="274" t="s">
        <v>60</v>
      </c>
      <c r="C45" s="346">
        <f t="shared" si="40"/>
        <v>72000</v>
      </c>
      <c r="D45" s="276">
        <v>0</v>
      </c>
      <c r="E45" s="276">
        <v>72000</v>
      </c>
      <c r="F45" s="276">
        <f ca="1">IFERROR(__xludf.DUMMYFUNCTION("IMPORTRANGE(""https://docs.google.com/spreadsheets/d/1XL5vhW3sbDhbH9Cz0tuDiY8C3ctxq1tqvaCgkFb8cCA/edit?usp=sharing"",""เลย!M332"")"),0)</f>
        <v>0</v>
      </c>
      <c r="G45" s="276">
        <f t="shared" ca="1" si="1"/>
        <v>0</v>
      </c>
      <c r="H45" s="347">
        <f t="shared" si="41"/>
        <v>10</v>
      </c>
      <c r="I45" s="57">
        <f t="shared" ca="1" si="42"/>
        <v>0</v>
      </c>
      <c r="J45" s="348">
        <f t="shared" ca="1" si="3"/>
        <v>0</v>
      </c>
      <c r="K45" s="349">
        <f t="shared" si="43"/>
        <v>10</v>
      </c>
      <c r="L45" s="57">
        <f t="shared" ca="1" si="44"/>
        <v>0</v>
      </c>
      <c r="M45" s="348">
        <f t="shared" ca="1" si="5"/>
        <v>0</v>
      </c>
      <c r="N45" s="359">
        <v>10</v>
      </c>
      <c r="O45" s="57">
        <f ca="1">IFERROR(__xludf.DUMMYFUNCTION("IMPORTRANGE(""https://docs.google.com/spreadsheets/d/1XL5vhW3sbDhbH9Cz0tuDiY8C3ctxq1tqvaCgkFb8cCA/edit?usp=sharing"",""เลย!J345"")"),0)</f>
        <v>0</v>
      </c>
      <c r="P45" s="359">
        <v>0</v>
      </c>
      <c r="Q45" s="57">
        <f ca="1">IFERROR(__xludf.DUMMYFUNCTION("IMPORTRANGE(""https://docs.google.com/spreadsheets/d/1XL5vhW3sbDhbH9Cz0tuDiY8C3ctxq1tqvaCgkFb8cCA/edit?usp=sharing"",""เลย!J346"")"),0)</f>
        <v>0</v>
      </c>
      <c r="R45" s="347">
        <v>0</v>
      </c>
      <c r="S45" s="57">
        <v>0</v>
      </c>
      <c r="T45" s="348">
        <f t="shared" si="7"/>
        <v>0</v>
      </c>
      <c r="U45" s="81"/>
      <c r="V45" s="81"/>
      <c r="W45" s="81"/>
      <c r="X45" s="81"/>
      <c r="Y45" s="81"/>
      <c r="Z45" s="81"/>
    </row>
    <row r="46" spans="1:26" ht="24" customHeight="1" x14ac:dyDescent="0.5">
      <c r="A46" s="273">
        <v>13</v>
      </c>
      <c r="B46" s="274" t="s">
        <v>61</v>
      </c>
      <c r="C46" s="346">
        <f t="shared" si="40"/>
        <v>128000</v>
      </c>
      <c r="D46" s="276">
        <v>0</v>
      </c>
      <c r="E46" s="276">
        <v>128000</v>
      </c>
      <c r="F46" s="276">
        <f ca="1">IFERROR(__xludf.DUMMYFUNCTION("IMPORTRANGE(""https://docs.google.com/spreadsheets/d/1XL5vhW3sbDhbH9Cz0tuDiY8C3ctxq1tqvaCgkFb8cCA/edit?usp=sharing"",""ศรีสะเกษ!M332"")"),0)</f>
        <v>0</v>
      </c>
      <c r="G46" s="276">
        <f t="shared" ca="1" si="1"/>
        <v>0</v>
      </c>
      <c r="H46" s="347">
        <f t="shared" si="41"/>
        <v>35</v>
      </c>
      <c r="I46" s="57">
        <f t="shared" ca="1" si="42"/>
        <v>0</v>
      </c>
      <c r="J46" s="348">
        <f t="shared" ca="1" si="3"/>
        <v>0</v>
      </c>
      <c r="K46" s="349">
        <f t="shared" si="43"/>
        <v>35</v>
      </c>
      <c r="L46" s="57">
        <f t="shared" ca="1" si="44"/>
        <v>0</v>
      </c>
      <c r="M46" s="348">
        <f t="shared" ca="1" si="5"/>
        <v>0</v>
      </c>
      <c r="N46" s="359">
        <v>35</v>
      </c>
      <c r="O46" s="57">
        <f ca="1">IFERROR(__xludf.DUMMYFUNCTION("IMPORTRANGE(""https://docs.google.com/spreadsheets/d/1XL5vhW3sbDhbH9Cz0tuDiY8C3ctxq1tqvaCgkFb8cCA/edit?usp=sharing"",""ศรีสะเกษ!J345"")"),0)</f>
        <v>0</v>
      </c>
      <c r="P46" s="359">
        <v>0</v>
      </c>
      <c r="Q46" s="57">
        <f ca="1">IFERROR(__xludf.DUMMYFUNCTION("IMPORTRANGE(""https://docs.google.com/spreadsheets/d/1XL5vhW3sbDhbH9Cz0tuDiY8C3ctxq1tqvaCgkFb8cCA/edit?usp=sharing"",""ศรีสะเกษ!J346"")"),0)</f>
        <v>0</v>
      </c>
      <c r="R46" s="347">
        <v>0</v>
      </c>
      <c r="S46" s="57">
        <v>0</v>
      </c>
      <c r="T46" s="348">
        <f t="shared" si="7"/>
        <v>0</v>
      </c>
      <c r="U46" s="81"/>
      <c r="V46" s="81"/>
      <c r="W46" s="81"/>
      <c r="X46" s="81"/>
      <c r="Y46" s="81"/>
      <c r="Z46" s="81"/>
    </row>
    <row r="47" spans="1:26" ht="24" customHeight="1" x14ac:dyDescent="0.5">
      <c r="A47" s="273">
        <v>14</v>
      </c>
      <c r="B47" s="274" t="s">
        <v>62</v>
      </c>
      <c r="C47" s="346">
        <f t="shared" si="40"/>
        <v>116000</v>
      </c>
      <c r="D47" s="276">
        <v>0</v>
      </c>
      <c r="E47" s="276">
        <v>116000</v>
      </c>
      <c r="F47" s="276">
        <f ca="1">IFERROR(__xludf.DUMMYFUNCTION("IMPORTRANGE(""https://docs.google.com/spreadsheets/d/1XL5vhW3sbDhbH9Cz0tuDiY8C3ctxq1tqvaCgkFb8cCA/edit?usp=sharing"",""สกลนคร!M332"")"),0)</f>
        <v>0</v>
      </c>
      <c r="G47" s="276">
        <f t="shared" ca="1" si="1"/>
        <v>0</v>
      </c>
      <c r="H47" s="347">
        <f t="shared" si="41"/>
        <v>30</v>
      </c>
      <c r="I47" s="57">
        <f t="shared" ca="1" si="42"/>
        <v>0</v>
      </c>
      <c r="J47" s="348">
        <f t="shared" ca="1" si="3"/>
        <v>0</v>
      </c>
      <c r="K47" s="349">
        <f t="shared" si="43"/>
        <v>30</v>
      </c>
      <c r="L47" s="57">
        <f t="shared" ca="1" si="44"/>
        <v>0</v>
      </c>
      <c r="M47" s="348">
        <f t="shared" ca="1" si="5"/>
        <v>0</v>
      </c>
      <c r="N47" s="359">
        <v>30</v>
      </c>
      <c r="O47" s="57">
        <f ca="1">IFERROR(__xludf.DUMMYFUNCTION("IMPORTRANGE(""https://docs.google.com/spreadsheets/d/1XL5vhW3sbDhbH9Cz0tuDiY8C3ctxq1tqvaCgkFb8cCA/edit?usp=sharing"",""สกลนคร!J345"")"),0)</f>
        <v>0</v>
      </c>
      <c r="P47" s="359">
        <v>0</v>
      </c>
      <c r="Q47" s="57">
        <f ca="1">IFERROR(__xludf.DUMMYFUNCTION("IMPORTRANGE(""https://docs.google.com/spreadsheets/d/1XL5vhW3sbDhbH9Cz0tuDiY8C3ctxq1tqvaCgkFb8cCA/edit?usp=sharing"",""สกลนคร!J346"")"),0)</f>
        <v>0</v>
      </c>
      <c r="R47" s="347">
        <v>0</v>
      </c>
      <c r="S47" s="57">
        <v>0</v>
      </c>
      <c r="T47" s="348">
        <f t="shared" si="7"/>
        <v>0</v>
      </c>
      <c r="U47" s="81"/>
      <c r="V47" s="81"/>
      <c r="W47" s="81"/>
      <c r="X47" s="81"/>
      <c r="Y47" s="81"/>
      <c r="Z47" s="81"/>
    </row>
    <row r="48" spans="1:26" ht="24" customHeight="1" x14ac:dyDescent="0.5">
      <c r="A48" s="273">
        <v>15</v>
      </c>
      <c r="B48" s="274" t="s">
        <v>63</v>
      </c>
      <c r="C48" s="346">
        <f t="shared" si="40"/>
        <v>217000</v>
      </c>
      <c r="D48" s="276">
        <v>0</v>
      </c>
      <c r="E48" s="276">
        <v>217000</v>
      </c>
      <c r="F48" s="276">
        <f ca="1">IFERROR(__xludf.DUMMYFUNCTION("IMPORTRANGE(""https://docs.google.com/spreadsheets/d/1XL5vhW3sbDhbH9Cz0tuDiY8C3ctxq1tqvaCgkFb8cCA/edit?usp=sharing"",""สุรินทร์!M332"")"),0)</f>
        <v>0</v>
      </c>
      <c r="G48" s="276">
        <f t="shared" ca="1" si="1"/>
        <v>0</v>
      </c>
      <c r="H48" s="347">
        <f t="shared" si="41"/>
        <v>80</v>
      </c>
      <c r="I48" s="57">
        <f t="shared" ca="1" si="42"/>
        <v>0</v>
      </c>
      <c r="J48" s="348">
        <f t="shared" ca="1" si="3"/>
        <v>0</v>
      </c>
      <c r="K48" s="349">
        <f t="shared" si="43"/>
        <v>80</v>
      </c>
      <c r="L48" s="57">
        <f t="shared" ca="1" si="44"/>
        <v>0</v>
      </c>
      <c r="M48" s="348">
        <f t="shared" ca="1" si="5"/>
        <v>0</v>
      </c>
      <c r="N48" s="359">
        <v>30</v>
      </c>
      <c r="O48" s="57">
        <f ca="1">IFERROR(__xludf.DUMMYFUNCTION("IMPORTRANGE(""https://docs.google.com/spreadsheets/d/1XL5vhW3sbDhbH9Cz0tuDiY8C3ctxq1tqvaCgkFb8cCA/edit?usp=sharing"",""สุรินทร์!J345"")"),0)</f>
        <v>0</v>
      </c>
      <c r="P48" s="359">
        <v>50</v>
      </c>
      <c r="Q48" s="57">
        <f ca="1">IFERROR(__xludf.DUMMYFUNCTION("IMPORTRANGE(""https://docs.google.com/spreadsheets/d/1XL5vhW3sbDhbH9Cz0tuDiY8C3ctxq1tqvaCgkFb8cCA/edit?usp=sharing"",""สุรินทร์!J346"")"),0)</f>
        <v>0</v>
      </c>
      <c r="R48" s="347">
        <v>0</v>
      </c>
      <c r="S48" s="57">
        <v>0</v>
      </c>
      <c r="T48" s="348">
        <f t="shared" si="7"/>
        <v>0</v>
      </c>
      <c r="U48" s="81"/>
      <c r="V48" s="81"/>
      <c r="W48" s="81"/>
      <c r="X48" s="81"/>
      <c r="Y48" s="81"/>
      <c r="Z48" s="81"/>
    </row>
    <row r="49" spans="1:26" ht="24" customHeight="1" x14ac:dyDescent="0.5">
      <c r="A49" s="273">
        <v>16</v>
      </c>
      <c r="B49" s="274" t="s">
        <v>64</v>
      </c>
      <c r="C49" s="346">
        <f t="shared" si="40"/>
        <v>83000</v>
      </c>
      <c r="D49" s="276">
        <v>0</v>
      </c>
      <c r="E49" s="276">
        <v>83000</v>
      </c>
      <c r="F49" s="276">
        <f ca="1">IFERROR(__xludf.DUMMYFUNCTION("IMPORTRANGE(""https://docs.google.com/spreadsheets/d/1XL5vhW3sbDhbH9Cz0tuDiY8C3ctxq1tqvaCgkFb8cCA/edit?usp=sharing"",""หนองคาย!M332"")"),0)</f>
        <v>0</v>
      </c>
      <c r="G49" s="276">
        <f t="shared" ca="1" si="1"/>
        <v>0</v>
      </c>
      <c r="H49" s="347">
        <f t="shared" si="41"/>
        <v>15</v>
      </c>
      <c r="I49" s="57">
        <f t="shared" ca="1" si="42"/>
        <v>0</v>
      </c>
      <c r="J49" s="348">
        <f t="shared" ca="1" si="3"/>
        <v>0</v>
      </c>
      <c r="K49" s="349">
        <f t="shared" si="43"/>
        <v>15</v>
      </c>
      <c r="L49" s="57">
        <f t="shared" ca="1" si="44"/>
        <v>0</v>
      </c>
      <c r="M49" s="348">
        <f t="shared" ca="1" si="5"/>
        <v>0</v>
      </c>
      <c r="N49" s="359">
        <v>15</v>
      </c>
      <c r="O49" s="57">
        <f ca="1">IFERROR(__xludf.DUMMYFUNCTION("IMPORTRANGE(""https://docs.google.com/spreadsheets/d/1XL5vhW3sbDhbH9Cz0tuDiY8C3ctxq1tqvaCgkFb8cCA/edit?usp=sharing"",""หนองคาย!J345"")"),0)</f>
        <v>0</v>
      </c>
      <c r="P49" s="359">
        <v>0</v>
      </c>
      <c r="Q49" s="57">
        <f ca="1">IFERROR(__xludf.DUMMYFUNCTION("IMPORTRANGE(""https://docs.google.com/spreadsheets/d/1XL5vhW3sbDhbH9Cz0tuDiY8C3ctxq1tqvaCgkFb8cCA/edit?usp=sharing"",""หนองคาย!J346"")"),0)</f>
        <v>0</v>
      </c>
      <c r="R49" s="347">
        <v>0</v>
      </c>
      <c r="S49" s="57">
        <v>0</v>
      </c>
      <c r="T49" s="348">
        <f t="shared" si="7"/>
        <v>0</v>
      </c>
      <c r="U49" s="81"/>
      <c r="V49" s="81"/>
      <c r="W49" s="81"/>
      <c r="X49" s="81"/>
      <c r="Y49" s="81"/>
      <c r="Z49" s="81"/>
    </row>
    <row r="50" spans="1:26" ht="24" customHeight="1" x14ac:dyDescent="0.5">
      <c r="A50" s="273">
        <v>17</v>
      </c>
      <c r="B50" s="274" t="s">
        <v>65</v>
      </c>
      <c r="C50" s="346">
        <f t="shared" si="40"/>
        <v>83000</v>
      </c>
      <c r="D50" s="276">
        <v>0</v>
      </c>
      <c r="E50" s="276">
        <v>83000</v>
      </c>
      <c r="F50" s="276">
        <f ca="1">IFERROR(__xludf.DUMMYFUNCTION("IMPORTRANGE(""https://docs.google.com/spreadsheets/d/1XL5vhW3sbDhbH9Cz0tuDiY8C3ctxq1tqvaCgkFb8cCA/edit?usp=sharing"",""หนองบัวลำภู!M332"")"),1720)</f>
        <v>1720</v>
      </c>
      <c r="G50" s="276">
        <f t="shared" ca="1" si="1"/>
        <v>2.072289156626506</v>
      </c>
      <c r="H50" s="347">
        <f t="shared" si="41"/>
        <v>15</v>
      </c>
      <c r="I50" s="57">
        <f t="shared" ca="1" si="42"/>
        <v>0</v>
      </c>
      <c r="J50" s="348">
        <f t="shared" ca="1" si="3"/>
        <v>0</v>
      </c>
      <c r="K50" s="349">
        <f t="shared" si="43"/>
        <v>15</v>
      </c>
      <c r="L50" s="57">
        <f t="shared" ca="1" si="44"/>
        <v>0</v>
      </c>
      <c r="M50" s="348">
        <f t="shared" ca="1" si="5"/>
        <v>0</v>
      </c>
      <c r="N50" s="359">
        <v>15</v>
      </c>
      <c r="O50" s="57">
        <f ca="1">IFERROR(__xludf.DUMMYFUNCTION("IMPORTRANGE(""https://docs.google.com/spreadsheets/d/1XL5vhW3sbDhbH9Cz0tuDiY8C3ctxq1tqvaCgkFb8cCA/edit?usp=sharing"",""หนองบัวลำภู!J345"")"),0)</f>
        <v>0</v>
      </c>
      <c r="P50" s="359">
        <v>0</v>
      </c>
      <c r="Q50" s="57">
        <f ca="1">IFERROR(__xludf.DUMMYFUNCTION("IMPORTRANGE(""https://docs.google.com/spreadsheets/d/1XL5vhW3sbDhbH9Cz0tuDiY8C3ctxq1tqvaCgkFb8cCA/edit?usp=sharing"",""หนองบัวลำภู!J346"")"),0)</f>
        <v>0</v>
      </c>
      <c r="R50" s="347">
        <v>0</v>
      </c>
      <c r="S50" s="57">
        <v>0</v>
      </c>
      <c r="T50" s="348">
        <f t="shared" si="7"/>
        <v>0</v>
      </c>
      <c r="U50" s="81"/>
      <c r="V50" s="81"/>
      <c r="W50" s="81"/>
      <c r="X50" s="81"/>
      <c r="Y50" s="81"/>
      <c r="Z50" s="81"/>
    </row>
    <row r="51" spans="1:26" ht="24" customHeight="1" x14ac:dyDescent="0.5">
      <c r="A51" s="273">
        <v>18</v>
      </c>
      <c r="B51" s="274" t="s">
        <v>66</v>
      </c>
      <c r="C51" s="346">
        <f t="shared" si="40"/>
        <v>83000</v>
      </c>
      <c r="D51" s="276">
        <v>0</v>
      </c>
      <c r="E51" s="276">
        <v>83000</v>
      </c>
      <c r="F51" s="276">
        <f ca="1">IFERROR(__xludf.DUMMYFUNCTION("IMPORTRANGE(""https://docs.google.com/spreadsheets/d/1XL5vhW3sbDhbH9Cz0tuDiY8C3ctxq1tqvaCgkFb8cCA/edit?usp=sharing"",""อำนาจเจริญ!M332"")"),0)</f>
        <v>0</v>
      </c>
      <c r="G51" s="276">
        <f t="shared" ca="1" si="1"/>
        <v>0</v>
      </c>
      <c r="H51" s="347">
        <f t="shared" si="41"/>
        <v>15</v>
      </c>
      <c r="I51" s="57">
        <f t="shared" ca="1" si="42"/>
        <v>0</v>
      </c>
      <c r="J51" s="348">
        <f t="shared" ca="1" si="3"/>
        <v>0</v>
      </c>
      <c r="K51" s="349">
        <f t="shared" si="43"/>
        <v>15</v>
      </c>
      <c r="L51" s="57">
        <f t="shared" ca="1" si="44"/>
        <v>0</v>
      </c>
      <c r="M51" s="348">
        <f t="shared" ca="1" si="5"/>
        <v>0</v>
      </c>
      <c r="N51" s="359">
        <v>15</v>
      </c>
      <c r="O51" s="57">
        <f ca="1">IFERROR(__xludf.DUMMYFUNCTION("IMPORTRANGE(""https://docs.google.com/spreadsheets/d/1XL5vhW3sbDhbH9Cz0tuDiY8C3ctxq1tqvaCgkFb8cCA/edit?usp=sharing"",""อำนาจเจริญ!J345"")"),0)</f>
        <v>0</v>
      </c>
      <c r="P51" s="359">
        <v>0</v>
      </c>
      <c r="Q51" s="57">
        <f ca="1">IFERROR(__xludf.DUMMYFUNCTION("IMPORTRANGE(""https://docs.google.com/spreadsheets/d/1XL5vhW3sbDhbH9Cz0tuDiY8C3ctxq1tqvaCgkFb8cCA/edit?usp=sharing"",""อำนาจเจริญ!J346"")"),0)</f>
        <v>0</v>
      </c>
      <c r="R51" s="347">
        <v>0</v>
      </c>
      <c r="S51" s="57">
        <v>0</v>
      </c>
      <c r="T51" s="348">
        <f t="shared" si="7"/>
        <v>0</v>
      </c>
      <c r="U51" s="81"/>
      <c r="V51" s="81"/>
      <c r="W51" s="81"/>
      <c r="X51" s="81"/>
      <c r="Y51" s="81"/>
      <c r="Z51" s="81"/>
    </row>
    <row r="52" spans="1:26" ht="24" customHeight="1" x14ac:dyDescent="0.5">
      <c r="A52" s="273">
        <v>19</v>
      </c>
      <c r="B52" s="274" t="s">
        <v>67</v>
      </c>
      <c r="C52" s="346">
        <f t="shared" si="40"/>
        <v>95000</v>
      </c>
      <c r="D52" s="276">
        <v>0</v>
      </c>
      <c r="E52" s="276">
        <v>95000</v>
      </c>
      <c r="F52" s="276">
        <f ca="1">IFERROR(__xludf.DUMMYFUNCTION("IMPORTRANGE(""https://docs.google.com/spreadsheets/d/1XL5vhW3sbDhbH9Cz0tuDiY8C3ctxq1tqvaCgkFb8cCA/edit?usp=sharing"",""อุดรธานี!M332"")"),0)</f>
        <v>0</v>
      </c>
      <c r="G52" s="276">
        <f t="shared" ca="1" si="1"/>
        <v>0</v>
      </c>
      <c r="H52" s="347">
        <f t="shared" si="41"/>
        <v>20</v>
      </c>
      <c r="I52" s="57">
        <f t="shared" ca="1" si="42"/>
        <v>0</v>
      </c>
      <c r="J52" s="348">
        <f t="shared" ca="1" si="3"/>
        <v>0</v>
      </c>
      <c r="K52" s="349">
        <f t="shared" si="43"/>
        <v>20</v>
      </c>
      <c r="L52" s="57">
        <f t="shared" ca="1" si="44"/>
        <v>0</v>
      </c>
      <c r="M52" s="348">
        <f t="shared" ca="1" si="5"/>
        <v>0</v>
      </c>
      <c r="N52" s="359">
        <v>20</v>
      </c>
      <c r="O52" s="57">
        <f ca="1">IFERROR(__xludf.DUMMYFUNCTION("IMPORTRANGE(""https://docs.google.com/spreadsheets/d/1XL5vhW3sbDhbH9Cz0tuDiY8C3ctxq1tqvaCgkFb8cCA/edit?usp=sharing"",""อุดรธานี!J345"")"),0)</f>
        <v>0</v>
      </c>
      <c r="P52" s="359">
        <v>0</v>
      </c>
      <c r="Q52" s="57">
        <f ca="1">IFERROR(__xludf.DUMMYFUNCTION("IMPORTRANGE(""https://docs.google.com/spreadsheets/d/1XL5vhW3sbDhbH9Cz0tuDiY8C3ctxq1tqvaCgkFb8cCA/edit?usp=sharing"",""อุดรธานี!J346"")"),0)</f>
        <v>0</v>
      </c>
      <c r="R52" s="347">
        <v>0</v>
      </c>
      <c r="S52" s="57">
        <v>0</v>
      </c>
      <c r="T52" s="348">
        <f t="shared" si="7"/>
        <v>0</v>
      </c>
      <c r="U52" s="81"/>
      <c r="V52" s="81"/>
      <c r="W52" s="81"/>
      <c r="X52" s="81"/>
      <c r="Y52" s="81"/>
      <c r="Z52" s="81"/>
    </row>
    <row r="53" spans="1:26" ht="24" customHeight="1" x14ac:dyDescent="0.5">
      <c r="A53" s="278">
        <v>20</v>
      </c>
      <c r="B53" s="279" t="s">
        <v>68</v>
      </c>
      <c r="C53" s="353">
        <f t="shared" si="40"/>
        <v>139000</v>
      </c>
      <c r="D53" s="281">
        <v>0</v>
      </c>
      <c r="E53" s="281">
        <v>139000</v>
      </c>
      <c r="F53" s="281">
        <f ca="1">IFERROR(__xludf.DUMMYFUNCTION("IMPORTRANGE(""https://docs.google.com/spreadsheets/d/1XL5vhW3sbDhbH9Cz0tuDiY8C3ctxq1tqvaCgkFb8cCA/edit?usp=sharing"",""อุบลราชธานี!M332"")"),0)</f>
        <v>0</v>
      </c>
      <c r="G53" s="281">
        <f t="shared" ca="1" si="1"/>
        <v>0</v>
      </c>
      <c r="H53" s="354">
        <f t="shared" si="41"/>
        <v>40</v>
      </c>
      <c r="I53" s="64">
        <f t="shared" ca="1" si="42"/>
        <v>0</v>
      </c>
      <c r="J53" s="355">
        <f t="shared" ca="1" si="3"/>
        <v>0</v>
      </c>
      <c r="K53" s="356">
        <f t="shared" si="43"/>
        <v>40</v>
      </c>
      <c r="L53" s="64">
        <f t="shared" ca="1" si="44"/>
        <v>0</v>
      </c>
      <c r="M53" s="355">
        <f t="shared" ca="1" si="5"/>
        <v>0</v>
      </c>
      <c r="N53" s="360">
        <v>40</v>
      </c>
      <c r="O53" s="64">
        <f ca="1">IFERROR(__xludf.DUMMYFUNCTION("IMPORTRANGE(""https://docs.google.com/spreadsheets/d/1XL5vhW3sbDhbH9Cz0tuDiY8C3ctxq1tqvaCgkFb8cCA/edit?usp=sharing"",""อุบลราชธานี!J345"")"),0)</f>
        <v>0</v>
      </c>
      <c r="P53" s="360">
        <v>0</v>
      </c>
      <c r="Q53" s="64">
        <f ca="1">IFERROR(__xludf.DUMMYFUNCTION("IMPORTRANGE(""https://docs.google.com/spreadsheets/d/1XL5vhW3sbDhbH9Cz0tuDiY8C3ctxq1tqvaCgkFb8cCA/edit?usp=sharing"",""อุบลราชธานี!J346"")"),0)</f>
        <v>0</v>
      </c>
      <c r="R53" s="354">
        <v>0</v>
      </c>
      <c r="S53" s="64">
        <v>0</v>
      </c>
      <c r="T53" s="355">
        <f t="shared" si="7"/>
        <v>0</v>
      </c>
      <c r="U53" s="81"/>
      <c r="V53" s="81"/>
      <c r="W53" s="81"/>
      <c r="X53" s="81"/>
      <c r="Y53" s="81"/>
      <c r="Z53" s="81"/>
    </row>
    <row r="54" spans="1:26" ht="24" customHeight="1" x14ac:dyDescent="0.5">
      <c r="A54" s="779" t="s">
        <v>69</v>
      </c>
      <c r="B54" s="569"/>
      <c r="C54" s="340">
        <f t="shared" ref="C54:F54" si="45">SUM(C55:C75)</f>
        <v>2152900</v>
      </c>
      <c r="D54" s="101">
        <f t="shared" si="45"/>
        <v>0</v>
      </c>
      <c r="E54" s="101">
        <f t="shared" si="45"/>
        <v>2152900</v>
      </c>
      <c r="F54" s="101">
        <f t="shared" ca="1" si="45"/>
        <v>5610</v>
      </c>
      <c r="G54" s="101">
        <f t="shared" ca="1" si="1"/>
        <v>0.26057875423846905</v>
      </c>
      <c r="H54" s="335">
        <f t="shared" ref="H54:I54" si="46">SUM(H55:H75)</f>
        <v>509</v>
      </c>
      <c r="I54" s="66">
        <f t="shared" ca="1" si="46"/>
        <v>0</v>
      </c>
      <c r="J54" s="101">
        <f t="shared" ca="1" si="3"/>
        <v>0</v>
      </c>
      <c r="K54" s="335">
        <f t="shared" ref="K54:L54" si="47">SUM(K55:K75)</f>
        <v>509</v>
      </c>
      <c r="L54" s="66">
        <f t="shared" ca="1" si="47"/>
        <v>0</v>
      </c>
      <c r="M54" s="101">
        <f t="shared" ca="1" si="5"/>
        <v>0</v>
      </c>
      <c r="N54" s="139">
        <f t="shared" ref="N54:S54" si="48">SUM(N55:N75)</f>
        <v>399</v>
      </c>
      <c r="O54" s="66">
        <f t="shared" ca="1" si="48"/>
        <v>0</v>
      </c>
      <c r="P54" s="139">
        <f t="shared" si="48"/>
        <v>110</v>
      </c>
      <c r="Q54" s="66">
        <f t="shared" ca="1" si="48"/>
        <v>0</v>
      </c>
      <c r="R54" s="139">
        <f t="shared" si="48"/>
        <v>0</v>
      </c>
      <c r="S54" s="66">
        <f t="shared" si="48"/>
        <v>0</v>
      </c>
      <c r="T54" s="101">
        <f t="shared" si="7"/>
        <v>0</v>
      </c>
      <c r="U54" s="81"/>
      <c r="V54" s="81"/>
      <c r="W54" s="81"/>
      <c r="X54" s="81"/>
      <c r="Y54" s="81"/>
      <c r="Z54" s="81"/>
    </row>
    <row r="55" spans="1:26" ht="24" customHeight="1" x14ac:dyDescent="0.5">
      <c r="A55" s="268">
        <v>1</v>
      </c>
      <c r="B55" s="269" t="s">
        <v>70</v>
      </c>
      <c r="C55" s="341">
        <f t="shared" ref="C55:C75" si="49">+D55+E55</f>
        <v>139000</v>
      </c>
      <c r="D55" s="271">
        <v>0</v>
      </c>
      <c r="E55" s="271">
        <v>139000</v>
      </c>
      <c r="F55" s="271">
        <f ca="1">IFERROR(__xludf.DUMMYFUNCTION("IMPORTRANGE(""https://docs.google.com/spreadsheets/d/1SX6NBoVAgQJ6U1MVXOaj8PK2l7WJ3RER9xtqwdhxkhw/edit?usp=sharing"",""กาญจนบุรี!M332"")"),0)</f>
        <v>0</v>
      </c>
      <c r="G55" s="271">
        <f t="shared" ca="1" si="1"/>
        <v>0</v>
      </c>
      <c r="H55" s="342">
        <f t="shared" ref="H55:H75" si="50">+N55+P55+R55</f>
        <v>40</v>
      </c>
      <c r="I55" s="49">
        <f t="shared" ref="I55:I75" ca="1" si="51">SUM(L55,S55)</f>
        <v>0</v>
      </c>
      <c r="J55" s="343">
        <f t="shared" ca="1" si="3"/>
        <v>0</v>
      </c>
      <c r="K55" s="344">
        <f t="shared" ref="K55:K75" si="52">+N55+P55</f>
        <v>40</v>
      </c>
      <c r="L55" s="49">
        <f t="shared" ref="L55:L75" ca="1" si="53">O55+Q55</f>
        <v>0</v>
      </c>
      <c r="M55" s="343">
        <f t="shared" ca="1" si="5"/>
        <v>0</v>
      </c>
      <c r="N55" s="361">
        <v>40</v>
      </c>
      <c r="O55" s="49">
        <f ca="1">IFERROR(__xludf.DUMMYFUNCTION("IMPORTRANGE(""https://docs.google.com/spreadsheets/d/1SX6NBoVAgQJ6U1MVXOaj8PK2l7WJ3RER9xtqwdhxkhw/edit?usp=sharing"",""กาญจนบุรี!J345"")"),0)</f>
        <v>0</v>
      </c>
      <c r="P55" s="361">
        <v>0</v>
      </c>
      <c r="Q55" s="49">
        <f ca="1">IFERROR(__xludf.DUMMYFUNCTION("IMPORTRANGE(""https://docs.google.com/spreadsheets/d/1SX6NBoVAgQJ6U1MVXOaj8PK2l7WJ3RER9xtqwdhxkhw/edit?usp=sharing"",""กาญจนบุรี!J346"")"),0)</f>
        <v>0</v>
      </c>
      <c r="R55" s="362">
        <v>0</v>
      </c>
      <c r="S55" s="49">
        <v>0</v>
      </c>
      <c r="T55" s="343">
        <f t="shared" si="7"/>
        <v>0</v>
      </c>
      <c r="U55" s="81"/>
      <c r="V55" s="81"/>
      <c r="W55" s="81"/>
      <c r="X55" s="81"/>
      <c r="Y55" s="81"/>
      <c r="Z55" s="81"/>
    </row>
    <row r="56" spans="1:26" ht="24" customHeight="1" x14ac:dyDescent="0.5">
      <c r="A56" s="273">
        <v>2</v>
      </c>
      <c r="B56" s="274" t="s">
        <v>71</v>
      </c>
      <c r="C56" s="346">
        <f t="shared" si="49"/>
        <v>95000</v>
      </c>
      <c r="D56" s="276">
        <v>0</v>
      </c>
      <c r="E56" s="276">
        <v>95000</v>
      </c>
      <c r="F56" s="276">
        <f ca="1">IFERROR(__xludf.DUMMYFUNCTION("IMPORTRANGE(""https://docs.google.com/spreadsheets/d/1SX6NBoVAgQJ6U1MVXOaj8PK2l7WJ3RER9xtqwdhxkhw/edit?usp=sharing"",""จันทบุรี!M332"")"),0)</f>
        <v>0</v>
      </c>
      <c r="G56" s="276">
        <f t="shared" ca="1" si="1"/>
        <v>0</v>
      </c>
      <c r="H56" s="347">
        <f t="shared" si="50"/>
        <v>20</v>
      </c>
      <c r="I56" s="57">
        <f t="shared" ca="1" si="51"/>
        <v>0</v>
      </c>
      <c r="J56" s="348">
        <f t="shared" ca="1" si="3"/>
        <v>0</v>
      </c>
      <c r="K56" s="349">
        <f t="shared" si="52"/>
        <v>20</v>
      </c>
      <c r="L56" s="57">
        <f t="shared" ca="1" si="53"/>
        <v>0</v>
      </c>
      <c r="M56" s="348">
        <f t="shared" ca="1" si="5"/>
        <v>0</v>
      </c>
      <c r="N56" s="351">
        <v>20</v>
      </c>
      <c r="O56" s="57">
        <f ca="1">IFERROR(__xludf.DUMMYFUNCTION("IMPORTRANGE(""https://docs.google.com/spreadsheets/d/1SX6NBoVAgQJ6U1MVXOaj8PK2l7WJ3RER9xtqwdhxkhw/edit?usp=sharing"",""จันทบุรี!J345"")"),0)</f>
        <v>0</v>
      </c>
      <c r="P56" s="351">
        <v>0</v>
      </c>
      <c r="Q56" s="57">
        <f ca="1">IFERROR(__xludf.DUMMYFUNCTION("IMPORTRANGE(""https://docs.google.com/spreadsheets/d/1SX6NBoVAgQJ6U1MVXOaj8PK2l7WJ3RER9xtqwdhxkhw/edit?usp=sharing"",""จันทบุรี!J346"")"),0)</f>
        <v>0</v>
      </c>
      <c r="R56" s="363">
        <v>0</v>
      </c>
      <c r="S56" s="57">
        <v>0</v>
      </c>
      <c r="T56" s="348">
        <f t="shared" si="7"/>
        <v>0</v>
      </c>
      <c r="U56" s="81"/>
      <c r="V56" s="81"/>
      <c r="W56" s="81"/>
      <c r="X56" s="81"/>
      <c r="Y56" s="81"/>
      <c r="Z56" s="81"/>
    </row>
    <row r="57" spans="1:26" ht="24" customHeight="1" x14ac:dyDescent="0.5">
      <c r="A57" s="273">
        <v>3</v>
      </c>
      <c r="B57" s="274" t="s">
        <v>72</v>
      </c>
      <c r="C57" s="346">
        <f t="shared" si="49"/>
        <v>179000</v>
      </c>
      <c r="D57" s="276">
        <v>0</v>
      </c>
      <c r="E57" s="276">
        <v>179000</v>
      </c>
      <c r="F57" s="276">
        <f ca="1">IFERROR(__xludf.DUMMYFUNCTION("IMPORTRANGE(""https://docs.google.com/spreadsheets/d/1SX6NBoVAgQJ6U1MVXOaj8PK2l7WJ3RER9xtqwdhxkhw/edit?usp=sharing"",""ฉะเชิงเทรา!M332"")"),0)</f>
        <v>0</v>
      </c>
      <c r="G57" s="276">
        <f t="shared" ca="1" si="1"/>
        <v>0</v>
      </c>
      <c r="H57" s="347">
        <f t="shared" si="50"/>
        <v>60</v>
      </c>
      <c r="I57" s="57">
        <f t="shared" ca="1" si="51"/>
        <v>0</v>
      </c>
      <c r="J57" s="348">
        <f t="shared" ca="1" si="3"/>
        <v>0</v>
      </c>
      <c r="K57" s="349">
        <f t="shared" si="52"/>
        <v>60</v>
      </c>
      <c r="L57" s="57">
        <f t="shared" ca="1" si="53"/>
        <v>0</v>
      </c>
      <c r="M57" s="348">
        <f t="shared" ca="1" si="5"/>
        <v>0</v>
      </c>
      <c r="N57" s="351">
        <v>40</v>
      </c>
      <c r="O57" s="57">
        <f ca="1">IFERROR(__xludf.DUMMYFUNCTION("IMPORTRANGE(""https://docs.google.com/spreadsheets/d/1SX6NBoVAgQJ6U1MVXOaj8PK2l7WJ3RER9xtqwdhxkhw/edit?usp=sharing"",""ฉะเชิงเทรา!J345"")"),0)</f>
        <v>0</v>
      </c>
      <c r="P57" s="351">
        <v>20</v>
      </c>
      <c r="Q57" s="57">
        <f ca="1">IFERROR(__xludf.DUMMYFUNCTION("IMPORTRANGE(""https://docs.google.com/spreadsheets/d/1SX6NBoVAgQJ6U1MVXOaj8PK2l7WJ3RER9xtqwdhxkhw/edit?usp=sharing"",""ฉะเชิงเทรา!J346"")"),0)</f>
        <v>0</v>
      </c>
      <c r="R57" s="363">
        <v>0</v>
      </c>
      <c r="S57" s="57">
        <v>0</v>
      </c>
      <c r="T57" s="348">
        <f t="shared" si="7"/>
        <v>0</v>
      </c>
      <c r="U57" s="81"/>
      <c r="V57" s="81"/>
      <c r="W57" s="81"/>
      <c r="X57" s="81"/>
      <c r="Y57" s="81"/>
      <c r="Z57" s="81"/>
    </row>
    <row r="58" spans="1:26" ht="24" customHeight="1" x14ac:dyDescent="0.5">
      <c r="A58" s="273">
        <v>4</v>
      </c>
      <c r="B58" s="274" t="s">
        <v>73</v>
      </c>
      <c r="C58" s="346">
        <f t="shared" si="49"/>
        <v>83000</v>
      </c>
      <c r="D58" s="276">
        <v>0</v>
      </c>
      <c r="E58" s="276">
        <v>83000</v>
      </c>
      <c r="F58" s="276">
        <f ca="1">IFERROR(__xludf.DUMMYFUNCTION("IMPORTRANGE(""https://docs.google.com/spreadsheets/d/1SX6NBoVAgQJ6U1MVXOaj8PK2l7WJ3RER9xtqwdhxkhw/edit?usp=sharing"",""ชลบุรี!M332"")"),0)</f>
        <v>0</v>
      </c>
      <c r="G58" s="276">
        <f t="shared" ca="1" si="1"/>
        <v>0</v>
      </c>
      <c r="H58" s="347">
        <f t="shared" si="50"/>
        <v>15</v>
      </c>
      <c r="I58" s="57">
        <f t="shared" ca="1" si="51"/>
        <v>0</v>
      </c>
      <c r="J58" s="348">
        <f t="shared" ca="1" si="3"/>
        <v>0</v>
      </c>
      <c r="K58" s="349">
        <f t="shared" si="52"/>
        <v>15</v>
      </c>
      <c r="L58" s="57">
        <f t="shared" ca="1" si="53"/>
        <v>0</v>
      </c>
      <c r="M58" s="348">
        <f t="shared" ca="1" si="5"/>
        <v>0</v>
      </c>
      <c r="N58" s="364">
        <v>15</v>
      </c>
      <c r="O58" s="57">
        <f ca="1">IFERROR(__xludf.DUMMYFUNCTION("IMPORTRANGE(""https://docs.google.com/spreadsheets/d/1SX6NBoVAgQJ6U1MVXOaj8PK2l7WJ3RER9xtqwdhxkhw/edit?usp=sharing"",""ชลบุรี!J345"")"),0)</f>
        <v>0</v>
      </c>
      <c r="P58" s="364">
        <v>0</v>
      </c>
      <c r="Q58" s="57">
        <f ca="1">IFERROR(__xludf.DUMMYFUNCTION("IMPORTRANGE(""https://docs.google.com/spreadsheets/d/1SX6NBoVAgQJ6U1MVXOaj8PK2l7WJ3RER9xtqwdhxkhw/edit?usp=sharing"",""ชลบุรี!J346"")"),0)</f>
        <v>0</v>
      </c>
      <c r="R58" s="363">
        <v>0</v>
      </c>
      <c r="S58" s="57">
        <v>0</v>
      </c>
      <c r="T58" s="348">
        <f t="shared" si="7"/>
        <v>0</v>
      </c>
      <c r="U58" s="81"/>
      <c r="V58" s="81"/>
      <c r="W58" s="81"/>
      <c r="X58" s="81"/>
      <c r="Y58" s="81"/>
      <c r="Z58" s="81"/>
    </row>
    <row r="59" spans="1:26" ht="24" customHeight="1" x14ac:dyDescent="0.5">
      <c r="A59" s="273">
        <v>5</v>
      </c>
      <c r="B59" s="274" t="s">
        <v>74</v>
      </c>
      <c r="C59" s="346">
        <f t="shared" si="49"/>
        <v>83000</v>
      </c>
      <c r="D59" s="276">
        <v>0</v>
      </c>
      <c r="E59" s="276">
        <v>83000</v>
      </c>
      <c r="F59" s="276">
        <f ca="1">IFERROR(__xludf.DUMMYFUNCTION("IMPORTRANGE(""https://docs.google.com/spreadsheets/d/1SX6NBoVAgQJ6U1MVXOaj8PK2l7WJ3RER9xtqwdhxkhw/edit?usp=sharing"",""ชัยนาท!M332"")"),0)</f>
        <v>0</v>
      </c>
      <c r="G59" s="276">
        <f t="shared" ca="1" si="1"/>
        <v>0</v>
      </c>
      <c r="H59" s="347">
        <f t="shared" si="50"/>
        <v>15</v>
      </c>
      <c r="I59" s="57">
        <f t="shared" ca="1" si="51"/>
        <v>0</v>
      </c>
      <c r="J59" s="348">
        <f t="shared" ca="1" si="3"/>
        <v>0</v>
      </c>
      <c r="K59" s="349">
        <f t="shared" si="52"/>
        <v>15</v>
      </c>
      <c r="L59" s="57">
        <f t="shared" ca="1" si="53"/>
        <v>0</v>
      </c>
      <c r="M59" s="348">
        <f t="shared" ca="1" si="5"/>
        <v>0</v>
      </c>
      <c r="N59" s="351">
        <v>15</v>
      </c>
      <c r="O59" s="57">
        <f ca="1">IFERROR(__xludf.DUMMYFUNCTION("IMPORTRANGE(""https://docs.google.com/spreadsheets/d/1SX6NBoVAgQJ6U1MVXOaj8PK2l7WJ3RER9xtqwdhxkhw/edit?usp=sharing"",""ชัยนาท!J345"")"),0)</f>
        <v>0</v>
      </c>
      <c r="P59" s="351">
        <v>0</v>
      </c>
      <c r="Q59" s="57">
        <f ca="1">IFERROR(__xludf.DUMMYFUNCTION("IMPORTRANGE(""https://docs.google.com/spreadsheets/d/1SX6NBoVAgQJ6U1MVXOaj8PK2l7WJ3RER9xtqwdhxkhw/edit?usp=sharing"",""ชัยนาท!J346"")"),0)</f>
        <v>0</v>
      </c>
      <c r="R59" s="363">
        <v>0</v>
      </c>
      <c r="S59" s="57">
        <v>0</v>
      </c>
      <c r="T59" s="348">
        <f t="shared" si="7"/>
        <v>0</v>
      </c>
      <c r="U59" s="81"/>
      <c r="V59" s="81"/>
      <c r="W59" s="81"/>
      <c r="X59" s="81"/>
      <c r="Y59" s="81"/>
      <c r="Z59" s="81"/>
    </row>
    <row r="60" spans="1:26" ht="24" customHeight="1" x14ac:dyDescent="0.5">
      <c r="A60" s="273">
        <v>6</v>
      </c>
      <c r="B60" s="274" t="s">
        <v>75</v>
      </c>
      <c r="C60" s="346">
        <f t="shared" si="49"/>
        <v>72000</v>
      </c>
      <c r="D60" s="276">
        <v>0</v>
      </c>
      <c r="E60" s="276">
        <v>72000</v>
      </c>
      <c r="F60" s="276">
        <f ca="1">IFERROR(__xludf.DUMMYFUNCTION("IMPORTRANGE(""https://docs.google.com/spreadsheets/d/1SX6NBoVAgQJ6U1MVXOaj8PK2l7WJ3RER9xtqwdhxkhw/edit?usp=sharing"",""ตราด!M332"")"),4610)</f>
        <v>4610</v>
      </c>
      <c r="G60" s="276">
        <f t="shared" ca="1" si="1"/>
        <v>6.4027777777777777</v>
      </c>
      <c r="H60" s="347">
        <f t="shared" si="50"/>
        <v>10</v>
      </c>
      <c r="I60" s="57">
        <f t="shared" ca="1" si="51"/>
        <v>0</v>
      </c>
      <c r="J60" s="348">
        <f t="shared" ca="1" si="3"/>
        <v>0</v>
      </c>
      <c r="K60" s="349">
        <f t="shared" si="52"/>
        <v>10</v>
      </c>
      <c r="L60" s="57">
        <f t="shared" ca="1" si="53"/>
        <v>0</v>
      </c>
      <c r="M60" s="348">
        <f t="shared" ca="1" si="5"/>
        <v>0</v>
      </c>
      <c r="N60" s="351">
        <v>10</v>
      </c>
      <c r="O60" s="57">
        <f ca="1">IFERROR(__xludf.DUMMYFUNCTION("IMPORTRANGE(""https://docs.google.com/spreadsheets/d/1SX6NBoVAgQJ6U1MVXOaj8PK2l7WJ3RER9xtqwdhxkhw/edit?usp=sharing"",""ตราด!J345"")"),0)</f>
        <v>0</v>
      </c>
      <c r="P60" s="351">
        <v>0</v>
      </c>
      <c r="Q60" s="57">
        <f ca="1">IFERROR(__xludf.DUMMYFUNCTION("IMPORTRANGE(""https://docs.google.com/spreadsheets/d/1SX6NBoVAgQJ6U1MVXOaj8PK2l7WJ3RER9xtqwdhxkhw/edit?usp=sharing"",""ตราด!J346"")"),0)</f>
        <v>0</v>
      </c>
      <c r="R60" s="363">
        <v>0</v>
      </c>
      <c r="S60" s="57">
        <v>0</v>
      </c>
      <c r="T60" s="348">
        <f t="shared" si="7"/>
        <v>0</v>
      </c>
      <c r="U60" s="81"/>
      <c r="V60" s="81"/>
      <c r="W60" s="81"/>
      <c r="X60" s="81"/>
      <c r="Y60" s="81"/>
      <c r="Z60" s="81"/>
    </row>
    <row r="61" spans="1:26" ht="24" customHeight="1" x14ac:dyDescent="0.5">
      <c r="A61" s="273">
        <v>7</v>
      </c>
      <c r="B61" s="274" t="s">
        <v>76</v>
      </c>
      <c r="C61" s="346">
        <f t="shared" si="49"/>
        <v>225000</v>
      </c>
      <c r="D61" s="276">
        <v>0</v>
      </c>
      <c r="E61" s="276">
        <v>225000</v>
      </c>
      <c r="F61" s="276">
        <f ca="1">IFERROR(__xludf.DUMMYFUNCTION("IMPORTRANGE(""https://docs.google.com/spreadsheets/d/1SX6NBoVAgQJ6U1MVXOaj8PK2l7WJ3RER9xtqwdhxkhw/edit?usp=sharing"",""นครนายก!M332"")"),0)</f>
        <v>0</v>
      </c>
      <c r="G61" s="276">
        <f t="shared" ca="1" si="1"/>
        <v>0</v>
      </c>
      <c r="H61" s="347">
        <f t="shared" si="50"/>
        <v>84</v>
      </c>
      <c r="I61" s="57">
        <f t="shared" ca="1" si="51"/>
        <v>0</v>
      </c>
      <c r="J61" s="348">
        <f t="shared" ca="1" si="3"/>
        <v>0</v>
      </c>
      <c r="K61" s="349">
        <f t="shared" si="52"/>
        <v>84</v>
      </c>
      <c r="L61" s="57">
        <f t="shared" ca="1" si="53"/>
        <v>0</v>
      </c>
      <c r="M61" s="348">
        <f t="shared" ca="1" si="5"/>
        <v>0</v>
      </c>
      <c r="N61" s="364">
        <v>24</v>
      </c>
      <c r="O61" s="57">
        <f ca="1">IFERROR(__xludf.DUMMYFUNCTION("IMPORTRANGE(""https://docs.google.com/spreadsheets/d/1SX6NBoVAgQJ6U1MVXOaj8PK2l7WJ3RER9xtqwdhxkhw/edit?usp=sharing"",""นครนายก!J345"")"),0)</f>
        <v>0</v>
      </c>
      <c r="P61" s="364">
        <v>60</v>
      </c>
      <c r="Q61" s="57">
        <f ca="1">IFERROR(__xludf.DUMMYFUNCTION("IMPORTRANGE(""https://docs.google.com/spreadsheets/d/1SX6NBoVAgQJ6U1MVXOaj8PK2l7WJ3RER9xtqwdhxkhw/edit?usp=sharing"",""นครนายก!J346"")"),0)</f>
        <v>0</v>
      </c>
      <c r="R61" s="363">
        <v>0</v>
      </c>
      <c r="S61" s="57">
        <v>0</v>
      </c>
      <c r="T61" s="348">
        <f t="shared" si="7"/>
        <v>0</v>
      </c>
      <c r="U61" s="81"/>
      <c r="V61" s="81"/>
      <c r="W61" s="81"/>
      <c r="X61" s="81"/>
      <c r="Y61" s="81"/>
      <c r="Z61" s="81"/>
    </row>
    <row r="62" spans="1:26" ht="24" customHeight="1" x14ac:dyDescent="0.5">
      <c r="A62" s="273">
        <v>8</v>
      </c>
      <c r="B62" s="274" t="s">
        <v>77</v>
      </c>
      <c r="C62" s="346">
        <f t="shared" si="49"/>
        <v>71000</v>
      </c>
      <c r="D62" s="276">
        <v>0</v>
      </c>
      <c r="E62" s="276">
        <v>71000</v>
      </c>
      <c r="F62" s="276">
        <f ca="1">IFERROR(__xludf.DUMMYFUNCTION("IMPORTRANGE(""https://docs.google.com/spreadsheets/d/1SX6NBoVAgQJ6U1MVXOaj8PK2l7WJ3RER9xtqwdhxkhw/edit?usp=sharing"",""นครปฐม!M332"")"),0)</f>
        <v>0</v>
      </c>
      <c r="G62" s="276">
        <f t="shared" ca="1" si="1"/>
        <v>0</v>
      </c>
      <c r="H62" s="347">
        <f t="shared" si="50"/>
        <v>10</v>
      </c>
      <c r="I62" s="57">
        <f t="shared" ca="1" si="51"/>
        <v>0</v>
      </c>
      <c r="J62" s="348">
        <f t="shared" ca="1" si="3"/>
        <v>0</v>
      </c>
      <c r="K62" s="349">
        <f t="shared" si="52"/>
        <v>10</v>
      </c>
      <c r="L62" s="57">
        <f t="shared" ca="1" si="53"/>
        <v>0</v>
      </c>
      <c r="M62" s="348">
        <f t="shared" ca="1" si="5"/>
        <v>0</v>
      </c>
      <c r="N62" s="351">
        <v>10</v>
      </c>
      <c r="O62" s="57">
        <f ca="1">IFERROR(__xludf.DUMMYFUNCTION("IMPORTRANGE(""https://docs.google.com/spreadsheets/d/1SX6NBoVAgQJ6U1MVXOaj8PK2l7WJ3RER9xtqwdhxkhw/edit?usp=sharing"",""นครปฐม!J345"")"),0)</f>
        <v>0</v>
      </c>
      <c r="P62" s="351">
        <v>0</v>
      </c>
      <c r="Q62" s="57">
        <f ca="1">IFERROR(__xludf.DUMMYFUNCTION("IMPORTRANGE(""https://docs.google.com/spreadsheets/d/1SX6NBoVAgQJ6U1MVXOaj8PK2l7WJ3RER9xtqwdhxkhw/edit?usp=sharing"",""นครปฐม!J346"")"),0)</f>
        <v>0</v>
      </c>
      <c r="R62" s="363">
        <v>0</v>
      </c>
      <c r="S62" s="57">
        <v>0</v>
      </c>
      <c r="T62" s="348">
        <f t="shared" si="7"/>
        <v>0</v>
      </c>
      <c r="U62" s="81"/>
      <c r="V62" s="81"/>
      <c r="W62" s="81"/>
      <c r="X62" s="81"/>
      <c r="Y62" s="81"/>
      <c r="Z62" s="81"/>
    </row>
    <row r="63" spans="1:26" ht="24" customHeight="1" x14ac:dyDescent="0.5">
      <c r="A63" s="273">
        <v>9</v>
      </c>
      <c r="B63" s="274" t="s">
        <v>78</v>
      </c>
      <c r="C63" s="346">
        <f t="shared" si="49"/>
        <v>71000</v>
      </c>
      <c r="D63" s="276">
        <v>0</v>
      </c>
      <c r="E63" s="276">
        <v>71000</v>
      </c>
      <c r="F63" s="276">
        <f ca="1">IFERROR(__xludf.DUMMYFUNCTION("IMPORTRANGE(""https://docs.google.com/spreadsheets/d/1SX6NBoVAgQJ6U1MVXOaj8PK2l7WJ3RER9xtqwdhxkhw/edit?usp=sharing"",""ปทุมธานี!M332"")"),1000)</f>
        <v>1000</v>
      </c>
      <c r="G63" s="276">
        <f t="shared" ca="1" si="1"/>
        <v>1.408450704225352</v>
      </c>
      <c r="H63" s="347">
        <f t="shared" si="50"/>
        <v>10</v>
      </c>
      <c r="I63" s="57">
        <f t="shared" ca="1" si="51"/>
        <v>0</v>
      </c>
      <c r="J63" s="348">
        <f t="shared" ca="1" si="3"/>
        <v>0</v>
      </c>
      <c r="K63" s="349">
        <f t="shared" si="52"/>
        <v>10</v>
      </c>
      <c r="L63" s="57">
        <f t="shared" ca="1" si="53"/>
        <v>0</v>
      </c>
      <c r="M63" s="348">
        <f t="shared" ca="1" si="5"/>
        <v>0</v>
      </c>
      <c r="N63" s="351">
        <v>10</v>
      </c>
      <c r="O63" s="57">
        <f ca="1">IFERROR(__xludf.DUMMYFUNCTION("IMPORTRANGE(""https://docs.google.com/spreadsheets/d/1SX6NBoVAgQJ6U1MVXOaj8PK2l7WJ3RER9xtqwdhxkhw/edit?usp=sharing"",""ปทุมธานี!J345"")"),0)</f>
        <v>0</v>
      </c>
      <c r="P63" s="351">
        <v>0</v>
      </c>
      <c r="Q63" s="57">
        <f ca="1">IFERROR(__xludf.DUMMYFUNCTION("IMPORTRANGE(""https://docs.google.com/spreadsheets/d/1SX6NBoVAgQJ6U1MVXOaj8PK2l7WJ3RER9xtqwdhxkhw/edit?usp=sharing"",""ปทุมธานี!J346"")"),0)</f>
        <v>0</v>
      </c>
      <c r="R63" s="363">
        <v>0</v>
      </c>
      <c r="S63" s="57">
        <v>0</v>
      </c>
      <c r="T63" s="348">
        <f t="shared" si="7"/>
        <v>0</v>
      </c>
      <c r="U63" s="81"/>
      <c r="V63" s="81"/>
      <c r="W63" s="81"/>
      <c r="X63" s="81"/>
      <c r="Y63" s="81"/>
      <c r="Z63" s="81"/>
    </row>
    <row r="64" spans="1:26" ht="24" customHeight="1" x14ac:dyDescent="0.5">
      <c r="A64" s="273">
        <v>10</v>
      </c>
      <c r="B64" s="274" t="s">
        <v>79</v>
      </c>
      <c r="C64" s="346">
        <f t="shared" si="49"/>
        <v>71000</v>
      </c>
      <c r="D64" s="276">
        <v>0</v>
      </c>
      <c r="E64" s="276">
        <v>71000</v>
      </c>
      <c r="F64" s="276">
        <f ca="1">IFERROR(__xludf.DUMMYFUNCTION("IMPORTRANGE(""https://docs.google.com/spreadsheets/d/1SX6NBoVAgQJ6U1MVXOaj8PK2l7WJ3RER9xtqwdhxkhw/edit?usp=sharing"",""ประจวบคีรีขันธ์!M332"")"),0)</f>
        <v>0</v>
      </c>
      <c r="G64" s="276">
        <f t="shared" ca="1" si="1"/>
        <v>0</v>
      </c>
      <c r="H64" s="347">
        <f t="shared" si="50"/>
        <v>10</v>
      </c>
      <c r="I64" s="57">
        <f t="shared" ca="1" si="51"/>
        <v>0</v>
      </c>
      <c r="J64" s="348">
        <f t="shared" ca="1" si="3"/>
        <v>0</v>
      </c>
      <c r="K64" s="349">
        <f t="shared" si="52"/>
        <v>10</v>
      </c>
      <c r="L64" s="57">
        <f t="shared" ca="1" si="53"/>
        <v>0</v>
      </c>
      <c r="M64" s="348">
        <f t="shared" ca="1" si="5"/>
        <v>0</v>
      </c>
      <c r="N64" s="351">
        <v>10</v>
      </c>
      <c r="O64" s="57">
        <f ca="1">IFERROR(__xludf.DUMMYFUNCTION("IMPORTRANGE(""https://docs.google.com/spreadsheets/d/1SX6NBoVAgQJ6U1MVXOaj8PK2l7WJ3RER9xtqwdhxkhw/edit?usp=sharing"",""ประจวบคีรีขันธ์!J345"")"),0)</f>
        <v>0</v>
      </c>
      <c r="P64" s="351">
        <v>0</v>
      </c>
      <c r="Q64" s="57">
        <f ca="1">IFERROR(__xludf.DUMMYFUNCTION("IMPORTRANGE(""https://docs.google.com/spreadsheets/d/1SX6NBoVAgQJ6U1MVXOaj8PK2l7WJ3RER9xtqwdhxkhw/edit?usp=sharing"",""ประจวบคีรีขันธ์!J346"")"),0)</f>
        <v>0</v>
      </c>
      <c r="R64" s="363">
        <v>0</v>
      </c>
      <c r="S64" s="57">
        <v>0</v>
      </c>
      <c r="T64" s="348">
        <f t="shared" si="7"/>
        <v>0</v>
      </c>
      <c r="U64" s="81"/>
      <c r="V64" s="81"/>
      <c r="W64" s="81"/>
      <c r="X64" s="81"/>
      <c r="Y64" s="81"/>
      <c r="Z64" s="81"/>
    </row>
    <row r="65" spans="1:26" ht="24" customHeight="1" x14ac:dyDescent="0.5">
      <c r="A65" s="273">
        <v>11</v>
      </c>
      <c r="B65" s="274" t="s">
        <v>80</v>
      </c>
      <c r="C65" s="346">
        <f t="shared" si="49"/>
        <v>71000</v>
      </c>
      <c r="D65" s="276">
        <v>0</v>
      </c>
      <c r="E65" s="276">
        <v>71000</v>
      </c>
      <c r="F65" s="276">
        <f ca="1">IFERROR(__xludf.DUMMYFUNCTION("IMPORTRANGE(""https://docs.google.com/spreadsheets/d/1SX6NBoVAgQJ6U1MVXOaj8PK2l7WJ3RER9xtqwdhxkhw/edit?usp=sharing"",""ปราจีนบุรี!M332"")"),0)</f>
        <v>0</v>
      </c>
      <c r="G65" s="276">
        <f t="shared" ca="1" si="1"/>
        <v>0</v>
      </c>
      <c r="H65" s="347">
        <f t="shared" si="50"/>
        <v>10</v>
      </c>
      <c r="I65" s="57">
        <f t="shared" ca="1" si="51"/>
        <v>0</v>
      </c>
      <c r="J65" s="348">
        <f t="shared" ca="1" si="3"/>
        <v>0</v>
      </c>
      <c r="K65" s="349">
        <f t="shared" si="52"/>
        <v>10</v>
      </c>
      <c r="L65" s="57">
        <f t="shared" ca="1" si="53"/>
        <v>0</v>
      </c>
      <c r="M65" s="348">
        <f t="shared" ca="1" si="5"/>
        <v>0</v>
      </c>
      <c r="N65" s="351">
        <v>10</v>
      </c>
      <c r="O65" s="57">
        <f ca="1">IFERROR(__xludf.DUMMYFUNCTION("IMPORTRANGE(""https://docs.google.com/spreadsheets/d/1SX6NBoVAgQJ6U1MVXOaj8PK2l7WJ3RER9xtqwdhxkhw/edit?usp=sharing"",""ปราจีนบุรี!J345"")"),0)</f>
        <v>0</v>
      </c>
      <c r="P65" s="351">
        <v>0</v>
      </c>
      <c r="Q65" s="57">
        <f ca="1">IFERROR(__xludf.DUMMYFUNCTION("IMPORTRANGE(""https://docs.google.com/spreadsheets/d/1SX6NBoVAgQJ6U1MVXOaj8PK2l7WJ3RER9xtqwdhxkhw/edit?usp=sharing"",""ปราจีนบุรี!J346"")"),0)</f>
        <v>0</v>
      </c>
      <c r="R65" s="363">
        <v>0</v>
      </c>
      <c r="S65" s="57">
        <v>0</v>
      </c>
      <c r="T65" s="348">
        <f t="shared" si="7"/>
        <v>0</v>
      </c>
      <c r="U65" s="81"/>
      <c r="V65" s="81"/>
      <c r="W65" s="81"/>
      <c r="X65" s="81"/>
      <c r="Y65" s="81"/>
      <c r="Z65" s="81"/>
    </row>
    <row r="66" spans="1:26" ht="24" customHeight="1" x14ac:dyDescent="0.5">
      <c r="A66" s="273">
        <v>12</v>
      </c>
      <c r="B66" s="274" t="s">
        <v>81</v>
      </c>
      <c r="C66" s="346">
        <f t="shared" si="49"/>
        <v>95000</v>
      </c>
      <c r="D66" s="276">
        <v>0</v>
      </c>
      <c r="E66" s="276">
        <v>95000</v>
      </c>
      <c r="F66" s="276">
        <f ca="1">IFERROR(__xludf.DUMMYFUNCTION("IMPORTRANGE(""https://docs.google.com/spreadsheets/d/1SX6NBoVAgQJ6U1MVXOaj8PK2l7WJ3RER9xtqwdhxkhw/edit?usp=sharing"",""พระนครศรีอยุธยา!M332"")"),0)</f>
        <v>0</v>
      </c>
      <c r="G66" s="276">
        <f t="shared" ca="1" si="1"/>
        <v>0</v>
      </c>
      <c r="H66" s="347">
        <f t="shared" si="50"/>
        <v>20</v>
      </c>
      <c r="I66" s="57">
        <f t="shared" ca="1" si="51"/>
        <v>0</v>
      </c>
      <c r="J66" s="348">
        <f t="shared" ca="1" si="3"/>
        <v>0</v>
      </c>
      <c r="K66" s="349">
        <f t="shared" si="52"/>
        <v>20</v>
      </c>
      <c r="L66" s="57">
        <f t="shared" ca="1" si="53"/>
        <v>0</v>
      </c>
      <c r="M66" s="348">
        <f t="shared" ca="1" si="5"/>
        <v>0</v>
      </c>
      <c r="N66" s="351">
        <v>20</v>
      </c>
      <c r="O66" s="57">
        <f ca="1">IFERROR(__xludf.DUMMYFUNCTION("IMPORTRANGE(""https://docs.google.com/spreadsheets/d/1SX6NBoVAgQJ6U1MVXOaj8PK2l7WJ3RER9xtqwdhxkhw/edit?usp=sharing"",""พระนครศรีอยุธยา!J345"")"),0)</f>
        <v>0</v>
      </c>
      <c r="P66" s="351">
        <v>0</v>
      </c>
      <c r="Q66" s="57">
        <f ca="1">IFERROR(__xludf.DUMMYFUNCTION("IMPORTRANGE(""https://docs.google.com/spreadsheets/d/1SX6NBoVAgQJ6U1MVXOaj8PK2l7WJ3RER9xtqwdhxkhw/edit?usp=sharing"",""พระนครศรีอยุธยา!J346"")"),0)</f>
        <v>0</v>
      </c>
      <c r="R66" s="363">
        <v>0</v>
      </c>
      <c r="S66" s="57">
        <v>0</v>
      </c>
      <c r="T66" s="348">
        <f t="shared" si="7"/>
        <v>0</v>
      </c>
      <c r="U66" s="81"/>
      <c r="V66" s="81"/>
      <c r="W66" s="81"/>
      <c r="X66" s="81"/>
      <c r="Y66" s="81"/>
      <c r="Z66" s="81"/>
    </row>
    <row r="67" spans="1:26" ht="24" customHeight="1" x14ac:dyDescent="0.5">
      <c r="A67" s="273">
        <v>13</v>
      </c>
      <c r="B67" s="274" t="s">
        <v>82</v>
      </c>
      <c r="C67" s="346">
        <f t="shared" si="49"/>
        <v>161400</v>
      </c>
      <c r="D67" s="276">
        <v>0</v>
      </c>
      <c r="E67" s="276">
        <v>161400</v>
      </c>
      <c r="F67" s="276">
        <f ca="1">IFERROR(__xludf.DUMMYFUNCTION("IMPORTRANGE(""https://docs.google.com/spreadsheets/d/1SX6NBoVAgQJ6U1MVXOaj8PK2l7WJ3RER9xtqwdhxkhw/edit?usp=sharing"",""เพชรบุรี!M332"")"),0)</f>
        <v>0</v>
      </c>
      <c r="G67" s="276">
        <f t="shared" ca="1" si="1"/>
        <v>0</v>
      </c>
      <c r="H67" s="347">
        <f t="shared" si="50"/>
        <v>50</v>
      </c>
      <c r="I67" s="57">
        <f t="shared" ca="1" si="51"/>
        <v>0</v>
      </c>
      <c r="J67" s="348">
        <f t="shared" ca="1" si="3"/>
        <v>0</v>
      </c>
      <c r="K67" s="349">
        <f t="shared" si="52"/>
        <v>50</v>
      </c>
      <c r="L67" s="57">
        <f t="shared" ca="1" si="53"/>
        <v>0</v>
      </c>
      <c r="M67" s="348">
        <f t="shared" ca="1" si="5"/>
        <v>0</v>
      </c>
      <c r="N67" s="351">
        <v>50</v>
      </c>
      <c r="O67" s="57">
        <f ca="1">IFERROR(__xludf.DUMMYFUNCTION("IMPORTRANGE(""https://docs.google.com/spreadsheets/d/1SX6NBoVAgQJ6U1MVXOaj8PK2l7WJ3RER9xtqwdhxkhw/edit?usp=sharing"",""เพชรบุรี!J345"")"),0)</f>
        <v>0</v>
      </c>
      <c r="P67" s="351">
        <v>0</v>
      </c>
      <c r="Q67" s="57">
        <f ca="1">IFERROR(__xludf.DUMMYFUNCTION("IMPORTRANGE(""https://docs.google.com/spreadsheets/d/1SX6NBoVAgQJ6U1MVXOaj8PK2l7WJ3RER9xtqwdhxkhw/edit?usp=sharing"",""เพชรบุรี!J346"")"),0)</f>
        <v>0</v>
      </c>
      <c r="R67" s="363">
        <v>0</v>
      </c>
      <c r="S67" s="57">
        <v>0</v>
      </c>
      <c r="T67" s="348">
        <f t="shared" si="7"/>
        <v>0</v>
      </c>
      <c r="U67" s="81"/>
      <c r="V67" s="81"/>
      <c r="W67" s="81"/>
      <c r="X67" s="81"/>
      <c r="Y67" s="81"/>
      <c r="Z67" s="81"/>
    </row>
    <row r="68" spans="1:26" ht="24" customHeight="1" x14ac:dyDescent="0.5">
      <c r="A68" s="273">
        <v>14</v>
      </c>
      <c r="B68" s="274" t="s">
        <v>83</v>
      </c>
      <c r="C68" s="346">
        <f t="shared" si="49"/>
        <v>95000</v>
      </c>
      <c r="D68" s="276">
        <v>0</v>
      </c>
      <c r="E68" s="276">
        <v>95000</v>
      </c>
      <c r="F68" s="276">
        <f ca="1">IFERROR(__xludf.DUMMYFUNCTION("IMPORTRANGE(""https://docs.google.com/spreadsheets/d/1SX6NBoVAgQJ6U1MVXOaj8PK2l7WJ3RER9xtqwdhxkhw/edit?usp=sharing"",""ระยอง!M332"")"),0)</f>
        <v>0</v>
      </c>
      <c r="G68" s="276">
        <f t="shared" ca="1" si="1"/>
        <v>0</v>
      </c>
      <c r="H68" s="347">
        <f t="shared" si="50"/>
        <v>20</v>
      </c>
      <c r="I68" s="57">
        <f t="shared" ca="1" si="51"/>
        <v>0</v>
      </c>
      <c r="J68" s="348">
        <f t="shared" ca="1" si="3"/>
        <v>0</v>
      </c>
      <c r="K68" s="349">
        <f t="shared" si="52"/>
        <v>20</v>
      </c>
      <c r="L68" s="57">
        <f t="shared" ca="1" si="53"/>
        <v>0</v>
      </c>
      <c r="M68" s="348">
        <f t="shared" ca="1" si="5"/>
        <v>0</v>
      </c>
      <c r="N68" s="351">
        <v>20</v>
      </c>
      <c r="O68" s="57">
        <f ca="1">IFERROR(__xludf.DUMMYFUNCTION("IMPORTRANGE(""https://docs.google.com/spreadsheets/d/1SX6NBoVAgQJ6U1MVXOaj8PK2l7WJ3RER9xtqwdhxkhw/edit?usp=sharing"",""ระยอง!J345"")"),0)</f>
        <v>0</v>
      </c>
      <c r="P68" s="351">
        <v>0</v>
      </c>
      <c r="Q68" s="57">
        <f ca="1">IFERROR(__xludf.DUMMYFUNCTION("IMPORTRANGE(""https://docs.google.com/spreadsheets/d/1SX6NBoVAgQJ6U1MVXOaj8PK2l7WJ3RER9xtqwdhxkhw/edit?usp=sharing"",""ระยอง!J346"")"),0)</f>
        <v>0</v>
      </c>
      <c r="R68" s="363">
        <v>0</v>
      </c>
      <c r="S68" s="57">
        <v>0</v>
      </c>
      <c r="T68" s="348">
        <f t="shared" si="7"/>
        <v>0</v>
      </c>
      <c r="U68" s="81"/>
      <c r="V68" s="81"/>
      <c r="W68" s="81"/>
      <c r="X68" s="81"/>
      <c r="Y68" s="81"/>
      <c r="Z68" s="81"/>
    </row>
    <row r="69" spans="1:26" ht="24" customHeight="1" x14ac:dyDescent="0.5">
      <c r="A69" s="273">
        <v>15</v>
      </c>
      <c r="B69" s="274" t="s">
        <v>84</v>
      </c>
      <c r="C69" s="346">
        <f t="shared" si="49"/>
        <v>95000</v>
      </c>
      <c r="D69" s="276">
        <v>0</v>
      </c>
      <c r="E69" s="276">
        <v>95000</v>
      </c>
      <c r="F69" s="276">
        <f ca="1">IFERROR(__xludf.DUMMYFUNCTION("IMPORTRANGE(""https://docs.google.com/spreadsheets/d/1SX6NBoVAgQJ6U1MVXOaj8PK2l7WJ3RER9xtqwdhxkhw/edit?usp=sharing"",""ราชบุรี!M332"")"),0)</f>
        <v>0</v>
      </c>
      <c r="G69" s="276">
        <f t="shared" ca="1" si="1"/>
        <v>0</v>
      </c>
      <c r="H69" s="347">
        <f t="shared" si="50"/>
        <v>20</v>
      </c>
      <c r="I69" s="57">
        <f t="shared" ca="1" si="51"/>
        <v>0</v>
      </c>
      <c r="J69" s="348">
        <f t="shared" ca="1" si="3"/>
        <v>0</v>
      </c>
      <c r="K69" s="349">
        <f t="shared" si="52"/>
        <v>20</v>
      </c>
      <c r="L69" s="57">
        <f t="shared" ca="1" si="53"/>
        <v>0</v>
      </c>
      <c r="M69" s="348">
        <f t="shared" ca="1" si="5"/>
        <v>0</v>
      </c>
      <c r="N69" s="351">
        <v>20</v>
      </c>
      <c r="O69" s="57">
        <f ca="1">IFERROR(__xludf.DUMMYFUNCTION("IMPORTRANGE(""https://docs.google.com/spreadsheets/d/1SX6NBoVAgQJ6U1MVXOaj8PK2l7WJ3RER9xtqwdhxkhw/edit?usp=sharing"",""ราชบุรี!J345"")"),0)</f>
        <v>0</v>
      </c>
      <c r="P69" s="351">
        <v>0</v>
      </c>
      <c r="Q69" s="57">
        <f ca="1">IFERROR(__xludf.DUMMYFUNCTION("IMPORTRANGE(""https://docs.google.com/spreadsheets/d/1SX6NBoVAgQJ6U1MVXOaj8PK2l7WJ3RER9xtqwdhxkhw/edit?usp=sharing"",""ราชบุรี!J346"")"),0)</f>
        <v>0</v>
      </c>
      <c r="R69" s="363">
        <v>0</v>
      </c>
      <c r="S69" s="57">
        <v>0</v>
      </c>
      <c r="T69" s="348">
        <f t="shared" si="7"/>
        <v>0</v>
      </c>
      <c r="U69" s="81"/>
      <c r="V69" s="81"/>
      <c r="W69" s="81"/>
      <c r="X69" s="81"/>
      <c r="Y69" s="81"/>
      <c r="Z69" s="81"/>
    </row>
    <row r="70" spans="1:26" ht="24" customHeight="1" x14ac:dyDescent="0.5">
      <c r="A70" s="273">
        <v>16</v>
      </c>
      <c r="B70" s="274" t="s">
        <v>85</v>
      </c>
      <c r="C70" s="346">
        <f t="shared" si="49"/>
        <v>95000</v>
      </c>
      <c r="D70" s="276">
        <v>0</v>
      </c>
      <c r="E70" s="276">
        <v>95000</v>
      </c>
      <c r="F70" s="276">
        <f ca="1">IFERROR(__xludf.DUMMYFUNCTION("IMPORTRANGE(""https://docs.google.com/spreadsheets/d/1SX6NBoVAgQJ6U1MVXOaj8PK2l7WJ3RER9xtqwdhxkhw/edit?usp=sharing"",""ลพบุรี!M332"")"),0)</f>
        <v>0</v>
      </c>
      <c r="G70" s="276">
        <f t="shared" ca="1" si="1"/>
        <v>0</v>
      </c>
      <c r="H70" s="347">
        <f t="shared" si="50"/>
        <v>20</v>
      </c>
      <c r="I70" s="57">
        <f t="shared" ca="1" si="51"/>
        <v>0</v>
      </c>
      <c r="J70" s="348">
        <f t="shared" ca="1" si="3"/>
        <v>0</v>
      </c>
      <c r="K70" s="349">
        <f t="shared" si="52"/>
        <v>20</v>
      </c>
      <c r="L70" s="57">
        <f t="shared" ca="1" si="53"/>
        <v>0</v>
      </c>
      <c r="M70" s="348">
        <f t="shared" ca="1" si="5"/>
        <v>0</v>
      </c>
      <c r="N70" s="351">
        <v>20</v>
      </c>
      <c r="O70" s="57">
        <f ca="1">IFERROR(__xludf.DUMMYFUNCTION("IMPORTRANGE(""https://docs.google.com/spreadsheets/d/1SX6NBoVAgQJ6U1MVXOaj8PK2l7WJ3RER9xtqwdhxkhw/edit?usp=sharing"",""ลพบุรี!J345"")"),0)</f>
        <v>0</v>
      </c>
      <c r="P70" s="351">
        <v>0</v>
      </c>
      <c r="Q70" s="57">
        <f ca="1">IFERROR(__xludf.DUMMYFUNCTION("IMPORTRANGE(""https://docs.google.com/spreadsheets/d/1SX6NBoVAgQJ6U1MVXOaj8PK2l7WJ3RER9xtqwdhxkhw/edit?usp=sharing"",""ลพบุรี!J346"")"),0)</f>
        <v>0</v>
      </c>
      <c r="R70" s="363">
        <v>0</v>
      </c>
      <c r="S70" s="57">
        <v>0</v>
      </c>
      <c r="T70" s="348">
        <f t="shared" si="7"/>
        <v>0</v>
      </c>
      <c r="U70" s="81"/>
      <c r="V70" s="81"/>
      <c r="W70" s="81"/>
      <c r="X70" s="81"/>
      <c r="Y70" s="81"/>
      <c r="Z70" s="81"/>
    </row>
    <row r="71" spans="1:26" ht="24" customHeight="1" x14ac:dyDescent="0.5">
      <c r="A71" s="273">
        <v>17</v>
      </c>
      <c r="B71" s="274" t="s">
        <v>86</v>
      </c>
      <c r="C71" s="346">
        <f t="shared" si="49"/>
        <v>83000</v>
      </c>
      <c r="D71" s="276">
        <v>0</v>
      </c>
      <c r="E71" s="276">
        <v>83000</v>
      </c>
      <c r="F71" s="276">
        <f ca="1">IFERROR(__xludf.DUMMYFUNCTION("IMPORTRANGE(""https://docs.google.com/spreadsheets/d/1SX6NBoVAgQJ6U1MVXOaj8PK2l7WJ3RER9xtqwdhxkhw/edit?usp=sharing"",""สระแก้ว!M332"")"),0)</f>
        <v>0</v>
      </c>
      <c r="G71" s="276">
        <f t="shared" ca="1" si="1"/>
        <v>0</v>
      </c>
      <c r="H71" s="347">
        <f t="shared" si="50"/>
        <v>15</v>
      </c>
      <c r="I71" s="57">
        <f t="shared" ca="1" si="51"/>
        <v>0</v>
      </c>
      <c r="J71" s="348">
        <f t="shared" ca="1" si="3"/>
        <v>0</v>
      </c>
      <c r="K71" s="349">
        <f t="shared" si="52"/>
        <v>15</v>
      </c>
      <c r="L71" s="57">
        <f t="shared" ca="1" si="53"/>
        <v>0</v>
      </c>
      <c r="M71" s="348">
        <f t="shared" ca="1" si="5"/>
        <v>0</v>
      </c>
      <c r="N71" s="351">
        <v>15</v>
      </c>
      <c r="O71" s="57">
        <f ca="1">IFERROR(__xludf.DUMMYFUNCTION("IMPORTRANGE(""https://docs.google.com/spreadsheets/d/1SX6NBoVAgQJ6U1MVXOaj8PK2l7WJ3RER9xtqwdhxkhw/edit?usp=sharing"",""สระแก้ว!J345"")"),0)</f>
        <v>0</v>
      </c>
      <c r="P71" s="351">
        <v>0</v>
      </c>
      <c r="Q71" s="57">
        <f ca="1">IFERROR(__xludf.DUMMYFUNCTION("IMPORTRANGE(""https://docs.google.com/spreadsheets/d/1SX6NBoVAgQJ6U1MVXOaj8PK2l7WJ3RER9xtqwdhxkhw/edit?usp=sharing"",""สระแก้ว!J346"")"),0)</f>
        <v>0</v>
      </c>
      <c r="R71" s="363">
        <v>0</v>
      </c>
      <c r="S71" s="57">
        <v>0</v>
      </c>
      <c r="T71" s="348">
        <f t="shared" si="7"/>
        <v>0</v>
      </c>
      <c r="U71" s="81"/>
      <c r="V71" s="81"/>
      <c r="W71" s="81"/>
      <c r="X71" s="81"/>
      <c r="Y71" s="81"/>
      <c r="Z71" s="81"/>
    </row>
    <row r="72" spans="1:26" ht="24" customHeight="1" x14ac:dyDescent="0.5">
      <c r="A72" s="273">
        <v>18</v>
      </c>
      <c r="B72" s="274" t="s">
        <v>87</v>
      </c>
      <c r="C72" s="346">
        <f t="shared" si="49"/>
        <v>83000</v>
      </c>
      <c r="D72" s="276">
        <v>0</v>
      </c>
      <c r="E72" s="276">
        <v>83000</v>
      </c>
      <c r="F72" s="276">
        <f ca="1">IFERROR(__xludf.DUMMYFUNCTION("IMPORTRANGE(""https://docs.google.com/spreadsheets/d/1SX6NBoVAgQJ6U1MVXOaj8PK2l7WJ3RER9xtqwdhxkhw/edit?usp=sharing"",""สระบุรี!M332"")"),0)</f>
        <v>0</v>
      </c>
      <c r="G72" s="276">
        <f t="shared" ca="1" si="1"/>
        <v>0</v>
      </c>
      <c r="H72" s="347">
        <f t="shared" si="50"/>
        <v>15</v>
      </c>
      <c r="I72" s="57">
        <f t="shared" ca="1" si="51"/>
        <v>0</v>
      </c>
      <c r="J72" s="348">
        <f t="shared" ca="1" si="3"/>
        <v>0</v>
      </c>
      <c r="K72" s="349">
        <f t="shared" si="52"/>
        <v>15</v>
      </c>
      <c r="L72" s="57">
        <f t="shared" ca="1" si="53"/>
        <v>0</v>
      </c>
      <c r="M72" s="348">
        <f t="shared" ca="1" si="5"/>
        <v>0</v>
      </c>
      <c r="N72" s="351">
        <v>15</v>
      </c>
      <c r="O72" s="57">
        <f ca="1">IFERROR(__xludf.DUMMYFUNCTION("IMPORTRANGE(""https://docs.google.com/spreadsheets/d/1SX6NBoVAgQJ6U1MVXOaj8PK2l7WJ3RER9xtqwdhxkhw/edit?usp=sharing"",""สระบุรี!J345"")"),0)</f>
        <v>0</v>
      </c>
      <c r="P72" s="351">
        <v>0</v>
      </c>
      <c r="Q72" s="57">
        <f ca="1">IFERROR(__xludf.DUMMYFUNCTION("IMPORTRANGE(""https://docs.google.com/spreadsheets/d/1SX6NBoVAgQJ6U1MVXOaj8PK2l7WJ3RER9xtqwdhxkhw/edit?usp=sharing"",""สระบุรี!J346"")"),0)</f>
        <v>0</v>
      </c>
      <c r="R72" s="363">
        <v>0</v>
      </c>
      <c r="S72" s="57">
        <v>0</v>
      </c>
      <c r="T72" s="348">
        <f t="shared" si="7"/>
        <v>0</v>
      </c>
      <c r="U72" s="81"/>
      <c r="V72" s="81"/>
      <c r="W72" s="81"/>
      <c r="X72" s="81"/>
      <c r="Y72" s="81"/>
      <c r="Z72" s="81"/>
    </row>
    <row r="73" spans="1:26" ht="24" customHeight="1" x14ac:dyDescent="0.5">
      <c r="A73" s="273">
        <v>19</v>
      </c>
      <c r="B73" s="274" t="s">
        <v>88</v>
      </c>
      <c r="C73" s="346">
        <f t="shared" si="49"/>
        <v>71000</v>
      </c>
      <c r="D73" s="276">
        <v>0</v>
      </c>
      <c r="E73" s="276">
        <v>71000</v>
      </c>
      <c r="F73" s="276">
        <f ca="1">IFERROR(__xludf.DUMMYFUNCTION("IMPORTRANGE(""https://docs.google.com/spreadsheets/d/1SX6NBoVAgQJ6U1MVXOaj8PK2l7WJ3RER9xtqwdhxkhw/edit?usp=sharing"",""สิงห์บุรี!M332"")"),0)</f>
        <v>0</v>
      </c>
      <c r="G73" s="276">
        <f t="shared" ca="1" si="1"/>
        <v>0</v>
      </c>
      <c r="H73" s="347">
        <f t="shared" si="50"/>
        <v>10</v>
      </c>
      <c r="I73" s="57">
        <f t="shared" ca="1" si="51"/>
        <v>0</v>
      </c>
      <c r="J73" s="348">
        <f t="shared" ca="1" si="3"/>
        <v>0</v>
      </c>
      <c r="K73" s="349">
        <f t="shared" si="52"/>
        <v>10</v>
      </c>
      <c r="L73" s="57">
        <f t="shared" ca="1" si="53"/>
        <v>0</v>
      </c>
      <c r="M73" s="348">
        <f t="shared" ca="1" si="5"/>
        <v>0</v>
      </c>
      <c r="N73" s="351">
        <v>10</v>
      </c>
      <c r="O73" s="57">
        <f ca="1">IFERROR(__xludf.DUMMYFUNCTION("IMPORTRANGE(""https://docs.google.com/spreadsheets/d/1SX6NBoVAgQJ6U1MVXOaj8PK2l7WJ3RER9xtqwdhxkhw/edit?usp=sharing"",""สิงห์บุรี!J345"")"),0)</f>
        <v>0</v>
      </c>
      <c r="P73" s="351">
        <v>0</v>
      </c>
      <c r="Q73" s="57">
        <f ca="1">IFERROR(__xludf.DUMMYFUNCTION("IMPORTRANGE(""https://docs.google.com/spreadsheets/d/1SX6NBoVAgQJ6U1MVXOaj8PK2l7WJ3RER9xtqwdhxkhw/edit?usp=sharing"",""สิงห์บุรี!J346"")"),0)</f>
        <v>0</v>
      </c>
      <c r="R73" s="363">
        <v>0</v>
      </c>
      <c r="S73" s="57">
        <v>0</v>
      </c>
      <c r="T73" s="348">
        <f t="shared" si="7"/>
        <v>0</v>
      </c>
      <c r="U73" s="81"/>
      <c r="V73" s="81"/>
      <c r="W73" s="81"/>
      <c r="X73" s="81"/>
      <c r="Y73" s="81"/>
      <c r="Z73" s="81"/>
    </row>
    <row r="74" spans="1:26" ht="24" customHeight="1" x14ac:dyDescent="0.5">
      <c r="A74" s="273">
        <v>20</v>
      </c>
      <c r="B74" s="274" t="s">
        <v>89</v>
      </c>
      <c r="C74" s="346">
        <f t="shared" si="49"/>
        <v>143500</v>
      </c>
      <c r="D74" s="276">
        <v>0</v>
      </c>
      <c r="E74" s="276">
        <v>143500</v>
      </c>
      <c r="F74" s="276">
        <f ca="1">IFERROR(__xludf.DUMMYFUNCTION("IMPORTRANGE(""https://docs.google.com/spreadsheets/d/1SX6NBoVAgQJ6U1MVXOaj8PK2l7WJ3RER9xtqwdhxkhw/edit?usp=sharing"",""สุพรรณบุรี!M332"")"),0)</f>
        <v>0</v>
      </c>
      <c r="G74" s="276">
        <f t="shared" ca="1" si="1"/>
        <v>0</v>
      </c>
      <c r="H74" s="347">
        <f t="shared" si="50"/>
        <v>45</v>
      </c>
      <c r="I74" s="57">
        <f t="shared" ca="1" si="51"/>
        <v>0</v>
      </c>
      <c r="J74" s="348">
        <f t="shared" ca="1" si="3"/>
        <v>0</v>
      </c>
      <c r="K74" s="349">
        <f t="shared" si="52"/>
        <v>45</v>
      </c>
      <c r="L74" s="57">
        <f t="shared" ca="1" si="53"/>
        <v>0</v>
      </c>
      <c r="M74" s="348">
        <f t="shared" ca="1" si="5"/>
        <v>0</v>
      </c>
      <c r="N74" s="351">
        <v>15</v>
      </c>
      <c r="O74" s="57">
        <f ca="1">IFERROR(__xludf.DUMMYFUNCTION("IMPORTRANGE(""https://docs.google.com/spreadsheets/d/1SX6NBoVAgQJ6U1MVXOaj8PK2l7WJ3RER9xtqwdhxkhw/edit?usp=sharing"",""สุพรรณบุรี!J345"")"),0)</f>
        <v>0</v>
      </c>
      <c r="P74" s="351">
        <v>30</v>
      </c>
      <c r="Q74" s="57">
        <f ca="1">IFERROR(__xludf.DUMMYFUNCTION("IMPORTRANGE(""https://docs.google.com/spreadsheets/d/1SX6NBoVAgQJ6U1MVXOaj8PK2l7WJ3RER9xtqwdhxkhw/edit?usp=sharing"",""สุพรรณบุรี!J346"")"),0)</f>
        <v>0</v>
      </c>
      <c r="R74" s="363">
        <v>0</v>
      </c>
      <c r="S74" s="57">
        <v>0</v>
      </c>
      <c r="T74" s="348">
        <f t="shared" si="7"/>
        <v>0</v>
      </c>
      <c r="U74" s="81"/>
      <c r="V74" s="81"/>
      <c r="W74" s="81"/>
      <c r="X74" s="81"/>
      <c r="Y74" s="81"/>
      <c r="Z74" s="81"/>
    </row>
    <row r="75" spans="1:26" ht="24" customHeight="1" x14ac:dyDescent="0.5">
      <c r="A75" s="278">
        <v>21</v>
      </c>
      <c r="B75" s="279" t="s">
        <v>90</v>
      </c>
      <c r="C75" s="353">
        <f t="shared" si="49"/>
        <v>71000</v>
      </c>
      <c r="D75" s="281">
        <v>0</v>
      </c>
      <c r="E75" s="281">
        <v>71000</v>
      </c>
      <c r="F75" s="281">
        <f ca="1">IFERROR(__xludf.DUMMYFUNCTION("IMPORTRANGE(""https://docs.google.com/spreadsheets/d/1SX6NBoVAgQJ6U1MVXOaj8PK2l7WJ3RER9xtqwdhxkhw/edit?usp=sharing"",""อ่างทอง!M332"")"),0)</f>
        <v>0</v>
      </c>
      <c r="G75" s="281">
        <f t="shared" ca="1" si="1"/>
        <v>0</v>
      </c>
      <c r="H75" s="354">
        <f t="shared" si="50"/>
        <v>10</v>
      </c>
      <c r="I75" s="64">
        <f t="shared" ca="1" si="51"/>
        <v>0</v>
      </c>
      <c r="J75" s="355">
        <f t="shared" ca="1" si="3"/>
        <v>0</v>
      </c>
      <c r="K75" s="356">
        <f t="shared" si="52"/>
        <v>10</v>
      </c>
      <c r="L75" s="64">
        <f t="shared" ca="1" si="53"/>
        <v>0</v>
      </c>
      <c r="M75" s="355">
        <f t="shared" ca="1" si="5"/>
        <v>0</v>
      </c>
      <c r="N75" s="365">
        <v>10</v>
      </c>
      <c r="O75" s="64">
        <f ca="1">IFERROR(__xludf.DUMMYFUNCTION("IMPORTRANGE(""https://docs.google.com/spreadsheets/d/1SX6NBoVAgQJ6U1MVXOaj8PK2l7WJ3RER9xtqwdhxkhw/edit?usp=sharing"",""อ่างทอง!J345"")"),0)</f>
        <v>0</v>
      </c>
      <c r="P75" s="365">
        <v>0</v>
      </c>
      <c r="Q75" s="64">
        <f ca="1">IFERROR(__xludf.DUMMYFUNCTION("IMPORTRANGE(""https://docs.google.com/spreadsheets/d/1SX6NBoVAgQJ6U1MVXOaj8PK2l7WJ3RER9xtqwdhxkhw/edit?usp=sharing"",""อ่างทอง!J346"")"),0)</f>
        <v>0</v>
      </c>
      <c r="R75" s="366">
        <v>0</v>
      </c>
      <c r="S75" s="64">
        <v>0</v>
      </c>
      <c r="T75" s="355">
        <f t="shared" si="7"/>
        <v>0</v>
      </c>
      <c r="U75" s="81"/>
      <c r="V75" s="81"/>
      <c r="W75" s="81"/>
      <c r="X75" s="81"/>
      <c r="Y75" s="81"/>
      <c r="Z75" s="81"/>
    </row>
    <row r="76" spans="1:26" ht="24" customHeight="1" x14ac:dyDescent="0.5">
      <c r="A76" s="777" t="s">
        <v>91</v>
      </c>
      <c r="B76" s="571"/>
      <c r="C76" s="340">
        <f t="shared" ref="C76:F76" si="54">SUM(C77:C90)</f>
        <v>1204500</v>
      </c>
      <c r="D76" s="101">
        <f t="shared" si="54"/>
        <v>0</v>
      </c>
      <c r="E76" s="101">
        <f t="shared" si="54"/>
        <v>1204500</v>
      </c>
      <c r="F76" s="101">
        <f t="shared" ca="1" si="54"/>
        <v>36000</v>
      </c>
      <c r="G76" s="101">
        <f t="shared" ca="1" si="1"/>
        <v>2.9887920298879203</v>
      </c>
      <c r="H76" s="335">
        <f t="shared" ref="H76:I76" si="55">SUM(H77:H90)</f>
        <v>235</v>
      </c>
      <c r="I76" s="66">
        <f t="shared" ca="1" si="55"/>
        <v>10</v>
      </c>
      <c r="J76" s="101">
        <f t="shared" ca="1" si="3"/>
        <v>4.2553191489361701</v>
      </c>
      <c r="K76" s="335">
        <f t="shared" ref="K76:L76" si="56">SUM(K77:K90)</f>
        <v>235</v>
      </c>
      <c r="L76" s="66">
        <f t="shared" ca="1" si="56"/>
        <v>10</v>
      </c>
      <c r="M76" s="101">
        <f t="shared" ca="1" si="5"/>
        <v>4.2553191489361701</v>
      </c>
      <c r="N76" s="335">
        <f t="shared" ref="N76:S76" si="57">SUM(N77:N90)</f>
        <v>195</v>
      </c>
      <c r="O76" s="66">
        <f t="shared" ca="1" si="57"/>
        <v>10</v>
      </c>
      <c r="P76" s="335">
        <f t="shared" si="57"/>
        <v>40</v>
      </c>
      <c r="Q76" s="66">
        <f t="shared" ca="1" si="57"/>
        <v>0</v>
      </c>
      <c r="R76" s="335">
        <f t="shared" si="57"/>
        <v>0</v>
      </c>
      <c r="S76" s="66">
        <f t="shared" si="57"/>
        <v>0</v>
      </c>
      <c r="T76" s="101">
        <f t="shared" si="7"/>
        <v>0</v>
      </c>
      <c r="U76" s="81"/>
      <c r="V76" s="81"/>
      <c r="W76" s="81"/>
      <c r="X76" s="81"/>
      <c r="Y76" s="81"/>
      <c r="Z76" s="81"/>
    </row>
    <row r="77" spans="1:26" ht="24" customHeight="1" x14ac:dyDescent="0.5">
      <c r="A77" s="268">
        <v>1</v>
      </c>
      <c r="B77" s="269" t="s">
        <v>92</v>
      </c>
      <c r="C77" s="341">
        <f t="shared" ref="C77:C90" si="58">+D77+E77</f>
        <v>71000</v>
      </c>
      <c r="D77" s="271">
        <v>0</v>
      </c>
      <c r="E77" s="271">
        <v>71000</v>
      </c>
      <c r="F77" s="271">
        <f ca="1">IFERROR(__xludf.DUMMYFUNCTION("IMPORTRANGE(""https://docs.google.com/spreadsheets/d/1IYY_tgx_IHuhSq3AJ5eI5OnqOPBNLWSHKh2a30DoXe8/edit?usp=sharing"",""กระบี่!M332"")"),0)</f>
        <v>0</v>
      </c>
      <c r="G77" s="271">
        <f t="shared" ca="1" si="1"/>
        <v>0</v>
      </c>
      <c r="H77" s="342">
        <f t="shared" ref="H77:H90" si="59">+N77+P77+R77</f>
        <v>10</v>
      </c>
      <c r="I77" s="49">
        <f t="shared" ref="I77:I90" ca="1" si="60">SUM(L77,S77)</f>
        <v>0</v>
      </c>
      <c r="J77" s="343">
        <f t="shared" ca="1" si="3"/>
        <v>0</v>
      </c>
      <c r="K77" s="344">
        <f t="shared" ref="K77:K90" si="61">+N77+P77</f>
        <v>10</v>
      </c>
      <c r="L77" s="49">
        <f t="shared" ref="L77:L90" ca="1" si="62">O77+Q77</f>
        <v>0</v>
      </c>
      <c r="M77" s="343">
        <f t="shared" ca="1" si="5"/>
        <v>0</v>
      </c>
      <c r="N77" s="358">
        <v>10</v>
      </c>
      <c r="O77" s="49">
        <f ca="1">IFERROR(__xludf.DUMMYFUNCTION("IMPORTRANGE(""https://docs.google.com/spreadsheets/d/1IYY_tgx_IHuhSq3AJ5eI5OnqOPBNLWSHKh2a30DoXe8/edit?usp=sharing"",""กระบี่!J345"")"),0)</f>
        <v>0</v>
      </c>
      <c r="P77" s="358">
        <v>0</v>
      </c>
      <c r="Q77" s="49">
        <f ca="1">IFERROR(__xludf.DUMMYFUNCTION("IMPORTRANGE(""https://docs.google.com/spreadsheets/d/1IYY_tgx_IHuhSq3AJ5eI5OnqOPBNLWSHKh2a30DoXe8/edit?usp=sharing"",""กระบี่!J346"")"),0)</f>
        <v>0</v>
      </c>
      <c r="R77" s="342">
        <v>0</v>
      </c>
      <c r="S77" s="49">
        <v>0</v>
      </c>
      <c r="T77" s="343">
        <f t="shared" si="7"/>
        <v>0</v>
      </c>
      <c r="U77" s="81"/>
      <c r="V77" s="81"/>
      <c r="W77" s="81"/>
      <c r="X77" s="81"/>
      <c r="Y77" s="81"/>
      <c r="Z77" s="81"/>
    </row>
    <row r="78" spans="1:26" ht="24" customHeight="1" x14ac:dyDescent="0.5">
      <c r="A78" s="273">
        <v>2</v>
      </c>
      <c r="B78" s="274" t="s">
        <v>93</v>
      </c>
      <c r="C78" s="346">
        <f t="shared" si="58"/>
        <v>174600</v>
      </c>
      <c r="D78" s="276">
        <v>0</v>
      </c>
      <c r="E78" s="276">
        <v>174600</v>
      </c>
      <c r="F78" s="276">
        <f ca="1">IFERROR(__xludf.DUMMYFUNCTION("IMPORTRANGE(""https://docs.google.com/spreadsheets/d/1IYY_tgx_IHuhSq3AJ5eI5OnqOPBNLWSHKh2a30DoXe8/edit?usp=sharing"",""ชุมพร!M332"")"),0)</f>
        <v>0</v>
      </c>
      <c r="G78" s="276">
        <f t="shared" ca="1" si="1"/>
        <v>0</v>
      </c>
      <c r="H78" s="347">
        <f t="shared" si="59"/>
        <v>60</v>
      </c>
      <c r="I78" s="57">
        <f t="shared" ca="1" si="60"/>
        <v>0</v>
      </c>
      <c r="J78" s="348">
        <f t="shared" ca="1" si="3"/>
        <v>0</v>
      </c>
      <c r="K78" s="349">
        <f t="shared" si="61"/>
        <v>60</v>
      </c>
      <c r="L78" s="57">
        <f t="shared" ca="1" si="62"/>
        <v>0</v>
      </c>
      <c r="M78" s="348">
        <f t="shared" ca="1" si="5"/>
        <v>0</v>
      </c>
      <c r="N78" s="352">
        <v>20</v>
      </c>
      <c r="O78" s="57">
        <f ca="1">IFERROR(__xludf.DUMMYFUNCTION("IMPORTRANGE(""https://docs.google.com/spreadsheets/d/1IYY_tgx_IHuhSq3AJ5eI5OnqOPBNLWSHKh2a30DoXe8/edit?usp=sharing"",""ชุมพร!J345"")"),0)</f>
        <v>0</v>
      </c>
      <c r="P78" s="352">
        <v>40</v>
      </c>
      <c r="Q78" s="57">
        <f ca="1">IFERROR(__xludf.DUMMYFUNCTION("IMPORTRANGE(""https://docs.google.com/spreadsheets/d/1IYY_tgx_IHuhSq3AJ5eI5OnqOPBNLWSHKh2a30DoXe8/edit?usp=sharing"",""ชุมพร!J346"")"),0)</f>
        <v>0</v>
      </c>
      <c r="R78" s="347">
        <v>0</v>
      </c>
      <c r="S78" s="57">
        <v>0</v>
      </c>
      <c r="T78" s="348">
        <f t="shared" si="7"/>
        <v>0</v>
      </c>
      <c r="U78" s="81"/>
      <c r="V78" s="81"/>
      <c r="W78" s="81"/>
      <c r="X78" s="81"/>
      <c r="Y78" s="81"/>
      <c r="Z78" s="81"/>
    </row>
    <row r="79" spans="1:26" ht="24" customHeight="1" x14ac:dyDescent="0.5">
      <c r="A79" s="273">
        <v>3</v>
      </c>
      <c r="B79" s="274" t="s">
        <v>94</v>
      </c>
      <c r="C79" s="346">
        <f t="shared" si="58"/>
        <v>83000</v>
      </c>
      <c r="D79" s="276">
        <v>0</v>
      </c>
      <c r="E79" s="276">
        <v>83000</v>
      </c>
      <c r="F79" s="276">
        <f ca="1">IFERROR(__xludf.DUMMYFUNCTION("IMPORTRANGE(""https://docs.google.com/spreadsheets/d/1IYY_tgx_IHuhSq3AJ5eI5OnqOPBNLWSHKh2a30DoXe8/edit?usp=sharing"",""ตรัง!M332"")"),0)</f>
        <v>0</v>
      </c>
      <c r="G79" s="276">
        <f t="shared" ca="1" si="1"/>
        <v>0</v>
      </c>
      <c r="H79" s="347">
        <f t="shared" si="59"/>
        <v>15</v>
      </c>
      <c r="I79" s="57">
        <f t="shared" ca="1" si="60"/>
        <v>0</v>
      </c>
      <c r="J79" s="348">
        <f t="shared" ca="1" si="3"/>
        <v>0</v>
      </c>
      <c r="K79" s="349">
        <f t="shared" si="61"/>
        <v>15</v>
      </c>
      <c r="L79" s="57">
        <f t="shared" ca="1" si="62"/>
        <v>0</v>
      </c>
      <c r="M79" s="348">
        <f t="shared" ca="1" si="5"/>
        <v>0</v>
      </c>
      <c r="N79" s="359">
        <v>15</v>
      </c>
      <c r="O79" s="57">
        <f ca="1">IFERROR(__xludf.DUMMYFUNCTION("IMPORTRANGE(""https://docs.google.com/spreadsheets/d/1IYY_tgx_IHuhSq3AJ5eI5OnqOPBNLWSHKh2a30DoXe8/edit?usp=sharing"",""ตรัง!J345"")"),0)</f>
        <v>0</v>
      </c>
      <c r="P79" s="359">
        <v>0</v>
      </c>
      <c r="Q79" s="57">
        <f ca="1">IFERROR(__xludf.DUMMYFUNCTION("IMPORTRANGE(""https://docs.google.com/spreadsheets/d/1IYY_tgx_IHuhSq3AJ5eI5OnqOPBNLWSHKh2a30DoXe8/edit?usp=sharing"",""ตรัง!J346"")"),0)</f>
        <v>0</v>
      </c>
      <c r="R79" s="347">
        <v>0</v>
      </c>
      <c r="S79" s="57">
        <v>0</v>
      </c>
      <c r="T79" s="348">
        <f t="shared" si="7"/>
        <v>0</v>
      </c>
      <c r="U79" s="81"/>
      <c r="V79" s="81"/>
      <c r="W79" s="81"/>
      <c r="X79" s="81"/>
      <c r="Y79" s="81"/>
      <c r="Z79" s="81"/>
    </row>
    <row r="80" spans="1:26" ht="24" customHeight="1" x14ac:dyDescent="0.5">
      <c r="A80" s="273">
        <v>4</v>
      </c>
      <c r="B80" s="274" t="s">
        <v>95</v>
      </c>
      <c r="C80" s="346">
        <f t="shared" si="58"/>
        <v>83000</v>
      </c>
      <c r="D80" s="276">
        <v>0</v>
      </c>
      <c r="E80" s="276">
        <v>83000</v>
      </c>
      <c r="F80" s="276">
        <f ca="1">IFERROR(__xludf.DUMMYFUNCTION("IMPORTRANGE(""https://docs.google.com/spreadsheets/d/1IYY_tgx_IHuhSq3AJ5eI5OnqOPBNLWSHKh2a30DoXe8/edit?usp=sharing"",""นครศรีธรรมราช!M332"")"),0)</f>
        <v>0</v>
      </c>
      <c r="G80" s="276">
        <f t="shared" ca="1" si="1"/>
        <v>0</v>
      </c>
      <c r="H80" s="347">
        <f t="shared" si="59"/>
        <v>15</v>
      </c>
      <c r="I80" s="57">
        <f t="shared" ca="1" si="60"/>
        <v>0</v>
      </c>
      <c r="J80" s="348">
        <f t="shared" ca="1" si="3"/>
        <v>0</v>
      </c>
      <c r="K80" s="349">
        <f t="shared" si="61"/>
        <v>15</v>
      </c>
      <c r="L80" s="57">
        <f t="shared" ca="1" si="62"/>
        <v>0</v>
      </c>
      <c r="M80" s="348">
        <f t="shared" ca="1" si="5"/>
        <v>0</v>
      </c>
      <c r="N80" s="359">
        <v>15</v>
      </c>
      <c r="O80" s="57">
        <f ca="1">IFERROR(__xludf.DUMMYFUNCTION("IMPORTRANGE(""https://docs.google.com/spreadsheets/d/1IYY_tgx_IHuhSq3AJ5eI5OnqOPBNLWSHKh2a30DoXe8/edit?usp=sharing"",""นครศรีธรรมราช!J345"")"),0)</f>
        <v>0</v>
      </c>
      <c r="P80" s="359">
        <v>0</v>
      </c>
      <c r="Q80" s="57">
        <f ca="1">IFERROR(__xludf.DUMMYFUNCTION("IMPORTRANGE(""https://docs.google.com/spreadsheets/d/1IYY_tgx_IHuhSq3AJ5eI5OnqOPBNLWSHKh2a30DoXe8/edit?usp=sharing"",""นครศรีธรรมราช!J346"")"),0)</f>
        <v>0</v>
      </c>
      <c r="R80" s="347">
        <v>0</v>
      </c>
      <c r="S80" s="57">
        <v>0</v>
      </c>
      <c r="T80" s="348">
        <f t="shared" si="7"/>
        <v>0</v>
      </c>
      <c r="U80" s="81"/>
      <c r="V80" s="81"/>
      <c r="W80" s="81"/>
      <c r="X80" s="81"/>
      <c r="Y80" s="81"/>
      <c r="Z80" s="81"/>
    </row>
    <row r="81" spans="1:26" ht="24" customHeight="1" x14ac:dyDescent="0.5">
      <c r="A81" s="273">
        <v>5</v>
      </c>
      <c r="B81" s="274" t="s">
        <v>96</v>
      </c>
      <c r="C81" s="346">
        <f t="shared" si="58"/>
        <v>71000</v>
      </c>
      <c r="D81" s="276">
        <v>0</v>
      </c>
      <c r="E81" s="276">
        <v>71000</v>
      </c>
      <c r="F81" s="276">
        <f ca="1">IFERROR(__xludf.DUMMYFUNCTION("IMPORTRANGE(""https://docs.google.com/spreadsheets/d/1IYY_tgx_IHuhSq3AJ5eI5OnqOPBNLWSHKh2a30DoXe8/edit?usp=sharing"",""นราธิวาส!M332"")"),5200)</f>
        <v>5200</v>
      </c>
      <c r="G81" s="276">
        <f t="shared" ca="1" si="1"/>
        <v>7.323943661971831</v>
      </c>
      <c r="H81" s="347">
        <f t="shared" si="59"/>
        <v>10</v>
      </c>
      <c r="I81" s="57">
        <f t="shared" ca="1" si="60"/>
        <v>0</v>
      </c>
      <c r="J81" s="348">
        <f t="shared" ca="1" si="3"/>
        <v>0</v>
      </c>
      <c r="K81" s="349">
        <f t="shared" si="61"/>
        <v>10</v>
      </c>
      <c r="L81" s="57">
        <f t="shared" ca="1" si="62"/>
        <v>0</v>
      </c>
      <c r="M81" s="348">
        <f t="shared" ca="1" si="5"/>
        <v>0</v>
      </c>
      <c r="N81" s="359">
        <v>10</v>
      </c>
      <c r="O81" s="57">
        <f ca="1">IFERROR(__xludf.DUMMYFUNCTION("IMPORTRANGE(""https://docs.google.com/spreadsheets/d/1IYY_tgx_IHuhSq3AJ5eI5OnqOPBNLWSHKh2a30DoXe8/edit?usp=sharing"",""นราธิวาส!J345"")"),0)</f>
        <v>0</v>
      </c>
      <c r="P81" s="359">
        <v>0</v>
      </c>
      <c r="Q81" s="57">
        <f ca="1">IFERROR(__xludf.DUMMYFUNCTION("IMPORTRANGE(""https://docs.google.com/spreadsheets/d/1IYY_tgx_IHuhSq3AJ5eI5OnqOPBNLWSHKh2a30DoXe8/edit?usp=sharing"",""นราธิวาส!J346"")"),0)</f>
        <v>0</v>
      </c>
      <c r="R81" s="347">
        <v>0</v>
      </c>
      <c r="S81" s="57">
        <v>0</v>
      </c>
      <c r="T81" s="348">
        <f t="shared" si="7"/>
        <v>0</v>
      </c>
      <c r="U81" s="81"/>
      <c r="V81" s="81"/>
      <c r="W81" s="81"/>
      <c r="X81" s="81"/>
      <c r="Y81" s="81"/>
      <c r="Z81" s="81"/>
    </row>
    <row r="82" spans="1:26" ht="24" customHeight="1" x14ac:dyDescent="0.5">
      <c r="A82" s="273">
        <v>6</v>
      </c>
      <c r="B82" s="274" t="s">
        <v>97</v>
      </c>
      <c r="C82" s="346">
        <f t="shared" si="58"/>
        <v>71000</v>
      </c>
      <c r="D82" s="276">
        <v>0</v>
      </c>
      <c r="E82" s="276">
        <v>71000</v>
      </c>
      <c r="F82" s="276">
        <f ca="1">IFERROR(__xludf.DUMMYFUNCTION("IMPORTRANGE(""https://docs.google.com/spreadsheets/d/1IYY_tgx_IHuhSq3AJ5eI5OnqOPBNLWSHKh2a30DoXe8/edit?usp=sharing"",""ปัตตานี!M332"")"),0)</f>
        <v>0</v>
      </c>
      <c r="G82" s="276">
        <f t="shared" ca="1" si="1"/>
        <v>0</v>
      </c>
      <c r="H82" s="347">
        <f t="shared" si="59"/>
        <v>10</v>
      </c>
      <c r="I82" s="57">
        <f t="shared" ca="1" si="60"/>
        <v>0</v>
      </c>
      <c r="J82" s="348">
        <f t="shared" ca="1" si="3"/>
        <v>0</v>
      </c>
      <c r="K82" s="349">
        <f t="shared" si="61"/>
        <v>10</v>
      </c>
      <c r="L82" s="57">
        <f t="shared" ca="1" si="62"/>
        <v>0</v>
      </c>
      <c r="M82" s="348">
        <f t="shared" ca="1" si="5"/>
        <v>0</v>
      </c>
      <c r="N82" s="359">
        <v>10</v>
      </c>
      <c r="O82" s="57">
        <f ca="1">IFERROR(__xludf.DUMMYFUNCTION("IMPORTRANGE(""https://docs.google.com/spreadsheets/d/1IYY_tgx_IHuhSq3AJ5eI5OnqOPBNLWSHKh2a30DoXe8/edit?usp=sharing"",""ปัตตานี!J345"")"),0)</f>
        <v>0</v>
      </c>
      <c r="P82" s="359">
        <v>0</v>
      </c>
      <c r="Q82" s="57">
        <f ca="1">IFERROR(__xludf.DUMMYFUNCTION("IMPORTRANGE(""https://docs.google.com/spreadsheets/d/1IYY_tgx_IHuhSq3AJ5eI5OnqOPBNLWSHKh2a30DoXe8/edit?usp=sharing"",""ปัตตานี!J346"")"),0)</f>
        <v>0</v>
      </c>
      <c r="R82" s="347">
        <v>0</v>
      </c>
      <c r="S82" s="57">
        <v>0</v>
      </c>
      <c r="T82" s="348">
        <f t="shared" si="7"/>
        <v>0</v>
      </c>
      <c r="U82" s="81"/>
      <c r="V82" s="81"/>
      <c r="W82" s="81"/>
      <c r="X82" s="81"/>
      <c r="Y82" s="81"/>
      <c r="Z82" s="81"/>
    </row>
    <row r="83" spans="1:26" ht="24" customHeight="1" x14ac:dyDescent="0.5">
      <c r="A83" s="273">
        <v>7</v>
      </c>
      <c r="B83" s="274" t="s">
        <v>98</v>
      </c>
      <c r="C83" s="346">
        <f t="shared" si="58"/>
        <v>83000</v>
      </c>
      <c r="D83" s="276">
        <v>0</v>
      </c>
      <c r="E83" s="276">
        <v>83000</v>
      </c>
      <c r="F83" s="276">
        <f ca="1">IFERROR(__xludf.DUMMYFUNCTION("IMPORTRANGE(""https://docs.google.com/spreadsheets/d/1IYY_tgx_IHuhSq3AJ5eI5OnqOPBNLWSHKh2a30DoXe8/edit?usp=sharing"",""พังงา!M332"")"),0)</f>
        <v>0</v>
      </c>
      <c r="G83" s="276">
        <f t="shared" ca="1" si="1"/>
        <v>0</v>
      </c>
      <c r="H83" s="347">
        <f t="shared" si="59"/>
        <v>15</v>
      </c>
      <c r="I83" s="57">
        <f t="shared" ca="1" si="60"/>
        <v>0</v>
      </c>
      <c r="J83" s="348">
        <f t="shared" ca="1" si="3"/>
        <v>0</v>
      </c>
      <c r="K83" s="349">
        <f t="shared" si="61"/>
        <v>15</v>
      </c>
      <c r="L83" s="57">
        <f t="shared" ca="1" si="62"/>
        <v>0</v>
      </c>
      <c r="M83" s="348">
        <f t="shared" ca="1" si="5"/>
        <v>0</v>
      </c>
      <c r="N83" s="359">
        <v>15</v>
      </c>
      <c r="O83" s="57">
        <f ca="1">IFERROR(__xludf.DUMMYFUNCTION("IMPORTRANGE(""https://docs.google.com/spreadsheets/d/1IYY_tgx_IHuhSq3AJ5eI5OnqOPBNLWSHKh2a30DoXe8/edit?usp=sharing"",""พังงา!J345"")"),0)</f>
        <v>0</v>
      </c>
      <c r="P83" s="359">
        <v>0</v>
      </c>
      <c r="Q83" s="57">
        <f ca="1">IFERROR(__xludf.DUMMYFUNCTION("IMPORTRANGE(""https://docs.google.com/spreadsheets/d/1IYY_tgx_IHuhSq3AJ5eI5OnqOPBNLWSHKh2a30DoXe8/edit?usp=sharing"",""พังงา!J346"")"),0)</f>
        <v>0</v>
      </c>
      <c r="R83" s="347">
        <v>0</v>
      </c>
      <c r="S83" s="57">
        <v>0</v>
      </c>
      <c r="T83" s="348">
        <f t="shared" si="7"/>
        <v>0</v>
      </c>
      <c r="U83" s="81"/>
      <c r="V83" s="81"/>
      <c r="W83" s="81"/>
      <c r="X83" s="81"/>
      <c r="Y83" s="81"/>
      <c r="Z83" s="81"/>
    </row>
    <row r="84" spans="1:26" ht="24" customHeight="1" x14ac:dyDescent="0.5">
      <c r="A84" s="273">
        <v>8</v>
      </c>
      <c r="B84" s="274" t="s">
        <v>99</v>
      </c>
      <c r="C84" s="346">
        <f t="shared" si="58"/>
        <v>105900</v>
      </c>
      <c r="D84" s="276">
        <v>0</v>
      </c>
      <c r="E84" s="276">
        <v>105900</v>
      </c>
      <c r="F84" s="276">
        <f ca="1">IFERROR(__xludf.DUMMYFUNCTION("IMPORTRANGE(""https://docs.google.com/spreadsheets/d/1IYY_tgx_IHuhSq3AJ5eI5OnqOPBNLWSHKh2a30DoXe8/edit?usp=sharing"",""พัทลุง!M332"")"),0)</f>
        <v>0</v>
      </c>
      <c r="G84" s="276">
        <f t="shared" ca="1" si="1"/>
        <v>0</v>
      </c>
      <c r="H84" s="347">
        <f t="shared" si="59"/>
        <v>25</v>
      </c>
      <c r="I84" s="57">
        <f t="shared" ca="1" si="60"/>
        <v>0</v>
      </c>
      <c r="J84" s="348">
        <f t="shared" ca="1" si="3"/>
        <v>0</v>
      </c>
      <c r="K84" s="349">
        <f t="shared" si="61"/>
        <v>25</v>
      </c>
      <c r="L84" s="57">
        <f t="shared" ca="1" si="62"/>
        <v>0</v>
      </c>
      <c r="M84" s="348">
        <f t="shared" ca="1" si="5"/>
        <v>0</v>
      </c>
      <c r="N84" s="359">
        <v>25</v>
      </c>
      <c r="O84" s="57">
        <f ca="1">IFERROR(__xludf.DUMMYFUNCTION("IMPORTRANGE(""https://docs.google.com/spreadsheets/d/1IYY_tgx_IHuhSq3AJ5eI5OnqOPBNLWSHKh2a30DoXe8/edit?usp=sharing"",""พัทลุง!J345"")"),0)</f>
        <v>0</v>
      </c>
      <c r="P84" s="359">
        <v>0</v>
      </c>
      <c r="Q84" s="57">
        <f ca="1">IFERROR(__xludf.DUMMYFUNCTION("IMPORTRANGE(""https://docs.google.com/spreadsheets/d/1IYY_tgx_IHuhSq3AJ5eI5OnqOPBNLWSHKh2a30DoXe8/edit?usp=sharing"",""พัทลุง!J346"")"),0)</f>
        <v>0</v>
      </c>
      <c r="R84" s="347">
        <v>0</v>
      </c>
      <c r="S84" s="57">
        <v>0</v>
      </c>
      <c r="T84" s="348">
        <f t="shared" si="7"/>
        <v>0</v>
      </c>
      <c r="U84" s="81"/>
      <c r="V84" s="81"/>
      <c r="W84" s="81"/>
      <c r="X84" s="81"/>
      <c r="Y84" s="81"/>
      <c r="Z84" s="81"/>
    </row>
    <row r="85" spans="1:26" ht="24" customHeight="1" x14ac:dyDescent="0.5">
      <c r="A85" s="273">
        <v>9</v>
      </c>
      <c r="B85" s="274" t="s">
        <v>100</v>
      </c>
      <c r="C85" s="346">
        <f t="shared" si="58"/>
        <v>71000</v>
      </c>
      <c r="D85" s="276">
        <v>0</v>
      </c>
      <c r="E85" s="276">
        <v>71000</v>
      </c>
      <c r="F85" s="276">
        <f ca="1">IFERROR(__xludf.DUMMYFUNCTION("IMPORTRANGE(""https://docs.google.com/spreadsheets/d/1IYY_tgx_IHuhSq3AJ5eI5OnqOPBNLWSHKh2a30DoXe8/edit?usp=sharing"",""ภูเก็ต!M332"")"),0)</f>
        <v>0</v>
      </c>
      <c r="G85" s="276">
        <f t="shared" ca="1" si="1"/>
        <v>0</v>
      </c>
      <c r="H85" s="347">
        <f t="shared" si="59"/>
        <v>10</v>
      </c>
      <c r="I85" s="57">
        <f t="shared" ca="1" si="60"/>
        <v>0</v>
      </c>
      <c r="J85" s="348">
        <f t="shared" ca="1" si="3"/>
        <v>0</v>
      </c>
      <c r="K85" s="349">
        <f t="shared" si="61"/>
        <v>10</v>
      </c>
      <c r="L85" s="57">
        <f t="shared" ca="1" si="62"/>
        <v>0</v>
      </c>
      <c r="M85" s="348">
        <f t="shared" ca="1" si="5"/>
        <v>0</v>
      </c>
      <c r="N85" s="352">
        <v>10</v>
      </c>
      <c r="O85" s="57">
        <f ca="1">IFERROR(__xludf.DUMMYFUNCTION("IMPORTRANGE(""https://docs.google.com/spreadsheets/d/1IYY_tgx_IHuhSq3AJ5eI5OnqOPBNLWSHKh2a30DoXe8/edit?usp=sharing"",""ภูเก็ต!J345"")"),0)</f>
        <v>0</v>
      </c>
      <c r="P85" s="352">
        <v>0</v>
      </c>
      <c r="Q85" s="57">
        <f ca="1">IFERROR(__xludf.DUMMYFUNCTION("IMPORTRANGE(""https://docs.google.com/spreadsheets/d/1IYY_tgx_IHuhSq3AJ5eI5OnqOPBNLWSHKh2a30DoXe8/edit?usp=sharing"",""ภูเก็ต!J346"")"),0)</f>
        <v>0</v>
      </c>
      <c r="R85" s="347">
        <v>0</v>
      </c>
      <c r="S85" s="57">
        <v>0</v>
      </c>
      <c r="T85" s="348">
        <f t="shared" si="7"/>
        <v>0</v>
      </c>
      <c r="U85" s="81"/>
      <c r="V85" s="81"/>
      <c r="W85" s="81"/>
      <c r="X85" s="81"/>
      <c r="Y85" s="81"/>
      <c r="Z85" s="81"/>
    </row>
    <row r="86" spans="1:26" ht="24" customHeight="1" x14ac:dyDescent="0.5">
      <c r="A86" s="273">
        <v>10</v>
      </c>
      <c r="B86" s="274" t="s">
        <v>101</v>
      </c>
      <c r="C86" s="346">
        <f t="shared" si="58"/>
        <v>71000</v>
      </c>
      <c r="D86" s="276">
        <v>0</v>
      </c>
      <c r="E86" s="276">
        <v>71000</v>
      </c>
      <c r="F86" s="276">
        <f ca="1">IFERROR(__xludf.DUMMYFUNCTION("IMPORTRANGE(""https://docs.google.com/spreadsheets/d/1IYY_tgx_IHuhSq3AJ5eI5OnqOPBNLWSHKh2a30DoXe8/edit?usp=sharing"",""ยะลา!M332"")"),0)</f>
        <v>0</v>
      </c>
      <c r="G86" s="276">
        <f t="shared" ca="1" si="1"/>
        <v>0</v>
      </c>
      <c r="H86" s="347">
        <f t="shared" si="59"/>
        <v>10</v>
      </c>
      <c r="I86" s="57">
        <f t="shared" ca="1" si="60"/>
        <v>0</v>
      </c>
      <c r="J86" s="348">
        <f t="shared" ca="1" si="3"/>
        <v>0</v>
      </c>
      <c r="K86" s="349">
        <f t="shared" si="61"/>
        <v>10</v>
      </c>
      <c r="L86" s="57">
        <f t="shared" ca="1" si="62"/>
        <v>0</v>
      </c>
      <c r="M86" s="348">
        <f t="shared" ca="1" si="5"/>
        <v>0</v>
      </c>
      <c r="N86" s="352">
        <v>10</v>
      </c>
      <c r="O86" s="57">
        <f ca="1">IFERROR(__xludf.DUMMYFUNCTION("IMPORTRANGE(""https://docs.google.com/spreadsheets/d/1IYY_tgx_IHuhSq3AJ5eI5OnqOPBNLWSHKh2a30DoXe8/edit?usp=sharing"",""ยะลา!J345"")"),0)</f>
        <v>0</v>
      </c>
      <c r="P86" s="352">
        <v>0</v>
      </c>
      <c r="Q86" s="57">
        <f ca="1">IFERROR(__xludf.DUMMYFUNCTION("IMPORTRANGE(""https://docs.google.com/spreadsheets/d/1IYY_tgx_IHuhSq3AJ5eI5OnqOPBNLWSHKh2a30DoXe8/edit?usp=sharing"",""ยะลา!J346"")"),0)</f>
        <v>0</v>
      </c>
      <c r="R86" s="347">
        <v>0</v>
      </c>
      <c r="S86" s="57">
        <v>0</v>
      </c>
      <c r="T86" s="348">
        <f t="shared" si="7"/>
        <v>0</v>
      </c>
      <c r="U86" s="81"/>
      <c r="V86" s="81"/>
      <c r="W86" s="81"/>
      <c r="X86" s="81"/>
      <c r="Y86" s="81"/>
      <c r="Z86" s="81"/>
    </row>
    <row r="87" spans="1:26" ht="24" customHeight="1" x14ac:dyDescent="0.5">
      <c r="A87" s="273">
        <v>11</v>
      </c>
      <c r="B87" s="274" t="s">
        <v>102</v>
      </c>
      <c r="C87" s="346">
        <f t="shared" si="58"/>
        <v>71000</v>
      </c>
      <c r="D87" s="276">
        <v>0</v>
      </c>
      <c r="E87" s="276">
        <v>71000</v>
      </c>
      <c r="F87" s="276">
        <f ca="1">IFERROR(__xludf.DUMMYFUNCTION("IMPORTRANGE(""https://docs.google.com/spreadsheets/d/1IYY_tgx_IHuhSq3AJ5eI5OnqOPBNLWSHKh2a30DoXe8/edit?usp=sharing"",""ระนอง!M332"")"),30800)</f>
        <v>30800</v>
      </c>
      <c r="G87" s="276">
        <f t="shared" ca="1" si="1"/>
        <v>43.380281690140848</v>
      </c>
      <c r="H87" s="347">
        <f t="shared" si="59"/>
        <v>10</v>
      </c>
      <c r="I87" s="57">
        <f t="shared" ca="1" si="60"/>
        <v>10</v>
      </c>
      <c r="J87" s="348">
        <f t="shared" ca="1" si="3"/>
        <v>100</v>
      </c>
      <c r="K87" s="349">
        <f t="shared" si="61"/>
        <v>10</v>
      </c>
      <c r="L87" s="57">
        <f t="shared" ca="1" si="62"/>
        <v>10</v>
      </c>
      <c r="M87" s="348">
        <f t="shared" ca="1" si="5"/>
        <v>100</v>
      </c>
      <c r="N87" s="359">
        <v>10</v>
      </c>
      <c r="O87" s="57">
        <v>10</v>
      </c>
      <c r="P87" s="359">
        <v>0</v>
      </c>
      <c r="Q87" s="57">
        <f ca="1">IFERROR(__xludf.DUMMYFUNCTION("IMPORTRANGE(""https://docs.google.com/spreadsheets/d/1IYY_tgx_IHuhSq3AJ5eI5OnqOPBNLWSHKh2a30DoXe8/edit?usp=sharing"",""ระนอง!J346"")"),0)</f>
        <v>0</v>
      </c>
      <c r="R87" s="347">
        <v>0</v>
      </c>
      <c r="S87" s="57">
        <v>0</v>
      </c>
      <c r="T87" s="348">
        <f t="shared" si="7"/>
        <v>0</v>
      </c>
      <c r="U87" s="81"/>
      <c r="V87" s="81"/>
      <c r="W87" s="81"/>
      <c r="X87" s="81"/>
      <c r="Y87" s="81"/>
      <c r="Z87" s="81"/>
    </row>
    <row r="88" spans="1:26" ht="24" customHeight="1" x14ac:dyDescent="0.5">
      <c r="A88" s="273">
        <v>12</v>
      </c>
      <c r="B88" s="274" t="s">
        <v>103</v>
      </c>
      <c r="C88" s="346">
        <f t="shared" si="58"/>
        <v>83000</v>
      </c>
      <c r="D88" s="276">
        <v>0</v>
      </c>
      <c r="E88" s="276">
        <v>83000</v>
      </c>
      <c r="F88" s="276">
        <f ca="1">IFERROR(__xludf.DUMMYFUNCTION("IMPORTRANGE(""https://docs.google.com/spreadsheets/d/1IYY_tgx_IHuhSq3AJ5eI5OnqOPBNLWSHKh2a30DoXe8/edit?usp=sharing"",""สงขลา!M332"")"),0)</f>
        <v>0</v>
      </c>
      <c r="G88" s="276">
        <f t="shared" ca="1" si="1"/>
        <v>0</v>
      </c>
      <c r="H88" s="347">
        <f t="shared" si="59"/>
        <v>15</v>
      </c>
      <c r="I88" s="57">
        <f t="shared" ca="1" si="60"/>
        <v>0</v>
      </c>
      <c r="J88" s="348">
        <f t="shared" ca="1" si="3"/>
        <v>0</v>
      </c>
      <c r="K88" s="349">
        <f t="shared" si="61"/>
        <v>15</v>
      </c>
      <c r="L88" s="57">
        <f t="shared" ca="1" si="62"/>
        <v>0</v>
      </c>
      <c r="M88" s="348">
        <f t="shared" ca="1" si="5"/>
        <v>0</v>
      </c>
      <c r="N88" s="359">
        <v>15</v>
      </c>
      <c r="O88" s="57">
        <f ca="1">IFERROR(__xludf.DUMMYFUNCTION("IMPORTRANGE(""https://docs.google.com/spreadsheets/d/1IYY_tgx_IHuhSq3AJ5eI5OnqOPBNLWSHKh2a30DoXe8/edit?usp=sharing"",""สงขลา!J345"")"),0)</f>
        <v>0</v>
      </c>
      <c r="P88" s="359">
        <v>0</v>
      </c>
      <c r="Q88" s="57">
        <f ca="1">IFERROR(__xludf.DUMMYFUNCTION("IMPORTRANGE(""https://docs.google.com/spreadsheets/d/1IYY_tgx_IHuhSq3AJ5eI5OnqOPBNLWSHKh2a30DoXe8/edit?usp=sharing"",""สงขลา!J346"")"),0)</f>
        <v>0</v>
      </c>
      <c r="R88" s="347">
        <v>0</v>
      </c>
      <c r="S88" s="57">
        <v>0</v>
      </c>
      <c r="T88" s="348">
        <f t="shared" si="7"/>
        <v>0</v>
      </c>
      <c r="U88" s="81"/>
      <c r="V88" s="81"/>
      <c r="W88" s="81"/>
      <c r="X88" s="81"/>
      <c r="Y88" s="81"/>
      <c r="Z88" s="81"/>
    </row>
    <row r="89" spans="1:26" ht="24" customHeight="1" x14ac:dyDescent="0.5">
      <c r="A89" s="273">
        <v>13</v>
      </c>
      <c r="B89" s="274" t="s">
        <v>104</v>
      </c>
      <c r="C89" s="346">
        <f t="shared" si="58"/>
        <v>71000</v>
      </c>
      <c r="D89" s="276">
        <v>0</v>
      </c>
      <c r="E89" s="276">
        <v>71000</v>
      </c>
      <c r="F89" s="276">
        <f ca="1">IFERROR(__xludf.DUMMYFUNCTION("IMPORTRANGE(""https://docs.google.com/spreadsheets/d/1IYY_tgx_IHuhSq3AJ5eI5OnqOPBNLWSHKh2a30DoXe8/edit?usp=sharing"",""สตูล!M332"")"),0)</f>
        <v>0</v>
      </c>
      <c r="G89" s="276">
        <f t="shared" ca="1" si="1"/>
        <v>0</v>
      </c>
      <c r="H89" s="347">
        <f t="shared" si="59"/>
        <v>10</v>
      </c>
      <c r="I89" s="57">
        <f t="shared" ca="1" si="60"/>
        <v>0</v>
      </c>
      <c r="J89" s="348">
        <f t="shared" ca="1" si="3"/>
        <v>0</v>
      </c>
      <c r="K89" s="349">
        <f t="shared" si="61"/>
        <v>10</v>
      </c>
      <c r="L89" s="57">
        <f t="shared" ca="1" si="62"/>
        <v>0</v>
      </c>
      <c r="M89" s="348">
        <f t="shared" ca="1" si="5"/>
        <v>0</v>
      </c>
      <c r="N89" s="359">
        <v>10</v>
      </c>
      <c r="O89" s="57">
        <f ca="1">IFERROR(__xludf.DUMMYFUNCTION("IMPORTRANGE(""https://docs.google.com/spreadsheets/d/1IYY_tgx_IHuhSq3AJ5eI5OnqOPBNLWSHKh2a30DoXe8/edit?usp=sharing"",""สตูล!J345"")"),0)</f>
        <v>0</v>
      </c>
      <c r="P89" s="359">
        <v>0</v>
      </c>
      <c r="Q89" s="57">
        <f ca="1">IFERROR(__xludf.DUMMYFUNCTION("IMPORTRANGE(""https://docs.google.com/spreadsheets/d/1IYY_tgx_IHuhSq3AJ5eI5OnqOPBNLWSHKh2a30DoXe8/edit?usp=sharing"",""สตูล!J346"")"),0)</f>
        <v>0</v>
      </c>
      <c r="R89" s="347">
        <v>0</v>
      </c>
      <c r="S89" s="57">
        <v>0</v>
      </c>
      <c r="T89" s="348">
        <f t="shared" si="7"/>
        <v>0</v>
      </c>
      <c r="U89" s="81"/>
      <c r="V89" s="81"/>
      <c r="W89" s="81"/>
      <c r="X89" s="81"/>
      <c r="Y89" s="81"/>
      <c r="Z89" s="81"/>
    </row>
    <row r="90" spans="1:26" ht="24" customHeight="1" x14ac:dyDescent="0.5">
      <c r="A90" s="278">
        <v>14</v>
      </c>
      <c r="B90" s="279" t="s">
        <v>105</v>
      </c>
      <c r="C90" s="353">
        <f t="shared" si="58"/>
        <v>95000</v>
      </c>
      <c r="D90" s="281">
        <v>0</v>
      </c>
      <c r="E90" s="281">
        <v>95000</v>
      </c>
      <c r="F90" s="281">
        <f ca="1">IFERROR(__xludf.DUMMYFUNCTION("IMPORTRANGE(""https://docs.google.com/spreadsheets/d/1IYY_tgx_IHuhSq3AJ5eI5OnqOPBNLWSHKh2a30DoXe8/edit?usp=sharing"",""สุราษฎร์ธานี!M332"")"),0)</f>
        <v>0</v>
      </c>
      <c r="G90" s="281">
        <f t="shared" ca="1" si="1"/>
        <v>0</v>
      </c>
      <c r="H90" s="354">
        <f t="shared" si="59"/>
        <v>20</v>
      </c>
      <c r="I90" s="64">
        <f t="shared" ca="1" si="60"/>
        <v>0</v>
      </c>
      <c r="J90" s="355">
        <f t="shared" ca="1" si="3"/>
        <v>0</v>
      </c>
      <c r="K90" s="356">
        <f t="shared" si="61"/>
        <v>20</v>
      </c>
      <c r="L90" s="64">
        <f t="shared" ca="1" si="62"/>
        <v>0</v>
      </c>
      <c r="M90" s="355">
        <f t="shared" ca="1" si="5"/>
        <v>0</v>
      </c>
      <c r="N90" s="360">
        <v>20</v>
      </c>
      <c r="O90" s="64">
        <f ca="1">IFERROR(__xludf.DUMMYFUNCTION("IMPORTRANGE(""https://docs.google.com/spreadsheets/d/1IYY_tgx_IHuhSq3AJ5eI5OnqOPBNLWSHKh2a30DoXe8/edit?usp=sharing"",""สุราษฎร์ธานี!J345"")"),0)</f>
        <v>0</v>
      </c>
      <c r="P90" s="360">
        <v>0</v>
      </c>
      <c r="Q90" s="64">
        <f ca="1">IFERROR(__xludf.DUMMYFUNCTION("IMPORTRANGE(""https://docs.google.com/spreadsheets/d/1IYY_tgx_IHuhSq3AJ5eI5OnqOPBNLWSHKh2a30DoXe8/edit?usp=sharing"",""สุราษฎร์ธานี!J346"")"),0)</f>
        <v>0</v>
      </c>
      <c r="R90" s="354">
        <v>0</v>
      </c>
      <c r="S90" s="64">
        <v>0</v>
      </c>
      <c r="T90" s="355">
        <f t="shared" si="7"/>
        <v>0</v>
      </c>
      <c r="U90" s="81"/>
      <c r="V90" s="81"/>
      <c r="W90" s="81"/>
      <c r="X90" s="81"/>
      <c r="Y90" s="81"/>
      <c r="Z90" s="81"/>
    </row>
    <row r="91" spans="1:26" ht="24" customHeight="1" x14ac:dyDescent="0.5">
      <c r="A91" s="772" t="s">
        <v>106</v>
      </c>
      <c r="B91" s="571"/>
      <c r="C91" s="37">
        <f t="shared" ref="C91:F91" si="63">+C92+C93+C94+C95+C96+C97+C98+C99+C100+C101+C102+C103+C104+C105</f>
        <v>1517400</v>
      </c>
      <c r="D91" s="35">
        <f t="shared" si="63"/>
        <v>0</v>
      </c>
      <c r="E91" s="35">
        <f t="shared" si="63"/>
        <v>1517400</v>
      </c>
      <c r="F91" s="35">
        <f t="shared" si="63"/>
        <v>0</v>
      </c>
      <c r="G91" s="92">
        <f t="shared" si="1"/>
        <v>0</v>
      </c>
      <c r="H91" s="35">
        <f t="shared" ref="H91:I91" si="64">+H92+H93+H94+H95+H96+H97+H98+H99+H100+H101+H102+H103+H104+H105</f>
        <v>216</v>
      </c>
      <c r="I91" s="35">
        <f t="shared" si="64"/>
        <v>0</v>
      </c>
      <c r="J91" s="92">
        <f t="shared" si="3"/>
        <v>0</v>
      </c>
      <c r="K91" s="35">
        <f t="shared" ref="K91:L91" si="65">+K92+K93+K94+K95+K96+K97+K98+K99+K100+K101+K102+K103+K104+K105</f>
        <v>0</v>
      </c>
      <c r="L91" s="35">
        <f t="shared" si="65"/>
        <v>0</v>
      </c>
      <c r="M91" s="92">
        <f t="shared" si="5"/>
        <v>0</v>
      </c>
      <c r="N91" s="35">
        <f t="shared" ref="N91:S91" si="66">+N92+N93+N94+N95+N96+N97+N98+N99+N100+N101+N102+N103+N104+N105</f>
        <v>0</v>
      </c>
      <c r="O91" s="35">
        <f t="shared" si="66"/>
        <v>0</v>
      </c>
      <c r="P91" s="35">
        <f t="shared" si="66"/>
        <v>0</v>
      </c>
      <c r="Q91" s="35">
        <f t="shared" si="66"/>
        <v>0</v>
      </c>
      <c r="R91" s="35">
        <f t="shared" si="66"/>
        <v>216</v>
      </c>
      <c r="S91" s="35">
        <f t="shared" si="66"/>
        <v>0</v>
      </c>
      <c r="T91" s="92">
        <f t="shared" si="7"/>
        <v>0</v>
      </c>
      <c r="U91" s="81"/>
      <c r="V91" s="81"/>
      <c r="W91" s="81"/>
      <c r="X91" s="81"/>
      <c r="Y91" s="81"/>
      <c r="Z91" s="81"/>
    </row>
    <row r="92" spans="1:26" ht="24" customHeight="1" x14ac:dyDescent="0.5">
      <c r="A92" s="283">
        <v>1</v>
      </c>
      <c r="B92" s="69" t="s">
        <v>107</v>
      </c>
      <c r="C92" s="341">
        <f t="shared" ref="C92:C105" si="67">+D92+E92</f>
        <v>0</v>
      </c>
      <c r="D92" s="98">
        <v>0</v>
      </c>
      <c r="E92" s="98">
        <v>0</v>
      </c>
      <c r="F92" s="98">
        <v>0</v>
      </c>
      <c r="G92" s="98">
        <f t="shared" si="1"/>
        <v>0</v>
      </c>
      <c r="H92" s="367">
        <f t="shared" ref="H92:H105" si="68">+N92+P92+R92</f>
        <v>0</v>
      </c>
      <c r="I92" s="48">
        <f t="shared" ref="I92:I105" si="69">SUM(L92,S92)</f>
        <v>0</v>
      </c>
      <c r="J92" s="368">
        <f t="shared" si="3"/>
        <v>0</v>
      </c>
      <c r="K92" s="369">
        <f t="shared" ref="K92:K105" si="70">+N92+P92</f>
        <v>0</v>
      </c>
      <c r="L92" s="48">
        <f t="shared" ref="L92:L105" si="71">SUM(O92,Q92)</f>
        <v>0</v>
      </c>
      <c r="M92" s="368">
        <f t="shared" si="5"/>
        <v>0</v>
      </c>
      <c r="N92" s="127">
        <v>0</v>
      </c>
      <c r="O92" s="48">
        <v>0</v>
      </c>
      <c r="P92" s="127">
        <v>0</v>
      </c>
      <c r="Q92" s="48">
        <v>0</v>
      </c>
      <c r="R92" s="127">
        <v>0</v>
      </c>
      <c r="S92" s="48">
        <v>0</v>
      </c>
      <c r="T92" s="368">
        <f t="shared" si="7"/>
        <v>0</v>
      </c>
      <c r="U92" s="81"/>
      <c r="V92" s="81"/>
      <c r="W92" s="81"/>
      <c r="X92" s="81"/>
      <c r="Y92" s="81"/>
      <c r="Z92" s="81"/>
    </row>
    <row r="93" spans="1:26" ht="24" customHeight="1" x14ac:dyDescent="0.5">
      <c r="A93" s="284">
        <v>2</v>
      </c>
      <c r="B93" s="71" t="s">
        <v>108</v>
      </c>
      <c r="C93" s="346">
        <f t="shared" si="67"/>
        <v>0</v>
      </c>
      <c r="D93" s="99">
        <v>0</v>
      </c>
      <c r="E93" s="99">
        <v>0</v>
      </c>
      <c r="F93" s="99">
        <v>0</v>
      </c>
      <c r="G93" s="99">
        <f t="shared" si="1"/>
        <v>0</v>
      </c>
      <c r="H93" s="370">
        <f t="shared" si="68"/>
        <v>0</v>
      </c>
      <c r="I93" s="55">
        <f t="shared" si="69"/>
        <v>0</v>
      </c>
      <c r="J93" s="371">
        <f t="shared" si="3"/>
        <v>0</v>
      </c>
      <c r="K93" s="372">
        <f t="shared" si="70"/>
        <v>0</v>
      </c>
      <c r="L93" s="55">
        <f t="shared" si="71"/>
        <v>0</v>
      </c>
      <c r="M93" s="371">
        <f t="shared" si="5"/>
        <v>0</v>
      </c>
      <c r="N93" s="131">
        <v>0</v>
      </c>
      <c r="O93" s="55">
        <v>0</v>
      </c>
      <c r="P93" s="131">
        <v>0</v>
      </c>
      <c r="Q93" s="55">
        <v>0</v>
      </c>
      <c r="R93" s="131">
        <v>0</v>
      </c>
      <c r="S93" s="55">
        <v>0</v>
      </c>
      <c r="T93" s="371">
        <f t="shared" si="7"/>
        <v>0</v>
      </c>
      <c r="U93" s="81"/>
      <c r="V93" s="81"/>
      <c r="W93" s="81"/>
      <c r="X93" s="81"/>
      <c r="Y93" s="81"/>
      <c r="Z93" s="81"/>
    </row>
    <row r="94" spans="1:26" ht="24" customHeight="1" x14ac:dyDescent="0.5">
      <c r="A94" s="284">
        <v>3</v>
      </c>
      <c r="B94" s="71" t="s">
        <v>109</v>
      </c>
      <c r="C94" s="346">
        <f t="shared" si="67"/>
        <v>0</v>
      </c>
      <c r="D94" s="99">
        <v>0</v>
      </c>
      <c r="E94" s="99">
        <v>0</v>
      </c>
      <c r="F94" s="99">
        <v>0</v>
      </c>
      <c r="G94" s="99">
        <f t="shared" si="1"/>
        <v>0</v>
      </c>
      <c r="H94" s="370">
        <f t="shared" si="68"/>
        <v>0</v>
      </c>
      <c r="I94" s="55">
        <f t="shared" si="69"/>
        <v>0</v>
      </c>
      <c r="J94" s="371">
        <f t="shared" si="3"/>
        <v>0</v>
      </c>
      <c r="K94" s="372">
        <f t="shared" si="70"/>
        <v>0</v>
      </c>
      <c r="L94" s="55">
        <f t="shared" si="71"/>
        <v>0</v>
      </c>
      <c r="M94" s="371">
        <f t="shared" si="5"/>
        <v>0</v>
      </c>
      <c r="N94" s="131">
        <v>0</v>
      </c>
      <c r="O94" s="55">
        <v>0</v>
      </c>
      <c r="P94" s="131">
        <v>0</v>
      </c>
      <c r="Q94" s="55">
        <v>0</v>
      </c>
      <c r="R94" s="131">
        <v>0</v>
      </c>
      <c r="S94" s="55">
        <v>0</v>
      </c>
      <c r="T94" s="371">
        <f t="shared" si="7"/>
        <v>0</v>
      </c>
      <c r="U94" s="81"/>
      <c r="V94" s="81"/>
      <c r="W94" s="81"/>
      <c r="X94" s="81"/>
      <c r="Y94" s="81"/>
      <c r="Z94" s="81"/>
    </row>
    <row r="95" spans="1:26" ht="24" customHeight="1" x14ac:dyDescent="0.5">
      <c r="A95" s="284">
        <f t="shared" ref="A95:A105" si="72">+A94+1</f>
        <v>4</v>
      </c>
      <c r="B95" s="71" t="s">
        <v>110</v>
      </c>
      <c r="C95" s="346">
        <f t="shared" si="67"/>
        <v>0</v>
      </c>
      <c r="D95" s="99">
        <v>0</v>
      </c>
      <c r="E95" s="99">
        <v>0</v>
      </c>
      <c r="F95" s="99">
        <v>0</v>
      </c>
      <c r="G95" s="99">
        <f t="shared" si="1"/>
        <v>0</v>
      </c>
      <c r="H95" s="370">
        <f t="shared" si="68"/>
        <v>0</v>
      </c>
      <c r="I95" s="55">
        <f t="shared" si="69"/>
        <v>0</v>
      </c>
      <c r="J95" s="371">
        <f t="shared" si="3"/>
        <v>0</v>
      </c>
      <c r="K95" s="372">
        <f t="shared" si="70"/>
        <v>0</v>
      </c>
      <c r="L95" s="55">
        <f t="shared" si="71"/>
        <v>0</v>
      </c>
      <c r="M95" s="371">
        <f t="shared" si="5"/>
        <v>0</v>
      </c>
      <c r="N95" s="131">
        <v>0</v>
      </c>
      <c r="O95" s="55">
        <v>0</v>
      </c>
      <c r="P95" s="131">
        <v>0</v>
      </c>
      <c r="Q95" s="55">
        <v>0</v>
      </c>
      <c r="R95" s="131">
        <v>0</v>
      </c>
      <c r="S95" s="55">
        <v>0</v>
      </c>
      <c r="T95" s="371">
        <f t="shared" si="7"/>
        <v>0</v>
      </c>
      <c r="U95" s="81"/>
      <c r="V95" s="81"/>
      <c r="W95" s="81"/>
      <c r="X95" s="81"/>
      <c r="Y95" s="81"/>
      <c r="Z95" s="81"/>
    </row>
    <row r="96" spans="1:26" ht="24" customHeight="1" x14ac:dyDescent="0.5">
      <c r="A96" s="284">
        <f t="shared" si="72"/>
        <v>5</v>
      </c>
      <c r="B96" s="71" t="s">
        <v>111</v>
      </c>
      <c r="C96" s="346">
        <f t="shared" si="67"/>
        <v>0</v>
      </c>
      <c r="D96" s="99">
        <v>0</v>
      </c>
      <c r="E96" s="99">
        <v>0</v>
      </c>
      <c r="F96" s="99">
        <v>0</v>
      </c>
      <c r="G96" s="99">
        <f t="shared" si="1"/>
        <v>0</v>
      </c>
      <c r="H96" s="370">
        <f t="shared" si="68"/>
        <v>0</v>
      </c>
      <c r="I96" s="55">
        <f t="shared" si="69"/>
        <v>0</v>
      </c>
      <c r="J96" s="371">
        <f t="shared" si="3"/>
        <v>0</v>
      </c>
      <c r="K96" s="372">
        <f t="shared" si="70"/>
        <v>0</v>
      </c>
      <c r="L96" s="55">
        <f t="shared" si="71"/>
        <v>0</v>
      </c>
      <c r="M96" s="371">
        <f t="shared" si="5"/>
        <v>0</v>
      </c>
      <c r="N96" s="131">
        <v>0</v>
      </c>
      <c r="O96" s="55">
        <v>0</v>
      </c>
      <c r="P96" s="131">
        <v>0</v>
      </c>
      <c r="Q96" s="55">
        <v>0</v>
      </c>
      <c r="R96" s="131">
        <v>0</v>
      </c>
      <c r="S96" s="55">
        <v>0</v>
      </c>
      <c r="T96" s="371">
        <f t="shared" si="7"/>
        <v>0</v>
      </c>
      <c r="U96" s="81"/>
      <c r="V96" s="81"/>
      <c r="W96" s="81"/>
      <c r="X96" s="81"/>
      <c r="Y96" s="81"/>
      <c r="Z96" s="81"/>
    </row>
    <row r="97" spans="1:26" ht="24" customHeight="1" x14ac:dyDescent="0.5">
      <c r="A97" s="284">
        <f t="shared" si="72"/>
        <v>6</v>
      </c>
      <c r="B97" s="71" t="s">
        <v>112</v>
      </c>
      <c r="C97" s="346">
        <f t="shared" si="67"/>
        <v>0</v>
      </c>
      <c r="D97" s="99">
        <v>0</v>
      </c>
      <c r="E97" s="99">
        <v>0</v>
      </c>
      <c r="F97" s="99">
        <v>0</v>
      </c>
      <c r="G97" s="99">
        <f t="shared" si="1"/>
        <v>0</v>
      </c>
      <c r="H97" s="370">
        <f t="shared" si="68"/>
        <v>0</v>
      </c>
      <c r="I97" s="55">
        <f t="shared" si="69"/>
        <v>0</v>
      </c>
      <c r="J97" s="371">
        <f t="shared" si="3"/>
        <v>0</v>
      </c>
      <c r="K97" s="372">
        <f t="shared" si="70"/>
        <v>0</v>
      </c>
      <c r="L97" s="55">
        <f t="shared" si="71"/>
        <v>0</v>
      </c>
      <c r="M97" s="371">
        <f t="shared" si="5"/>
        <v>0</v>
      </c>
      <c r="N97" s="131">
        <v>0</v>
      </c>
      <c r="O97" s="55">
        <v>0</v>
      </c>
      <c r="P97" s="131">
        <v>0</v>
      </c>
      <c r="Q97" s="55">
        <v>0</v>
      </c>
      <c r="R97" s="131">
        <v>0</v>
      </c>
      <c r="S97" s="55">
        <v>0</v>
      </c>
      <c r="T97" s="371">
        <f t="shared" si="7"/>
        <v>0</v>
      </c>
      <c r="U97" s="81"/>
      <c r="V97" s="81"/>
      <c r="W97" s="81"/>
      <c r="X97" s="81"/>
      <c r="Y97" s="81"/>
      <c r="Z97" s="81"/>
    </row>
    <row r="98" spans="1:26" ht="24" customHeight="1" x14ac:dyDescent="0.5">
      <c r="A98" s="284">
        <f t="shared" si="72"/>
        <v>7</v>
      </c>
      <c r="B98" s="71" t="s">
        <v>113</v>
      </c>
      <c r="C98" s="346">
        <f t="shared" si="67"/>
        <v>1517400</v>
      </c>
      <c r="D98" s="99">
        <v>0</v>
      </c>
      <c r="E98" s="99">
        <v>1517400</v>
      </c>
      <c r="F98" s="99">
        <v>0</v>
      </c>
      <c r="G98" s="99">
        <f t="shared" si="1"/>
        <v>0</v>
      </c>
      <c r="H98" s="370">
        <f t="shared" si="68"/>
        <v>216</v>
      </c>
      <c r="I98" s="55">
        <f t="shared" si="69"/>
        <v>0</v>
      </c>
      <c r="J98" s="371">
        <f t="shared" si="3"/>
        <v>0</v>
      </c>
      <c r="K98" s="372">
        <f t="shared" si="70"/>
        <v>0</v>
      </c>
      <c r="L98" s="55">
        <f t="shared" si="71"/>
        <v>0</v>
      </c>
      <c r="M98" s="371">
        <f t="shared" si="5"/>
        <v>0</v>
      </c>
      <c r="N98" s="131">
        <v>0</v>
      </c>
      <c r="O98" s="55">
        <v>0</v>
      </c>
      <c r="P98" s="131">
        <v>0</v>
      </c>
      <c r="Q98" s="55">
        <v>0</v>
      </c>
      <c r="R98" s="131">
        <v>216</v>
      </c>
      <c r="S98" s="55">
        <v>0</v>
      </c>
      <c r="T98" s="371">
        <f t="shared" si="7"/>
        <v>0</v>
      </c>
      <c r="U98" s="81"/>
      <c r="V98" s="81"/>
      <c r="W98" s="81"/>
      <c r="X98" s="81"/>
      <c r="Y98" s="81"/>
      <c r="Z98" s="81"/>
    </row>
    <row r="99" spans="1:26" ht="24" customHeight="1" x14ac:dyDescent="0.5">
      <c r="A99" s="284">
        <f t="shared" si="72"/>
        <v>8</v>
      </c>
      <c r="B99" s="71" t="s">
        <v>114</v>
      </c>
      <c r="C99" s="346">
        <f t="shared" si="67"/>
        <v>0</v>
      </c>
      <c r="D99" s="99">
        <v>0</v>
      </c>
      <c r="E99" s="99">
        <v>0</v>
      </c>
      <c r="F99" s="99">
        <v>0</v>
      </c>
      <c r="G99" s="99">
        <f t="shared" si="1"/>
        <v>0</v>
      </c>
      <c r="H99" s="370">
        <f t="shared" si="68"/>
        <v>0</v>
      </c>
      <c r="I99" s="55">
        <f t="shared" si="69"/>
        <v>0</v>
      </c>
      <c r="J99" s="371">
        <f t="shared" si="3"/>
        <v>0</v>
      </c>
      <c r="K99" s="372">
        <f t="shared" si="70"/>
        <v>0</v>
      </c>
      <c r="L99" s="55">
        <f t="shared" si="71"/>
        <v>0</v>
      </c>
      <c r="M99" s="371">
        <f t="shared" si="5"/>
        <v>0</v>
      </c>
      <c r="N99" s="131">
        <v>0</v>
      </c>
      <c r="O99" s="55">
        <v>0</v>
      </c>
      <c r="P99" s="131">
        <v>0</v>
      </c>
      <c r="Q99" s="55">
        <v>0</v>
      </c>
      <c r="R99" s="131">
        <v>0</v>
      </c>
      <c r="S99" s="55">
        <v>0</v>
      </c>
      <c r="T99" s="371">
        <f t="shared" si="7"/>
        <v>0</v>
      </c>
      <c r="U99" s="81"/>
      <c r="V99" s="81"/>
      <c r="W99" s="81"/>
      <c r="X99" s="81"/>
      <c r="Y99" s="81"/>
      <c r="Z99" s="81"/>
    </row>
    <row r="100" spans="1:26" ht="24" customHeight="1" x14ac:dyDescent="0.5">
      <c r="A100" s="284">
        <f t="shared" si="72"/>
        <v>9</v>
      </c>
      <c r="B100" s="71" t="s">
        <v>115</v>
      </c>
      <c r="C100" s="346">
        <f t="shared" si="67"/>
        <v>0</v>
      </c>
      <c r="D100" s="99">
        <v>0</v>
      </c>
      <c r="E100" s="99">
        <v>0</v>
      </c>
      <c r="F100" s="99">
        <v>0</v>
      </c>
      <c r="G100" s="99">
        <f t="shared" si="1"/>
        <v>0</v>
      </c>
      <c r="H100" s="370">
        <f t="shared" si="68"/>
        <v>0</v>
      </c>
      <c r="I100" s="55">
        <f t="shared" si="69"/>
        <v>0</v>
      </c>
      <c r="J100" s="371">
        <f t="shared" si="3"/>
        <v>0</v>
      </c>
      <c r="K100" s="372">
        <f t="shared" si="70"/>
        <v>0</v>
      </c>
      <c r="L100" s="55">
        <f t="shared" si="71"/>
        <v>0</v>
      </c>
      <c r="M100" s="371">
        <f t="shared" si="5"/>
        <v>0</v>
      </c>
      <c r="N100" s="131">
        <v>0</v>
      </c>
      <c r="O100" s="55">
        <v>0</v>
      </c>
      <c r="P100" s="131">
        <v>0</v>
      </c>
      <c r="Q100" s="55">
        <v>0</v>
      </c>
      <c r="R100" s="131">
        <v>0</v>
      </c>
      <c r="S100" s="55">
        <v>0</v>
      </c>
      <c r="T100" s="371">
        <f t="shared" si="7"/>
        <v>0</v>
      </c>
      <c r="U100" s="81"/>
      <c r="V100" s="81"/>
      <c r="W100" s="81"/>
      <c r="X100" s="81"/>
      <c r="Y100" s="81"/>
      <c r="Z100" s="81"/>
    </row>
    <row r="101" spans="1:26" ht="24" customHeight="1" x14ac:dyDescent="0.5">
      <c r="A101" s="284">
        <f t="shared" si="72"/>
        <v>10</v>
      </c>
      <c r="B101" s="71" t="s">
        <v>116</v>
      </c>
      <c r="C101" s="346">
        <f t="shared" si="67"/>
        <v>0</v>
      </c>
      <c r="D101" s="99">
        <v>0</v>
      </c>
      <c r="E101" s="99">
        <v>0</v>
      </c>
      <c r="F101" s="99">
        <v>0</v>
      </c>
      <c r="G101" s="99">
        <f t="shared" si="1"/>
        <v>0</v>
      </c>
      <c r="H101" s="370">
        <f t="shared" si="68"/>
        <v>0</v>
      </c>
      <c r="I101" s="55">
        <f t="shared" si="69"/>
        <v>0</v>
      </c>
      <c r="J101" s="371">
        <f t="shared" si="3"/>
        <v>0</v>
      </c>
      <c r="K101" s="372">
        <f t="shared" si="70"/>
        <v>0</v>
      </c>
      <c r="L101" s="55">
        <f t="shared" si="71"/>
        <v>0</v>
      </c>
      <c r="M101" s="371">
        <f t="shared" si="5"/>
        <v>0</v>
      </c>
      <c r="N101" s="131">
        <v>0</v>
      </c>
      <c r="O101" s="55">
        <v>0</v>
      </c>
      <c r="P101" s="131">
        <v>0</v>
      </c>
      <c r="Q101" s="55">
        <v>0</v>
      </c>
      <c r="R101" s="131">
        <v>0</v>
      </c>
      <c r="S101" s="55">
        <v>0</v>
      </c>
      <c r="T101" s="371">
        <f t="shared" si="7"/>
        <v>0</v>
      </c>
      <c r="U101" s="81"/>
      <c r="V101" s="81"/>
      <c r="W101" s="81"/>
      <c r="X101" s="81"/>
      <c r="Y101" s="81"/>
      <c r="Z101" s="81"/>
    </row>
    <row r="102" spans="1:26" ht="24" customHeight="1" x14ac:dyDescent="0.5">
      <c r="A102" s="284">
        <f t="shared" si="72"/>
        <v>11</v>
      </c>
      <c r="B102" s="71" t="s">
        <v>117</v>
      </c>
      <c r="C102" s="346">
        <f t="shared" si="67"/>
        <v>0</v>
      </c>
      <c r="D102" s="99">
        <v>0</v>
      </c>
      <c r="E102" s="99">
        <v>0</v>
      </c>
      <c r="F102" s="99">
        <v>0</v>
      </c>
      <c r="G102" s="99">
        <f t="shared" si="1"/>
        <v>0</v>
      </c>
      <c r="H102" s="370">
        <f t="shared" si="68"/>
        <v>0</v>
      </c>
      <c r="I102" s="55">
        <f t="shared" si="69"/>
        <v>0</v>
      </c>
      <c r="J102" s="371">
        <f t="shared" si="3"/>
        <v>0</v>
      </c>
      <c r="K102" s="372">
        <f t="shared" si="70"/>
        <v>0</v>
      </c>
      <c r="L102" s="55">
        <f t="shared" si="71"/>
        <v>0</v>
      </c>
      <c r="M102" s="371">
        <f t="shared" si="5"/>
        <v>0</v>
      </c>
      <c r="N102" s="131">
        <v>0</v>
      </c>
      <c r="O102" s="55">
        <v>0</v>
      </c>
      <c r="P102" s="131">
        <v>0</v>
      </c>
      <c r="Q102" s="55">
        <v>0</v>
      </c>
      <c r="R102" s="131">
        <v>0</v>
      </c>
      <c r="S102" s="55">
        <v>0</v>
      </c>
      <c r="T102" s="371">
        <f t="shared" si="7"/>
        <v>0</v>
      </c>
      <c r="U102" s="81"/>
      <c r="V102" s="81"/>
      <c r="W102" s="81"/>
      <c r="X102" s="81"/>
      <c r="Y102" s="81"/>
      <c r="Z102" s="81"/>
    </row>
    <row r="103" spans="1:26" ht="24" customHeight="1" x14ac:dyDescent="0.5">
      <c r="A103" s="284">
        <f t="shared" si="72"/>
        <v>12</v>
      </c>
      <c r="B103" s="71" t="s">
        <v>118</v>
      </c>
      <c r="C103" s="346">
        <f t="shared" si="67"/>
        <v>0</v>
      </c>
      <c r="D103" s="99">
        <v>0</v>
      </c>
      <c r="E103" s="99">
        <v>0</v>
      </c>
      <c r="F103" s="99">
        <v>0</v>
      </c>
      <c r="G103" s="99">
        <f t="shared" si="1"/>
        <v>0</v>
      </c>
      <c r="H103" s="370">
        <f t="shared" si="68"/>
        <v>0</v>
      </c>
      <c r="I103" s="55">
        <f t="shared" si="69"/>
        <v>0</v>
      </c>
      <c r="J103" s="371">
        <f t="shared" si="3"/>
        <v>0</v>
      </c>
      <c r="K103" s="372">
        <f t="shared" si="70"/>
        <v>0</v>
      </c>
      <c r="L103" s="55">
        <f t="shared" si="71"/>
        <v>0</v>
      </c>
      <c r="M103" s="371">
        <f t="shared" si="5"/>
        <v>0</v>
      </c>
      <c r="N103" s="131">
        <v>0</v>
      </c>
      <c r="O103" s="55">
        <v>0</v>
      </c>
      <c r="P103" s="131">
        <v>0</v>
      </c>
      <c r="Q103" s="55">
        <v>0</v>
      </c>
      <c r="R103" s="131">
        <v>0</v>
      </c>
      <c r="S103" s="55">
        <v>0</v>
      </c>
      <c r="T103" s="371">
        <f t="shared" si="7"/>
        <v>0</v>
      </c>
      <c r="U103" s="81"/>
      <c r="V103" s="81"/>
      <c r="W103" s="81"/>
      <c r="X103" s="81"/>
      <c r="Y103" s="81"/>
      <c r="Z103" s="81"/>
    </row>
    <row r="104" spans="1:26" ht="24" customHeight="1" x14ac:dyDescent="0.5">
      <c r="A104" s="284">
        <f t="shared" si="72"/>
        <v>13</v>
      </c>
      <c r="B104" s="71" t="s">
        <v>119</v>
      </c>
      <c r="C104" s="346">
        <f t="shared" si="67"/>
        <v>0</v>
      </c>
      <c r="D104" s="99">
        <v>0</v>
      </c>
      <c r="E104" s="99">
        <v>0</v>
      </c>
      <c r="F104" s="99">
        <v>0</v>
      </c>
      <c r="G104" s="99">
        <f t="shared" si="1"/>
        <v>0</v>
      </c>
      <c r="H104" s="370">
        <f t="shared" si="68"/>
        <v>0</v>
      </c>
      <c r="I104" s="55">
        <f t="shared" si="69"/>
        <v>0</v>
      </c>
      <c r="J104" s="371">
        <f t="shared" si="3"/>
        <v>0</v>
      </c>
      <c r="K104" s="372">
        <f t="shared" si="70"/>
        <v>0</v>
      </c>
      <c r="L104" s="55">
        <f t="shared" si="71"/>
        <v>0</v>
      </c>
      <c r="M104" s="371">
        <f t="shared" si="5"/>
        <v>0</v>
      </c>
      <c r="N104" s="131">
        <v>0</v>
      </c>
      <c r="O104" s="55">
        <v>0</v>
      </c>
      <c r="P104" s="131">
        <v>0</v>
      </c>
      <c r="Q104" s="55">
        <v>0</v>
      </c>
      <c r="R104" s="131">
        <v>0</v>
      </c>
      <c r="S104" s="55">
        <v>0</v>
      </c>
      <c r="T104" s="371">
        <f t="shared" si="7"/>
        <v>0</v>
      </c>
      <c r="U104" s="81"/>
      <c r="V104" s="81"/>
      <c r="W104" s="81"/>
      <c r="X104" s="81"/>
      <c r="Y104" s="81"/>
      <c r="Z104" s="81"/>
    </row>
    <row r="105" spans="1:26" ht="24" customHeight="1" x14ac:dyDescent="0.5">
      <c r="A105" s="285">
        <f t="shared" si="72"/>
        <v>14</v>
      </c>
      <c r="B105" s="73" t="s">
        <v>120</v>
      </c>
      <c r="C105" s="353">
        <f t="shared" si="67"/>
        <v>0</v>
      </c>
      <c r="D105" s="100">
        <v>0</v>
      </c>
      <c r="E105" s="100">
        <v>0</v>
      </c>
      <c r="F105" s="100">
        <v>0</v>
      </c>
      <c r="G105" s="100">
        <f t="shared" si="1"/>
        <v>0</v>
      </c>
      <c r="H105" s="373">
        <f t="shared" si="68"/>
        <v>0</v>
      </c>
      <c r="I105" s="62">
        <f t="shared" si="69"/>
        <v>0</v>
      </c>
      <c r="J105" s="374">
        <f t="shared" si="3"/>
        <v>0</v>
      </c>
      <c r="K105" s="375">
        <f t="shared" si="70"/>
        <v>0</v>
      </c>
      <c r="L105" s="62">
        <f t="shared" si="71"/>
        <v>0</v>
      </c>
      <c r="M105" s="374">
        <f t="shared" si="5"/>
        <v>0</v>
      </c>
      <c r="N105" s="136">
        <v>0</v>
      </c>
      <c r="O105" s="62">
        <v>0</v>
      </c>
      <c r="P105" s="136">
        <v>0</v>
      </c>
      <c r="Q105" s="62">
        <v>0</v>
      </c>
      <c r="R105" s="136">
        <v>0</v>
      </c>
      <c r="S105" s="62">
        <v>0</v>
      </c>
      <c r="T105" s="374">
        <f t="shared" si="7"/>
        <v>0</v>
      </c>
      <c r="U105" s="81"/>
      <c r="V105" s="81"/>
      <c r="W105" s="81"/>
      <c r="X105" s="81"/>
      <c r="Y105" s="81"/>
      <c r="Z105" s="81"/>
    </row>
    <row r="106" spans="1:26" ht="24" customHeight="1" x14ac:dyDescent="0.5">
      <c r="A106" s="772" t="s">
        <v>121</v>
      </c>
      <c r="B106" s="571"/>
      <c r="C106" s="37">
        <f t="shared" ref="C106:F106" si="73">+C107+C108+C109+C110+C111+C112+C113+C114</f>
        <v>0</v>
      </c>
      <c r="D106" s="35">
        <f t="shared" si="73"/>
        <v>0</v>
      </c>
      <c r="E106" s="35">
        <f t="shared" si="73"/>
        <v>0</v>
      </c>
      <c r="F106" s="35">
        <f t="shared" si="73"/>
        <v>0</v>
      </c>
      <c r="G106" s="92">
        <f t="shared" si="1"/>
        <v>0</v>
      </c>
      <c r="H106" s="35">
        <f t="shared" ref="H106:I106" si="74">+H107+H108+H109+H110+H111+H112+H113+H114</f>
        <v>0</v>
      </c>
      <c r="I106" s="35">
        <f t="shared" si="74"/>
        <v>0</v>
      </c>
      <c r="J106" s="92">
        <f t="shared" si="3"/>
        <v>0</v>
      </c>
      <c r="K106" s="35">
        <f t="shared" ref="K106:L106" si="75">+K107+K108+K109+K110+K111+K112+K113+K114</f>
        <v>0</v>
      </c>
      <c r="L106" s="35">
        <f t="shared" si="75"/>
        <v>0</v>
      </c>
      <c r="M106" s="92">
        <f t="shared" si="5"/>
        <v>0</v>
      </c>
      <c r="N106" s="35">
        <f t="shared" ref="N106:S106" si="76">+N107+N108+N109+N110+N111+N112+N113+N114</f>
        <v>0</v>
      </c>
      <c r="O106" s="35">
        <f t="shared" si="76"/>
        <v>0</v>
      </c>
      <c r="P106" s="35">
        <f t="shared" si="76"/>
        <v>0</v>
      </c>
      <c r="Q106" s="35">
        <f t="shared" si="76"/>
        <v>0</v>
      </c>
      <c r="R106" s="35">
        <f t="shared" si="76"/>
        <v>0</v>
      </c>
      <c r="S106" s="35">
        <f t="shared" si="76"/>
        <v>0</v>
      </c>
      <c r="T106" s="92">
        <f t="shared" si="7"/>
        <v>0</v>
      </c>
      <c r="U106" s="81"/>
      <c r="V106" s="81"/>
      <c r="W106" s="81"/>
      <c r="X106" s="81"/>
      <c r="Y106" s="81"/>
      <c r="Z106" s="81"/>
    </row>
    <row r="107" spans="1:26" ht="24" customHeight="1" x14ac:dyDescent="0.5">
      <c r="A107" s="283">
        <v>1</v>
      </c>
      <c r="B107" s="69" t="s">
        <v>122</v>
      </c>
      <c r="C107" s="341">
        <f t="shared" ref="C107:C114" si="77">+D107+E107</f>
        <v>0</v>
      </c>
      <c r="D107" s="98">
        <v>0</v>
      </c>
      <c r="E107" s="98">
        <v>0</v>
      </c>
      <c r="F107" s="98">
        <v>0</v>
      </c>
      <c r="G107" s="98">
        <f t="shared" si="1"/>
        <v>0</v>
      </c>
      <c r="H107" s="367">
        <f t="shared" ref="H107:H114" si="78">+N107+P107+R107</f>
        <v>0</v>
      </c>
      <c r="I107" s="48">
        <f t="shared" ref="I107:I114" si="79">SUM(L107,S107)</f>
        <v>0</v>
      </c>
      <c r="J107" s="368">
        <f t="shared" si="3"/>
        <v>0</v>
      </c>
      <c r="K107" s="369">
        <f t="shared" ref="K107:K114" si="80">+N107+P107</f>
        <v>0</v>
      </c>
      <c r="L107" s="48">
        <f t="shared" ref="L107:L114" si="81">SUM(O107,Q107)</f>
        <v>0</v>
      </c>
      <c r="M107" s="368">
        <f t="shared" si="5"/>
        <v>0</v>
      </c>
      <c r="N107" s="127">
        <v>0</v>
      </c>
      <c r="O107" s="48">
        <v>0</v>
      </c>
      <c r="P107" s="127">
        <v>0</v>
      </c>
      <c r="Q107" s="48">
        <v>0</v>
      </c>
      <c r="R107" s="127">
        <v>0</v>
      </c>
      <c r="S107" s="48">
        <v>0</v>
      </c>
      <c r="T107" s="368">
        <f t="shared" si="7"/>
        <v>0</v>
      </c>
      <c r="U107" s="81"/>
      <c r="V107" s="81"/>
      <c r="W107" s="81"/>
      <c r="X107" s="81"/>
      <c r="Y107" s="81"/>
      <c r="Z107" s="81"/>
    </row>
    <row r="108" spans="1:26" ht="24" customHeight="1" x14ac:dyDescent="0.5">
      <c r="A108" s="284">
        <v>2</v>
      </c>
      <c r="B108" s="71" t="s">
        <v>123</v>
      </c>
      <c r="C108" s="346">
        <f t="shared" si="77"/>
        <v>0</v>
      </c>
      <c r="D108" s="99">
        <v>0</v>
      </c>
      <c r="E108" s="99">
        <v>0</v>
      </c>
      <c r="F108" s="99">
        <v>0</v>
      </c>
      <c r="G108" s="99">
        <f t="shared" si="1"/>
        <v>0</v>
      </c>
      <c r="H108" s="370">
        <f t="shared" si="78"/>
        <v>0</v>
      </c>
      <c r="I108" s="55">
        <f t="shared" si="79"/>
        <v>0</v>
      </c>
      <c r="J108" s="371">
        <f t="shared" si="3"/>
        <v>0</v>
      </c>
      <c r="K108" s="372">
        <f t="shared" si="80"/>
        <v>0</v>
      </c>
      <c r="L108" s="55">
        <f t="shared" si="81"/>
        <v>0</v>
      </c>
      <c r="M108" s="371">
        <f t="shared" si="5"/>
        <v>0</v>
      </c>
      <c r="N108" s="131">
        <v>0</v>
      </c>
      <c r="O108" s="55">
        <v>0</v>
      </c>
      <c r="P108" s="131">
        <v>0</v>
      </c>
      <c r="Q108" s="55">
        <v>0</v>
      </c>
      <c r="R108" s="131">
        <v>0</v>
      </c>
      <c r="S108" s="55">
        <v>0</v>
      </c>
      <c r="T108" s="371">
        <f t="shared" si="7"/>
        <v>0</v>
      </c>
      <c r="U108" s="81"/>
      <c r="V108" s="81"/>
      <c r="W108" s="81"/>
      <c r="X108" s="81"/>
      <c r="Y108" s="81"/>
      <c r="Z108" s="81"/>
    </row>
    <row r="109" spans="1:26" ht="24" customHeight="1" x14ac:dyDescent="0.5">
      <c r="A109" s="284">
        <v>3</v>
      </c>
      <c r="B109" s="71" t="s">
        <v>124</v>
      </c>
      <c r="C109" s="346">
        <f t="shared" si="77"/>
        <v>0</v>
      </c>
      <c r="D109" s="99">
        <v>0</v>
      </c>
      <c r="E109" s="99">
        <v>0</v>
      </c>
      <c r="F109" s="99">
        <v>0</v>
      </c>
      <c r="G109" s="99">
        <f t="shared" si="1"/>
        <v>0</v>
      </c>
      <c r="H109" s="370">
        <f t="shared" si="78"/>
        <v>0</v>
      </c>
      <c r="I109" s="55">
        <f t="shared" si="79"/>
        <v>0</v>
      </c>
      <c r="J109" s="371">
        <f t="shared" si="3"/>
        <v>0</v>
      </c>
      <c r="K109" s="372">
        <f t="shared" si="80"/>
        <v>0</v>
      </c>
      <c r="L109" s="55">
        <f t="shared" si="81"/>
        <v>0</v>
      </c>
      <c r="M109" s="371">
        <f t="shared" si="5"/>
        <v>0</v>
      </c>
      <c r="N109" s="131">
        <v>0</v>
      </c>
      <c r="O109" s="55">
        <v>0</v>
      </c>
      <c r="P109" s="131">
        <v>0</v>
      </c>
      <c r="Q109" s="55">
        <v>0</v>
      </c>
      <c r="R109" s="131">
        <v>0</v>
      </c>
      <c r="S109" s="55">
        <v>0</v>
      </c>
      <c r="T109" s="371">
        <f t="shared" si="7"/>
        <v>0</v>
      </c>
      <c r="U109" s="81"/>
      <c r="V109" s="81"/>
      <c r="W109" s="81"/>
      <c r="X109" s="81"/>
      <c r="Y109" s="81"/>
      <c r="Z109" s="81"/>
    </row>
    <row r="110" spans="1:26" ht="24" customHeight="1" x14ac:dyDescent="0.5">
      <c r="A110" s="284">
        <f t="shared" ref="A110:A112" si="82">+A109+1</f>
        <v>4</v>
      </c>
      <c r="B110" s="71" t="s">
        <v>125</v>
      </c>
      <c r="C110" s="346">
        <f t="shared" si="77"/>
        <v>0</v>
      </c>
      <c r="D110" s="99">
        <v>0</v>
      </c>
      <c r="E110" s="99">
        <v>0</v>
      </c>
      <c r="F110" s="99">
        <v>0</v>
      </c>
      <c r="G110" s="99">
        <f t="shared" si="1"/>
        <v>0</v>
      </c>
      <c r="H110" s="370">
        <f t="shared" si="78"/>
        <v>0</v>
      </c>
      <c r="I110" s="55">
        <f t="shared" si="79"/>
        <v>0</v>
      </c>
      <c r="J110" s="371">
        <f t="shared" si="3"/>
        <v>0</v>
      </c>
      <c r="K110" s="372">
        <f t="shared" si="80"/>
        <v>0</v>
      </c>
      <c r="L110" s="55">
        <f t="shared" si="81"/>
        <v>0</v>
      </c>
      <c r="M110" s="371">
        <f t="shared" si="5"/>
        <v>0</v>
      </c>
      <c r="N110" s="131">
        <v>0</v>
      </c>
      <c r="O110" s="55">
        <v>0</v>
      </c>
      <c r="P110" s="131">
        <v>0</v>
      </c>
      <c r="Q110" s="55">
        <v>0</v>
      </c>
      <c r="R110" s="131">
        <v>0</v>
      </c>
      <c r="S110" s="55">
        <v>0</v>
      </c>
      <c r="T110" s="371">
        <f t="shared" si="7"/>
        <v>0</v>
      </c>
      <c r="U110" s="81"/>
      <c r="V110" s="81"/>
      <c r="W110" s="81"/>
      <c r="X110" s="81"/>
      <c r="Y110" s="81"/>
      <c r="Z110" s="81"/>
    </row>
    <row r="111" spans="1:26" ht="24" customHeight="1" x14ac:dyDescent="0.5">
      <c r="A111" s="284">
        <f t="shared" si="82"/>
        <v>5</v>
      </c>
      <c r="B111" s="71" t="s">
        <v>126</v>
      </c>
      <c r="C111" s="346">
        <f t="shared" si="77"/>
        <v>0</v>
      </c>
      <c r="D111" s="99">
        <v>0</v>
      </c>
      <c r="E111" s="99">
        <v>0</v>
      </c>
      <c r="F111" s="99">
        <v>0</v>
      </c>
      <c r="G111" s="99">
        <f t="shared" si="1"/>
        <v>0</v>
      </c>
      <c r="H111" s="370">
        <f t="shared" si="78"/>
        <v>0</v>
      </c>
      <c r="I111" s="55">
        <f t="shared" si="79"/>
        <v>0</v>
      </c>
      <c r="J111" s="371">
        <f t="shared" si="3"/>
        <v>0</v>
      </c>
      <c r="K111" s="372">
        <f t="shared" si="80"/>
        <v>0</v>
      </c>
      <c r="L111" s="55">
        <f t="shared" si="81"/>
        <v>0</v>
      </c>
      <c r="M111" s="371">
        <f t="shared" si="5"/>
        <v>0</v>
      </c>
      <c r="N111" s="131">
        <v>0</v>
      </c>
      <c r="O111" s="55">
        <v>0</v>
      </c>
      <c r="P111" s="131">
        <v>0</v>
      </c>
      <c r="Q111" s="55">
        <v>0</v>
      </c>
      <c r="R111" s="131">
        <v>0</v>
      </c>
      <c r="S111" s="55">
        <v>0</v>
      </c>
      <c r="T111" s="371">
        <f t="shared" si="7"/>
        <v>0</v>
      </c>
      <c r="U111" s="81"/>
      <c r="V111" s="81"/>
      <c r="W111" s="81"/>
      <c r="X111" s="81"/>
      <c r="Y111" s="81"/>
      <c r="Z111" s="81"/>
    </row>
    <row r="112" spans="1:26" ht="24" customHeight="1" x14ac:dyDescent="0.5">
      <c r="A112" s="284">
        <f t="shared" si="82"/>
        <v>6</v>
      </c>
      <c r="B112" s="71" t="s">
        <v>127</v>
      </c>
      <c r="C112" s="346">
        <f t="shared" si="77"/>
        <v>0</v>
      </c>
      <c r="D112" s="99">
        <v>0</v>
      </c>
      <c r="E112" s="99">
        <v>0</v>
      </c>
      <c r="F112" s="99">
        <v>0</v>
      </c>
      <c r="G112" s="99">
        <f t="shared" si="1"/>
        <v>0</v>
      </c>
      <c r="H112" s="370">
        <f t="shared" si="78"/>
        <v>0</v>
      </c>
      <c r="I112" s="55">
        <f t="shared" si="79"/>
        <v>0</v>
      </c>
      <c r="J112" s="371">
        <f t="shared" si="3"/>
        <v>0</v>
      </c>
      <c r="K112" s="372">
        <f t="shared" si="80"/>
        <v>0</v>
      </c>
      <c r="L112" s="55">
        <f t="shared" si="81"/>
        <v>0</v>
      </c>
      <c r="M112" s="371">
        <f t="shared" si="5"/>
        <v>0</v>
      </c>
      <c r="N112" s="131">
        <v>0</v>
      </c>
      <c r="O112" s="55">
        <v>0</v>
      </c>
      <c r="P112" s="131">
        <v>0</v>
      </c>
      <c r="Q112" s="55">
        <v>0</v>
      </c>
      <c r="R112" s="131">
        <v>0</v>
      </c>
      <c r="S112" s="55">
        <v>0</v>
      </c>
      <c r="T112" s="371">
        <f t="shared" si="7"/>
        <v>0</v>
      </c>
      <c r="U112" s="81"/>
      <c r="V112" s="81"/>
      <c r="W112" s="81"/>
      <c r="X112" s="81"/>
      <c r="Y112" s="81"/>
      <c r="Z112" s="81"/>
    </row>
    <row r="113" spans="1:26" ht="24" customHeight="1" x14ac:dyDescent="0.5">
      <c r="A113" s="284">
        <v>7</v>
      </c>
      <c r="B113" s="71" t="s">
        <v>128</v>
      </c>
      <c r="C113" s="346">
        <f t="shared" si="77"/>
        <v>0</v>
      </c>
      <c r="D113" s="99">
        <v>0</v>
      </c>
      <c r="E113" s="99">
        <v>0</v>
      </c>
      <c r="F113" s="99">
        <v>0</v>
      </c>
      <c r="G113" s="99">
        <f t="shared" si="1"/>
        <v>0</v>
      </c>
      <c r="H113" s="370">
        <f t="shared" si="78"/>
        <v>0</v>
      </c>
      <c r="I113" s="55">
        <f t="shared" si="79"/>
        <v>0</v>
      </c>
      <c r="J113" s="371">
        <f t="shared" si="3"/>
        <v>0</v>
      </c>
      <c r="K113" s="372">
        <f t="shared" si="80"/>
        <v>0</v>
      </c>
      <c r="L113" s="55">
        <f t="shared" si="81"/>
        <v>0</v>
      </c>
      <c r="M113" s="371">
        <f t="shared" si="5"/>
        <v>0</v>
      </c>
      <c r="N113" s="131">
        <v>0</v>
      </c>
      <c r="O113" s="55">
        <v>0</v>
      </c>
      <c r="P113" s="131">
        <v>0</v>
      </c>
      <c r="Q113" s="55">
        <v>0</v>
      </c>
      <c r="R113" s="131">
        <v>0</v>
      </c>
      <c r="S113" s="55">
        <v>0</v>
      </c>
      <c r="T113" s="371">
        <f t="shared" si="7"/>
        <v>0</v>
      </c>
      <c r="U113" s="81"/>
      <c r="V113" s="81"/>
      <c r="W113" s="81"/>
      <c r="X113" s="81"/>
      <c r="Y113" s="81"/>
      <c r="Z113" s="81"/>
    </row>
    <row r="114" spans="1:26" ht="24" customHeight="1" thickBot="1" x14ac:dyDescent="0.55000000000000004">
      <c r="A114" s="493">
        <v>8</v>
      </c>
      <c r="B114" s="494" t="s">
        <v>129</v>
      </c>
      <c r="C114" s="552">
        <f t="shared" si="77"/>
        <v>0</v>
      </c>
      <c r="D114" s="104">
        <v>0</v>
      </c>
      <c r="E114" s="104">
        <v>0</v>
      </c>
      <c r="F114" s="104">
        <v>0</v>
      </c>
      <c r="G114" s="104">
        <f t="shared" si="1"/>
        <v>0</v>
      </c>
      <c r="H114" s="376">
        <f t="shared" si="78"/>
        <v>0</v>
      </c>
      <c r="I114" s="79">
        <f t="shared" si="79"/>
        <v>0</v>
      </c>
      <c r="J114" s="377">
        <f t="shared" si="3"/>
        <v>0</v>
      </c>
      <c r="K114" s="378">
        <f t="shared" si="80"/>
        <v>0</v>
      </c>
      <c r="L114" s="79">
        <f t="shared" si="81"/>
        <v>0</v>
      </c>
      <c r="M114" s="377">
        <f t="shared" si="5"/>
        <v>0</v>
      </c>
      <c r="N114" s="143">
        <v>0</v>
      </c>
      <c r="O114" s="79">
        <v>0</v>
      </c>
      <c r="P114" s="143">
        <v>0</v>
      </c>
      <c r="Q114" s="79">
        <v>0</v>
      </c>
      <c r="R114" s="143">
        <v>0</v>
      </c>
      <c r="S114" s="79">
        <v>0</v>
      </c>
      <c r="T114" s="377">
        <f t="shared" si="7"/>
        <v>0</v>
      </c>
      <c r="U114" s="81"/>
      <c r="V114" s="81"/>
      <c r="W114" s="81"/>
      <c r="X114" s="81"/>
      <c r="Y114" s="81"/>
      <c r="Z114" s="81"/>
    </row>
    <row r="115" spans="1:26" s="203" customFormat="1" ht="24" customHeight="1" x14ac:dyDescent="0.55000000000000004">
      <c r="A115" s="467" t="s">
        <v>322</v>
      </c>
    </row>
    <row r="116" spans="1:26" ht="24" customHeight="1" x14ac:dyDescent="0.5">
      <c r="A116" s="3"/>
      <c r="B116" s="3"/>
      <c r="C116" s="3"/>
      <c r="D116" s="3"/>
      <c r="E116" s="3"/>
      <c r="F116" s="3"/>
      <c r="G116" s="3"/>
      <c r="H116" s="3"/>
      <c r="I116" s="4"/>
      <c r="J116" s="83"/>
      <c r="K116" s="3"/>
      <c r="L116" s="4"/>
      <c r="M116" s="3"/>
      <c r="N116" s="379"/>
      <c r="O116" s="380"/>
      <c r="P116" s="379"/>
      <c r="Q116" s="380"/>
      <c r="R116" s="3"/>
      <c r="S116" s="4"/>
      <c r="T116" s="3"/>
      <c r="U116" s="81"/>
      <c r="V116" s="81"/>
      <c r="W116" s="81"/>
      <c r="X116" s="81"/>
      <c r="Y116" s="81"/>
      <c r="Z116" s="81"/>
    </row>
    <row r="117" spans="1:26" ht="24" customHeight="1" x14ac:dyDescent="0.5">
      <c r="A117" s="3"/>
      <c r="B117" s="3"/>
      <c r="C117" s="3"/>
      <c r="D117" s="3"/>
      <c r="E117" s="381"/>
      <c r="F117" s="381"/>
      <c r="G117" s="381"/>
      <c r="H117" s="3"/>
      <c r="I117" s="4"/>
      <c r="J117" s="83"/>
      <c r="K117" s="3"/>
      <c r="L117" s="4"/>
      <c r="M117" s="3"/>
      <c r="N117" s="379"/>
      <c r="O117" s="380"/>
      <c r="P117" s="379"/>
      <c r="Q117" s="380"/>
      <c r="R117" s="3"/>
      <c r="S117" s="4"/>
      <c r="T117" s="3"/>
      <c r="U117" s="81"/>
      <c r="V117" s="81"/>
      <c r="W117" s="81"/>
      <c r="X117" s="81"/>
      <c r="Y117" s="81"/>
      <c r="Z117" s="81"/>
    </row>
    <row r="118" spans="1:26" ht="24" customHeight="1" x14ac:dyDescent="0.5">
      <c r="A118" s="3"/>
      <c r="B118" s="3"/>
      <c r="C118" s="3"/>
      <c r="D118" s="3"/>
      <c r="E118" s="381"/>
      <c r="F118" s="381"/>
      <c r="G118" s="381"/>
      <c r="H118" s="3"/>
      <c r="I118" s="4"/>
      <c r="J118" s="83"/>
      <c r="K118" s="3"/>
      <c r="L118" s="4"/>
      <c r="M118" s="3"/>
      <c r="N118" s="379"/>
      <c r="O118" s="380"/>
      <c r="P118" s="379"/>
      <c r="Q118" s="380"/>
      <c r="R118" s="3"/>
      <c r="S118" s="4"/>
      <c r="T118" s="3"/>
      <c r="U118" s="81"/>
      <c r="V118" s="81"/>
      <c r="W118" s="81"/>
      <c r="X118" s="81"/>
      <c r="Y118" s="81"/>
      <c r="Z118" s="81"/>
    </row>
    <row r="119" spans="1:26" ht="24" customHeight="1" x14ac:dyDescent="0.5">
      <c r="A119" s="3"/>
      <c r="B119" s="3"/>
      <c r="C119" s="3"/>
      <c r="D119" s="3"/>
      <c r="E119" s="381"/>
      <c r="F119" s="381"/>
      <c r="G119" s="381"/>
      <c r="H119" s="83"/>
      <c r="I119" s="4"/>
      <c r="J119" s="83"/>
      <c r="K119" s="83"/>
      <c r="L119" s="4"/>
      <c r="M119" s="83"/>
      <c r="N119" s="379"/>
      <c r="O119" s="380"/>
      <c r="P119" s="379"/>
      <c r="Q119" s="380"/>
      <c r="R119" s="3"/>
      <c r="S119" s="4"/>
      <c r="T119" s="3"/>
      <c r="U119" s="81"/>
      <c r="V119" s="81"/>
      <c r="W119" s="81"/>
      <c r="X119" s="81"/>
      <c r="Y119" s="81"/>
      <c r="Z119" s="81"/>
    </row>
    <row r="120" spans="1:26" ht="24" customHeight="1" x14ac:dyDescent="0.5">
      <c r="A120" s="3"/>
      <c r="B120" s="3"/>
      <c r="C120" s="3"/>
      <c r="D120" s="3"/>
      <c r="E120" s="382"/>
      <c r="F120" s="382"/>
      <c r="G120" s="382"/>
      <c r="H120" s="3"/>
      <c r="I120" s="4"/>
      <c r="J120" s="83"/>
      <c r="K120" s="3"/>
      <c r="L120" s="4"/>
      <c r="M120" s="3"/>
      <c r="N120" s="379"/>
      <c r="O120" s="380"/>
      <c r="P120" s="379"/>
      <c r="Q120" s="380"/>
      <c r="R120" s="3"/>
      <c r="S120" s="4"/>
      <c r="T120" s="3"/>
      <c r="U120" s="81"/>
      <c r="V120" s="81"/>
      <c r="W120" s="81"/>
      <c r="X120" s="81"/>
      <c r="Y120" s="81"/>
      <c r="Z120" s="81"/>
    </row>
    <row r="121" spans="1:26" ht="24" customHeight="1" x14ac:dyDescent="0.5">
      <c r="A121" s="3"/>
      <c r="B121" s="3"/>
      <c r="C121" s="3"/>
      <c r="D121" s="3"/>
      <c r="E121" s="3"/>
      <c r="F121" s="3"/>
      <c r="G121" s="3"/>
      <c r="H121" s="3"/>
      <c r="I121" s="4"/>
      <c r="J121" s="83"/>
      <c r="K121" s="3"/>
      <c r="L121" s="4"/>
      <c r="M121" s="3"/>
      <c r="N121" s="379"/>
      <c r="O121" s="380"/>
      <c r="P121" s="379"/>
      <c r="Q121" s="380"/>
      <c r="R121" s="3"/>
      <c r="S121" s="4"/>
      <c r="T121" s="3"/>
      <c r="U121" s="81"/>
      <c r="V121" s="81"/>
      <c r="W121" s="81"/>
      <c r="X121" s="81"/>
      <c r="Y121" s="81"/>
      <c r="Z121" s="81"/>
    </row>
    <row r="122" spans="1:26" ht="24" customHeight="1" x14ac:dyDescent="0.5">
      <c r="A122" s="3"/>
      <c r="B122" s="3"/>
      <c r="C122" s="3"/>
      <c r="D122" s="3"/>
      <c r="E122" s="3"/>
      <c r="F122" s="3"/>
      <c r="G122" s="3"/>
      <c r="H122" s="3"/>
      <c r="I122" s="4"/>
      <c r="J122" s="83"/>
      <c r="K122" s="3"/>
      <c r="L122" s="4"/>
      <c r="M122" s="3"/>
      <c r="N122" s="379"/>
      <c r="O122" s="380"/>
      <c r="P122" s="379"/>
      <c r="Q122" s="380"/>
      <c r="R122" s="3"/>
      <c r="S122" s="4"/>
      <c r="T122" s="3"/>
      <c r="U122" s="81"/>
      <c r="V122" s="81"/>
      <c r="W122" s="81"/>
      <c r="X122" s="81"/>
      <c r="Y122" s="81"/>
      <c r="Z122" s="81"/>
    </row>
    <row r="123" spans="1:26" ht="24" customHeight="1" x14ac:dyDescent="0.5">
      <c r="A123" s="3"/>
      <c r="B123" s="3"/>
      <c r="C123" s="3"/>
      <c r="D123" s="3"/>
      <c r="E123" s="3"/>
      <c r="F123" s="3"/>
      <c r="G123" s="3"/>
      <c r="H123" s="3"/>
      <c r="I123" s="4"/>
      <c r="J123" s="83"/>
      <c r="K123" s="3"/>
      <c r="L123" s="4"/>
      <c r="M123" s="3"/>
      <c r="N123" s="379"/>
      <c r="O123" s="380"/>
      <c r="P123" s="379"/>
      <c r="Q123" s="380"/>
      <c r="R123" s="3"/>
      <c r="S123" s="4"/>
      <c r="T123" s="3"/>
      <c r="U123" s="81"/>
      <c r="V123" s="81"/>
      <c r="W123" s="81"/>
      <c r="X123" s="81"/>
      <c r="Y123" s="81"/>
      <c r="Z123" s="81"/>
    </row>
    <row r="124" spans="1:26" ht="24" customHeight="1" x14ac:dyDescent="0.5">
      <c r="A124" s="3"/>
      <c r="B124" s="3"/>
      <c r="C124" s="3"/>
      <c r="D124" s="3"/>
      <c r="E124" s="3"/>
      <c r="F124" s="3"/>
      <c r="G124" s="3"/>
      <c r="H124" s="3"/>
      <c r="I124" s="4"/>
      <c r="J124" s="83"/>
      <c r="K124" s="3"/>
      <c r="L124" s="4"/>
      <c r="M124" s="3"/>
      <c r="N124" s="379"/>
      <c r="O124" s="380"/>
      <c r="P124" s="379"/>
      <c r="Q124" s="380"/>
      <c r="R124" s="3"/>
      <c r="S124" s="4"/>
      <c r="T124" s="3"/>
      <c r="U124" s="81"/>
      <c r="V124" s="81"/>
      <c r="W124" s="81"/>
      <c r="X124" s="81"/>
      <c r="Y124" s="81"/>
      <c r="Z124" s="81"/>
    </row>
    <row r="125" spans="1:26" ht="24" customHeight="1" x14ac:dyDescent="0.5">
      <c r="A125" s="3"/>
      <c r="B125" s="3"/>
      <c r="C125" s="3"/>
      <c r="D125" s="3"/>
      <c r="E125" s="3"/>
      <c r="F125" s="3"/>
      <c r="G125" s="3"/>
      <c r="H125" s="3"/>
      <c r="I125" s="4"/>
      <c r="J125" s="83"/>
      <c r="K125" s="3"/>
      <c r="L125" s="4"/>
      <c r="M125" s="3"/>
      <c r="N125" s="379"/>
      <c r="O125" s="380"/>
      <c r="P125" s="379"/>
      <c r="Q125" s="380"/>
      <c r="R125" s="3"/>
      <c r="S125" s="4"/>
      <c r="T125" s="3"/>
      <c r="U125" s="81"/>
      <c r="V125" s="81"/>
      <c r="W125" s="81"/>
      <c r="X125" s="81"/>
      <c r="Y125" s="81"/>
      <c r="Z125" s="81"/>
    </row>
    <row r="126" spans="1:26" ht="24" customHeight="1" x14ac:dyDescent="0.5">
      <c r="A126" s="3"/>
      <c r="B126" s="3"/>
      <c r="C126" s="3"/>
      <c r="D126" s="3"/>
      <c r="E126" s="3"/>
      <c r="F126" s="3"/>
      <c r="G126" s="3"/>
      <c r="H126" s="3"/>
      <c r="I126" s="4"/>
      <c r="J126" s="83"/>
      <c r="K126" s="3"/>
      <c r="L126" s="4"/>
      <c r="M126" s="3"/>
      <c r="N126" s="379"/>
      <c r="O126" s="380"/>
      <c r="P126" s="379"/>
      <c r="Q126" s="380"/>
      <c r="R126" s="3"/>
      <c r="S126" s="4"/>
      <c r="T126" s="3"/>
      <c r="U126" s="81"/>
      <c r="V126" s="81"/>
      <c r="W126" s="81"/>
      <c r="X126" s="81"/>
      <c r="Y126" s="81"/>
      <c r="Z126" s="81"/>
    </row>
    <row r="127" spans="1:26" ht="24" customHeight="1" x14ac:dyDescent="0.5">
      <c r="A127" s="3"/>
      <c r="B127" s="3"/>
      <c r="C127" s="3"/>
      <c r="D127" s="3"/>
      <c r="E127" s="3"/>
      <c r="F127" s="3"/>
      <c r="G127" s="3"/>
      <c r="H127" s="3"/>
      <c r="I127" s="4"/>
      <c r="J127" s="83"/>
      <c r="K127" s="3"/>
      <c r="L127" s="4"/>
      <c r="M127" s="3"/>
      <c r="N127" s="379"/>
      <c r="O127" s="380"/>
      <c r="P127" s="379"/>
      <c r="Q127" s="380"/>
      <c r="R127" s="3"/>
      <c r="S127" s="4"/>
      <c r="T127" s="3"/>
      <c r="U127" s="81"/>
      <c r="V127" s="81"/>
      <c r="W127" s="81"/>
      <c r="X127" s="81"/>
      <c r="Y127" s="81"/>
      <c r="Z127" s="81"/>
    </row>
    <row r="128" spans="1:26" ht="24" customHeight="1" x14ac:dyDescent="0.5">
      <c r="A128" s="3"/>
      <c r="B128" s="3"/>
      <c r="C128" s="3"/>
      <c r="D128" s="3"/>
      <c r="E128" s="3"/>
      <c r="F128" s="3"/>
      <c r="G128" s="3"/>
      <c r="H128" s="3"/>
      <c r="I128" s="4"/>
      <c r="J128" s="83"/>
      <c r="K128" s="3"/>
      <c r="L128" s="4"/>
      <c r="M128" s="3"/>
      <c r="N128" s="379"/>
      <c r="O128" s="380"/>
      <c r="P128" s="379"/>
      <c r="Q128" s="380"/>
      <c r="R128" s="3"/>
      <c r="S128" s="4"/>
      <c r="T128" s="3"/>
      <c r="U128" s="81"/>
      <c r="V128" s="81"/>
      <c r="W128" s="81"/>
      <c r="X128" s="81"/>
      <c r="Y128" s="81"/>
      <c r="Z128" s="81"/>
    </row>
    <row r="129" spans="1:26" ht="24" customHeight="1" x14ac:dyDescent="0.5">
      <c r="A129" s="3"/>
      <c r="B129" s="3"/>
      <c r="C129" s="3"/>
      <c r="D129" s="3"/>
      <c r="E129" s="3"/>
      <c r="F129" s="3"/>
      <c r="G129" s="3"/>
      <c r="H129" s="3"/>
      <c r="I129" s="4"/>
      <c r="J129" s="83"/>
      <c r="K129" s="3"/>
      <c r="L129" s="4"/>
      <c r="M129" s="3"/>
      <c r="N129" s="379"/>
      <c r="O129" s="380"/>
      <c r="P129" s="379"/>
      <c r="Q129" s="380"/>
      <c r="R129" s="3"/>
      <c r="S129" s="4"/>
      <c r="T129" s="3"/>
      <c r="U129" s="81"/>
      <c r="V129" s="81"/>
      <c r="W129" s="81"/>
      <c r="X129" s="81"/>
      <c r="Y129" s="81"/>
      <c r="Z129" s="81"/>
    </row>
    <row r="130" spans="1:26" ht="24" customHeight="1" x14ac:dyDescent="0.5">
      <c r="A130" s="3"/>
      <c r="B130" s="3"/>
      <c r="C130" s="3"/>
      <c r="D130" s="3"/>
      <c r="E130" s="3"/>
      <c r="F130" s="3"/>
      <c r="G130" s="3"/>
      <c r="H130" s="3"/>
      <c r="I130" s="4"/>
      <c r="J130" s="83"/>
      <c r="K130" s="3"/>
      <c r="L130" s="4"/>
      <c r="M130" s="3"/>
      <c r="N130" s="379"/>
      <c r="O130" s="380"/>
      <c r="P130" s="379"/>
      <c r="Q130" s="380"/>
      <c r="R130" s="3"/>
      <c r="S130" s="4"/>
      <c r="T130" s="3"/>
      <c r="U130" s="81"/>
      <c r="V130" s="81"/>
      <c r="W130" s="81"/>
      <c r="X130" s="81"/>
      <c r="Y130" s="81"/>
      <c r="Z130" s="81"/>
    </row>
    <row r="131" spans="1:26" ht="24" customHeight="1" x14ac:dyDescent="0.5">
      <c r="A131" s="3"/>
      <c r="B131" s="3"/>
      <c r="C131" s="3"/>
      <c r="D131" s="3"/>
      <c r="E131" s="3"/>
      <c r="F131" s="3"/>
      <c r="G131" s="3"/>
      <c r="H131" s="3"/>
      <c r="I131" s="4"/>
      <c r="J131" s="83"/>
      <c r="K131" s="3"/>
      <c r="L131" s="4"/>
      <c r="M131" s="3"/>
      <c r="N131" s="379"/>
      <c r="O131" s="380"/>
      <c r="P131" s="379"/>
      <c r="Q131" s="380"/>
      <c r="R131" s="3"/>
      <c r="S131" s="4"/>
      <c r="T131" s="3"/>
      <c r="U131" s="81"/>
      <c r="V131" s="81"/>
      <c r="W131" s="81"/>
      <c r="X131" s="81"/>
      <c r="Y131" s="81"/>
      <c r="Z131" s="81"/>
    </row>
    <row r="132" spans="1:26" ht="24" customHeight="1" x14ac:dyDescent="0.5">
      <c r="A132" s="3"/>
      <c r="B132" s="3"/>
      <c r="C132" s="3"/>
      <c r="D132" s="3"/>
      <c r="E132" s="3"/>
      <c r="F132" s="3"/>
      <c r="G132" s="3"/>
      <c r="H132" s="3"/>
      <c r="I132" s="4"/>
      <c r="J132" s="83"/>
      <c r="K132" s="3"/>
      <c r="L132" s="4"/>
      <c r="M132" s="3"/>
      <c r="N132" s="379"/>
      <c r="O132" s="380"/>
      <c r="P132" s="379"/>
      <c r="Q132" s="380"/>
      <c r="R132" s="3"/>
      <c r="S132" s="4"/>
      <c r="T132" s="3"/>
      <c r="U132" s="81"/>
      <c r="V132" s="81"/>
      <c r="W132" s="81"/>
      <c r="X132" s="81"/>
      <c r="Y132" s="81"/>
      <c r="Z132" s="81"/>
    </row>
    <row r="133" spans="1:26" ht="24" customHeight="1" x14ac:dyDescent="0.5">
      <c r="A133" s="3"/>
      <c r="B133" s="3"/>
      <c r="C133" s="3"/>
      <c r="D133" s="3"/>
      <c r="E133" s="3"/>
      <c r="F133" s="3"/>
      <c r="G133" s="3"/>
      <c r="H133" s="3"/>
      <c r="I133" s="4"/>
      <c r="J133" s="83"/>
      <c r="K133" s="3"/>
      <c r="L133" s="4"/>
      <c r="M133" s="3"/>
      <c r="N133" s="379"/>
      <c r="O133" s="380"/>
      <c r="P133" s="379"/>
      <c r="Q133" s="380"/>
      <c r="R133" s="3"/>
      <c r="S133" s="4"/>
      <c r="T133" s="3"/>
      <c r="U133" s="81"/>
      <c r="V133" s="81"/>
      <c r="W133" s="81"/>
      <c r="X133" s="81"/>
      <c r="Y133" s="81"/>
      <c r="Z133" s="81"/>
    </row>
    <row r="134" spans="1:26" ht="24" customHeight="1" x14ac:dyDescent="0.5">
      <c r="A134" s="3"/>
      <c r="B134" s="3"/>
      <c r="C134" s="3"/>
      <c r="D134" s="3"/>
      <c r="E134" s="3"/>
      <c r="F134" s="3"/>
      <c r="G134" s="3"/>
      <c r="H134" s="3"/>
      <c r="I134" s="4"/>
      <c r="J134" s="83"/>
      <c r="K134" s="3"/>
      <c r="L134" s="4"/>
      <c r="M134" s="3"/>
      <c r="N134" s="379"/>
      <c r="O134" s="380"/>
      <c r="P134" s="379"/>
      <c r="Q134" s="380"/>
      <c r="R134" s="3"/>
      <c r="S134" s="4"/>
      <c r="T134" s="3"/>
      <c r="U134" s="81"/>
      <c r="V134" s="81"/>
      <c r="W134" s="81"/>
      <c r="X134" s="81"/>
      <c r="Y134" s="81"/>
      <c r="Z134" s="81"/>
    </row>
    <row r="135" spans="1:26" ht="24" customHeight="1" x14ac:dyDescent="0.5">
      <c r="A135" s="3"/>
      <c r="B135" s="3"/>
      <c r="C135" s="3"/>
      <c r="D135" s="3"/>
      <c r="E135" s="3"/>
      <c r="F135" s="3"/>
      <c r="G135" s="3"/>
      <c r="H135" s="3"/>
      <c r="I135" s="4"/>
      <c r="J135" s="83"/>
      <c r="K135" s="3"/>
      <c r="L135" s="4"/>
      <c r="M135" s="3"/>
      <c r="N135" s="379"/>
      <c r="O135" s="380"/>
      <c r="P135" s="379"/>
      <c r="Q135" s="380"/>
      <c r="R135" s="3"/>
      <c r="S135" s="4"/>
      <c r="T135" s="3"/>
      <c r="U135" s="81"/>
      <c r="V135" s="81"/>
      <c r="W135" s="81"/>
      <c r="X135" s="81"/>
      <c r="Y135" s="81"/>
      <c r="Z135" s="81"/>
    </row>
    <row r="136" spans="1:26" ht="24" customHeight="1" x14ac:dyDescent="0.5">
      <c r="A136" s="3"/>
      <c r="B136" s="3"/>
      <c r="C136" s="3"/>
      <c r="D136" s="3"/>
      <c r="E136" s="3"/>
      <c r="F136" s="3"/>
      <c r="G136" s="3"/>
      <c r="H136" s="3"/>
      <c r="I136" s="4"/>
      <c r="J136" s="83"/>
      <c r="K136" s="3"/>
      <c r="L136" s="4"/>
      <c r="M136" s="3"/>
      <c r="N136" s="379"/>
      <c r="O136" s="380"/>
      <c r="P136" s="379"/>
      <c r="Q136" s="380"/>
      <c r="R136" s="3"/>
      <c r="S136" s="4"/>
      <c r="T136" s="3"/>
      <c r="U136" s="81"/>
      <c r="V136" s="81"/>
      <c r="W136" s="81"/>
      <c r="X136" s="81"/>
      <c r="Y136" s="81"/>
      <c r="Z136" s="81"/>
    </row>
    <row r="137" spans="1:26" ht="24" customHeight="1" x14ac:dyDescent="0.5">
      <c r="A137" s="3"/>
      <c r="B137" s="3"/>
      <c r="C137" s="3"/>
      <c r="D137" s="3"/>
      <c r="E137" s="3"/>
      <c r="F137" s="3"/>
      <c r="G137" s="3"/>
      <c r="H137" s="3"/>
      <c r="I137" s="4"/>
      <c r="J137" s="83"/>
      <c r="K137" s="3"/>
      <c r="L137" s="4"/>
      <c r="M137" s="3"/>
      <c r="N137" s="379"/>
      <c r="O137" s="380"/>
      <c r="P137" s="379"/>
      <c r="Q137" s="380"/>
      <c r="R137" s="3"/>
      <c r="S137" s="4"/>
      <c r="T137" s="3"/>
      <c r="U137" s="81"/>
      <c r="V137" s="81"/>
      <c r="W137" s="81"/>
      <c r="X137" s="81"/>
      <c r="Y137" s="81"/>
      <c r="Z137" s="81"/>
    </row>
    <row r="138" spans="1:26" ht="24" customHeight="1" x14ac:dyDescent="0.5">
      <c r="A138" s="3"/>
      <c r="B138" s="3"/>
      <c r="C138" s="3"/>
      <c r="D138" s="3"/>
      <c r="E138" s="3"/>
      <c r="F138" s="3"/>
      <c r="G138" s="3"/>
      <c r="H138" s="3"/>
      <c r="I138" s="4"/>
      <c r="J138" s="83"/>
      <c r="K138" s="3"/>
      <c r="L138" s="4"/>
      <c r="M138" s="3"/>
      <c r="N138" s="379"/>
      <c r="O138" s="380"/>
      <c r="P138" s="379"/>
      <c r="Q138" s="380"/>
      <c r="R138" s="3"/>
      <c r="S138" s="4"/>
      <c r="T138" s="3"/>
      <c r="U138" s="81"/>
      <c r="V138" s="81"/>
      <c r="W138" s="81"/>
      <c r="X138" s="81"/>
      <c r="Y138" s="81"/>
      <c r="Z138" s="81"/>
    </row>
    <row r="139" spans="1:26" ht="24" customHeight="1" x14ac:dyDescent="0.5">
      <c r="A139" s="3"/>
      <c r="B139" s="3"/>
      <c r="C139" s="3"/>
      <c r="D139" s="3"/>
      <c r="E139" s="3"/>
      <c r="F139" s="3"/>
      <c r="G139" s="3"/>
      <c r="H139" s="3"/>
      <c r="I139" s="4"/>
      <c r="J139" s="83"/>
      <c r="K139" s="3"/>
      <c r="L139" s="4"/>
      <c r="M139" s="3"/>
      <c r="N139" s="379"/>
      <c r="O139" s="380"/>
      <c r="P139" s="379"/>
      <c r="Q139" s="380"/>
      <c r="R139" s="3"/>
      <c r="S139" s="4"/>
      <c r="T139" s="3"/>
      <c r="U139" s="81"/>
      <c r="V139" s="81"/>
      <c r="W139" s="81"/>
      <c r="X139" s="81"/>
      <c r="Y139" s="81"/>
      <c r="Z139" s="81"/>
    </row>
    <row r="140" spans="1:26" ht="24" customHeight="1" x14ac:dyDescent="0.5">
      <c r="A140" s="3"/>
      <c r="B140" s="3"/>
      <c r="C140" s="3"/>
      <c r="D140" s="3"/>
      <c r="E140" s="3"/>
      <c r="F140" s="3"/>
      <c r="G140" s="3"/>
      <c r="H140" s="3"/>
      <c r="I140" s="4"/>
      <c r="J140" s="83"/>
      <c r="K140" s="3"/>
      <c r="L140" s="4"/>
      <c r="M140" s="3"/>
      <c r="N140" s="379"/>
      <c r="O140" s="380"/>
      <c r="P140" s="379"/>
      <c r="Q140" s="380"/>
      <c r="R140" s="3"/>
      <c r="S140" s="4"/>
      <c r="T140" s="3"/>
      <c r="U140" s="81"/>
      <c r="V140" s="81"/>
      <c r="W140" s="81"/>
      <c r="X140" s="81"/>
      <c r="Y140" s="81"/>
      <c r="Z140" s="81"/>
    </row>
    <row r="141" spans="1:26" ht="24" customHeight="1" x14ac:dyDescent="0.5">
      <c r="A141" s="3"/>
      <c r="B141" s="3"/>
      <c r="C141" s="3"/>
      <c r="D141" s="3"/>
      <c r="E141" s="3"/>
      <c r="F141" s="3"/>
      <c r="G141" s="3"/>
      <c r="H141" s="3"/>
      <c r="I141" s="4"/>
      <c r="J141" s="83"/>
      <c r="K141" s="3"/>
      <c r="L141" s="4"/>
      <c r="M141" s="3"/>
      <c r="N141" s="379"/>
      <c r="O141" s="380"/>
      <c r="P141" s="379"/>
      <c r="Q141" s="380"/>
      <c r="R141" s="3"/>
      <c r="S141" s="4"/>
      <c r="T141" s="3"/>
      <c r="U141" s="81"/>
      <c r="V141" s="81"/>
      <c r="W141" s="81"/>
      <c r="X141" s="81"/>
      <c r="Y141" s="81"/>
      <c r="Z141" s="81"/>
    </row>
    <row r="142" spans="1:26" ht="24" customHeight="1" x14ac:dyDescent="0.5">
      <c r="A142" s="3"/>
      <c r="B142" s="3"/>
      <c r="C142" s="3"/>
      <c r="D142" s="3"/>
      <c r="E142" s="3"/>
      <c r="F142" s="3"/>
      <c r="G142" s="3"/>
      <c r="H142" s="3"/>
      <c r="I142" s="4"/>
      <c r="J142" s="83"/>
      <c r="K142" s="3"/>
      <c r="L142" s="4"/>
      <c r="M142" s="3"/>
      <c r="N142" s="379"/>
      <c r="O142" s="380"/>
      <c r="P142" s="379"/>
      <c r="Q142" s="380"/>
      <c r="R142" s="3"/>
      <c r="S142" s="4"/>
      <c r="T142" s="3"/>
      <c r="U142" s="81"/>
      <c r="V142" s="81"/>
      <c r="W142" s="81"/>
      <c r="X142" s="81"/>
      <c r="Y142" s="81"/>
      <c r="Z142" s="81"/>
    </row>
    <row r="143" spans="1:26" ht="24" customHeight="1" x14ac:dyDescent="0.5">
      <c r="A143" s="3"/>
      <c r="B143" s="3"/>
      <c r="C143" s="3"/>
      <c r="D143" s="3"/>
      <c r="E143" s="3"/>
      <c r="F143" s="3"/>
      <c r="G143" s="3"/>
      <c r="H143" s="3"/>
      <c r="I143" s="4"/>
      <c r="J143" s="83"/>
      <c r="K143" s="3"/>
      <c r="L143" s="4"/>
      <c r="M143" s="3"/>
      <c r="N143" s="379"/>
      <c r="O143" s="380"/>
      <c r="P143" s="379"/>
      <c r="Q143" s="380"/>
      <c r="R143" s="3"/>
      <c r="S143" s="4"/>
      <c r="T143" s="3"/>
      <c r="U143" s="81"/>
      <c r="V143" s="81"/>
      <c r="W143" s="81"/>
      <c r="X143" s="81"/>
      <c r="Y143" s="81"/>
      <c r="Z143" s="81"/>
    </row>
    <row r="144" spans="1:26" ht="24" customHeight="1" x14ac:dyDescent="0.5">
      <c r="A144" s="3"/>
      <c r="B144" s="3"/>
      <c r="C144" s="3"/>
      <c r="D144" s="3"/>
      <c r="E144" s="3"/>
      <c r="F144" s="3"/>
      <c r="G144" s="3"/>
      <c r="H144" s="3"/>
      <c r="I144" s="4"/>
      <c r="J144" s="83"/>
      <c r="K144" s="3"/>
      <c r="L144" s="4"/>
      <c r="M144" s="3"/>
      <c r="N144" s="379"/>
      <c r="O144" s="380"/>
      <c r="P144" s="379"/>
      <c r="Q144" s="380"/>
      <c r="R144" s="3"/>
      <c r="S144" s="4"/>
      <c r="T144" s="3"/>
      <c r="U144" s="81"/>
      <c r="V144" s="81"/>
      <c r="W144" s="81"/>
      <c r="X144" s="81"/>
      <c r="Y144" s="81"/>
      <c r="Z144" s="81"/>
    </row>
    <row r="145" spans="1:26" ht="24" customHeight="1" x14ac:dyDescent="0.5">
      <c r="A145" s="3"/>
      <c r="B145" s="3"/>
      <c r="C145" s="3"/>
      <c r="D145" s="3"/>
      <c r="E145" s="3"/>
      <c r="F145" s="3"/>
      <c r="G145" s="3"/>
      <c r="H145" s="3"/>
      <c r="I145" s="4"/>
      <c r="J145" s="83"/>
      <c r="K145" s="3"/>
      <c r="L145" s="4"/>
      <c r="M145" s="3"/>
      <c r="N145" s="379"/>
      <c r="O145" s="380"/>
      <c r="P145" s="379"/>
      <c r="Q145" s="380"/>
      <c r="R145" s="3"/>
      <c r="S145" s="4"/>
      <c r="T145" s="3"/>
      <c r="U145" s="81"/>
      <c r="V145" s="81"/>
      <c r="W145" s="81"/>
      <c r="X145" s="81"/>
      <c r="Y145" s="81"/>
      <c r="Z145" s="81"/>
    </row>
    <row r="146" spans="1:26" ht="24" customHeight="1" x14ac:dyDescent="0.5">
      <c r="A146" s="3"/>
      <c r="B146" s="3"/>
      <c r="C146" s="3"/>
      <c r="D146" s="3"/>
      <c r="E146" s="3"/>
      <c r="F146" s="3"/>
      <c r="G146" s="3"/>
      <c r="H146" s="3"/>
      <c r="I146" s="4"/>
      <c r="J146" s="83"/>
      <c r="K146" s="3"/>
      <c r="L146" s="4"/>
      <c r="M146" s="3"/>
      <c r="N146" s="379"/>
      <c r="O146" s="380"/>
      <c r="P146" s="379"/>
      <c r="Q146" s="380"/>
      <c r="R146" s="3"/>
      <c r="S146" s="4"/>
      <c r="T146" s="3"/>
      <c r="U146" s="81"/>
      <c r="V146" s="81"/>
      <c r="W146" s="81"/>
      <c r="X146" s="81"/>
      <c r="Y146" s="81"/>
      <c r="Z146" s="81"/>
    </row>
    <row r="147" spans="1:26" ht="24" customHeight="1" x14ac:dyDescent="0.5">
      <c r="A147" s="3"/>
      <c r="B147" s="3"/>
      <c r="C147" s="3"/>
      <c r="D147" s="3"/>
      <c r="E147" s="3"/>
      <c r="F147" s="3"/>
      <c r="G147" s="3"/>
      <c r="H147" s="3"/>
      <c r="I147" s="4"/>
      <c r="J147" s="83"/>
      <c r="K147" s="3"/>
      <c r="L147" s="4"/>
      <c r="M147" s="3"/>
      <c r="N147" s="379"/>
      <c r="O147" s="380"/>
      <c r="P147" s="379"/>
      <c r="Q147" s="380"/>
      <c r="R147" s="3"/>
      <c r="S147" s="4"/>
      <c r="T147" s="3"/>
      <c r="U147" s="81"/>
      <c r="V147" s="81"/>
      <c r="W147" s="81"/>
      <c r="X147" s="81"/>
      <c r="Y147" s="81"/>
      <c r="Z147" s="81"/>
    </row>
    <row r="148" spans="1:26" ht="24" customHeight="1" x14ac:dyDescent="0.5">
      <c r="A148" s="3"/>
      <c r="B148" s="3"/>
      <c r="C148" s="3"/>
      <c r="D148" s="3"/>
      <c r="E148" s="3"/>
      <c r="F148" s="3"/>
      <c r="G148" s="3"/>
      <c r="H148" s="3"/>
      <c r="I148" s="4"/>
      <c r="J148" s="83"/>
      <c r="K148" s="3"/>
      <c r="L148" s="4"/>
      <c r="M148" s="3"/>
      <c r="N148" s="379"/>
      <c r="O148" s="380"/>
      <c r="P148" s="379"/>
      <c r="Q148" s="380"/>
      <c r="R148" s="3"/>
      <c r="S148" s="4"/>
      <c r="T148" s="3"/>
      <c r="U148" s="81"/>
      <c r="V148" s="81"/>
      <c r="W148" s="81"/>
      <c r="X148" s="81"/>
      <c r="Y148" s="81"/>
      <c r="Z148" s="81"/>
    </row>
    <row r="149" spans="1:26" ht="24" customHeight="1" x14ac:dyDescent="0.5">
      <c r="A149" s="3"/>
      <c r="B149" s="3"/>
      <c r="C149" s="3"/>
      <c r="D149" s="3"/>
      <c r="E149" s="3"/>
      <c r="F149" s="3"/>
      <c r="G149" s="3"/>
      <c r="H149" s="3"/>
      <c r="I149" s="4"/>
      <c r="J149" s="83"/>
      <c r="K149" s="3"/>
      <c r="L149" s="4"/>
      <c r="M149" s="3"/>
      <c r="N149" s="379"/>
      <c r="O149" s="380"/>
      <c r="P149" s="379"/>
      <c r="Q149" s="380"/>
      <c r="R149" s="3"/>
      <c r="S149" s="4"/>
      <c r="T149" s="3"/>
      <c r="U149" s="81"/>
      <c r="V149" s="81"/>
      <c r="W149" s="81"/>
      <c r="X149" s="81"/>
      <c r="Y149" s="81"/>
      <c r="Z149" s="81"/>
    </row>
    <row r="150" spans="1:26" ht="24" customHeight="1" x14ac:dyDescent="0.5">
      <c r="A150" s="3"/>
      <c r="B150" s="3"/>
      <c r="C150" s="3"/>
      <c r="D150" s="3"/>
      <c r="E150" s="3"/>
      <c r="F150" s="3"/>
      <c r="G150" s="3"/>
      <c r="H150" s="3"/>
      <c r="I150" s="4"/>
      <c r="J150" s="83"/>
      <c r="K150" s="3"/>
      <c r="L150" s="4"/>
      <c r="M150" s="3"/>
      <c r="N150" s="379"/>
      <c r="O150" s="380"/>
      <c r="P150" s="379"/>
      <c r="Q150" s="380"/>
      <c r="R150" s="3"/>
      <c r="S150" s="4"/>
      <c r="T150" s="3"/>
      <c r="U150" s="81"/>
      <c r="V150" s="81"/>
      <c r="W150" s="81"/>
      <c r="X150" s="81"/>
      <c r="Y150" s="81"/>
      <c r="Z150" s="81"/>
    </row>
    <row r="151" spans="1:26" ht="24" customHeight="1" x14ac:dyDescent="0.5">
      <c r="A151" s="3"/>
      <c r="B151" s="3"/>
      <c r="C151" s="3"/>
      <c r="D151" s="3"/>
      <c r="E151" s="3"/>
      <c r="F151" s="3"/>
      <c r="G151" s="3"/>
      <c r="H151" s="3"/>
      <c r="I151" s="4"/>
      <c r="J151" s="83"/>
      <c r="K151" s="3"/>
      <c r="L151" s="4"/>
      <c r="M151" s="3"/>
      <c r="N151" s="379"/>
      <c r="O151" s="380"/>
      <c r="P151" s="379"/>
      <c r="Q151" s="380"/>
      <c r="R151" s="3"/>
      <c r="S151" s="4"/>
      <c r="T151" s="3"/>
      <c r="U151" s="81"/>
      <c r="V151" s="81"/>
      <c r="W151" s="81"/>
      <c r="X151" s="81"/>
      <c r="Y151" s="81"/>
      <c r="Z151" s="81"/>
    </row>
    <row r="152" spans="1:26" ht="24" customHeight="1" x14ac:dyDescent="0.5">
      <c r="A152" s="3"/>
      <c r="B152" s="3"/>
      <c r="C152" s="3"/>
      <c r="D152" s="3"/>
      <c r="E152" s="3"/>
      <c r="F152" s="3"/>
      <c r="G152" s="3"/>
      <c r="H152" s="3"/>
      <c r="I152" s="4"/>
      <c r="J152" s="83"/>
      <c r="K152" s="3"/>
      <c r="L152" s="4"/>
      <c r="M152" s="3"/>
      <c r="N152" s="379"/>
      <c r="O152" s="380"/>
      <c r="P152" s="379"/>
      <c r="Q152" s="380"/>
      <c r="R152" s="3"/>
      <c r="S152" s="4"/>
      <c r="T152" s="3"/>
      <c r="U152" s="81"/>
      <c r="V152" s="81"/>
      <c r="W152" s="81"/>
      <c r="X152" s="81"/>
      <c r="Y152" s="81"/>
      <c r="Z152" s="81"/>
    </row>
    <row r="153" spans="1:26" ht="24" customHeight="1" x14ac:dyDescent="0.5">
      <c r="A153" s="3"/>
      <c r="B153" s="3"/>
      <c r="C153" s="3"/>
      <c r="D153" s="3"/>
      <c r="E153" s="3"/>
      <c r="F153" s="3"/>
      <c r="G153" s="3"/>
      <c r="H153" s="3"/>
      <c r="I153" s="4"/>
      <c r="J153" s="83"/>
      <c r="K153" s="3"/>
      <c r="L153" s="4"/>
      <c r="M153" s="3"/>
      <c r="N153" s="379"/>
      <c r="O153" s="380"/>
      <c r="P153" s="379"/>
      <c r="Q153" s="380"/>
      <c r="R153" s="3"/>
      <c r="S153" s="4"/>
      <c r="T153" s="3"/>
      <c r="U153" s="81"/>
      <c r="V153" s="81"/>
      <c r="W153" s="81"/>
      <c r="X153" s="81"/>
      <c r="Y153" s="81"/>
      <c r="Z153" s="81"/>
    </row>
    <row r="154" spans="1:26" ht="24" customHeight="1" x14ac:dyDescent="0.5">
      <c r="A154" s="3"/>
      <c r="B154" s="3"/>
      <c r="C154" s="3"/>
      <c r="D154" s="3"/>
      <c r="E154" s="3"/>
      <c r="F154" s="3"/>
      <c r="G154" s="3"/>
      <c r="H154" s="3"/>
      <c r="I154" s="4"/>
      <c r="J154" s="83"/>
      <c r="K154" s="3"/>
      <c r="L154" s="4"/>
      <c r="M154" s="3"/>
      <c r="N154" s="379"/>
      <c r="O154" s="380"/>
      <c r="P154" s="379"/>
      <c r="Q154" s="380"/>
      <c r="R154" s="3"/>
      <c r="S154" s="4"/>
      <c r="T154" s="3"/>
      <c r="U154" s="81"/>
      <c r="V154" s="81"/>
      <c r="W154" s="81"/>
      <c r="X154" s="81"/>
      <c r="Y154" s="81"/>
      <c r="Z154" s="81"/>
    </row>
    <row r="155" spans="1:26" ht="24" customHeight="1" x14ac:dyDescent="0.5">
      <c r="A155" s="3"/>
      <c r="B155" s="3"/>
      <c r="C155" s="3"/>
      <c r="D155" s="3"/>
      <c r="E155" s="3"/>
      <c r="F155" s="3"/>
      <c r="G155" s="3"/>
      <c r="H155" s="3"/>
      <c r="I155" s="4"/>
      <c r="J155" s="83"/>
      <c r="K155" s="3"/>
      <c r="L155" s="4"/>
      <c r="M155" s="3"/>
      <c r="N155" s="379"/>
      <c r="O155" s="380"/>
      <c r="P155" s="379"/>
      <c r="Q155" s="380"/>
      <c r="R155" s="3"/>
      <c r="S155" s="4"/>
      <c r="T155" s="3"/>
      <c r="U155" s="81"/>
      <c r="V155" s="81"/>
      <c r="W155" s="81"/>
      <c r="X155" s="81"/>
      <c r="Y155" s="81"/>
      <c r="Z155" s="81"/>
    </row>
    <row r="156" spans="1:26" ht="24" customHeight="1" x14ac:dyDescent="0.5">
      <c r="A156" s="3"/>
      <c r="B156" s="3"/>
      <c r="C156" s="3"/>
      <c r="D156" s="3"/>
      <c r="E156" s="3"/>
      <c r="F156" s="3"/>
      <c r="G156" s="3"/>
      <c r="H156" s="3"/>
      <c r="I156" s="4"/>
      <c r="J156" s="83"/>
      <c r="K156" s="3"/>
      <c r="L156" s="4"/>
      <c r="M156" s="3"/>
      <c r="N156" s="379"/>
      <c r="O156" s="380"/>
      <c r="P156" s="379"/>
      <c r="Q156" s="380"/>
      <c r="R156" s="3"/>
      <c r="S156" s="4"/>
      <c r="T156" s="3"/>
      <c r="U156" s="81"/>
      <c r="V156" s="81"/>
      <c r="W156" s="81"/>
      <c r="X156" s="81"/>
      <c r="Y156" s="81"/>
      <c r="Z156" s="81"/>
    </row>
    <row r="157" spans="1:26" ht="24" customHeight="1" x14ac:dyDescent="0.5">
      <c r="A157" s="3"/>
      <c r="B157" s="3"/>
      <c r="C157" s="3"/>
      <c r="D157" s="3"/>
      <c r="E157" s="3"/>
      <c r="F157" s="3"/>
      <c r="G157" s="3"/>
      <c r="H157" s="3"/>
      <c r="I157" s="4"/>
      <c r="J157" s="83"/>
      <c r="K157" s="3"/>
      <c r="L157" s="4"/>
      <c r="M157" s="3"/>
      <c r="N157" s="379"/>
      <c r="O157" s="380"/>
      <c r="P157" s="379"/>
      <c r="Q157" s="380"/>
      <c r="R157" s="3"/>
      <c r="S157" s="4"/>
      <c r="T157" s="3"/>
      <c r="U157" s="81"/>
      <c r="V157" s="81"/>
      <c r="W157" s="81"/>
      <c r="X157" s="81"/>
      <c r="Y157" s="81"/>
      <c r="Z157" s="81"/>
    </row>
    <row r="158" spans="1:26" ht="24" customHeight="1" x14ac:dyDescent="0.5">
      <c r="A158" s="3"/>
      <c r="B158" s="3"/>
      <c r="C158" s="3"/>
      <c r="D158" s="3"/>
      <c r="E158" s="3"/>
      <c r="F158" s="3"/>
      <c r="G158" s="3"/>
      <c r="H158" s="3"/>
      <c r="I158" s="4"/>
      <c r="J158" s="83"/>
      <c r="K158" s="3"/>
      <c r="L158" s="4"/>
      <c r="M158" s="3"/>
      <c r="N158" s="379"/>
      <c r="O158" s="380"/>
      <c r="P158" s="379"/>
      <c r="Q158" s="380"/>
      <c r="R158" s="3"/>
      <c r="S158" s="4"/>
      <c r="T158" s="3"/>
      <c r="U158" s="81"/>
      <c r="V158" s="81"/>
      <c r="W158" s="81"/>
      <c r="X158" s="81"/>
      <c r="Y158" s="81"/>
      <c r="Z158" s="81"/>
    </row>
    <row r="159" spans="1:26" ht="24" customHeight="1" x14ac:dyDescent="0.5">
      <c r="A159" s="3"/>
      <c r="B159" s="3"/>
      <c r="C159" s="3"/>
      <c r="D159" s="3"/>
      <c r="E159" s="3"/>
      <c r="F159" s="3"/>
      <c r="G159" s="3"/>
      <c r="H159" s="3"/>
      <c r="I159" s="4"/>
      <c r="J159" s="83"/>
      <c r="K159" s="3"/>
      <c r="L159" s="4"/>
      <c r="M159" s="3"/>
      <c r="N159" s="379"/>
      <c r="O159" s="380"/>
      <c r="P159" s="379"/>
      <c r="Q159" s="380"/>
      <c r="R159" s="3"/>
      <c r="S159" s="4"/>
      <c r="T159" s="3"/>
      <c r="U159" s="81"/>
      <c r="V159" s="81"/>
      <c r="W159" s="81"/>
      <c r="X159" s="81"/>
      <c r="Y159" s="81"/>
      <c r="Z159" s="81"/>
    </row>
    <row r="160" spans="1:26" ht="24" customHeight="1" x14ac:dyDescent="0.5">
      <c r="A160" s="3"/>
      <c r="B160" s="3"/>
      <c r="C160" s="3"/>
      <c r="D160" s="3"/>
      <c r="E160" s="3"/>
      <c r="F160" s="3"/>
      <c r="G160" s="3"/>
      <c r="H160" s="3"/>
      <c r="I160" s="4"/>
      <c r="J160" s="83"/>
      <c r="K160" s="3"/>
      <c r="L160" s="4"/>
      <c r="M160" s="3"/>
      <c r="N160" s="379"/>
      <c r="O160" s="380"/>
      <c r="P160" s="379"/>
      <c r="Q160" s="380"/>
      <c r="R160" s="3"/>
      <c r="S160" s="4"/>
      <c r="T160" s="3"/>
      <c r="U160" s="81"/>
      <c r="V160" s="81"/>
      <c r="W160" s="81"/>
      <c r="X160" s="81"/>
      <c r="Y160" s="81"/>
      <c r="Z160" s="81"/>
    </row>
    <row r="161" spans="1:26" ht="24" customHeight="1" x14ac:dyDescent="0.5">
      <c r="A161" s="3"/>
      <c r="B161" s="3"/>
      <c r="C161" s="3"/>
      <c r="D161" s="3"/>
      <c r="E161" s="3"/>
      <c r="F161" s="3"/>
      <c r="G161" s="3"/>
      <c r="H161" s="3"/>
      <c r="I161" s="4"/>
      <c r="J161" s="83"/>
      <c r="K161" s="3"/>
      <c r="L161" s="4"/>
      <c r="M161" s="3"/>
      <c r="N161" s="379"/>
      <c r="O161" s="380"/>
      <c r="P161" s="379"/>
      <c r="Q161" s="380"/>
      <c r="R161" s="3"/>
      <c r="S161" s="4"/>
      <c r="T161" s="3"/>
      <c r="U161" s="81"/>
      <c r="V161" s="81"/>
      <c r="W161" s="81"/>
      <c r="X161" s="81"/>
      <c r="Y161" s="81"/>
      <c r="Z161" s="81"/>
    </row>
    <row r="162" spans="1:26" ht="24" customHeight="1" x14ac:dyDescent="0.5">
      <c r="A162" s="3"/>
      <c r="B162" s="3"/>
      <c r="C162" s="3"/>
      <c r="D162" s="3"/>
      <c r="E162" s="3"/>
      <c r="F162" s="3"/>
      <c r="G162" s="3"/>
      <c r="H162" s="3"/>
      <c r="I162" s="4"/>
      <c r="J162" s="83"/>
      <c r="K162" s="3"/>
      <c r="L162" s="4"/>
      <c r="M162" s="3"/>
      <c r="N162" s="379"/>
      <c r="O162" s="380"/>
      <c r="P162" s="379"/>
      <c r="Q162" s="380"/>
      <c r="R162" s="3"/>
      <c r="S162" s="4"/>
      <c r="T162" s="3"/>
      <c r="U162" s="81"/>
      <c r="V162" s="81"/>
      <c r="W162" s="81"/>
      <c r="X162" s="81"/>
      <c r="Y162" s="81"/>
      <c r="Z162" s="81"/>
    </row>
    <row r="163" spans="1:26" ht="24" customHeight="1" x14ac:dyDescent="0.5">
      <c r="A163" s="3"/>
      <c r="B163" s="3"/>
      <c r="C163" s="3"/>
      <c r="D163" s="3"/>
      <c r="E163" s="3"/>
      <c r="F163" s="3"/>
      <c r="G163" s="3"/>
      <c r="H163" s="3"/>
      <c r="I163" s="4"/>
      <c r="J163" s="83"/>
      <c r="K163" s="3"/>
      <c r="L163" s="4"/>
      <c r="M163" s="3"/>
      <c r="N163" s="379"/>
      <c r="O163" s="380"/>
      <c r="P163" s="379"/>
      <c r="Q163" s="380"/>
      <c r="R163" s="3"/>
      <c r="S163" s="4"/>
      <c r="T163" s="3"/>
      <c r="U163" s="81"/>
      <c r="V163" s="81"/>
      <c r="W163" s="81"/>
      <c r="X163" s="81"/>
      <c r="Y163" s="81"/>
      <c r="Z163" s="81"/>
    </row>
    <row r="164" spans="1:26" ht="24" customHeight="1" x14ac:dyDescent="0.5">
      <c r="A164" s="3"/>
      <c r="B164" s="3"/>
      <c r="C164" s="3"/>
      <c r="D164" s="3"/>
      <c r="E164" s="3"/>
      <c r="F164" s="3"/>
      <c r="G164" s="3"/>
      <c r="H164" s="3"/>
      <c r="I164" s="4"/>
      <c r="J164" s="83"/>
      <c r="K164" s="3"/>
      <c r="L164" s="4"/>
      <c r="M164" s="3"/>
      <c r="N164" s="379"/>
      <c r="O164" s="380"/>
      <c r="P164" s="379"/>
      <c r="Q164" s="380"/>
      <c r="R164" s="3"/>
      <c r="S164" s="4"/>
      <c r="T164" s="3"/>
      <c r="U164" s="81"/>
      <c r="V164" s="81"/>
      <c r="W164" s="81"/>
      <c r="X164" s="81"/>
      <c r="Y164" s="81"/>
      <c r="Z164" s="81"/>
    </row>
    <row r="165" spans="1:26" ht="24" customHeight="1" x14ac:dyDescent="0.5">
      <c r="A165" s="3"/>
      <c r="B165" s="3"/>
      <c r="C165" s="3"/>
      <c r="D165" s="3"/>
      <c r="E165" s="3"/>
      <c r="F165" s="3"/>
      <c r="G165" s="3"/>
      <c r="H165" s="3"/>
      <c r="I165" s="4"/>
      <c r="J165" s="83"/>
      <c r="K165" s="3"/>
      <c r="L165" s="4"/>
      <c r="M165" s="3"/>
      <c r="N165" s="379"/>
      <c r="O165" s="380"/>
      <c r="P165" s="379"/>
      <c r="Q165" s="380"/>
      <c r="R165" s="3"/>
      <c r="S165" s="4"/>
      <c r="T165" s="3"/>
      <c r="U165" s="81"/>
      <c r="V165" s="81"/>
      <c r="W165" s="81"/>
      <c r="X165" s="81"/>
      <c r="Y165" s="81"/>
      <c r="Z165" s="81"/>
    </row>
    <row r="166" spans="1:26" ht="24" customHeight="1" x14ac:dyDescent="0.5">
      <c r="A166" s="3"/>
      <c r="B166" s="3"/>
      <c r="C166" s="3"/>
      <c r="D166" s="3"/>
      <c r="E166" s="3"/>
      <c r="F166" s="3"/>
      <c r="G166" s="3"/>
      <c r="H166" s="3"/>
      <c r="I166" s="4"/>
      <c r="J166" s="83"/>
      <c r="K166" s="3"/>
      <c r="L166" s="4"/>
      <c r="M166" s="3"/>
      <c r="N166" s="379"/>
      <c r="O166" s="380"/>
      <c r="P166" s="379"/>
      <c r="Q166" s="380"/>
      <c r="R166" s="3"/>
      <c r="S166" s="4"/>
      <c r="T166" s="3"/>
      <c r="U166" s="81"/>
      <c r="V166" s="81"/>
      <c r="W166" s="81"/>
      <c r="X166" s="81"/>
      <c r="Y166" s="81"/>
      <c r="Z166" s="81"/>
    </row>
    <row r="167" spans="1:26" ht="24" customHeight="1" x14ac:dyDescent="0.5">
      <c r="A167" s="3"/>
      <c r="B167" s="3"/>
      <c r="C167" s="3"/>
      <c r="D167" s="3"/>
      <c r="E167" s="3"/>
      <c r="F167" s="3"/>
      <c r="G167" s="3"/>
      <c r="H167" s="3"/>
      <c r="I167" s="4"/>
      <c r="J167" s="83"/>
      <c r="K167" s="3"/>
      <c r="L167" s="4"/>
      <c r="M167" s="3"/>
      <c r="N167" s="379"/>
      <c r="O167" s="380"/>
      <c r="P167" s="379"/>
      <c r="Q167" s="380"/>
      <c r="R167" s="3"/>
      <c r="S167" s="4"/>
      <c r="T167" s="3"/>
      <c r="U167" s="81"/>
      <c r="V167" s="81"/>
      <c r="W167" s="81"/>
      <c r="X167" s="81"/>
      <c r="Y167" s="81"/>
      <c r="Z167" s="81"/>
    </row>
    <row r="168" spans="1:26" ht="24" customHeight="1" x14ac:dyDescent="0.5">
      <c r="A168" s="3"/>
      <c r="B168" s="3"/>
      <c r="C168" s="3"/>
      <c r="D168" s="3"/>
      <c r="E168" s="3"/>
      <c r="F168" s="3"/>
      <c r="G168" s="3"/>
      <c r="H168" s="3"/>
      <c r="I168" s="4"/>
      <c r="J168" s="83"/>
      <c r="K168" s="3"/>
      <c r="L168" s="4"/>
      <c r="M168" s="3"/>
      <c r="N168" s="379"/>
      <c r="O168" s="380"/>
      <c r="P168" s="379"/>
      <c r="Q168" s="380"/>
      <c r="R168" s="3"/>
      <c r="S168" s="4"/>
      <c r="T168" s="3"/>
      <c r="U168" s="81"/>
      <c r="V168" s="81"/>
      <c r="W168" s="81"/>
      <c r="X168" s="81"/>
      <c r="Y168" s="81"/>
      <c r="Z168" s="81"/>
    </row>
    <row r="169" spans="1:26" ht="24" customHeight="1" x14ac:dyDescent="0.5">
      <c r="A169" s="3"/>
      <c r="B169" s="3"/>
      <c r="C169" s="3"/>
      <c r="D169" s="3"/>
      <c r="E169" s="3"/>
      <c r="F169" s="3"/>
      <c r="G169" s="3"/>
      <c r="H169" s="3"/>
      <c r="I169" s="4"/>
      <c r="J169" s="83"/>
      <c r="K169" s="3"/>
      <c r="L169" s="4"/>
      <c r="M169" s="3"/>
      <c r="N169" s="379"/>
      <c r="O169" s="380"/>
      <c r="P169" s="379"/>
      <c r="Q169" s="380"/>
      <c r="R169" s="3"/>
      <c r="S169" s="4"/>
      <c r="T169" s="3"/>
      <c r="U169" s="81"/>
      <c r="V169" s="81"/>
      <c r="W169" s="81"/>
      <c r="X169" s="81"/>
      <c r="Y169" s="81"/>
      <c r="Z169" s="81"/>
    </row>
    <row r="170" spans="1:26" ht="24" customHeight="1" x14ac:dyDescent="0.5">
      <c r="A170" s="3"/>
      <c r="B170" s="3"/>
      <c r="C170" s="3"/>
      <c r="D170" s="3"/>
      <c r="E170" s="3"/>
      <c r="F170" s="3"/>
      <c r="G170" s="3"/>
      <c r="H170" s="3"/>
      <c r="I170" s="4"/>
      <c r="J170" s="83"/>
      <c r="K170" s="3"/>
      <c r="L170" s="4"/>
      <c r="M170" s="3"/>
      <c r="N170" s="379"/>
      <c r="O170" s="380"/>
      <c r="P170" s="379"/>
      <c r="Q170" s="380"/>
      <c r="R170" s="3"/>
      <c r="S170" s="4"/>
      <c r="T170" s="3"/>
      <c r="U170" s="81"/>
      <c r="V170" s="81"/>
      <c r="W170" s="81"/>
      <c r="X170" s="81"/>
      <c r="Y170" s="81"/>
      <c r="Z170" s="81"/>
    </row>
    <row r="171" spans="1:26" ht="24" customHeight="1" x14ac:dyDescent="0.5">
      <c r="A171" s="3"/>
      <c r="B171" s="3"/>
      <c r="C171" s="3"/>
      <c r="D171" s="3"/>
      <c r="E171" s="3"/>
      <c r="F171" s="3"/>
      <c r="G171" s="3"/>
      <c r="H171" s="3"/>
      <c r="I171" s="4"/>
      <c r="J171" s="83"/>
      <c r="K171" s="3"/>
      <c r="L171" s="4"/>
      <c r="M171" s="3"/>
      <c r="N171" s="379"/>
      <c r="O171" s="380"/>
      <c r="P171" s="379"/>
      <c r="Q171" s="380"/>
      <c r="R171" s="3"/>
      <c r="S171" s="4"/>
      <c r="T171" s="3"/>
      <c r="U171" s="81"/>
      <c r="V171" s="81"/>
      <c r="W171" s="81"/>
      <c r="X171" s="81"/>
      <c r="Y171" s="81"/>
      <c r="Z171" s="81"/>
    </row>
    <row r="172" spans="1:26" ht="24" customHeight="1" x14ac:dyDescent="0.5">
      <c r="A172" s="3"/>
      <c r="B172" s="3"/>
      <c r="C172" s="3"/>
      <c r="D172" s="3"/>
      <c r="E172" s="3"/>
      <c r="F172" s="3"/>
      <c r="G172" s="3"/>
      <c r="H172" s="3"/>
      <c r="I172" s="4"/>
      <c r="J172" s="83"/>
      <c r="K172" s="3"/>
      <c r="L172" s="4"/>
      <c r="M172" s="3"/>
      <c r="N172" s="379"/>
      <c r="O172" s="380"/>
      <c r="P172" s="379"/>
      <c r="Q172" s="380"/>
      <c r="R172" s="3"/>
      <c r="S172" s="4"/>
      <c r="T172" s="3"/>
      <c r="U172" s="81"/>
      <c r="V172" s="81"/>
      <c r="W172" s="81"/>
      <c r="X172" s="81"/>
      <c r="Y172" s="81"/>
      <c r="Z172" s="81"/>
    </row>
    <row r="173" spans="1:26" ht="24" customHeight="1" x14ac:dyDescent="0.5">
      <c r="A173" s="3"/>
      <c r="B173" s="3"/>
      <c r="C173" s="3"/>
      <c r="D173" s="3"/>
      <c r="E173" s="3"/>
      <c r="F173" s="3"/>
      <c r="G173" s="3"/>
      <c r="H173" s="3"/>
      <c r="I173" s="4"/>
      <c r="J173" s="83"/>
      <c r="K173" s="3"/>
      <c r="L173" s="4"/>
      <c r="M173" s="3"/>
      <c r="N173" s="379"/>
      <c r="O173" s="380"/>
      <c r="P173" s="379"/>
      <c r="Q173" s="380"/>
      <c r="R173" s="3"/>
      <c r="S173" s="4"/>
      <c r="T173" s="3"/>
      <c r="U173" s="81"/>
      <c r="V173" s="81"/>
      <c r="W173" s="81"/>
      <c r="X173" s="81"/>
      <c r="Y173" s="81"/>
      <c r="Z173" s="81"/>
    </row>
    <row r="174" spans="1:26" ht="24" customHeight="1" x14ac:dyDescent="0.5">
      <c r="A174" s="3"/>
      <c r="B174" s="3"/>
      <c r="C174" s="3"/>
      <c r="D174" s="3"/>
      <c r="E174" s="3"/>
      <c r="F174" s="3"/>
      <c r="G174" s="3"/>
      <c r="H174" s="3"/>
      <c r="I174" s="4"/>
      <c r="J174" s="83"/>
      <c r="K174" s="3"/>
      <c r="L174" s="4"/>
      <c r="M174" s="3"/>
      <c r="N174" s="379"/>
      <c r="O174" s="380"/>
      <c r="P174" s="379"/>
      <c r="Q174" s="380"/>
      <c r="R174" s="3"/>
      <c r="S174" s="4"/>
      <c r="T174" s="3"/>
      <c r="U174" s="81"/>
      <c r="V174" s="81"/>
      <c r="W174" s="81"/>
      <c r="X174" s="81"/>
      <c r="Y174" s="81"/>
      <c r="Z174" s="81"/>
    </row>
    <row r="175" spans="1:26" ht="24" customHeight="1" x14ac:dyDescent="0.5">
      <c r="A175" s="3"/>
      <c r="B175" s="3"/>
      <c r="C175" s="3"/>
      <c r="D175" s="3"/>
      <c r="E175" s="3"/>
      <c r="F175" s="3"/>
      <c r="G175" s="3"/>
      <c r="H175" s="3"/>
      <c r="I175" s="4"/>
      <c r="J175" s="83"/>
      <c r="K175" s="3"/>
      <c r="L175" s="4"/>
      <c r="M175" s="3"/>
      <c r="N175" s="379"/>
      <c r="O175" s="380"/>
      <c r="P175" s="379"/>
      <c r="Q175" s="380"/>
      <c r="R175" s="3"/>
      <c r="S175" s="4"/>
      <c r="T175" s="3"/>
      <c r="U175" s="81"/>
      <c r="V175" s="81"/>
      <c r="W175" s="81"/>
      <c r="X175" s="81"/>
      <c r="Y175" s="81"/>
      <c r="Z175" s="81"/>
    </row>
    <row r="176" spans="1:26" ht="24" customHeight="1" x14ac:dyDescent="0.5">
      <c r="A176" s="3"/>
      <c r="B176" s="3"/>
      <c r="C176" s="3"/>
      <c r="D176" s="3"/>
      <c r="E176" s="3"/>
      <c r="F176" s="3"/>
      <c r="G176" s="3"/>
      <c r="H176" s="3"/>
      <c r="I176" s="4"/>
      <c r="J176" s="83"/>
      <c r="K176" s="3"/>
      <c r="L176" s="4"/>
      <c r="M176" s="3"/>
      <c r="N176" s="379"/>
      <c r="O176" s="380"/>
      <c r="P176" s="379"/>
      <c r="Q176" s="380"/>
      <c r="R176" s="3"/>
      <c r="S176" s="4"/>
      <c r="T176" s="3"/>
      <c r="U176" s="81"/>
      <c r="V176" s="81"/>
      <c r="W176" s="81"/>
      <c r="X176" s="81"/>
      <c r="Y176" s="81"/>
      <c r="Z176" s="81"/>
    </row>
    <row r="177" spans="1:26" ht="24" customHeight="1" x14ac:dyDescent="0.5">
      <c r="A177" s="3"/>
      <c r="B177" s="3"/>
      <c r="C177" s="3"/>
      <c r="D177" s="3"/>
      <c r="E177" s="3"/>
      <c r="F177" s="3"/>
      <c r="G177" s="3"/>
      <c r="H177" s="3"/>
      <c r="I177" s="4"/>
      <c r="J177" s="83"/>
      <c r="K177" s="3"/>
      <c r="L177" s="4"/>
      <c r="M177" s="3"/>
      <c r="N177" s="379"/>
      <c r="O177" s="380"/>
      <c r="P177" s="379"/>
      <c r="Q177" s="380"/>
      <c r="R177" s="3"/>
      <c r="S177" s="4"/>
      <c r="T177" s="3"/>
      <c r="U177" s="81"/>
      <c r="V177" s="81"/>
      <c r="W177" s="81"/>
      <c r="X177" s="81"/>
      <c r="Y177" s="81"/>
      <c r="Z177" s="81"/>
    </row>
    <row r="178" spans="1:26" ht="24" customHeight="1" x14ac:dyDescent="0.5">
      <c r="A178" s="3"/>
      <c r="B178" s="3"/>
      <c r="C178" s="3"/>
      <c r="D178" s="3"/>
      <c r="E178" s="3"/>
      <c r="F178" s="3"/>
      <c r="G178" s="3"/>
      <c r="H178" s="3"/>
      <c r="I178" s="4"/>
      <c r="J178" s="83"/>
      <c r="K178" s="3"/>
      <c r="L178" s="4"/>
      <c r="M178" s="3"/>
      <c r="N178" s="379"/>
      <c r="O178" s="380"/>
      <c r="P178" s="379"/>
      <c r="Q178" s="380"/>
      <c r="R178" s="3"/>
      <c r="S178" s="4"/>
      <c r="T178" s="3"/>
      <c r="U178" s="81"/>
      <c r="V178" s="81"/>
      <c r="W178" s="81"/>
      <c r="X178" s="81"/>
      <c r="Y178" s="81"/>
      <c r="Z178" s="81"/>
    </row>
    <row r="179" spans="1:26" ht="24" customHeight="1" x14ac:dyDescent="0.5">
      <c r="A179" s="3"/>
      <c r="B179" s="3"/>
      <c r="C179" s="3"/>
      <c r="D179" s="3"/>
      <c r="E179" s="3"/>
      <c r="F179" s="3"/>
      <c r="G179" s="3"/>
      <c r="H179" s="3"/>
      <c r="I179" s="4"/>
      <c r="J179" s="83"/>
      <c r="K179" s="3"/>
      <c r="L179" s="4"/>
      <c r="M179" s="3"/>
      <c r="N179" s="379"/>
      <c r="O179" s="380"/>
      <c r="P179" s="379"/>
      <c r="Q179" s="380"/>
      <c r="R179" s="3"/>
      <c r="S179" s="4"/>
      <c r="T179" s="3"/>
      <c r="U179" s="81"/>
      <c r="V179" s="81"/>
      <c r="W179" s="81"/>
      <c r="X179" s="81"/>
      <c r="Y179" s="81"/>
      <c r="Z179" s="81"/>
    </row>
    <row r="180" spans="1:26" ht="24" customHeight="1" x14ac:dyDescent="0.5">
      <c r="A180" s="3"/>
      <c r="B180" s="3"/>
      <c r="C180" s="3"/>
      <c r="D180" s="3"/>
      <c r="E180" s="3"/>
      <c r="F180" s="3"/>
      <c r="G180" s="3"/>
      <c r="H180" s="3"/>
      <c r="I180" s="4"/>
      <c r="J180" s="83"/>
      <c r="K180" s="3"/>
      <c r="L180" s="4"/>
      <c r="M180" s="3"/>
      <c r="N180" s="379"/>
      <c r="O180" s="380"/>
      <c r="P180" s="379"/>
      <c r="Q180" s="380"/>
      <c r="R180" s="3"/>
      <c r="S180" s="4"/>
      <c r="T180" s="3"/>
      <c r="U180" s="81"/>
      <c r="V180" s="81"/>
      <c r="W180" s="81"/>
      <c r="X180" s="81"/>
      <c r="Y180" s="81"/>
      <c r="Z180" s="81"/>
    </row>
    <row r="181" spans="1:26" ht="24" customHeight="1" x14ac:dyDescent="0.5">
      <c r="A181" s="3"/>
      <c r="B181" s="3"/>
      <c r="C181" s="3"/>
      <c r="D181" s="3"/>
      <c r="E181" s="3"/>
      <c r="F181" s="3"/>
      <c r="G181" s="3"/>
      <c r="H181" s="3"/>
      <c r="I181" s="4"/>
      <c r="J181" s="83"/>
      <c r="K181" s="3"/>
      <c r="L181" s="4"/>
      <c r="M181" s="3"/>
      <c r="N181" s="379"/>
      <c r="O181" s="380"/>
      <c r="P181" s="379"/>
      <c r="Q181" s="380"/>
      <c r="R181" s="3"/>
      <c r="S181" s="4"/>
      <c r="T181" s="3"/>
      <c r="U181" s="81"/>
      <c r="V181" s="81"/>
      <c r="W181" s="81"/>
      <c r="X181" s="81"/>
      <c r="Y181" s="81"/>
      <c r="Z181" s="81"/>
    </row>
    <row r="182" spans="1:26" ht="24" customHeight="1" x14ac:dyDescent="0.5">
      <c r="A182" s="3"/>
      <c r="B182" s="3"/>
      <c r="C182" s="3"/>
      <c r="D182" s="3"/>
      <c r="E182" s="3"/>
      <c r="F182" s="3"/>
      <c r="G182" s="3"/>
      <c r="H182" s="3"/>
      <c r="I182" s="4"/>
      <c r="J182" s="83"/>
      <c r="K182" s="3"/>
      <c r="L182" s="4"/>
      <c r="M182" s="3"/>
      <c r="N182" s="379"/>
      <c r="O182" s="380"/>
      <c r="P182" s="379"/>
      <c r="Q182" s="380"/>
      <c r="R182" s="3"/>
      <c r="S182" s="4"/>
      <c r="T182" s="3"/>
      <c r="U182" s="81"/>
      <c r="V182" s="81"/>
      <c r="W182" s="81"/>
      <c r="X182" s="81"/>
      <c r="Y182" s="81"/>
      <c r="Z182" s="81"/>
    </row>
    <row r="183" spans="1:26" ht="24" customHeight="1" x14ac:dyDescent="0.5">
      <c r="A183" s="3"/>
      <c r="B183" s="3"/>
      <c r="C183" s="3"/>
      <c r="D183" s="3"/>
      <c r="E183" s="3"/>
      <c r="F183" s="3"/>
      <c r="G183" s="3"/>
      <c r="H183" s="3"/>
      <c r="I183" s="4"/>
      <c r="J183" s="83"/>
      <c r="K183" s="3"/>
      <c r="L183" s="4"/>
      <c r="M183" s="3"/>
      <c r="N183" s="379"/>
      <c r="O183" s="380"/>
      <c r="P183" s="379"/>
      <c r="Q183" s="380"/>
      <c r="R183" s="3"/>
      <c r="S183" s="4"/>
      <c r="T183" s="3"/>
      <c r="U183" s="81"/>
      <c r="V183" s="81"/>
      <c r="W183" s="81"/>
      <c r="X183" s="81"/>
      <c r="Y183" s="81"/>
      <c r="Z183" s="81"/>
    </row>
    <row r="184" spans="1:26" ht="24" customHeight="1" x14ac:dyDescent="0.5">
      <c r="A184" s="3"/>
      <c r="B184" s="3"/>
      <c r="C184" s="3"/>
      <c r="D184" s="3"/>
      <c r="E184" s="3"/>
      <c r="F184" s="3"/>
      <c r="G184" s="3"/>
      <c r="H184" s="3"/>
      <c r="I184" s="4"/>
      <c r="J184" s="83"/>
      <c r="K184" s="3"/>
      <c r="L184" s="4"/>
      <c r="M184" s="3"/>
      <c r="N184" s="379"/>
      <c r="O184" s="380"/>
      <c r="P184" s="379"/>
      <c r="Q184" s="380"/>
      <c r="R184" s="3"/>
      <c r="S184" s="4"/>
      <c r="T184" s="3"/>
      <c r="U184" s="81"/>
      <c r="V184" s="81"/>
      <c r="W184" s="81"/>
      <c r="X184" s="81"/>
      <c r="Y184" s="81"/>
      <c r="Z184" s="81"/>
    </row>
    <row r="185" spans="1:26" ht="24" customHeight="1" x14ac:dyDescent="0.5">
      <c r="A185" s="3"/>
      <c r="B185" s="3"/>
      <c r="C185" s="3"/>
      <c r="D185" s="3"/>
      <c r="E185" s="3"/>
      <c r="F185" s="3"/>
      <c r="G185" s="3"/>
      <c r="H185" s="3"/>
      <c r="I185" s="4"/>
      <c r="J185" s="83"/>
      <c r="K185" s="3"/>
      <c r="L185" s="4"/>
      <c r="M185" s="3"/>
      <c r="N185" s="379"/>
      <c r="O185" s="380"/>
      <c r="P185" s="379"/>
      <c r="Q185" s="380"/>
      <c r="R185" s="3"/>
      <c r="S185" s="4"/>
      <c r="T185" s="3"/>
      <c r="U185" s="81"/>
      <c r="V185" s="81"/>
      <c r="W185" s="81"/>
      <c r="X185" s="81"/>
      <c r="Y185" s="81"/>
      <c r="Z185" s="81"/>
    </row>
    <row r="186" spans="1:26" ht="24" customHeight="1" x14ac:dyDescent="0.5">
      <c r="A186" s="3"/>
      <c r="B186" s="3"/>
      <c r="C186" s="3"/>
      <c r="D186" s="3"/>
      <c r="E186" s="3"/>
      <c r="F186" s="3"/>
      <c r="G186" s="3"/>
      <c r="H186" s="3"/>
      <c r="I186" s="4"/>
      <c r="J186" s="83"/>
      <c r="K186" s="3"/>
      <c r="L186" s="4"/>
      <c r="M186" s="3"/>
      <c r="N186" s="379"/>
      <c r="O186" s="380"/>
      <c r="P186" s="379"/>
      <c r="Q186" s="380"/>
      <c r="R186" s="3"/>
      <c r="S186" s="4"/>
      <c r="T186" s="3"/>
      <c r="U186" s="81"/>
      <c r="V186" s="81"/>
      <c r="W186" s="81"/>
      <c r="X186" s="81"/>
      <c r="Y186" s="81"/>
      <c r="Z186" s="81"/>
    </row>
    <row r="187" spans="1:26" ht="24" customHeight="1" x14ac:dyDescent="0.5">
      <c r="A187" s="3"/>
      <c r="B187" s="3"/>
      <c r="C187" s="3"/>
      <c r="D187" s="3"/>
      <c r="E187" s="3"/>
      <c r="F187" s="3"/>
      <c r="G187" s="3"/>
      <c r="H187" s="3"/>
      <c r="I187" s="4"/>
      <c r="J187" s="83"/>
      <c r="K187" s="3"/>
      <c r="L187" s="4"/>
      <c r="M187" s="3"/>
      <c r="N187" s="379"/>
      <c r="O187" s="380"/>
      <c r="P187" s="379"/>
      <c r="Q187" s="380"/>
      <c r="R187" s="3"/>
      <c r="S187" s="4"/>
      <c r="T187" s="3"/>
      <c r="U187" s="81"/>
      <c r="V187" s="81"/>
      <c r="W187" s="81"/>
      <c r="X187" s="81"/>
      <c r="Y187" s="81"/>
      <c r="Z187" s="81"/>
    </row>
    <row r="188" spans="1:26" ht="24" customHeight="1" x14ac:dyDescent="0.5">
      <c r="A188" s="3"/>
      <c r="B188" s="3"/>
      <c r="C188" s="3"/>
      <c r="D188" s="3"/>
      <c r="E188" s="3"/>
      <c r="F188" s="3"/>
      <c r="G188" s="3"/>
      <c r="H188" s="3"/>
      <c r="I188" s="4"/>
      <c r="J188" s="83"/>
      <c r="K188" s="3"/>
      <c r="L188" s="4"/>
      <c r="M188" s="3"/>
      <c r="N188" s="379"/>
      <c r="O188" s="380"/>
      <c r="P188" s="379"/>
      <c r="Q188" s="380"/>
      <c r="R188" s="3"/>
      <c r="S188" s="4"/>
      <c r="T188" s="3"/>
      <c r="U188" s="81"/>
      <c r="V188" s="81"/>
      <c r="W188" s="81"/>
      <c r="X188" s="81"/>
      <c r="Y188" s="81"/>
      <c r="Z188" s="81"/>
    </row>
    <row r="189" spans="1:26" ht="24" customHeight="1" x14ac:dyDescent="0.5">
      <c r="A189" s="3"/>
      <c r="B189" s="3"/>
      <c r="C189" s="3"/>
      <c r="D189" s="3"/>
      <c r="E189" s="3"/>
      <c r="F189" s="3"/>
      <c r="G189" s="3"/>
      <c r="H189" s="3"/>
      <c r="I189" s="4"/>
      <c r="J189" s="83"/>
      <c r="K189" s="3"/>
      <c r="L189" s="4"/>
      <c r="M189" s="3"/>
      <c r="N189" s="379"/>
      <c r="O189" s="380"/>
      <c r="P189" s="379"/>
      <c r="Q189" s="380"/>
      <c r="R189" s="3"/>
      <c r="S189" s="4"/>
      <c r="T189" s="3"/>
      <c r="U189" s="81"/>
      <c r="V189" s="81"/>
      <c r="W189" s="81"/>
      <c r="X189" s="81"/>
      <c r="Y189" s="81"/>
      <c r="Z189" s="81"/>
    </row>
    <row r="190" spans="1:26" ht="24" customHeight="1" x14ac:dyDescent="0.5">
      <c r="A190" s="3"/>
      <c r="B190" s="3"/>
      <c r="C190" s="3"/>
      <c r="D190" s="3"/>
      <c r="E190" s="3"/>
      <c r="F190" s="3"/>
      <c r="G190" s="3"/>
      <c r="H190" s="3"/>
      <c r="I190" s="4"/>
      <c r="J190" s="83"/>
      <c r="K190" s="3"/>
      <c r="L190" s="4"/>
      <c r="M190" s="3"/>
      <c r="N190" s="379"/>
      <c r="O190" s="380"/>
      <c r="P190" s="379"/>
      <c r="Q190" s="380"/>
      <c r="R190" s="3"/>
      <c r="S190" s="4"/>
      <c r="T190" s="3"/>
      <c r="U190" s="81"/>
      <c r="V190" s="81"/>
      <c r="W190" s="81"/>
      <c r="X190" s="81"/>
      <c r="Y190" s="81"/>
      <c r="Z190" s="81"/>
    </row>
    <row r="191" spans="1:26" ht="24" customHeight="1" x14ac:dyDescent="0.5">
      <c r="A191" s="3"/>
      <c r="B191" s="3"/>
      <c r="C191" s="3"/>
      <c r="D191" s="3"/>
      <c r="E191" s="3"/>
      <c r="F191" s="3"/>
      <c r="G191" s="3"/>
      <c r="H191" s="3"/>
      <c r="I191" s="4"/>
      <c r="J191" s="83"/>
      <c r="K191" s="3"/>
      <c r="L191" s="4"/>
      <c r="M191" s="3"/>
      <c r="N191" s="379"/>
      <c r="O191" s="380"/>
      <c r="P191" s="379"/>
      <c r="Q191" s="380"/>
      <c r="R191" s="3"/>
      <c r="S191" s="4"/>
      <c r="T191" s="3"/>
      <c r="U191" s="81"/>
      <c r="V191" s="81"/>
      <c r="W191" s="81"/>
      <c r="X191" s="81"/>
      <c r="Y191" s="81"/>
      <c r="Z191" s="81"/>
    </row>
    <row r="192" spans="1:26" ht="24" customHeight="1" x14ac:dyDescent="0.5">
      <c r="A192" s="3"/>
      <c r="B192" s="3"/>
      <c r="C192" s="3"/>
      <c r="D192" s="3"/>
      <c r="E192" s="3"/>
      <c r="F192" s="3"/>
      <c r="G192" s="3"/>
      <c r="H192" s="3"/>
      <c r="I192" s="4"/>
      <c r="J192" s="83"/>
      <c r="K192" s="3"/>
      <c r="L192" s="4"/>
      <c r="M192" s="3"/>
      <c r="N192" s="379"/>
      <c r="O192" s="380"/>
      <c r="P192" s="379"/>
      <c r="Q192" s="380"/>
      <c r="R192" s="3"/>
      <c r="S192" s="4"/>
      <c r="T192" s="3"/>
      <c r="U192" s="81"/>
      <c r="V192" s="81"/>
      <c r="W192" s="81"/>
      <c r="X192" s="81"/>
      <c r="Y192" s="81"/>
      <c r="Z192" s="81"/>
    </row>
    <row r="193" spans="1:26" ht="24" customHeight="1" x14ac:dyDescent="0.5">
      <c r="A193" s="3"/>
      <c r="B193" s="3"/>
      <c r="C193" s="3"/>
      <c r="D193" s="3"/>
      <c r="E193" s="3"/>
      <c r="F193" s="3"/>
      <c r="G193" s="3"/>
      <c r="H193" s="3"/>
      <c r="I193" s="4"/>
      <c r="J193" s="83"/>
      <c r="K193" s="3"/>
      <c r="L193" s="4"/>
      <c r="M193" s="3"/>
      <c r="N193" s="379"/>
      <c r="O193" s="380"/>
      <c r="P193" s="379"/>
      <c r="Q193" s="380"/>
      <c r="R193" s="3"/>
      <c r="S193" s="4"/>
      <c r="T193" s="3"/>
      <c r="U193" s="81"/>
      <c r="V193" s="81"/>
      <c r="W193" s="81"/>
      <c r="X193" s="81"/>
      <c r="Y193" s="81"/>
      <c r="Z193" s="81"/>
    </row>
    <row r="194" spans="1:26" ht="24" customHeight="1" x14ac:dyDescent="0.5">
      <c r="A194" s="3"/>
      <c r="B194" s="3"/>
      <c r="C194" s="3"/>
      <c r="D194" s="3"/>
      <c r="E194" s="3"/>
      <c r="F194" s="3"/>
      <c r="G194" s="3"/>
      <c r="H194" s="3"/>
      <c r="I194" s="4"/>
      <c r="J194" s="83"/>
      <c r="K194" s="3"/>
      <c r="L194" s="4"/>
      <c r="M194" s="3"/>
      <c r="N194" s="379"/>
      <c r="O194" s="380"/>
      <c r="P194" s="379"/>
      <c r="Q194" s="380"/>
      <c r="R194" s="3"/>
      <c r="S194" s="4"/>
      <c r="T194" s="3"/>
      <c r="U194" s="81"/>
      <c r="V194" s="81"/>
      <c r="W194" s="81"/>
      <c r="X194" s="81"/>
      <c r="Y194" s="81"/>
      <c r="Z194" s="81"/>
    </row>
    <row r="195" spans="1:26" ht="24" customHeight="1" x14ac:dyDescent="0.5">
      <c r="A195" s="3"/>
      <c r="B195" s="3"/>
      <c r="C195" s="3"/>
      <c r="D195" s="3"/>
      <c r="E195" s="3"/>
      <c r="F195" s="3"/>
      <c r="G195" s="3"/>
      <c r="H195" s="3"/>
      <c r="I195" s="4"/>
      <c r="J195" s="83"/>
      <c r="K195" s="3"/>
      <c r="L195" s="4"/>
      <c r="M195" s="3"/>
      <c r="N195" s="379"/>
      <c r="O195" s="380"/>
      <c r="P195" s="379"/>
      <c r="Q195" s="380"/>
      <c r="R195" s="3"/>
      <c r="S195" s="4"/>
      <c r="T195" s="3"/>
      <c r="U195" s="81"/>
      <c r="V195" s="81"/>
      <c r="W195" s="81"/>
      <c r="X195" s="81"/>
      <c r="Y195" s="81"/>
      <c r="Z195" s="81"/>
    </row>
    <row r="196" spans="1:26" ht="24" customHeight="1" x14ac:dyDescent="0.5">
      <c r="A196" s="3"/>
      <c r="B196" s="3"/>
      <c r="C196" s="3"/>
      <c r="D196" s="3"/>
      <c r="E196" s="3"/>
      <c r="F196" s="3"/>
      <c r="G196" s="3"/>
      <c r="H196" s="3"/>
      <c r="I196" s="4"/>
      <c r="J196" s="83"/>
      <c r="K196" s="3"/>
      <c r="L196" s="4"/>
      <c r="M196" s="3"/>
      <c r="N196" s="379"/>
      <c r="O196" s="380"/>
      <c r="P196" s="379"/>
      <c r="Q196" s="380"/>
      <c r="R196" s="3"/>
      <c r="S196" s="4"/>
      <c r="T196" s="3"/>
      <c r="U196" s="81"/>
      <c r="V196" s="81"/>
      <c r="W196" s="81"/>
      <c r="X196" s="81"/>
      <c r="Y196" s="81"/>
      <c r="Z196" s="81"/>
    </row>
    <row r="197" spans="1:26" ht="24" customHeight="1" x14ac:dyDescent="0.5">
      <c r="A197" s="3"/>
      <c r="B197" s="3"/>
      <c r="C197" s="3"/>
      <c r="D197" s="3"/>
      <c r="E197" s="3"/>
      <c r="F197" s="3"/>
      <c r="G197" s="3"/>
      <c r="H197" s="3"/>
      <c r="I197" s="4"/>
      <c r="J197" s="83"/>
      <c r="K197" s="3"/>
      <c r="L197" s="4"/>
      <c r="M197" s="3"/>
      <c r="N197" s="379"/>
      <c r="O197" s="380"/>
      <c r="P197" s="379"/>
      <c r="Q197" s="380"/>
      <c r="R197" s="3"/>
      <c r="S197" s="4"/>
      <c r="T197" s="3"/>
      <c r="U197" s="81"/>
      <c r="V197" s="81"/>
      <c r="W197" s="81"/>
      <c r="X197" s="81"/>
      <c r="Y197" s="81"/>
      <c r="Z197" s="81"/>
    </row>
    <row r="198" spans="1:26" ht="24" customHeight="1" x14ac:dyDescent="0.5">
      <c r="A198" s="3"/>
      <c r="B198" s="3"/>
      <c r="C198" s="3"/>
      <c r="D198" s="3"/>
      <c r="E198" s="3"/>
      <c r="F198" s="3"/>
      <c r="G198" s="3"/>
      <c r="H198" s="3"/>
      <c r="I198" s="4"/>
      <c r="J198" s="83"/>
      <c r="K198" s="3"/>
      <c r="L198" s="4"/>
      <c r="M198" s="3"/>
      <c r="N198" s="379"/>
      <c r="O198" s="380"/>
      <c r="P198" s="379"/>
      <c r="Q198" s="380"/>
      <c r="R198" s="3"/>
      <c r="S198" s="4"/>
      <c r="T198" s="3"/>
      <c r="U198" s="81"/>
      <c r="V198" s="81"/>
      <c r="W198" s="81"/>
      <c r="X198" s="81"/>
      <c r="Y198" s="81"/>
      <c r="Z198" s="81"/>
    </row>
    <row r="199" spans="1:26" ht="24" customHeight="1" x14ac:dyDescent="0.5">
      <c r="A199" s="3"/>
      <c r="B199" s="3"/>
      <c r="C199" s="3"/>
      <c r="D199" s="3"/>
      <c r="E199" s="3"/>
      <c r="F199" s="3"/>
      <c r="G199" s="3"/>
      <c r="H199" s="3"/>
      <c r="I199" s="4"/>
      <c r="J199" s="83"/>
      <c r="K199" s="3"/>
      <c r="L199" s="4"/>
      <c r="M199" s="3"/>
      <c r="N199" s="379"/>
      <c r="O199" s="380"/>
      <c r="P199" s="379"/>
      <c r="Q199" s="380"/>
      <c r="R199" s="3"/>
      <c r="S199" s="4"/>
      <c r="T199" s="3"/>
      <c r="U199" s="81"/>
      <c r="V199" s="81"/>
      <c r="W199" s="81"/>
      <c r="X199" s="81"/>
      <c r="Y199" s="81"/>
      <c r="Z199" s="81"/>
    </row>
    <row r="200" spans="1:26" ht="24" customHeight="1" x14ac:dyDescent="0.5">
      <c r="A200" s="3"/>
      <c r="B200" s="3"/>
      <c r="C200" s="3"/>
      <c r="D200" s="3"/>
      <c r="E200" s="3"/>
      <c r="F200" s="3"/>
      <c r="G200" s="3"/>
      <c r="H200" s="3"/>
      <c r="I200" s="4"/>
      <c r="J200" s="83"/>
      <c r="K200" s="3"/>
      <c r="L200" s="4"/>
      <c r="M200" s="3"/>
      <c r="N200" s="379"/>
      <c r="O200" s="380"/>
      <c r="P200" s="379"/>
      <c r="Q200" s="380"/>
      <c r="R200" s="3"/>
      <c r="S200" s="4"/>
      <c r="T200" s="3"/>
      <c r="U200" s="81"/>
      <c r="V200" s="81"/>
      <c r="W200" s="81"/>
      <c r="X200" s="81"/>
      <c r="Y200" s="81"/>
      <c r="Z200" s="81"/>
    </row>
    <row r="201" spans="1:26" ht="24" customHeight="1" x14ac:dyDescent="0.5">
      <c r="A201" s="3"/>
      <c r="B201" s="3"/>
      <c r="C201" s="3"/>
      <c r="D201" s="3"/>
      <c r="E201" s="3"/>
      <c r="F201" s="3"/>
      <c r="G201" s="3"/>
      <c r="H201" s="3"/>
      <c r="I201" s="4"/>
      <c r="J201" s="83"/>
      <c r="K201" s="3"/>
      <c r="L201" s="4"/>
      <c r="M201" s="3"/>
      <c r="N201" s="379"/>
      <c r="O201" s="380"/>
      <c r="P201" s="379"/>
      <c r="Q201" s="380"/>
      <c r="R201" s="3"/>
      <c r="S201" s="4"/>
      <c r="T201" s="3"/>
      <c r="U201" s="81"/>
      <c r="V201" s="81"/>
      <c r="W201" s="81"/>
      <c r="X201" s="81"/>
      <c r="Y201" s="81"/>
      <c r="Z201" s="81"/>
    </row>
    <row r="202" spans="1:26" ht="24" customHeight="1" x14ac:dyDescent="0.5">
      <c r="A202" s="3"/>
      <c r="B202" s="3"/>
      <c r="C202" s="3"/>
      <c r="D202" s="3"/>
      <c r="E202" s="3"/>
      <c r="F202" s="3"/>
      <c r="G202" s="3"/>
      <c r="H202" s="3"/>
      <c r="I202" s="4"/>
      <c r="J202" s="83"/>
      <c r="K202" s="3"/>
      <c r="L202" s="4"/>
      <c r="M202" s="3"/>
      <c r="N202" s="379"/>
      <c r="O202" s="380"/>
      <c r="P202" s="379"/>
      <c r="Q202" s="380"/>
      <c r="R202" s="3"/>
      <c r="S202" s="4"/>
      <c r="T202" s="3"/>
      <c r="U202" s="81"/>
      <c r="V202" s="81"/>
      <c r="W202" s="81"/>
      <c r="X202" s="81"/>
      <c r="Y202" s="81"/>
      <c r="Z202" s="81"/>
    </row>
    <row r="203" spans="1:26" ht="24" customHeight="1" x14ac:dyDescent="0.5">
      <c r="A203" s="3"/>
      <c r="B203" s="3"/>
      <c r="C203" s="3"/>
      <c r="D203" s="3"/>
      <c r="E203" s="3"/>
      <c r="F203" s="3"/>
      <c r="G203" s="3"/>
      <c r="H203" s="3"/>
      <c r="I203" s="4"/>
      <c r="J203" s="83"/>
      <c r="K203" s="3"/>
      <c r="L203" s="4"/>
      <c r="M203" s="3"/>
      <c r="N203" s="379"/>
      <c r="O203" s="380"/>
      <c r="P203" s="379"/>
      <c r="Q203" s="380"/>
      <c r="R203" s="3"/>
      <c r="S203" s="4"/>
      <c r="T203" s="3"/>
      <c r="U203" s="81"/>
      <c r="V203" s="81"/>
      <c r="W203" s="81"/>
      <c r="X203" s="81"/>
      <c r="Y203" s="81"/>
      <c r="Z203" s="81"/>
    </row>
    <row r="204" spans="1:26" ht="24" customHeight="1" x14ac:dyDescent="0.5">
      <c r="A204" s="3"/>
      <c r="B204" s="3"/>
      <c r="C204" s="3"/>
      <c r="D204" s="3"/>
      <c r="E204" s="3"/>
      <c r="F204" s="3"/>
      <c r="G204" s="3"/>
      <c r="H204" s="3"/>
      <c r="I204" s="4"/>
      <c r="J204" s="83"/>
      <c r="K204" s="3"/>
      <c r="L204" s="4"/>
      <c r="M204" s="3"/>
      <c r="N204" s="379"/>
      <c r="O204" s="380"/>
      <c r="P204" s="379"/>
      <c r="Q204" s="380"/>
      <c r="R204" s="3"/>
      <c r="S204" s="4"/>
      <c r="T204" s="3"/>
      <c r="U204" s="81"/>
      <c r="V204" s="81"/>
      <c r="W204" s="81"/>
      <c r="X204" s="81"/>
      <c r="Y204" s="81"/>
      <c r="Z204" s="81"/>
    </row>
    <row r="205" spans="1:26" ht="24" customHeight="1" x14ac:dyDescent="0.5">
      <c r="A205" s="3"/>
      <c r="B205" s="3"/>
      <c r="C205" s="3"/>
      <c r="D205" s="3"/>
      <c r="E205" s="3"/>
      <c r="F205" s="3"/>
      <c r="G205" s="3"/>
      <c r="H205" s="3"/>
      <c r="I205" s="4"/>
      <c r="J205" s="83"/>
      <c r="K205" s="3"/>
      <c r="L205" s="4"/>
      <c r="M205" s="3"/>
      <c r="N205" s="379"/>
      <c r="O205" s="380"/>
      <c r="P205" s="379"/>
      <c r="Q205" s="380"/>
      <c r="R205" s="3"/>
      <c r="S205" s="4"/>
      <c r="T205" s="3"/>
      <c r="U205" s="81"/>
      <c r="V205" s="81"/>
      <c r="W205" s="81"/>
      <c r="X205" s="81"/>
      <c r="Y205" s="81"/>
      <c r="Z205" s="81"/>
    </row>
    <row r="206" spans="1:26" ht="24" customHeight="1" x14ac:dyDescent="0.5">
      <c r="A206" s="3"/>
      <c r="B206" s="3"/>
      <c r="C206" s="3"/>
      <c r="D206" s="3"/>
      <c r="E206" s="3"/>
      <c r="F206" s="3"/>
      <c r="G206" s="3"/>
      <c r="H206" s="3"/>
      <c r="I206" s="4"/>
      <c r="J206" s="83"/>
      <c r="K206" s="3"/>
      <c r="L206" s="4"/>
      <c r="M206" s="3"/>
      <c r="N206" s="379"/>
      <c r="O206" s="380"/>
      <c r="P206" s="379"/>
      <c r="Q206" s="380"/>
      <c r="R206" s="3"/>
      <c r="S206" s="4"/>
      <c r="T206" s="3"/>
      <c r="U206" s="81"/>
      <c r="V206" s="81"/>
      <c r="W206" s="81"/>
      <c r="X206" s="81"/>
      <c r="Y206" s="81"/>
      <c r="Z206" s="81"/>
    </row>
    <row r="207" spans="1:26" ht="24" customHeight="1" x14ac:dyDescent="0.5">
      <c r="A207" s="3"/>
      <c r="B207" s="3"/>
      <c r="C207" s="3"/>
      <c r="D207" s="3"/>
      <c r="E207" s="3"/>
      <c r="F207" s="3"/>
      <c r="G207" s="3"/>
      <c r="H207" s="3"/>
      <c r="I207" s="4"/>
      <c r="J207" s="83"/>
      <c r="K207" s="3"/>
      <c r="L207" s="4"/>
      <c r="M207" s="3"/>
      <c r="N207" s="379"/>
      <c r="O207" s="380"/>
      <c r="P207" s="379"/>
      <c r="Q207" s="380"/>
      <c r="R207" s="3"/>
      <c r="S207" s="4"/>
      <c r="T207" s="3"/>
      <c r="U207" s="81"/>
      <c r="V207" s="81"/>
      <c r="W207" s="81"/>
      <c r="X207" s="81"/>
      <c r="Y207" s="81"/>
      <c r="Z207" s="81"/>
    </row>
    <row r="208" spans="1:26" ht="24" customHeight="1" x14ac:dyDescent="0.5">
      <c r="A208" s="3"/>
      <c r="B208" s="3"/>
      <c r="C208" s="3"/>
      <c r="D208" s="3"/>
      <c r="E208" s="3"/>
      <c r="F208" s="3"/>
      <c r="G208" s="3"/>
      <c r="H208" s="3"/>
      <c r="I208" s="4"/>
      <c r="J208" s="83"/>
      <c r="K208" s="3"/>
      <c r="L208" s="4"/>
      <c r="M208" s="3"/>
      <c r="N208" s="379"/>
      <c r="O208" s="380"/>
      <c r="P208" s="379"/>
      <c r="Q208" s="380"/>
      <c r="R208" s="3"/>
      <c r="S208" s="4"/>
      <c r="T208" s="3"/>
      <c r="U208" s="81"/>
      <c r="V208" s="81"/>
      <c r="W208" s="81"/>
      <c r="X208" s="81"/>
      <c r="Y208" s="81"/>
      <c r="Z208" s="81"/>
    </row>
    <row r="209" spans="1:26" ht="24" customHeight="1" x14ac:dyDescent="0.5">
      <c r="A209" s="3"/>
      <c r="B209" s="3"/>
      <c r="C209" s="3"/>
      <c r="D209" s="3"/>
      <c r="E209" s="3"/>
      <c r="F209" s="3"/>
      <c r="G209" s="3"/>
      <c r="H209" s="3"/>
      <c r="I209" s="4"/>
      <c r="J209" s="83"/>
      <c r="K209" s="3"/>
      <c r="L209" s="4"/>
      <c r="M209" s="3"/>
      <c r="N209" s="379"/>
      <c r="O209" s="380"/>
      <c r="P209" s="379"/>
      <c r="Q209" s="380"/>
      <c r="R209" s="3"/>
      <c r="S209" s="4"/>
      <c r="T209" s="3"/>
      <c r="U209" s="81"/>
      <c r="V209" s="81"/>
      <c r="W209" s="81"/>
      <c r="X209" s="81"/>
      <c r="Y209" s="81"/>
      <c r="Z209" s="81"/>
    </row>
    <row r="210" spans="1:26" ht="24" customHeight="1" x14ac:dyDescent="0.5">
      <c r="A210" s="3"/>
      <c r="B210" s="3"/>
      <c r="C210" s="3"/>
      <c r="D210" s="3"/>
      <c r="E210" s="3"/>
      <c r="F210" s="3"/>
      <c r="G210" s="3"/>
      <c r="H210" s="3"/>
      <c r="I210" s="4"/>
      <c r="J210" s="83"/>
      <c r="K210" s="3"/>
      <c r="L210" s="4"/>
      <c r="M210" s="3"/>
      <c r="N210" s="379"/>
      <c r="O210" s="380"/>
      <c r="P210" s="379"/>
      <c r="Q210" s="380"/>
      <c r="R210" s="3"/>
      <c r="S210" s="4"/>
      <c r="T210" s="3"/>
      <c r="U210" s="81"/>
      <c r="V210" s="81"/>
      <c r="W210" s="81"/>
      <c r="X210" s="81"/>
      <c r="Y210" s="81"/>
      <c r="Z210" s="81"/>
    </row>
    <row r="211" spans="1:26" ht="24" customHeight="1" x14ac:dyDescent="0.5">
      <c r="A211" s="3"/>
      <c r="B211" s="3"/>
      <c r="C211" s="3"/>
      <c r="D211" s="3"/>
      <c r="E211" s="3"/>
      <c r="F211" s="3"/>
      <c r="G211" s="3"/>
      <c r="H211" s="3"/>
      <c r="I211" s="4"/>
      <c r="J211" s="83"/>
      <c r="K211" s="3"/>
      <c r="L211" s="4"/>
      <c r="M211" s="3"/>
      <c r="N211" s="379"/>
      <c r="O211" s="380"/>
      <c r="P211" s="379"/>
      <c r="Q211" s="380"/>
      <c r="R211" s="3"/>
      <c r="S211" s="4"/>
      <c r="T211" s="3"/>
      <c r="U211" s="81"/>
      <c r="V211" s="81"/>
      <c r="W211" s="81"/>
      <c r="X211" s="81"/>
      <c r="Y211" s="81"/>
      <c r="Z211" s="81"/>
    </row>
    <row r="212" spans="1:26" ht="24" customHeight="1" x14ac:dyDescent="0.5">
      <c r="A212" s="3"/>
      <c r="B212" s="3"/>
      <c r="C212" s="3"/>
      <c r="D212" s="3"/>
      <c r="E212" s="3"/>
      <c r="F212" s="3"/>
      <c r="G212" s="3"/>
      <c r="H212" s="3"/>
      <c r="I212" s="4"/>
      <c r="J212" s="83"/>
      <c r="K212" s="3"/>
      <c r="L212" s="4"/>
      <c r="M212" s="3"/>
      <c r="N212" s="379"/>
      <c r="O212" s="380"/>
      <c r="P212" s="379"/>
      <c r="Q212" s="380"/>
      <c r="R212" s="3"/>
      <c r="S212" s="4"/>
      <c r="T212" s="3"/>
      <c r="U212" s="81"/>
      <c r="V212" s="81"/>
      <c r="W212" s="81"/>
      <c r="X212" s="81"/>
      <c r="Y212" s="81"/>
      <c r="Z212" s="81"/>
    </row>
    <row r="213" spans="1:26" ht="24" customHeight="1" x14ac:dyDescent="0.5">
      <c r="A213" s="3"/>
      <c r="B213" s="3"/>
      <c r="C213" s="3"/>
      <c r="D213" s="3"/>
      <c r="E213" s="3"/>
      <c r="F213" s="3"/>
      <c r="G213" s="3"/>
      <c r="H213" s="3"/>
      <c r="I213" s="4"/>
      <c r="J213" s="83"/>
      <c r="K213" s="3"/>
      <c r="L213" s="4"/>
      <c r="M213" s="3"/>
      <c r="N213" s="379"/>
      <c r="O213" s="380"/>
      <c r="P213" s="379"/>
      <c r="Q213" s="380"/>
      <c r="R213" s="3"/>
      <c r="S213" s="4"/>
      <c r="T213" s="3"/>
      <c r="U213" s="81"/>
      <c r="V213" s="81"/>
      <c r="W213" s="81"/>
      <c r="X213" s="81"/>
      <c r="Y213" s="81"/>
      <c r="Z213" s="81"/>
    </row>
    <row r="214" spans="1:26" ht="24" customHeight="1" x14ac:dyDescent="0.5">
      <c r="A214" s="3"/>
      <c r="B214" s="3"/>
      <c r="C214" s="3"/>
      <c r="D214" s="3"/>
      <c r="E214" s="3"/>
      <c r="F214" s="3"/>
      <c r="G214" s="3"/>
      <c r="H214" s="3"/>
      <c r="I214" s="4"/>
      <c r="J214" s="83"/>
      <c r="K214" s="3"/>
      <c r="L214" s="4"/>
      <c r="M214" s="3"/>
      <c r="N214" s="379"/>
      <c r="O214" s="380"/>
      <c r="P214" s="379"/>
      <c r="Q214" s="380"/>
      <c r="R214" s="3"/>
      <c r="S214" s="4"/>
      <c r="T214" s="3"/>
      <c r="U214" s="81"/>
      <c r="V214" s="81"/>
      <c r="W214" s="81"/>
      <c r="X214" s="81"/>
      <c r="Y214" s="81"/>
      <c r="Z214" s="81"/>
    </row>
    <row r="215" spans="1:26" ht="24" customHeight="1" x14ac:dyDescent="0.5">
      <c r="A215" s="3"/>
      <c r="B215" s="3"/>
      <c r="C215" s="3"/>
      <c r="D215" s="3"/>
      <c r="E215" s="3"/>
      <c r="F215" s="3"/>
      <c r="G215" s="3"/>
      <c r="H215" s="3"/>
      <c r="I215" s="4"/>
      <c r="J215" s="83"/>
      <c r="K215" s="3"/>
      <c r="L215" s="4"/>
      <c r="M215" s="3"/>
      <c r="N215" s="379"/>
      <c r="O215" s="380"/>
      <c r="P215" s="379"/>
      <c r="Q215" s="380"/>
      <c r="R215" s="3"/>
      <c r="S215" s="4"/>
      <c r="T215" s="3"/>
      <c r="U215" s="81"/>
      <c r="V215" s="81"/>
      <c r="W215" s="81"/>
      <c r="X215" s="81"/>
      <c r="Y215" s="81"/>
      <c r="Z215" s="81"/>
    </row>
    <row r="216" spans="1:26" ht="24" customHeight="1" x14ac:dyDescent="0.5">
      <c r="A216" s="3"/>
      <c r="B216" s="3"/>
      <c r="C216" s="3"/>
      <c r="D216" s="3"/>
      <c r="E216" s="3"/>
      <c r="F216" s="3"/>
      <c r="G216" s="3"/>
      <c r="H216" s="3"/>
      <c r="I216" s="4"/>
      <c r="J216" s="83"/>
      <c r="K216" s="3"/>
      <c r="L216" s="4"/>
      <c r="M216" s="3"/>
      <c r="N216" s="379"/>
      <c r="O216" s="380"/>
      <c r="P216" s="379"/>
      <c r="Q216" s="380"/>
      <c r="R216" s="3"/>
      <c r="S216" s="4"/>
      <c r="T216" s="3"/>
      <c r="U216" s="81"/>
      <c r="V216" s="81"/>
      <c r="W216" s="81"/>
      <c r="X216" s="81"/>
      <c r="Y216" s="81"/>
      <c r="Z216" s="81"/>
    </row>
    <row r="217" spans="1:26" ht="24" customHeight="1" x14ac:dyDescent="0.5">
      <c r="A217" s="3"/>
      <c r="B217" s="3"/>
      <c r="C217" s="3"/>
      <c r="D217" s="3"/>
      <c r="E217" s="3"/>
      <c r="F217" s="3"/>
      <c r="G217" s="3"/>
      <c r="H217" s="3"/>
      <c r="I217" s="4"/>
      <c r="J217" s="83"/>
      <c r="K217" s="3"/>
      <c r="L217" s="4"/>
      <c r="M217" s="3"/>
      <c r="N217" s="379"/>
      <c r="O217" s="380"/>
      <c r="P217" s="379"/>
      <c r="Q217" s="380"/>
      <c r="R217" s="3"/>
      <c r="S217" s="4"/>
      <c r="T217" s="3"/>
      <c r="U217" s="81"/>
      <c r="V217" s="81"/>
      <c r="W217" s="81"/>
      <c r="X217" s="81"/>
      <c r="Y217" s="81"/>
      <c r="Z217" s="81"/>
    </row>
    <row r="218" spans="1:26" ht="24" customHeight="1" x14ac:dyDescent="0.5">
      <c r="A218" s="3"/>
      <c r="B218" s="3"/>
      <c r="C218" s="3"/>
      <c r="D218" s="3"/>
      <c r="E218" s="3"/>
      <c r="F218" s="3"/>
      <c r="G218" s="3"/>
      <c r="H218" s="3"/>
      <c r="I218" s="4"/>
      <c r="J218" s="83"/>
      <c r="K218" s="3"/>
      <c r="L218" s="4"/>
      <c r="M218" s="3"/>
      <c r="N218" s="379"/>
      <c r="O218" s="380"/>
      <c r="P218" s="379"/>
      <c r="Q218" s="380"/>
      <c r="R218" s="3"/>
      <c r="S218" s="4"/>
      <c r="T218" s="3"/>
      <c r="U218" s="81"/>
      <c r="V218" s="81"/>
      <c r="W218" s="81"/>
      <c r="X218" s="81"/>
      <c r="Y218" s="81"/>
      <c r="Z218" s="81"/>
    </row>
    <row r="219" spans="1:26" ht="24" customHeight="1" x14ac:dyDescent="0.5">
      <c r="A219" s="3"/>
      <c r="B219" s="3"/>
      <c r="C219" s="3"/>
      <c r="D219" s="3"/>
      <c r="E219" s="3"/>
      <c r="F219" s="3"/>
      <c r="G219" s="3"/>
      <c r="H219" s="3"/>
      <c r="I219" s="4"/>
      <c r="J219" s="83"/>
      <c r="K219" s="3"/>
      <c r="L219" s="4"/>
      <c r="M219" s="3"/>
      <c r="N219" s="379"/>
      <c r="O219" s="380"/>
      <c r="P219" s="379"/>
      <c r="Q219" s="380"/>
      <c r="R219" s="3"/>
      <c r="S219" s="4"/>
      <c r="T219" s="3"/>
      <c r="U219" s="81"/>
      <c r="V219" s="81"/>
      <c r="W219" s="81"/>
      <c r="X219" s="81"/>
      <c r="Y219" s="81"/>
      <c r="Z219" s="81"/>
    </row>
    <row r="220" spans="1:26" ht="24" customHeight="1" x14ac:dyDescent="0.5">
      <c r="A220" s="3"/>
      <c r="B220" s="3"/>
      <c r="C220" s="3"/>
      <c r="D220" s="3"/>
      <c r="E220" s="3"/>
      <c r="F220" s="3"/>
      <c r="G220" s="3"/>
      <c r="H220" s="3"/>
      <c r="I220" s="4"/>
      <c r="J220" s="83"/>
      <c r="K220" s="3"/>
      <c r="L220" s="4"/>
      <c r="M220" s="3"/>
      <c r="N220" s="379"/>
      <c r="O220" s="380"/>
      <c r="P220" s="379"/>
      <c r="Q220" s="380"/>
      <c r="R220" s="3"/>
      <c r="S220" s="4"/>
      <c r="T220" s="3"/>
      <c r="U220" s="81"/>
      <c r="V220" s="81"/>
      <c r="W220" s="81"/>
      <c r="X220" s="81"/>
      <c r="Y220" s="81"/>
      <c r="Z220" s="81"/>
    </row>
    <row r="221" spans="1:26" ht="24" customHeight="1" x14ac:dyDescent="0.5">
      <c r="A221" s="3"/>
      <c r="B221" s="3"/>
      <c r="C221" s="3"/>
      <c r="D221" s="3"/>
      <c r="E221" s="3"/>
      <c r="F221" s="3"/>
      <c r="G221" s="3"/>
      <c r="H221" s="3"/>
      <c r="I221" s="4"/>
      <c r="J221" s="83"/>
      <c r="K221" s="3"/>
      <c r="L221" s="4"/>
      <c r="M221" s="3"/>
      <c r="N221" s="379"/>
      <c r="O221" s="380"/>
      <c r="P221" s="379"/>
      <c r="Q221" s="380"/>
      <c r="R221" s="3"/>
      <c r="S221" s="4"/>
      <c r="T221" s="3"/>
      <c r="U221" s="81"/>
      <c r="V221" s="81"/>
      <c r="W221" s="81"/>
      <c r="X221" s="81"/>
      <c r="Y221" s="81"/>
      <c r="Z221" s="81"/>
    </row>
    <row r="222" spans="1:26" ht="24" customHeight="1" x14ac:dyDescent="0.5">
      <c r="A222" s="3"/>
      <c r="B222" s="3"/>
      <c r="C222" s="3"/>
      <c r="D222" s="3"/>
      <c r="E222" s="3"/>
      <c r="F222" s="3"/>
      <c r="G222" s="3"/>
      <c r="H222" s="3"/>
      <c r="I222" s="4"/>
      <c r="J222" s="83"/>
      <c r="K222" s="3"/>
      <c r="L222" s="4"/>
      <c r="M222" s="3"/>
      <c r="N222" s="379"/>
      <c r="O222" s="380"/>
      <c r="P222" s="379"/>
      <c r="Q222" s="380"/>
      <c r="R222" s="3"/>
      <c r="S222" s="4"/>
      <c r="T222" s="3"/>
      <c r="U222" s="81"/>
      <c r="V222" s="81"/>
      <c r="W222" s="81"/>
      <c r="X222" s="81"/>
      <c r="Y222" s="81"/>
      <c r="Z222" s="81"/>
    </row>
    <row r="223" spans="1:26" ht="24" customHeight="1" x14ac:dyDescent="0.5">
      <c r="A223" s="3"/>
      <c r="B223" s="3"/>
      <c r="C223" s="3"/>
      <c r="D223" s="3"/>
      <c r="E223" s="3"/>
      <c r="F223" s="3"/>
      <c r="G223" s="3"/>
      <c r="H223" s="3"/>
      <c r="I223" s="4"/>
      <c r="J223" s="83"/>
      <c r="K223" s="3"/>
      <c r="L223" s="4"/>
      <c r="M223" s="3"/>
      <c r="N223" s="379"/>
      <c r="O223" s="380"/>
      <c r="P223" s="379"/>
      <c r="Q223" s="380"/>
      <c r="R223" s="3"/>
      <c r="S223" s="4"/>
      <c r="T223" s="3"/>
      <c r="U223" s="81"/>
      <c r="V223" s="81"/>
      <c r="W223" s="81"/>
      <c r="X223" s="81"/>
      <c r="Y223" s="81"/>
      <c r="Z223" s="81"/>
    </row>
    <row r="224" spans="1:26" ht="24" customHeight="1" x14ac:dyDescent="0.5">
      <c r="A224" s="3"/>
      <c r="B224" s="3"/>
      <c r="C224" s="3"/>
      <c r="D224" s="3"/>
      <c r="E224" s="3"/>
      <c r="F224" s="3"/>
      <c r="G224" s="3"/>
      <c r="H224" s="3"/>
      <c r="I224" s="4"/>
      <c r="J224" s="83"/>
      <c r="K224" s="3"/>
      <c r="L224" s="4"/>
      <c r="M224" s="3"/>
      <c r="N224" s="379"/>
      <c r="O224" s="380"/>
      <c r="P224" s="379"/>
      <c r="Q224" s="380"/>
      <c r="R224" s="3"/>
      <c r="S224" s="4"/>
      <c r="T224" s="3"/>
      <c r="U224" s="81"/>
      <c r="V224" s="81"/>
      <c r="W224" s="81"/>
      <c r="X224" s="81"/>
      <c r="Y224" s="81"/>
      <c r="Z224" s="81"/>
    </row>
    <row r="225" spans="1:26" ht="24" customHeight="1" x14ac:dyDescent="0.5">
      <c r="A225" s="3"/>
      <c r="B225" s="3"/>
      <c r="C225" s="3"/>
      <c r="D225" s="3"/>
      <c r="E225" s="3"/>
      <c r="F225" s="3"/>
      <c r="G225" s="3"/>
      <c r="H225" s="3"/>
      <c r="I225" s="4"/>
      <c r="J225" s="83"/>
      <c r="K225" s="3"/>
      <c r="L225" s="4"/>
      <c r="M225" s="3"/>
      <c r="N225" s="379"/>
      <c r="O225" s="380"/>
      <c r="P225" s="379"/>
      <c r="Q225" s="380"/>
      <c r="R225" s="3"/>
      <c r="S225" s="4"/>
      <c r="T225" s="3"/>
      <c r="U225" s="81"/>
      <c r="V225" s="81"/>
      <c r="W225" s="81"/>
      <c r="X225" s="81"/>
      <c r="Y225" s="81"/>
      <c r="Z225" s="81"/>
    </row>
    <row r="226" spans="1:26" ht="24" customHeight="1" x14ac:dyDescent="0.5">
      <c r="A226" s="3"/>
      <c r="B226" s="3"/>
      <c r="C226" s="3"/>
      <c r="D226" s="3"/>
      <c r="E226" s="3"/>
      <c r="F226" s="3"/>
      <c r="G226" s="3"/>
      <c r="H226" s="3"/>
      <c r="I226" s="4"/>
      <c r="J226" s="83"/>
      <c r="K226" s="3"/>
      <c r="L226" s="4"/>
      <c r="M226" s="3"/>
      <c r="N226" s="379"/>
      <c r="O226" s="380"/>
      <c r="P226" s="379"/>
      <c r="Q226" s="380"/>
      <c r="R226" s="3"/>
      <c r="S226" s="4"/>
      <c r="T226" s="3"/>
      <c r="U226" s="81"/>
      <c r="V226" s="81"/>
      <c r="W226" s="81"/>
      <c r="X226" s="81"/>
      <c r="Y226" s="81"/>
      <c r="Z226" s="81"/>
    </row>
    <row r="227" spans="1:26" ht="24" customHeight="1" x14ac:dyDescent="0.5">
      <c r="A227" s="3"/>
      <c r="B227" s="3"/>
      <c r="C227" s="3"/>
      <c r="D227" s="3"/>
      <c r="E227" s="3"/>
      <c r="F227" s="3"/>
      <c r="G227" s="3"/>
      <c r="H227" s="3"/>
      <c r="I227" s="4"/>
      <c r="J227" s="83"/>
      <c r="K227" s="3"/>
      <c r="L227" s="4"/>
      <c r="M227" s="3"/>
      <c r="N227" s="379"/>
      <c r="O227" s="380"/>
      <c r="P227" s="379"/>
      <c r="Q227" s="380"/>
      <c r="R227" s="3"/>
      <c r="S227" s="4"/>
      <c r="T227" s="3"/>
      <c r="U227" s="81"/>
      <c r="V227" s="81"/>
      <c r="W227" s="81"/>
      <c r="X227" s="81"/>
      <c r="Y227" s="81"/>
      <c r="Z227" s="81"/>
    </row>
    <row r="228" spans="1:26" ht="24" customHeight="1" x14ac:dyDescent="0.5">
      <c r="A228" s="3"/>
      <c r="B228" s="3"/>
      <c r="C228" s="3"/>
      <c r="D228" s="3"/>
      <c r="E228" s="3"/>
      <c r="F228" s="3"/>
      <c r="G228" s="3"/>
      <c r="H228" s="3"/>
      <c r="I228" s="4"/>
      <c r="J228" s="83"/>
      <c r="K228" s="3"/>
      <c r="L228" s="4"/>
      <c r="M228" s="3"/>
      <c r="N228" s="379"/>
      <c r="O228" s="380"/>
      <c r="P228" s="379"/>
      <c r="Q228" s="380"/>
      <c r="R228" s="3"/>
      <c r="S228" s="4"/>
      <c r="T228" s="3"/>
      <c r="U228" s="81"/>
      <c r="V228" s="81"/>
      <c r="W228" s="81"/>
      <c r="X228" s="81"/>
      <c r="Y228" s="81"/>
      <c r="Z228" s="81"/>
    </row>
    <row r="229" spans="1:26" ht="24" customHeight="1" x14ac:dyDescent="0.5">
      <c r="A229" s="3"/>
      <c r="B229" s="3"/>
      <c r="C229" s="3"/>
      <c r="D229" s="3"/>
      <c r="E229" s="3"/>
      <c r="F229" s="3"/>
      <c r="G229" s="3"/>
      <c r="H229" s="3"/>
      <c r="I229" s="4"/>
      <c r="J229" s="83"/>
      <c r="K229" s="3"/>
      <c r="L229" s="4"/>
      <c r="M229" s="3"/>
      <c r="N229" s="379"/>
      <c r="O229" s="380"/>
      <c r="P229" s="379"/>
      <c r="Q229" s="380"/>
      <c r="R229" s="3"/>
      <c r="S229" s="4"/>
      <c r="T229" s="3"/>
      <c r="U229" s="81"/>
      <c r="V229" s="81"/>
      <c r="W229" s="81"/>
      <c r="X229" s="81"/>
      <c r="Y229" s="81"/>
      <c r="Z229" s="81"/>
    </row>
    <row r="230" spans="1:26" ht="24" customHeight="1" x14ac:dyDescent="0.5">
      <c r="A230" s="3"/>
      <c r="B230" s="3"/>
      <c r="C230" s="3"/>
      <c r="D230" s="3"/>
      <c r="E230" s="3"/>
      <c r="F230" s="3"/>
      <c r="G230" s="3"/>
      <c r="H230" s="3"/>
      <c r="I230" s="4"/>
      <c r="J230" s="83"/>
      <c r="K230" s="3"/>
      <c r="L230" s="4"/>
      <c r="M230" s="3"/>
      <c r="N230" s="379"/>
      <c r="O230" s="380"/>
      <c r="P230" s="379"/>
      <c r="Q230" s="380"/>
      <c r="R230" s="3"/>
      <c r="S230" s="4"/>
      <c r="T230" s="3"/>
      <c r="U230" s="81"/>
      <c r="V230" s="81"/>
      <c r="W230" s="81"/>
      <c r="X230" s="81"/>
      <c r="Y230" s="81"/>
      <c r="Z230" s="81"/>
    </row>
    <row r="231" spans="1:26" ht="24" customHeight="1" x14ac:dyDescent="0.5">
      <c r="A231" s="3"/>
      <c r="B231" s="3"/>
      <c r="C231" s="3"/>
      <c r="D231" s="3"/>
      <c r="E231" s="3"/>
      <c r="F231" s="3"/>
      <c r="G231" s="3"/>
      <c r="H231" s="3"/>
      <c r="I231" s="4"/>
      <c r="J231" s="83"/>
      <c r="K231" s="3"/>
      <c r="L231" s="4"/>
      <c r="M231" s="3"/>
      <c r="N231" s="379"/>
      <c r="O231" s="380"/>
      <c r="P231" s="379"/>
      <c r="Q231" s="380"/>
      <c r="R231" s="3"/>
      <c r="S231" s="4"/>
      <c r="T231" s="3"/>
      <c r="U231" s="81"/>
      <c r="V231" s="81"/>
      <c r="W231" s="81"/>
      <c r="X231" s="81"/>
      <c r="Y231" s="81"/>
      <c r="Z231" s="81"/>
    </row>
    <row r="232" spans="1:26" ht="24" customHeight="1" x14ac:dyDescent="0.5">
      <c r="A232" s="3"/>
      <c r="B232" s="3"/>
      <c r="C232" s="3"/>
      <c r="D232" s="3"/>
      <c r="E232" s="3"/>
      <c r="F232" s="3"/>
      <c r="G232" s="3"/>
      <c r="H232" s="3"/>
      <c r="I232" s="4"/>
      <c r="J232" s="83"/>
      <c r="K232" s="3"/>
      <c r="L232" s="4"/>
      <c r="M232" s="3"/>
      <c r="N232" s="379"/>
      <c r="O232" s="380"/>
      <c r="P232" s="379"/>
      <c r="Q232" s="380"/>
      <c r="R232" s="3"/>
      <c r="S232" s="4"/>
      <c r="T232" s="3"/>
      <c r="U232" s="81"/>
      <c r="V232" s="81"/>
      <c r="W232" s="81"/>
      <c r="X232" s="81"/>
      <c r="Y232" s="81"/>
      <c r="Z232" s="81"/>
    </row>
    <row r="233" spans="1:26" ht="24" customHeight="1" x14ac:dyDescent="0.5">
      <c r="A233" s="3"/>
      <c r="B233" s="3"/>
      <c r="C233" s="3"/>
      <c r="D233" s="3"/>
      <c r="E233" s="3"/>
      <c r="F233" s="3"/>
      <c r="G233" s="3"/>
      <c r="H233" s="3"/>
      <c r="I233" s="4"/>
      <c r="J233" s="83"/>
      <c r="K233" s="3"/>
      <c r="L233" s="4"/>
      <c r="M233" s="3"/>
      <c r="N233" s="379"/>
      <c r="O233" s="380"/>
      <c r="P233" s="379"/>
      <c r="Q233" s="380"/>
      <c r="R233" s="3"/>
      <c r="S233" s="4"/>
      <c r="T233" s="3"/>
      <c r="U233" s="81"/>
      <c r="V233" s="81"/>
      <c r="W233" s="81"/>
      <c r="X233" s="81"/>
      <c r="Y233" s="81"/>
      <c r="Z233" s="81"/>
    </row>
    <row r="234" spans="1:26" ht="24" customHeight="1" x14ac:dyDescent="0.5">
      <c r="A234" s="3"/>
      <c r="B234" s="3"/>
      <c r="C234" s="3"/>
      <c r="D234" s="3"/>
      <c r="E234" s="3"/>
      <c r="F234" s="3"/>
      <c r="G234" s="3"/>
      <c r="H234" s="3"/>
      <c r="I234" s="4"/>
      <c r="J234" s="83"/>
      <c r="K234" s="3"/>
      <c r="L234" s="4"/>
      <c r="M234" s="3"/>
      <c r="N234" s="379"/>
      <c r="O234" s="380"/>
      <c r="P234" s="379"/>
      <c r="Q234" s="380"/>
      <c r="R234" s="3"/>
      <c r="S234" s="4"/>
      <c r="T234" s="3"/>
      <c r="U234" s="81"/>
      <c r="V234" s="81"/>
      <c r="W234" s="81"/>
      <c r="X234" s="81"/>
      <c r="Y234" s="81"/>
      <c r="Z234" s="81"/>
    </row>
    <row r="235" spans="1:26" ht="24" customHeight="1" x14ac:dyDescent="0.5">
      <c r="A235" s="3"/>
      <c r="B235" s="3"/>
      <c r="C235" s="3"/>
      <c r="D235" s="3"/>
      <c r="E235" s="3"/>
      <c r="F235" s="3"/>
      <c r="G235" s="3"/>
      <c r="H235" s="3"/>
      <c r="I235" s="4"/>
      <c r="J235" s="83"/>
      <c r="K235" s="3"/>
      <c r="L235" s="4"/>
      <c r="M235" s="3"/>
      <c r="N235" s="379"/>
      <c r="O235" s="380"/>
      <c r="P235" s="379"/>
      <c r="Q235" s="380"/>
      <c r="R235" s="3"/>
      <c r="S235" s="4"/>
      <c r="T235" s="3"/>
      <c r="U235" s="81"/>
      <c r="V235" s="81"/>
      <c r="W235" s="81"/>
      <c r="X235" s="81"/>
      <c r="Y235" s="81"/>
      <c r="Z235" s="81"/>
    </row>
    <row r="236" spans="1:26" ht="24" customHeight="1" x14ac:dyDescent="0.5">
      <c r="A236" s="3"/>
      <c r="B236" s="3"/>
      <c r="C236" s="3"/>
      <c r="D236" s="3"/>
      <c r="E236" s="3"/>
      <c r="F236" s="3"/>
      <c r="G236" s="3"/>
      <c r="H236" s="3"/>
      <c r="I236" s="4"/>
      <c r="J236" s="83"/>
      <c r="K236" s="3"/>
      <c r="L236" s="4"/>
      <c r="M236" s="3"/>
      <c r="N236" s="379"/>
      <c r="O236" s="380"/>
      <c r="P236" s="379"/>
      <c r="Q236" s="380"/>
      <c r="R236" s="3"/>
      <c r="S236" s="4"/>
      <c r="T236" s="3"/>
      <c r="U236" s="81"/>
      <c r="V236" s="81"/>
      <c r="W236" s="81"/>
      <c r="X236" s="81"/>
      <c r="Y236" s="81"/>
      <c r="Z236" s="81"/>
    </row>
    <row r="237" spans="1:26" ht="24" customHeight="1" x14ac:dyDescent="0.5">
      <c r="A237" s="3"/>
      <c r="B237" s="3"/>
      <c r="C237" s="3"/>
      <c r="D237" s="3"/>
      <c r="E237" s="3"/>
      <c r="F237" s="3"/>
      <c r="G237" s="3"/>
      <c r="H237" s="3"/>
      <c r="I237" s="4"/>
      <c r="J237" s="83"/>
      <c r="K237" s="3"/>
      <c r="L237" s="4"/>
      <c r="M237" s="3"/>
      <c r="N237" s="379"/>
      <c r="O237" s="380"/>
      <c r="P237" s="379"/>
      <c r="Q237" s="380"/>
      <c r="R237" s="3"/>
      <c r="S237" s="4"/>
      <c r="T237" s="3"/>
      <c r="U237" s="81"/>
      <c r="V237" s="81"/>
      <c r="W237" s="81"/>
      <c r="X237" s="81"/>
      <c r="Y237" s="81"/>
      <c r="Z237" s="81"/>
    </row>
    <row r="238" spans="1:26" ht="24" customHeight="1" x14ac:dyDescent="0.5">
      <c r="A238" s="3"/>
      <c r="B238" s="3"/>
      <c r="C238" s="3"/>
      <c r="D238" s="3"/>
      <c r="E238" s="3"/>
      <c r="F238" s="3"/>
      <c r="G238" s="3"/>
      <c r="H238" s="3"/>
      <c r="I238" s="4"/>
      <c r="J238" s="83"/>
      <c r="K238" s="3"/>
      <c r="L238" s="4"/>
      <c r="M238" s="3"/>
      <c r="N238" s="379"/>
      <c r="O238" s="380"/>
      <c r="P238" s="379"/>
      <c r="Q238" s="380"/>
      <c r="R238" s="3"/>
      <c r="S238" s="4"/>
      <c r="T238" s="3"/>
      <c r="U238" s="81"/>
      <c r="V238" s="81"/>
      <c r="W238" s="81"/>
      <c r="X238" s="81"/>
      <c r="Y238" s="81"/>
      <c r="Z238" s="81"/>
    </row>
    <row r="239" spans="1:26" ht="24" customHeight="1" x14ac:dyDescent="0.5">
      <c r="A239" s="3"/>
      <c r="B239" s="3"/>
      <c r="C239" s="3"/>
      <c r="D239" s="3"/>
      <c r="E239" s="3"/>
      <c r="F239" s="3"/>
      <c r="G239" s="3"/>
      <c r="H239" s="3"/>
      <c r="I239" s="4"/>
      <c r="J239" s="83"/>
      <c r="K239" s="3"/>
      <c r="L239" s="4"/>
      <c r="M239" s="3"/>
      <c r="N239" s="379"/>
      <c r="O239" s="380"/>
      <c r="P239" s="379"/>
      <c r="Q239" s="380"/>
      <c r="R239" s="3"/>
      <c r="S239" s="4"/>
      <c r="T239" s="3"/>
      <c r="U239" s="81"/>
      <c r="V239" s="81"/>
      <c r="W239" s="81"/>
      <c r="X239" s="81"/>
      <c r="Y239" s="81"/>
      <c r="Z239" s="81"/>
    </row>
    <row r="240" spans="1:26" ht="24" customHeight="1" x14ac:dyDescent="0.5">
      <c r="A240" s="3"/>
      <c r="B240" s="3"/>
      <c r="C240" s="3"/>
      <c r="D240" s="3"/>
      <c r="E240" s="3"/>
      <c r="F240" s="3"/>
      <c r="G240" s="3"/>
      <c r="H240" s="3"/>
      <c r="I240" s="4"/>
      <c r="J240" s="83"/>
      <c r="K240" s="3"/>
      <c r="L240" s="4"/>
      <c r="M240" s="3"/>
      <c r="N240" s="379"/>
      <c r="O240" s="380"/>
      <c r="P240" s="379"/>
      <c r="Q240" s="380"/>
      <c r="R240" s="3"/>
      <c r="S240" s="4"/>
      <c r="T240" s="3"/>
      <c r="U240" s="81"/>
      <c r="V240" s="81"/>
      <c r="W240" s="81"/>
      <c r="X240" s="81"/>
      <c r="Y240" s="81"/>
      <c r="Z240" s="81"/>
    </row>
    <row r="241" spans="1:26" ht="24" customHeight="1" x14ac:dyDescent="0.5">
      <c r="A241" s="3"/>
      <c r="B241" s="3"/>
      <c r="C241" s="3"/>
      <c r="D241" s="3"/>
      <c r="E241" s="3"/>
      <c r="F241" s="3"/>
      <c r="G241" s="3"/>
      <c r="H241" s="3"/>
      <c r="I241" s="4"/>
      <c r="J241" s="83"/>
      <c r="K241" s="3"/>
      <c r="L241" s="4"/>
      <c r="M241" s="3"/>
      <c r="N241" s="379"/>
      <c r="O241" s="380"/>
      <c r="P241" s="379"/>
      <c r="Q241" s="380"/>
      <c r="R241" s="3"/>
      <c r="S241" s="4"/>
      <c r="T241" s="3"/>
      <c r="U241" s="81"/>
      <c r="V241" s="81"/>
      <c r="W241" s="81"/>
      <c r="X241" s="81"/>
      <c r="Y241" s="81"/>
      <c r="Z241" s="81"/>
    </row>
    <row r="242" spans="1:26" ht="24" customHeight="1" x14ac:dyDescent="0.5">
      <c r="A242" s="3"/>
      <c r="B242" s="3"/>
      <c r="C242" s="3"/>
      <c r="D242" s="3"/>
      <c r="E242" s="3"/>
      <c r="F242" s="3"/>
      <c r="G242" s="3"/>
      <c r="H242" s="3"/>
      <c r="I242" s="4"/>
      <c r="J242" s="83"/>
      <c r="K242" s="3"/>
      <c r="L242" s="4"/>
      <c r="M242" s="3"/>
      <c r="N242" s="379"/>
      <c r="O242" s="380"/>
      <c r="P242" s="379"/>
      <c r="Q242" s="380"/>
      <c r="R242" s="3"/>
      <c r="S242" s="4"/>
      <c r="T242" s="3"/>
      <c r="U242" s="81"/>
      <c r="V242" s="81"/>
      <c r="W242" s="81"/>
      <c r="X242" s="81"/>
      <c r="Y242" s="81"/>
      <c r="Z242" s="81"/>
    </row>
    <row r="243" spans="1:26" ht="24" customHeight="1" x14ac:dyDescent="0.5">
      <c r="A243" s="3"/>
      <c r="B243" s="3"/>
      <c r="C243" s="3"/>
      <c r="D243" s="3"/>
      <c r="E243" s="3"/>
      <c r="F243" s="3"/>
      <c r="G243" s="3"/>
      <c r="H243" s="3"/>
      <c r="I243" s="4"/>
      <c r="J243" s="83"/>
      <c r="K243" s="3"/>
      <c r="L243" s="4"/>
      <c r="M243" s="3"/>
      <c r="N243" s="379"/>
      <c r="O243" s="380"/>
      <c r="P243" s="379"/>
      <c r="Q243" s="380"/>
      <c r="R243" s="3"/>
      <c r="S243" s="4"/>
      <c r="T243" s="3"/>
      <c r="U243" s="81"/>
      <c r="V243" s="81"/>
      <c r="W243" s="81"/>
      <c r="X243" s="81"/>
      <c r="Y243" s="81"/>
      <c r="Z243" s="81"/>
    </row>
    <row r="244" spans="1:26" ht="24" customHeight="1" x14ac:dyDescent="0.5">
      <c r="A244" s="3"/>
      <c r="B244" s="3"/>
      <c r="C244" s="3"/>
      <c r="D244" s="3"/>
      <c r="E244" s="3"/>
      <c r="F244" s="3"/>
      <c r="G244" s="3"/>
      <c r="H244" s="3"/>
      <c r="I244" s="4"/>
      <c r="J244" s="83"/>
      <c r="K244" s="3"/>
      <c r="L244" s="4"/>
      <c r="M244" s="3"/>
      <c r="N244" s="379"/>
      <c r="O244" s="380"/>
      <c r="P244" s="379"/>
      <c r="Q244" s="380"/>
      <c r="R244" s="3"/>
      <c r="S244" s="4"/>
      <c r="T244" s="3"/>
      <c r="U244" s="81"/>
      <c r="V244" s="81"/>
      <c r="W244" s="81"/>
      <c r="X244" s="81"/>
      <c r="Y244" s="81"/>
      <c r="Z244" s="81"/>
    </row>
    <row r="245" spans="1:26" ht="24" customHeight="1" x14ac:dyDescent="0.5">
      <c r="A245" s="3"/>
      <c r="B245" s="3"/>
      <c r="C245" s="3"/>
      <c r="D245" s="3"/>
      <c r="E245" s="3"/>
      <c r="F245" s="3"/>
      <c r="G245" s="3"/>
      <c r="H245" s="3"/>
      <c r="I245" s="4"/>
      <c r="J245" s="83"/>
      <c r="K245" s="3"/>
      <c r="L245" s="4"/>
      <c r="M245" s="3"/>
      <c r="N245" s="379"/>
      <c r="O245" s="380"/>
      <c r="P245" s="379"/>
      <c r="Q245" s="380"/>
      <c r="R245" s="3"/>
      <c r="S245" s="4"/>
      <c r="T245" s="3"/>
      <c r="U245" s="81"/>
      <c r="V245" s="81"/>
      <c r="W245" s="81"/>
      <c r="X245" s="81"/>
      <c r="Y245" s="81"/>
      <c r="Z245" s="81"/>
    </row>
    <row r="246" spans="1:26" ht="24" customHeight="1" x14ac:dyDescent="0.5">
      <c r="A246" s="3"/>
      <c r="B246" s="3"/>
      <c r="C246" s="3"/>
      <c r="D246" s="3"/>
      <c r="E246" s="3"/>
      <c r="F246" s="3"/>
      <c r="G246" s="3"/>
      <c r="H246" s="3"/>
      <c r="I246" s="4"/>
      <c r="J246" s="83"/>
      <c r="K246" s="3"/>
      <c r="L246" s="4"/>
      <c r="M246" s="3"/>
      <c r="N246" s="379"/>
      <c r="O246" s="380"/>
      <c r="P246" s="379"/>
      <c r="Q246" s="380"/>
      <c r="R246" s="3"/>
      <c r="S246" s="4"/>
      <c r="T246" s="3"/>
      <c r="U246" s="81"/>
      <c r="V246" s="81"/>
      <c r="W246" s="81"/>
      <c r="X246" s="81"/>
      <c r="Y246" s="81"/>
      <c r="Z246" s="81"/>
    </row>
    <row r="247" spans="1:26" ht="24" customHeight="1" x14ac:dyDescent="0.5">
      <c r="A247" s="3"/>
      <c r="B247" s="3"/>
      <c r="C247" s="3"/>
      <c r="D247" s="3"/>
      <c r="E247" s="3"/>
      <c r="F247" s="3"/>
      <c r="G247" s="3"/>
      <c r="H247" s="3"/>
      <c r="I247" s="4"/>
      <c r="J247" s="83"/>
      <c r="K247" s="3"/>
      <c r="L247" s="4"/>
      <c r="M247" s="3"/>
      <c r="N247" s="379"/>
      <c r="O247" s="380"/>
      <c r="P247" s="379"/>
      <c r="Q247" s="380"/>
      <c r="R247" s="3"/>
      <c r="S247" s="4"/>
      <c r="T247" s="3"/>
      <c r="U247" s="81"/>
      <c r="V247" s="81"/>
      <c r="W247" s="81"/>
      <c r="X247" s="81"/>
      <c r="Y247" s="81"/>
      <c r="Z247" s="81"/>
    </row>
    <row r="248" spans="1:26" ht="24" customHeight="1" x14ac:dyDescent="0.5">
      <c r="A248" s="3"/>
      <c r="B248" s="3"/>
      <c r="C248" s="3"/>
      <c r="D248" s="3"/>
      <c r="E248" s="3"/>
      <c r="F248" s="3"/>
      <c r="G248" s="3"/>
      <c r="H248" s="3"/>
      <c r="I248" s="4"/>
      <c r="J248" s="83"/>
      <c r="K248" s="3"/>
      <c r="L248" s="4"/>
      <c r="M248" s="3"/>
      <c r="N248" s="379"/>
      <c r="O248" s="380"/>
      <c r="P248" s="379"/>
      <c r="Q248" s="380"/>
      <c r="R248" s="3"/>
      <c r="S248" s="4"/>
      <c r="T248" s="3"/>
      <c r="U248" s="81"/>
      <c r="V248" s="81"/>
      <c r="W248" s="81"/>
      <c r="X248" s="81"/>
      <c r="Y248" s="81"/>
      <c r="Z248" s="81"/>
    </row>
    <row r="249" spans="1:26" ht="24" customHeight="1" x14ac:dyDescent="0.5">
      <c r="A249" s="3"/>
      <c r="B249" s="3"/>
      <c r="C249" s="3"/>
      <c r="D249" s="3"/>
      <c r="E249" s="3"/>
      <c r="F249" s="3"/>
      <c r="G249" s="3"/>
      <c r="H249" s="3"/>
      <c r="I249" s="4"/>
      <c r="J249" s="83"/>
      <c r="K249" s="3"/>
      <c r="L249" s="4"/>
      <c r="M249" s="3"/>
      <c r="N249" s="379"/>
      <c r="O249" s="380"/>
      <c r="P249" s="379"/>
      <c r="Q249" s="380"/>
      <c r="R249" s="3"/>
      <c r="S249" s="4"/>
      <c r="T249" s="3"/>
      <c r="U249" s="81"/>
      <c r="V249" s="81"/>
      <c r="W249" s="81"/>
      <c r="X249" s="81"/>
      <c r="Y249" s="81"/>
      <c r="Z249" s="81"/>
    </row>
    <row r="250" spans="1:26" ht="24" customHeight="1" x14ac:dyDescent="0.5">
      <c r="A250" s="3"/>
      <c r="B250" s="3"/>
      <c r="C250" s="3"/>
      <c r="D250" s="3"/>
      <c r="E250" s="3"/>
      <c r="F250" s="3"/>
      <c r="G250" s="3"/>
      <c r="H250" s="3"/>
      <c r="I250" s="4"/>
      <c r="J250" s="83"/>
      <c r="K250" s="3"/>
      <c r="L250" s="4"/>
      <c r="M250" s="3"/>
      <c r="N250" s="379"/>
      <c r="O250" s="380"/>
      <c r="P250" s="379"/>
      <c r="Q250" s="380"/>
      <c r="R250" s="3"/>
      <c r="S250" s="4"/>
      <c r="T250" s="3"/>
      <c r="U250" s="81"/>
      <c r="V250" s="81"/>
      <c r="W250" s="81"/>
      <c r="X250" s="81"/>
      <c r="Y250" s="81"/>
      <c r="Z250" s="81"/>
    </row>
    <row r="251" spans="1:26" ht="24" customHeight="1" x14ac:dyDescent="0.5">
      <c r="A251" s="3"/>
      <c r="B251" s="3"/>
      <c r="C251" s="3"/>
      <c r="D251" s="3"/>
      <c r="E251" s="3"/>
      <c r="F251" s="3"/>
      <c r="G251" s="3"/>
      <c r="H251" s="3"/>
      <c r="I251" s="4"/>
      <c r="J251" s="83"/>
      <c r="K251" s="3"/>
      <c r="L251" s="4"/>
      <c r="M251" s="3"/>
      <c r="N251" s="379"/>
      <c r="O251" s="380"/>
      <c r="P251" s="379"/>
      <c r="Q251" s="380"/>
      <c r="R251" s="3"/>
      <c r="S251" s="4"/>
      <c r="T251" s="3"/>
      <c r="U251" s="81"/>
      <c r="V251" s="81"/>
      <c r="W251" s="81"/>
      <c r="X251" s="81"/>
      <c r="Y251" s="81"/>
      <c r="Z251" s="81"/>
    </row>
    <row r="252" spans="1:26" ht="24" customHeight="1" x14ac:dyDescent="0.5">
      <c r="A252" s="3"/>
      <c r="B252" s="3"/>
      <c r="C252" s="3"/>
      <c r="D252" s="3"/>
      <c r="E252" s="3"/>
      <c r="F252" s="3"/>
      <c r="G252" s="3"/>
      <c r="H252" s="3"/>
      <c r="I252" s="4"/>
      <c r="J252" s="83"/>
      <c r="K252" s="3"/>
      <c r="L252" s="4"/>
      <c r="M252" s="3"/>
      <c r="N252" s="379"/>
      <c r="O252" s="380"/>
      <c r="P252" s="379"/>
      <c r="Q252" s="380"/>
      <c r="R252" s="3"/>
      <c r="S252" s="4"/>
      <c r="T252" s="3"/>
      <c r="U252" s="81"/>
      <c r="V252" s="81"/>
      <c r="W252" s="81"/>
      <c r="X252" s="81"/>
      <c r="Y252" s="81"/>
      <c r="Z252" s="81"/>
    </row>
    <row r="253" spans="1:26" ht="24" customHeight="1" x14ac:dyDescent="0.5">
      <c r="A253" s="3"/>
      <c r="B253" s="3"/>
      <c r="C253" s="3"/>
      <c r="D253" s="3"/>
      <c r="E253" s="3"/>
      <c r="F253" s="3"/>
      <c r="G253" s="3"/>
      <c r="H253" s="3"/>
      <c r="I253" s="4"/>
      <c r="J253" s="83"/>
      <c r="K253" s="3"/>
      <c r="L253" s="4"/>
      <c r="M253" s="3"/>
      <c r="N253" s="379"/>
      <c r="O253" s="380"/>
      <c r="P253" s="379"/>
      <c r="Q253" s="380"/>
      <c r="R253" s="3"/>
      <c r="S253" s="4"/>
      <c r="T253" s="3"/>
      <c r="U253" s="81"/>
      <c r="V253" s="81"/>
      <c r="W253" s="81"/>
      <c r="X253" s="81"/>
      <c r="Y253" s="81"/>
      <c r="Z253" s="81"/>
    </row>
    <row r="254" spans="1:26" ht="24" customHeight="1" x14ac:dyDescent="0.5">
      <c r="A254" s="3"/>
      <c r="B254" s="3"/>
      <c r="C254" s="3"/>
      <c r="D254" s="3"/>
      <c r="E254" s="3"/>
      <c r="F254" s="3"/>
      <c r="G254" s="3"/>
      <c r="H254" s="3"/>
      <c r="I254" s="4"/>
      <c r="J254" s="83"/>
      <c r="K254" s="3"/>
      <c r="L254" s="4"/>
      <c r="M254" s="3"/>
      <c r="N254" s="379"/>
      <c r="O254" s="380"/>
      <c r="P254" s="379"/>
      <c r="Q254" s="380"/>
      <c r="R254" s="3"/>
      <c r="S254" s="4"/>
      <c r="T254" s="3"/>
      <c r="U254" s="81"/>
      <c r="V254" s="81"/>
      <c r="W254" s="81"/>
      <c r="X254" s="81"/>
      <c r="Y254" s="81"/>
      <c r="Z254" s="81"/>
    </row>
    <row r="255" spans="1:26" ht="24" customHeight="1" x14ac:dyDescent="0.5">
      <c r="A255" s="3"/>
      <c r="B255" s="3"/>
      <c r="C255" s="3"/>
      <c r="D255" s="3"/>
      <c r="E255" s="3"/>
      <c r="F255" s="3"/>
      <c r="G255" s="3"/>
      <c r="H255" s="3"/>
      <c r="I255" s="4"/>
      <c r="J255" s="83"/>
      <c r="K255" s="3"/>
      <c r="L255" s="4"/>
      <c r="M255" s="3"/>
      <c r="N255" s="379"/>
      <c r="O255" s="380"/>
      <c r="P255" s="379"/>
      <c r="Q255" s="380"/>
      <c r="R255" s="3"/>
      <c r="S255" s="4"/>
      <c r="T255" s="3"/>
      <c r="U255" s="81"/>
      <c r="V255" s="81"/>
      <c r="W255" s="81"/>
      <c r="X255" s="81"/>
      <c r="Y255" s="81"/>
      <c r="Z255" s="81"/>
    </row>
    <row r="256" spans="1:26" ht="24" customHeight="1" x14ac:dyDescent="0.5">
      <c r="A256" s="3"/>
      <c r="B256" s="3"/>
      <c r="C256" s="3"/>
      <c r="D256" s="3"/>
      <c r="E256" s="3"/>
      <c r="F256" s="3"/>
      <c r="G256" s="3"/>
      <c r="H256" s="3"/>
      <c r="I256" s="4"/>
      <c r="J256" s="83"/>
      <c r="K256" s="3"/>
      <c r="L256" s="4"/>
      <c r="M256" s="3"/>
      <c r="N256" s="379"/>
      <c r="O256" s="380"/>
      <c r="P256" s="379"/>
      <c r="Q256" s="380"/>
      <c r="R256" s="3"/>
      <c r="S256" s="4"/>
      <c r="T256" s="3"/>
      <c r="U256" s="81"/>
      <c r="V256" s="81"/>
      <c r="W256" s="81"/>
      <c r="X256" s="81"/>
      <c r="Y256" s="81"/>
      <c r="Z256" s="81"/>
    </row>
    <row r="257" spans="1:26" ht="24" customHeight="1" x14ac:dyDescent="0.5">
      <c r="A257" s="3"/>
      <c r="B257" s="3"/>
      <c r="C257" s="3"/>
      <c r="D257" s="3"/>
      <c r="E257" s="3"/>
      <c r="F257" s="3"/>
      <c r="G257" s="3"/>
      <c r="H257" s="3"/>
      <c r="I257" s="4"/>
      <c r="J257" s="83"/>
      <c r="K257" s="3"/>
      <c r="L257" s="4"/>
      <c r="M257" s="3"/>
      <c r="N257" s="379"/>
      <c r="O257" s="380"/>
      <c r="P257" s="379"/>
      <c r="Q257" s="380"/>
      <c r="R257" s="3"/>
      <c r="S257" s="4"/>
      <c r="T257" s="3"/>
      <c r="U257" s="81"/>
      <c r="V257" s="81"/>
      <c r="W257" s="81"/>
      <c r="X257" s="81"/>
      <c r="Y257" s="81"/>
      <c r="Z257" s="81"/>
    </row>
    <row r="258" spans="1:26" ht="24" customHeight="1" x14ac:dyDescent="0.5">
      <c r="A258" s="3"/>
      <c r="B258" s="3"/>
      <c r="C258" s="3"/>
      <c r="D258" s="3"/>
      <c r="E258" s="3"/>
      <c r="F258" s="3"/>
      <c r="G258" s="3"/>
      <c r="H258" s="3"/>
      <c r="I258" s="4"/>
      <c r="J258" s="83"/>
      <c r="K258" s="3"/>
      <c r="L258" s="4"/>
      <c r="M258" s="3"/>
      <c r="N258" s="379"/>
      <c r="O258" s="380"/>
      <c r="P258" s="379"/>
      <c r="Q258" s="380"/>
      <c r="R258" s="3"/>
      <c r="S258" s="4"/>
      <c r="T258" s="3"/>
      <c r="U258" s="81"/>
      <c r="V258" s="81"/>
      <c r="W258" s="81"/>
      <c r="X258" s="81"/>
      <c r="Y258" s="81"/>
      <c r="Z258" s="81"/>
    </row>
    <row r="259" spans="1:26" ht="24" customHeight="1" x14ac:dyDescent="0.5">
      <c r="A259" s="3"/>
      <c r="B259" s="3"/>
      <c r="C259" s="3"/>
      <c r="D259" s="3"/>
      <c r="E259" s="3"/>
      <c r="F259" s="3"/>
      <c r="G259" s="3"/>
      <c r="H259" s="3"/>
      <c r="I259" s="4"/>
      <c r="J259" s="83"/>
      <c r="K259" s="3"/>
      <c r="L259" s="4"/>
      <c r="M259" s="3"/>
      <c r="N259" s="379"/>
      <c r="O259" s="380"/>
      <c r="P259" s="379"/>
      <c r="Q259" s="380"/>
      <c r="R259" s="3"/>
      <c r="S259" s="4"/>
      <c r="T259" s="3"/>
      <c r="U259" s="81"/>
      <c r="V259" s="81"/>
      <c r="W259" s="81"/>
      <c r="X259" s="81"/>
      <c r="Y259" s="81"/>
      <c r="Z259" s="81"/>
    </row>
    <row r="260" spans="1:26" ht="24" customHeight="1" x14ac:dyDescent="0.5">
      <c r="A260" s="3"/>
      <c r="B260" s="3"/>
      <c r="C260" s="3"/>
      <c r="D260" s="3"/>
      <c r="E260" s="3"/>
      <c r="F260" s="3"/>
      <c r="G260" s="3"/>
      <c r="H260" s="3"/>
      <c r="I260" s="4"/>
      <c r="J260" s="83"/>
      <c r="K260" s="3"/>
      <c r="L260" s="4"/>
      <c r="M260" s="3"/>
      <c r="N260" s="379"/>
      <c r="O260" s="380"/>
      <c r="P260" s="379"/>
      <c r="Q260" s="380"/>
      <c r="R260" s="3"/>
      <c r="S260" s="4"/>
      <c r="T260" s="3"/>
      <c r="U260" s="81"/>
      <c r="V260" s="81"/>
      <c r="W260" s="81"/>
      <c r="X260" s="81"/>
      <c r="Y260" s="81"/>
      <c r="Z260" s="81"/>
    </row>
    <row r="261" spans="1:26" ht="24" customHeight="1" x14ac:dyDescent="0.5">
      <c r="A261" s="3"/>
      <c r="B261" s="3"/>
      <c r="C261" s="3"/>
      <c r="D261" s="3"/>
      <c r="E261" s="3"/>
      <c r="F261" s="3"/>
      <c r="G261" s="3"/>
      <c r="H261" s="3"/>
      <c r="I261" s="4"/>
      <c r="J261" s="83"/>
      <c r="K261" s="3"/>
      <c r="L261" s="4"/>
      <c r="M261" s="3"/>
      <c r="N261" s="379"/>
      <c r="O261" s="380"/>
      <c r="P261" s="379"/>
      <c r="Q261" s="380"/>
      <c r="R261" s="3"/>
      <c r="S261" s="4"/>
      <c r="T261" s="3"/>
      <c r="U261" s="81"/>
      <c r="V261" s="81"/>
      <c r="W261" s="81"/>
      <c r="X261" s="81"/>
      <c r="Y261" s="81"/>
      <c r="Z261" s="81"/>
    </row>
    <row r="262" spans="1:26" ht="24" customHeight="1" x14ac:dyDescent="0.5">
      <c r="A262" s="3"/>
      <c r="B262" s="3"/>
      <c r="C262" s="3"/>
      <c r="D262" s="3"/>
      <c r="E262" s="3"/>
      <c r="F262" s="3"/>
      <c r="G262" s="3"/>
      <c r="H262" s="3"/>
      <c r="I262" s="4"/>
      <c r="J262" s="83"/>
      <c r="K262" s="3"/>
      <c r="L262" s="4"/>
      <c r="M262" s="3"/>
      <c r="N262" s="379"/>
      <c r="O262" s="380"/>
      <c r="P262" s="379"/>
      <c r="Q262" s="380"/>
      <c r="R262" s="3"/>
      <c r="S262" s="4"/>
      <c r="T262" s="3"/>
      <c r="U262" s="81"/>
      <c r="V262" s="81"/>
      <c r="W262" s="81"/>
      <c r="X262" s="81"/>
      <c r="Y262" s="81"/>
      <c r="Z262" s="81"/>
    </row>
    <row r="263" spans="1:26" ht="24" customHeight="1" x14ac:dyDescent="0.5">
      <c r="A263" s="3"/>
      <c r="B263" s="3"/>
      <c r="C263" s="3"/>
      <c r="D263" s="3"/>
      <c r="E263" s="3"/>
      <c r="F263" s="3"/>
      <c r="G263" s="3"/>
      <c r="H263" s="3"/>
      <c r="I263" s="4"/>
      <c r="J263" s="83"/>
      <c r="K263" s="3"/>
      <c r="L263" s="4"/>
      <c r="M263" s="3"/>
      <c r="N263" s="379"/>
      <c r="O263" s="380"/>
      <c r="P263" s="379"/>
      <c r="Q263" s="380"/>
      <c r="R263" s="3"/>
      <c r="S263" s="4"/>
      <c r="T263" s="3"/>
      <c r="U263" s="81"/>
      <c r="V263" s="81"/>
      <c r="W263" s="81"/>
      <c r="X263" s="81"/>
      <c r="Y263" s="81"/>
      <c r="Z263" s="81"/>
    </row>
    <row r="264" spans="1:26" ht="24" customHeight="1" x14ac:dyDescent="0.5">
      <c r="A264" s="3"/>
      <c r="B264" s="3"/>
      <c r="C264" s="3"/>
      <c r="D264" s="3"/>
      <c r="E264" s="3"/>
      <c r="F264" s="3"/>
      <c r="G264" s="3"/>
      <c r="H264" s="3"/>
      <c r="I264" s="4"/>
      <c r="J264" s="83"/>
      <c r="K264" s="3"/>
      <c r="L264" s="4"/>
      <c r="M264" s="3"/>
      <c r="N264" s="379"/>
      <c r="O264" s="380"/>
      <c r="P264" s="379"/>
      <c r="Q264" s="380"/>
      <c r="R264" s="3"/>
      <c r="S264" s="4"/>
      <c r="T264" s="3"/>
      <c r="U264" s="81"/>
      <c r="V264" s="81"/>
      <c r="W264" s="81"/>
      <c r="X264" s="81"/>
      <c r="Y264" s="81"/>
      <c r="Z264" s="81"/>
    </row>
    <row r="265" spans="1:26" ht="24" customHeight="1" x14ac:dyDescent="0.5">
      <c r="A265" s="3"/>
      <c r="B265" s="3"/>
      <c r="C265" s="3"/>
      <c r="D265" s="3"/>
      <c r="E265" s="3"/>
      <c r="F265" s="3"/>
      <c r="G265" s="3"/>
      <c r="H265" s="3"/>
      <c r="I265" s="4"/>
      <c r="J265" s="83"/>
      <c r="K265" s="3"/>
      <c r="L265" s="4"/>
      <c r="M265" s="3"/>
      <c r="N265" s="379"/>
      <c r="O265" s="380"/>
      <c r="P265" s="379"/>
      <c r="Q265" s="380"/>
      <c r="R265" s="3"/>
      <c r="S265" s="4"/>
      <c r="T265" s="3"/>
      <c r="U265" s="81"/>
      <c r="V265" s="81"/>
      <c r="W265" s="81"/>
      <c r="X265" s="81"/>
      <c r="Y265" s="81"/>
      <c r="Z265" s="81"/>
    </row>
    <row r="266" spans="1:26" ht="24" customHeight="1" x14ac:dyDescent="0.5">
      <c r="A266" s="3"/>
      <c r="B266" s="3"/>
      <c r="C266" s="3"/>
      <c r="D266" s="3"/>
      <c r="E266" s="3"/>
      <c r="F266" s="3"/>
      <c r="G266" s="3"/>
      <c r="H266" s="3"/>
      <c r="I266" s="4"/>
      <c r="J266" s="83"/>
      <c r="K266" s="3"/>
      <c r="L266" s="4"/>
      <c r="M266" s="3"/>
      <c r="N266" s="379"/>
      <c r="O266" s="380"/>
      <c r="P266" s="379"/>
      <c r="Q266" s="380"/>
      <c r="R266" s="3"/>
      <c r="S266" s="4"/>
      <c r="T266" s="3"/>
      <c r="U266" s="81"/>
      <c r="V266" s="81"/>
      <c r="W266" s="81"/>
      <c r="X266" s="81"/>
      <c r="Y266" s="81"/>
      <c r="Z266" s="81"/>
    </row>
    <row r="267" spans="1:26" ht="24" customHeight="1" x14ac:dyDescent="0.5">
      <c r="A267" s="3"/>
      <c r="B267" s="3"/>
      <c r="C267" s="3"/>
      <c r="D267" s="3"/>
      <c r="E267" s="3"/>
      <c r="F267" s="3"/>
      <c r="G267" s="3"/>
      <c r="H267" s="3"/>
      <c r="I267" s="4"/>
      <c r="J267" s="83"/>
      <c r="K267" s="3"/>
      <c r="L267" s="4"/>
      <c r="M267" s="3"/>
      <c r="N267" s="379"/>
      <c r="O267" s="380"/>
      <c r="P267" s="379"/>
      <c r="Q267" s="380"/>
      <c r="R267" s="3"/>
      <c r="S267" s="4"/>
      <c r="T267" s="3"/>
      <c r="U267" s="81"/>
      <c r="V267" s="81"/>
      <c r="W267" s="81"/>
      <c r="X267" s="81"/>
      <c r="Y267" s="81"/>
      <c r="Z267" s="81"/>
    </row>
    <row r="268" spans="1:26" ht="24" customHeight="1" x14ac:dyDescent="0.5">
      <c r="A268" s="3"/>
      <c r="B268" s="3"/>
      <c r="C268" s="3"/>
      <c r="D268" s="3"/>
      <c r="E268" s="3"/>
      <c r="F268" s="3"/>
      <c r="G268" s="3"/>
      <c r="H268" s="3"/>
      <c r="I268" s="4"/>
      <c r="J268" s="83"/>
      <c r="K268" s="3"/>
      <c r="L268" s="4"/>
      <c r="M268" s="3"/>
      <c r="N268" s="379"/>
      <c r="O268" s="380"/>
      <c r="P268" s="379"/>
      <c r="Q268" s="380"/>
      <c r="R268" s="3"/>
      <c r="S268" s="4"/>
      <c r="T268" s="3"/>
      <c r="U268" s="81"/>
      <c r="V268" s="81"/>
      <c r="W268" s="81"/>
      <c r="X268" s="81"/>
      <c r="Y268" s="81"/>
      <c r="Z268" s="81"/>
    </row>
    <row r="269" spans="1:26" ht="24" customHeight="1" x14ac:dyDescent="0.5">
      <c r="A269" s="3"/>
      <c r="B269" s="3"/>
      <c r="C269" s="3"/>
      <c r="D269" s="3"/>
      <c r="E269" s="3"/>
      <c r="F269" s="3"/>
      <c r="G269" s="3"/>
      <c r="H269" s="3"/>
      <c r="I269" s="4"/>
      <c r="J269" s="83"/>
      <c r="K269" s="3"/>
      <c r="L269" s="4"/>
      <c r="M269" s="3"/>
      <c r="N269" s="379"/>
      <c r="O269" s="380"/>
      <c r="P269" s="379"/>
      <c r="Q269" s="380"/>
      <c r="R269" s="3"/>
      <c r="S269" s="4"/>
      <c r="T269" s="3"/>
      <c r="U269" s="81"/>
      <c r="V269" s="81"/>
      <c r="W269" s="81"/>
      <c r="X269" s="81"/>
      <c r="Y269" s="81"/>
      <c r="Z269" s="81"/>
    </row>
    <row r="270" spans="1:26" ht="24" customHeight="1" x14ac:dyDescent="0.5">
      <c r="A270" s="3"/>
      <c r="B270" s="3"/>
      <c r="C270" s="3"/>
      <c r="D270" s="3"/>
      <c r="E270" s="3"/>
      <c r="F270" s="3"/>
      <c r="G270" s="3"/>
      <c r="H270" s="3"/>
      <c r="I270" s="4"/>
      <c r="J270" s="83"/>
      <c r="K270" s="3"/>
      <c r="L270" s="4"/>
      <c r="M270" s="3"/>
      <c r="N270" s="379"/>
      <c r="O270" s="380"/>
      <c r="P270" s="379"/>
      <c r="Q270" s="380"/>
      <c r="R270" s="3"/>
      <c r="S270" s="4"/>
      <c r="T270" s="3"/>
      <c r="U270" s="81"/>
      <c r="V270" s="81"/>
      <c r="W270" s="81"/>
      <c r="X270" s="81"/>
      <c r="Y270" s="81"/>
      <c r="Z270" s="81"/>
    </row>
    <row r="271" spans="1:26" ht="24" customHeight="1" x14ac:dyDescent="0.5">
      <c r="A271" s="3"/>
      <c r="B271" s="3"/>
      <c r="C271" s="3"/>
      <c r="D271" s="3"/>
      <c r="E271" s="3"/>
      <c r="F271" s="3"/>
      <c r="G271" s="3"/>
      <c r="H271" s="3"/>
      <c r="I271" s="4"/>
      <c r="J271" s="83"/>
      <c r="K271" s="3"/>
      <c r="L271" s="4"/>
      <c r="M271" s="3"/>
      <c r="N271" s="379"/>
      <c r="O271" s="380"/>
      <c r="P271" s="379"/>
      <c r="Q271" s="380"/>
      <c r="R271" s="3"/>
      <c r="S271" s="4"/>
      <c r="T271" s="3"/>
      <c r="U271" s="81"/>
      <c r="V271" s="81"/>
      <c r="W271" s="81"/>
      <c r="X271" s="81"/>
      <c r="Y271" s="81"/>
      <c r="Z271" s="81"/>
    </row>
    <row r="272" spans="1:26" ht="24" customHeight="1" x14ac:dyDescent="0.5">
      <c r="A272" s="3"/>
      <c r="B272" s="3"/>
      <c r="C272" s="3"/>
      <c r="D272" s="3"/>
      <c r="E272" s="3"/>
      <c r="F272" s="3"/>
      <c r="G272" s="3"/>
      <c r="H272" s="3"/>
      <c r="I272" s="4"/>
      <c r="J272" s="83"/>
      <c r="K272" s="3"/>
      <c r="L272" s="4"/>
      <c r="M272" s="3"/>
      <c r="N272" s="379"/>
      <c r="O272" s="380"/>
      <c r="P272" s="379"/>
      <c r="Q272" s="380"/>
      <c r="R272" s="3"/>
      <c r="S272" s="4"/>
      <c r="T272" s="3"/>
      <c r="U272" s="81"/>
      <c r="V272" s="81"/>
      <c r="W272" s="81"/>
      <c r="X272" s="81"/>
      <c r="Y272" s="81"/>
      <c r="Z272" s="81"/>
    </row>
    <row r="273" spans="1:26" ht="24" customHeight="1" x14ac:dyDescent="0.5">
      <c r="A273" s="3"/>
      <c r="B273" s="3"/>
      <c r="C273" s="3"/>
      <c r="D273" s="3"/>
      <c r="E273" s="3"/>
      <c r="F273" s="3"/>
      <c r="G273" s="3"/>
      <c r="H273" s="3"/>
      <c r="I273" s="4"/>
      <c r="J273" s="83"/>
      <c r="K273" s="3"/>
      <c r="L273" s="4"/>
      <c r="M273" s="3"/>
      <c r="N273" s="379"/>
      <c r="O273" s="380"/>
      <c r="P273" s="379"/>
      <c r="Q273" s="380"/>
      <c r="R273" s="3"/>
      <c r="S273" s="4"/>
      <c r="T273" s="3"/>
      <c r="U273" s="81"/>
      <c r="V273" s="81"/>
      <c r="W273" s="81"/>
      <c r="X273" s="81"/>
      <c r="Y273" s="81"/>
      <c r="Z273" s="81"/>
    </row>
    <row r="274" spans="1:26" ht="24" customHeight="1" x14ac:dyDescent="0.5">
      <c r="A274" s="3"/>
      <c r="B274" s="3"/>
      <c r="C274" s="3"/>
      <c r="D274" s="3"/>
      <c r="E274" s="3"/>
      <c r="F274" s="3"/>
      <c r="G274" s="3"/>
      <c r="H274" s="3"/>
      <c r="I274" s="4"/>
      <c r="J274" s="83"/>
      <c r="K274" s="3"/>
      <c r="L274" s="4"/>
      <c r="M274" s="3"/>
      <c r="N274" s="379"/>
      <c r="O274" s="380"/>
      <c r="P274" s="379"/>
      <c r="Q274" s="380"/>
      <c r="R274" s="3"/>
      <c r="S274" s="4"/>
      <c r="T274" s="3"/>
      <c r="U274" s="81"/>
      <c r="V274" s="81"/>
      <c r="W274" s="81"/>
      <c r="X274" s="81"/>
      <c r="Y274" s="81"/>
      <c r="Z274" s="81"/>
    </row>
    <row r="275" spans="1:26" ht="24" customHeight="1" x14ac:dyDescent="0.5">
      <c r="A275" s="3"/>
      <c r="B275" s="3"/>
      <c r="C275" s="3"/>
      <c r="D275" s="3"/>
      <c r="E275" s="3"/>
      <c r="F275" s="3"/>
      <c r="G275" s="3"/>
      <c r="H275" s="3"/>
      <c r="I275" s="4"/>
      <c r="J275" s="83"/>
      <c r="K275" s="3"/>
      <c r="L275" s="4"/>
      <c r="M275" s="3"/>
      <c r="N275" s="379"/>
      <c r="O275" s="380"/>
      <c r="P275" s="379"/>
      <c r="Q275" s="380"/>
      <c r="R275" s="3"/>
      <c r="S275" s="4"/>
      <c r="T275" s="3"/>
      <c r="U275" s="81"/>
      <c r="V275" s="81"/>
      <c r="W275" s="81"/>
      <c r="X275" s="81"/>
      <c r="Y275" s="81"/>
      <c r="Z275" s="81"/>
    </row>
    <row r="276" spans="1:26" ht="24" customHeight="1" x14ac:dyDescent="0.5">
      <c r="A276" s="3"/>
      <c r="B276" s="3"/>
      <c r="C276" s="3"/>
      <c r="D276" s="3"/>
      <c r="E276" s="3"/>
      <c r="F276" s="3"/>
      <c r="G276" s="3"/>
      <c r="H276" s="3"/>
      <c r="I276" s="4"/>
      <c r="J276" s="83"/>
      <c r="K276" s="3"/>
      <c r="L276" s="4"/>
      <c r="M276" s="3"/>
      <c r="N276" s="379"/>
      <c r="O276" s="380"/>
      <c r="P276" s="379"/>
      <c r="Q276" s="380"/>
      <c r="R276" s="3"/>
      <c r="S276" s="4"/>
      <c r="T276" s="3"/>
      <c r="U276" s="81"/>
      <c r="V276" s="81"/>
      <c r="W276" s="81"/>
      <c r="X276" s="81"/>
      <c r="Y276" s="81"/>
      <c r="Z276" s="81"/>
    </row>
    <row r="277" spans="1:26" ht="24" customHeight="1" x14ac:dyDescent="0.5">
      <c r="A277" s="3"/>
      <c r="B277" s="3"/>
      <c r="C277" s="3"/>
      <c r="D277" s="3"/>
      <c r="E277" s="3"/>
      <c r="F277" s="3"/>
      <c r="G277" s="3"/>
      <c r="H277" s="3"/>
      <c r="I277" s="4"/>
      <c r="J277" s="83"/>
      <c r="K277" s="3"/>
      <c r="L277" s="4"/>
      <c r="M277" s="3"/>
      <c r="N277" s="379"/>
      <c r="O277" s="380"/>
      <c r="P277" s="379"/>
      <c r="Q277" s="380"/>
      <c r="R277" s="3"/>
      <c r="S277" s="4"/>
      <c r="T277" s="3"/>
      <c r="U277" s="81"/>
      <c r="V277" s="81"/>
      <c r="W277" s="81"/>
      <c r="X277" s="81"/>
      <c r="Y277" s="81"/>
      <c r="Z277" s="81"/>
    </row>
    <row r="278" spans="1:26" ht="24" customHeight="1" x14ac:dyDescent="0.5">
      <c r="A278" s="3"/>
      <c r="B278" s="3"/>
      <c r="C278" s="3"/>
      <c r="D278" s="3"/>
      <c r="E278" s="3"/>
      <c r="F278" s="3"/>
      <c r="G278" s="3"/>
      <c r="H278" s="3"/>
      <c r="I278" s="4"/>
      <c r="J278" s="83"/>
      <c r="K278" s="3"/>
      <c r="L278" s="4"/>
      <c r="M278" s="3"/>
      <c r="N278" s="379"/>
      <c r="O278" s="380"/>
      <c r="P278" s="379"/>
      <c r="Q278" s="380"/>
      <c r="R278" s="3"/>
      <c r="S278" s="4"/>
      <c r="T278" s="3"/>
      <c r="U278" s="81"/>
      <c r="V278" s="81"/>
      <c r="W278" s="81"/>
      <c r="X278" s="81"/>
      <c r="Y278" s="81"/>
      <c r="Z278" s="81"/>
    </row>
    <row r="279" spans="1:26" ht="24" customHeight="1" x14ac:dyDescent="0.5">
      <c r="A279" s="3"/>
      <c r="B279" s="3"/>
      <c r="C279" s="3"/>
      <c r="D279" s="3"/>
      <c r="E279" s="3"/>
      <c r="F279" s="3"/>
      <c r="G279" s="3"/>
      <c r="H279" s="3"/>
      <c r="I279" s="4"/>
      <c r="J279" s="83"/>
      <c r="K279" s="3"/>
      <c r="L279" s="4"/>
      <c r="M279" s="3"/>
      <c r="N279" s="379"/>
      <c r="O279" s="380"/>
      <c r="P279" s="379"/>
      <c r="Q279" s="380"/>
      <c r="R279" s="3"/>
      <c r="S279" s="4"/>
      <c r="T279" s="3"/>
      <c r="U279" s="81"/>
      <c r="V279" s="81"/>
      <c r="W279" s="81"/>
      <c r="X279" s="81"/>
      <c r="Y279" s="81"/>
      <c r="Z279" s="81"/>
    </row>
    <row r="280" spans="1:26" ht="24" customHeight="1" x14ac:dyDescent="0.5">
      <c r="A280" s="3"/>
      <c r="B280" s="3"/>
      <c r="C280" s="3"/>
      <c r="D280" s="3"/>
      <c r="E280" s="3"/>
      <c r="F280" s="3"/>
      <c r="G280" s="3"/>
      <c r="H280" s="3"/>
      <c r="I280" s="4"/>
      <c r="J280" s="83"/>
      <c r="K280" s="3"/>
      <c r="L280" s="4"/>
      <c r="M280" s="3"/>
      <c r="N280" s="379"/>
      <c r="O280" s="380"/>
      <c r="P280" s="379"/>
      <c r="Q280" s="380"/>
      <c r="R280" s="3"/>
      <c r="S280" s="4"/>
      <c r="T280" s="3"/>
      <c r="U280" s="81"/>
      <c r="V280" s="81"/>
      <c r="W280" s="81"/>
      <c r="X280" s="81"/>
      <c r="Y280" s="81"/>
      <c r="Z280" s="81"/>
    </row>
    <row r="281" spans="1:26" ht="24" customHeight="1" x14ac:dyDescent="0.5">
      <c r="A281" s="3"/>
      <c r="B281" s="3"/>
      <c r="C281" s="3"/>
      <c r="D281" s="3"/>
      <c r="E281" s="3"/>
      <c r="F281" s="3"/>
      <c r="G281" s="3"/>
      <c r="H281" s="3"/>
      <c r="I281" s="4"/>
      <c r="J281" s="83"/>
      <c r="K281" s="3"/>
      <c r="L281" s="4"/>
      <c r="M281" s="3"/>
      <c r="N281" s="379"/>
      <c r="O281" s="380"/>
      <c r="P281" s="379"/>
      <c r="Q281" s="380"/>
      <c r="R281" s="3"/>
      <c r="S281" s="4"/>
      <c r="T281" s="3"/>
      <c r="U281" s="81"/>
      <c r="V281" s="81"/>
      <c r="W281" s="81"/>
      <c r="X281" s="81"/>
      <c r="Y281" s="81"/>
      <c r="Z281" s="81"/>
    </row>
    <row r="282" spans="1:26" ht="24" customHeight="1" x14ac:dyDescent="0.5">
      <c r="A282" s="3"/>
      <c r="B282" s="3"/>
      <c r="C282" s="3"/>
      <c r="D282" s="3"/>
      <c r="E282" s="3"/>
      <c r="F282" s="3"/>
      <c r="G282" s="3"/>
      <c r="H282" s="3"/>
      <c r="I282" s="4"/>
      <c r="J282" s="83"/>
      <c r="K282" s="3"/>
      <c r="L282" s="4"/>
      <c r="M282" s="3"/>
      <c r="N282" s="379"/>
      <c r="O282" s="380"/>
      <c r="P282" s="379"/>
      <c r="Q282" s="380"/>
      <c r="R282" s="3"/>
      <c r="S282" s="4"/>
      <c r="T282" s="3"/>
      <c r="U282" s="81"/>
      <c r="V282" s="81"/>
      <c r="W282" s="81"/>
      <c r="X282" s="81"/>
      <c r="Y282" s="81"/>
      <c r="Z282" s="81"/>
    </row>
    <row r="283" spans="1:26" ht="24" customHeight="1" x14ac:dyDescent="0.5">
      <c r="A283" s="3"/>
      <c r="B283" s="3"/>
      <c r="C283" s="3"/>
      <c r="D283" s="3"/>
      <c r="E283" s="3"/>
      <c r="F283" s="3"/>
      <c r="G283" s="3"/>
      <c r="H283" s="3"/>
      <c r="I283" s="4"/>
      <c r="J283" s="83"/>
      <c r="K283" s="3"/>
      <c r="L283" s="4"/>
      <c r="M283" s="3"/>
      <c r="N283" s="379"/>
      <c r="O283" s="380"/>
      <c r="P283" s="379"/>
      <c r="Q283" s="380"/>
      <c r="R283" s="3"/>
      <c r="S283" s="4"/>
      <c r="T283" s="3"/>
      <c r="U283" s="81"/>
      <c r="V283" s="81"/>
      <c r="W283" s="81"/>
      <c r="X283" s="81"/>
      <c r="Y283" s="81"/>
      <c r="Z283" s="81"/>
    </row>
    <row r="284" spans="1:26" ht="24" customHeight="1" x14ac:dyDescent="0.5">
      <c r="A284" s="3"/>
      <c r="B284" s="3"/>
      <c r="C284" s="3"/>
      <c r="D284" s="3"/>
      <c r="E284" s="3"/>
      <c r="F284" s="3"/>
      <c r="G284" s="3"/>
      <c r="H284" s="3"/>
      <c r="I284" s="4"/>
      <c r="J284" s="83"/>
      <c r="K284" s="3"/>
      <c r="L284" s="4"/>
      <c r="M284" s="3"/>
      <c r="N284" s="379"/>
      <c r="O284" s="380"/>
      <c r="P284" s="379"/>
      <c r="Q284" s="380"/>
      <c r="R284" s="3"/>
      <c r="S284" s="4"/>
      <c r="T284" s="3"/>
      <c r="U284" s="81"/>
      <c r="V284" s="81"/>
      <c r="W284" s="81"/>
      <c r="X284" s="81"/>
      <c r="Y284" s="81"/>
      <c r="Z284" s="81"/>
    </row>
    <row r="285" spans="1:26" ht="24" customHeight="1" x14ac:dyDescent="0.5">
      <c r="A285" s="3"/>
      <c r="B285" s="3"/>
      <c r="C285" s="3"/>
      <c r="D285" s="3"/>
      <c r="E285" s="3"/>
      <c r="F285" s="3"/>
      <c r="G285" s="3"/>
      <c r="H285" s="3"/>
      <c r="I285" s="4"/>
      <c r="J285" s="83"/>
      <c r="K285" s="3"/>
      <c r="L285" s="4"/>
      <c r="M285" s="3"/>
      <c r="N285" s="379"/>
      <c r="O285" s="380"/>
      <c r="P285" s="379"/>
      <c r="Q285" s="380"/>
      <c r="R285" s="3"/>
      <c r="S285" s="4"/>
      <c r="T285" s="3"/>
      <c r="U285" s="81"/>
      <c r="V285" s="81"/>
      <c r="W285" s="81"/>
      <c r="X285" s="81"/>
      <c r="Y285" s="81"/>
      <c r="Z285" s="81"/>
    </row>
    <row r="286" spans="1:26" ht="24" customHeight="1" x14ac:dyDescent="0.5">
      <c r="A286" s="3"/>
      <c r="B286" s="3"/>
      <c r="C286" s="3"/>
      <c r="D286" s="3"/>
      <c r="E286" s="3"/>
      <c r="F286" s="3"/>
      <c r="G286" s="3"/>
      <c r="H286" s="3"/>
      <c r="I286" s="4"/>
      <c r="J286" s="83"/>
      <c r="K286" s="3"/>
      <c r="L286" s="4"/>
      <c r="M286" s="3"/>
      <c r="N286" s="379"/>
      <c r="O286" s="380"/>
      <c r="P286" s="379"/>
      <c r="Q286" s="380"/>
      <c r="R286" s="3"/>
      <c r="S286" s="4"/>
      <c r="T286" s="3"/>
      <c r="U286" s="81"/>
      <c r="V286" s="81"/>
      <c r="W286" s="81"/>
      <c r="X286" s="81"/>
      <c r="Y286" s="81"/>
      <c r="Z286" s="81"/>
    </row>
    <row r="287" spans="1:26" ht="24" customHeight="1" x14ac:dyDescent="0.5">
      <c r="A287" s="3"/>
      <c r="B287" s="3"/>
      <c r="C287" s="3"/>
      <c r="D287" s="3"/>
      <c r="E287" s="3"/>
      <c r="F287" s="3"/>
      <c r="G287" s="3"/>
      <c r="H287" s="3"/>
      <c r="I287" s="4"/>
      <c r="J287" s="83"/>
      <c r="K287" s="3"/>
      <c r="L287" s="4"/>
      <c r="M287" s="3"/>
      <c r="N287" s="379"/>
      <c r="O287" s="380"/>
      <c r="P287" s="379"/>
      <c r="Q287" s="380"/>
      <c r="R287" s="3"/>
      <c r="S287" s="4"/>
      <c r="T287" s="3"/>
      <c r="U287" s="81"/>
      <c r="V287" s="81"/>
      <c r="W287" s="81"/>
      <c r="X287" s="81"/>
      <c r="Y287" s="81"/>
      <c r="Z287" s="81"/>
    </row>
    <row r="288" spans="1:26" ht="24" customHeight="1" x14ac:dyDescent="0.5">
      <c r="A288" s="3"/>
      <c r="B288" s="3"/>
      <c r="C288" s="3"/>
      <c r="D288" s="3"/>
      <c r="E288" s="3"/>
      <c r="F288" s="3"/>
      <c r="G288" s="3"/>
      <c r="H288" s="3"/>
      <c r="I288" s="4"/>
      <c r="J288" s="83"/>
      <c r="K288" s="3"/>
      <c r="L288" s="4"/>
      <c r="M288" s="3"/>
      <c r="N288" s="379"/>
      <c r="O288" s="380"/>
      <c r="P288" s="379"/>
      <c r="Q288" s="380"/>
      <c r="R288" s="3"/>
      <c r="S288" s="4"/>
      <c r="T288" s="3"/>
      <c r="U288" s="81"/>
      <c r="V288" s="81"/>
      <c r="W288" s="81"/>
      <c r="X288" s="81"/>
      <c r="Y288" s="81"/>
      <c r="Z288" s="81"/>
    </row>
    <row r="289" spans="1:26" ht="24" customHeight="1" x14ac:dyDescent="0.5">
      <c r="A289" s="3"/>
      <c r="B289" s="3"/>
      <c r="C289" s="3"/>
      <c r="D289" s="3"/>
      <c r="E289" s="3"/>
      <c r="F289" s="3"/>
      <c r="G289" s="3"/>
      <c r="H289" s="3"/>
      <c r="I289" s="4"/>
      <c r="J289" s="83"/>
      <c r="K289" s="3"/>
      <c r="L289" s="4"/>
      <c r="M289" s="3"/>
      <c r="N289" s="379"/>
      <c r="O289" s="380"/>
      <c r="P289" s="379"/>
      <c r="Q289" s="380"/>
      <c r="R289" s="3"/>
      <c r="S289" s="4"/>
      <c r="T289" s="3"/>
      <c r="U289" s="81"/>
      <c r="V289" s="81"/>
      <c r="W289" s="81"/>
      <c r="X289" s="81"/>
      <c r="Y289" s="81"/>
      <c r="Z289" s="81"/>
    </row>
    <row r="290" spans="1:26" ht="24" customHeight="1" x14ac:dyDescent="0.5">
      <c r="A290" s="3"/>
      <c r="B290" s="3"/>
      <c r="C290" s="3"/>
      <c r="D290" s="3"/>
      <c r="E290" s="3"/>
      <c r="F290" s="3"/>
      <c r="G290" s="3"/>
      <c r="H290" s="3"/>
      <c r="I290" s="4"/>
      <c r="J290" s="83"/>
      <c r="K290" s="3"/>
      <c r="L290" s="4"/>
      <c r="M290" s="3"/>
      <c r="N290" s="379"/>
      <c r="O290" s="380"/>
      <c r="P290" s="379"/>
      <c r="Q290" s="380"/>
      <c r="R290" s="3"/>
      <c r="S290" s="4"/>
      <c r="T290" s="3"/>
      <c r="U290" s="81"/>
      <c r="V290" s="81"/>
      <c r="W290" s="81"/>
      <c r="X290" s="81"/>
      <c r="Y290" s="81"/>
      <c r="Z290" s="81"/>
    </row>
    <row r="291" spans="1:26" ht="24" customHeight="1" x14ac:dyDescent="0.5">
      <c r="A291" s="3"/>
      <c r="B291" s="3"/>
      <c r="C291" s="3"/>
      <c r="D291" s="3"/>
      <c r="E291" s="3"/>
      <c r="F291" s="3"/>
      <c r="G291" s="3"/>
      <c r="H291" s="3"/>
      <c r="I291" s="4"/>
      <c r="J291" s="83"/>
      <c r="K291" s="3"/>
      <c r="L291" s="4"/>
      <c r="M291" s="3"/>
      <c r="N291" s="379"/>
      <c r="O291" s="380"/>
      <c r="P291" s="379"/>
      <c r="Q291" s="380"/>
      <c r="R291" s="3"/>
      <c r="S291" s="4"/>
      <c r="T291" s="3"/>
      <c r="U291" s="81"/>
      <c r="V291" s="81"/>
      <c r="W291" s="81"/>
      <c r="X291" s="81"/>
      <c r="Y291" s="81"/>
      <c r="Z291" s="81"/>
    </row>
    <row r="292" spans="1:26" ht="24" customHeight="1" x14ac:dyDescent="0.5">
      <c r="A292" s="3"/>
      <c r="B292" s="3"/>
      <c r="C292" s="3"/>
      <c r="D292" s="3"/>
      <c r="E292" s="3"/>
      <c r="F292" s="3"/>
      <c r="G292" s="3"/>
      <c r="H292" s="3"/>
      <c r="I292" s="4"/>
      <c r="J292" s="83"/>
      <c r="K292" s="3"/>
      <c r="L292" s="4"/>
      <c r="M292" s="3"/>
      <c r="N292" s="379"/>
      <c r="O292" s="380"/>
      <c r="P292" s="379"/>
      <c r="Q292" s="380"/>
      <c r="R292" s="3"/>
      <c r="S292" s="4"/>
      <c r="T292" s="3"/>
      <c r="U292" s="81"/>
      <c r="V292" s="81"/>
      <c r="W292" s="81"/>
      <c r="X292" s="81"/>
      <c r="Y292" s="81"/>
      <c r="Z292" s="81"/>
    </row>
    <row r="293" spans="1:26" ht="24" customHeight="1" x14ac:dyDescent="0.5">
      <c r="A293" s="3"/>
      <c r="B293" s="3"/>
      <c r="C293" s="3"/>
      <c r="D293" s="3"/>
      <c r="E293" s="3"/>
      <c r="F293" s="3"/>
      <c r="G293" s="3"/>
      <c r="H293" s="3"/>
      <c r="I293" s="4"/>
      <c r="J293" s="83"/>
      <c r="K293" s="3"/>
      <c r="L293" s="4"/>
      <c r="M293" s="3"/>
      <c r="N293" s="379"/>
      <c r="O293" s="380"/>
      <c r="P293" s="379"/>
      <c r="Q293" s="380"/>
      <c r="R293" s="3"/>
      <c r="S293" s="4"/>
      <c r="T293" s="3"/>
      <c r="U293" s="81"/>
      <c r="V293" s="81"/>
      <c r="W293" s="81"/>
      <c r="X293" s="81"/>
      <c r="Y293" s="81"/>
      <c r="Z293" s="81"/>
    </row>
    <row r="294" spans="1:26" ht="24" customHeight="1" x14ac:dyDescent="0.5">
      <c r="A294" s="3"/>
      <c r="B294" s="3"/>
      <c r="C294" s="3"/>
      <c r="D294" s="3"/>
      <c r="E294" s="3"/>
      <c r="F294" s="3"/>
      <c r="G294" s="3"/>
      <c r="H294" s="3"/>
      <c r="I294" s="4"/>
      <c r="J294" s="83"/>
      <c r="K294" s="3"/>
      <c r="L294" s="4"/>
      <c r="M294" s="3"/>
      <c r="N294" s="379"/>
      <c r="O294" s="380"/>
      <c r="P294" s="379"/>
      <c r="Q294" s="380"/>
      <c r="R294" s="3"/>
      <c r="S294" s="4"/>
      <c r="T294" s="3"/>
      <c r="U294" s="81"/>
      <c r="V294" s="81"/>
      <c r="W294" s="81"/>
      <c r="X294" s="81"/>
      <c r="Y294" s="81"/>
      <c r="Z294" s="81"/>
    </row>
    <row r="295" spans="1:26" ht="24" customHeight="1" x14ac:dyDescent="0.5">
      <c r="A295" s="3"/>
      <c r="B295" s="3"/>
      <c r="C295" s="3"/>
      <c r="D295" s="3"/>
      <c r="E295" s="3"/>
      <c r="F295" s="3"/>
      <c r="G295" s="3"/>
      <c r="H295" s="3"/>
      <c r="I295" s="4"/>
      <c r="J295" s="83"/>
      <c r="K295" s="3"/>
      <c r="L295" s="4"/>
      <c r="M295" s="3"/>
      <c r="N295" s="379"/>
      <c r="O295" s="380"/>
      <c r="P295" s="379"/>
      <c r="Q295" s="380"/>
      <c r="R295" s="3"/>
      <c r="S295" s="4"/>
      <c r="T295" s="3"/>
      <c r="U295" s="81"/>
      <c r="V295" s="81"/>
      <c r="W295" s="81"/>
      <c r="X295" s="81"/>
      <c r="Y295" s="81"/>
      <c r="Z295" s="81"/>
    </row>
    <row r="296" spans="1:26" ht="24" customHeight="1" x14ac:dyDescent="0.5">
      <c r="A296" s="3"/>
      <c r="B296" s="3"/>
      <c r="C296" s="3"/>
      <c r="D296" s="3"/>
      <c r="E296" s="3"/>
      <c r="F296" s="3"/>
      <c r="G296" s="3"/>
      <c r="H296" s="3"/>
      <c r="I296" s="4"/>
      <c r="J296" s="83"/>
      <c r="K296" s="3"/>
      <c r="L296" s="4"/>
      <c r="M296" s="3"/>
      <c r="N296" s="379"/>
      <c r="O296" s="380"/>
      <c r="P296" s="379"/>
      <c r="Q296" s="380"/>
      <c r="R296" s="3"/>
      <c r="S296" s="4"/>
      <c r="T296" s="3"/>
      <c r="U296" s="81"/>
      <c r="V296" s="81"/>
      <c r="W296" s="81"/>
      <c r="X296" s="81"/>
      <c r="Y296" s="81"/>
      <c r="Z296" s="81"/>
    </row>
    <row r="297" spans="1:26" ht="24" customHeight="1" x14ac:dyDescent="0.5">
      <c r="A297" s="3"/>
      <c r="B297" s="3"/>
      <c r="C297" s="3"/>
      <c r="D297" s="3"/>
      <c r="E297" s="3"/>
      <c r="F297" s="3"/>
      <c r="G297" s="3"/>
      <c r="H297" s="3"/>
      <c r="I297" s="4"/>
      <c r="J297" s="83"/>
      <c r="K297" s="3"/>
      <c r="L297" s="4"/>
      <c r="M297" s="3"/>
      <c r="N297" s="379"/>
      <c r="O297" s="380"/>
      <c r="P297" s="379"/>
      <c r="Q297" s="380"/>
      <c r="R297" s="3"/>
      <c r="S297" s="4"/>
      <c r="T297" s="3"/>
      <c r="U297" s="81"/>
      <c r="V297" s="81"/>
      <c r="W297" s="81"/>
      <c r="X297" s="81"/>
      <c r="Y297" s="81"/>
      <c r="Z297" s="81"/>
    </row>
    <row r="298" spans="1:26" ht="24" customHeight="1" x14ac:dyDescent="0.5">
      <c r="A298" s="3"/>
      <c r="B298" s="3"/>
      <c r="C298" s="3"/>
      <c r="D298" s="3"/>
      <c r="E298" s="3"/>
      <c r="F298" s="3"/>
      <c r="G298" s="3"/>
      <c r="H298" s="3"/>
      <c r="I298" s="4"/>
      <c r="J298" s="83"/>
      <c r="K298" s="3"/>
      <c r="L298" s="4"/>
      <c r="M298" s="3"/>
      <c r="N298" s="379"/>
      <c r="O298" s="380"/>
      <c r="P298" s="379"/>
      <c r="Q298" s="380"/>
      <c r="R298" s="3"/>
      <c r="S298" s="4"/>
      <c r="T298" s="3"/>
      <c r="U298" s="81"/>
      <c r="V298" s="81"/>
      <c r="W298" s="81"/>
      <c r="X298" s="81"/>
      <c r="Y298" s="81"/>
      <c r="Z298" s="81"/>
    </row>
    <row r="299" spans="1:26" ht="24" customHeight="1" x14ac:dyDescent="0.5">
      <c r="A299" s="3"/>
      <c r="B299" s="3"/>
      <c r="C299" s="3"/>
      <c r="D299" s="3"/>
      <c r="E299" s="3"/>
      <c r="F299" s="3"/>
      <c r="G299" s="3"/>
      <c r="H299" s="3"/>
      <c r="I299" s="4"/>
      <c r="J299" s="83"/>
      <c r="K299" s="3"/>
      <c r="L299" s="4"/>
      <c r="M299" s="3"/>
      <c r="N299" s="379"/>
      <c r="O299" s="380"/>
      <c r="P299" s="379"/>
      <c r="Q299" s="380"/>
      <c r="R299" s="3"/>
      <c r="S299" s="4"/>
      <c r="T299" s="3"/>
      <c r="U299" s="81"/>
      <c r="V299" s="81"/>
      <c r="W299" s="81"/>
      <c r="X299" s="81"/>
      <c r="Y299" s="81"/>
      <c r="Z299" s="81"/>
    </row>
    <row r="300" spans="1:26" ht="24" customHeight="1" x14ac:dyDescent="0.5">
      <c r="A300" s="3"/>
      <c r="B300" s="3"/>
      <c r="C300" s="3"/>
      <c r="D300" s="3"/>
      <c r="E300" s="3"/>
      <c r="F300" s="3"/>
      <c r="G300" s="3"/>
      <c r="H300" s="3"/>
      <c r="I300" s="4"/>
      <c r="J300" s="83"/>
      <c r="K300" s="3"/>
      <c r="L300" s="4"/>
      <c r="M300" s="3"/>
      <c r="N300" s="379"/>
      <c r="O300" s="380"/>
      <c r="P300" s="379"/>
      <c r="Q300" s="380"/>
      <c r="R300" s="3"/>
      <c r="S300" s="4"/>
      <c r="T300" s="3"/>
      <c r="U300" s="81"/>
      <c r="V300" s="81"/>
      <c r="W300" s="81"/>
      <c r="X300" s="81"/>
      <c r="Y300" s="81"/>
      <c r="Z300" s="81"/>
    </row>
    <row r="301" spans="1:26" ht="24" customHeight="1" x14ac:dyDescent="0.5">
      <c r="A301" s="3"/>
      <c r="B301" s="3"/>
      <c r="C301" s="3"/>
      <c r="D301" s="3"/>
      <c r="E301" s="3"/>
      <c r="F301" s="3"/>
      <c r="G301" s="3"/>
      <c r="H301" s="3"/>
      <c r="I301" s="4"/>
      <c r="J301" s="83"/>
      <c r="K301" s="3"/>
      <c r="L301" s="4"/>
      <c r="M301" s="3"/>
      <c r="N301" s="379"/>
      <c r="O301" s="380"/>
      <c r="P301" s="379"/>
      <c r="Q301" s="380"/>
      <c r="R301" s="3"/>
      <c r="S301" s="4"/>
      <c r="T301" s="3"/>
      <c r="U301" s="81"/>
      <c r="V301" s="81"/>
      <c r="W301" s="81"/>
      <c r="X301" s="81"/>
      <c r="Y301" s="81"/>
      <c r="Z301" s="81"/>
    </row>
    <row r="302" spans="1:26" ht="24" customHeight="1" x14ac:dyDescent="0.5">
      <c r="A302" s="3"/>
      <c r="B302" s="3"/>
      <c r="C302" s="3"/>
      <c r="D302" s="3"/>
      <c r="E302" s="3"/>
      <c r="F302" s="3"/>
      <c r="G302" s="3"/>
      <c r="H302" s="3"/>
      <c r="I302" s="4"/>
      <c r="J302" s="83"/>
      <c r="K302" s="3"/>
      <c r="L302" s="4"/>
      <c r="M302" s="3"/>
      <c r="N302" s="379"/>
      <c r="O302" s="380"/>
      <c r="P302" s="379"/>
      <c r="Q302" s="380"/>
      <c r="R302" s="3"/>
      <c r="S302" s="4"/>
      <c r="T302" s="3"/>
      <c r="U302" s="81"/>
      <c r="V302" s="81"/>
      <c r="W302" s="81"/>
      <c r="X302" s="81"/>
      <c r="Y302" s="81"/>
      <c r="Z302" s="81"/>
    </row>
    <row r="303" spans="1:26" ht="24" customHeight="1" x14ac:dyDescent="0.5">
      <c r="A303" s="3"/>
      <c r="B303" s="3"/>
      <c r="C303" s="3"/>
      <c r="D303" s="3"/>
      <c r="E303" s="3"/>
      <c r="F303" s="3"/>
      <c r="G303" s="3"/>
      <c r="H303" s="3"/>
      <c r="I303" s="4"/>
      <c r="J303" s="83"/>
      <c r="K303" s="3"/>
      <c r="L303" s="4"/>
      <c r="M303" s="3"/>
      <c r="N303" s="379"/>
      <c r="O303" s="380"/>
      <c r="P303" s="379"/>
      <c r="Q303" s="380"/>
      <c r="R303" s="3"/>
      <c r="S303" s="4"/>
      <c r="T303" s="3"/>
      <c r="U303" s="81"/>
      <c r="V303" s="81"/>
      <c r="W303" s="81"/>
      <c r="X303" s="81"/>
      <c r="Y303" s="81"/>
      <c r="Z303" s="81"/>
    </row>
    <row r="304" spans="1:26" ht="24" customHeight="1" x14ac:dyDescent="0.5">
      <c r="A304" s="3"/>
      <c r="B304" s="3"/>
      <c r="C304" s="3"/>
      <c r="D304" s="3"/>
      <c r="E304" s="3"/>
      <c r="F304" s="3"/>
      <c r="G304" s="3"/>
      <c r="H304" s="3"/>
      <c r="I304" s="4"/>
      <c r="J304" s="83"/>
      <c r="K304" s="3"/>
      <c r="L304" s="4"/>
      <c r="M304" s="3"/>
      <c r="N304" s="379"/>
      <c r="O304" s="380"/>
      <c r="P304" s="379"/>
      <c r="Q304" s="380"/>
      <c r="R304" s="3"/>
      <c r="S304" s="4"/>
      <c r="T304" s="3"/>
      <c r="U304" s="81"/>
      <c r="V304" s="81"/>
      <c r="W304" s="81"/>
      <c r="X304" s="81"/>
      <c r="Y304" s="81"/>
      <c r="Z304" s="81"/>
    </row>
    <row r="305" spans="1:26" ht="24" customHeight="1" x14ac:dyDescent="0.5">
      <c r="A305" s="3"/>
      <c r="B305" s="3"/>
      <c r="C305" s="3"/>
      <c r="D305" s="3"/>
      <c r="E305" s="3"/>
      <c r="F305" s="3"/>
      <c r="G305" s="3"/>
      <c r="H305" s="3"/>
      <c r="I305" s="4"/>
      <c r="J305" s="83"/>
      <c r="K305" s="3"/>
      <c r="L305" s="4"/>
      <c r="M305" s="3"/>
      <c r="N305" s="379"/>
      <c r="O305" s="380"/>
      <c r="P305" s="379"/>
      <c r="Q305" s="380"/>
      <c r="R305" s="3"/>
      <c r="S305" s="4"/>
      <c r="T305" s="3"/>
      <c r="U305" s="81"/>
      <c r="V305" s="81"/>
      <c r="W305" s="81"/>
      <c r="X305" s="81"/>
      <c r="Y305" s="81"/>
      <c r="Z305" s="81"/>
    </row>
    <row r="306" spans="1:26" ht="24" customHeight="1" x14ac:dyDescent="0.5">
      <c r="A306" s="3"/>
      <c r="B306" s="3"/>
      <c r="C306" s="3"/>
      <c r="D306" s="3"/>
      <c r="E306" s="3"/>
      <c r="F306" s="3"/>
      <c r="G306" s="3"/>
      <c r="H306" s="3"/>
      <c r="I306" s="4"/>
      <c r="J306" s="83"/>
      <c r="K306" s="3"/>
      <c r="L306" s="4"/>
      <c r="M306" s="3"/>
      <c r="N306" s="379"/>
      <c r="O306" s="380"/>
      <c r="P306" s="379"/>
      <c r="Q306" s="380"/>
      <c r="R306" s="3"/>
      <c r="S306" s="4"/>
      <c r="T306" s="3"/>
      <c r="U306" s="81"/>
      <c r="V306" s="81"/>
      <c r="W306" s="81"/>
      <c r="X306" s="81"/>
      <c r="Y306" s="81"/>
      <c r="Z306" s="81"/>
    </row>
    <row r="307" spans="1:26" ht="24" customHeight="1" x14ac:dyDescent="0.5">
      <c r="A307" s="3"/>
      <c r="B307" s="3"/>
      <c r="C307" s="3"/>
      <c r="D307" s="3"/>
      <c r="E307" s="3"/>
      <c r="F307" s="3"/>
      <c r="G307" s="3"/>
      <c r="H307" s="3"/>
      <c r="I307" s="4"/>
      <c r="J307" s="83"/>
      <c r="K307" s="3"/>
      <c r="L307" s="4"/>
      <c r="M307" s="3"/>
      <c r="N307" s="379"/>
      <c r="O307" s="380"/>
      <c r="P307" s="379"/>
      <c r="Q307" s="380"/>
      <c r="R307" s="3"/>
      <c r="S307" s="4"/>
      <c r="T307" s="3"/>
      <c r="U307" s="81"/>
      <c r="V307" s="81"/>
      <c r="W307" s="81"/>
      <c r="X307" s="81"/>
      <c r="Y307" s="81"/>
      <c r="Z307" s="81"/>
    </row>
    <row r="308" spans="1:26" ht="24" customHeight="1" x14ac:dyDescent="0.5">
      <c r="A308" s="3"/>
      <c r="B308" s="3"/>
      <c r="C308" s="3"/>
      <c r="D308" s="3"/>
      <c r="E308" s="3"/>
      <c r="F308" s="3"/>
      <c r="G308" s="3"/>
      <c r="H308" s="3"/>
      <c r="I308" s="4"/>
      <c r="J308" s="83"/>
      <c r="K308" s="3"/>
      <c r="L308" s="4"/>
      <c r="M308" s="3"/>
      <c r="N308" s="379"/>
      <c r="O308" s="380"/>
      <c r="P308" s="379"/>
      <c r="Q308" s="380"/>
      <c r="R308" s="3"/>
      <c r="S308" s="4"/>
      <c r="T308" s="3"/>
      <c r="U308" s="81"/>
      <c r="V308" s="81"/>
      <c r="W308" s="81"/>
      <c r="X308" s="81"/>
      <c r="Y308" s="81"/>
      <c r="Z308" s="81"/>
    </row>
    <row r="309" spans="1:26" ht="24" customHeight="1" x14ac:dyDescent="0.5">
      <c r="A309" s="3"/>
      <c r="B309" s="3"/>
      <c r="C309" s="3"/>
      <c r="D309" s="3"/>
      <c r="E309" s="3"/>
      <c r="F309" s="3"/>
      <c r="G309" s="3"/>
      <c r="H309" s="3"/>
      <c r="I309" s="4"/>
      <c r="J309" s="83"/>
      <c r="K309" s="3"/>
      <c r="L309" s="4"/>
      <c r="M309" s="3"/>
      <c r="N309" s="379"/>
      <c r="O309" s="380"/>
      <c r="P309" s="379"/>
      <c r="Q309" s="380"/>
      <c r="R309" s="3"/>
      <c r="S309" s="4"/>
      <c r="T309" s="3"/>
      <c r="U309" s="81"/>
      <c r="V309" s="81"/>
      <c r="W309" s="81"/>
      <c r="X309" s="81"/>
      <c r="Y309" s="81"/>
      <c r="Z309" s="81"/>
    </row>
    <row r="310" spans="1:26" ht="24" customHeight="1" x14ac:dyDescent="0.5">
      <c r="A310" s="3"/>
      <c r="B310" s="3"/>
      <c r="C310" s="3"/>
      <c r="D310" s="3"/>
      <c r="E310" s="3"/>
      <c r="F310" s="3"/>
      <c r="G310" s="3"/>
      <c r="H310" s="3"/>
      <c r="I310" s="4"/>
      <c r="J310" s="83"/>
      <c r="K310" s="3"/>
      <c r="L310" s="4"/>
      <c r="M310" s="3"/>
      <c r="N310" s="379"/>
      <c r="O310" s="380"/>
      <c r="P310" s="379"/>
      <c r="Q310" s="380"/>
      <c r="R310" s="3"/>
      <c r="S310" s="4"/>
      <c r="T310" s="3"/>
      <c r="U310" s="81"/>
      <c r="V310" s="81"/>
      <c r="W310" s="81"/>
      <c r="X310" s="81"/>
      <c r="Y310" s="81"/>
      <c r="Z310" s="81"/>
    </row>
    <row r="311" spans="1:26" ht="24" customHeight="1" x14ac:dyDescent="0.5">
      <c r="A311" s="3"/>
      <c r="B311" s="3"/>
      <c r="C311" s="3"/>
      <c r="D311" s="3"/>
      <c r="E311" s="3"/>
      <c r="F311" s="3"/>
      <c r="G311" s="3"/>
      <c r="H311" s="3"/>
      <c r="I311" s="4"/>
      <c r="J311" s="83"/>
      <c r="K311" s="3"/>
      <c r="L311" s="4"/>
      <c r="M311" s="3"/>
      <c r="N311" s="379"/>
      <c r="O311" s="380"/>
      <c r="P311" s="379"/>
      <c r="Q311" s="380"/>
      <c r="R311" s="3"/>
      <c r="S311" s="4"/>
      <c r="T311" s="3"/>
      <c r="U311" s="81"/>
      <c r="V311" s="81"/>
      <c r="W311" s="81"/>
      <c r="X311" s="81"/>
      <c r="Y311" s="81"/>
      <c r="Z311" s="81"/>
    </row>
    <row r="312" spans="1:26" ht="24" customHeight="1" x14ac:dyDescent="0.5">
      <c r="A312" s="3"/>
      <c r="B312" s="3"/>
      <c r="C312" s="3"/>
      <c r="D312" s="3"/>
      <c r="E312" s="3"/>
      <c r="F312" s="3"/>
      <c r="G312" s="3"/>
      <c r="H312" s="3"/>
      <c r="I312" s="4"/>
      <c r="J312" s="83"/>
      <c r="K312" s="3"/>
      <c r="L312" s="4"/>
      <c r="M312" s="3"/>
      <c r="N312" s="379"/>
      <c r="O312" s="380"/>
      <c r="P312" s="379"/>
      <c r="Q312" s="380"/>
      <c r="R312" s="3"/>
      <c r="S312" s="4"/>
      <c r="T312" s="3"/>
      <c r="U312" s="81"/>
      <c r="V312" s="81"/>
      <c r="W312" s="81"/>
      <c r="X312" s="81"/>
      <c r="Y312" s="81"/>
      <c r="Z312" s="81"/>
    </row>
    <row r="313" spans="1:26" ht="24" customHeight="1" x14ac:dyDescent="0.5">
      <c r="A313" s="3"/>
      <c r="B313" s="3"/>
      <c r="C313" s="3"/>
      <c r="D313" s="3"/>
      <c r="E313" s="3"/>
      <c r="F313" s="3"/>
      <c r="G313" s="3"/>
      <c r="H313" s="3"/>
      <c r="I313" s="4"/>
      <c r="J313" s="83"/>
      <c r="K313" s="3"/>
      <c r="L313" s="4"/>
      <c r="M313" s="3"/>
      <c r="N313" s="379"/>
      <c r="O313" s="380"/>
      <c r="P313" s="379"/>
      <c r="Q313" s="380"/>
      <c r="R313" s="3"/>
      <c r="S313" s="4"/>
      <c r="T313" s="3"/>
      <c r="U313" s="81"/>
      <c r="V313" s="81"/>
      <c r="W313" s="81"/>
      <c r="X313" s="81"/>
      <c r="Y313" s="81"/>
      <c r="Z313" s="81"/>
    </row>
    <row r="314" spans="1:26" ht="24" customHeight="1" x14ac:dyDescent="0.5">
      <c r="A314" s="3"/>
      <c r="B314" s="3"/>
      <c r="C314" s="3"/>
      <c r="D314" s="3"/>
      <c r="E314" s="3"/>
      <c r="F314" s="3"/>
      <c r="G314" s="3"/>
      <c r="H314" s="3"/>
      <c r="I314" s="4"/>
      <c r="J314" s="83"/>
      <c r="K314" s="3"/>
      <c r="L314" s="4"/>
      <c r="M314" s="3"/>
      <c r="N314" s="379"/>
      <c r="O314" s="380"/>
      <c r="P314" s="379"/>
      <c r="Q314" s="380"/>
      <c r="R314" s="3"/>
      <c r="S314" s="4"/>
      <c r="T314" s="3"/>
      <c r="U314" s="81"/>
      <c r="V314" s="81"/>
      <c r="W314" s="81"/>
      <c r="X314" s="81"/>
      <c r="Y314" s="81"/>
      <c r="Z314" s="81"/>
    </row>
    <row r="315" spans="1:26" ht="24" customHeight="1" x14ac:dyDescent="0.5">
      <c r="A315" s="81"/>
      <c r="B315" s="81"/>
      <c r="C315" s="81"/>
      <c r="D315" s="81"/>
      <c r="E315" s="81"/>
      <c r="F315" s="81"/>
      <c r="G315" s="81"/>
      <c r="H315" s="81"/>
      <c r="I315" s="289"/>
      <c r="J315" s="105"/>
      <c r="K315" s="81"/>
      <c r="L315" s="289"/>
      <c r="M315" s="81"/>
      <c r="N315" s="81"/>
      <c r="O315" s="289"/>
      <c r="P315" s="81"/>
      <c r="Q315" s="289"/>
      <c r="R315" s="81"/>
      <c r="S315" s="289"/>
      <c r="T315" s="81"/>
      <c r="U315" s="81"/>
      <c r="V315" s="81"/>
      <c r="W315" s="81"/>
      <c r="X315" s="81"/>
      <c r="Y315" s="81"/>
      <c r="Z315" s="81"/>
    </row>
    <row r="316" spans="1:26" ht="24" customHeight="1" x14ac:dyDescent="0.5">
      <c r="A316" s="81"/>
      <c r="B316" s="81"/>
      <c r="C316" s="81"/>
      <c r="D316" s="81"/>
      <c r="E316" s="81"/>
      <c r="F316" s="81"/>
      <c r="G316" s="81"/>
      <c r="H316" s="81"/>
      <c r="I316" s="289"/>
      <c r="J316" s="105"/>
      <c r="K316" s="81"/>
      <c r="L316" s="289"/>
      <c r="M316" s="81"/>
      <c r="N316" s="81"/>
      <c r="O316" s="289"/>
      <c r="P316" s="81"/>
      <c r="Q316" s="289"/>
      <c r="R316" s="81"/>
      <c r="S316" s="289"/>
      <c r="T316" s="81"/>
      <c r="U316" s="81"/>
      <c r="V316" s="81"/>
      <c r="W316" s="81"/>
      <c r="X316" s="81"/>
      <c r="Y316" s="81"/>
      <c r="Z316" s="81"/>
    </row>
    <row r="317" spans="1:26" ht="24" customHeight="1" x14ac:dyDescent="0.5">
      <c r="A317" s="81"/>
      <c r="B317" s="81"/>
      <c r="C317" s="81"/>
      <c r="D317" s="81"/>
      <c r="E317" s="81"/>
      <c r="F317" s="81"/>
      <c r="G317" s="81"/>
      <c r="H317" s="81"/>
      <c r="I317" s="289"/>
      <c r="J317" s="105"/>
      <c r="K317" s="81"/>
      <c r="L317" s="289"/>
      <c r="M317" s="81"/>
      <c r="N317" s="81"/>
      <c r="O317" s="289"/>
      <c r="P317" s="81"/>
      <c r="Q317" s="289"/>
      <c r="R317" s="81"/>
      <c r="S317" s="289"/>
      <c r="T317" s="81"/>
      <c r="U317" s="81"/>
      <c r="V317" s="81"/>
      <c r="W317" s="81"/>
      <c r="X317" s="81"/>
      <c r="Y317" s="81"/>
      <c r="Z317" s="81"/>
    </row>
    <row r="318" spans="1:26" ht="24" customHeight="1" x14ac:dyDescent="0.5">
      <c r="A318" s="81"/>
      <c r="B318" s="81"/>
      <c r="C318" s="81"/>
      <c r="D318" s="81"/>
      <c r="E318" s="81"/>
      <c r="F318" s="81"/>
      <c r="G318" s="81"/>
      <c r="H318" s="81"/>
      <c r="I318" s="289"/>
      <c r="J318" s="105"/>
      <c r="K318" s="81"/>
      <c r="L318" s="289"/>
      <c r="M318" s="81"/>
      <c r="N318" s="81"/>
      <c r="O318" s="289"/>
      <c r="P318" s="81"/>
      <c r="Q318" s="289"/>
      <c r="R318" s="81"/>
      <c r="S318" s="289"/>
      <c r="T318" s="81"/>
      <c r="U318" s="81"/>
      <c r="V318" s="81"/>
      <c r="W318" s="81"/>
      <c r="X318" s="81"/>
      <c r="Y318" s="81"/>
      <c r="Z318" s="81"/>
    </row>
    <row r="319" spans="1:26" ht="24" customHeight="1" x14ac:dyDescent="0.5">
      <c r="A319" s="81"/>
      <c r="B319" s="81"/>
      <c r="C319" s="81"/>
      <c r="D319" s="81"/>
      <c r="E319" s="81"/>
      <c r="F319" s="81"/>
      <c r="G319" s="81"/>
      <c r="H319" s="81"/>
      <c r="I319" s="289"/>
      <c r="J319" s="105"/>
      <c r="K319" s="81"/>
      <c r="L319" s="289"/>
      <c r="M319" s="81"/>
      <c r="N319" s="81"/>
      <c r="O319" s="289"/>
      <c r="P319" s="81"/>
      <c r="Q319" s="289"/>
      <c r="R319" s="81"/>
      <c r="S319" s="289"/>
      <c r="T319" s="81"/>
      <c r="U319" s="81"/>
      <c r="V319" s="81"/>
      <c r="W319" s="81"/>
      <c r="X319" s="81"/>
      <c r="Y319" s="81"/>
      <c r="Z319" s="81"/>
    </row>
    <row r="320" spans="1:26" ht="24" customHeight="1" x14ac:dyDescent="0.5">
      <c r="A320" s="81"/>
      <c r="B320" s="81"/>
      <c r="C320" s="81"/>
      <c r="D320" s="81"/>
      <c r="E320" s="81"/>
      <c r="F320" s="81"/>
      <c r="G320" s="81"/>
      <c r="H320" s="81"/>
      <c r="I320" s="289"/>
      <c r="J320" s="105"/>
      <c r="K320" s="81"/>
      <c r="L320" s="289"/>
      <c r="M320" s="81"/>
      <c r="N320" s="81"/>
      <c r="O320" s="289"/>
      <c r="P320" s="81"/>
      <c r="Q320" s="289"/>
      <c r="R320" s="81"/>
      <c r="S320" s="289"/>
      <c r="T320" s="81"/>
      <c r="U320" s="81"/>
      <c r="V320" s="81"/>
      <c r="W320" s="81"/>
      <c r="X320" s="81"/>
      <c r="Y320" s="81"/>
      <c r="Z320" s="81"/>
    </row>
    <row r="321" spans="1:26" ht="24" customHeight="1" x14ac:dyDescent="0.5">
      <c r="A321" s="81"/>
      <c r="B321" s="81"/>
      <c r="C321" s="81"/>
      <c r="D321" s="81"/>
      <c r="E321" s="81"/>
      <c r="F321" s="81"/>
      <c r="G321" s="81"/>
      <c r="H321" s="81"/>
      <c r="I321" s="289"/>
      <c r="J321" s="105"/>
      <c r="K321" s="81"/>
      <c r="L321" s="289"/>
      <c r="M321" s="81"/>
      <c r="N321" s="81"/>
      <c r="O321" s="289"/>
      <c r="P321" s="81"/>
      <c r="Q321" s="289"/>
      <c r="R321" s="81"/>
      <c r="S321" s="289"/>
      <c r="T321" s="81"/>
      <c r="U321" s="81"/>
      <c r="V321" s="81"/>
      <c r="W321" s="81"/>
      <c r="X321" s="81"/>
      <c r="Y321" s="81"/>
      <c r="Z321" s="81"/>
    </row>
    <row r="322" spans="1:26" ht="24" customHeight="1" x14ac:dyDescent="0.5">
      <c r="A322" s="81"/>
      <c r="B322" s="81"/>
      <c r="C322" s="81"/>
      <c r="D322" s="81"/>
      <c r="E322" s="81"/>
      <c r="F322" s="81"/>
      <c r="G322" s="81"/>
      <c r="H322" s="81"/>
      <c r="I322" s="289"/>
      <c r="J322" s="105"/>
      <c r="K322" s="81"/>
      <c r="L322" s="289"/>
      <c r="M322" s="81"/>
      <c r="N322" s="81"/>
      <c r="O322" s="289"/>
      <c r="P322" s="81"/>
      <c r="Q322" s="289"/>
      <c r="R322" s="81"/>
      <c r="S322" s="289"/>
      <c r="T322" s="81"/>
      <c r="U322" s="81"/>
      <c r="V322" s="81"/>
      <c r="W322" s="81"/>
      <c r="X322" s="81"/>
      <c r="Y322" s="81"/>
      <c r="Z322" s="81"/>
    </row>
    <row r="323" spans="1:26" ht="24" customHeight="1" x14ac:dyDescent="0.5">
      <c r="A323" s="81"/>
      <c r="B323" s="81"/>
      <c r="C323" s="81"/>
      <c r="D323" s="81"/>
      <c r="E323" s="81"/>
      <c r="F323" s="81"/>
      <c r="G323" s="81"/>
      <c r="H323" s="81"/>
      <c r="I323" s="289"/>
      <c r="J323" s="105"/>
      <c r="K323" s="81"/>
      <c r="L323" s="289"/>
      <c r="M323" s="81"/>
      <c r="N323" s="81"/>
      <c r="O323" s="289"/>
      <c r="P323" s="81"/>
      <c r="Q323" s="289"/>
      <c r="R323" s="81"/>
      <c r="S323" s="289"/>
      <c r="T323" s="81"/>
      <c r="U323" s="81"/>
      <c r="V323" s="81"/>
      <c r="W323" s="81"/>
      <c r="X323" s="81"/>
      <c r="Y323" s="81"/>
      <c r="Z323" s="81"/>
    </row>
    <row r="324" spans="1:26" ht="24" customHeight="1" x14ac:dyDescent="0.5">
      <c r="A324" s="81"/>
      <c r="B324" s="81"/>
      <c r="C324" s="81"/>
      <c r="D324" s="81"/>
      <c r="E324" s="81"/>
      <c r="F324" s="81"/>
      <c r="G324" s="81"/>
      <c r="H324" s="81"/>
      <c r="I324" s="289"/>
      <c r="J324" s="105"/>
      <c r="K324" s="81"/>
      <c r="L324" s="289"/>
      <c r="M324" s="81"/>
      <c r="N324" s="81"/>
      <c r="O324" s="289"/>
      <c r="P324" s="81"/>
      <c r="Q324" s="289"/>
      <c r="R324" s="81"/>
      <c r="S324" s="289"/>
      <c r="T324" s="81"/>
      <c r="U324" s="81"/>
      <c r="V324" s="81"/>
      <c r="W324" s="81"/>
      <c r="X324" s="81"/>
      <c r="Y324" s="81"/>
      <c r="Z324" s="81"/>
    </row>
    <row r="325" spans="1:26" ht="24" customHeight="1" x14ac:dyDescent="0.5">
      <c r="A325" s="81"/>
      <c r="B325" s="81"/>
      <c r="C325" s="81"/>
      <c r="D325" s="81"/>
      <c r="E325" s="81"/>
      <c r="F325" s="81"/>
      <c r="G325" s="81"/>
      <c r="H325" s="81"/>
      <c r="I325" s="289"/>
      <c r="J325" s="105"/>
      <c r="K325" s="81"/>
      <c r="L325" s="289"/>
      <c r="M325" s="81"/>
      <c r="N325" s="81"/>
      <c r="O325" s="289"/>
      <c r="P325" s="81"/>
      <c r="Q325" s="289"/>
      <c r="R325" s="81"/>
      <c r="S325" s="289"/>
      <c r="T325" s="81"/>
      <c r="U325" s="81"/>
      <c r="V325" s="81"/>
      <c r="W325" s="81"/>
      <c r="X325" s="81"/>
      <c r="Y325" s="81"/>
      <c r="Z325" s="81"/>
    </row>
    <row r="326" spans="1:26" ht="24" customHeight="1" x14ac:dyDescent="0.5">
      <c r="A326" s="81"/>
      <c r="B326" s="81"/>
      <c r="C326" s="81"/>
      <c r="D326" s="81"/>
      <c r="E326" s="81"/>
      <c r="F326" s="81"/>
      <c r="G326" s="81"/>
      <c r="H326" s="81"/>
      <c r="I326" s="289"/>
      <c r="J326" s="105"/>
      <c r="K326" s="81"/>
      <c r="L326" s="289"/>
      <c r="M326" s="81"/>
      <c r="N326" s="81"/>
      <c r="O326" s="289"/>
      <c r="P326" s="81"/>
      <c r="Q326" s="289"/>
      <c r="R326" s="81"/>
      <c r="S326" s="289"/>
      <c r="T326" s="81"/>
      <c r="U326" s="81"/>
      <c r="V326" s="81"/>
      <c r="W326" s="81"/>
      <c r="X326" s="81"/>
      <c r="Y326" s="81"/>
      <c r="Z326" s="81"/>
    </row>
    <row r="327" spans="1:26" ht="24" customHeight="1" x14ac:dyDescent="0.5">
      <c r="A327" s="81"/>
      <c r="B327" s="81"/>
      <c r="C327" s="81"/>
      <c r="D327" s="81"/>
      <c r="E327" s="81"/>
      <c r="F327" s="81"/>
      <c r="G327" s="81"/>
      <c r="H327" s="81"/>
      <c r="I327" s="289"/>
      <c r="J327" s="105"/>
      <c r="K327" s="81"/>
      <c r="L327" s="289"/>
      <c r="M327" s="81"/>
      <c r="N327" s="81"/>
      <c r="O327" s="289"/>
      <c r="P327" s="81"/>
      <c r="Q327" s="289"/>
      <c r="R327" s="81"/>
      <c r="S327" s="289"/>
      <c r="T327" s="81"/>
      <c r="U327" s="81"/>
      <c r="V327" s="81"/>
      <c r="W327" s="81"/>
      <c r="X327" s="81"/>
      <c r="Y327" s="81"/>
      <c r="Z327" s="81"/>
    </row>
    <row r="328" spans="1:26" ht="24" customHeight="1" x14ac:dyDescent="0.5">
      <c r="A328" s="81"/>
      <c r="B328" s="81"/>
      <c r="C328" s="81"/>
      <c r="D328" s="81"/>
      <c r="E328" s="81"/>
      <c r="F328" s="81"/>
      <c r="G328" s="81"/>
      <c r="H328" s="81"/>
      <c r="I328" s="289"/>
      <c r="J328" s="105"/>
      <c r="K328" s="81"/>
      <c r="L328" s="289"/>
      <c r="M328" s="81"/>
      <c r="N328" s="81"/>
      <c r="O328" s="289"/>
      <c r="P328" s="81"/>
      <c r="Q328" s="289"/>
      <c r="R328" s="81"/>
      <c r="S328" s="289"/>
      <c r="T328" s="81"/>
      <c r="U328" s="81"/>
      <c r="V328" s="81"/>
      <c r="W328" s="81"/>
      <c r="X328" s="81"/>
      <c r="Y328" s="81"/>
      <c r="Z328" s="81"/>
    </row>
    <row r="329" spans="1:26" ht="24" customHeight="1" x14ac:dyDescent="0.5">
      <c r="A329" s="81"/>
      <c r="B329" s="81"/>
      <c r="C329" s="81"/>
      <c r="D329" s="81"/>
      <c r="E329" s="81"/>
      <c r="F329" s="81"/>
      <c r="G329" s="81"/>
      <c r="H329" s="81"/>
      <c r="I329" s="289"/>
      <c r="J329" s="105"/>
      <c r="K329" s="81"/>
      <c r="L329" s="289"/>
      <c r="M329" s="81"/>
      <c r="N329" s="81"/>
      <c r="O329" s="289"/>
      <c r="P329" s="81"/>
      <c r="Q329" s="289"/>
      <c r="R329" s="81"/>
      <c r="S329" s="289"/>
      <c r="T329" s="81"/>
      <c r="U329" s="81"/>
      <c r="V329" s="81"/>
      <c r="W329" s="81"/>
      <c r="X329" s="81"/>
      <c r="Y329" s="81"/>
      <c r="Z329" s="81"/>
    </row>
    <row r="330" spans="1:26" ht="24" customHeight="1" x14ac:dyDescent="0.5">
      <c r="A330" s="81"/>
      <c r="B330" s="81"/>
      <c r="C330" s="81"/>
      <c r="D330" s="81"/>
      <c r="E330" s="81"/>
      <c r="F330" s="81"/>
      <c r="G330" s="81"/>
      <c r="H330" s="81"/>
      <c r="I330" s="289"/>
      <c r="J330" s="105"/>
      <c r="K330" s="81"/>
      <c r="L330" s="289"/>
      <c r="M330" s="81"/>
      <c r="N330" s="81"/>
      <c r="O330" s="289"/>
      <c r="P330" s="81"/>
      <c r="Q330" s="289"/>
      <c r="R330" s="81"/>
      <c r="S330" s="289"/>
      <c r="T330" s="81"/>
      <c r="U330" s="81"/>
      <c r="V330" s="81"/>
      <c r="W330" s="81"/>
      <c r="X330" s="81"/>
      <c r="Y330" s="81"/>
      <c r="Z330" s="81"/>
    </row>
    <row r="331" spans="1:26" ht="24" customHeight="1" x14ac:dyDescent="0.5">
      <c r="A331" s="81"/>
      <c r="B331" s="81"/>
      <c r="C331" s="81"/>
      <c r="D331" s="81"/>
      <c r="E331" s="81"/>
      <c r="F331" s="81"/>
      <c r="G331" s="81"/>
      <c r="H331" s="81"/>
      <c r="I331" s="289"/>
      <c r="J331" s="105"/>
      <c r="K331" s="81"/>
      <c r="L331" s="289"/>
      <c r="M331" s="81"/>
      <c r="N331" s="81"/>
      <c r="O331" s="289"/>
      <c r="P331" s="81"/>
      <c r="Q331" s="289"/>
      <c r="R331" s="81"/>
      <c r="S331" s="289"/>
      <c r="T331" s="81"/>
      <c r="U331" s="81"/>
      <c r="V331" s="81"/>
      <c r="W331" s="81"/>
      <c r="X331" s="81"/>
      <c r="Y331" s="81"/>
      <c r="Z331" s="81"/>
    </row>
    <row r="332" spans="1:26" ht="24" customHeight="1" x14ac:dyDescent="0.5">
      <c r="A332" s="81"/>
      <c r="B332" s="81"/>
      <c r="C332" s="81"/>
      <c r="D332" s="81"/>
      <c r="E332" s="81"/>
      <c r="F332" s="81"/>
      <c r="G332" s="81"/>
      <c r="H332" s="81"/>
      <c r="I332" s="289"/>
      <c r="J332" s="105"/>
      <c r="K332" s="81"/>
      <c r="L332" s="289"/>
      <c r="M332" s="81"/>
      <c r="N332" s="81"/>
      <c r="O332" s="289"/>
      <c r="P332" s="81"/>
      <c r="Q332" s="289"/>
      <c r="R332" s="81"/>
      <c r="S332" s="289"/>
      <c r="T332" s="81"/>
      <c r="U332" s="81"/>
      <c r="V332" s="81"/>
      <c r="W332" s="81"/>
      <c r="X332" s="81"/>
      <c r="Y332" s="81"/>
      <c r="Z332" s="81"/>
    </row>
    <row r="333" spans="1:26" ht="24" customHeight="1" x14ac:dyDescent="0.5">
      <c r="A333" s="81"/>
      <c r="B333" s="81"/>
      <c r="C333" s="81"/>
      <c r="D333" s="81"/>
      <c r="E333" s="81"/>
      <c r="F333" s="81"/>
      <c r="G333" s="81"/>
      <c r="H333" s="81"/>
      <c r="I333" s="289"/>
      <c r="J333" s="105"/>
      <c r="K333" s="81"/>
      <c r="L333" s="289"/>
      <c r="M333" s="81"/>
      <c r="N333" s="81"/>
      <c r="O333" s="289"/>
      <c r="P333" s="81"/>
      <c r="Q333" s="289"/>
      <c r="R333" s="81"/>
      <c r="S333" s="289"/>
      <c r="T333" s="81"/>
      <c r="U333" s="81"/>
      <c r="V333" s="81"/>
      <c r="W333" s="81"/>
      <c r="X333" s="81"/>
      <c r="Y333" s="81"/>
      <c r="Z333" s="81"/>
    </row>
    <row r="334" spans="1:26" ht="24" customHeight="1" x14ac:dyDescent="0.5">
      <c r="A334" s="81"/>
      <c r="B334" s="81"/>
      <c r="C334" s="81"/>
      <c r="D334" s="81"/>
      <c r="E334" s="81"/>
      <c r="F334" s="81"/>
      <c r="G334" s="81"/>
      <c r="H334" s="81"/>
      <c r="I334" s="289"/>
      <c r="J334" s="105"/>
      <c r="K334" s="81"/>
      <c r="L334" s="289"/>
      <c r="M334" s="81"/>
      <c r="N334" s="81"/>
      <c r="O334" s="289"/>
      <c r="P334" s="81"/>
      <c r="Q334" s="289"/>
      <c r="R334" s="81"/>
      <c r="S334" s="289"/>
      <c r="T334" s="81"/>
      <c r="U334" s="81"/>
      <c r="V334" s="81"/>
      <c r="W334" s="81"/>
      <c r="X334" s="81"/>
      <c r="Y334" s="81"/>
      <c r="Z334" s="81"/>
    </row>
    <row r="335" spans="1:26" ht="24" customHeight="1" x14ac:dyDescent="0.5">
      <c r="A335" s="81"/>
      <c r="B335" s="81"/>
      <c r="C335" s="81"/>
      <c r="D335" s="81"/>
      <c r="E335" s="81"/>
      <c r="F335" s="81"/>
      <c r="G335" s="81"/>
      <c r="H335" s="81"/>
      <c r="I335" s="289"/>
      <c r="J335" s="105"/>
      <c r="K335" s="81"/>
      <c r="L335" s="289"/>
      <c r="M335" s="81"/>
      <c r="N335" s="81"/>
      <c r="O335" s="289"/>
      <c r="P335" s="81"/>
      <c r="Q335" s="289"/>
      <c r="R335" s="81"/>
      <c r="S335" s="289"/>
      <c r="T335" s="81"/>
      <c r="U335" s="81"/>
      <c r="V335" s="81"/>
      <c r="W335" s="81"/>
      <c r="X335" s="81"/>
      <c r="Y335" s="81"/>
      <c r="Z335" s="81"/>
    </row>
    <row r="336" spans="1:26" ht="24" customHeight="1" x14ac:dyDescent="0.5">
      <c r="A336" s="81"/>
      <c r="B336" s="81"/>
      <c r="C336" s="81"/>
      <c r="D336" s="81"/>
      <c r="E336" s="81"/>
      <c r="F336" s="81"/>
      <c r="G336" s="81"/>
      <c r="H336" s="81"/>
      <c r="I336" s="289"/>
      <c r="J336" s="105"/>
      <c r="K336" s="81"/>
      <c r="L336" s="289"/>
      <c r="M336" s="81"/>
      <c r="N336" s="81"/>
      <c r="O336" s="289"/>
      <c r="P336" s="81"/>
      <c r="Q336" s="289"/>
      <c r="R336" s="81"/>
      <c r="S336" s="289"/>
      <c r="T336" s="81"/>
      <c r="U336" s="81"/>
      <c r="V336" s="81"/>
      <c r="W336" s="81"/>
      <c r="X336" s="81"/>
      <c r="Y336" s="81"/>
      <c r="Z336" s="81"/>
    </row>
    <row r="337" spans="1:26" ht="24" customHeight="1" x14ac:dyDescent="0.5">
      <c r="A337" s="81"/>
      <c r="B337" s="81"/>
      <c r="C337" s="81"/>
      <c r="D337" s="81"/>
      <c r="E337" s="81"/>
      <c r="F337" s="81"/>
      <c r="G337" s="81"/>
      <c r="H337" s="81"/>
      <c r="I337" s="289"/>
      <c r="J337" s="105"/>
      <c r="K337" s="81"/>
      <c r="L337" s="289"/>
      <c r="M337" s="81"/>
      <c r="N337" s="81"/>
      <c r="O337" s="289"/>
      <c r="P337" s="81"/>
      <c r="Q337" s="289"/>
      <c r="R337" s="81"/>
      <c r="S337" s="289"/>
      <c r="T337" s="81"/>
      <c r="U337" s="81"/>
      <c r="V337" s="81"/>
      <c r="W337" s="81"/>
      <c r="X337" s="81"/>
      <c r="Y337" s="81"/>
      <c r="Z337" s="81"/>
    </row>
    <row r="338" spans="1:26" ht="24" customHeight="1" x14ac:dyDescent="0.5">
      <c r="A338" s="81"/>
      <c r="B338" s="81"/>
      <c r="C338" s="81"/>
      <c r="D338" s="81"/>
      <c r="E338" s="81"/>
      <c r="F338" s="81"/>
      <c r="G338" s="81"/>
      <c r="H338" s="81"/>
      <c r="I338" s="289"/>
      <c r="J338" s="105"/>
      <c r="K338" s="81"/>
      <c r="L338" s="289"/>
      <c r="M338" s="81"/>
      <c r="N338" s="81"/>
      <c r="O338" s="289"/>
      <c r="P338" s="81"/>
      <c r="Q338" s="289"/>
      <c r="R338" s="81"/>
      <c r="S338" s="289"/>
      <c r="T338" s="81"/>
      <c r="U338" s="81"/>
      <c r="V338" s="81"/>
      <c r="W338" s="81"/>
      <c r="X338" s="81"/>
      <c r="Y338" s="81"/>
      <c r="Z338" s="81"/>
    </row>
    <row r="339" spans="1:26" ht="24" customHeight="1" x14ac:dyDescent="0.5">
      <c r="A339" s="81"/>
      <c r="B339" s="81"/>
      <c r="C339" s="81"/>
      <c r="D339" s="81"/>
      <c r="E339" s="81"/>
      <c r="F339" s="81"/>
      <c r="G339" s="81"/>
      <c r="H339" s="81"/>
      <c r="I339" s="289"/>
      <c r="J339" s="105"/>
      <c r="K339" s="81"/>
      <c r="L339" s="289"/>
      <c r="M339" s="81"/>
      <c r="N339" s="81"/>
      <c r="O339" s="289"/>
      <c r="P339" s="81"/>
      <c r="Q339" s="289"/>
      <c r="R339" s="81"/>
      <c r="S339" s="289"/>
      <c r="T339" s="81"/>
      <c r="U339" s="81"/>
      <c r="V339" s="81"/>
      <c r="W339" s="81"/>
      <c r="X339" s="81"/>
      <c r="Y339" s="81"/>
      <c r="Z339" s="81"/>
    </row>
    <row r="340" spans="1:26" ht="24" customHeight="1" x14ac:dyDescent="0.5">
      <c r="A340" s="81"/>
      <c r="B340" s="81"/>
      <c r="C340" s="81"/>
      <c r="D340" s="81"/>
      <c r="E340" s="81"/>
      <c r="F340" s="81"/>
      <c r="G340" s="81"/>
      <c r="H340" s="81"/>
      <c r="I340" s="289"/>
      <c r="J340" s="105"/>
      <c r="K340" s="81"/>
      <c r="L340" s="289"/>
      <c r="M340" s="81"/>
      <c r="N340" s="81"/>
      <c r="O340" s="289"/>
      <c r="P340" s="81"/>
      <c r="Q340" s="289"/>
      <c r="R340" s="81"/>
      <c r="S340" s="289"/>
      <c r="T340" s="81"/>
      <c r="U340" s="81"/>
      <c r="V340" s="81"/>
      <c r="W340" s="81"/>
      <c r="X340" s="81"/>
      <c r="Y340" s="81"/>
      <c r="Z340" s="81"/>
    </row>
    <row r="341" spans="1:26" ht="24" customHeight="1" x14ac:dyDescent="0.5">
      <c r="A341" s="81"/>
      <c r="B341" s="81"/>
      <c r="C341" s="81"/>
      <c r="D341" s="81"/>
      <c r="E341" s="81"/>
      <c r="F341" s="81"/>
      <c r="G341" s="81"/>
      <c r="H341" s="81"/>
      <c r="I341" s="289"/>
      <c r="J341" s="105"/>
      <c r="K341" s="81"/>
      <c r="L341" s="289"/>
      <c r="M341" s="81"/>
      <c r="N341" s="81"/>
      <c r="O341" s="289"/>
      <c r="P341" s="81"/>
      <c r="Q341" s="289"/>
      <c r="R341" s="81"/>
      <c r="S341" s="289"/>
      <c r="T341" s="81"/>
      <c r="U341" s="81"/>
      <c r="V341" s="81"/>
      <c r="W341" s="81"/>
      <c r="X341" s="81"/>
      <c r="Y341" s="81"/>
      <c r="Z341" s="81"/>
    </row>
    <row r="342" spans="1:26" ht="24" customHeight="1" x14ac:dyDescent="0.5">
      <c r="A342" s="81"/>
      <c r="B342" s="81"/>
      <c r="C342" s="81"/>
      <c r="D342" s="81"/>
      <c r="E342" s="81"/>
      <c r="F342" s="81"/>
      <c r="G342" s="81"/>
      <c r="H342" s="81"/>
      <c r="I342" s="289"/>
      <c r="J342" s="105"/>
      <c r="K342" s="81"/>
      <c r="L342" s="289"/>
      <c r="M342" s="81"/>
      <c r="N342" s="81"/>
      <c r="O342" s="289"/>
      <c r="P342" s="81"/>
      <c r="Q342" s="289"/>
      <c r="R342" s="81"/>
      <c r="S342" s="289"/>
      <c r="T342" s="81"/>
      <c r="U342" s="81"/>
      <c r="V342" s="81"/>
      <c r="W342" s="81"/>
      <c r="X342" s="81"/>
      <c r="Y342" s="81"/>
      <c r="Z342" s="81"/>
    </row>
    <row r="343" spans="1:26" ht="24" customHeight="1" x14ac:dyDescent="0.5">
      <c r="A343" s="81"/>
      <c r="B343" s="81"/>
      <c r="C343" s="81"/>
      <c r="D343" s="81"/>
      <c r="E343" s="81"/>
      <c r="F343" s="81"/>
      <c r="G343" s="81"/>
      <c r="H343" s="81"/>
      <c r="I343" s="289"/>
      <c r="J343" s="105"/>
      <c r="K343" s="81"/>
      <c r="L343" s="289"/>
      <c r="M343" s="81"/>
      <c r="N343" s="81"/>
      <c r="O343" s="289"/>
      <c r="P343" s="81"/>
      <c r="Q343" s="289"/>
      <c r="R343" s="81"/>
      <c r="S343" s="289"/>
      <c r="T343" s="81"/>
      <c r="U343" s="81"/>
      <c r="V343" s="81"/>
      <c r="W343" s="81"/>
      <c r="X343" s="81"/>
      <c r="Y343" s="81"/>
      <c r="Z343" s="81"/>
    </row>
    <row r="344" spans="1:26" ht="24" customHeight="1" x14ac:dyDescent="0.5">
      <c r="A344" s="81"/>
      <c r="B344" s="81"/>
      <c r="C344" s="81"/>
      <c r="D344" s="81"/>
      <c r="E344" s="81"/>
      <c r="F344" s="81"/>
      <c r="G344" s="81"/>
      <c r="H344" s="81"/>
      <c r="I344" s="289"/>
      <c r="J344" s="105"/>
      <c r="K344" s="81"/>
      <c r="L344" s="289"/>
      <c r="M344" s="81"/>
      <c r="N344" s="81"/>
      <c r="O344" s="289"/>
      <c r="P344" s="81"/>
      <c r="Q344" s="289"/>
      <c r="R344" s="81"/>
      <c r="S344" s="289"/>
      <c r="T344" s="81"/>
      <c r="U344" s="81"/>
      <c r="V344" s="81"/>
      <c r="W344" s="81"/>
      <c r="X344" s="81"/>
      <c r="Y344" s="81"/>
      <c r="Z344" s="81"/>
    </row>
    <row r="345" spans="1:26" ht="24" customHeight="1" x14ac:dyDescent="0.5">
      <c r="A345" s="81"/>
      <c r="B345" s="81"/>
      <c r="C345" s="81"/>
      <c r="D345" s="81"/>
      <c r="E345" s="81"/>
      <c r="F345" s="81"/>
      <c r="G345" s="81"/>
      <c r="H345" s="81"/>
      <c r="I345" s="289"/>
      <c r="J345" s="105"/>
      <c r="K345" s="81"/>
      <c r="L345" s="289"/>
      <c r="M345" s="81"/>
      <c r="N345" s="81"/>
      <c r="O345" s="289"/>
      <c r="P345" s="81"/>
      <c r="Q345" s="289"/>
      <c r="R345" s="81"/>
      <c r="S345" s="289"/>
      <c r="T345" s="81"/>
      <c r="U345" s="81"/>
      <c r="V345" s="81"/>
      <c r="W345" s="81"/>
      <c r="X345" s="81"/>
      <c r="Y345" s="81"/>
      <c r="Z345" s="81"/>
    </row>
    <row r="346" spans="1:26" ht="24" customHeight="1" x14ac:dyDescent="0.5">
      <c r="A346" s="81"/>
      <c r="B346" s="81"/>
      <c r="C346" s="81"/>
      <c r="D346" s="81"/>
      <c r="E346" s="81"/>
      <c r="F346" s="81"/>
      <c r="G346" s="81"/>
      <c r="H346" s="81"/>
      <c r="I346" s="289"/>
      <c r="J346" s="105"/>
      <c r="K346" s="81"/>
      <c r="L346" s="289"/>
      <c r="M346" s="81"/>
      <c r="N346" s="81"/>
      <c r="O346" s="289"/>
      <c r="P346" s="81"/>
      <c r="Q346" s="289"/>
      <c r="R346" s="81"/>
      <c r="S346" s="289"/>
      <c r="T346" s="81"/>
      <c r="U346" s="81"/>
      <c r="V346" s="81"/>
      <c r="W346" s="81"/>
      <c r="X346" s="81"/>
      <c r="Y346" s="81"/>
      <c r="Z346" s="81"/>
    </row>
    <row r="347" spans="1:26" ht="24" customHeight="1" x14ac:dyDescent="0.5">
      <c r="A347" s="81"/>
      <c r="B347" s="81"/>
      <c r="C347" s="81"/>
      <c r="D347" s="81"/>
      <c r="E347" s="81"/>
      <c r="F347" s="81"/>
      <c r="G347" s="81"/>
      <c r="H347" s="81"/>
      <c r="I347" s="289"/>
      <c r="J347" s="105"/>
      <c r="K347" s="81"/>
      <c r="L347" s="289"/>
      <c r="M347" s="81"/>
      <c r="N347" s="81"/>
      <c r="O347" s="289"/>
      <c r="P347" s="81"/>
      <c r="Q347" s="289"/>
      <c r="R347" s="81"/>
      <c r="S347" s="289"/>
      <c r="T347" s="81"/>
      <c r="U347" s="81"/>
      <c r="V347" s="81"/>
      <c r="W347" s="81"/>
      <c r="X347" s="81"/>
      <c r="Y347" s="81"/>
      <c r="Z347" s="81"/>
    </row>
    <row r="348" spans="1:26" ht="24" customHeight="1" x14ac:dyDescent="0.5">
      <c r="A348" s="81"/>
      <c r="B348" s="81"/>
      <c r="C348" s="81"/>
      <c r="D348" s="81"/>
      <c r="E348" s="81"/>
      <c r="F348" s="81"/>
      <c r="G348" s="81"/>
      <c r="H348" s="81"/>
      <c r="I348" s="289"/>
      <c r="J348" s="105"/>
      <c r="K348" s="81"/>
      <c r="L348" s="289"/>
      <c r="M348" s="81"/>
      <c r="N348" s="81"/>
      <c r="O348" s="289"/>
      <c r="P348" s="81"/>
      <c r="Q348" s="289"/>
      <c r="R348" s="81"/>
      <c r="S348" s="289"/>
      <c r="T348" s="81"/>
      <c r="U348" s="81"/>
      <c r="V348" s="81"/>
      <c r="W348" s="81"/>
      <c r="X348" s="81"/>
      <c r="Y348" s="81"/>
      <c r="Z348" s="81"/>
    </row>
    <row r="349" spans="1:26" ht="24" customHeight="1" x14ac:dyDescent="0.5">
      <c r="A349" s="81"/>
      <c r="B349" s="81"/>
      <c r="C349" s="81"/>
      <c r="D349" s="81"/>
      <c r="E349" s="81"/>
      <c r="F349" s="81"/>
      <c r="G349" s="81"/>
      <c r="H349" s="81"/>
      <c r="I349" s="289"/>
      <c r="J349" s="105"/>
      <c r="K349" s="81"/>
      <c r="L349" s="289"/>
      <c r="M349" s="81"/>
      <c r="N349" s="81"/>
      <c r="O349" s="289"/>
      <c r="P349" s="81"/>
      <c r="Q349" s="289"/>
      <c r="R349" s="81"/>
      <c r="S349" s="289"/>
      <c r="T349" s="81"/>
      <c r="U349" s="81"/>
      <c r="V349" s="81"/>
      <c r="W349" s="81"/>
      <c r="X349" s="81"/>
      <c r="Y349" s="81"/>
      <c r="Z349" s="81"/>
    </row>
    <row r="350" spans="1:26" ht="24" customHeight="1" x14ac:dyDescent="0.5">
      <c r="A350" s="81"/>
      <c r="B350" s="81"/>
      <c r="C350" s="81"/>
      <c r="D350" s="81"/>
      <c r="E350" s="81"/>
      <c r="F350" s="81"/>
      <c r="G350" s="81"/>
      <c r="H350" s="81"/>
      <c r="I350" s="289"/>
      <c r="J350" s="105"/>
      <c r="K350" s="81"/>
      <c r="L350" s="289"/>
      <c r="M350" s="81"/>
      <c r="N350" s="81"/>
      <c r="O350" s="289"/>
      <c r="P350" s="81"/>
      <c r="Q350" s="289"/>
      <c r="R350" s="81"/>
      <c r="S350" s="289"/>
      <c r="T350" s="81"/>
      <c r="U350" s="81"/>
      <c r="V350" s="81"/>
      <c r="W350" s="81"/>
      <c r="X350" s="81"/>
      <c r="Y350" s="81"/>
      <c r="Z350" s="81"/>
    </row>
    <row r="351" spans="1:26" ht="24" customHeight="1" x14ac:dyDescent="0.5">
      <c r="A351" s="81"/>
      <c r="B351" s="81"/>
      <c r="C351" s="81"/>
      <c r="D351" s="81"/>
      <c r="E351" s="81"/>
      <c r="F351" s="81"/>
      <c r="G351" s="81"/>
      <c r="H351" s="81"/>
      <c r="I351" s="289"/>
      <c r="J351" s="105"/>
      <c r="K351" s="81"/>
      <c r="L351" s="289"/>
      <c r="M351" s="81"/>
      <c r="N351" s="81"/>
      <c r="O351" s="289"/>
      <c r="P351" s="81"/>
      <c r="Q351" s="289"/>
      <c r="R351" s="81"/>
      <c r="S351" s="289"/>
      <c r="T351" s="81"/>
      <c r="U351" s="81"/>
      <c r="V351" s="81"/>
      <c r="W351" s="81"/>
      <c r="X351" s="81"/>
      <c r="Y351" s="81"/>
      <c r="Z351" s="81"/>
    </row>
    <row r="352" spans="1:26" ht="24" customHeight="1" x14ac:dyDescent="0.5">
      <c r="A352" s="81"/>
      <c r="B352" s="81"/>
      <c r="C352" s="81"/>
      <c r="D352" s="81"/>
      <c r="E352" s="81"/>
      <c r="F352" s="81"/>
      <c r="G352" s="81"/>
      <c r="H352" s="81"/>
      <c r="I352" s="289"/>
      <c r="J352" s="105"/>
      <c r="K352" s="81"/>
      <c r="L352" s="289"/>
      <c r="M352" s="81"/>
      <c r="N352" s="81"/>
      <c r="O352" s="289"/>
      <c r="P352" s="81"/>
      <c r="Q352" s="289"/>
      <c r="R352" s="81"/>
      <c r="S352" s="289"/>
      <c r="T352" s="81"/>
      <c r="U352" s="81"/>
      <c r="V352" s="81"/>
      <c r="W352" s="81"/>
      <c r="X352" s="81"/>
      <c r="Y352" s="81"/>
      <c r="Z352" s="81"/>
    </row>
    <row r="353" spans="1:26" ht="24" customHeight="1" x14ac:dyDescent="0.5">
      <c r="A353" s="81"/>
      <c r="B353" s="81"/>
      <c r="C353" s="81"/>
      <c r="D353" s="81"/>
      <c r="E353" s="81"/>
      <c r="F353" s="81"/>
      <c r="G353" s="81"/>
      <c r="H353" s="81"/>
      <c r="I353" s="289"/>
      <c r="J353" s="105"/>
      <c r="K353" s="81"/>
      <c r="L353" s="289"/>
      <c r="M353" s="81"/>
      <c r="N353" s="81"/>
      <c r="O353" s="289"/>
      <c r="P353" s="81"/>
      <c r="Q353" s="289"/>
      <c r="R353" s="81"/>
      <c r="S353" s="289"/>
      <c r="T353" s="81"/>
      <c r="U353" s="81"/>
      <c r="V353" s="81"/>
      <c r="W353" s="81"/>
      <c r="X353" s="81"/>
      <c r="Y353" s="81"/>
      <c r="Z353" s="81"/>
    </row>
    <row r="354" spans="1:26" ht="24" customHeight="1" x14ac:dyDescent="0.5">
      <c r="A354" s="81"/>
      <c r="B354" s="81"/>
      <c r="C354" s="81"/>
      <c r="D354" s="81"/>
      <c r="E354" s="81"/>
      <c r="F354" s="81"/>
      <c r="G354" s="81"/>
      <c r="H354" s="81"/>
      <c r="I354" s="289"/>
      <c r="J354" s="105"/>
      <c r="K354" s="81"/>
      <c r="L354" s="289"/>
      <c r="M354" s="81"/>
      <c r="N354" s="81"/>
      <c r="O354" s="289"/>
      <c r="P354" s="81"/>
      <c r="Q354" s="289"/>
      <c r="R354" s="81"/>
      <c r="S354" s="289"/>
      <c r="T354" s="81"/>
      <c r="U354" s="81"/>
      <c r="V354" s="81"/>
      <c r="W354" s="81"/>
      <c r="X354" s="81"/>
      <c r="Y354" s="81"/>
      <c r="Z354" s="81"/>
    </row>
    <row r="355" spans="1:26" ht="24" customHeight="1" x14ac:dyDescent="0.5">
      <c r="A355" s="81"/>
      <c r="B355" s="81"/>
      <c r="C355" s="81"/>
      <c r="D355" s="81"/>
      <c r="E355" s="81"/>
      <c r="F355" s="81"/>
      <c r="G355" s="81"/>
      <c r="H355" s="81"/>
      <c r="I355" s="289"/>
      <c r="J355" s="105"/>
      <c r="K355" s="81"/>
      <c r="L355" s="289"/>
      <c r="M355" s="81"/>
      <c r="N355" s="81"/>
      <c r="O355" s="289"/>
      <c r="P355" s="81"/>
      <c r="Q355" s="289"/>
      <c r="R355" s="81"/>
      <c r="S355" s="289"/>
      <c r="T355" s="81"/>
      <c r="U355" s="81"/>
      <c r="V355" s="81"/>
      <c r="W355" s="81"/>
      <c r="X355" s="81"/>
      <c r="Y355" s="81"/>
      <c r="Z355" s="81"/>
    </row>
    <row r="356" spans="1:26" ht="24" customHeight="1" x14ac:dyDescent="0.5">
      <c r="A356" s="81"/>
      <c r="B356" s="81"/>
      <c r="C356" s="81"/>
      <c r="D356" s="81"/>
      <c r="E356" s="81"/>
      <c r="F356" s="81"/>
      <c r="G356" s="81"/>
      <c r="H356" s="81"/>
      <c r="I356" s="289"/>
      <c r="J356" s="105"/>
      <c r="K356" s="81"/>
      <c r="L356" s="289"/>
      <c r="M356" s="81"/>
      <c r="N356" s="81"/>
      <c r="O356" s="289"/>
      <c r="P356" s="81"/>
      <c r="Q356" s="289"/>
      <c r="R356" s="81"/>
      <c r="S356" s="289"/>
      <c r="T356" s="81"/>
      <c r="U356" s="81"/>
      <c r="V356" s="81"/>
      <c r="W356" s="81"/>
      <c r="X356" s="81"/>
      <c r="Y356" s="81"/>
      <c r="Z356" s="81"/>
    </row>
    <row r="357" spans="1:26" ht="24" customHeight="1" x14ac:dyDescent="0.5">
      <c r="A357" s="81"/>
      <c r="B357" s="81"/>
      <c r="C357" s="81"/>
      <c r="D357" s="81"/>
      <c r="E357" s="81"/>
      <c r="F357" s="81"/>
      <c r="G357" s="81"/>
      <c r="H357" s="81"/>
      <c r="I357" s="289"/>
      <c r="J357" s="105"/>
      <c r="K357" s="81"/>
      <c r="L357" s="289"/>
      <c r="M357" s="81"/>
      <c r="N357" s="81"/>
      <c r="O357" s="289"/>
      <c r="P357" s="81"/>
      <c r="Q357" s="289"/>
      <c r="R357" s="81"/>
      <c r="S357" s="289"/>
      <c r="T357" s="81"/>
      <c r="U357" s="81"/>
      <c r="V357" s="81"/>
      <c r="W357" s="81"/>
      <c r="X357" s="81"/>
      <c r="Y357" s="81"/>
      <c r="Z357" s="81"/>
    </row>
    <row r="358" spans="1:26" ht="24" customHeight="1" x14ac:dyDescent="0.5">
      <c r="A358" s="81"/>
      <c r="B358" s="81"/>
      <c r="C358" s="81"/>
      <c r="D358" s="81"/>
      <c r="E358" s="81"/>
      <c r="F358" s="81"/>
      <c r="G358" s="81"/>
      <c r="H358" s="81"/>
      <c r="I358" s="289"/>
      <c r="J358" s="105"/>
      <c r="K358" s="81"/>
      <c r="L358" s="289"/>
      <c r="M358" s="81"/>
      <c r="N358" s="81"/>
      <c r="O358" s="289"/>
      <c r="P358" s="81"/>
      <c r="Q358" s="289"/>
      <c r="R358" s="81"/>
      <c r="S358" s="289"/>
      <c r="T358" s="81"/>
      <c r="U358" s="81"/>
      <c r="V358" s="81"/>
      <c r="W358" s="81"/>
      <c r="X358" s="81"/>
      <c r="Y358" s="81"/>
      <c r="Z358" s="81"/>
    </row>
    <row r="359" spans="1:26" ht="24" customHeight="1" x14ac:dyDescent="0.5">
      <c r="A359" s="81"/>
      <c r="B359" s="81"/>
      <c r="C359" s="81"/>
      <c r="D359" s="81"/>
      <c r="E359" s="81"/>
      <c r="F359" s="81"/>
      <c r="G359" s="81"/>
      <c r="H359" s="81"/>
      <c r="I359" s="289"/>
      <c r="J359" s="105"/>
      <c r="K359" s="81"/>
      <c r="L359" s="289"/>
      <c r="M359" s="81"/>
      <c r="N359" s="81"/>
      <c r="O359" s="289"/>
      <c r="P359" s="81"/>
      <c r="Q359" s="289"/>
      <c r="R359" s="81"/>
      <c r="S359" s="289"/>
      <c r="T359" s="81"/>
      <c r="U359" s="81"/>
      <c r="V359" s="81"/>
      <c r="W359" s="81"/>
      <c r="X359" s="81"/>
      <c r="Y359" s="81"/>
      <c r="Z359" s="81"/>
    </row>
    <row r="360" spans="1:26" ht="24" customHeight="1" x14ac:dyDescent="0.5">
      <c r="A360" s="81"/>
      <c r="B360" s="81"/>
      <c r="C360" s="81"/>
      <c r="D360" s="81"/>
      <c r="E360" s="81"/>
      <c r="F360" s="81"/>
      <c r="G360" s="81"/>
      <c r="H360" s="81"/>
      <c r="I360" s="289"/>
      <c r="J360" s="105"/>
      <c r="K360" s="81"/>
      <c r="L360" s="289"/>
      <c r="M360" s="81"/>
      <c r="N360" s="81"/>
      <c r="O360" s="289"/>
      <c r="P360" s="81"/>
      <c r="Q360" s="289"/>
      <c r="R360" s="81"/>
      <c r="S360" s="289"/>
      <c r="T360" s="81"/>
      <c r="U360" s="81"/>
      <c r="V360" s="81"/>
      <c r="W360" s="81"/>
      <c r="X360" s="81"/>
      <c r="Y360" s="81"/>
      <c r="Z360" s="81"/>
    </row>
    <row r="361" spans="1:26" ht="24" customHeight="1" x14ac:dyDescent="0.5">
      <c r="A361" s="81"/>
      <c r="B361" s="81"/>
      <c r="C361" s="81"/>
      <c r="D361" s="81"/>
      <c r="E361" s="81"/>
      <c r="F361" s="81"/>
      <c r="G361" s="81"/>
      <c r="H361" s="81"/>
      <c r="I361" s="289"/>
      <c r="J361" s="105"/>
      <c r="K361" s="81"/>
      <c r="L361" s="289"/>
      <c r="M361" s="81"/>
      <c r="N361" s="81"/>
      <c r="O361" s="289"/>
      <c r="P361" s="81"/>
      <c r="Q361" s="289"/>
      <c r="R361" s="81"/>
      <c r="S361" s="289"/>
      <c r="T361" s="81"/>
      <c r="U361" s="81"/>
      <c r="V361" s="81"/>
      <c r="W361" s="81"/>
      <c r="X361" s="81"/>
      <c r="Y361" s="81"/>
      <c r="Z361" s="81"/>
    </row>
    <row r="362" spans="1:26" ht="24" customHeight="1" x14ac:dyDescent="0.5">
      <c r="A362" s="81"/>
      <c r="B362" s="81"/>
      <c r="C362" s="81"/>
      <c r="D362" s="81"/>
      <c r="E362" s="81"/>
      <c r="F362" s="81"/>
      <c r="G362" s="81"/>
      <c r="H362" s="81"/>
      <c r="I362" s="289"/>
      <c r="J362" s="105"/>
      <c r="K362" s="81"/>
      <c r="L362" s="289"/>
      <c r="M362" s="81"/>
      <c r="N362" s="81"/>
      <c r="O362" s="289"/>
      <c r="P362" s="81"/>
      <c r="Q362" s="289"/>
      <c r="R362" s="81"/>
      <c r="S362" s="289"/>
      <c r="T362" s="81"/>
      <c r="U362" s="81"/>
      <c r="V362" s="81"/>
      <c r="W362" s="81"/>
      <c r="X362" s="81"/>
      <c r="Y362" s="81"/>
      <c r="Z362" s="81"/>
    </row>
    <row r="363" spans="1:26" ht="24" customHeight="1" x14ac:dyDescent="0.5">
      <c r="A363" s="81"/>
      <c r="B363" s="81"/>
      <c r="C363" s="81"/>
      <c r="D363" s="81"/>
      <c r="E363" s="81"/>
      <c r="F363" s="81"/>
      <c r="G363" s="81"/>
      <c r="H363" s="81"/>
      <c r="I363" s="289"/>
      <c r="J363" s="105"/>
      <c r="K363" s="81"/>
      <c r="L363" s="289"/>
      <c r="M363" s="81"/>
      <c r="N363" s="81"/>
      <c r="O363" s="289"/>
      <c r="P363" s="81"/>
      <c r="Q363" s="289"/>
      <c r="R363" s="81"/>
      <c r="S363" s="289"/>
      <c r="T363" s="81"/>
      <c r="U363" s="81"/>
      <c r="V363" s="81"/>
      <c r="W363" s="81"/>
      <c r="X363" s="81"/>
      <c r="Y363" s="81"/>
      <c r="Z363" s="81"/>
    </row>
    <row r="364" spans="1:26" ht="24" customHeight="1" x14ac:dyDescent="0.5">
      <c r="A364" s="81"/>
      <c r="B364" s="81"/>
      <c r="C364" s="81"/>
      <c r="D364" s="81"/>
      <c r="E364" s="81"/>
      <c r="F364" s="81"/>
      <c r="G364" s="81"/>
      <c r="H364" s="81"/>
      <c r="I364" s="289"/>
      <c r="J364" s="105"/>
      <c r="K364" s="81"/>
      <c r="L364" s="289"/>
      <c r="M364" s="81"/>
      <c r="N364" s="81"/>
      <c r="O364" s="289"/>
      <c r="P364" s="81"/>
      <c r="Q364" s="289"/>
      <c r="R364" s="81"/>
      <c r="S364" s="289"/>
      <c r="T364" s="81"/>
      <c r="U364" s="81"/>
      <c r="V364" s="81"/>
      <c r="W364" s="81"/>
      <c r="X364" s="81"/>
      <c r="Y364" s="81"/>
      <c r="Z364" s="81"/>
    </row>
    <row r="365" spans="1:26" ht="24" customHeight="1" x14ac:dyDescent="0.5">
      <c r="A365" s="81"/>
      <c r="B365" s="81"/>
      <c r="C365" s="81"/>
      <c r="D365" s="81"/>
      <c r="E365" s="81"/>
      <c r="F365" s="81"/>
      <c r="G365" s="81"/>
      <c r="H365" s="81"/>
      <c r="I365" s="289"/>
      <c r="J365" s="105"/>
      <c r="K365" s="81"/>
      <c r="L365" s="289"/>
      <c r="M365" s="81"/>
      <c r="N365" s="81"/>
      <c r="O365" s="289"/>
      <c r="P365" s="81"/>
      <c r="Q365" s="289"/>
      <c r="R365" s="81"/>
      <c r="S365" s="289"/>
      <c r="T365" s="81"/>
      <c r="U365" s="81"/>
      <c r="V365" s="81"/>
      <c r="W365" s="81"/>
      <c r="X365" s="81"/>
      <c r="Y365" s="81"/>
      <c r="Z365" s="81"/>
    </row>
    <row r="366" spans="1:26" ht="24" customHeight="1" x14ac:dyDescent="0.5">
      <c r="A366" s="81"/>
      <c r="B366" s="81"/>
      <c r="C366" s="81"/>
      <c r="D366" s="81"/>
      <c r="E366" s="81"/>
      <c r="F366" s="81"/>
      <c r="G366" s="81"/>
      <c r="H366" s="81"/>
      <c r="I366" s="289"/>
      <c r="J366" s="105"/>
      <c r="K366" s="81"/>
      <c r="L366" s="289"/>
      <c r="M366" s="81"/>
      <c r="N366" s="81"/>
      <c r="O366" s="289"/>
      <c r="P366" s="81"/>
      <c r="Q366" s="289"/>
      <c r="R366" s="81"/>
      <c r="S366" s="289"/>
      <c r="T366" s="81"/>
      <c r="U366" s="81"/>
      <c r="V366" s="81"/>
      <c r="W366" s="81"/>
      <c r="X366" s="81"/>
      <c r="Y366" s="81"/>
      <c r="Z366" s="81"/>
    </row>
    <row r="367" spans="1:26" ht="24" customHeight="1" x14ac:dyDescent="0.5">
      <c r="A367" s="81"/>
      <c r="B367" s="81"/>
      <c r="C367" s="81"/>
      <c r="D367" s="81"/>
      <c r="E367" s="81"/>
      <c r="F367" s="81"/>
      <c r="G367" s="81"/>
      <c r="H367" s="81"/>
      <c r="I367" s="289"/>
      <c r="J367" s="105"/>
      <c r="K367" s="81"/>
      <c r="L367" s="289"/>
      <c r="M367" s="81"/>
      <c r="N367" s="81"/>
      <c r="O367" s="289"/>
      <c r="P367" s="81"/>
      <c r="Q367" s="289"/>
      <c r="R367" s="81"/>
      <c r="S367" s="289"/>
      <c r="T367" s="81"/>
      <c r="U367" s="81"/>
      <c r="V367" s="81"/>
      <c r="W367" s="81"/>
      <c r="X367" s="81"/>
      <c r="Y367" s="81"/>
      <c r="Z367" s="81"/>
    </row>
    <row r="368" spans="1:26" ht="24" customHeight="1" x14ac:dyDescent="0.5">
      <c r="A368" s="81"/>
      <c r="B368" s="81"/>
      <c r="C368" s="81"/>
      <c r="D368" s="81"/>
      <c r="E368" s="81"/>
      <c r="F368" s="81"/>
      <c r="G368" s="81"/>
      <c r="H368" s="81"/>
      <c r="I368" s="289"/>
      <c r="J368" s="105"/>
      <c r="K368" s="81"/>
      <c r="L368" s="289"/>
      <c r="M368" s="81"/>
      <c r="N368" s="81"/>
      <c r="O368" s="289"/>
      <c r="P368" s="81"/>
      <c r="Q368" s="289"/>
      <c r="R368" s="81"/>
      <c r="S368" s="289"/>
      <c r="T368" s="81"/>
      <c r="U368" s="81"/>
      <c r="V368" s="81"/>
      <c r="W368" s="81"/>
      <c r="X368" s="81"/>
      <c r="Y368" s="81"/>
      <c r="Z368" s="81"/>
    </row>
    <row r="369" spans="1:26" ht="24" customHeight="1" x14ac:dyDescent="0.5">
      <c r="A369" s="81"/>
      <c r="B369" s="81"/>
      <c r="C369" s="81"/>
      <c r="D369" s="81"/>
      <c r="E369" s="81"/>
      <c r="F369" s="81"/>
      <c r="G369" s="81"/>
      <c r="H369" s="81"/>
      <c r="I369" s="289"/>
      <c r="J369" s="105"/>
      <c r="K369" s="81"/>
      <c r="L369" s="289"/>
      <c r="M369" s="81"/>
      <c r="N369" s="81"/>
      <c r="O369" s="289"/>
      <c r="P369" s="81"/>
      <c r="Q369" s="289"/>
      <c r="R369" s="81"/>
      <c r="S369" s="289"/>
      <c r="T369" s="81"/>
      <c r="U369" s="81"/>
      <c r="V369" s="81"/>
      <c r="W369" s="81"/>
      <c r="X369" s="81"/>
      <c r="Y369" s="81"/>
      <c r="Z369" s="81"/>
    </row>
    <row r="370" spans="1:26" ht="24" customHeight="1" x14ac:dyDescent="0.5">
      <c r="A370" s="81"/>
      <c r="B370" s="81"/>
      <c r="C370" s="81"/>
      <c r="D370" s="81"/>
      <c r="E370" s="81"/>
      <c r="F370" s="81"/>
      <c r="G370" s="81"/>
      <c r="H370" s="81"/>
      <c r="I370" s="289"/>
      <c r="J370" s="105"/>
      <c r="K370" s="81"/>
      <c r="L370" s="289"/>
      <c r="M370" s="81"/>
      <c r="N370" s="81"/>
      <c r="O370" s="289"/>
      <c r="P370" s="81"/>
      <c r="Q370" s="289"/>
      <c r="R370" s="81"/>
      <c r="S370" s="289"/>
      <c r="T370" s="81"/>
      <c r="U370" s="81"/>
      <c r="V370" s="81"/>
      <c r="W370" s="81"/>
      <c r="X370" s="81"/>
      <c r="Y370" s="81"/>
      <c r="Z370" s="81"/>
    </row>
    <row r="371" spans="1:26" ht="24" customHeight="1" x14ac:dyDescent="0.5">
      <c r="A371" s="81"/>
      <c r="B371" s="81"/>
      <c r="C371" s="81"/>
      <c r="D371" s="81"/>
      <c r="E371" s="81"/>
      <c r="F371" s="81"/>
      <c r="G371" s="81"/>
      <c r="H371" s="81"/>
      <c r="I371" s="289"/>
      <c r="J371" s="105"/>
      <c r="K371" s="81"/>
      <c r="L371" s="289"/>
      <c r="M371" s="81"/>
      <c r="N371" s="81"/>
      <c r="O371" s="289"/>
      <c r="P371" s="81"/>
      <c r="Q371" s="289"/>
      <c r="R371" s="81"/>
      <c r="S371" s="289"/>
      <c r="T371" s="81"/>
      <c r="U371" s="81"/>
      <c r="V371" s="81"/>
      <c r="W371" s="81"/>
      <c r="X371" s="81"/>
      <c r="Y371" s="81"/>
      <c r="Z371" s="81"/>
    </row>
    <row r="372" spans="1:26" ht="24" customHeight="1" x14ac:dyDescent="0.5">
      <c r="A372" s="81"/>
      <c r="B372" s="81"/>
      <c r="C372" s="81"/>
      <c r="D372" s="81"/>
      <c r="E372" s="81"/>
      <c r="F372" s="81"/>
      <c r="G372" s="81"/>
      <c r="H372" s="81"/>
      <c r="I372" s="289"/>
      <c r="J372" s="105"/>
      <c r="K372" s="81"/>
      <c r="L372" s="289"/>
      <c r="M372" s="81"/>
      <c r="N372" s="81"/>
      <c r="O372" s="289"/>
      <c r="P372" s="81"/>
      <c r="Q372" s="289"/>
      <c r="R372" s="81"/>
      <c r="S372" s="289"/>
      <c r="T372" s="81"/>
      <c r="U372" s="81"/>
      <c r="V372" s="81"/>
      <c r="W372" s="81"/>
      <c r="X372" s="81"/>
      <c r="Y372" s="81"/>
      <c r="Z372" s="81"/>
    </row>
    <row r="373" spans="1:26" ht="24" customHeight="1" x14ac:dyDescent="0.5">
      <c r="A373" s="81"/>
      <c r="B373" s="81"/>
      <c r="C373" s="81"/>
      <c r="D373" s="81"/>
      <c r="E373" s="81"/>
      <c r="F373" s="81"/>
      <c r="G373" s="81"/>
      <c r="H373" s="81"/>
      <c r="I373" s="289"/>
      <c r="J373" s="105"/>
      <c r="K373" s="81"/>
      <c r="L373" s="289"/>
      <c r="M373" s="81"/>
      <c r="N373" s="81"/>
      <c r="O373" s="289"/>
      <c r="P373" s="81"/>
      <c r="Q373" s="289"/>
      <c r="R373" s="81"/>
      <c r="S373" s="289"/>
      <c r="T373" s="81"/>
      <c r="U373" s="81"/>
      <c r="V373" s="81"/>
      <c r="W373" s="81"/>
      <c r="X373" s="81"/>
      <c r="Y373" s="81"/>
      <c r="Z373" s="81"/>
    </row>
    <row r="374" spans="1:26" ht="24" customHeight="1" x14ac:dyDescent="0.5">
      <c r="A374" s="81"/>
      <c r="B374" s="81"/>
      <c r="C374" s="81"/>
      <c r="D374" s="81"/>
      <c r="E374" s="81"/>
      <c r="F374" s="81"/>
      <c r="G374" s="81"/>
      <c r="H374" s="81"/>
      <c r="I374" s="289"/>
      <c r="J374" s="105"/>
      <c r="K374" s="81"/>
      <c r="L374" s="289"/>
      <c r="M374" s="81"/>
      <c r="N374" s="81"/>
      <c r="O374" s="289"/>
      <c r="P374" s="81"/>
      <c r="Q374" s="289"/>
      <c r="R374" s="81"/>
      <c r="S374" s="289"/>
      <c r="T374" s="81"/>
      <c r="U374" s="81"/>
      <c r="V374" s="81"/>
      <c r="W374" s="81"/>
      <c r="X374" s="81"/>
      <c r="Y374" s="81"/>
      <c r="Z374" s="81"/>
    </row>
    <row r="375" spans="1:26" ht="24" customHeight="1" x14ac:dyDescent="0.5">
      <c r="A375" s="81"/>
      <c r="B375" s="81"/>
      <c r="C375" s="81"/>
      <c r="D375" s="81"/>
      <c r="E375" s="81"/>
      <c r="F375" s="81"/>
      <c r="G375" s="81"/>
      <c r="H375" s="81"/>
      <c r="I375" s="289"/>
      <c r="J375" s="105"/>
      <c r="K375" s="81"/>
      <c r="L375" s="289"/>
      <c r="M375" s="81"/>
      <c r="N375" s="81"/>
      <c r="O375" s="289"/>
      <c r="P375" s="81"/>
      <c r="Q375" s="289"/>
      <c r="R375" s="81"/>
      <c r="S375" s="289"/>
      <c r="T375" s="81"/>
      <c r="U375" s="81"/>
      <c r="V375" s="81"/>
      <c r="W375" s="81"/>
      <c r="X375" s="81"/>
      <c r="Y375" s="81"/>
      <c r="Z375" s="81"/>
    </row>
    <row r="376" spans="1:26" ht="24" customHeight="1" x14ac:dyDescent="0.5">
      <c r="A376" s="81"/>
      <c r="B376" s="81"/>
      <c r="C376" s="81"/>
      <c r="D376" s="81"/>
      <c r="E376" s="81"/>
      <c r="F376" s="81"/>
      <c r="G376" s="81"/>
      <c r="H376" s="81"/>
      <c r="I376" s="289"/>
      <c r="J376" s="105"/>
      <c r="K376" s="81"/>
      <c r="L376" s="289"/>
      <c r="M376" s="81"/>
      <c r="N376" s="81"/>
      <c r="O376" s="289"/>
      <c r="P376" s="81"/>
      <c r="Q376" s="289"/>
      <c r="R376" s="81"/>
      <c r="S376" s="289"/>
      <c r="T376" s="81"/>
      <c r="U376" s="81"/>
      <c r="V376" s="81"/>
      <c r="W376" s="81"/>
      <c r="X376" s="81"/>
      <c r="Y376" s="81"/>
      <c r="Z376" s="81"/>
    </row>
    <row r="377" spans="1:26" ht="24" customHeight="1" x14ac:dyDescent="0.5">
      <c r="A377" s="81"/>
      <c r="B377" s="81"/>
      <c r="C377" s="81"/>
      <c r="D377" s="81"/>
      <c r="E377" s="81"/>
      <c r="F377" s="81"/>
      <c r="G377" s="81"/>
      <c r="H377" s="81"/>
      <c r="I377" s="289"/>
      <c r="J377" s="105"/>
      <c r="K377" s="81"/>
      <c r="L377" s="289"/>
      <c r="M377" s="81"/>
      <c r="N377" s="81"/>
      <c r="O377" s="289"/>
      <c r="P377" s="81"/>
      <c r="Q377" s="289"/>
      <c r="R377" s="81"/>
      <c r="S377" s="289"/>
      <c r="T377" s="81"/>
      <c r="U377" s="81"/>
      <c r="V377" s="81"/>
      <c r="W377" s="81"/>
      <c r="X377" s="81"/>
      <c r="Y377" s="81"/>
      <c r="Z377" s="81"/>
    </row>
    <row r="378" spans="1:26" ht="24" customHeight="1" x14ac:dyDescent="0.5">
      <c r="A378" s="81"/>
      <c r="B378" s="81"/>
      <c r="C378" s="81"/>
      <c r="D378" s="81"/>
      <c r="E378" s="81"/>
      <c r="F378" s="81"/>
      <c r="G378" s="81"/>
      <c r="H378" s="81"/>
      <c r="I378" s="289"/>
      <c r="J378" s="105"/>
      <c r="K378" s="81"/>
      <c r="L378" s="289"/>
      <c r="M378" s="81"/>
      <c r="N378" s="81"/>
      <c r="O378" s="289"/>
      <c r="P378" s="81"/>
      <c r="Q378" s="289"/>
      <c r="R378" s="81"/>
      <c r="S378" s="289"/>
      <c r="T378" s="81"/>
      <c r="U378" s="81"/>
      <c r="V378" s="81"/>
      <c r="W378" s="81"/>
      <c r="X378" s="81"/>
      <c r="Y378" s="81"/>
      <c r="Z378" s="81"/>
    </row>
    <row r="379" spans="1:26" ht="24" customHeight="1" x14ac:dyDescent="0.5">
      <c r="A379" s="81"/>
      <c r="B379" s="81"/>
      <c r="C379" s="81"/>
      <c r="D379" s="81"/>
      <c r="E379" s="81"/>
      <c r="F379" s="81"/>
      <c r="G379" s="81"/>
      <c r="H379" s="81"/>
      <c r="I379" s="289"/>
      <c r="J379" s="105"/>
      <c r="K379" s="81"/>
      <c r="L379" s="289"/>
      <c r="M379" s="81"/>
      <c r="N379" s="81"/>
      <c r="O379" s="289"/>
      <c r="P379" s="81"/>
      <c r="Q379" s="289"/>
      <c r="R379" s="81"/>
      <c r="S379" s="289"/>
      <c r="T379" s="81"/>
      <c r="U379" s="81"/>
      <c r="V379" s="81"/>
      <c r="W379" s="81"/>
      <c r="X379" s="81"/>
      <c r="Y379" s="81"/>
      <c r="Z379" s="81"/>
    </row>
    <row r="380" spans="1:26" ht="24" customHeight="1" x14ac:dyDescent="0.5">
      <c r="A380" s="81"/>
      <c r="B380" s="81"/>
      <c r="C380" s="81"/>
      <c r="D380" s="81"/>
      <c r="E380" s="81"/>
      <c r="F380" s="81"/>
      <c r="G380" s="81"/>
      <c r="H380" s="81"/>
      <c r="I380" s="289"/>
      <c r="J380" s="105"/>
      <c r="K380" s="81"/>
      <c r="L380" s="289"/>
      <c r="M380" s="81"/>
      <c r="N380" s="81"/>
      <c r="O380" s="289"/>
      <c r="P380" s="81"/>
      <c r="Q380" s="289"/>
      <c r="R380" s="81"/>
      <c r="S380" s="289"/>
      <c r="T380" s="81"/>
      <c r="U380" s="81"/>
      <c r="V380" s="81"/>
      <c r="W380" s="81"/>
      <c r="X380" s="81"/>
      <c r="Y380" s="81"/>
      <c r="Z380" s="81"/>
    </row>
    <row r="381" spans="1:26" ht="24" customHeight="1" x14ac:dyDescent="0.5">
      <c r="A381" s="81"/>
      <c r="B381" s="81"/>
      <c r="C381" s="81"/>
      <c r="D381" s="81"/>
      <c r="E381" s="81"/>
      <c r="F381" s="81"/>
      <c r="G381" s="81"/>
      <c r="H381" s="81"/>
      <c r="I381" s="289"/>
      <c r="J381" s="105"/>
      <c r="K381" s="81"/>
      <c r="L381" s="289"/>
      <c r="M381" s="81"/>
      <c r="N381" s="81"/>
      <c r="O381" s="289"/>
      <c r="P381" s="81"/>
      <c r="Q381" s="289"/>
      <c r="R381" s="81"/>
      <c r="S381" s="289"/>
      <c r="T381" s="81"/>
      <c r="U381" s="81"/>
      <c r="V381" s="81"/>
      <c r="W381" s="81"/>
      <c r="X381" s="81"/>
      <c r="Y381" s="81"/>
      <c r="Z381" s="81"/>
    </row>
    <row r="382" spans="1:26" ht="24" customHeight="1" x14ac:dyDescent="0.5">
      <c r="A382" s="81"/>
      <c r="B382" s="81"/>
      <c r="C382" s="81"/>
      <c r="D382" s="81"/>
      <c r="E382" s="81"/>
      <c r="F382" s="81"/>
      <c r="G382" s="81"/>
      <c r="H382" s="81"/>
      <c r="I382" s="289"/>
      <c r="J382" s="105"/>
      <c r="K382" s="81"/>
      <c r="L382" s="289"/>
      <c r="M382" s="81"/>
      <c r="N382" s="81"/>
      <c r="O382" s="289"/>
      <c r="P382" s="81"/>
      <c r="Q382" s="289"/>
      <c r="R382" s="81"/>
      <c r="S382" s="289"/>
      <c r="T382" s="81"/>
      <c r="U382" s="81"/>
      <c r="V382" s="81"/>
      <c r="W382" s="81"/>
      <c r="X382" s="81"/>
      <c r="Y382" s="81"/>
      <c r="Z382" s="81"/>
    </row>
    <row r="383" spans="1:26" ht="24" customHeight="1" x14ac:dyDescent="0.5">
      <c r="A383" s="81"/>
      <c r="B383" s="81"/>
      <c r="C383" s="81"/>
      <c r="D383" s="81"/>
      <c r="E383" s="81"/>
      <c r="F383" s="81"/>
      <c r="G383" s="81"/>
      <c r="H383" s="81"/>
      <c r="I383" s="289"/>
      <c r="J383" s="105"/>
      <c r="K383" s="81"/>
      <c r="L383" s="289"/>
      <c r="M383" s="81"/>
      <c r="N383" s="81"/>
      <c r="O383" s="289"/>
      <c r="P383" s="81"/>
      <c r="Q383" s="289"/>
      <c r="R383" s="81"/>
      <c r="S383" s="289"/>
      <c r="T383" s="81"/>
      <c r="U383" s="81"/>
      <c r="V383" s="81"/>
      <c r="W383" s="81"/>
      <c r="X383" s="81"/>
      <c r="Y383" s="81"/>
      <c r="Z383" s="81"/>
    </row>
    <row r="384" spans="1:26" ht="24" customHeight="1" x14ac:dyDescent="0.5">
      <c r="A384" s="81"/>
      <c r="B384" s="81"/>
      <c r="C384" s="81"/>
      <c r="D384" s="81"/>
      <c r="E384" s="81"/>
      <c r="F384" s="81"/>
      <c r="G384" s="81"/>
      <c r="H384" s="81"/>
      <c r="I384" s="289"/>
      <c r="J384" s="105"/>
      <c r="K384" s="81"/>
      <c r="L384" s="289"/>
      <c r="M384" s="81"/>
      <c r="N384" s="81"/>
      <c r="O384" s="289"/>
      <c r="P384" s="81"/>
      <c r="Q384" s="289"/>
      <c r="R384" s="81"/>
      <c r="S384" s="289"/>
      <c r="T384" s="81"/>
      <c r="U384" s="81"/>
      <c r="V384" s="81"/>
      <c r="W384" s="81"/>
      <c r="X384" s="81"/>
      <c r="Y384" s="81"/>
      <c r="Z384" s="81"/>
    </row>
    <row r="385" spans="1:26" ht="24" customHeight="1" x14ac:dyDescent="0.5">
      <c r="A385" s="81"/>
      <c r="B385" s="81"/>
      <c r="C385" s="81"/>
      <c r="D385" s="81"/>
      <c r="E385" s="81"/>
      <c r="F385" s="81"/>
      <c r="G385" s="81"/>
      <c r="H385" s="81"/>
      <c r="I385" s="289"/>
      <c r="J385" s="105"/>
      <c r="K385" s="81"/>
      <c r="L385" s="289"/>
      <c r="M385" s="81"/>
      <c r="N385" s="81"/>
      <c r="O385" s="289"/>
      <c r="P385" s="81"/>
      <c r="Q385" s="289"/>
      <c r="R385" s="81"/>
      <c r="S385" s="289"/>
      <c r="T385" s="81"/>
      <c r="U385" s="81"/>
      <c r="V385" s="81"/>
      <c r="W385" s="81"/>
      <c r="X385" s="81"/>
      <c r="Y385" s="81"/>
      <c r="Z385" s="81"/>
    </row>
    <row r="386" spans="1:26" ht="24" customHeight="1" x14ac:dyDescent="0.5">
      <c r="A386" s="81"/>
      <c r="B386" s="81"/>
      <c r="C386" s="81"/>
      <c r="D386" s="81"/>
      <c r="E386" s="81"/>
      <c r="F386" s="81"/>
      <c r="G386" s="81"/>
      <c r="H386" s="81"/>
      <c r="I386" s="289"/>
      <c r="J386" s="105"/>
      <c r="K386" s="81"/>
      <c r="L386" s="289"/>
      <c r="M386" s="81"/>
      <c r="N386" s="81"/>
      <c r="O386" s="289"/>
      <c r="P386" s="81"/>
      <c r="Q386" s="289"/>
      <c r="R386" s="81"/>
      <c r="S386" s="289"/>
      <c r="T386" s="81"/>
      <c r="U386" s="81"/>
      <c r="V386" s="81"/>
      <c r="W386" s="81"/>
      <c r="X386" s="81"/>
      <c r="Y386" s="81"/>
      <c r="Z386" s="81"/>
    </row>
    <row r="387" spans="1:26" ht="24" customHeight="1" x14ac:dyDescent="0.5">
      <c r="A387" s="81"/>
      <c r="B387" s="81"/>
      <c r="C387" s="81"/>
      <c r="D387" s="81"/>
      <c r="E387" s="81"/>
      <c r="F387" s="81"/>
      <c r="G387" s="81"/>
      <c r="H387" s="81"/>
      <c r="I387" s="289"/>
      <c r="J387" s="105"/>
      <c r="K387" s="81"/>
      <c r="L387" s="289"/>
      <c r="M387" s="81"/>
      <c r="N387" s="81"/>
      <c r="O387" s="289"/>
      <c r="P387" s="81"/>
      <c r="Q387" s="289"/>
      <c r="R387" s="81"/>
      <c r="S387" s="289"/>
      <c r="T387" s="81"/>
      <c r="U387" s="81"/>
      <c r="V387" s="81"/>
      <c r="W387" s="81"/>
      <c r="X387" s="81"/>
      <c r="Y387" s="81"/>
      <c r="Z387" s="81"/>
    </row>
    <row r="388" spans="1:26" ht="24" customHeight="1" x14ac:dyDescent="0.5">
      <c r="A388" s="81"/>
      <c r="B388" s="81"/>
      <c r="C388" s="81"/>
      <c r="D388" s="81"/>
      <c r="E388" s="81"/>
      <c r="F388" s="81"/>
      <c r="G388" s="81"/>
      <c r="H388" s="81"/>
      <c r="I388" s="289"/>
      <c r="J388" s="105"/>
      <c r="K388" s="81"/>
      <c r="L388" s="289"/>
      <c r="M388" s="81"/>
      <c r="N388" s="81"/>
      <c r="O388" s="289"/>
      <c r="P388" s="81"/>
      <c r="Q388" s="289"/>
      <c r="R388" s="81"/>
      <c r="S388" s="289"/>
      <c r="T388" s="81"/>
      <c r="U388" s="81"/>
      <c r="V388" s="81"/>
      <c r="W388" s="81"/>
      <c r="X388" s="81"/>
      <c r="Y388" s="81"/>
      <c r="Z388" s="81"/>
    </row>
    <row r="389" spans="1:26" ht="24" customHeight="1" x14ac:dyDescent="0.5">
      <c r="A389" s="81"/>
      <c r="B389" s="81"/>
      <c r="C389" s="81"/>
      <c r="D389" s="81"/>
      <c r="E389" s="81"/>
      <c r="F389" s="81"/>
      <c r="G389" s="81"/>
      <c r="H389" s="81"/>
      <c r="I389" s="289"/>
      <c r="J389" s="105"/>
      <c r="K389" s="81"/>
      <c r="L389" s="289"/>
      <c r="M389" s="81"/>
      <c r="N389" s="81"/>
      <c r="O389" s="289"/>
      <c r="P389" s="81"/>
      <c r="Q389" s="289"/>
      <c r="R389" s="81"/>
      <c r="S389" s="289"/>
      <c r="T389" s="81"/>
      <c r="U389" s="81"/>
      <c r="V389" s="81"/>
      <c r="W389" s="81"/>
      <c r="X389" s="81"/>
      <c r="Y389" s="81"/>
      <c r="Z389" s="81"/>
    </row>
    <row r="390" spans="1:26" ht="24" customHeight="1" x14ac:dyDescent="0.5">
      <c r="A390" s="81"/>
      <c r="B390" s="81"/>
      <c r="C390" s="81"/>
      <c r="D390" s="81"/>
      <c r="E390" s="81"/>
      <c r="F390" s="81"/>
      <c r="G390" s="81"/>
      <c r="H390" s="81"/>
      <c r="I390" s="289"/>
      <c r="J390" s="105"/>
      <c r="K390" s="81"/>
      <c r="L390" s="289"/>
      <c r="M390" s="81"/>
      <c r="N390" s="81"/>
      <c r="O390" s="289"/>
      <c r="P390" s="81"/>
      <c r="Q390" s="289"/>
      <c r="R390" s="81"/>
      <c r="S390" s="289"/>
      <c r="T390" s="81"/>
      <c r="U390" s="81"/>
      <c r="V390" s="81"/>
      <c r="W390" s="81"/>
      <c r="X390" s="81"/>
      <c r="Y390" s="81"/>
      <c r="Z390" s="81"/>
    </row>
    <row r="391" spans="1:26" ht="24" customHeight="1" x14ac:dyDescent="0.5">
      <c r="A391" s="81"/>
      <c r="B391" s="81"/>
      <c r="C391" s="81"/>
      <c r="D391" s="81"/>
      <c r="E391" s="81"/>
      <c r="F391" s="81"/>
      <c r="G391" s="81"/>
      <c r="H391" s="81"/>
      <c r="I391" s="289"/>
      <c r="J391" s="105"/>
      <c r="K391" s="81"/>
      <c r="L391" s="289"/>
      <c r="M391" s="81"/>
      <c r="N391" s="81"/>
      <c r="O391" s="289"/>
      <c r="P391" s="81"/>
      <c r="Q391" s="289"/>
      <c r="R391" s="81"/>
      <c r="S391" s="289"/>
      <c r="T391" s="81"/>
      <c r="U391" s="81"/>
      <c r="V391" s="81"/>
      <c r="W391" s="81"/>
      <c r="X391" s="81"/>
      <c r="Y391" s="81"/>
      <c r="Z391" s="81"/>
    </row>
    <row r="392" spans="1:26" ht="24" customHeight="1" x14ac:dyDescent="0.5">
      <c r="A392" s="81"/>
      <c r="B392" s="81"/>
      <c r="C392" s="81"/>
      <c r="D392" s="81"/>
      <c r="E392" s="81"/>
      <c r="F392" s="81"/>
      <c r="G392" s="81"/>
      <c r="H392" s="81"/>
      <c r="I392" s="289"/>
      <c r="J392" s="105"/>
      <c r="K392" s="81"/>
      <c r="L392" s="289"/>
      <c r="M392" s="81"/>
      <c r="N392" s="81"/>
      <c r="O392" s="289"/>
      <c r="P392" s="81"/>
      <c r="Q392" s="289"/>
      <c r="R392" s="81"/>
      <c r="S392" s="289"/>
      <c r="T392" s="81"/>
      <c r="U392" s="81"/>
      <c r="V392" s="81"/>
      <c r="W392" s="81"/>
      <c r="X392" s="81"/>
      <c r="Y392" s="81"/>
      <c r="Z392" s="81"/>
    </row>
    <row r="393" spans="1:26" ht="24" customHeight="1" x14ac:dyDescent="0.5">
      <c r="A393" s="81"/>
      <c r="B393" s="81"/>
      <c r="C393" s="81"/>
      <c r="D393" s="81"/>
      <c r="E393" s="81"/>
      <c r="F393" s="81"/>
      <c r="G393" s="81"/>
      <c r="H393" s="81"/>
      <c r="I393" s="289"/>
      <c r="J393" s="105"/>
      <c r="K393" s="81"/>
      <c r="L393" s="289"/>
      <c r="M393" s="81"/>
      <c r="N393" s="81"/>
      <c r="O393" s="289"/>
      <c r="P393" s="81"/>
      <c r="Q393" s="289"/>
      <c r="R393" s="81"/>
      <c r="S393" s="289"/>
      <c r="T393" s="81"/>
      <c r="U393" s="81"/>
      <c r="V393" s="81"/>
      <c r="W393" s="81"/>
      <c r="X393" s="81"/>
      <c r="Y393" s="81"/>
      <c r="Z393" s="81"/>
    </row>
    <row r="394" spans="1:26" ht="24" customHeight="1" x14ac:dyDescent="0.5">
      <c r="A394" s="81"/>
      <c r="B394" s="81"/>
      <c r="C394" s="81"/>
      <c r="D394" s="81"/>
      <c r="E394" s="81"/>
      <c r="F394" s="81"/>
      <c r="G394" s="81"/>
      <c r="H394" s="81"/>
      <c r="I394" s="289"/>
      <c r="J394" s="105"/>
      <c r="K394" s="81"/>
      <c r="L394" s="289"/>
      <c r="M394" s="81"/>
      <c r="N394" s="81"/>
      <c r="O394" s="289"/>
      <c r="P394" s="81"/>
      <c r="Q394" s="289"/>
      <c r="R394" s="81"/>
      <c r="S394" s="289"/>
      <c r="T394" s="81"/>
      <c r="U394" s="81"/>
      <c r="V394" s="81"/>
      <c r="W394" s="81"/>
      <c r="X394" s="81"/>
      <c r="Y394" s="81"/>
      <c r="Z394" s="81"/>
    </row>
    <row r="395" spans="1:26" ht="24" customHeight="1" x14ac:dyDescent="0.5">
      <c r="A395" s="81"/>
      <c r="B395" s="81"/>
      <c r="C395" s="81"/>
      <c r="D395" s="81"/>
      <c r="E395" s="81"/>
      <c r="F395" s="81"/>
      <c r="G395" s="81"/>
      <c r="H395" s="81"/>
      <c r="I395" s="289"/>
      <c r="J395" s="105"/>
      <c r="K395" s="81"/>
      <c r="L395" s="289"/>
      <c r="M395" s="81"/>
      <c r="N395" s="81"/>
      <c r="O395" s="289"/>
      <c r="P395" s="81"/>
      <c r="Q395" s="289"/>
      <c r="R395" s="81"/>
      <c r="S395" s="289"/>
      <c r="T395" s="81"/>
      <c r="U395" s="81"/>
      <c r="V395" s="81"/>
      <c r="W395" s="81"/>
      <c r="X395" s="81"/>
      <c r="Y395" s="81"/>
      <c r="Z395" s="81"/>
    </row>
    <row r="396" spans="1:26" ht="24" customHeight="1" x14ac:dyDescent="0.5">
      <c r="A396" s="81"/>
      <c r="B396" s="81"/>
      <c r="C396" s="81"/>
      <c r="D396" s="81"/>
      <c r="E396" s="81"/>
      <c r="F396" s="81"/>
      <c r="G396" s="81"/>
      <c r="H396" s="81"/>
      <c r="I396" s="289"/>
      <c r="J396" s="105"/>
      <c r="K396" s="81"/>
      <c r="L396" s="289"/>
      <c r="M396" s="81"/>
      <c r="N396" s="81"/>
      <c r="O396" s="289"/>
      <c r="P396" s="81"/>
      <c r="Q396" s="289"/>
      <c r="R396" s="81"/>
      <c r="S396" s="289"/>
      <c r="T396" s="81"/>
      <c r="U396" s="81"/>
      <c r="V396" s="81"/>
      <c r="W396" s="81"/>
      <c r="X396" s="81"/>
      <c r="Y396" s="81"/>
      <c r="Z396" s="81"/>
    </row>
    <row r="397" spans="1:26" ht="24" customHeight="1" x14ac:dyDescent="0.5">
      <c r="A397" s="81"/>
      <c r="B397" s="81"/>
      <c r="C397" s="81"/>
      <c r="D397" s="81"/>
      <c r="E397" s="81"/>
      <c r="F397" s="81"/>
      <c r="G397" s="81"/>
      <c r="H397" s="81"/>
      <c r="I397" s="289"/>
      <c r="J397" s="105"/>
      <c r="K397" s="81"/>
      <c r="L397" s="289"/>
      <c r="M397" s="81"/>
      <c r="N397" s="81"/>
      <c r="O397" s="289"/>
      <c r="P397" s="81"/>
      <c r="Q397" s="289"/>
      <c r="R397" s="81"/>
      <c r="S397" s="289"/>
      <c r="T397" s="81"/>
      <c r="U397" s="81"/>
      <c r="V397" s="81"/>
      <c r="W397" s="81"/>
      <c r="X397" s="81"/>
      <c r="Y397" s="81"/>
      <c r="Z397" s="81"/>
    </row>
    <row r="398" spans="1:26" ht="24" customHeight="1" x14ac:dyDescent="0.5">
      <c r="A398" s="81"/>
      <c r="B398" s="81"/>
      <c r="C398" s="81"/>
      <c r="D398" s="81"/>
      <c r="E398" s="81"/>
      <c r="F398" s="81"/>
      <c r="G398" s="81"/>
      <c r="H398" s="81"/>
      <c r="I398" s="289"/>
      <c r="J398" s="105"/>
      <c r="K398" s="81"/>
      <c r="L398" s="289"/>
      <c r="M398" s="81"/>
      <c r="N398" s="81"/>
      <c r="O398" s="289"/>
      <c r="P398" s="81"/>
      <c r="Q398" s="289"/>
      <c r="R398" s="81"/>
      <c r="S398" s="289"/>
      <c r="T398" s="81"/>
      <c r="U398" s="81"/>
      <c r="V398" s="81"/>
      <c r="W398" s="81"/>
      <c r="X398" s="81"/>
      <c r="Y398" s="81"/>
      <c r="Z398" s="81"/>
    </row>
    <row r="399" spans="1:26" ht="24" customHeight="1" x14ac:dyDescent="0.5">
      <c r="A399" s="81"/>
      <c r="B399" s="81"/>
      <c r="C399" s="81"/>
      <c r="D399" s="81"/>
      <c r="E399" s="81"/>
      <c r="F399" s="81"/>
      <c r="G399" s="81"/>
      <c r="H399" s="81"/>
      <c r="I399" s="289"/>
      <c r="J399" s="105"/>
      <c r="K399" s="81"/>
      <c r="L399" s="289"/>
      <c r="M399" s="81"/>
      <c r="N399" s="81"/>
      <c r="O399" s="289"/>
      <c r="P399" s="81"/>
      <c r="Q399" s="289"/>
      <c r="R399" s="81"/>
      <c r="S399" s="289"/>
      <c r="T399" s="81"/>
      <c r="U399" s="81"/>
      <c r="V399" s="81"/>
      <c r="W399" s="81"/>
      <c r="X399" s="81"/>
      <c r="Y399" s="81"/>
      <c r="Z399" s="81"/>
    </row>
    <row r="400" spans="1:26" ht="24" customHeight="1" x14ac:dyDescent="0.5">
      <c r="A400" s="81"/>
      <c r="B400" s="81"/>
      <c r="C400" s="81"/>
      <c r="D400" s="81"/>
      <c r="E400" s="81"/>
      <c r="F400" s="81"/>
      <c r="G400" s="81"/>
      <c r="H400" s="81"/>
      <c r="I400" s="289"/>
      <c r="J400" s="105"/>
      <c r="K400" s="81"/>
      <c r="L400" s="289"/>
      <c r="M400" s="81"/>
      <c r="N400" s="81"/>
      <c r="O400" s="289"/>
      <c r="P400" s="81"/>
      <c r="Q400" s="289"/>
      <c r="R400" s="81"/>
      <c r="S400" s="289"/>
      <c r="T400" s="81"/>
      <c r="U400" s="81"/>
      <c r="V400" s="81"/>
      <c r="W400" s="81"/>
      <c r="X400" s="81"/>
      <c r="Y400" s="81"/>
      <c r="Z400" s="81"/>
    </row>
    <row r="401" spans="1:26" ht="24" customHeight="1" x14ac:dyDescent="0.5">
      <c r="A401" s="81"/>
      <c r="B401" s="81"/>
      <c r="C401" s="81"/>
      <c r="D401" s="81"/>
      <c r="E401" s="81"/>
      <c r="F401" s="81"/>
      <c r="G401" s="81"/>
      <c r="H401" s="81"/>
      <c r="I401" s="289"/>
      <c r="J401" s="105"/>
      <c r="K401" s="81"/>
      <c r="L401" s="289"/>
      <c r="M401" s="81"/>
      <c r="N401" s="81"/>
      <c r="O401" s="289"/>
      <c r="P401" s="81"/>
      <c r="Q401" s="289"/>
      <c r="R401" s="81"/>
      <c r="S401" s="289"/>
      <c r="T401" s="81"/>
      <c r="U401" s="81"/>
      <c r="V401" s="81"/>
      <c r="W401" s="81"/>
      <c r="X401" s="81"/>
      <c r="Y401" s="81"/>
      <c r="Z401" s="81"/>
    </row>
    <row r="402" spans="1:26" ht="24" customHeight="1" x14ac:dyDescent="0.5">
      <c r="A402" s="81"/>
      <c r="B402" s="81"/>
      <c r="C402" s="81"/>
      <c r="D402" s="81"/>
      <c r="E402" s="81"/>
      <c r="F402" s="81"/>
      <c r="G402" s="81"/>
      <c r="H402" s="81"/>
      <c r="I402" s="289"/>
      <c r="J402" s="105"/>
      <c r="K402" s="81"/>
      <c r="L402" s="289"/>
      <c r="M402" s="81"/>
      <c r="N402" s="81"/>
      <c r="O402" s="289"/>
      <c r="P402" s="81"/>
      <c r="Q402" s="289"/>
      <c r="R402" s="81"/>
      <c r="S402" s="289"/>
      <c r="T402" s="81"/>
      <c r="U402" s="81"/>
      <c r="V402" s="81"/>
      <c r="W402" s="81"/>
      <c r="X402" s="81"/>
      <c r="Y402" s="81"/>
      <c r="Z402" s="81"/>
    </row>
    <row r="403" spans="1:26" ht="24" customHeight="1" x14ac:dyDescent="0.5">
      <c r="A403" s="81"/>
      <c r="B403" s="81"/>
      <c r="C403" s="81"/>
      <c r="D403" s="81"/>
      <c r="E403" s="81"/>
      <c r="F403" s="81"/>
      <c r="G403" s="81"/>
      <c r="H403" s="81"/>
      <c r="I403" s="289"/>
      <c r="J403" s="105"/>
      <c r="K403" s="81"/>
      <c r="L403" s="289"/>
      <c r="M403" s="81"/>
      <c r="N403" s="81"/>
      <c r="O403" s="289"/>
      <c r="P403" s="81"/>
      <c r="Q403" s="289"/>
      <c r="R403" s="81"/>
      <c r="S403" s="289"/>
      <c r="T403" s="81"/>
      <c r="U403" s="81"/>
      <c r="V403" s="81"/>
      <c r="W403" s="81"/>
      <c r="X403" s="81"/>
      <c r="Y403" s="81"/>
      <c r="Z403" s="81"/>
    </row>
    <row r="404" spans="1:26" ht="24" customHeight="1" x14ac:dyDescent="0.5">
      <c r="A404" s="81"/>
      <c r="B404" s="81"/>
      <c r="C404" s="81"/>
      <c r="D404" s="81"/>
      <c r="E404" s="81"/>
      <c r="F404" s="81"/>
      <c r="G404" s="81"/>
      <c r="H404" s="81"/>
      <c r="I404" s="289"/>
      <c r="J404" s="105"/>
      <c r="K404" s="81"/>
      <c r="L404" s="289"/>
      <c r="M404" s="81"/>
      <c r="N404" s="81"/>
      <c r="O404" s="289"/>
      <c r="P404" s="81"/>
      <c r="Q404" s="289"/>
      <c r="R404" s="81"/>
      <c r="S404" s="289"/>
      <c r="T404" s="81"/>
      <c r="U404" s="81"/>
      <c r="V404" s="81"/>
      <c r="W404" s="81"/>
      <c r="X404" s="81"/>
      <c r="Y404" s="81"/>
      <c r="Z404" s="81"/>
    </row>
    <row r="405" spans="1:26" ht="24" customHeight="1" x14ac:dyDescent="0.5">
      <c r="A405" s="81"/>
      <c r="B405" s="81"/>
      <c r="C405" s="81"/>
      <c r="D405" s="81"/>
      <c r="E405" s="81"/>
      <c r="F405" s="81"/>
      <c r="G405" s="81"/>
      <c r="H405" s="81"/>
      <c r="I405" s="289"/>
      <c r="J405" s="105"/>
      <c r="K405" s="81"/>
      <c r="L405" s="289"/>
      <c r="M405" s="81"/>
      <c r="N405" s="81"/>
      <c r="O405" s="289"/>
      <c r="P405" s="81"/>
      <c r="Q405" s="289"/>
      <c r="R405" s="81"/>
      <c r="S405" s="289"/>
      <c r="T405" s="81"/>
      <c r="U405" s="81"/>
      <c r="V405" s="81"/>
      <c r="W405" s="81"/>
      <c r="X405" s="81"/>
      <c r="Y405" s="81"/>
      <c r="Z405" s="81"/>
    </row>
    <row r="406" spans="1:26" ht="24" customHeight="1" x14ac:dyDescent="0.5">
      <c r="A406" s="81"/>
      <c r="B406" s="81"/>
      <c r="C406" s="81"/>
      <c r="D406" s="81"/>
      <c r="E406" s="81"/>
      <c r="F406" s="81"/>
      <c r="G406" s="81"/>
      <c r="H406" s="81"/>
      <c r="I406" s="289"/>
      <c r="J406" s="105"/>
      <c r="K406" s="81"/>
      <c r="L406" s="289"/>
      <c r="M406" s="81"/>
      <c r="N406" s="81"/>
      <c r="O406" s="289"/>
      <c r="P406" s="81"/>
      <c r="Q406" s="289"/>
      <c r="R406" s="81"/>
      <c r="S406" s="289"/>
      <c r="T406" s="81"/>
      <c r="U406" s="81"/>
      <c r="V406" s="81"/>
      <c r="W406" s="81"/>
      <c r="X406" s="81"/>
      <c r="Y406" s="81"/>
      <c r="Z406" s="81"/>
    </row>
    <row r="407" spans="1:26" ht="24" customHeight="1" x14ac:dyDescent="0.5">
      <c r="A407" s="81"/>
      <c r="B407" s="81"/>
      <c r="C407" s="81"/>
      <c r="D407" s="81"/>
      <c r="E407" s="81"/>
      <c r="F407" s="81"/>
      <c r="G407" s="81"/>
      <c r="H407" s="81"/>
      <c r="I407" s="289"/>
      <c r="J407" s="105"/>
      <c r="K407" s="81"/>
      <c r="L407" s="289"/>
      <c r="M407" s="81"/>
      <c r="N407" s="81"/>
      <c r="O407" s="289"/>
      <c r="P407" s="81"/>
      <c r="Q407" s="289"/>
      <c r="R407" s="81"/>
      <c r="S407" s="289"/>
      <c r="T407" s="81"/>
      <c r="U407" s="81"/>
      <c r="V407" s="81"/>
      <c r="W407" s="81"/>
      <c r="X407" s="81"/>
      <c r="Y407" s="81"/>
      <c r="Z407" s="81"/>
    </row>
    <row r="408" spans="1:26" ht="24" customHeight="1" x14ac:dyDescent="0.5">
      <c r="A408" s="81"/>
      <c r="B408" s="81"/>
      <c r="C408" s="81"/>
      <c r="D408" s="81"/>
      <c r="E408" s="81"/>
      <c r="F408" s="81"/>
      <c r="G408" s="81"/>
      <c r="H408" s="81"/>
      <c r="I408" s="289"/>
      <c r="J408" s="105"/>
      <c r="K408" s="81"/>
      <c r="L408" s="289"/>
      <c r="M408" s="81"/>
      <c r="N408" s="81"/>
      <c r="O408" s="289"/>
      <c r="P408" s="81"/>
      <c r="Q408" s="289"/>
      <c r="R408" s="81"/>
      <c r="S408" s="289"/>
      <c r="T408" s="81"/>
      <c r="U408" s="81"/>
      <c r="V408" s="81"/>
      <c r="W408" s="81"/>
      <c r="X408" s="81"/>
      <c r="Y408" s="81"/>
      <c r="Z408" s="81"/>
    </row>
    <row r="409" spans="1:26" ht="24" customHeight="1" x14ac:dyDescent="0.5">
      <c r="A409" s="81"/>
      <c r="B409" s="81"/>
      <c r="C409" s="81"/>
      <c r="D409" s="81"/>
      <c r="E409" s="81"/>
      <c r="F409" s="81"/>
      <c r="G409" s="81"/>
      <c r="H409" s="81"/>
      <c r="I409" s="289"/>
      <c r="J409" s="105"/>
      <c r="K409" s="81"/>
      <c r="L409" s="289"/>
      <c r="M409" s="81"/>
      <c r="N409" s="81"/>
      <c r="O409" s="289"/>
      <c r="P409" s="81"/>
      <c r="Q409" s="289"/>
      <c r="R409" s="81"/>
      <c r="S409" s="289"/>
      <c r="T409" s="81"/>
      <c r="U409" s="81"/>
      <c r="V409" s="81"/>
      <c r="W409" s="81"/>
      <c r="X409" s="81"/>
      <c r="Y409" s="81"/>
      <c r="Z409" s="81"/>
    </row>
    <row r="410" spans="1:26" ht="24" customHeight="1" x14ac:dyDescent="0.5">
      <c r="A410" s="81"/>
      <c r="B410" s="81"/>
      <c r="C410" s="81"/>
      <c r="D410" s="81"/>
      <c r="E410" s="81"/>
      <c r="F410" s="81"/>
      <c r="G410" s="81"/>
      <c r="H410" s="81"/>
      <c r="I410" s="289"/>
      <c r="J410" s="105"/>
      <c r="K410" s="81"/>
      <c r="L410" s="289"/>
      <c r="M410" s="81"/>
      <c r="N410" s="81"/>
      <c r="O410" s="289"/>
      <c r="P410" s="81"/>
      <c r="Q410" s="289"/>
      <c r="R410" s="81"/>
      <c r="S410" s="289"/>
      <c r="T410" s="81"/>
      <c r="U410" s="81"/>
      <c r="V410" s="81"/>
      <c r="W410" s="81"/>
      <c r="X410" s="81"/>
      <c r="Y410" s="81"/>
      <c r="Z410" s="81"/>
    </row>
    <row r="411" spans="1:26" ht="24" customHeight="1" x14ac:dyDescent="0.5">
      <c r="A411" s="81"/>
      <c r="B411" s="81"/>
      <c r="C411" s="81"/>
      <c r="D411" s="81"/>
      <c r="E411" s="81"/>
      <c r="F411" s="81"/>
      <c r="G411" s="81"/>
      <c r="H411" s="81"/>
      <c r="I411" s="289"/>
      <c r="J411" s="105"/>
      <c r="K411" s="81"/>
      <c r="L411" s="289"/>
      <c r="M411" s="81"/>
      <c r="N411" s="81"/>
      <c r="O411" s="289"/>
      <c r="P411" s="81"/>
      <c r="Q411" s="289"/>
      <c r="R411" s="81"/>
      <c r="S411" s="289"/>
      <c r="T411" s="81"/>
      <c r="U411" s="81"/>
      <c r="V411" s="81"/>
      <c r="W411" s="81"/>
      <c r="X411" s="81"/>
      <c r="Y411" s="81"/>
      <c r="Z411" s="81"/>
    </row>
    <row r="412" spans="1:26" ht="24" customHeight="1" x14ac:dyDescent="0.5">
      <c r="A412" s="81"/>
      <c r="B412" s="81"/>
      <c r="C412" s="81"/>
      <c r="D412" s="81"/>
      <c r="E412" s="81"/>
      <c r="F412" s="81"/>
      <c r="G412" s="81"/>
      <c r="H412" s="81"/>
      <c r="I412" s="289"/>
      <c r="J412" s="105"/>
      <c r="K412" s="81"/>
      <c r="L412" s="289"/>
      <c r="M412" s="81"/>
      <c r="N412" s="81"/>
      <c r="O412" s="289"/>
      <c r="P412" s="81"/>
      <c r="Q412" s="289"/>
      <c r="R412" s="81"/>
      <c r="S412" s="289"/>
      <c r="T412" s="81"/>
      <c r="U412" s="81"/>
      <c r="V412" s="81"/>
      <c r="W412" s="81"/>
      <c r="X412" s="81"/>
      <c r="Y412" s="81"/>
      <c r="Z412" s="81"/>
    </row>
    <row r="413" spans="1:26" ht="24" customHeight="1" x14ac:dyDescent="0.5">
      <c r="A413" s="81"/>
      <c r="B413" s="81"/>
      <c r="C413" s="81"/>
      <c r="D413" s="81"/>
      <c r="E413" s="81"/>
      <c r="F413" s="81"/>
      <c r="G413" s="81"/>
      <c r="H413" s="81"/>
      <c r="I413" s="289"/>
      <c r="J413" s="105"/>
      <c r="K413" s="81"/>
      <c r="L413" s="289"/>
      <c r="M413" s="81"/>
      <c r="N413" s="81"/>
      <c r="O413" s="289"/>
      <c r="P413" s="81"/>
      <c r="Q413" s="289"/>
      <c r="R413" s="81"/>
      <c r="S413" s="289"/>
      <c r="T413" s="81"/>
      <c r="U413" s="81"/>
      <c r="V413" s="81"/>
      <c r="W413" s="81"/>
      <c r="X413" s="81"/>
      <c r="Y413" s="81"/>
      <c r="Z413" s="81"/>
    </row>
    <row r="414" spans="1:26" ht="24" customHeight="1" x14ac:dyDescent="0.5">
      <c r="A414" s="81"/>
      <c r="B414" s="81"/>
      <c r="C414" s="81"/>
      <c r="D414" s="81"/>
      <c r="E414" s="81"/>
      <c r="F414" s="81"/>
      <c r="G414" s="81"/>
      <c r="H414" s="81"/>
      <c r="I414" s="289"/>
      <c r="J414" s="105"/>
      <c r="K414" s="81"/>
      <c r="L414" s="289"/>
      <c r="M414" s="81"/>
      <c r="N414" s="81"/>
      <c r="O414" s="289"/>
      <c r="P414" s="81"/>
      <c r="Q414" s="289"/>
      <c r="R414" s="81"/>
      <c r="S414" s="289"/>
      <c r="T414" s="81"/>
      <c r="U414" s="81"/>
      <c r="V414" s="81"/>
      <c r="W414" s="81"/>
      <c r="X414" s="81"/>
      <c r="Y414" s="81"/>
      <c r="Z414" s="81"/>
    </row>
    <row r="415" spans="1:26" ht="24" customHeight="1" x14ac:dyDescent="0.5">
      <c r="A415" s="81"/>
      <c r="B415" s="81"/>
      <c r="C415" s="81"/>
      <c r="D415" s="81"/>
      <c r="E415" s="81"/>
      <c r="F415" s="81"/>
      <c r="G415" s="81"/>
      <c r="H415" s="81"/>
      <c r="I415" s="289"/>
      <c r="J415" s="105"/>
      <c r="K415" s="81"/>
      <c r="L415" s="289"/>
      <c r="M415" s="81"/>
      <c r="N415" s="81"/>
      <c r="O415" s="289"/>
      <c r="P415" s="81"/>
      <c r="Q415" s="289"/>
      <c r="R415" s="81"/>
      <c r="S415" s="289"/>
      <c r="T415" s="81"/>
      <c r="U415" s="81"/>
      <c r="V415" s="81"/>
      <c r="W415" s="81"/>
      <c r="X415" s="81"/>
      <c r="Y415" s="81"/>
      <c r="Z415" s="81"/>
    </row>
    <row r="416" spans="1:26" ht="24" customHeight="1" x14ac:dyDescent="0.5">
      <c r="A416" s="81"/>
      <c r="B416" s="81"/>
      <c r="C416" s="81"/>
      <c r="D416" s="81"/>
      <c r="E416" s="81"/>
      <c r="F416" s="81"/>
      <c r="G416" s="81"/>
      <c r="H416" s="81"/>
      <c r="I416" s="289"/>
      <c r="J416" s="105"/>
      <c r="K416" s="81"/>
      <c r="L416" s="289"/>
      <c r="M416" s="81"/>
      <c r="N416" s="81"/>
      <c r="O416" s="289"/>
      <c r="P416" s="81"/>
      <c r="Q416" s="289"/>
      <c r="R416" s="81"/>
      <c r="S416" s="289"/>
      <c r="T416" s="81"/>
      <c r="U416" s="81"/>
      <c r="V416" s="81"/>
      <c r="W416" s="81"/>
      <c r="X416" s="81"/>
      <c r="Y416" s="81"/>
      <c r="Z416" s="81"/>
    </row>
    <row r="417" spans="1:26" ht="24" customHeight="1" x14ac:dyDescent="0.5">
      <c r="A417" s="81"/>
      <c r="B417" s="81"/>
      <c r="C417" s="81"/>
      <c r="D417" s="81"/>
      <c r="E417" s="81"/>
      <c r="F417" s="81"/>
      <c r="G417" s="81"/>
      <c r="H417" s="81"/>
      <c r="I417" s="289"/>
      <c r="J417" s="105"/>
      <c r="K417" s="81"/>
      <c r="L417" s="289"/>
      <c r="M417" s="81"/>
      <c r="N417" s="81"/>
      <c r="O417" s="289"/>
      <c r="P417" s="81"/>
      <c r="Q417" s="289"/>
      <c r="R417" s="81"/>
      <c r="S417" s="289"/>
      <c r="T417" s="81"/>
      <c r="U417" s="81"/>
      <c r="V417" s="81"/>
      <c r="W417" s="81"/>
      <c r="X417" s="81"/>
      <c r="Y417" s="81"/>
      <c r="Z417" s="81"/>
    </row>
    <row r="418" spans="1:26" ht="24" customHeight="1" x14ac:dyDescent="0.5">
      <c r="A418" s="81"/>
      <c r="B418" s="81"/>
      <c r="C418" s="81"/>
      <c r="D418" s="81"/>
      <c r="E418" s="81"/>
      <c r="F418" s="81"/>
      <c r="G418" s="81"/>
      <c r="H418" s="81"/>
      <c r="I418" s="289"/>
      <c r="J418" s="105"/>
      <c r="K418" s="81"/>
      <c r="L418" s="289"/>
      <c r="M418" s="81"/>
      <c r="N418" s="81"/>
      <c r="O418" s="289"/>
      <c r="P418" s="81"/>
      <c r="Q418" s="289"/>
      <c r="R418" s="81"/>
      <c r="S418" s="289"/>
      <c r="T418" s="81"/>
      <c r="U418" s="81"/>
      <c r="V418" s="81"/>
      <c r="W418" s="81"/>
      <c r="X418" s="81"/>
      <c r="Y418" s="81"/>
      <c r="Z418" s="81"/>
    </row>
    <row r="419" spans="1:26" ht="24" customHeight="1" x14ac:dyDescent="0.5">
      <c r="A419" s="81"/>
      <c r="B419" s="81"/>
      <c r="C419" s="81"/>
      <c r="D419" s="81"/>
      <c r="E419" s="81"/>
      <c r="F419" s="81"/>
      <c r="G419" s="81"/>
      <c r="H419" s="81"/>
      <c r="I419" s="289"/>
      <c r="J419" s="105"/>
      <c r="K419" s="81"/>
      <c r="L419" s="289"/>
      <c r="M419" s="81"/>
      <c r="N419" s="81"/>
      <c r="O419" s="289"/>
      <c r="P419" s="81"/>
      <c r="Q419" s="289"/>
      <c r="R419" s="81"/>
      <c r="S419" s="289"/>
      <c r="T419" s="81"/>
      <c r="U419" s="81"/>
      <c r="V419" s="81"/>
      <c r="W419" s="81"/>
      <c r="X419" s="81"/>
      <c r="Y419" s="81"/>
      <c r="Z419" s="81"/>
    </row>
    <row r="420" spans="1:26" ht="24" customHeight="1" x14ac:dyDescent="0.5">
      <c r="A420" s="81"/>
      <c r="B420" s="81"/>
      <c r="C420" s="81"/>
      <c r="D420" s="81"/>
      <c r="E420" s="81"/>
      <c r="F420" s="81"/>
      <c r="G420" s="81"/>
      <c r="H420" s="81"/>
      <c r="I420" s="289"/>
      <c r="J420" s="105"/>
      <c r="K420" s="81"/>
      <c r="L420" s="289"/>
      <c r="M420" s="81"/>
      <c r="N420" s="81"/>
      <c r="O420" s="289"/>
      <c r="P420" s="81"/>
      <c r="Q420" s="289"/>
      <c r="R420" s="81"/>
      <c r="S420" s="289"/>
      <c r="T420" s="81"/>
      <c r="U420" s="81"/>
      <c r="V420" s="81"/>
      <c r="W420" s="81"/>
      <c r="X420" s="81"/>
      <c r="Y420" s="81"/>
      <c r="Z420" s="81"/>
    </row>
    <row r="421" spans="1:26" ht="24" customHeight="1" x14ac:dyDescent="0.5">
      <c r="A421" s="81"/>
      <c r="B421" s="81"/>
      <c r="C421" s="81"/>
      <c r="D421" s="81"/>
      <c r="E421" s="81"/>
      <c r="F421" s="81"/>
      <c r="G421" s="81"/>
      <c r="H421" s="81"/>
      <c r="I421" s="289"/>
      <c r="J421" s="105"/>
      <c r="K421" s="81"/>
      <c r="L421" s="289"/>
      <c r="M421" s="81"/>
      <c r="N421" s="81"/>
      <c r="O421" s="289"/>
      <c r="P421" s="81"/>
      <c r="Q421" s="289"/>
      <c r="R421" s="81"/>
      <c r="S421" s="289"/>
      <c r="T421" s="81"/>
      <c r="U421" s="81"/>
      <c r="V421" s="81"/>
      <c r="W421" s="81"/>
      <c r="X421" s="81"/>
      <c r="Y421" s="81"/>
      <c r="Z421" s="81"/>
    </row>
    <row r="422" spans="1:26" ht="24" customHeight="1" x14ac:dyDescent="0.5">
      <c r="A422" s="81"/>
      <c r="B422" s="81"/>
      <c r="C422" s="81"/>
      <c r="D422" s="81"/>
      <c r="E422" s="81"/>
      <c r="F422" s="81"/>
      <c r="G422" s="81"/>
      <c r="H422" s="81"/>
      <c r="I422" s="289"/>
      <c r="J422" s="105"/>
      <c r="K422" s="81"/>
      <c r="L422" s="289"/>
      <c r="M422" s="81"/>
      <c r="N422" s="81"/>
      <c r="O422" s="289"/>
      <c r="P422" s="81"/>
      <c r="Q422" s="289"/>
      <c r="R422" s="81"/>
      <c r="S422" s="289"/>
      <c r="T422" s="81"/>
      <c r="U422" s="81"/>
      <c r="V422" s="81"/>
      <c r="W422" s="81"/>
      <c r="X422" s="81"/>
      <c r="Y422" s="81"/>
      <c r="Z422" s="81"/>
    </row>
    <row r="423" spans="1:26" ht="24" customHeight="1" x14ac:dyDescent="0.5">
      <c r="A423" s="81"/>
      <c r="B423" s="81"/>
      <c r="C423" s="81"/>
      <c r="D423" s="81"/>
      <c r="E423" s="81"/>
      <c r="F423" s="81"/>
      <c r="G423" s="81"/>
      <c r="H423" s="81"/>
      <c r="I423" s="289"/>
      <c r="J423" s="105"/>
      <c r="K423" s="81"/>
      <c r="L423" s="289"/>
      <c r="M423" s="81"/>
      <c r="N423" s="81"/>
      <c r="O423" s="289"/>
      <c r="P423" s="81"/>
      <c r="Q423" s="289"/>
      <c r="R423" s="81"/>
      <c r="S423" s="289"/>
      <c r="T423" s="81"/>
      <c r="U423" s="81"/>
      <c r="V423" s="81"/>
      <c r="W423" s="81"/>
      <c r="X423" s="81"/>
      <c r="Y423" s="81"/>
      <c r="Z423" s="81"/>
    </row>
    <row r="424" spans="1:26" ht="24" customHeight="1" x14ac:dyDescent="0.5">
      <c r="A424" s="81"/>
      <c r="B424" s="81"/>
      <c r="C424" s="81"/>
      <c r="D424" s="81"/>
      <c r="E424" s="81"/>
      <c r="F424" s="81"/>
      <c r="G424" s="81"/>
      <c r="H424" s="81"/>
      <c r="I424" s="289"/>
      <c r="J424" s="105"/>
      <c r="K424" s="81"/>
      <c r="L424" s="289"/>
      <c r="M424" s="81"/>
      <c r="N424" s="81"/>
      <c r="O424" s="289"/>
      <c r="P424" s="81"/>
      <c r="Q424" s="289"/>
      <c r="R424" s="81"/>
      <c r="S424" s="289"/>
      <c r="T424" s="81"/>
      <c r="U424" s="81"/>
      <c r="V424" s="81"/>
      <c r="W424" s="81"/>
      <c r="X424" s="81"/>
      <c r="Y424" s="81"/>
      <c r="Z424" s="81"/>
    </row>
    <row r="425" spans="1:26" ht="24" customHeight="1" x14ac:dyDescent="0.5">
      <c r="A425" s="81"/>
      <c r="B425" s="81"/>
      <c r="C425" s="81"/>
      <c r="D425" s="81"/>
      <c r="E425" s="81"/>
      <c r="F425" s="81"/>
      <c r="G425" s="81"/>
      <c r="H425" s="81"/>
      <c r="I425" s="289"/>
      <c r="J425" s="105"/>
      <c r="K425" s="81"/>
      <c r="L425" s="289"/>
      <c r="M425" s="81"/>
      <c r="N425" s="81"/>
      <c r="O425" s="289"/>
      <c r="P425" s="81"/>
      <c r="Q425" s="289"/>
      <c r="R425" s="81"/>
      <c r="S425" s="289"/>
      <c r="T425" s="81"/>
      <c r="U425" s="81"/>
      <c r="V425" s="81"/>
      <c r="W425" s="81"/>
      <c r="X425" s="81"/>
      <c r="Y425" s="81"/>
      <c r="Z425" s="81"/>
    </row>
    <row r="426" spans="1:26" ht="24" customHeight="1" x14ac:dyDescent="0.5">
      <c r="A426" s="81"/>
      <c r="B426" s="81"/>
      <c r="C426" s="81"/>
      <c r="D426" s="81"/>
      <c r="E426" s="81"/>
      <c r="F426" s="81"/>
      <c r="G426" s="81"/>
      <c r="H426" s="81"/>
      <c r="I426" s="289"/>
      <c r="J426" s="105"/>
      <c r="K426" s="81"/>
      <c r="L426" s="289"/>
      <c r="M426" s="81"/>
      <c r="N426" s="81"/>
      <c r="O426" s="289"/>
      <c r="P426" s="81"/>
      <c r="Q426" s="289"/>
      <c r="R426" s="81"/>
      <c r="S426" s="289"/>
      <c r="T426" s="81"/>
      <c r="U426" s="81"/>
      <c r="V426" s="81"/>
      <c r="W426" s="81"/>
      <c r="X426" s="81"/>
      <c r="Y426" s="81"/>
      <c r="Z426" s="81"/>
    </row>
    <row r="427" spans="1:26" ht="24" customHeight="1" x14ac:dyDescent="0.5">
      <c r="A427" s="81"/>
      <c r="B427" s="81"/>
      <c r="C427" s="81"/>
      <c r="D427" s="81"/>
      <c r="E427" s="81"/>
      <c r="F427" s="81"/>
      <c r="G427" s="81"/>
      <c r="H427" s="81"/>
      <c r="I427" s="289"/>
      <c r="J427" s="105"/>
      <c r="K427" s="81"/>
      <c r="L427" s="289"/>
      <c r="M427" s="81"/>
      <c r="N427" s="81"/>
      <c r="O427" s="289"/>
      <c r="P427" s="81"/>
      <c r="Q427" s="289"/>
      <c r="R427" s="81"/>
      <c r="S427" s="289"/>
      <c r="T427" s="81"/>
      <c r="U427" s="81"/>
      <c r="V427" s="81"/>
      <c r="W427" s="81"/>
      <c r="X427" s="81"/>
      <c r="Y427" s="81"/>
      <c r="Z427" s="81"/>
    </row>
    <row r="428" spans="1:26" ht="24" customHeight="1" x14ac:dyDescent="0.5">
      <c r="A428" s="81"/>
      <c r="B428" s="81"/>
      <c r="C428" s="81"/>
      <c r="D428" s="81"/>
      <c r="E428" s="81"/>
      <c r="F428" s="81"/>
      <c r="G428" s="81"/>
      <c r="H428" s="81"/>
      <c r="I428" s="289"/>
      <c r="J428" s="105"/>
      <c r="K428" s="81"/>
      <c r="L428" s="289"/>
      <c r="M428" s="81"/>
      <c r="N428" s="81"/>
      <c r="O428" s="289"/>
      <c r="P428" s="81"/>
      <c r="Q428" s="289"/>
      <c r="R428" s="81"/>
      <c r="S428" s="289"/>
      <c r="T428" s="81"/>
      <c r="U428" s="81"/>
      <c r="V428" s="81"/>
      <c r="W428" s="81"/>
      <c r="X428" s="81"/>
      <c r="Y428" s="81"/>
      <c r="Z428" s="81"/>
    </row>
    <row r="429" spans="1:26" ht="24" customHeight="1" x14ac:dyDescent="0.5">
      <c r="A429" s="81"/>
      <c r="B429" s="81"/>
      <c r="C429" s="81"/>
      <c r="D429" s="81"/>
      <c r="E429" s="81"/>
      <c r="F429" s="81"/>
      <c r="G429" s="81"/>
      <c r="H429" s="81"/>
      <c r="I429" s="289"/>
      <c r="J429" s="105"/>
      <c r="K429" s="81"/>
      <c r="L429" s="289"/>
      <c r="M429" s="81"/>
      <c r="N429" s="81"/>
      <c r="O429" s="289"/>
      <c r="P429" s="81"/>
      <c r="Q429" s="289"/>
      <c r="R429" s="81"/>
      <c r="S429" s="289"/>
      <c r="T429" s="81"/>
      <c r="U429" s="81"/>
      <c r="V429" s="81"/>
      <c r="W429" s="81"/>
      <c r="X429" s="81"/>
      <c r="Y429" s="81"/>
      <c r="Z429" s="81"/>
    </row>
    <row r="430" spans="1:26" ht="24" customHeight="1" x14ac:dyDescent="0.5">
      <c r="A430" s="81"/>
      <c r="B430" s="81"/>
      <c r="C430" s="81"/>
      <c r="D430" s="81"/>
      <c r="E430" s="81"/>
      <c r="F430" s="81"/>
      <c r="G430" s="81"/>
      <c r="H430" s="81"/>
      <c r="I430" s="289"/>
      <c r="J430" s="105"/>
      <c r="K430" s="81"/>
      <c r="L430" s="289"/>
      <c r="M430" s="81"/>
      <c r="N430" s="81"/>
      <c r="O430" s="289"/>
      <c r="P430" s="81"/>
      <c r="Q430" s="289"/>
      <c r="R430" s="81"/>
      <c r="S430" s="289"/>
      <c r="T430" s="81"/>
      <c r="U430" s="81"/>
      <c r="V430" s="81"/>
      <c r="W430" s="81"/>
      <c r="X430" s="81"/>
      <c r="Y430" s="81"/>
      <c r="Z430" s="81"/>
    </row>
    <row r="431" spans="1:26" ht="24" customHeight="1" x14ac:dyDescent="0.5">
      <c r="A431" s="81"/>
      <c r="B431" s="81"/>
      <c r="C431" s="81"/>
      <c r="D431" s="81"/>
      <c r="E431" s="81"/>
      <c r="F431" s="81"/>
      <c r="G431" s="81"/>
      <c r="H431" s="81"/>
      <c r="I431" s="289"/>
      <c r="J431" s="105"/>
      <c r="K431" s="81"/>
      <c r="L431" s="289"/>
      <c r="M431" s="81"/>
      <c r="N431" s="81"/>
      <c r="O431" s="289"/>
      <c r="P431" s="81"/>
      <c r="Q431" s="289"/>
      <c r="R431" s="81"/>
      <c r="S431" s="289"/>
      <c r="T431" s="81"/>
      <c r="U431" s="81"/>
      <c r="V431" s="81"/>
      <c r="W431" s="81"/>
      <c r="X431" s="81"/>
      <c r="Y431" s="81"/>
      <c r="Z431" s="81"/>
    </row>
    <row r="432" spans="1:26" ht="24" customHeight="1" x14ac:dyDescent="0.5">
      <c r="A432" s="81"/>
      <c r="B432" s="81"/>
      <c r="C432" s="81"/>
      <c r="D432" s="81"/>
      <c r="E432" s="81"/>
      <c r="F432" s="81"/>
      <c r="G432" s="81"/>
      <c r="H432" s="81"/>
      <c r="I432" s="289"/>
      <c r="J432" s="105"/>
      <c r="K432" s="81"/>
      <c r="L432" s="289"/>
      <c r="M432" s="81"/>
      <c r="N432" s="81"/>
      <c r="O432" s="289"/>
      <c r="P432" s="81"/>
      <c r="Q432" s="289"/>
      <c r="R432" s="81"/>
      <c r="S432" s="289"/>
      <c r="T432" s="81"/>
      <c r="U432" s="81"/>
      <c r="V432" s="81"/>
      <c r="W432" s="81"/>
      <c r="X432" s="81"/>
      <c r="Y432" s="81"/>
      <c r="Z432" s="81"/>
    </row>
    <row r="433" spans="1:26" ht="24" customHeight="1" x14ac:dyDescent="0.5">
      <c r="A433" s="81"/>
      <c r="B433" s="81"/>
      <c r="C433" s="81"/>
      <c r="D433" s="81"/>
      <c r="E433" s="81"/>
      <c r="F433" s="81"/>
      <c r="G433" s="81"/>
      <c r="H433" s="81"/>
      <c r="I433" s="289"/>
      <c r="J433" s="105"/>
      <c r="K433" s="81"/>
      <c r="L433" s="289"/>
      <c r="M433" s="81"/>
      <c r="N433" s="81"/>
      <c r="O433" s="289"/>
      <c r="P433" s="81"/>
      <c r="Q433" s="289"/>
      <c r="R433" s="81"/>
      <c r="S433" s="289"/>
      <c r="T433" s="81"/>
      <c r="U433" s="81"/>
      <c r="V433" s="81"/>
      <c r="W433" s="81"/>
      <c r="X433" s="81"/>
      <c r="Y433" s="81"/>
      <c r="Z433" s="81"/>
    </row>
    <row r="434" spans="1:26" ht="24" customHeight="1" x14ac:dyDescent="0.5">
      <c r="A434" s="81"/>
      <c r="B434" s="81"/>
      <c r="C434" s="81"/>
      <c r="D434" s="81"/>
      <c r="E434" s="81"/>
      <c r="F434" s="81"/>
      <c r="G434" s="81"/>
      <c r="H434" s="81"/>
      <c r="I434" s="289"/>
      <c r="J434" s="105"/>
      <c r="K434" s="81"/>
      <c r="L434" s="289"/>
      <c r="M434" s="81"/>
      <c r="N434" s="81"/>
      <c r="O434" s="289"/>
      <c r="P434" s="81"/>
      <c r="Q434" s="289"/>
      <c r="R434" s="81"/>
      <c r="S434" s="289"/>
      <c r="T434" s="81"/>
      <c r="U434" s="81"/>
      <c r="V434" s="81"/>
      <c r="W434" s="81"/>
      <c r="X434" s="81"/>
      <c r="Y434" s="81"/>
      <c r="Z434" s="81"/>
    </row>
    <row r="435" spans="1:26" ht="24" customHeight="1" x14ac:dyDescent="0.5">
      <c r="A435" s="81"/>
      <c r="B435" s="81"/>
      <c r="C435" s="81"/>
      <c r="D435" s="81"/>
      <c r="E435" s="81"/>
      <c r="F435" s="81"/>
      <c r="G435" s="81"/>
      <c r="H435" s="81"/>
      <c r="I435" s="289"/>
      <c r="J435" s="105"/>
      <c r="K435" s="81"/>
      <c r="L435" s="289"/>
      <c r="M435" s="81"/>
      <c r="N435" s="81"/>
      <c r="O435" s="289"/>
      <c r="P435" s="81"/>
      <c r="Q435" s="289"/>
      <c r="R435" s="81"/>
      <c r="S435" s="289"/>
      <c r="T435" s="81"/>
      <c r="U435" s="81"/>
      <c r="V435" s="81"/>
      <c r="W435" s="81"/>
      <c r="X435" s="81"/>
      <c r="Y435" s="81"/>
      <c r="Z435" s="81"/>
    </row>
    <row r="436" spans="1:26" ht="24" customHeight="1" x14ac:dyDescent="0.5">
      <c r="A436" s="81"/>
      <c r="B436" s="81"/>
      <c r="C436" s="81"/>
      <c r="D436" s="81"/>
      <c r="E436" s="81"/>
      <c r="F436" s="81"/>
      <c r="G436" s="81"/>
      <c r="H436" s="81"/>
      <c r="I436" s="289"/>
      <c r="J436" s="105"/>
      <c r="K436" s="81"/>
      <c r="L436" s="289"/>
      <c r="M436" s="81"/>
      <c r="N436" s="81"/>
      <c r="O436" s="289"/>
      <c r="P436" s="81"/>
      <c r="Q436" s="289"/>
      <c r="R436" s="81"/>
      <c r="S436" s="289"/>
      <c r="T436" s="81"/>
      <c r="U436" s="81"/>
      <c r="V436" s="81"/>
      <c r="W436" s="81"/>
      <c r="X436" s="81"/>
      <c r="Y436" s="81"/>
      <c r="Z436" s="81"/>
    </row>
    <row r="437" spans="1:26" ht="24" customHeight="1" x14ac:dyDescent="0.5">
      <c r="A437" s="81"/>
      <c r="B437" s="81"/>
      <c r="C437" s="81"/>
      <c r="D437" s="81"/>
      <c r="E437" s="81"/>
      <c r="F437" s="81"/>
      <c r="G437" s="81"/>
      <c r="H437" s="81"/>
      <c r="I437" s="289"/>
      <c r="J437" s="105"/>
      <c r="K437" s="81"/>
      <c r="L437" s="289"/>
      <c r="M437" s="81"/>
      <c r="N437" s="81"/>
      <c r="O437" s="289"/>
      <c r="P437" s="81"/>
      <c r="Q437" s="289"/>
      <c r="R437" s="81"/>
      <c r="S437" s="289"/>
      <c r="T437" s="81"/>
      <c r="U437" s="81"/>
      <c r="V437" s="81"/>
      <c r="W437" s="81"/>
      <c r="X437" s="81"/>
      <c r="Y437" s="81"/>
      <c r="Z437" s="81"/>
    </row>
    <row r="438" spans="1:26" ht="24" customHeight="1" x14ac:dyDescent="0.5">
      <c r="A438" s="81"/>
      <c r="B438" s="81"/>
      <c r="C438" s="81"/>
      <c r="D438" s="81"/>
      <c r="E438" s="81"/>
      <c r="F438" s="81"/>
      <c r="G438" s="81"/>
      <c r="H438" s="81"/>
      <c r="I438" s="289"/>
      <c r="J438" s="105"/>
      <c r="K438" s="81"/>
      <c r="L438" s="289"/>
      <c r="M438" s="81"/>
      <c r="N438" s="81"/>
      <c r="O438" s="289"/>
      <c r="P438" s="81"/>
      <c r="Q438" s="289"/>
      <c r="R438" s="81"/>
      <c r="S438" s="289"/>
      <c r="T438" s="81"/>
      <c r="U438" s="81"/>
      <c r="V438" s="81"/>
      <c r="W438" s="81"/>
      <c r="X438" s="81"/>
      <c r="Y438" s="81"/>
      <c r="Z438" s="81"/>
    </row>
    <row r="439" spans="1:26" ht="24" customHeight="1" x14ac:dyDescent="0.5">
      <c r="A439" s="81"/>
      <c r="B439" s="81"/>
      <c r="C439" s="81"/>
      <c r="D439" s="81"/>
      <c r="E439" s="81"/>
      <c r="F439" s="81"/>
      <c r="G439" s="81"/>
      <c r="H439" s="81"/>
      <c r="I439" s="289"/>
      <c r="J439" s="105"/>
      <c r="K439" s="81"/>
      <c r="L439" s="289"/>
      <c r="M439" s="81"/>
      <c r="N439" s="81"/>
      <c r="O439" s="289"/>
      <c r="P439" s="81"/>
      <c r="Q439" s="289"/>
      <c r="R439" s="81"/>
      <c r="S439" s="289"/>
      <c r="T439" s="81"/>
      <c r="U439" s="81"/>
      <c r="V439" s="81"/>
      <c r="W439" s="81"/>
      <c r="X439" s="81"/>
      <c r="Y439" s="81"/>
      <c r="Z439" s="81"/>
    </row>
    <row r="440" spans="1:26" ht="24" customHeight="1" x14ac:dyDescent="0.5">
      <c r="A440" s="81"/>
      <c r="B440" s="81"/>
      <c r="C440" s="81"/>
      <c r="D440" s="81"/>
      <c r="E440" s="81"/>
      <c r="F440" s="81"/>
      <c r="G440" s="81"/>
      <c r="H440" s="81"/>
      <c r="I440" s="289"/>
      <c r="J440" s="105"/>
      <c r="K440" s="81"/>
      <c r="L440" s="289"/>
      <c r="M440" s="81"/>
      <c r="N440" s="81"/>
      <c r="O440" s="289"/>
      <c r="P440" s="81"/>
      <c r="Q440" s="289"/>
      <c r="R440" s="81"/>
      <c r="S440" s="289"/>
      <c r="T440" s="81"/>
      <c r="U440" s="81"/>
      <c r="V440" s="81"/>
      <c r="W440" s="81"/>
      <c r="X440" s="81"/>
      <c r="Y440" s="81"/>
      <c r="Z440" s="81"/>
    </row>
    <row r="441" spans="1:26" ht="24" customHeight="1" x14ac:dyDescent="0.5">
      <c r="A441" s="81"/>
      <c r="B441" s="81"/>
      <c r="C441" s="81"/>
      <c r="D441" s="81"/>
      <c r="E441" s="81"/>
      <c r="F441" s="81"/>
      <c r="G441" s="81"/>
      <c r="H441" s="81"/>
      <c r="I441" s="289"/>
      <c r="J441" s="105"/>
      <c r="K441" s="81"/>
      <c r="L441" s="289"/>
      <c r="M441" s="81"/>
      <c r="N441" s="81"/>
      <c r="O441" s="289"/>
      <c r="P441" s="81"/>
      <c r="Q441" s="289"/>
      <c r="R441" s="81"/>
      <c r="S441" s="289"/>
      <c r="T441" s="81"/>
      <c r="U441" s="81"/>
      <c r="V441" s="81"/>
      <c r="W441" s="81"/>
      <c r="X441" s="81"/>
      <c r="Y441" s="81"/>
      <c r="Z441" s="81"/>
    </row>
    <row r="442" spans="1:26" ht="24" customHeight="1" x14ac:dyDescent="0.5">
      <c r="A442" s="81"/>
      <c r="B442" s="81"/>
      <c r="C442" s="81"/>
      <c r="D442" s="81"/>
      <c r="E442" s="81"/>
      <c r="F442" s="81"/>
      <c r="G442" s="81"/>
      <c r="H442" s="81"/>
      <c r="I442" s="289"/>
      <c r="J442" s="105"/>
      <c r="K442" s="81"/>
      <c r="L442" s="289"/>
      <c r="M442" s="81"/>
      <c r="N442" s="81"/>
      <c r="O442" s="289"/>
      <c r="P442" s="81"/>
      <c r="Q442" s="289"/>
      <c r="R442" s="81"/>
      <c r="S442" s="289"/>
      <c r="T442" s="81"/>
      <c r="U442" s="81"/>
      <c r="V442" s="81"/>
      <c r="W442" s="81"/>
      <c r="X442" s="81"/>
      <c r="Y442" s="81"/>
      <c r="Z442" s="81"/>
    </row>
    <row r="443" spans="1:26" ht="24" customHeight="1" x14ac:dyDescent="0.5">
      <c r="A443" s="81"/>
      <c r="B443" s="81"/>
      <c r="C443" s="81"/>
      <c r="D443" s="81"/>
      <c r="E443" s="81"/>
      <c r="F443" s="81"/>
      <c r="G443" s="81"/>
      <c r="H443" s="81"/>
      <c r="I443" s="289"/>
      <c r="J443" s="105"/>
      <c r="K443" s="81"/>
      <c r="L443" s="289"/>
      <c r="M443" s="81"/>
      <c r="N443" s="81"/>
      <c r="O443" s="289"/>
      <c r="P443" s="81"/>
      <c r="Q443" s="289"/>
      <c r="R443" s="81"/>
      <c r="S443" s="289"/>
      <c r="T443" s="81"/>
      <c r="U443" s="81"/>
      <c r="V443" s="81"/>
      <c r="W443" s="81"/>
      <c r="X443" s="81"/>
      <c r="Y443" s="81"/>
      <c r="Z443" s="81"/>
    </row>
    <row r="444" spans="1:26" ht="24" customHeight="1" x14ac:dyDescent="0.5">
      <c r="A444" s="81"/>
      <c r="B444" s="81"/>
      <c r="C444" s="81"/>
      <c r="D444" s="81"/>
      <c r="E444" s="81"/>
      <c r="F444" s="81"/>
      <c r="G444" s="81"/>
      <c r="H444" s="81"/>
      <c r="I444" s="289"/>
      <c r="J444" s="105"/>
      <c r="K444" s="81"/>
      <c r="L444" s="289"/>
      <c r="M444" s="81"/>
      <c r="N444" s="81"/>
      <c r="O444" s="289"/>
      <c r="P444" s="81"/>
      <c r="Q444" s="289"/>
      <c r="R444" s="81"/>
      <c r="S444" s="289"/>
      <c r="T444" s="81"/>
      <c r="U444" s="81"/>
      <c r="V444" s="81"/>
      <c r="W444" s="81"/>
      <c r="X444" s="81"/>
      <c r="Y444" s="81"/>
      <c r="Z444" s="81"/>
    </row>
    <row r="445" spans="1:26" ht="24" customHeight="1" x14ac:dyDescent="0.5">
      <c r="A445" s="81"/>
      <c r="B445" s="81"/>
      <c r="C445" s="81"/>
      <c r="D445" s="81"/>
      <c r="E445" s="81"/>
      <c r="F445" s="81"/>
      <c r="G445" s="81"/>
      <c r="H445" s="81"/>
      <c r="I445" s="289"/>
      <c r="J445" s="105"/>
      <c r="K445" s="81"/>
      <c r="L445" s="289"/>
      <c r="M445" s="81"/>
      <c r="N445" s="81"/>
      <c r="O445" s="289"/>
      <c r="P445" s="81"/>
      <c r="Q445" s="289"/>
      <c r="R445" s="81"/>
      <c r="S445" s="289"/>
      <c r="T445" s="81"/>
      <c r="U445" s="81"/>
      <c r="V445" s="81"/>
      <c r="W445" s="81"/>
      <c r="X445" s="81"/>
      <c r="Y445" s="81"/>
      <c r="Z445" s="81"/>
    </row>
    <row r="446" spans="1:26" ht="24" customHeight="1" x14ac:dyDescent="0.5">
      <c r="A446" s="81"/>
      <c r="B446" s="81"/>
      <c r="C446" s="81"/>
      <c r="D446" s="81"/>
      <c r="E446" s="81"/>
      <c r="F446" s="81"/>
      <c r="G446" s="81"/>
      <c r="H446" s="81"/>
      <c r="I446" s="289"/>
      <c r="J446" s="105"/>
      <c r="K446" s="81"/>
      <c r="L446" s="289"/>
      <c r="M446" s="81"/>
      <c r="N446" s="81"/>
      <c r="O446" s="289"/>
      <c r="P446" s="81"/>
      <c r="Q446" s="289"/>
      <c r="R446" s="81"/>
      <c r="S446" s="289"/>
      <c r="T446" s="81"/>
      <c r="U446" s="81"/>
      <c r="V446" s="81"/>
      <c r="W446" s="81"/>
      <c r="X446" s="81"/>
      <c r="Y446" s="81"/>
      <c r="Z446" s="81"/>
    </row>
    <row r="447" spans="1:26" ht="24" customHeight="1" x14ac:dyDescent="0.5">
      <c r="A447" s="81"/>
      <c r="B447" s="81"/>
      <c r="C447" s="81"/>
      <c r="D447" s="81"/>
      <c r="E447" s="81"/>
      <c r="F447" s="81"/>
      <c r="G447" s="81"/>
      <c r="H447" s="81"/>
      <c r="I447" s="289"/>
      <c r="J447" s="105"/>
      <c r="K447" s="81"/>
      <c r="L447" s="289"/>
      <c r="M447" s="81"/>
      <c r="N447" s="81"/>
      <c r="O447" s="289"/>
      <c r="P447" s="81"/>
      <c r="Q447" s="289"/>
      <c r="R447" s="81"/>
      <c r="S447" s="289"/>
      <c r="T447" s="81"/>
      <c r="U447" s="81"/>
      <c r="V447" s="81"/>
      <c r="W447" s="81"/>
      <c r="X447" s="81"/>
      <c r="Y447" s="81"/>
      <c r="Z447" s="81"/>
    </row>
    <row r="448" spans="1:26" ht="24" customHeight="1" x14ac:dyDescent="0.5">
      <c r="A448" s="81"/>
      <c r="B448" s="81"/>
      <c r="C448" s="81"/>
      <c r="D448" s="81"/>
      <c r="E448" s="81"/>
      <c r="F448" s="81"/>
      <c r="G448" s="81"/>
      <c r="H448" s="81"/>
      <c r="I448" s="289"/>
      <c r="J448" s="105"/>
      <c r="K448" s="81"/>
      <c r="L448" s="289"/>
      <c r="M448" s="81"/>
      <c r="N448" s="81"/>
      <c r="O448" s="289"/>
      <c r="P448" s="81"/>
      <c r="Q448" s="289"/>
      <c r="R448" s="81"/>
      <c r="S448" s="289"/>
      <c r="T448" s="81"/>
      <c r="U448" s="81"/>
      <c r="V448" s="81"/>
      <c r="W448" s="81"/>
      <c r="X448" s="81"/>
      <c r="Y448" s="81"/>
      <c r="Z448" s="81"/>
    </row>
    <row r="449" spans="1:26" ht="24" customHeight="1" x14ac:dyDescent="0.5">
      <c r="A449" s="81"/>
      <c r="B449" s="81"/>
      <c r="C449" s="81"/>
      <c r="D449" s="81"/>
      <c r="E449" s="81"/>
      <c r="F449" s="81"/>
      <c r="G449" s="81"/>
      <c r="H449" s="81"/>
      <c r="I449" s="289"/>
      <c r="J449" s="105"/>
      <c r="K449" s="81"/>
      <c r="L449" s="289"/>
      <c r="M449" s="81"/>
      <c r="N449" s="81"/>
      <c r="O449" s="289"/>
      <c r="P449" s="81"/>
      <c r="Q449" s="289"/>
      <c r="R449" s="81"/>
      <c r="S449" s="289"/>
      <c r="T449" s="81"/>
      <c r="U449" s="81"/>
      <c r="V449" s="81"/>
      <c r="W449" s="81"/>
      <c r="X449" s="81"/>
      <c r="Y449" s="81"/>
      <c r="Z449" s="81"/>
    </row>
    <row r="450" spans="1:26" ht="24" customHeight="1" x14ac:dyDescent="0.5">
      <c r="A450" s="81"/>
      <c r="B450" s="81"/>
      <c r="C450" s="81"/>
      <c r="D450" s="81"/>
      <c r="E450" s="81"/>
      <c r="F450" s="81"/>
      <c r="G450" s="81"/>
      <c r="H450" s="81"/>
      <c r="I450" s="289"/>
      <c r="J450" s="105"/>
      <c r="K450" s="81"/>
      <c r="L450" s="289"/>
      <c r="M450" s="81"/>
      <c r="N450" s="81"/>
      <c r="O450" s="289"/>
      <c r="P450" s="81"/>
      <c r="Q450" s="289"/>
      <c r="R450" s="81"/>
      <c r="S450" s="289"/>
      <c r="T450" s="81"/>
      <c r="U450" s="81"/>
      <c r="V450" s="81"/>
      <c r="W450" s="81"/>
      <c r="X450" s="81"/>
      <c r="Y450" s="81"/>
      <c r="Z450" s="81"/>
    </row>
    <row r="451" spans="1:26" ht="24" customHeight="1" x14ac:dyDescent="0.5">
      <c r="A451" s="81"/>
      <c r="B451" s="81"/>
      <c r="C451" s="81"/>
      <c r="D451" s="81"/>
      <c r="E451" s="81"/>
      <c r="F451" s="81"/>
      <c r="G451" s="81"/>
      <c r="H451" s="81"/>
      <c r="I451" s="289"/>
      <c r="J451" s="105"/>
      <c r="K451" s="81"/>
      <c r="L451" s="289"/>
      <c r="M451" s="81"/>
      <c r="N451" s="81"/>
      <c r="O451" s="289"/>
      <c r="P451" s="81"/>
      <c r="Q451" s="289"/>
      <c r="R451" s="81"/>
      <c r="S451" s="289"/>
      <c r="T451" s="81"/>
      <c r="U451" s="81"/>
      <c r="V451" s="81"/>
      <c r="W451" s="81"/>
      <c r="X451" s="81"/>
      <c r="Y451" s="81"/>
      <c r="Z451" s="81"/>
    </row>
    <row r="452" spans="1:26" ht="24" customHeight="1" x14ac:dyDescent="0.5">
      <c r="A452" s="81"/>
      <c r="B452" s="81"/>
      <c r="C452" s="81"/>
      <c r="D452" s="81"/>
      <c r="E452" s="81"/>
      <c r="F452" s="81"/>
      <c r="G452" s="81"/>
      <c r="H452" s="81"/>
      <c r="I452" s="289"/>
      <c r="J452" s="105"/>
      <c r="K452" s="81"/>
      <c r="L452" s="289"/>
      <c r="M452" s="81"/>
      <c r="N452" s="81"/>
      <c r="O452" s="289"/>
      <c r="P452" s="81"/>
      <c r="Q452" s="289"/>
      <c r="R452" s="81"/>
      <c r="S452" s="289"/>
      <c r="T452" s="81"/>
      <c r="U452" s="81"/>
      <c r="V452" s="81"/>
      <c r="W452" s="81"/>
      <c r="X452" s="81"/>
      <c r="Y452" s="81"/>
      <c r="Z452" s="81"/>
    </row>
    <row r="453" spans="1:26" ht="24" customHeight="1" x14ac:dyDescent="0.5">
      <c r="A453" s="81"/>
      <c r="B453" s="81"/>
      <c r="C453" s="81"/>
      <c r="D453" s="81"/>
      <c r="E453" s="81"/>
      <c r="F453" s="81"/>
      <c r="G453" s="81"/>
      <c r="H453" s="81"/>
      <c r="I453" s="289"/>
      <c r="J453" s="105"/>
      <c r="K453" s="81"/>
      <c r="L453" s="289"/>
      <c r="M453" s="81"/>
      <c r="N453" s="81"/>
      <c r="O453" s="289"/>
      <c r="P453" s="81"/>
      <c r="Q453" s="289"/>
      <c r="R453" s="81"/>
      <c r="S453" s="289"/>
      <c r="T453" s="81"/>
      <c r="U453" s="81"/>
      <c r="V453" s="81"/>
      <c r="W453" s="81"/>
      <c r="X453" s="81"/>
      <c r="Y453" s="81"/>
      <c r="Z453" s="81"/>
    </row>
    <row r="454" spans="1:26" ht="24" customHeight="1" x14ac:dyDescent="0.5">
      <c r="A454" s="81"/>
      <c r="B454" s="81"/>
      <c r="C454" s="81"/>
      <c r="D454" s="81"/>
      <c r="E454" s="81"/>
      <c r="F454" s="81"/>
      <c r="G454" s="81"/>
      <c r="H454" s="81"/>
      <c r="I454" s="289"/>
      <c r="J454" s="105"/>
      <c r="K454" s="81"/>
      <c r="L454" s="289"/>
      <c r="M454" s="81"/>
      <c r="N454" s="81"/>
      <c r="O454" s="289"/>
      <c r="P454" s="81"/>
      <c r="Q454" s="289"/>
      <c r="R454" s="81"/>
      <c r="S454" s="289"/>
      <c r="T454" s="81"/>
      <c r="U454" s="81"/>
      <c r="V454" s="81"/>
      <c r="W454" s="81"/>
      <c r="X454" s="81"/>
      <c r="Y454" s="81"/>
      <c r="Z454" s="81"/>
    </row>
    <row r="455" spans="1:26" ht="24" customHeight="1" x14ac:dyDescent="0.5">
      <c r="A455" s="81"/>
      <c r="B455" s="81"/>
      <c r="C455" s="81"/>
      <c r="D455" s="81"/>
      <c r="E455" s="81"/>
      <c r="F455" s="81"/>
      <c r="G455" s="81"/>
      <c r="H455" s="81"/>
      <c r="I455" s="289"/>
      <c r="J455" s="105"/>
      <c r="K455" s="81"/>
      <c r="L455" s="289"/>
      <c r="M455" s="81"/>
      <c r="N455" s="81"/>
      <c r="O455" s="289"/>
      <c r="P455" s="81"/>
      <c r="Q455" s="289"/>
      <c r="R455" s="81"/>
      <c r="S455" s="289"/>
      <c r="T455" s="81"/>
      <c r="U455" s="81"/>
      <c r="V455" s="81"/>
      <c r="W455" s="81"/>
      <c r="X455" s="81"/>
      <c r="Y455" s="81"/>
      <c r="Z455" s="81"/>
    </row>
    <row r="456" spans="1:26" ht="24" customHeight="1" x14ac:dyDescent="0.5">
      <c r="A456" s="81"/>
      <c r="B456" s="81"/>
      <c r="C456" s="81"/>
      <c r="D456" s="81"/>
      <c r="E456" s="81"/>
      <c r="F456" s="81"/>
      <c r="G456" s="81"/>
      <c r="H456" s="81"/>
      <c r="I456" s="289"/>
      <c r="J456" s="105"/>
      <c r="K456" s="81"/>
      <c r="L456" s="289"/>
      <c r="M456" s="81"/>
      <c r="N456" s="81"/>
      <c r="O456" s="289"/>
      <c r="P456" s="81"/>
      <c r="Q456" s="289"/>
      <c r="R456" s="81"/>
      <c r="S456" s="289"/>
      <c r="T456" s="81"/>
      <c r="U456" s="81"/>
      <c r="V456" s="81"/>
      <c r="W456" s="81"/>
      <c r="X456" s="81"/>
      <c r="Y456" s="81"/>
      <c r="Z456" s="81"/>
    </row>
    <row r="457" spans="1:26" ht="24" customHeight="1" x14ac:dyDescent="0.5">
      <c r="A457" s="81"/>
      <c r="B457" s="81"/>
      <c r="C457" s="81"/>
      <c r="D457" s="81"/>
      <c r="E457" s="81"/>
      <c r="F457" s="81"/>
      <c r="G457" s="81"/>
      <c r="H457" s="81"/>
      <c r="I457" s="289"/>
      <c r="J457" s="105"/>
      <c r="K457" s="81"/>
      <c r="L457" s="289"/>
      <c r="M457" s="81"/>
      <c r="N457" s="81"/>
      <c r="O457" s="289"/>
      <c r="P457" s="81"/>
      <c r="Q457" s="289"/>
      <c r="R457" s="81"/>
      <c r="S457" s="289"/>
      <c r="T457" s="81"/>
      <c r="U457" s="81"/>
      <c r="V457" s="81"/>
      <c r="W457" s="81"/>
      <c r="X457" s="81"/>
      <c r="Y457" s="81"/>
      <c r="Z457" s="81"/>
    </row>
    <row r="458" spans="1:26" ht="24" customHeight="1" x14ac:dyDescent="0.5">
      <c r="A458" s="81"/>
      <c r="B458" s="81"/>
      <c r="C458" s="81"/>
      <c r="D458" s="81"/>
      <c r="E458" s="81"/>
      <c r="F458" s="81"/>
      <c r="G458" s="81"/>
      <c r="H458" s="81"/>
      <c r="I458" s="289"/>
      <c r="J458" s="105"/>
      <c r="K458" s="81"/>
      <c r="L458" s="289"/>
      <c r="M458" s="81"/>
      <c r="N458" s="81"/>
      <c r="O458" s="289"/>
      <c r="P458" s="81"/>
      <c r="Q458" s="289"/>
      <c r="R458" s="81"/>
      <c r="S458" s="289"/>
      <c r="T458" s="81"/>
      <c r="U458" s="81"/>
      <c r="V458" s="81"/>
      <c r="W458" s="81"/>
      <c r="X458" s="81"/>
      <c r="Y458" s="81"/>
      <c r="Z458" s="81"/>
    </row>
    <row r="459" spans="1:26" ht="24" customHeight="1" x14ac:dyDescent="0.5">
      <c r="A459" s="81"/>
      <c r="B459" s="81"/>
      <c r="C459" s="81"/>
      <c r="D459" s="81"/>
      <c r="E459" s="81"/>
      <c r="F459" s="81"/>
      <c r="G459" s="81"/>
      <c r="H459" s="81"/>
      <c r="I459" s="289"/>
      <c r="J459" s="105"/>
      <c r="K459" s="81"/>
      <c r="L459" s="289"/>
      <c r="M459" s="81"/>
      <c r="N459" s="81"/>
      <c r="O459" s="289"/>
      <c r="P459" s="81"/>
      <c r="Q459" s="289"/>
      <c r="R459" s="81"/>
      <c r="S459" s="289"/>
      <c r="T459" s="81"/>
      <c r="U459" s="81"/>
      <c r="V459" s="81"/>
      <c r="W459" s="81"/>
      <c r="X459" s="81"/>
      <c r="Y459" s="81"/>
      <c r="Z459" s="81"/>
    </row>
    <row r="460" spans="1:26" ht="24" customHeight="1" x14ac:dyDescent="0.5">
      <c r="A460" s="81"/>
      <c r="B460" s="81"/>
      <c r="C460" s="81"/>
      <c r="D460" s="81"/>
      <c r="E460" s="81"/>
      <c r="F460" s="81"/>
      <c r="G460" s="81"/>
      <c r="H460" s="81"/>
      <c r="I460" s="289"/>
      <c r="J460" s="105"/>
      <c r="K460" s="81"/>
      <c r="L460" s="289"/>
      <c r="M460" s="81"/>
      <c r="N460" s="81"/>
      <c r="O460" s="289"/>
      <c r="P460" s="81"/>
      <c r="Q460" s="289"/>
      <c r="R460" s="81"/>
      <c r="S460" s="289"/>
      <c r="T460" s="81"/>
      <c r="U460" s="81"/>
      <c r="V460" s="81"/>
      <c r="W460" s="81"/>
      <c r="X460" s="81"/>
      <c r="Y460" s="81"/>
      <c r="Z460" s="81"/>
    </row>
    <row r="461" spans="1:26" ht="24" customHeight="1" x14ac:dyDescent="0.5">
      <c r="A461" s="81"/>
      <c r="B461" s="81"/>
      <c r="C461" s="81"/>
      <c r="D461" s="81"/>
      <c r="E461" s="81"/>
      <c r="F461" s="81"/>
      <c r="G461" s="81"/>
      <c r="H461" s="81"/>
      <c r="I461" s="289"/>
      <c r="J461" s="105"/>
      <c r="K461" s="81"/>
      <c r="L461" s="289"/>
      <c r="M461" s="81"/>
      <c r="N461" s="81"/>
      <c r="O461" s="289"/>
      <c r="P461" s="81"/>
      <c r="Q461" s="289"/>
      <c r="R461" s="81"/>
      <c r="S461" s="289"/>
      <c r="T461" s="81"/>
      <c r="U461" s="81"/>
      <c r="V461" s="81"/>
      <c r="W461" s="81"/>
      <c r="X461" s="81"/>
      <c r="Y461" s="81"/>
      <c r="Z461" s="81"/>
    </row>
    <row r="462" spans="1:26" ht="24" customHeight="1" x14ac:dyDescent="0.5">
      <c r="A462" s="81"/>
      <c r="B462" s="81"/>
      <c r="C462" s="81"/>
      <c r="D462" s="81"/>
      <c r="E462" s="81"/>
      <c r="F462" s="81"/>
      <c r="G462" s="81"/>
      <c r="H462" s="81"/>
      <c r="I462" s="289"/>
      <c r="J462" s="105"/>
      <c r="K462" s="81"/>
      <c r="L462" s="289"/>
      <c r="M462" s="81"/>
      <c r="N462" s="81"/>
      <c r="O462" s="289"/>
      <c r="P462" s="81"/>
      <c r="Q462" s="289"/>
      <c r="R462" s="81"/>
      <c r="S462" s="289"/>
      <c r="T462" s="81"/>
      <c r="U462" s="81"/>
      <c r="V462" s="81"/>
      <c r="W462" s="81"/>
      <c r="X462" s="81"/>
      <c r="Y462" s="81"/>
      <c r="Z462" s="81"/>
    </row>
    <row r="463" spans="1:26" ht="24" customHeight="1" x14ac:dyDescent="0.5">
      <c r="A463" s="81"/>
      <c r="B463" s="81"/>
      <c r="C463" s="81"/>
      <c r="D463" s="81"/>
      <c r="E463" s="81"/>
      <c r="F463" s="81"/>
      <c r="G463" s="81"/>
      <c r="H463" s="81"/>
      <c r="I463" s="289"/>
      <c r="J463" s="105"/>
      <c r="K463" s="81"/>
      <c r="L463" s="289"/>
      <c r="M463" s="81"/>
      <c r="N463" s="81"/>
      <c r="O463" s="289"/>
      <c r="P463" s="81"/>
      <c r="Q463" s="289"/>
      <c r="R463" s="81"/>
      <c r="S463" s="289"/>
      <c r="T463" s="81"/>
      <c r="U463" s="81"/>
      <c r="V463" s="81"/>
      <c r="W463" s="81"/>
      <c r="X463" s="81"/>
      <c r="Y463" s="81"/>
      <c r="Z463" s="81"/>
    </row>
    <row r="464" spans="1:26" ht="24" customHeight="1" x14ac:dyDescent="0.5">
      <c r="A464" s="81"/>
      <c r="B464" s="81"/>
      <c r="C464" s="81"/>
      <c r="D464" s="81"/>
      <c r="E464" s="81"/>
      <c r="F464" s="81"/>
      <c r="G464" s="81"/>
      <c r="H464" s="81"/>
      <c r="I464" s="289"/>
      <c r="J464" s="105"/>
      <c r="K464" s="81"/>
      <c r="L464" s="289"/>
      <c r="M464" s="81"/>
      <c r="N464" s="81"/>
      <c r="O464" s="289"/>
      <c r="P464" s="81"/>
      <c r="Q464" s="289"/>
      <c r="R464" s="81"/>
      <c r="S464" s="289"/>
      <c r="T464" s="81"/>
      <c r="U464" s="81"/>
      <c r="V464" s="81"/>
      <c r="W464" s="81"/>
      <c r="X464" s="81"/>
      <c r="Y464" s="81"/>
      <c r="Z464" s="81"/>
    </row>
    <row r="465" spans="1:26" ht="24" customHeight="1" x14ac:dyDescent="0.5">
      <c r="A465" s="81"/>
      <c r="B465" s="81"/>
      <c r="C465" s="81"/>
      <c r="D465" s="81"/>
      <c r="E465" s="81"/>
      <c r="F465" s="81"/>
      <c r="G465" s="81"/>
      <c r="H465" s="81"/>
      <c r="I465" s="289"/>
      <c r="J465" s="105"/>
      <c r="K465" s="81"/>
      <c r="L465" s="289"/>
      <c r="M465" s="81"/>
      <c r="N465" s="81"/>
      <c r="O465" s="289"/>
      <c r="P465" s="81"/>
      <c r="Q465" s="289"/>
      <c r="R465" s="81"/>
      <c r="S465" s="289"/>
      <c r="T465" s="81"/>
      <c r="U465" s="81"/>
      <c r="V465" s="81"/>
      <c r="W465" s="81"/>
      <c r="X465" s="81"/>
      <c r="Y465" s="81"/>
      <c r="Z465" s="81"/>
    </row>
    <row r="466" spans="1:26" ht="24" customHeight="1" x14ac:dyDescent="0.5">
      <c r="A466" s="81"/>
      <c r="B466" s="81"/>
      <c r="C466" s="81"/>
      <c r="D466" s="81"/>
      <c r="E466" s="81"/>
      <c r="F466" s="81"/>
      <c r="G466" s="81"/>
      <c r="H466" s="81"/>
      <c r="I466" s="289"/>
      <c r="J466" s="105"/>
      <c r="K466" s="81"/>
      <c r="L466" s="289"/>
      <c r="M466" s="81"/>
      <c r="N466" s="81"/>
      <c r="O466" s="289"/>
      <c r="P466" s="81"/>
      <c r="Q466" s="289"/>
      <c r="R466" s="81"/>
      <c r="S466" s="289"/>
      <c r="T466" s="81"/>
      <c r="U466" s="81"/>
      <c r="V466" s="81"/>
      <c r="W466" s="81"/>
      <c r="X466" s="81"/>
      <c r="Y466" s="81"/>
      <c r="Z466" s="81"/>
    </row>
    <row r="467" spans="1:26" ht="24" customHeight="1" x14ac:dyDescent="0.5">
      <c r="A467" s="81"/>
      <c r="B467" s="81"/>
      <c r="C467" s="81"/>
      <c r="D467" s="81"/>
      <c r="E467" s="81"/>
      <c r="F467" s="81"/>
      <c r="G467" s="81"/>
      <c r="H467" s="81"/>
      <c r="I467" s="289"/>
      <c r="J467" s="105"/>
      <c r="K467" s="81"/>
      <c r="L467" s="289"/>
      <c r="M467" s="81"/>
      <c r="N467" s="81"/>
      <c r="O467" s="289"/>
      <c r="P467" s="81"/>
      <c r="Q467" s="289"/>
      <c r="R467" s="81"/>
      <c r="S467" s="289"/>
      <c r="T467" s="81"/>
      <c r="U467" s="81"/>
      <c r="V467" s="81"/>
      <c r="W467" s="81"/>
      <c r="X467" s="81"/>
      <c r="Y467" s="81"/>
      <c r="Z467" s="81"/>
    </row>
    <row r="468" spans="1:26" ht="24" customHeight="1" x14ac:dyDescent="0.5">
      <c r="A468" s="81"/>
      <c r="B468" s="81"/>
      <c r="C468" s="81"/>
      <c r="D468" s="81"/>
      <c r="E468" s="81"/>
      <c r="F468" s="81"/>
      <c r="G468" s="81"/>
      <c r="H468" s="81"/>
      <c r="I468" s="289"/>
      <c r="J468" s="105"/>
      <c r="K468" s="81"/>
      <c r="L468" s="289"/>
      <c r="M468" s="81"/>
      <c r="N468" s="81"/>
      <c r="O468" s="289"/>
      <c r="P468" s="81"/>
      <c r="Q468" s="289"/>
      <c r="R468" s="81"/>
      <c r="S468" s="289"/>
      <c r="T468" s="81"/>
      <c r="U468" s="81"/>
      <c r="V468" s="81"/>
      <c r="W468" s="81"/>
      <c r="X468" s="81"/>
      <c r="Y468" s="81"/>
      <c r="Z468" s="81"/>
    </row>
    <row r="469" spans="1:26" ht="24" customHeight="1" x14ac:dyDescent="0.5">
      <c r="A469" s="81"/>
      <c r="B469" s="81"/>
      <c r="C469" s="81"/>
      <c r="D469" s="81"/>
      <c r="E469" s="81"/>
      <c r="F469" s="81"/>
      <c r="G469" s="81"/>
      <c r="H469" s="81"/>
      <c r="I469" s="289"/>
      <c r="J469" s="105"/>
      <c r="K469" s="81"/>
      <c r="L469" s="289"/>
      <c r="M469" s="81"/>
      <c r="N469" s="81"/>
      <c r="O469" s="289"/>
      <c r="P469" s="81"/>
      <c r="Q469" s="289"/>
      <c r="R469" s="81"/>
      <c r="S469" s="289"/>
      <c r="T469" s="81"/>
      <c r="U469" s="81"/>
      <c r="V469" s="81"/>
      <c r="W469" s="81"/>
      <c r="X469" s="81"/>
      <c r="Y469" s="81"/>
      <c r="Z469" s="81"/>
    </row>
    <row r="470" spans="1:26" ht="24" customHeight="1" x14ac:dyDescent="0.5">
      <c r="A470" s="81"/>
      <c r="B470" s="81"/>
      <c r="C470" s="81"/>
      <c r="D470" s="81"/>
      <c r="E470" s="81"/>
      <c r="F470" s="81"/>
      <c r="G470" s="81"/>
      <c r="H470" s="81"/>
      <c r="I470" s="289"/>
      <c r="J470" s="105"/>
      <c r="K470" s="81"/>
      <c r="L470" s="289"/>
      <c r="M470" s="81"/>
      <c r="N470" s="81"/>
      <c r="O470" s="289"/>
      <c r="P470" s="81"/>
      <c r="Q470" s="289"/>
      <c r="R470" s="81"/>
      <c r="S470" s="289"/>
      <c r="T470" s="81"/>
      <c r="U470" s="81"/>
      <c r="V470" s="81"/>
      <c r="W470" s="81"/>
      <c r="X470" s="81"/>
      <c r="Y470" s="81"/>
      <c r="Z470" s="81"/>
    </row>
    <row r="471" spans="1:26" ht="24" customHeight="1" x14ac:dyDescent="0.5">
      <c r="A471" s="81"/>
      <c r="B471" s="81"/>
      <c r="C471" s="81"/>
      <c r="D471" s="81"/>
      <c r="E471" s="81"/>
      <c r="F471" s="81"/>
      <c r="G471" s="81"/>
      <c r="H471" s="81"/>
      <c r="I471" s="289"/>
      <c r="J471" s="105"/>
      <c r="K471" s="81"/>
      <c r="L471" s="289"/>
      <c r="M471" s="81"/>
      <c r="N471" s="81"/>
      <c r="O471" s="289"/>
      <c r="P471" s="81"/>
      <c r="Q471" s="289"/>
      <c r="R471" s="81"/>
      <c r="S471" s="289"/>
      <c r="T471" s="81"/>
      <c r="U471" s="81"/>
      <c r="V471" s="81"/>
      <c r="W471" s="81"/>
      <c r="X471" s="81"/>
      <c r="Y471" s="81"/>
      <c r="Z471" s="81"/>
    </row>
    <row r="472" spans="1:26" ht="24" customHeight="1" x14ac:dyDescent="0.5">
      <c r="A472" s="81"/>
      <c r="B472" s="81"/>
      <c r="C472" s="81"/>
      <c r="D472" s="81"/>
      <c r="E472" s="81"/>
      <c r="F472" s="81"/>
      <c r="G472" s="81"/>
      <c r="H472" s="81"/>
      <c r="I472" s="289"/>
      <c r="J472" s="105"/>
      <c r="K472" s="81"/>
      <c r="L472" s="289"/>
      <c r="M472" s="81"/>
      <c r="N472" s="81"/>
      <c r="O472" s="289"/>
      <c r="P472" s="81"/>
      <c r="Q472" s="289"/>
      <c r="R472" s="81"/>
      <c r="S472" s="289"/>
      <c r="T472" s="81"/>
      <c r="U472" s="81"/>
      <c r="V472" s="81"/>
      <c r="W472" s="81"/>
      <c r="X472" s="81"/>
      <c r="Y472" s="81"/>
      <c r="Z472" s="81"/>
    </row>
    <row r="473" spans="1:26" ht="24" customHeight="1" x14ac:dyDescent="0.5">
      <c r="A473" s="81"/>
      <c r="B473" s="81"/>
      <c r="C473" s="81"/>
      <c r="D473" s="81"/>
      <c r="E473" s="81"/>
      <c r="F473" s="81"/>
      <c r="G473" s="81"/>
      <c r="H473" s="81"/>
      <c r="I473" s="289"/>
      <c r="J473" s="105"/>
      <c r="K473" s="81"/>
      <c r="L473" s="289"/>
      <c r="M473" s="81"/>
      <c r="N473" s="81"/>
      <c r="O473" s="289"/>
      <c r="P473" s="81"/>
      <c r="Q473" s="289"/>
      <c r="R473" s="81"/>
      <c r="S473" s="289"/>
      <c r="T473" s="81"/>
      <c r="U473" s="81"/>
      <c r="V473" s="81"/>
      <c r="W473" s="81"/>
      <c r="X473" s="81"/>
      <c r="Y473" s="81"/>
      <c r="Z473" s="81"/>
    </row>
    <row r="474" spans="1:26" ht="24" customHeight="1" x14ac:dyDescent="0.5">
      <c r="A474" s="81"/>
      <c r="B474" s="81"/>
      <c r="C474" s="81"/>
      <c r="D474" s="81"/>
      <c r="E474" s="81"/>
      <c r="F474" s="81"/>
      <c r="G474" s="81"/>
      <c r="H474" s="81"/>
      <c r="I474" s="289"/>
      <c r="J474" s="105"/>
      <c r="K474" s="81"/>
      <c r="L474" s="289"/>
      <c r="M474" s="81"/>
      <c r="N474" s="81"/>
      <c r="O474" s="289"/>
      <c r="P474" s="81"/>
      <c r="Q474" s="289"/>
      <c r="R474" s="81"/>
      <c r="S474" s="289"/>
      <c r="T474" s="81"/>
      <c r="U474" s="81"/>
      <c r="V474" s="81"/>
      <c r="W474" s="81"/>
      <c r="X474" s="81"/>
      <c r="Y474" s="81"/>
      <c r="Z474" s="81"/>
    </row>
    <row r="475" spans="1:26" ht="24" customHeight="1" x14ac:dyDescent="0.5">
      <c r="A475" s="81"/>
      <c r="B475" s="81"/>
      <c r="C475" s="81"/>
      <c r="D475" s="81"/>
      <c r="E475" s="81"/>
      <c r="F475" s="81"/>
      <c r="G475" s="81"/>
      <c r="H475" s="81"/>
      <c r="I475" s="289"/>
      <c r="J475" s="105"/>
      <c r="K475" s="81"/>
      <c r="L475" s="289"/>
      <c r="M475" s="81"/>
      <c r="N475" s="81"/>
      <c r="O475" s="289"/>
      <c r="P475" s="81"/>
      <c r="Q475" s="289"/>
      <c r="R475" s="81"/>
      <c r="S475" s="289"/>
      <c r="T475" s="81"/>
      <c r="U475" s="81"/>
      <c r="V475" s="81"/>
      <c r="W475" s="81"/>
      <c r="X475" s="81"/>
      <c r="Y475" s="81"/>
      <c r="Z475" s="81"/>
    </row>
    <row r="476" spans="1:26" ht="24" customHeight="1" x14ac:dyDescent="0.5">
      <c r="A476" s="81"/>
      <c r="B476" s="81"/>
      <c r="C476" s="81"/>
      <c r="D476" s="81"/>
      <c r="E476" s="81"/>
      <c r="F476" s="81"/>
      <c r="G476" s="81"/>
      <c r="H476" s="81"/>
      <c r="I476" s="289"/>
      <c r="J476" s="105"/>
      <c r="K476" s="81"/>
      <c r="L476" s="289"/>
      <c r="M476" s="81"/>
      <c r="N476" s="81"/>
      <c r="O476" s="289"/>
      <c r="P476" s="81"/>
      <c r="Q476" s="289"/>
      <c r="R476" s="81"/>
      <c r="S476" s="289"/>
      <c r="T476" s="81"/>
      <c r="U476" s="81"/>
      <c r="V476" s="81"/>
      <c r="W476" s="81"/>
      <c r="X476" s="81"/>
      <c r="Y476" s="81"/>
      <c r="Z476" s="81"/>
    </row>
    <row r="477" spans="1:26" ht="24" customHeight="1" x14ac:dyDescent="0.5">
      <c r="A477" s="81"/>
      <c r="B477" s="81"/>
      <c r="C477" s="81"/>
      <c r="D477" s="81"/>
      <c r="E477" s="81"/>
      <c r="F477" s="81"/>
      <c r="G477" s="81"/>
      <c r="H477" s="81"/>
      <c r="I477" s="289"/>
      <c r="J477" s="105"/>
      <c r="K477" s="81"/>
      <c r="L477" s="289"/>
      <c r="M477" s="81"/>
      <c r="N477" s="81"/>
      <c r="O477" s="289"/>
      <c r="P477" s="81"/>
      <c r="Q477" s="289"/>
      <c r="R477" s="81"/>
      <c r="S477" s="289"/>
      <c r="T477" s="81"/>
      <c r="U477" s="81"/>
      <c r="V477" s="81"/>
      <c r="W477" s="81"/>
      <c r="X477" s="81"/>
      <c r="Y477" s="81"/>
      <c r="Z477" s="81"/>
    </row>
    <row r="478" spans="1:26" ht="24" customHeight="1" x14ac:dyDescent="0.5">
      <c r="A478" s="81"/>
      <c r="B478" s="81"/>
      <c r="C478" s="81"/>
      <c r="D478" s="81"/>
      <c r="E478" s="81"/>
      <c r="F478" s="81"/>
      <c r="G478" s="81"/>
      <c r="H478" s="81"/>
      <c r="I478" s="289"/>
      <c r="J478" s="105"/>
      <c r="K478" s="81"/>
      <c r="L478" s="289"/>
      <c r="M478" s="81"/>
      <c r="N478" s="81"/>
      <c r="O478" s="289"/>
      <c r="P478" s="81"/>
      <c r="Q478" s="289"/>
      <c r="R478" s="81"/>
      <c r="S478" s="289"/>
      <c r="T478" s="81"/>
      <c r="U478" s="81"/>
      <c r="V478" s="81"/>
      <c r="W478" s="81"/>
      <c r="X478" s="81"/>
      <c r="Y478" s="81"/>
      <c r="Z478" s="81"/>
    </row>
    <row r="479" spans="1:26" ht="24" customHeight="1" x14ac:dyDescent="0.5">
      <c r="A479" s="81"/>
      <c r="B479" s="81"/>
      <c r="C479" s="81"/>
      <c r="D479" s="81"/>
      <c r="E479" s="81"/>
      <c r="F479" s="81"/>
      <c r="G479" s="81"/>
      <c r="H479" s="81"/>
      <c r="I479" s="289"/>
      <c r="J479" s="105"/>
      <c r="K479" s="81"/>
      <c r="L479" s="289"/>
      <c r="M479" s="81"/>
      <c r="N479" s="81"/>
      <c r="O479" s="289"/>
      <c r="P479" s="81"/>
      <c r="Q479" s="289"/>
      <c r="R479" s="81"/>
      <c r="S479" s="289"/>
      <c r="T479" s="81"/>
      <c r="U479" s="81"/>
      <c r="V479" s="81"/>
      <c r="W479" s="81"/>
      <c r="X479" s="81"/>
      <c r="Y479" s="81"/>
      <c r="Z479" s="81"/>
    </row>
    <row r="480" spans="1:26" ht="24" customHeight="1" x14ac:dyDescent="0.5">
      <c r="A480" s="81"/>
      <c r="B480" s="81"/>
      <c r="C480" s="81"/>
      <c r="D480" s="81"/>
      <c r="E480" s="81"/>
      <c r="F480" s="81"/>
      <c r="G480" s="81"/>
      <c r="H480" s="81"/>
      <c r="I480" s="289"/>
      <c r="J480" s="105"/>
      <c r="K480" s="81"/>
      <c r="L480" s="289"/>
      <c r="M480" s="81"/>
      <c r="N480" s="81"/>
      <c r="O480" s="289"/>
      <c r="P480" s="81"/>
      <c r="Q480" s="289"/>
      <c r="R480" s="81"/>
      <c r="S480" s="289"/>
      <c r="T480" s="81"/>
      <c r="U480" s="81"/>
      <c r="V480" s="81"/>
      <c r="W480" s="81"/>
      <c r="X480" s="81"/>
      <c r="Y480" s="81"/>
      <c r="Z480" s="81"/>
    </row>
    <row r="481" spans="1:26" ht="24" customHeight="1" x14ac:dyDescent="0.5">
      <c r="A481" s="81"/>
      <c r="B481" s="81"/>
      <c r="C481" s="81"/>
      <c r="D481" s="81"/>
      <c r="E481" s="81"/>
      <c r="F481" s="81"/>
      <c r="G481" s="81"/>
      <c r="H481" s="81"/>
      <c r="I481" s="289"/>
      <c r="J481" s="105"/>
      <c r="K481" s="81"/>
      <c r="L481" s="289"/>
      <c r="M481" s="81"/>
      <c r="N481" s="81"/>
      <c r="O481" s="289"/>
      <c r="P481" s="81"/>
      <c r="Q481" s="289"/>
      <c r="R481" s="81"/>
      <c r="S481" s="289"/>
      <c r="T481" s="81"/>
      <c r="U481" s="81"/>
      <c r="V481" s="81"/>
      <c r="W481" s="81"/>
      <c r="X481" s="81"/>
      <c r="Y481" s="81"/>
      <c r="Z481" s="81"/>
    </row>
    <row r="482" spans="1:26" ht="24" customHeight="1" x14ac:dyDescent="0.5">
      <c r="A482" s="81"/>
      <c r="B482" s="81"/>
      <c r="C482" s="81"/>
      <c r="D482" s="81"/>
      <c r="E482" s="81"/>
      <c r="F482" s="81"/>
      <c r="G482" s="81"/>
      <c r="H482" s="81"/>
      <c r="I482" s="289"/>
      <c r="J482" s="105"/>
      <c r="K482" s="81"/>
      <c r="L482" s="289"/>
      <c r="M482" s="81"/>
      <c r="N482" s="81"/>
      <c r="O482" s="289"/>
      <c r="P482" s="81"/>
      <c r="Q482" s="289"/>
      <c r="R482" s="81"/>
      <c r="S482" s="289"/>
      <c r="T482" s="81"/>
      <c r="U482" s="81"/>
      <c r="V482" s="81"/>
      <c r="W482" s="81"/>
      <c r="X482" s="81"/>
      <c r="Y482" s="81"/>
      <c r="Z482" s="81"/>
    </row>
    <row r="483" spans="1:26" ht="24" customHeight="1" x14ac:dyDescent="0.5">
      <c r="A483" s="81"/>
      <c r="B483" s="81"/>
      <c r="C483" s="81"/>
      <c r="D483" s="81"/>
      <c r="E483" s="81"/>
      <c r="F483" s="81"/>
      <c r="G483" s="81"/>
      <c r="H483" s="81"/>
      <c r="I483" s="289"/>
      <c r="J483" s="105"/>
      <c r="K483" s="81"/>
      <c r="L483" s="289"/>
      <c r="M483" s="81"/>
      <c r="N483" s="81"/>
      <c r="O483" s="289"/>
      <c r="P483" s="81"/>
      <c r="Q483" s="289"/>
      <c r="R483" s="81"/>
      <c r="S483" s="289"/>
      <c r="T483" s="81"/>
      <c r="U483" s="81"/>
      <c r="V483" s="81"/>
      <c r="W483" s="81"/>
      <c r="X483" s="81"/>
      <c r="Y483" s="81"/>
      <c r="Z483" s="81"/>
    </row>
    <row r="484" spans="1:26" ht="24" customHeight="1" x14ac:dyDescent="0.5">
      <c r="A484" s="81"/>
      <c r="B484" s="81"/>
      <c r="C484" s="81"/>
      <c r="D484" s="81"/>
      <c r="E484" s="81"/>
      <c r="F484" s="81"/>
      <c r="G484" s="81"/>
      <c r="H484" s="81"/>
      <c r="I484" s="289"/>
      <c r="J484" s="105"/>
      <c r="K484" s="81"/>
      <c r="L484" s="289"/>
      <c r="M484" s="81"/>
      <c r="N484" s="81"/>
      <c r="O484" s="289"/>
      <c r="P484" s="81"/>
      <c r="Q484" s="289"/>
      <c r="R484" s="81"/>
      <c r="S484" s="289"/>
      <c r="T484" s="81"/>
      <c r="U484" s="81"/>
      <c r="V484" s="81"/>
      <c r="W484" s="81"/>
      <c r="X484" s="81"/>
      <c r="Y484" s="81"/>
      <c r="Z484" s="81"/>
    </row>
    <row r="485" spans="1:26" ht="24" customHeight="1" x14ac:dyDescent="0.5">
      <c r="A485" s="81"/>
      <c r="B485" s="81"/>
      <c r="C485" s="81"/>
      <c r="D485" s="81"/>
      <c r="E485" s="81"/>
      <c r="F485" s="81"/>
      <c r="G485" s="81"/>
      <c r="H485" s="81"/>
      <c r="I485" s="289"/>
      <c r="J485" s="105"/>
      <c r="K485" s="81"/>
      <c r="L485" s="289"/>
      <c r="M485" s="81"/>
      <c r="N485" s="81"/>
      <c r="O485" s="289"/>
      <c r="P485" s="81"/>
      <c r="Q485" s="289"/>
      <c r="R485" s="81"/>
      <c r="S485" s="289"/>
      <c r="T485" s="81"/>
      <c r="U485" s="81"/>
      <c r="V485" s="81"/>
      <c r="W485" s="81"/>
      <c r="X485" s="81"/>
      <c r="Y485" s="81"/>
      <c r="Z485" s="81"/>
    </row>
    <row r="486" spans="1:26" ht="24" customHeight="1" x14ac:dyDescent="0.5">
      <c r="A486" s="81"/>
      <c r="B486" s="81"/>
      <c r="C486" s="81"/>
      <c r="D486" s="81"/>
      <c r="E486" s="81"/>
      <c r="F486" s="81"/>
      <c r="G486" s="81"/>
      <c r="H486" s="81"/>
      <c r="I486" s="289"/>
      <c r="J486" s="105"/>
      <c r="K486" s="81"/>
      <c r="L486" s="289"/>
      <c r="M486" s="81"/>
      <c r="N486" s="81"/>
      <c r="O486" s="289"/>
      <c r="P486" s="81"/>
      <c r="Q486" s="289"/>
      <c r="R486" s="81"/>
      <c r="S486" s="289"/>
      <c r="T486" s="81"/>
      <c r="U486" s="81"/>
      <c r="V486" s="81"/>
      <c r="W486" s="81"/>
      <c r="X486" s="81"/>
      <c r="Y486" s="81"/>
      <c r="Z486" s="81"/>
    </row>
    <row r="487" spans="1:26" ht="24" customHeight="1" x14ac:dyDescent="0.5">
      <c r="A487" s="81"/>
      <c r="B487" s="81"/>
      <c r="C487" s="81"/>
      <c r="D487" s="81"/>
      <c r="E487" s="81"/>
      <c r="F487" s="81"/>
      <c r="G487" s="81"/>
      <c r="H487" s="81"/>
      <c r="I487" s="289"/>
      <c r="J487" s="105"/>
      <c r="K487" s="81"/>
      <c r="L487" s="289"/>
      <c r="M487" s="81"/>
      <c r="N487" s="81"/>
      <c r="O487" s="289"/>
      <c r="P487" s="81"/>
      <c r="Q487" s="289"/>
      <c r="R487" s="81"/>
      <c r="S487" s="289"/>
      <c r="T487" s="81"/>
      <c r="U487" s="81"/>
      <c r="V487" s="81"/>
      <c r="W487" s="81"/>
      <c r="X487" s="81"/>
      <c r="Y487" s="81"/>
      <c r="Z487" s="81"/>
    </row>
    <row r="488" spans="1:26" ht="24" customHeight="1" x14ac:dyDescent="0.5">
      <c r="A488" s="81"/>
      <c r="B488" s="81"/>
      <c r="C488" s="81"/>
      <c r="D488" s="81"/>
      <c r="E488" s="81"/>
      <c r="F488" s="81"/>
      <c r="G488" s="81"/>
      <c r="H488" s="81"/>
      <c r="I488" s="289"/>
      <c r="J488" s="105"/>
      <c r="K488" s="81"/>
      <c r="L488" s="289"/>
      <c r="M488" s="81"/>
      <c r="N488" s="81"/>
      <c r="O488" s="289"/>
      <c r="P488" s="81"/>
      <c r="Q488" s="289"/>
      <c r="R488" s="81"/>
      <c r="S488" s="289"/>
      <c r="T488" s="81"/>
      <c r="U488" s="81"/>
      <c r="V488" s="81"/>
      <c r="W488" s="81"/>
      <c r="X488" s="81"/>
      <c r="Y488" s="81"/>
      <c r="Z488" s="81"/>
    </row>
    <row r="489" spans="1:26" ht="24" customHeight="1" x14ac:dyDescent="0.5">
      <c r="A489" s="81"/>
      <c r="B489" s="81"/>
      <c r="C489" s="81"/>
      <c r="D489" s="81"/>
      <c r="E489" s="81"/>
      <c r="F489" s="81"/>
      <c r="G489" s="81"/>
      <c r="H489" s="81"/>
      <c r="I489" s="289"/>
      <c r="J489" s="105"/>
      <c r="K489" s="81"/>
      <c r="L489" s="289"/>
      <c r="M489" s="81"/>
      <c r="N489" s="81"/>
      <c r="O489" s="289"/>
      <c r="P489" s="81"/>
      <c r="Q489" s="289"/>
      <c r="R489" s="81"/>
      <c r="S489" s="289"/>
      <c r="T489" s="81"/>
      <c r="U489" s="81"/>
      <c r="V489" s="81"/>
      <c r="W489" s="81"/>
      <c r="X489" s="81"/>
      <c r="Y489" s="81"/>
      <c r="Z489" s="81"/>
    </row>
    <row r="490" spans="1:26" ht="24" customHeight="1" x14ac:dyDescent="0.5">
      <c r="A490" s="81"/>
      <c r="B490" s="81"/>
      <c r="C490" s="81"/>
      <c r="D490" s="81"/>
      <c r="E490" s="81"/>
      <c r="F490" s="81"/>
      <c r="G490" s="81"/>
      <c r="H490" s="81"/>
      <c r="I490" s="289"/>
      <c r="J490" s="105"/>
      <c r="K490" s="81"/>
      <c r="L490" s="289"/>
      <c r="M490" s="81"/>
      <c r="N490" s="81"/>
      <c r="O490" s="289"/>
      <c r="P490" s="81"/>
      <c r="Q490" s="289"/>
      <c r="R490" s="81"/>
      <c r="S490" s="289"/>
      <c r="T490" s="81"/>
      <c r="U490" s="81"/>
      <c r="V490" s="81"/>
      <c r="W490" s="81"/>
      <c r="X490" s="81"/>
      <c r="Y490" s="81"/>
      <c r="Z490" s="81"/>
    </row>
    <row r="491" spans="1:26" ht="24" customHeight="1" x14ac:dyDescent="0.5">
      <c r="A491" s="81"/>
      <c r="B491" s="81"/>
      <c r="C491" s="81"/>
      <c r="D491" s="81"/>
      <c r="E491" s="81"/>
      <c r="F491" s="81"/>
      <c r="G491" s="81"/>
      <c r="H491" s="81"/>
      <c r="I491" s="289"/>
      <c r="J491" s="105"/>
      <c r="K491" s="81"/>
      <c r="L491" s="289"/>
      <c r="M491" s="81"/>
      <c r="N491" s="81"/>
      <c r="O491" s="289"/>
      <c r="P491" s="81"/>
      <c r="Q491" s="289"/>
      <c r="R491" s="81"/>
      <c r="S491" s="289"/>
      <c r="T491" s="81"/>
      <c r="U491" s="81"/>
      <c r="V491" s="81"/>
      <c r="W491" s="81"/>
      <c r="X491" s="81"/>
      <c r="Y491" s="81"/>
      <c r="Z491" s="81"/>
    </row>
    <row r="492" spans="1:26" ht="24" customHeight="1" x14ac:dyDescent="0.5">
      <c r="A492" s="81"/>
      <c r="B492" s="81"/>
      <c r="C492" s="81"/>
      <c r="D492" s="81"/>
      <c r="E492" s="81"/>
      <c r="F492" s="81"/>
      <c r="G492" s="81"/>
      <c r="H492" s="81"/>
      <c r="I492" s="289"/>
      <c r="J492" s="105"/>
      <c r="K492" s="81"/>
      <c r="L492" s="289"/>
      <c r="M492" s="81"/>
      <c r="N492" s="81"/>
      <c r="O492" s="289"/>
      <c r="P492" s="81"/>
      <c r="Q492" s="289"/>
      <c r="R492" s="81"/>
      <c r="S492" s="289"/>
      <c r="T492" s="81"/>
      <c r="U492" s="81"/>
      <c r="V492" s="81"/>
      <c r="W492" s="81"/>
      <c r="X492" s="81"/>
      <c r="Y492" s="81"/>
      <c r="Z492" s="81"/>
    </row>
    <row r="493" spans="1:26" ht="24" customHeight="1" x14ac:dyDescent="0.5">
      <c r="A493" s="81"/>
      <c r="B493" s="81"/>
      <c r="C493" s="81"/>
      <c r="D493" s="81"/>
      <c r="E493" s="81"/>
      <c r="F493" s="81"/>
      <c r="G493" s="81"/>
      <c r="H493" s="81"/>
      <c r="I493" s="289"/>
      <c r="J493" s="105"/>
      <c r="K493" s="81"/>
      <c r="L493" s="289"/>
      <c r="M493" s="81"/>
      <c r="N493" s="81"/>
      <c r="O493" s="289"/>
      <c r="P493" s="81"/>
      <c r="Q493" s="289"/>
      <c r="R493" s="81"/>
      <c r="S493" s="289"/>
      <c r="T493" s="81"/>
      <c r="U493" s="81"/>
      <c r="V493" s="81"/>
      <c r="W493" s="81"/>
      <c r="X493" s="81"/>
      <c r="Y493" s="81"/>
      <c r="Z493" s="81"/>
    </row>
    <row r="494" spans="1:26" ht="24" customHeight="1" x14ac:dyDescent="0.5">
      <c r="A494" s="81"/>
      <c r="B494" s="81"/>
      <c r="C494" s="81"/>
      <c r="D494" s="81"/>
      <c r="E494" s="81"/>
      <c r="F494" s="81"/>
      <c r="G494" s="81"/>
      <c r="H494" s="81"/>
      <c r="I494" s="289"/>
      <c r="J494" s="105"/>
      <c r="K494" s="81"/>
      <c r="L494" s="289"/>
      <c r="M494" s="81"/>
      <c r="N494" s="81"/>
      <c r="O494" s="289"/>
      <c r="P494" s="81"/>
      <c r="Q494" s="289"/>
      <c r="R494" s="81"/>
      <c r="S494" s="289"/>
      <c r="T494" s="81"/>
      <c r="U494" s="81"/>
      <c r="V494" s="81"/>
      <c r="W494" s="81"/>
      <c r="X494" s="81"/>
      <c r="Y494" s="81"/>
      <c r="Z494" s="81"/>
    </row>
    <row r="495" spans="1:26" ht="24" customHeight="1" x14ac:dyDescent="0.5">
      <c r="A495" s="81"/>
      <c r="B495" s="81"/>
      <c r="C495" s="81"/>
      <c r="D495" s="81"/>
      <c r="E495" s="81"/>
      <c r="F495" s="81"/>
      <c r="G495" s="81"/>
      <c r="H495" s="81"/>
      <c r="I495" s="289"/>
      <c r="J495" s="105"/>
      <c r="K495" s="81"/>
      <c r="L495" s="289"/>
      <c r="M495" s="81"/>
      <c r="N495" s="81"/>
      <c r="O495" s="289"/>
      <c r="P495" s="81"/>
      <c r="Q495" s="289"/>
      <c r="R495" s="81"/>
      <c r="S495" s="289"/>
      <c r="T495" s="81"/>
      <c r="U495" s="81"/>
      <c r="V495" s="81"/>
      <c r="W495" s="81"/>
      <c r="X495" s="81"/>
      <c r="Y495" s="81"/>
      <c r="Z495" s="81"/>
    </row>
    <row r="496" spans="1:26" ht="24" customHeight="1" x14ac:dyDescent="0.5">
      <c r="A496" s="81"/>
      <c r="B496" s="81"/>
      <c r="C496" s="81"/>
      <c r="D496" s="81"/>
      <c r="E496" s="81"/>
      <c r="F496" s="81"/>
      <c r="G496" s="81"/>
      <c r="H496" s="81"/>
      <c r="I496" s="289"/>
      <c r="J496" s="105"/>
      <c r="K496" s="81"/>
      <c r="L496" s="289"/>
      <c r="M496" s="81"/>
      <c r="N496" s="81"/>
      <c r="O496" s="289"/>
      <c r="P496" s="81"/>
      <c r="Q496" s="289"/>
      <c r="R496" s="81"/>
      <c r="S496" s="289"/>
      <c r="T496" s="81"/>
      <c r="U496" s="81"/>
      <c r="V496" s="81"/>
      <c r="W496" s="81"/>
      <c r="X496" s="81"/>
      <c r="Y496" s="81"/>
      <c r="Z496" s="81"/>
    </row>
    <row r="497" spans="1:26" ht="24" customHeight="1" x14ac:dyDescent="0.5">
      <c r="A497" s="81"/>
      <c r="B497" s="81"/>
      <c r="C497" s="81"/>
      <c r="D497" s="81"/>
      <c r="E497" s="81"/>
      <c r="F497" s="81"/>
      <c r="G497" s="81"/>
      <c r="H497" s="81"/>
      <c r="I497" s="289"/>
      <c r="J497" s="105"/>
      <c r="K497" s="81"/>
      <c r="L497" s="289"/>
      <c r="M497" s="81"/>
      <c r="N497" s="81"/>
      <c r="O497" s="289"/>
      <c r="P497" s="81"/>
      <c r="Q497" s="289"/>
      <c r="R497" s="81"/>
      <c r="S497" s="289"/>
      <c r="T497" s="81"/>
      <c r="U497" s="81"/>
      <c r="V497" s="81"/>
      <c r="W497" s="81"/>
      <c r="X497" s="81"/>
      <c r="Y497" s="81"/>
      <c r="Z497" s="81"/>
    </row>
    <row r="498" spans="1:26" ht="24" customHeight="1" x14ac:dyDescent="0.5">
      <c r="A498" s="81"/>
      <c r="B498" s="81"/>
      <c r="C498" s="81"/>
      <c r="D498" s="81"/>
      <c r="E498" s="81"/>
      <c r="F498" s="81"/>
      <c r="G498" s="81"/>
      <c r="H498" s="81"/>
      <c r="I498" s="289"/>
      <c r="J498" s="105"/>
      <c r="K498" s="81"/>
      <c r="L498" s="289"/>
      <c r="M498" s="81"/>
      <c r="N498" s="81"/>
      <c r="O498" s="289"/>
      <c r="P498" s="81"/>
      <c r="Q498" s="289"/>
      <c r="R498" s="81"/>
      <c r="S498" s="289"/>
      <c r="T498" s="81"/>
      <c r="U498" s="81"/>
      <c r="V498" s="81"/>
      <c r="W498" s="81"/>
      <c r="X498" s="81"/>
      <c r="Y498" s="81"/>
      <c r="Z498" s="81"/>
    </row>
    <row r="499" spans="1:26" ht="24" customHeight="1" x14ac:dyDescent="0.5">
      <c r="A499" s="81"/>
      <c r="B499" s="81"/>
      <c r="C499" s="81"/>
      <c r="D499" s="81"/>
      <c r="E499" s="81"/>
      <c r="F499" s="81"/>
      <c r="G499" s="81"/>
      <c r="H499" s="81"/>
      <c r="I499" s="289"/>
      <c r="J499" s="105"/>
      <c r="K499" s="81"/>
      <c r="L499" s="289"/>
      <c r="M499" s="81"/>
      <c r="N499" s="81"/>
      <c r="O499" s="289"/>
      <c r="P499" s="81"/>
      <c r="Q499" s="289"/>
      <c r="R499" s="81"/>
      <c r="S499" s="289"/>
      <c r="T499" s="81"/>
      <c r="U499" s="81"/>
      <c r="V499" s="81"/>
      <c r="W499" s="81"/>
      <c r="X499" s="81"/>
      <c r="Y499" s="81"/>
      <c r="Z499" s="81"/>
    </row>
    <row r="500" spans="1:26" ht="24" customHeight="1" x14ac:dyDescent="0.5">
      <c r="A500" s="81"/>
      <c r="B500" s="81"/>
      <c r="C500" s="81"/>
      <c r="D500" s="81"/>
      <c r="E500" s="81"/>
      <c r="F500" s="81"/>
      <c r="G500" s="81"/>
      <c r="H500" s="81"/>
      <c r="I500" s="289"/>
      <c r="J500" s="105"/>
      <c r="K500" s="81"/>
      <c r="L500" s="289"/>
      <c r="M500" s="81"/>
      <c r="N500" s="81"/>
      <c r="O500" s="289"/>
      <c r="P500" s="81"/>
      <c r="Q500" s="289"/>
      <c r="R500" s="81"/>
      <c r="S500" s="289"/>
      <c r="T500" s="81"/>
      <c r="U500" s="81"/>
      <c r="V500" s="81"/>
      <c r="W500" s="81"/>
      <c r="X500" s="81"/>
      <c r="Y500" s="81"/>
      <c r="Z500" s="81"/>
    </row>
    <row r="501" spans="1:26" ht="24" customHeight="1" x14ac:dyDescent="0.5">
      <c r="A501" s="81"/>
      <c r="B501" s="81"/>
      <c r="C501" s="81"/>
      <c r="D501" s="81"/>
      <c r="E501" s="81"/>
      <c r="F501" s="81"/>
      <c r="G501" s="81"/>
      <c r="H501" s="81"/>
      <c r="I501" s="289"/>
      <c r="J501" s="105"/>
      <c r="K501" s="81"/>
      <c r="L501" s="289"/>
      <c r="M501" s="81"/>
      <c r="N501" s="81"/>
      <c r="O501" s="289"/>
      <c r="P501" s="81"/>
      <c r="Q501" s="289"/>
      <c r="R501" s="81"/>
      <c r="S501" s="289"/>
      <c r="T501" s="81"/>
      <c r="U501" s="81"/>
      <c r="V501" s="81"/>
      <c r="W501" s="81"/>
      <c r="X501" s="81"/>
      <c r="Y501" s="81"/>
      <c r="Z501" s="81"/>
    </row>
    <row r="502" spans="1:26" ht="24" customHeight="1" x14ac:dyDescent="0.5">
      <c r="A502" s="81"/>
      <c r="B502" s="81"/>
      <c r="C502" s="81"/>
      <c r="D502" s="81"/>
      <c r="E502" s="81"/>
      <c r="F502" s="81"/>
      <c r="G502" s="81"/>
      <c r="H502" s="81"/>
      <c r="I502" s="289"/>
      <c r="J502" s="105"/>
      <c r="K502" s="81"/>
      <c r="L502" s="289"/>
      <c r="M502" s="81"/>
      <c r="N502" s="81"/>
      <c r="O502" s="289"/>
      <c r="P502" s="81"/>
      <c r="Q502" s="289"/>
      <c r="R502" s="81"/>
      <c r="S502" s="289"/>
      <c r="T502" s="81"/>
      <c r="U502" s="81"/>
      <c r="V502" s="81"/>
      <c r="W502" s="81"/>
      <c r="X502" s="81"/>
      <c r="Y502" s="81"/>
      <c r="Z502" s="81"/>
    </row>
    <row r="503" spans="1:26" ht="24" customHeight="1" x14ac:dyDescent="0.5">
      <c r="A503" s="81"/>
      <c r="B503" s="81"/>
      <c r="C503" s="81"/>
      <c r="D503" s="81"/>
      <c r="E503" s="81"/>
      <c r="F503" s="81"/>
      <c r="G503" s="81"/>
      <c r="H503" s="81"/>
      <c r="I503" s="289"/>
      <c r="J503" s="105"/>
      <c r="K503" s="81"/>
      <c r="L503" s="289"/>
      <c r="M503" s="81"/>
      <c r="N503" s="81"/>
      <c r="O503" s="289"/>
      <c r="P503" s="81"/>
      <c r="Q503" s="289"/>
      <c r="R503" s="81"/>
      <c r="S503" s="289"/>
      <c r="T503" s="81"/>
      <c r="U503" s="81"/>
      <c r="V503" s="81"/>
      <c r="W503" s="81"/>
      <c r="X503" s="81"/>
      <c r="Y503" s="81"/>
      <c r="Z503" s="81"/>
    </row>
    <row r="504" spans="1:26" ht="24" customHeight="1" x14ac:dyDescent="0.5">
      <c r="A504" s="81"/>
      <c r="B504" s="81"/>
      <c r="C504" s="81"/>
      <c r="D504" s="81"/>
      <c r="E504" s="81"/>
      <c r="F504" s="81"/>
      <c r="G504" s="81"/>
      <c r="H504" s="81"/>
      <c r="I504" s="289"/>
      <c r="J504" s="105"/>
      <c r="K504" s="81"/>
      <c r="L504" s="289"/>
      <c r="M504" s="81"/>
      <c r="N504" s="81"/>
      <c r="O504" s="289"/>
      <c r="P504" s="81"/>
      <c r="Q504" s="289"/>
      <c r="R504" s="81"/>
      <c r="S504" s="289"/>
      <c r="T504" s="81"/>
      <c r="U504" s="81"/>
      <c r="V504" s="81"/>
      <c r="W504" s="81"/>
      <c r="X504" s="81"/>
      <c r="Y504" s="81"/>
      <c r="Z504" s="81"/>
    </row>
    <row r="505" spans="1:26" ht="24" customHeight="1" x14ac:dyDescent="0.5">
      <c r="A505" s="81"/>
      <c r="B505" s="81"/>
      <c r="C505" s="81"/>
      <c r="D505" s="81"/>
      <c r="E505" s="81"/>
      <c r="F505" s="81"/>
      <c r="G505" s="81"/>
      <c r="H505" s="81"/>
      <c r="I505" s="289"/>
      <c r="J505" s="105"/>
      <c r="K505" s="81"/>
      <c r="L505" s="289"/>
      <c r="M505" s="81"/>
      <c r="N505" s="81"/>
      <c r="O505" s="289"/>
      <c r="P505" s="81"/>
      <c r="Q505" s="289"/>
      <c r="R505" s="81"/>
      <c r="S505" s="289"/>
      <c r="T505" s="81"/>
      <c r="U505" s="81"/>
      <c r="V505" s="81"/>
      <c r="W505" s="81"/>
      <c r="X505" s="81"/>
      <c r="Y505" s="81"/>
      <c r="Z505" s="81"/>
    </row>
    <row r="506" spans="1:26" ht="24" customHeight="1" x14ac:dyDescent="0.5">
      <c r="A506" s="81"/>
      <c r="B506" s="81"/>
      <c r="C506" s="81"/>
      <c r="D506" s="81"/>
      <c r="E506" s="81"/>
      <c r="F506" s="81"/>
      <c r="G506" s="81"/>
      <c r="H506" s="81"/>
      <c r="I506" s="289"/>
      <c r="J506" s="105"/>
      <c r="K506" s="81"/>
      <c r="L506" s="289"/>
      <c r="M506" s="81"/>
      <c r="N506" s="81"/>
      <c r="O506" s="289"/>
      <c r="P506" s="81"/>
      <c r="Q506" s="289"/>
      <c r="R506" s="81"/>
      <c r="S506" s="289"/>
      <c r="T506" s="81"/>
      <c r="U506" s="81"/>
      <c r="V506" s="81"/>
      <c r="W506" s="81"/>
      <c r="X506" s="81"/>
      <c r="Y506" s="81"/>
      <c r="Z506" s="81"/>
    </row>
    <row r="507" spans="1:26" ht="24" customHeight="1" x14ac:dyDescent="0.5">
      <c r="A507" s="81"/>
      <c r="B507" s="81"/>
      <c r="C507" s="81"/>
      <c r="D507" s="81"/>
      <c r="E507" s="81"/>
      <c r="F507" s="81"/>
      <c r="G507" s="81"/>
      <c r="H507" s="81"/>
      <c r="I507" s="289"/>
      <c r="J507" s="105"/>
      <c r="K507" s="81"/>
      <c r="L507" s="289"/>
      <c r="M507" s="81"/>
      <c r="N507" s="81"/>
      <c r="O507" s="289"/>
      <c r="P507" s="81"/>
      <c r="Q507" s="289"/>
      <c r="R507" s="81"/>
      <c r="S507" s="289"/>
      <c r="T507" s="81"/>
      <c r="U507" s="81"/>
      <c r="V507" s="81"/>
      <c r="W507" s="81"/>
      <c r="X507" s="81"/>
      <c r="Y507" s="81"/>
      <c r="Z507" s="81"/>
    </row>
    <row r="508" spans="1:26" ht="24" customHeight="1" x14ac:dyDescent="0.5">
      <c r="A508" s="81"/>
      <c r="B508" s="81"/>
      <c r="C508" s="81"/>
      <c r="D508" s="81"/>
      <c r="E508" s="81"/>
      <c r="F508" s="81"/>
      <c r="G508" s="81"/>
      <c r="H508" s="81"/>
      <c r="I508" s="289"/>
      <c r="J508" s="105"/>
      <c r="K508" s="81"/>
      <c r="L508" s="289"/>
      <c r="M508" s="81"/>
      <c r="N508" s="81"/>
      <c r="O508" s="289"/>
      <c r="P508" s="81"/>
      <c r="Q508" s="289"/>
      <c r="R508" s="81"/>
      <c r="S508" s="289"/>
      <c r="T508" s="81"/>
      <c r="U508" s="81"/>
      <c r="V508" s="81"/>
      <c r="W508" s="81"/>
      <c r="X508" s="81"/>
      <c r="Y508" s="81"/>
      <c r="Z508" s="81"/>
    </row>
    <row r="509" spans="1:26" ht="24" customHeight="1" x14ac:dyDescent="0.5">
      <c r="A509" s="81"/>
      <c r="B509" s="81"/>
      <c r="C509" s="81"/>
      <c r="D509" s="81"/>
      <c r="E509" s="81"/>
      <c r="F509" s="81"/>
      <c r="G509" s="81"/>
      <c r="H509" s="81"/>
      <c r="I509" s="289"/>
      <c r="J509" s="105"/>
      <c r="K509" s="81"/>
      <c r="L509" s="289"/>
      <c r="M509" s="81"/>
      <c r="N509" s="81"/>
      <c r="O509" s="289"/>
      <c r="P509" s="81"/>
      <c r="Q509" s="289"/>
      <c r="R509" s="81"/>
      <c r="S509" s="289"/>
      <c r="T509" s="81"/>
      <c r="U509" s="81"/>
      <c r="V509" s="81"/>
      <c r="W509" s="81"/>
      <c r="X509" s="81"/>
      <c r="Y509" s="81"/>
      <c r="Z509" s="81"/>
    </row>
    <row r="510" spans="1:26" ht="24" customHeight="1" x14ac:dyDescent="0.5">
      <c r="A510" s="81"/>
      <c r="B510" s="81"/>
      <c r="C510" s="81"/>
      <c r="D510" s="81"/>
      <c r="E510" s="81"/>
      <c r="F510" s="81"/>
      <c r="G510" s="81"/>
      <c r="H510" s="81"/>
      <c r="I510" s="289"/>
      <c r="J510" s="105"/>
      <c r="K510" s="81"/>
      <c r="L510" s="289"/>
      <c r="M510" s="81"/>
      <c r="N510" s="81"/>
      <c r="O510" s="289"/>
      <c r="P510" s="81"/>
      <c r="Q510" s="289"/>
      <c r="R510" s="81"/>
      <c r="S510" s="289"/>
      <c r="T510" s="81"/>
      <c r="U510" s="81"/>
      <c r="V510" s="81"/>
      <c r="W510" s="81"/>
      <c r="X510" s="81"/>
      <c r="Y510" s="81"/>
      <c r="Z510" s="81"/>
    </row>
    <row r="511" spans="1:26" ht="24" customHeight="1" x14ac:dyDescent="0.5">
      <c r="A511" s="81"/>
      <c r="B511" s="81"/>
      <c r="C511" s="81"/>
      <c r="D511" s="81"/>
      <c r="E511" s="81"/>
      <c r="F511" s="81"/>
      <c r="G511" s="81"/>
      <c r="H511" s="81"/>
      <c r="I511" s="289"/>
      <c r="J511" s="105"/>
      <c r="K511" s="81"/>
      <c r="L511" s="289"/>
      <c r="M511" s="81"/>
      <c r="N511" s="81"/>
      <c r="O511" s="289"/>
      <c r="P511" s="81"/>
      <c r="Q511" s="289"/>
      <c r="R511" s="81"/>
      <c r="S511" s="289"/>
      <c r="T511" s="81"/>
      <c r="U511" s="81"/>
      <c r="V511" s="81"/>
      <c r="W511" s="81"/>
      <c r="X511" s="81"/>
      <c r="Y511" s="81"/>
      <c r="Z511" s="81"/>
    </row>
    <row r="512" spans="1:26" ht="24" customHeight="1" x14ac:dyDescent="0.5">
      <c r="A512" s="81"/>
      <c r="B512" s="81"/>
      <c r="C512" s="81"/>
      <c r="D512" s="81"/>
      <c r="E512" s="81"/>
      <c r="F512" s="81"/>
      <c r="G512" s="81"/>
      <c r="H512" s="81"/>
      <c r="I512" s="289"/>
      <c r="J512" s="105"/>
      <c r="K512" s="81"/>
      <c r="L512" s="289"/>
      <c r="M512" s="81"/>
      <c r="N512" s="81"/>
      <c r="O512" s="289"/>
      <c r="P512" s="81"/>
      <c r="Q512" s="289"/>
      <c r="R512" s="81"/>
      <c r="S512" s="289"/>
      <c r="T512" s="81"/>
      <c r="U512" s="81"/>
      <c r="V512" s="81"/>
      <c r="W512" s="81"/>
      <c r="X512" s="81"/>
      <c r="Y512" s="81"/>
      <c r="Z512" s="81"/>
    </row>
    <row r="513" spans="1:26" ht="24" customHeight="1" x14ac:dyDescent="0.5">
      <c r="A513" s="81"/>
      <c r="B513" s="81"/>
      <c r="C513" s="81"/>
      <c r="D513" s="81"/>
      <c r="E513" s="81"/>
      <c r="F513" s="81"/>
      <c r="G513" s="81"/>
      <c r="H513" s="81"/>
      <c r="I513" s="289"/>
      <c r="J513" s="105"/>
      <c r="K513" s="81"/>
      <c r="L513" s="289"/>
      <c r="M513" s="81"/>
      <c r="N513" s="81"/>
      <c r="O513" s="289"/>
      <c r="P513" s="81"/>
      <c r="Q513" s="289"/>
      <c r="R513" s="81"/>
      <c r="S513" s="289"/>
      <c r="T513" s="81"/>
      <c r="U513" s="81"/>
      <c r="V513" s="81"/>
      <c r="W513" s="81"/>
      <c r="X513" s="81"/>
      <c r="Y513" s="81"/>
      <c r="Z513" s="81"/>
    </row>
    <row r="514" spans="1:26" ht="24" customHeight="1" x14ac:dyDescent="0.5">
      <c r="A514" s="81"/>
      <c r="B514" s="81"/>
      <c r="C514" s="81"/>
      <c r="D514" s="81"/>
      <c r="E514" s="81"/>
      <c r="F514" s="81"/>
      <c r="G514" s="81"/>
      <c r="H514" s="81"/>
      <c r="I514" s="289"/>
      <c r="J514" s="105"/>
      <c r="K514" s="81"/>
      <c r="L514" s="289"/>
      <c r="M514" s="81"/>
      <c r="N514" s="81"/>
      <c r="O514" s="289"/>
      <c r="P514" s="81"/>
      <c r="Q514" s="289"/>
      <c r="R514" s="81"/>
      <c r="S514" s="289"/>
      <c r="T514" s="81"/>
      <c r="U514" s="81"/>
      <c r="V514" s="81"/>
      <c r="W514" s="81"/>
      <c r="X514" s="81"/>
      <c r="Y514" s="81"/>
      <c r="Z514" s="81"/>
    </row>
    <row r="515" spans="1:26" ht="24" customHeight="1" x14ac:dyDescent="0.5">
      <c r="A515" s="81"/>
      <c r="B515" s="81"/>
      <c r="C515" s="81"/>
      <c r="D515" s="81"/>
      <c r="E515" s="81"/>
      <c r="F515" s="81"/>
      <c r="G515" s="81"/>
      <c r="H515" s="81"/>
      <c r="I515" s="289"/>
      <c r="J515" s="105"/>
      <c r="K515" s="81"/>
      <c r="L515" s="289"/>
      <c r="M515" s="81"/>
      <c r="N515" s="81"/>
      <c r="O515" s="289"/>
      <c r="P515" s="81"/>
      <c r="Q515" s="289"/>
      <c r="R515" s="81"/>
      <c r="S515" s="289"/>
      <c r="T515" s="81"/>
      <c r="U515" s="81"/>
      <c r="V515" s="81"/>
      <c r="W515" s="81"/>
      <c r="X515" s="81"/>
      <c r="Y515" s="81"/>
      <c r="Z515" s="81"/>
    </row>
    <row r="516" spans="1:26" ht="24" customHeight="1" x14ac:dyDescent="0.5">
      <c r="A516" s="81"/>
      <c r="B516" s="81"/>
      <c r="C516" s="81"/>
      <c r="D516" s="81"/>
      <c r="E516" s="81"/>
      <c r="F516" s="81"/>
      <c r="G516" s="81"/>
      <c r="H516" s="81"/>
      <c r="I516" s="289"/>
      <c r="J516" s="105"/>
      <c r="K516" s="81"/>
      <c r="L516" s="289"/>
      <c r="M516" s="81"/>
      <c r="N516" s="81"/>
      <c r="O516" s="289"/>
      <c r="P516" s="81"/>
      <c r="Q516" s="289"/>
      <c r="R516" s="81"/>
      <c r="S516" s="289"/>
      <c r="T516" s="81"/>
      <c r="U516" s="81"/>
      <c r="V516" s="81"/>
      <c r="W516" s="81"/>
      <c r="X516" s="81"/>
      <c r="Y516" s="81"/>
      <c r="Z516" s="81"/>
    </row>
    <row r="517" spans="1:26" ht="24" customHeight="1" x14ac:dyDescent="0.5">
      <c r="A517" s="81"/>
      <c r="B517" s="81"/>
      <c r="C517" s="81"/>
      <c r="D517" s="81"/>
      <c r="E517" s="81"/>
      <c r="F517" s="81"/>
      <c r="G517" s="81"/>
      <c r="H517" s="81"/>
      <c r="I517" s="289"/>
      <c r="J517" s="105"/>
      <c r="K517" s="81"/>
      <c r="L517" s="289"/>
      <c r="M517" s="81"/>
      <c r="N517" s="81"/>
      <c r="O517" s="289"/>
      <c r="P517" s="81"/>
      <c r="Q517" s="289"/>
      <c r="R517" s="81"/>
      <c r="S517" s="289"/>
      <c r="T517" s="81"/>
      <c r="U517" s="81"/>
      <c r="V517" s="81"/>
      <c r="W517" s="81"/>
      <c r="X517" s="81"/>
      <c r="Y517" s="81"/>
      <c r="Z517" s="81"/>
    </row>
    <row r="518" spans="1:26" ht="24" customHeight="1" x14ac:dyDescent="0.5">
      <c r="A518" s="81"/>
      <c r="B518" s="81"/>
      <c r="C518" s="81"/>
      <c r="D518" s="81"/>
      <c r="E518" s="81"/>
      <c r="F518" s="81"/>
      <c r="G518" s="81"/>
      <c r="H518" s="81"/>
      <c r="I518" s="289"/>
      <c r="J518" s="105"/>
      <c r="K518" s="81"/>
      <c r="L518" s="289"/>
      <c r="M518" s="81"/>
      <c r="N518" s="81"/>
      <c r="O518" s="289"/>
      <c r="P518" s="81"/>
      <c r="Q518" s="289"/>
      <c r="R518" s="81"/>
      <c r="S518" s="289"/>
      <c r="T518" s="81"/>
      <c r="U518" s="81"/>
      <c r="V518" s="81"/>
      <c r="W518" s="81"/>
      <c r="X518" s="81"/>
      <c r="Y518" s="81"/>
      <c r="Z518" s="81"/>
    </row>
    <row r="519" spans="1:26" ht="24" customHeight="1" x14ac:dyDescent="0.5">
      <c r="A519" s="81"/>
      <c r="B519" s="81"/>
      <c r="C519" s="81"/>
      <c r="D519" s="81"/>
      <c r="E519" s="81"/>
      <c r="F519" s="81"/>
      <c r="G519" s="81"/>
      <c r="H519" s="81"/>
      <c r="I519" s="289"/>
      <c r="J519" s="105"/>
      <c r="K519" s="81"/>
      <c r="L519" s="289"/>
      <c r="M519" s="81"/>
      <c r="N519" s="81"/>
      <c r="O519" s="289"/>
      <c r="P519" s="81"/>
      <c r="Q519" s="289"/>
      <c r="R519" s="81"/>
      <c r="S519" s="289"/>
      <c r="T519" s="81"/>
      <c r="U519" s="81"/>
      <c r="V519" s="81"/>
      <c r="W519" s="81"/>
      <c r="X519" s="81"/>
      <c r="Y519" s="81"/>
      <c r="Z519" s="81"/>
    </row>
    <row r="520" spans="1:26" ht="24" customHeight="1" x14ac:dyDescent="0.5">
      <c r="A520" s="81"/>
      <c r="B520" s="81"/>
      <c r="C520" s="81"/>
      <c r="D520" s="81"/>
      <c r="E520" s="81"/>
      <c r="F520" s="81"/>
      <c r="G520" s="81"/>
      <c r="H520" s="81"/>
      <c r="I520" s="289"/>
      <c r="J520" s="105"/>
      <c r="K520" s="81"/>
      <c r="L520" s="289"/>
      <c r="M520" s="81"/>
      <c r="N520" s="81"/>
      <c r="O520" s="289"/>
      <c r="P520" s="81"/>
      <c r="Q520" s="289"/>
      <c r="R520" s="81"/>
      <c r="S520" s="289"/>
      <c r="T520" s="81"/>
      <c r="U520" s="81"/>
      <c r="V520" s="81"/>
      <c r="W520" s="81"/>
      <c r="X520" s="81"/>
      <c r="Y520" s="81"/>
      <c r="Z520" s="81"/>
    </row>
    <row r="521" spans="1:26" ht="24" customHeight="1" x14ac:dyDescent="0.5">
      <c r="A521" s="81"/>
      <c r="B521" s="81"/>
      <c r="C521" s="81"/>
      <c r="D521" s="81"/>
      <c r="E521" s="81"/>
      <c r="F521" s="81"/>
      <c r="G521" s="81"/>
      <c r="H521" s="81"/>
      <c r="I521" s="289"/>
      <c r="J521" s="105"/>
      <c r="K521" s="81"/>
      <c r="L521" s="289"/>
      <c r="M521" s="81"/>
      <c r="N521" s="81"/>
      <c r="O521" s="289"/>
      <c r="P521" s="81"/>
      <c r="Q521" s="289"/>
      <c r="R521" s="81"/>
      <c r="S521" s="289"/>
      <c r="T521" s="81"/>
      <c r="U521" s="81"/>
      <c r="V521" s="81"/>
      <c r="W521" s="81"/>
      <c r="X521" s="81"/>
      <c r="Y521" s="81"/>
      <c r="Z521" s="81"/>
    </row>
    <row r="522" spans="1:26" ht="24" customHeight="1" x14ac:dyDescent="0.5">
      <c r="A522" s="81"/>
      <c r="B522" s="81"/>
      <c r="C522" s="81"/>
      <c r="D522" s="81"/>
      <c r="E522" s="81"/>
      <c r="F522" s="81"/>
      <c r="G522" s="81"/>
      <c r="H522" s="81"/>
      <c r="I522" s="289"/>
      <c r="J522" s="105"/>
      <c r="K522" s="81"/>
      <c r="L522" s="289"/>
      <c r="M522" s="81"/>
      <c r="N522" s="81"/>
      <c r="O522" s="289"/>
      <c r="P522" s="81"/>
      <c r="Q522" s="289"/>
      <c r="R522" s="81"/>
      <c r="S522" s="289"/>
      <c r="T522" s="81"/>
      <c r="U522" s="81"/>
      <c r="V522" s="81"/>
      <c r="W522" s="81"/>
      <c r="X522" s="81"/>
      <c r="Y522" s="81"/>
      <c r="Z522" s="81"/>
    </row>
    <row r="523" spans="1:26" ht="24" customHeight="1" x14ac:dyDescent="0.5">
      <c r="A523" s="81"/>
      <c r="B523" s="81"/>
      <c r="C523" s="81"/>
      <c r="D523" s="81"/>
      <c r="E523" s="81"/>
      <c r="F523" s="81"/>
      <c r="G523" s="81"/>
      <c r="H523" s="81"/>
      <c r="I523" s="289"/>
      <c r="J523" s="105"/>
      <c r="K523" s="81"/>
      <c r="L523" s="289"/>
      <c r="M523" s="81"/>
      <c r="N523" s="81"/>
      <c r="O523" s="289"/>
      <c r="P523" s="81"/>
      <c r="Q523" s="289"/>
      <c r="R523" s="81"/>
      <c r="S523" s="289"/>
      <c r="T523" s="81"/>
      <c r="U523" s="81"/>
      <c r="V523" s="81"/>
      <c r="W523" s="81"/>
      <c r="X523" s="81"/>
      <c r="Y523" s="81"/>
      <c r="Z523" s="81"/>
    </row>
    <row r="524" spans="1:26" ht="24" customHeight="1" x14ac:dyDescent="0.5">
      <c r="A524" s="81"/>
      <c r="B524" s="81"/>
      <c r="C524" s="81"/>
      <c r="D524" s="81"/>
      <c r="E524" s="81"/>
      <c r="F524" s="81"/>
      <c r="G524" s="81"/>
      <c r="H524" s="81"/>
      <c r="I524" s="289"/>
      <c r="J524" s="105"/>
      <c r="K524" s="81"/>
      <c r="L524" s="289"/>
      <c r="M524" s="81"/>
      <c r="N524" s="81"/>
      <c r="O524" s="289"/>
      <c r="P524" s="81"/>
      <c r="Q524" s="289"/>
      <c r="R524" s="81"/>
      <c r="S524" s="289"/>
      <c r="T524" s="81"/>
      <c r="U524" s="81"/>
      <c r="V524" s="81"/>
      <c r="W524" s="81"/>
      <c r="X524" s="81"/>
      <c r="Y524" s="81"/>
      <c r="Z524" s="81"/>
    </row>
    <row r="525" spans="1:26" ht="24" customHeight="1" x14ac:dyDescent="0.5">
      <c r="A525" s="81"/>
      <c r="B525" s="81"/>
      <c r="C525" s="81"/>
      <c r="D525" s="81"/>
      <c r="E525" s="81"/>
      <c r="F525" s="81"/>
      <c r="G525" s="81"/>
      <c r="H525" s="81"/>
      <c r="I525" s="289"/>
      <c r="J525" s="105"/>
      <c r="K525" s="81"/>
      <c r="L525" s="289"/>
      <c r="M525" s="81"/>
      <c r="N525" s="81"/>
      <c r="O525" s="289"/>
      <c r="P525" s="81"/>
      <c r="Q525" s="289"/>
      <c r="R525" s="81"/>
      <c r="S525" s="289"/>
      <c r="T525" s="81"/>
      <c r="U525" s="81"/>
      <c r="V525" s="81"/>
      <c r="W525" s="81"/>
      <c r="X525" s="81"/>
      <c r="Y525" s="81"/>
      <c r="Z525" s="81"/>
    </row>
    <row r="526" spans="1:26" ht="24" customHeight="1" x14ac:dyDescent="0.5">
      <c r="A526" s="81"/>
      <c r="B526" s="81"/>
      <c r="C526" s="81"/>
      <c r="D526" s="81"/>
      <c r="E526" s="81"/>
      <c r="F526" s="81"/>
      <c r="G526" s="81"/>
      <c r="H526" s="81"/>
      <c r="I526" s="289"/>
      <c r="J526" s="105"/>
      <c r="K526" s="81"/>
      <c r="L526" s="289"/>
      <c r="M526" s="81"/>
      <c r="N526" s="81"/>
      <c r="O526" s="289"/>
      <c r="P526" s="81"/>
      <c r="Q526" s="289"/>
      <c r="R526" s="81"/>
      <c r="S526" s="289"/>
      <c r="T526" s="81"/>
      <c r="U526" s="81"/>
      <c r="V526" s="81"/>
      <c r="W526" s="81"/>
      <c r="X526" s="81"/>
      <c r="Y526" s="81"/>
      <c r="Z526" s="81"/>
    </row>
    <row r="527" spans="1:26" ht="24" customHeight="1" x14ac:dyDescent="0.5">
      <c r="A527" s="81"/>
      <c r="B527" s="81"/>
      <c r="C527" s="81"/>
      <c r="D527" s="81"/>
      <c r="E527" s="81"/>
      <c r="F527" s="81"/>
      <c r="G527" s="81"/>
      <c r="H527" s="81"/>
      <c r="I527" s="289"/>
      <c r="J527" s="105"/>
      <c r="K527" s="81"/>
      <c r="L527" s="289"/>
      <c r="M527" s="81"/>
      <c r="N527" s="81"/>
      <c r="O527" s="289"/>
      <c r="P527" s="81"/>
      <c r="Q527" s="289"/>
      <c r="R527" s="81"/>
      <c r="S527" s="289"/>
      <c r="T527" s="81"/>
      <c r="U527" s="81"/>
      <c r="V527" s="81"/>
      <c r="W527" s="81"/>
      <c r="X527" s="81"/>
      <c r="Y527" s="81"/>
      <c r="Z527" s="81"/>
    </row>
    <row r="528" spans="1:26" ht="24" customHeight="1" x14ac:dyDescent="0.5">
      <c r="A528" s="81"/>
      <c r="B528" s="81"/>
      <c r="C528" s="81"/>
      <c r="D528" s="81"/>
      <c r="E528" s="81"/>
      <c r="F528" s="81"/>
      <c r="G528" s="81"/>
      <c r="H528" s="81"/>
      <c r="I528" s="289"/>
      <c r="J528" s="105"/>
      <c r="K528" s="81"/>
      <c r="L528" s="289"/>
      <c r="M528" s="81"/>
      <c r="N528" s="81"/>
      <c r="O528" s="289"/>
      <c r="P528" s="81"/>
      <c r="Q528" s="289"/>
      <c r="R528" s="81"/>
      <c r="S528" s="289"/>
      <c r="T528" s="81"/>
      <c r="U528" s="81"/>
      <c r="V528" s="81"/>
      <c r="W528" s="81"/>
      <c r="X528" s="81"/>
      <c r="Y528" s="81"/>
      <c r="Z528" s="81"/>
    </row>
    <row r="529" spans="1:26" ht="24" customHeight="1" x14ac:dyDescent="0.5">
      <c r="A529" s="81"/>
      <c r="B529" s="81"/>
      <c r="C529" s="81"/>
      <c r="D529" s="81"/>
      <c r="E529" s="81"/>
      <c r="F529" s="81"/>
      <c r="G529" s="81"/>
      <c r="H529" s="81"/>
      <c r="I529" s="289"/>
      <c r="J529" s="105"/>
      <c r="K529" s="81"/>
      <c r="L529" s="289"/>
      <c r="M529" s="81"/>
      <c r="N529" s="81"/>
      <c r="O529" s="289"/>
      <c r="P529" s="81"/>
      <c r="Q529" s="289"/>
      <c r="R529" s="81"/>
      <c r="S529" s="289"/>
      <c r="T529" s="81"/>
      <c r="U529" s="81"/>
      <c r="V529" s="81"/>
      <c r="W529" s="81"/>
      <c r="X529" s="81"/>
      <c r="Y529" s="81"/>
      <c r="Z529" s="81"/>
    </row>
    <row r="530" spans="1:26" ht="24" customHeight="1" x14ac:dyDescent="0.5">
      <c r="A530" s="81"/>
      <c r="B530" s="81"/>
      <c r="C530" s="81"/>
      <c r="D530" s="81"/>
      <c r="E530" s="81"/>
      <c r="F530" s="81"/>
      <c r="G530" s="81"/>
      <c r="H530" s="81"/>
      <c r="I530" s="289"/>
      <c r="J530" s="105"/>
      <c r="K530" s="81"/>
      <c r="L530" s="289"/>
      <c r="M530" s="81"/>
      <c r="N530" s="81"/>
      <c r="O530" s="289"/>
      <c r="P530" s="81"/>
      <c r="Q530" s="289"/>
      <c r="R530" s="81"/>
      <c r="S530" s="289"/>
      <c r="T530" s="81"/>
      <c r="U530" s="81"/>
      <c r="V530" s="81"/>
      <c r="W530" s="81"/>
      <c r="X530" s="81"/>
      <c r="Y530" s="81"/>
      <c r="Z530" s="81"/>
    </row>
    <row r="531" spans="1:26" ht="24" customHeight="1" x14ac:dyDescent="0.5">
      <c r="A531" s="81"/>
      <c r="B531" s="81"/>
      <c r="C531" s="81"/>
      <c r="D531" s="81"/>
      <c r="E531" s="81"/>
      <c r="F531" s="81"/>
      <c r="G531" s="81"/>
      <c r="H531" s="81"/>
      <c r="I531" s="289"/>
      <c r="J531" s="105"/>
      <c r="K531" s="81"/>
      <c r="L531" s="289"/>
      <c r="M531" s="81"/>
      <c r="N531" s="81"/>
      <c r="O531" s="289"/>
      <c r="P531" s="81"/>
      <c r="Q531" s="289"/>
      <c r="R531" s="81"/>
      <c r="S531" s="289"/>
      <c r="T531" s="81"/>
      <c r="U531" s="81"/>
      <c r="V531" s="81"/>
      <c r="W531" s="81"/>
      <c r="X531" s="81"/>
      <c r="Y531" s="81"/>
      <c r="Z531" s="81"/>
    </row>
    <row r="532" spans="1:26" ht="24" customHeight="1" x14ac:dyDescent="0.5">
      <c r="A532" s="81"/>
      <c r="B532" s="81"/>
      <c r="C532" s="81"/>
      <c r="D532" s="81"/>
      <c r="E532" s="81"/>
      <c r="F532" s="81"/>
      <c r="G532" s="81"/>
      <c r="H532" s="81"/>
      <c r="I532" s="289"/>
      <c r="J532" s="105"/>
      <c r="K532" s="81"/>
      <c r="L532" s="289"/>
      <c r="M532" s="81"/>
      <c r="N532" s="81"/>
      <c r="O532" s="289"/>
      <c r="P532" s="81"/>
      <c r="Q532" s="289"/>
      <c r="R532" s="81"/>
      <c r="S532" s="289"/>
      <c r="T532" s="81"/>
      <c r="U532" s="81"/>
      <c r="V532" s="81"/>
      <c r="W532" s="81"/>
      <c r="X532" s="81"/>
      <c r="Y532" s="81"/>
      <c r="Z532" s="81"/>
    </row>
    <row r="533" spans="1:26" ht="24" customHeight="1" x14ac:dyDescent="0.5">
      <c r="A533" s="81"/>
      <c r="B533" s="81"/>
      <c r="C533" s="81"/>
      <c r="D533" s="81"/>
      <c r="E533" s="81"/>
      <c r="F533" s="81"/>
      <c r="G533" s="81"/>
      <c r="H533" s="81"/>
      <c r="I533" s="289"/>
      <c r="J533" s="105"/>
      <c r="K533" s="81"/>
      <c r="L533" s="289"/>
      <c r="M533" s="81"/>
      <c r="N533" s="81"/>
      <c r="O533" s="289"/>
      <c r="P533" s="81"/>
      <c r="Q533" s="289"/>
      <c r="R533" s="81"/>
      <c r="S533" s="289"/>
      <c r="T533" s="81"/>
      <c r="U533" s="81"/>
      <c r="V533" s="81"/>
      <c r="W533" s="81"/>
      <c r="X533" s="81"/>
      <c r="Y533" s="81"/>
      <c r="Z533" s="81"/>
    </row>
    <row r="534" spans="1:26" ht="24" customHeight="1" x14ac:dyDescent="0.5">
      <c r="A534" s="81"/>
      <c r="B534" s="81"/>
      <c r="C534" s="81"/>
      <c r="D534" s="81"/>
      <c r="E534" s="81"/>
      <c r="F534" s="81"/>
      <c r="G534" s="81"/>
      <c r="H534" s="81"/>
      <c r="I534" s="289"/>
      <c r="J534" s="105"/>
      <c r="K534" s="81"/>
      <c r="L534" s="289"/>
      <c r="M534" s="81"/>
      <c r="N534" s="81"/>
      <c r="O534" s="289"/>
      <c r="P534" s="81"/>
      <c r="Q534" s="289"/>
      <c r="R534" s="81"/>
      <c r="S534" s="289"/>
      <c r="T534" s="81"/>
      <c r="U534" s="81"/>
      <c r="V534" s="81"/>
      <c r="W534" s="81"/>
      <c r="X534" s="81"/>
      <c r="Y534" s="81"/>
      <c r="Z534" s="81"/>
    </row>
    <row r="535" spans="1:26" ht="24" customHeight="1" x14ac:dyDescent="0.5">
      <c r="A535" s="81"/>
      <c r="B535" s="81"/>
      <c r="C535" s="81"/>
      <c r="D535" s="81"/>
      <c r="E535" s="81"/>
      <c r="F535" s="81"/>
      <c r="G535" s="81"/>
      <c r="H535" s="81"/>
      <c r="I535" s="289"/>
      <c r="J535" s="105"/>
      <c r="K535" s="81"/>
      <c r="L535" s="289"/>
      <c r="M535" s="81"/>
      <c r="N535" s="81"/>
      <c r="O535" s="289"/>
      <c r="P535" s="81"/>
      <c r="Q535" s="289"/>
      <c r="R535" s="81"/>
      <c r="S535" s="289"/>
      <c r="T535" s="81"/>
      <c r="U535" s="81"/>
      <c r="V535" s="81"/>
      <c r="W535" s="81"/>
      <c r="X535" s="81"/>
      <c r="Y535" s="81"/>
      <c r="Z535" s="81"/>
    </row>
    <row r="536" spans="1:26" ht="24" customHeight="1" x14ac:dyDescent="0.5">
      <c r="A536" s="81"/>
      <c r="B536" s="81"/>
      <c r="C536" s="81"/>
      <c r="D536" s="81"/>
      <c r="E536" s="81"/>
      <c r="F536" s="81"/>
      <c r="G536" s="81"/>
      <c r="H536" s="81"/>
      <c r="I536" s="289"/>
      <c r="J536" s="105"/>
      <c r="K536" s="81"/>
      <c r="L536" s="289"/>
      <c r="M536" s="81"/>
      <c r="N536" s="81"/>
      <c r="O536" s="289"/>
      <c r="P536" s="81"/>
      <c r="Q536" s="289"/>
      <c r="R536" s="81"/>
      <c r="S536" s="289"/>
      <c r="T536" s="81"/>
      <c r="U536" s="81"/>
      <c r="V536" s="81"/>
      <c r="W536" s="81"/>
      <c r="X536" s="81"/>
      <c r="Y536" s="81"/>
      <c r="Z536" s="81"/>
    </row>
    <row r="537" spans="1:26" ht="24" customHeight="1" x14ac:dyDescent="0.5">
      <c r="A537" s="81"/>
      <c r="B537" s="81"/>
      <c r="C537" s="81"/>
      <c r="D537" s="81"/>
      <c r="E537" s="81"/>
      <c r="F537" s="81"/>
      <c r="G537" s="81"/>
      <c r="H537" s="81"/>
      <c r="I537" s="289"/>
      <c r="J537" s="105"/>
      <c r="K537" s="81"/>
      <c r="L537" s="289"/>
      <c r="M537" s="81"/>
      <c r="N537" s="81"/>
      <c r="O537" s="289"/>
      <c r="P537" s="81"/>
      <c r="Q537" s="289"/>
      <c r="R537" s="81"/>
      <c r="S537" s="289"/>
      <c r="T537" s="81"/>
      <c r="U537" s="81"/>
      <c r="V537" s="81"/>
      <c r="W537" s="81"/>
      <c r="X537" s="81"/>
      <c r="Y537" s="81"/>
      <c r="Z537" s="81"/>
    </row>
    <row r="538" spans="1:26" ht="24" customHeight="1" x14ac:dyDescent="0.5">
      <c r="A538" s="81"/>
      <c r="B538" s="81"/>
      <c r="C538" s="81"/>
      <c r="D538" s="81"/>
      <c r="E538" s="81"/>
      <c r="F538" s="81"/>
      <c r="G538" s="81"/>
      <c r="H538" s="81"/>
      <c r="I538" s="289"/>
      <c r="J538" s="105"/>
      <c r="K538" s="81"/>
      <c r="L538" s="289"/>
      <c r="M538" s="81"/>
      <c r="N538" s="81"/>
      <c r="O538" s="289"/>
      <c r="P538" s="81"/>
      <c r="Q538" s="289"/>
      <c r="R538" s="81"/>
      <c r="S538" s="289"/>
      <c r="T538" s="81"/>
      <c r="U538" s="81"/>
      <c r="V538" s="81"/>
      <c r="W538" s="81"/>
      <c r="X538" s="81"/>
      <c r="Y538" s="81"/>
      <c r="Z538" s="81"/>
    </row>
    <row r="539" spans="1:26" ht="24" customHeight="1" x14ac:dyDescent="0.5">
      <c r="A539" s="81"/>
      <c r="B539" s="81"/>
      <c r="C539" s="81"/>
      <c r="D539" s="81"/>
      <c r="E539" s="81"/>
      <c r="F539" s="81"/>
      <c r="G539" s="81"/>
      <c r="H539" s="81"/>
      <c r="I539" s="289"/>
      <c r="J539" s="105"/>
      <c r="K539" s="81"/>
      <c r="L539" s="289"/>
      <c r="M539" s="81"/>
      <c r="N539" s="81"/>
      <c r="O539" s="289"/>
      <c r="P539" s="81"/>
      <c r="Q539" s="289"/>
      <c r="R539" s="81"/>
      <c r="S539" s="289"/>
      <c r="T539" s="81"/>
      <c r="U539" s="81"/>
      <c r="V539" s="81"/>
      <c r="W539" s="81"/>
      <c r="X539" s="81"/>
      <c r="Y539" s="81"/>
      <c r="Z539" s="81"/>
    </row>
    <row r="540" spans="1:26" ht="24" customHeight="1" x14ac:dyDescent="0.5">
      <c r="A540" s="81"/>
      <c r="B540" s="81"/>
      <c r="C540" s="81"/>
      <c r="D540" s="81"/>
      <c r="E540" s="81"/>
      <c r="F540" s="81"/>
      <c r="G540" s="81"/>
      <c r="H540" s="81"/>
      <c r="I540" s="289"/>
      <c r="J540" s="105"/>
      <c r="K540" s="81"/>
      <c r="L540" s="289"/>
      <c r="M540" s="81"/>
      <c r="N540" s="81"/>
      <c r="O540" s="289"/>
      <c r="P540" s="81"/>
      <c r="Q540" s="289"/>
      <c r="R540" s="81"/>
      <c r="S540" s="289"/>
      <c r="T540" s="81"/>
      <c r="U540" s="81"/>
      <c r="V540" s="81"/>
      <c r="W540" s="81"/>
      <c r="X540" s="81"/>
      <c r="Y540" s="81"/>
      <c r="Z540" s="81"/>
    </row>
    <row r="541" spans="1:26" ht="24" customHeight="1" x14ac:dyDescent="0.5">
      <c r="A541" s="81"/>
      <c r="B541" s="81"/>
      <c r="C541" s="81"/>
      <c r="D541" s="81"/>
      <c r="E541" s="81"/>
      <c r="F541" s="81"/>
      <c r="G541" s="81"/>
      <c r="H541" s="81"/>
      <c r="I541" s="289"/>
      <c r="J541" s="105"/>
      <c r="K541" s="81"/>
      <c r="L541" s="289"/>
      <c r="M541" s="81"/>
      <c r="N541" s="81"/>
      <c r="O541" s="289"/>
      <c r="P541" s="81"/>
      <c r="Q541" s="289"/>
      <c r="R541" s="81"/>
      <c r="S541" s="289"/>
      <c r="T541" s="81"/>
      <c r="U541" s="81"/>
      <c r="V541" s="81"/>
      <c r="W541" s="81"/>
      <c r="X541" s="81"/>
      <c r="Y541" s="81"/>
      <c r="Z541" s="81"/>
    </row>
    <row r="542" spans="1:26" ht="24" customHeight="1" x14ac:dyDescent="0.5">
      <c r="A542" s="81"/>
      <c r="B542" s="81"/>
      <c r="C542" s="81"/>
      <c r="D542" s="81"/>
      <c r="E542" s="81"/>
      <c r="F542" s="81"/>
      <c r="G542" s="81"/>
      <c r="H542" s="81"/>
      <c r="I542" s="289"/>
      <c r="J542" s="105"/>
      <c r="K542" s="81"/>
      <c r="L542" s="289"/>
      <c r="M542" s="81"/>
      <c r="N542" s="81"/>
      <c r="O542" s="289"/>
      <c r="P542" s="81"/>
      <c r="Q542" s="289"/>
      <c r="R542" s="81"/>
      <c r="S542" s="289"/>
      <c r="T542" s="81"/>
      <c r="U542" s="81"/>
      <c r="V542" s="81"/>
      <c r="W542" s="81"/>
      <c r="X542" s="81"/>
      <c r="Y542" s="81"/>
      <c r="Z542" s="81"/>
    </row>
    <row r="543" spans="1:26" ht="24" customHeight="1" x14ac:dyDescent="0.5">
      <c r="A543" s="81"/>
      <c r="B543" s="81"/>
      <c r="C543" s="81"/>
      <c r="D543" s="81"/>
      <c r="E543" s="81"/>
      <c r="F543" s="81"/>
      <c r="G543" s="81"/>
      <c r="H543" s="81"/>
      <c r="I543" s="289"/>
      <c r="J543" s="105"/>
      <c r="K543" s="81"/>
      <c r="L543" s="289"/>
      <c r="M543" s="81"/>
      <c r="N543" s="81"/>
      <c r="O543" s="289"/>
      <c r="P543" s="81"/>
      <c r="Q543" s="289"/>
      <c r="R543" s="81"/>
      <c r="S543" s="289"/>
      <c r="T543" s="81"/>
      <c r="U543" s="81"/>
      <c r="V543" s="81"/>
      <c r="W543" s="81"/>
      <c r="X543" s="81"/>
      <c r="Y543" s="81"/>
      <c r="Z543" s="81"/>
    </row>
    <row r="544" spans="1:26" ht="24" customHeight="1" x14ac:dyDescent="0.5">
      <c r="A544" s="81"/>
      <c r="B544" s="81"/>
      <c r="C544" s="81"/>
      <c r="D544" s="81"/>
      <c r="E544" s="81"/>
      <c r="F544" s="81"/>
      <c r="G544" s="81"/>
      <c r="H544" s="81"/>
      <c r="I544" s="289"/>
      <c r="J544" s="105"/>
      <c r="K544" s="81"/>
      <c r="L544" s="289"/>
      <c r="M544" s="81"/>
      <c r="N544" s="81"/>
      <c r="O544" s="289"/>
      <c r="P544" s="81"/>
      <c r="Q544" s="289"/>
      <c r="R544" s="81"/>
      <c r="S544" s="289"/>
      <c r="T544" s="81"/>
      <c r="U544" s="81"/>
      <c r="V544" s="81"/>
      <c r="W544" s="81"/>
      <c r="X544" s="81"/>
      <c r="Y544" s="81"/>
      <c r="Z544" s="81"/>
    </row>
    <row r="545" spans="1:26" ht="24" customHeight="1" x14ac:dyDescent="0.5">
      <c r="A545" s="81"/>
      <c r="B545" s="81"/>
      <c r="C545" s="81"/>
      <c r="D545" s="81"/>
      <c r="E545" s="81"/>
      <c r="F545" s="81"/>
      <c r="G545" s="81"/>
      <c r="H545" s="81"/>
      <c r="I545" s="289"/>
      <c r="J545" s="105"/>
      <c r="K545" s="81"/>
      <c r="L545" s="289"/>
      <c r="M545" s="81"/>
      <c r="N545" s="81"/>
      <c r="O545" s="289"/>
      <c r="P545" s="81"/>
      <c r="Q545" s="289"/>
      <c r="R545" s="81"/>
      <c r="S545" s="289"/>
      <c r="T545" s="81"/>
      <c r="U545" s="81"/>
      <c r="V545" s="81"/>
      <c r="W545" s="81"/>
      <c r="X545" s="81"/>
      <c r="Y545" s="81"/>
      <c r="Z545" s="81"/>
    </row>
    <row r="546" spans="1:26" ht="24" customHeight="1" x14ac:dyDescent="0.5">
      <c r="A546" s="81"/>
      <c r="B546" s="81"/>
      <c r="C546" s="81"/>
      <c r="D546" s="81"/>
      <c r="E546" s="81"/>
      <c r="F546" s="81"/>
      <c r="G546" s="81"/>
      <c r="H546" s="81"/>
      <c r="I546" s="289"/>
      <c r="J546" s="105"/>
      <c r="K546" s="81"/>
      <c r="L546" s="289"/>
      <c r="M546" s="81"/>
      <c r="N546" s="81"/>
      <c r="O546" s="289"/>
      <c r="P546" s="81"/>
      <c r="Q546" s="289"/>
      <c r="R546" s="81"/>
      <c r="S546" s="289"/>
      <c r="T546" s="81"/>
      <c r="U546" s="81"/>
      <c r="V546" s="81"/>
      <c r="W546" s="81"/>
      <c r="X546" s="81"/>
      <c r="Y546" s="81"/>
      <c r="Z546" s="81"/>
    </row>
    <row r="547" spans="1:26" ht="24" customHeight="1" x14ac:dyDescent="0.5">
      <c r="A547" s="81"/>
      <c r="B547" s="81"/>
      <c r="C547" s="81"/>
      <c r="D547" s="81"/>
      <c r="E547" s="81"/>
      <c r="F547" s="81"/>
      <c r="G547" s="81"/>
      <c r="H547" s="81"/>
      <c r="I547" s="289"/>
      <c r="J547" s="105"/>
      <c r="K547" s="81"/>
      <c r="L547" s="289"/>
      <c r="M547" s="81"/>
      <c r="N547" s="81"/>
      <c r="O547" s="289"/>
      <c r="P547" s="81"/>
      <c r="Q547" s="289"/>
      <c r="R547" s="81"/>
      <c r="S547" s="289"/>
      <c r="T547" s="81"/>
      <c r="U547" s="81"/>
      <c r="V547" s="81"/>
      <c r="W547" s="81"/>
      <c r="X547" s="81"/>
      <c r="Y547" s="81"/>
      <c r="Z547" s="81"/>
    </row>
    <row r="548" spans="1:26" ht="24" customHeight="1" x14ac:dyDescent="0.5">
      <c r="A548" s="81"/>
      <c r="B548" s="81"/>
      <c r="C548" s="81"/>
      <c r="D548" s="81"/>
      <c r="E548" s="81"/>
      <c r="F548" s="81"/>
      <c r="G548" s="81"/>
      <c r="H548" s="81"/>
      <c r="I548" s="289"/>
      <c r="J548" s="105"/>
      <c r="K548" s="81"/>
      <c r="L548" s="289"/>
      <c r="M548" s="81"/>
      <c r="N548" s="81"/>
      <c r="O548" s="289"/>
      <c r="P548" s="81"/>
      <c r="Q548" s="289"/>
      <c r="R548" s="81"/>
      <c r="S548" s="289"/>
      <c r="T548" s="81"/>
      <c r="U548" s="81"/>
      <c r="V548" s="81"/>
      <c r="W548" s="81"/>
      <c r="X548" s="81"/>
      <c r="Y548" s="81"/>
      <c r="Z548" s="81"/>
    </row>
    <row r="549" spans="1:26" ht="24" customHeight="1" x14ac:dyDescent="0.5">
      <c r="A549" s="81"/>
      <c r="B549" s="81"/>
      <c r="C549" s="81"/>
      <c r="D549" s="81"/>
      <c r="E549" s="81"/>
      <c r="F549" s="81"/>
      <c r="G549" s="81"/>
      <c r="H549" s="81"/>
      <c r="I549" s="289"/>
      <c r="J549" s="105"/>
      <c r="K549" s="81"/>
      <c r="L549" s="289"/>
      <c r="M549" s="81"/>
      <c r="N549" s="81"/>
      <c r="O549" s="289"/>
      <c r="P549" s="81"/>
      <c r="Q549" s="289"/>
      <c r="R549" s="81"/>
      <c r="S549" s="289"/>
      <c r="T549" s="81"/>
      <c r="U549" s="81"/>
      <c r="V549" s="81"/>
      <c r="W549" s="81"/>
      <c r="X549" s="81"/>
      <c r="Y549" s="81"/>
      <c r="Z549" s="81"/>
    </row>
    <row r="550" spans="1:26" ht="24" customHeight="1" x14ac:dyDescent="0.5">
      <c r="A550" s="81"/>
      <c r="B550" s="81"/>
      <c r="C550" s="81"/>
      <c r="D550" s="81"/>
      <c r="E550" s="81"/>
      <c r="F550" s="81"/>
      <c r="G550" s="81"/>
      <c r="H550" s="81"/>
      <c r="I550" s="289"/>
      <c r="J550" s="105"/>
      <c r="K550" s="81"/>
      <c r="L550" s="289"/>
      <c r="M550" s="81"/>
      <c r="N550" s="81"/>
      <c r="O550" s="289"/>
      <c r="P550" s="81"/>
      <c r="Q550" s="289"/>
      <c r="R550" s="81"/>
      <c r="S550" s="289"/>
      <c r="T550" s="81"/>
      <c r="U550" s="81"/>
      <c r="V550" s="81"/>
      <c r="W550" s="81"/>
      <c r="X550" s="81"/>
      <c r="Y550" s="81"/>
      <c r="Z550" s="81"/>
    </row>
    <row r="551" spans="1:26" ht="24" customHeight="1" x14ac:dyDescent="0.5">
      <c r="A551" s="81"/>
      <c r="B551" s="81"/>
      <c r="C551" s="81"/>
      <c r="D551" s="81"/>
      <c r="E551" s="81"/>
      <c r="F551" s="81"/>
      <c r="G551" s="81"/>
      <c r="H551" s="81"/>
      <c r="I551" s="289"/>
      <c r="J551" s="105"/>
      <c r="K551" s="81"/>
      <c r="L551" s="289"/>
      <c r="M551" s="81"/>
      <c r="N551" s="81"/>
      <c r="O551" s="289"/>
      <c r="P551" s="81"/>
      <c r="Q551" s="289"/>
      <c r="R551" s="81"/>
      <c r="S551" s="289"/>
      <c r="T551" s="81"/>
      <c r="U551" s="81"/>
      <c r="V551" s="81"/>
      <c r="W551" s="81"/>
      <c r="X551" s="81"/>
      <c r="Y551" s="81"/>
      <c r="Z551" s="81"/>
    </row>
    <row r="552" spans="1:26" ht="24" customHeight="1" x14ac:dyDescent="0.5">
      <c r="A552" s="81"/>
      <c r="B552" s="81"/>
      <c r="C552" s="81"/>
      <c r="D552" s="81"/>
      <c r="E552" s="81"/>
      <c r="F552" s="81"/>
      <c r="G552" s="81"/>
      <c r="H552" s="81"/>
      <c r="I552" s="289"/>
      <c r="J552" s="105"/>
      <c r="K552" s="81"/>
      <c r="L552" s="289"/>
      <c r="M552" s="81"/>
      <c r="N552" s="81"/>
      <c r="O552" s="289"/>
      <c r="P552" s="81"/>
      <c r="Q552" s="289"/>
      <c r="R552" s="81"/>
      <c r="S552" s="289"/>
      <c r="T552" s="81"/>
      <c r="U552" s="81"/>
      <c r="V552" s="81"/>
      <c r="W552" s="81"/>
      <c r="X552" s="81"/>
      <c r="Y552" s="81"/>
      <c r="Z552" s="81"/>
    </row>
    <row r="553" spans="1:26" ht="24" customHeight="1" x14ac:dyDescent="0.5">
      <c r="A553" s="81"/>
      <c r="B553" s="81"/>
      <c r="C553" s="81"/>
      <c r="D553" s="81"/>
      <c r="E553" s="81"/>
      <c r="F553" s="81"/>
      <c r="G553" s="81"/>
      <c r="H553" s="81"/>
      <c r="I553" s="289"/>
      <c r="J553" s="105"/>
      <c r="K553" s="81"/>
      <c r="L553" s="289"/>
      <c r="M553" s="81"/>
      <c r="N553" s="81"/>
      <c r="O553" s="289"/>
      <c r="P553" s="81"/>
      <c r="Q553" s="289"/>
      <c r="R553" s="81"/>
      <c r="S553" s="289"/>
      <c r="T553" s="81"/>
      <c r="U553" s="81"/>
      <c r="V553" s="81"/>
      <c r="W553" s="81"/>
      <c r="X553" s="81"/>
      <c r="Y553" s="81"/>
      <c r="Z553" s="81"/>
    </row>
    <row r="554" spans="1:26" ht="24" customHeight="1" x14ac:dyDescent="0.5">
      <c r="A554" s="81"/>
      <c r="B554" s="81"/>
      <c r="C554" s="81"/>
      <c r="D554" s="81"/>
      <c r="E554" s="81"/>
      <c r="F554" s="81"/>
      <c r="G554" s="81"/>
      <c r="H554" s="81"/>
      <c r="I554" s="289"/>
      <c r="J554" s="105"/>
      <c r="K554" s="81"/>
      <c r="L554" s="289"/>
      <c r="M554" s="81"/>
      <c r="N554" s="81"/>
      <c r="O554" s="289"/>
      <c r="P554" s="81"/>
      <c r="Q554" s="289"/>
      <c r="R554" s="81"/>
      <c r="S554" s="289"/>
      <c r="T554" s="81"/>
      <c r="U554" s="81"/>
      <c r="V554" s="81"/>
      <c r="W554" s="81"/>
      <c r="X554" s="81"/>
      <c r="Y554" s="81"/>
      <c r="Z554" s="81"/>
    </row>
    <row r="555" spans="1:26" ht="24" customHeight="1" x14ac:dyDescent="0.5">
      <c r="A555" s="81"/>
      <c r="B555" s="81"/>
      <c r="C555" s="81"/>
      <c r="D555" s="81"/>
      <c r="E555" s="81"/>
      <c r="F555" s="81"/>
      <c r="G555" s="81"/>
      <c r="H555" s="81"/>
      <c r="I555" s="289"/>
      <c r="J555" s="105"/>
      <c r="K555" s="81"/>
      <c r="L555" s="289"/>
      <c r="M555" s="81"/>
      <c r="N555" s="81"/>
      <c r="O555" s="289"/>
      <c r="P555" s="81"/>
      <c r="Q555" s="289"/>
      <c r="R555" s="81"/>
      <c r="S555" s="289"/>
      <c r="T555" s="81"/>
      <c r="U555" s="81"/>
      <c r="V555" s="81"/>
      <c r="W555" s="81"/>
      <c r="X555" s="81"/>
      <c r="Y555" s="81"/>
      <c r="Z555" s="81"/>
    </row>
    <row r="556" spans="1:26" ht="24" customHeight="1" x14ac:dyDescent="0.5">
      <c r="A556" s="81"/>
      <c r="B556" s="81"/>
      <c r="C556" s="81"/>
      <c r="D556" s="81"/>
      <c r="E556" s="81"/>
      <c r="F556" s="81"/>
      <c r="G556" s="81"/>
      <c r="H556" s="81"/>
      <c r="I556" s="289"/>
      <c r="J556" s="105"/>
      <c r="K556" s="81"/>
      <c r="L556" s="289"/>
      <c r="M556" s="81"/>
      <c r="N556" s="81"/>
      <c r="O556" s="289"/>
      <c r="P556" s="81"/>
      <c r="Q556" s="289"/>
      <c r="R556" s="81"/>
      <c r="S556" s="289"/>
      <c r="T556" s="81"/>
      <c r="U556" s="81"/>
      <c r="V556" s="81"/>
      <c r="W556" s="81"/>
      <c r="X556" s="81"/>
      <c r="Y556" s="81"/>
      <c r="Z556" s="81"/>
    </row>
    <row r="557" spans="1:26" ht="24" customHeight="1" x14ac:dyDescent="0.5">
      <c r="A557" s="81"/>
      <c r="B557" s="81"/>
      <c r="C557" s="81"/>
      <c r="D557" s="81"/>
      <c r="E557" s="81"/>
      <c r="F557" s="81"/>
      <c r="G557" s="81"/>
      <c r="H557" s="81"/>
      <c r="I557" s="289"/>
      <c r="J557" s="105"/>
      <c r="K557" s="81"/>
      <c r="L557" s="289"/>
      <c r="M557" s="81"/>
      <c r="N557" s="81"/>
      <c r="O557" s="289"/>
      <c r="P557" s="81"/>
      <c r="Q557" s="289"/>
      <c r="R557" s="81"/>
      <c r="S557" s="289"/>
      <c r="T557" s="81"/>
      <c r="U557" s="81"/>
      <c r="V557" s="81"/>
      <c r="W557" s="81"/>
      <c r="X557" s="81"/>
      <c r="Y557" s="81"/>
      <c r="Z557" s="81"/>
    </row>
    <row r="558" spans="1:26" ht="24" customHeight="1" x14ac:dyDescent="0.5">
      <c r="A558" s="81"/>
      <c r="B558" s="81"/>
      <c r="C558" s="81"/>
      <c r="D558" s="81"/>
      <c r="E558" s="81"/>
      <c r="F558" s="81"/>
      <c r="G558" s="81"/>
      <c r="H558" s="81"/>
      <c r="I558" s="289"/>
      <c r="J558" s="105"/>
      <c r="K558" s="81"/>
      <c r="L558" s="289"/>
      <c r="M558" s="81"/>
      <c r="N558" s="81"/>
      <c r="O558" s="289"/>
      <c r="P558" s="81"/>
      <c r="Q558" s="289"/>
      <c r="R558" s="81"/>
      <c r="S558" s="289"/>
      <c r="T558" s="81"/>
      <c r="U558" s="81"/>
      <c r="V558" s="81"/>
      <c r="W558" s="81"/>
      <c r="X558" s="81"/>
      <c r="Y558" s="81"/>
      <c r="Z558" s="81"/>
    </row>
    <row r="559" spans="1:26" ht="24" customHeight="1" x14ac:dyDescent="0.5">
      <c r="A559" s="81"/>
      <c r="B559" s="81"/>
      <c r="C559" s="81"/>
      <c r="D559" s="81"/>
      <c r="E559" s="81"/>
      <c r="F559" s="81"/>
      <c r="G559" s="81"/>
      <c r="H559" s="81"/>
      <c r="I559" s="289"/>
      <c r="J559" s="105"/>
      <c r="K559" s="81"/>
      <c r="L559" s="289"/>
      <c r="M559" s="81"/>
      <c r="N559" s="81"/>
      <c r="O559" s="289"/>
      <c r="P559" s="81"/>
      <c r="Q559" s="289"/>
      <c r="R559" s="81"/>
      <c r="S559" s="289"/>
      <c r="T559" s="81"/>
      <c r="U559" s="81"/>
      <c r="V559" s="81"/>
      <c r="W559" s="81"/>
      <c r="X559" s="81"/>
      <c r="Y559" s="81"/>
      <c r="Z559" s="81"/>
    </row>
    <row r="560" spans="1:26" ht="24" customHeight="1" x14ac:dyDescent="0.5">
      <c r="A560" s="81"/>
      <c r="B560" s="81"/>
      <c r="C560" s="81"/>
      <c r="D560" s="81"/>
      <c r="E560" s="81"/>
      <c r="F560" s="81"/>
      <c r="G560" s="81"/>
      <c r="H560" s="81"/>
      <c r="I560" s="289"/>
      <c r="J560" s="105"/>
      <c r="K560" s="81"/>
      <c r="L560" s="289"/>
      <c r="M560" s="81"/>
      <c r="N560" s="81"/>
      <c r="O560" s="289"/>
      <c r="P560" s="81"/>
      <c r="Q560" s="289"/>
      <c r="R560" s="81"/>
      <c r="S560" s="289"/>
      <c r="T560" s="81"/>
      <c r="U560" s="81"/>
      <c r="V560" s="81"/>
      <c r="W560" s="81"/>
      <c r="X560" s="81"/>
      <c r="Y560" s="81"/>
      <c r="Z560" s="81"/>
    </row>
    <row r="561" spans="1:26" ht="24" customHeight="1" x14ac:dyDescent="0.5">
      <c r="A561" s="81"/>
      <c r="B561" s="81"/>
      <c r="C561" s="81"/>
      <c r="D561" s="81"/>
      <c r="E561" s="81"/>
      <c r="F561" s="81"/>
      <c r="G561" s="81"/>
      <c r="H561" s="81"/>
      <c r="I561" s="289"/>
      <c r="J561" s="105"/>
      <c r="K561" s="81"/>
      <c r="L561" s="289"/>
      <c r="M561" s="81"/>
      <c r="N561" s="81"/>
      <c r="O561" s="289"/>
      <c r="P561" s="81"/>
      <c r="Q561" s="289"/>
      <c r="R561" s="81"/>
      <c r="S561" s="289"/>
      <c r="T561" s="81"/>
      <c r="U561" s="81"/>
      <c r="V561" s="81"/>
      <c r="W561" s="81"/>
      <c r="X561" s="81"/>
      <c r="Y561" s="81"/>
      <c r="Z561" s="81"/>
    </row>
    <row r="562" spans="1:26" ht="24" customHeight="1" x14ac:dyDescent="0.5">
      <c r="A562" s="81"/>
      <c r="B562" s="81"/>
      <c r="C562" s="81"/>
      <c r="D562" s="81"/>
      <c r="E562" s="81"/>
      <c r="F562" s="81"/>
      <c r="G562" s="81"/>
      <c r="H562" s="81"/>
      <c r="I562" s="289"/>
      <c r="J562" s="105"/>
      <c r="K562" s="81"/>
      <c r="L562" s="289"/>
      <c r="M562" s="81"/>
      <c r="N562" s="81"/>
      <c r="O562" s="289"/>
      <c r="P562" s="81"/>
      <c r="Q562" s="289"/>
      <c r="R562" s="81"/>
      <c r="S562" s="289"/>
      <c r="T562" s="81"/>
      <c r="U562" s="81"/>
      <c r="V562" s="81"/>
      <c r="W562" s="81"/>
      <c r="X562" s="81"/>
      <c r="Y562" s="81"/>
      <c r="Z562" s="81"/>
    </row>
    <row r="563" spans="1:26" ht="24" customHeight="1" x14ac:dyDescent="0.5">
      <c r="A563" s="81"/>
      <c r="B563" s="81"/>
      <c r="C563" s="81"/>
      <c r="D563" s="81"/>
      <c r="E563" s="81"/>
      <c r="F563" s="81"/>
      <c r="G563" s="81"/>
      <c r="H563" s="81"/>
      <c r="I563" s="289"/>
      <c r="J563" s="105"/>
      <c r="K563" s="81"/>
      <c r="L563" s="289"/>
      <c r="M563" s="81"/>
      <c r="N563" s="81"/>
      <c r="O563" s="289"/>
      <c r="P563" s="81"/>
      <c r="Q563" s="289"/>
      <c r="R563" s="81"/>
      <c r="S563" s="289"/>
      <c r="T563" s="81"/>
      <c r="U563" s="81"/>
      <c r="V563" s="81"/>
      <c r="W563" s="81"/>
      <c r="X563" s="81"/>
      <c r="Y563" s="81"/>
      <c r="Z563" s="81"/>
    </row>
    <row r="564" spans="1:26" ht="24" customHeight="1" x14ac:dyDescent="0.5">
      <c r="A564" s="81"/>
      <c r="B564" s="81"/>
      <c r="C564" s="81"/>
      <c r="D564" s="81"/>
      <c r="E564" s="81"/>
      <c r="F564" s="81"/>
      <c r="G564" s="81"/>
      <c r="H564" s="81"/>
      <c r="I564" s="289"/>
      <c r="J564" s="105"/>
      <c r="K564" s="81"/>
      <c r="L564" s="289"/>
      <c r="M564" s="81"/>
      <c r="N564" s="81"/>
      <c r="O564" s="289"/>
      <c r="P564" s="81"/>
      <c r="Q564" s="289"/>
      <c r="R564" s="81"/>
      <c r="S564" s="289"/>
      <c r="T564" s="81"/>
      <c r="U564" s="81"/>
      <c r="V564" s="81"/>
      <c r="W564" s="81"/>
      <c r="X564" s="81"/>
      <c r="Y564" s="81"/>
      <c r="Z564" s="81"/>
    </row>
    <row r="565" spans="1:26" ht="24" customHeight="1" x14ac:dyDescent="0.5">
      <c r="A565" s="81"/>
      <c r="B565" s="81"/>
      <c r="C565" s="81"/>
      <c r="D565" s="81"/>
      <c r="E565" s="81"/>
      <c r="F565" s="81"/>
      <c r="G565" s="81"/>
      <c r="H565" s="81"/>
      <c r="I565" s="289"/>
      <c r="J565" s="105"/>
      <c r="K565" s="81"/>
      <c r="L565" s="289"/>
      <c r="M565" s="81"/>
      <c r="N565" s="81"/>
      <c r="O565" s="289"/>
      <c r="P565" s="81"/>
      <c r="Q565" s="289"/>
      <c r="R565" s="81"/>
      <c r="S565" s="289"/>
      <c r="T565" s="81"/>
      <c r="U565" s="81"/>
      <c r="V565" s="81"/>
      <c r="W565" s="81"/>
      <c r="X565" s="81"/>
      <c r="Y565" s="81"/>
      <c r="Z565" s="81"/>
    </row>
    <row r="566" spans="1:26" ht="24" customHeight="1" x14ac:dyDescent="0.5">
      <c r="A566" s="81"/>
      <c r="B566" s="81"/>
      <c r="C566" s="81"/>
      <c r="D566" s="81"/>
      <c r="E566" s="81"/>
      <c r="F566" s="81"/>
      <c r="G566" s="81"/>
      <c r="H566" s="81"/>
      <c r="I566" s="289"/>
      <c r="J566" s="105"/>
      <c r="K566" s="81"/>
      <c r="L566" s="289"/>
      <c r="M566" s="81"/>
      <c r="N566" s="81"/>
      <c r="O566" s="289"/>
      <c r="P566" s="81"/>
      <c r="Q566" s="289"/>
      <c r="R566" s="81"/>
      <c r="S566" s="289"/>
      <c r="T566" s="81"/>
      <c r="U566" s="81"/>
      <c r="V566" s="81"/>
      <c r="W566" s="81"/>
      <c r="X566" s="81"/>
      <c r="Y566" s="81"/>
      <c r="Z566" s="81"/>
    </row>
    <row r="567" spans="1:26" ht="24" customHeight="1" x14ac:dyDescent="0.5">
      <c r="A567" s="81"/>
      <c r="B567" s="81"/>
      <c r="C567" s="81"/>
      <c r="D567" s="81"/>
      <c r="E567" s="81"/>
      <c r="F567" s="81"/>
      <c r="G567" s="81"/>
      <c r="H567" s="81"/>
      <c r="I567" s="289"/>
      <c r="J567" s="105"/>
      <c r="K567" s="81"/>
      <c r="L567" s="289"/>
      <c r="M567" s="81"/>
      <c r="N567" s="81"/>
      <c r="O567" s="289"/>
      <c r="P567" s="81"/>
      <c r="Q567" s="289"/>
      <c r="R567" s="81"/>
      <c r="S567" s="289"/>
      <c r="T567" s="81"/>
      <c r="U567" s="81"/>
      <c r="V567" s="81"/>
      <c r="W567" s="81"/>
      <c r="X567" s="81"/>
      <c r="Y567" s="81"/>
      <c r="Z567" s="81"/>
    </row>
    <row r="568" spans="1:26" ht="24" customHeight="1" x14ac:dyDescent="0.5">
      <c r="A568" s="81"/>
      <c r="B568" s="81"/>
      <c r="C568" s="81"/>
      <c r="D568" s="81"/>
      <c r="E568" s="81"/>
      <c r="F568" s="81"/>
      <c r="G568" s="81"/>
      <c r="H568" s="81"/>
      <c r="I568" s="289"/>
      <c r="J568" s="105"/>
      <c r="K568" s="81"/>
      <c r="L568" s="289"/>
      <c r="M568" s="81"/>
      <c r="N568" s="81"/>
      <c r="O568" s="289"/>
      <c r="P568" s="81"/>
      <c r="Q568" s="289"/>
      <c r="R568" s="81"/>
      <c r="S568" s="289"/>
      <c r="T568" s="81"/>
      <c r="U568" s="81"/>
      <c r="V568" s="81"/>
      <c r="W568" s="81"/>
      <c r="X568" s="81"/>
      <c r="Y568" s="81"/>
      <c r="Z568" s="81"/>
    </row>
    <row r="569" spans="1:26" ht="24" customHeight="1" x14ac:dyDescent="0.5">
      <c r="A569" s="81"/>
      <c r="B569" s="81"/>
      <c r="C569" s="81"/>
      <c r="D569" s="81"/>
      <c r="E569" s="81"/>
      <c r="F569" s="81"/>
      <c r="G569" s="81"/>
      <c r="H569" s="81"/>
      <c r="I569" s="289"/>
      <c r="J569" s="105"/>
      <c r="K569" s="81"/>
      <c r="L569" s="289"/>
      <c r="M569" s="81"/>
      <c r="N569" s="81"/>
      <c r="O569" s="289"/>
      <c r="P569" s="81"/>
      <c r="Q569" s="289"/>
      <c r="R569" s="81"/>
      <c r="S569" s="289"/>
      <c r="T569" s="81"/>
      <c r="U569" s="81"/>
      <c r="V569" s="81"/>
      <c r="W569" s="81"/>
      <c r="X569" s="81"/>
      <c r="Y569" s="81"/>
      <c r="Z569" s="81"/>
    </row>
    <row r="570" spans="1:26" ht="24" customHeight="1" x14ac:dyDescent="0.5">
      <c r="A570" s="81"/>
      <c r="B570" s="81"/>
      <c r="C570" s="81"/>
      <c r="D570" s="81"/>
      <c r="E570" s="81"/>
      <c r="F570" s="81"/>
      <c r="G570" s="81"/>
      <c r="H570" s="81"/>
      <c r="I570" s="289"/>
      <c r="J570" s="105"/>
      <c r="K570" s="81"/>
      <c r="L570" s="289"/>
      <c r="M570" s="81"/>
      <c r="N570" s="81"/>
      <c r="O570" s="289"/>
      <c r="P570" s="81"/>
      <c r="Q570" s="289"/>
      <c r="R570" s="81"/>
      <c r="S570" s="289"/>
      <c r="T570" s="81"/>
      <c r="U570" s="81"/>
      <c r="V570" s="81"/>
      <c r="W570" s="81"/>
      <c r="X570" s="81"/>
      <c r="Y570" s="81"/>
      <c r="Z570" s="81"/>
    </row>
    <row r="571" spans="1:26" ht="24" customHeight="1" x14ac:dyDescent="0.5">
      <c r="A571" s="81"/>
      <c r="B571" s="81"/>
      <c r="C571" s="81"/>
      <c r="D571" s="81"/>
      <c r="E571" s="81"/>
      <c r="F571" s="81"/>
      <c r="G571" s="81"/>
      <c r="H571" s="81"/>
      <c r="I571" s="289"/>
      <c r="J571" s="105"/>
      <c r="K571" s="81"/>
      <c r="L571" s="289"/>
      <c r="M571" s="81"/>
      <c r="N571" s="81"/>
      <c r="O571" s="289"/>
      <c r="P571" s="81"/>
      <c r="Q571" s="289"/>
      <c r="R571" s="81"/>
      <c r="S571" s="289"/>
      <c r="T571" s="81"/>
      <c r="U571" s="81"/>
      <c r="V571" s="81"/>
      <c r="W571" s="81"/>
      <c r="X571" s="81"/>
      <c r="Y571" s="81"/>
      <c r="Z571" s="81"/>
    </row>
    <row r="572" spans="1:26" ht="24" customHeight="1" x14ac:dyDescent="0.5">
      <c r="A572" s="81"/>
      <c r="B572" s="81"/>
      <c r="C572" s="81"/>
      <c r="D572" s="81"/>
      <c r="E572" s="81"/>
      <c r="F572" s="81"/>
      <c r="G572" s="81"/>
      <c r="H572" s="81"/>
      <c r="I572" s="289"/>
      <c r="J572" s="105"/>
      <c r="K572" s="81"/>
      <c r="L572" s="289"/>
      <c r="M572" s="81"/>
      <c r="N572" s="81"/>
      <c r="O572" s="289"/>
      <c r="P572" s="81"/>
      <c r="Q572" s="289"/>
      <c r="R572" s="81"/>
      <c r="S572" s="289"/>
      <c r="T572" s="81"/>
      <c r="U572" s="81"/>
      <c r="V572" s="81"/>
      <c r="W572" s="81"/>
      <c r="X572" s="81"/>
      <c r="Y572" s="81"/>
      <c r="Z572" s="81"/>
    </row>
    <row r="573" spans="1:26" ht="24" customHeight="1" x14ac:dyDescent="0.5">
      <c r="A573" s="81"/>
      <c r="B573" s="81"/>
      <c r="C573" s="81"/>
      <c r="D573" s="81"/>
      <c r="E573" s="81"/>
      <c r="F573" s="81"/>
      <c r="G573" s="81"/>
      <c r="H573" s="81"/>
      <c r="I573" s="289"/>
      <c r="J573" s="105"/>
      <c r="K573" s="81"/>
      <c r="L573" s="289"/>
      <c r="M573" s="81"/>
      <c r="N573" s="81"/>
      <c r="O573" s="289"/>
      <c r="P573" s="81"/>
      <c r="Q573" s="289"/>
      <c r="R573" s="81"/>
      <c r="S573" s="289"/>
      <c r="T573" s="81"/>
      <c r="U573" s="81"/>
      <c r="V573" s="81"/>
      <c r="W573" s="81"/>
      <c r="X573" s="81"/>
      <c r="Y573" s="81"/>
      <c r="Z573" s="81"/>
    </row>
    <row r="574" spans="1:26" ht="24" customHeight="1" x14ac:dyDescent="0.5">
      <c r="A574" s="81"/>
      <c r="B574" s="81"/>
      <c r="C574" s="81"/>
      <c r="D574" s="81"/>
      <c r="E574" s="81"/>
      <c r="F574" s="81"/>
      <c r="G574" s="81"/>
      <c r="H574" s="81"/>
      <c r="I574" s="289"/>
      <c r="J574" s="105"/>
      <c r="K574" s="81"/>
      <c r="L574" s="289"/>
      <c r="M574" s="81"/>
      <c r="N574" s="81"/>
      <c r="O574" s="289"/>
      <c r="P574" s="81"/>
      <c r="Q574" s="289"/>
      <c r="R574" s="81"/>
      <c r="S574" s="289"/>
      <c r="T574" s="81"/>
      <c r="U574" s="81"/>
      <c r="V574" s="81"/>
      <c r="W574" s="81"/>
      <c r="X574" s="81"/>
      <c r="Y574" s="81"/>
      <c r="Z574" s="81"/>
    </row>
    <row r="575" spans="1:26" ht="24" customHeight="1" x14ac:dyDescent="0.5">
      <c r="A575" s="81"/>
      <c r="B575" s="81"/>
      <c r="C575" s="81"/>
      <c r="D575" s="81"/>
      <c r="E575" s="81"/>
      <c r="F575" s="81"/>
      <c r="G575" s="81"/>
      <c r="H575" s="81"/>
      <c r="I575" s="289"/>
      <c r="J575" s="105"/>
      <c r="K575" s="81"/>
      <c r="L575" s="289"/>
      <c r="M575" s="81"/>
      <c r="N575" s="81"/>
      <c r="O575" s="289"/>
      <c r="P575" s="81"/>
      <c r="Q575" s="289"/>
      <c r="R575" s="81"/>
      <c r="S575" s="289"/>
      <c r="T575" s="81"/>
      <c r="U575" s="81"/>
      <c r="V575" s="81"/>
      <c r="W575" s="81"/>
      <c r="X575" s="81"/>
      <c r="Y575" s="81"/>
      <c r="Z575" s="81"/>
    </row>
    <row r="576" spans="1:26" ht="24" customHeight="1" x14ac:dyDescent="0.5">
      <c r="A576" s="81"/>
      <c r="B576" s="81"/>
      <c r="C576" s="81"/>
      <c r="D576" s="81"/>
      <c r="E576" s="81"/>
      <c r="F576" s="81"/>
      <c r="G576" s="81"/>
      <c r="H576" s="81"/>
      <c r="I576" s="289"/>
      <c r="J576" s="105"/>
      <c r="K576" s="81"/>
      <c r="L576" s="289"/>
      <c r="M576" s="81"/>
      <c r="N576" s="81"/>
      <c r="O576" s="289"/>
      <c r="P576" s="81"/>
      <c r="Q576" s="289"/>
      <c r="R576" s="81"/>
      <c r="S576" s="289"/>
      <c r="T576" s="81"/>
      <c r="U576" s="81"/>
      <c r="V576" s="81"/>
      <c r="W576" s="81"/>
      <c r="X576" s="81"/>
      <c r="Y576" s="81"/>
      <c r="Z576" s="81"/>
    </row>
    <row r="577" spans="1:26" ht="24" customHeight="1" x14ac:dyDescent="0.5">
      <c r="A577" s="81"/>
      <c r="B577" s="81"/>
      <c r="C577" s="81"/>
      <c r="D577" s="81"/>
      <c r="E577" s="81"/>
      <c r="F577" s="81"/>
      <c r="G577" s="81"/>
      <c r="H577" s="81"/>
      <c r="I577" s="289"/>
      <c r="J577" s="105"/>
      <c r="K577" s="81"/>
      <c r="L577" s="289"/>
      <c r="M577" s="81"/>
      <c r="N577" s="81"/>
      <c r="O577" s="289"/>
      <c r="P577" s="81"/>
      <c r="Q577" s="289"/>
      <c r="R577" s="81"/>
      <c r="S577" s="289"/>
      <c r="T577" s="81"/>
      <c r="U577" s="81"/>
      <c r="V577" s="81"/>
      <c r="W577" s="81"/>
      <c r="X577" s="81"/>
      <c r="Y577" s="81"/>
      <c r="Z577" s="81"/>
    </row>
    <row r="578" spans="1:26" ht="24" customHeight="1" x14ac:dyDescent="0.5">
      <c r="A578" s="81"/>
      <c r="B578" s="81"/>
      <c r="C578" s="81"/>
      <c r="D578" s="81"/>
      <c r="E578" s="81"/>
      <c r="F578" s="81"/>
      <c r="G578" s="81"/>
      <c r="H578" s="81"/>
      <c r="I578" s="289"/>
      <c r="J578" s="105"/>
      <c r="K578" s="81"/>
      <c r="L578" s="289"/>
      <c r="M578" s="81"/>
      <c r="N578" s="81"/>
      <c r="O578" s="289"/>
      <c r="P578" s="81"/>
      <c r="Q578" s="289"/>
      <c r="R578" s="81"/>
      <c r="S578" s="289"/>
      <c r="T578" s="81"/>
      <c r="U578" s="81"/>
      <c r="V578" s="81"/>
      <c r="W578" s="81"/>
      <c r="X578" s="81"/>
      <c r="Y578" s="81"/>
      <c r="Z578" s="81"/>
    </row>
    <row r="579" spans="1:26" ht="24" customHeight="1" x14ac:dyDescent="0.5">
      <c r="A579" s="81"/>
      <c r="B579" s="81"/>
      <c r="C579" s="81"/>
      <c r="D579" s="81"/>
      <c r="E579" s="81"/>
      <c r="F579" s="81"/>
      <c r="G579" s="81"/>
      <c r="H579" s="81"/>
      <c r="I579" s="289"/>
      <c r="J579" s="105"/>
      <c r="K579" s="81"/>
      <c r="L579" s="289"/>
      <c r="M579" s="81"/>
      <c r="N579" s="81"/>
      <c r="O579" s="289"/>
      <c r="P579" s="81"/>
      <c r="Q579" s="289"/>
      <c r="R579" s="81"/>
      <c r="S579" s="289"/>
      <c r="T579" s="81"/>
      <c r="U579" s="81"/>
      <c r="V579" s="81"/>
      <c r="W579" s="81"/>
      <c r="X579" s="81"/>
      <c r="Y579" s="81"/>
      <c r="Z579" s="81"/>
    </row>
    <row r="580" spans="1:26" ht="24" customHeight="1" x14ac:dyDescent="0.5">
      <c r="A580" s="81"/>
      <c r="B580" s="81"/>
      <c r="C580" s="81"/>
      <c r="D580" s="81"/>
      <c r="E580" s="81"/>
      <c r="F580" s="81"/>
      <c r="G580" s="81"/>
      <c r="H580" s="81"/>
      <c r="I580" s="289"/>
      <c r="J580" s="105"/>
      <c r="K580" s="81"/>
      <c r="L580" s="289"/>
      <c r="M580" s="81"/>
      <c r="N580" s="81"/>
      <c r="O580" s="289"/>
      <c r="P580" s="81"/>
      <c r="Q580" s="289"/>
      <c r="R580" s="81"/>
      <c r="S580" s="289"/>
      <c r="T580" s="81"/>
      <c r="U580" s="81"/>
      <c r="V580" s="81"/>
      <c r="W580" s="81"/>
      <c r="X580" s="81"/>
      <c r="Y580" s="81"/>
      <c r="Z580" s="81"/>
    </row>
    <row r="581" spans="1:26" ht="24" customHeight="1" x14ac:dyDescent="0.5">
      <c r="A581" s="81"/>
      <c r="B581" s="81"/>
      <c r="C581" s="81"/>
      <c r="D581" s="81"/>
      <c r="E581" s="81"/>
      <c r="F581" s="81"/>
      <c r="G581" s="81"/>
      <c r="H581" s="81"/>
      <c r="I581" s="289"/>
      <c r="J581" s="105"/>
      <c r="K581" s="81"/>
      <c r="L581" s="289"/>
      <c r="M581" s="81"/>
      <c r="N581" s="81"/>
      <c r="O581" s="289"/>
      <c r="P581" s="81"/>
      <c r="Q581" s="289"/>
      <c r="R581" s="81"/>
      <c r="S581" s="289"/>
      <c r="T581" s="81"/>
      <c r="U581" s="81"/>
      <c r="V581" s="81"/>
      <c r="W581" s="81"/>
      <c r="X581" s="81"/>
      <c r="Y581" s="81"/>
      <c r="Z581" s="81"/>
    </row>
    <row r="582" spans="1:26" ht="24" customHeight="1" x14ac:dyDescent="0.5">
      <c r="A582" s="81"/>
      <c r="B582" s="81"/>
      <c r="C582" s="81"/>
      <c r="D582" s="81"/>
      <c r="E582" s="81"/>
      <c r="F582" s="81"/>
      <c r="G582" s="81"/>
      <c r="H582" s="81"/>
      <c r="I582" s="289"/>
      <c r="J582" s="105"/>
      <c r="K582" s="81"/>
      <c r="L582" s="289"/>
      <c r="M582" s="81"/>
      <c r="N582" s="81"/>
      <c r="O582" s="289"/>
      <c r="P582" s="81"/>
      <c r="Q582" s="289"/>
      <c r="R582" s="81"/>
      <c r="S582" s="289"/>
      <c r="T582" s="81"/>
      <c r="U582" s="81"/>
      <c r="V582" s="81"/>
      <c r="W582" s="81"/>
      <c r="X582" s="81"/>
      <c r="Y582" s="81"/>
      <c r="Z582" s="81"/>
    </row>
    <row r="583" spans="1:26" ht="24" customHeight="1" x14ac:dyDescent="0.5">
      <c r="A583" s="81"/>
      <c r="B583" s="81"/>
      <c r="C583" s="81"/>
      <c r="D583" s="81"/>
      <c r="E583" s="81"/>
      <c r="F583" s="81"/>
      <c r="G583" s="81"/>
      <c r="H583" s="81"/>
      <c r="I583" s="289"/>
      <c r="J583" s="105"/>
      <c r="K583" s="81"/>
      <c r="L583" s="289"/>
      <c r="M583" s="81"/>
      <c r="N583" s="81"/>
      <c r="O583" s="289"/>
      <c r="P583" s="81"/>
      <c r="Q583" s="289"/>
      <c r="R583" s="81"/>
      <c r="S583" s="289"/>
      <c r="T583" s="81"/>
      <c r="U583" s="81"/>
      <c r="V583" s="81"/>
      <c r="W583" s="81"/>
      <c r="X583" s="81"/>
      <c r="Y583" s="81"/>
      <c r="Z583" s="81"/>
    </row>
    <row r="584" spans="1:26" ht="24" customHeight="1" x14ac:dyDescent="0.5">
      <c r="A584" s="81"/>
      <c r="B584" s="81"/>
      <c r="C584" s="81"/>
      <c r="D584" s="81"/>
      <c r="E584" s="81"/>
      <c r="F584" s="81"/>
      <c r="G584" s="81"/>
      <c r="H584" s="81"/>
      <c r="I584" s="289"/>
      <c r="J584" s="105"/>
      <c r="K584" s="81"/>
      <c r="L584" s="289"/>
      <c r="M584" s="81"/>
      <c r="N584" s="81"/>
      <c r="O584" s="289"/>
      <c r="P584" s="81"/>
      <c r="Q584" s="289"/>
      <c r="R584" s="81"/>
      <c r="S584" s="289"/>
      <c r="T584" s="81"/>
      <c r="U584" s="81"/>
      <c r="V584" s="81"/>
      <c r="W584" s="81"/>
      <c r="X584" s="81"/>
      <c r="Y584" s="81"/>
      <c r="Z584" s="81"/>
    </row>
    <row r="585" spans="1:26" ht="24" customHeight="1" x14ac:dyDescent="0.5">
      <c r="A585" s="81"/>
      <c r="B585" s="81"/>
      <c r="C585" s="81"/>
      <c r="D585" s="81"/>
      <c r="E585" s="81"/>
      <c r="F585" s="81"/>
      <c r="G585" s="81"/>
      <c r="H585" s="81"/>
      <c r="I585" s="289"/>
      <c r="J585" s="105"/>
      <c r="K585" s="81"/>
      <c r="L585" s="289"/>
      <c r="M585" s="81"/>
      <c r="N585" s="81"/>
      <c r="O585" s="289"/>
      <c r="P585" s="81"/>
      <c r="Q585" s="289"/>
      <c r="R585" s="81"/>
      <c r="S585" s="289"/>
      <c r="T585" s="81"/>
      <c r="U585" s="81"/>
      <c r="V585" s="81"/>
      <c r="W585" s="81"/>
      <c r="X585" s="81"/>
      <c r="Y585" s="81"/>
      <c r="Z585" s="81"/>
    </row>
    <row r="586" spans="1:26" ht="24" customHeight="1" x14ac:dyDescent="0.5">
      <c r="A586" s="81"/>
      <c r="B586" s="81"/>
      <c r="C586" s="81"/>
      <c r="D586" s="81"/>
      <c r="E586" s="81"/>
      <c r="F586" s="81"/>
      <c r="G586" s="81"/>
      <c r="H586" s="81"/>
      <c r="I586" s="289"/>
      <c r="J586" s="105"/>
      <c r="K586" s="81"/>
      <c r="L586" s="289"/>
      <c r="M586" s="81"/>
      <c r="N586" s="81"/>
      <c r="O586" s="289"/>
      <c r="P586" s="81"/>
      <c r="Q586" s="289"/>
      <c r="R586" s="81"/>
      <c r="S586" s="289"/>
      <c r="T586" s="81"/>
      <c r="U586" s="81"/>
      <c r="V586" s="81"/>
      <c r="W586" s="81"/>
      <c r="X586" s="81"/>
      <c r="Y586" s="81"/>
      <c r="Z586" s="81"/>
    </row>
    <row r="587" spans="1:26" ht="24" customHeight="1" x14ac:dyDescent="0.5">
      <c r="A587" s="81"/>
      <c r="B587" s="81"/>
      <c r="C587" s="81"/>
      <c r="D587" s="81"/>
      <c r="E587" s="81"/>
      <c r="F587" s="81"/>
      <c r="G587" s="81"/>
      <c r="H587" s="81"/>
      <c r="I587" s="289"/>
      <c r="J587" s="105"/>
      <c r="K587" s="81"/>
      <c r="L587" s="289"/>
      <c r="M587" s="81"/>
      <c r="N587" s="81"/>
      <c r="O587" s="289"/>
      <c r="P587" s="81"/>
      <c r="Q587" s="289"/>
      <c r="R587" s="81"/>
      <c r="S587" s="289"/>
      <c r="T587" s="81"/>
      <c r="U587" s="81"/>
      <c r="V587" s="81"/>
      <c r="W587" s="81"/>
      <c r="X587" s="81"/>
      <c r="Y587" s="81"/>
      <c r="Z587" s="81"/>
    </row>
    <row r="588" spans="1:26" ht="24" customHeight="1" x14ac:dyDescent="0.5">
      <c r="A588" s="81"/>
      <c r="B588" s="81"/>
      <c r="C588" s="81"/>
      <c r="D588" s="81"/>
      <c r="E588" s="81"/>
      <c r="F588" s="81"/>
      <c r="G588" s="81"/>
      <c r="H588" s="81"/>
      <c r="I588" s="289"/>
      <c r="J588" s="105"/>
      <c r="K588" s="81"/>
      <c r="L588" s="289"/>
      <c r="M588" s="81"/>
      <c r="N588" s="81"/>
      <c r="O588" s="289"/>
      <c r="P588" s="81"/>
      <c r="Q588" s="289"/>
      <c r="R588" s="81"/>
      <c r="S588" s="289"/>
      <c r="T588" s="81"/>
      <c r="U588" s="81"/>
      <c r="V588" s="81"/>
      <c r="W588" s="81"/>
      <c r="X588" s="81"/>
      <c r="Y588" s="81"/>
      <c r="Z588" s="81"/>
    </row>
    <row r="589" spans="1:26" ht="24" customHeight="1" x14ac:dyDescent="0.5">
      <c r="A589" s="81"/>
      <c r="B589" s="81"/>
      <c r="C589" s="81"/>
      <c r="D589" s="81"/>
      <c r="E589" s="81"/>
      <c r="F589" s="81"/>
      <c r="G589" s="81"/>
      <c r="H589" s="81"/>
      <c r="I589" s="289"/>
      <c r="J589" s="105"/>
      <c r="K589" s="81"/>
      <c r="L589" s="289"/>
      <c r="M589" s="81"/>
      <c r="N589" s="81"/>
      <c r="O589" s="289"/>
      <c r="P589" s="81"/>
      <c r="Q589" s="289"/>
      <c r="R589" s="81"/>
      <c r="S589" s="289"/>
      <c r="T589" s="81"/>
      <c r="U589" s="81"/>
      <c r="V589" s="81"/>
      <c r="W589" s="81"/>
      <c r="X589" s="81"/>
      <c r="Y589" s="81"/>
      <c r="Z589" s="81"/>
    </row>
    <row r="590" spans="1:26" ht="24" customHeight="1" x14ac:dyDescent="0.5">
      <c r="A590" s="81"/>
      <c r="B590" s="81"/>
      <c r="C590" s="81"/>
      <c r="D590" s="81"/>
      <c r="E590" s="81"/>
      <c r="F590" s="81"/>
      <c r="G590" s="81"/>
      <c r="H590" s="81"/>
      <c r="I590" s="289"/>
      <c r="J590" s="105"/>
      <c r="K590" s="81"/>
      <c r="L590" s="289"/>
      <c r="M590" s="81"/>
      <c r="N590" s="81"/>
      <c r="O590" s="289"/>
      <c r="P590" s="81"/>
      <c r="Q590" s="289"/>
      <c r="R590" s="81"/>
      <c r="S590" s="289"/>
      <c r="T590" s="81"/>
      <c r="U590" s="81"/>
      <c r="V590" s="81"/>
      <c r="W590" s="81"/>
      <c r="X590" s="81"/>
      <c r="Y590" s="81"/>
      <c r="Z590" s="81"/>
    </row>
    <row r="591" spans="1:26" ht="24" customHeight="1" x14ac:dyDescent="0.5">
      <c r="A591" s="81"/>
      <c r="B591" s="81"/>
      <c r="C591" s="81"/>
      <c r="D591" s="81"/>
      <c r="E591" s="81"/>
      <c r="F591" s="81"/>
      <c r="G591" s="81"/>
      <c r="H591" s="81"/>
      <c r="I591" s="289"/>
      <c r="J591" s="105"/>
      <c r="K591" s="81"/>
      <c r="L591" s="289"/>
      <c r="M591" s="81"/>
      <c r="N591" s="81"/>
      <c r="O591" s="289"/>
      <c r="P591" s="81"/>
      <c r="Q591" s="289"/>
      <c r="R591" s="81"/>
      <c r="S591" s="289"/>
      <c r="T591" s="81"/>
      <c r="U591" s="81"/>
      <c r="V591" s="81"/>
      <c r="W591" s="81"/>
      <c r="X591" s="81"/>
      <c r="Y591" s="81"/>
      <c r="Z591" s="81"/>
    </row>
    <row r="592" spans="1:26" ht="24" customHeight="1" x14ac:dyDescent="0.5">
      <c r="A592" s="81"/>
      <c r="B592" s="81"/>
      <c r="C592" s="81"/>
      <c r="D592" s="81"/>
      <c r="E592" s="81"/>
      <c r="F592" s="81"/>
      <c r="G592" s="81"/>
      <c r="H592" s="81"/>
      <c r="I592" s="289"/>
      <c r="J592" s="105"/>
      <c r="K592" s="81"/>
      <c r="L592" s="289"/>
      <c r="M592" s="81"/>
      <c r="N592" s="81"/>
      <c r="O592" s="289"/>
      <c r="P592" s="81"/>
      <c r="Q592" s="289"/>
      <c r="R592" s="81"/>
      <c r="S592" s="289"/>
      <c r="T592" s="81"/>
      <c r="U592" s="81"/>
      <c r="V592" s="81"/>
      <c r="W592" s="81"/>
      <c r="X592" s="81"/>
      <c r="Y592" s="81"/>
      <c r="Z592" s="81"/>
    </row>
    <row r="593" spans="1:26" ht="24" customHeight="1" x14ac:dyDescent="0.5">
      <c r="A593" s="81"/>
      <c r="B593" s="81"/>
      <c r="C593" s="81"/>
      <c r="D593" s="81"/>
      <c r="E593" s="81"/>
      <c r="F593" s="81"/>
      <c r="G593" s="81"/>
      <c r="H593" s="81"/>
      <c r="I593" s="289"/>
      <c r="J593" s="105"/>
      <c r="K593" s="81"/>
      <c r="L593" s="289"/>
      <c r="M593" s="81"/>
      <c r="N593" s="81"/>
      <c r="O593" s="289"/>
      <c r="P593" s="81"/>
      <c r="Q593" s="289"/>
      <c r="R593" s="81"/>
      <c r="S593" s="289"/>
      <c r="T593" s="81"/>
      <c r="U593" s="81"/>
      <c r="V593" s="81"/>
      <c r="W593" s="81"/>
      <c r="X593" s="81"/>
      <c r="Y593" s="81"/>
      <c r="Z593" s="81"/>
    </row>
    <row r="594" spans="1:26" ht="24" customHeight="1" x14ac:dyDescent="0.5">
      <c r="A594" s="81"/>
      <c r="B594" s="81"/>
      <c r="C594" s="81"/>
      <c r="D594" s="81"/>
      <c r="E594" s="81"/>
      <c r="F594" s="81"/>
      <c r="G594" s="81"/>
      <c r="H594" s="81"/>
      <c r="I594" s="289"/>
      <c r="J594" s="105"/>
      <c r="K594" s="81"/>
      <c r="L594" s="289"/>
      <c r="M594" s="81"/>
      <c r="N594" s="81"/>
      <c r="O594" s="289"/>
      <c r="P594" s="81"/>
      <c r="Q594" s="289"/>
      <c r="R594" s="81"/>
      <c r="S594" s="289"/>
      <c r="T594" s="81"/>
      <c r="U594" s="81"/>
      <c r="V594" s="81"/>
      <c r="W594" s="81"/>
      <c r="X594" s="81"/>
      <c r="Y594" s="81"/>
      <c r="Z594" s="81"/>
    </row>
    <row r="595" spans="1:26" ht="24" customHeight="1" x14ac:dyDescent="0.5">
      <c r="A595" s="81"/>
      <c r="B595" s="81"/>
      <c r="C595" s="81"/>
      <c r="D595" s="81"/>
      <c r="E595" s="81"/>
      <c r="F595" s="81"/>
      <c r="G595" s="81"/>
      <c r="H595" s="81"/>
      <c r="I595" s="289"/>
      <c r="J595" s="105"/>
      <c r="K595" s="81"/>
      <c r="L595" s="289"/>
      <c r="M595" s="81"/>
      <c r="N595" s="81"/>
      <c r="O595" s="289"/>
      <c r="P595" s="81"/>
      <c r="Q595" s="289"/>
      <c r="R595" s="81"/>
      <c r="S595" s="289"/>
      <c r="T595" s="81"/>
      <c r="U595" s="81"/>
      <c r="V595" s="81"/>
      <c r="W595" s="81"/>
      <c r="X595" s="81"/>
      <c r="Y595" s="81"/>
      <c r="Z595" s="81"/>
    </row>
    <row r="596" spans="1:26" ht="24" customHeight="1" x14ac:dyDescent="0.5">
      <c r="A596" s="81"/>
      <c r="B596" s="81"/>
      <c r="C596" s="81"/>
      <c r="D596" s="81"/>
      <c r="E596" s="81"/>
      <c r="F596" s="81"/>
      <c r="G596" s="81"/>
      <c r="H596" s="81"/>
      <c r="I596" s="289"/>
      <c r="J596" s="105"/>
      <c r="K596" s="81"/>
      <c r="L596" s="289"/>
      <c r="M596" s="81"/>
      <c r="N596" s="81"/>
      <c r="O596" s="289"/>
      <c r="P596" s="81"/>
      <c r="Q596" s="289"/>
      <c r="R596" s="81"/>
      <c r="S596" s="289"/>
      <c r="T596" s="81"/>
      <c r="U596" s="81"/>
      <c r="V596" s="81"/>
      <c r="W596" s="81"/>
      <c r="X596" s="81"/>
      <c r="Y596" s="81"/>
      <c r="Z596" s="81"/>
    </row>
    <row r="597" spans="1:26" ht="24" customHeight="1" x14ac:dyDescent="0.5">
      <c r="A597" s="81"/>
      <c r="B597" s="81"/>
      <c r="C597" s="81"/>
      <c r="D597" s="81"/>
      <c r="E597" s="81"/>
      <c r="F597" s="81"/>
      <c r="G597" s="81"/>
      <c r="H597" s="81"/>
      <c r="I597" s="289"/>
      <c r="J597" s="105"/>
      <c r="K597" s="81"/>
      <c r="L597" s="289"/>
      <c r="M597" s="81"/>
      <c r="N597" s="81"/>
      <c r="O597" s="289"/>
      <c r="P597" s="81"/>
      <c r="Q597" s="289"/>
      <c r="R597" s="81"/>
      <c r="S597" s="289"/>
      <c r="T597" s="81"/>
      <c r="U597" s="81"/>
      <c r="V597" s="81"/>
      <c r="W597" s="81"/>
      <c r="X597" s="81"/>
      <c r="Y597" s="81"/>
      <c r="Z597" s="81"/>
    </row>
    <row r="598" spans="1:26" ht="24" customHeight="1" x14ac:dyDescent="0.5">
      <c r="A598" s="81"/>
      <c r="B598" s="81"/>
      <c r="C598" s="81"/>
      <c r="D598" s="81"/>
      <c r="E598" s="81"/>
      <c r="F598" s="81"/>
      <c r="G598" s="81"/>
      <c r="H598" s="81"/>
      <c r="I598" s="289"/>
      <c r="J598" s="105"/>
      <c r="K598" s="81"/>
      <c r="L598" s="289"/>
      <c r="M598" s="81"/>
      <c r="N598" s="81"/>
      <c r="O598" s="289"/>
      <c r="P598" s="81"/>
      <c r="Q598" s="289"/>
      <c r="R598" s="81"/>
      <c r="S598" s="289"/>
      <c r="T598" s="81"/>
      <c r="U598" s="81"/>
      <c r="V598" s="81"/>
      <c r="W598" s="81"/>
      <c r="X598" s="81"/>
      <c r="Y598" s="81"/>
      <c r="Z598" s="81"/>
    </row>
    <row r="599" spans="1:26" ht="24" customHeight="1" x14ac:dyDescent="0.5">
      <c r="A599" s="81"/>
      <c r="B599" s="81"/>
      <c r="C599" s="81"/>
      <c r="D599" s="81"/>
      <c r="E599" s="81"/>
      <c r="F599" s="81"/>
      <c r="G599" s="81"/>
      <c r="H599" s="81"/>
      <c r="I599" s="289"/>
      <c r="J599" s="105"/>
      <c r="K599" s="81"/>
      <c r="L599" s="289"/>
      <c r="M599" s="81"/>
      <c r="N599" s="81"/>
      <c r="O599" s="289"/>
      <c r="P599" s="81"/>
      <c r="Q599" s="289"/>
      <c r="R599" s="81"/>
      <c r="S599" s="289"/>
      <c r="T599" s="81"/>
      <c r="U599" s="81"/>
      <c r="V599" s="81"/>
      <c r="W599" s="81"/>
      <c r="X599" s="81"/>
      <c r="Y599" s="81"/>
      <c r="Z599" s="81"/>
    </row>
    <row r="600" spans="1:26" ht="24" customHeight="1" x14ac:dyDescent="0.5">
      <c r="A600" s="81"/>
      <c r="B600" s="81"/>
      <c r="C600" s="81"/>
      <c r="D600" s="81"/>
      <c r="E600" s="81"/>
      <c r="F600" s="81"/>
      <c r="G600" s="81"/>
      <c r="H600" s="81"/>
      <c r="I600" s="289"/>
      <c r="J600" s="105"/>
      <c r="K600" s="81"/>
      <c r="L600" s="289"/>
      <c r="M600" s="81"/>
      <c r="N600" s="81"/>
      <c r="O600" s="289"/>
      <c r="P600" s="81"/>
      <c r="Q600" s="289"/>
      <c r="R600" s="81"/>
      <c r="S600" s="289"/>
      <c r="T600" s="81"/>
      <c r="U600" s="81"/>
      <c r="V600" s="81"/>
      <c r="W600" s="81"/>
      <c r="X600" s="81"/>
      <c r="Y600" s="81"/>
      <c r="Z600" s="81"/>
    </row>
    <row r="601" spans="1:26" ht="24" customHeight="1" x14ac:dyDescent="0.5">
      <c r="A601" s="81"/>
      <c r="B601" s="81"/>
      <c r="C601" s="81"/>
      <c r="D601" s="81"/>
      <c r="E601" s="81"/>
      <c r="F601" s="81"/>
      <c r="G601" s="81"/>
      <c r="H601" s="81"/>
      <c r="I601" s="289"/>
      <c r="J601" s="105"/>
      <c r="K601" s="81"/>
      <c r="L601" s="289"/>
      <c r="M601" s="81"/>
      <c r="N601" s="81"/>
      <c r="O601" s="289"/>
      <c r="P601" s="81"/>
      <c r="Q601" s="289"/>
      <c r="R601" s="81"/>
      <c r="S601" s="289"/>
      <c r="T601" s="81"/>
      <c r="U601" s="81"/>
      <c r="V601" s="81"/>
      <c r="W601" s="81"/>
      <c r="X601" s="81"/>
      <c r="Y601" s="81"/>
      <c r="Z601" s="81"/>
    </row>
    <row r="602" spans="1:26" ht="24" customHeight="1" x14ac:dyDescent="0.5">
      <c r="A602" s="81"/>
      <c r="B602" s="81"/>
      <c r="C602" s="81"/>
      <c r="D602" s="81"/>
      <c r="E602" s="81"/>
      <c r="F602" s="81"/>
      <c r="G602" s="81"/>
      <c r="H602" s="81"/>
      <c r="I602" s="289"/>
      <c r="J602" s="105"/>
      <c r="K602" s="81"/>
      <c r="L602" s="289"/>
      <c r="M602" s="81"/>
      <c r="N602" s="81"/>
      <c r="O602" s="289"/>
      <c r="P602" s="81"/>
      <c r="Q602" s="289"/>
      <c r="R602" s="81"/>
      <c r="S602" s="289"/>
      <c r="T602" s="81"/>
      <c r="U602" s="81"/>
      <c r="V602" s="81"/>
      <c r="W602" s="81"/>
      <c r="X602" s="81"/>
      <c r="Y602" s="81"/>
      <c r="Z602" s="81"/>
    </row>
    <row r="603" spans="1:26" ht="24" customHeight="1" x14ac:dyDescent="0.5">
      <c r="A603" s="81"/>
      <c r="B603" s="81"/>
      <c r="C603" s="81"/>
      <c r="D603" s="81"/>
      <c r="E603" s="81"/>
      <c r="F603" s="81"/>
      <c r="G603" s="81"/>
      <c r="H603" s="81"/>
      <c r="I603" s="289"/>
      <c r="J603" s="105"/>
      <c r="K603" s="81"/>
      <c r="L603" s="289"/>
      <c r="M603" s="81"/>
      <c r="N603" s="81"/>
      <c r="O603" s="289"/>
      <c r="P603" s="81"/>
      <c r="Q603" s="289"/>
      <c r="R603" s="81"/>
      <c r="S603" s="289"/>
      <c r="T603" s="81"/>
      <c r="U603" s="81"/>
      <c r="V603" s="81"/>
      <c r="W603" s="81"/>
      <c r="X603" s="81"/>
      <c r="Y603" s="81"/>
      <c r="Z603" s="81"/>
    </row>
    <row r="604" spans="1:26" ht="24" customHeight="1" x14ac:dyDescent="0.5">
      <c r="A604" s="81"/>
      <c r="B604" s="81"/>
      <c r="C604" s="81"/>
      <c r="D604" s="81"/>
      <c r="E604" s="81"/>
      <c r="F604" s="81"/>
      <c r="G604" s="81"/>
      <c r="H604" s="81"/>
      <c r="I604" s="289"/>
      <c r="J604" s="105"/>
      <c r="K604" s="81"/>
      <c r="L604" s="289"/>
      <c r="M604" s="81"/>
      <c r="N604" s="81"/>
      <c r="O604" s="289"/>
      <c r="P604" s="81"/>
      <c r="Q604" s="289"/>
      <c r="R604" s="81"/>
      <c r="S604" s="289"/>
      <c r="T604" s="81"/>
      <c r="U604" s="81"/>
      <c r="V604" s="81"/>
      <c r="W604" s="81"/>
      <c r="X604" s="81"/>
      <c r="Y604" s="81"/>
      <c r="Z604" s="81"/>
    </row>
    <row r="605" spans="1:26" ht="24" customHeight="1" x14ac:dyDescent="0.5">
      <c r="A605" s="81"/>
      <c r="B605" s="81"/>
      <c r="C605" s="81"/>
      <c r="D605" s="81"/>
      <c r="E605" s="81"/>
      <c r="F605" s="81"/>
      <c r="G605" s="81"/>
      <c r="H605" s="81"/>
      <c r="I605" s="289"/>
      <c r="J605" s="105"/>
      <c r="K605" s="81"/>
      <c r="L605" s="289"/>
      <c r="M605" s="81"/>
      <c r="N605" s="81"/>
      <c r="O605" s="289"/>
      <c r="P605" s="81"/>
      <c r="Q605" s="289"/>
      <c r="R605" s="81"/>
      <c r="S605" s="289"/>
      <c r="T605" s="81"/>
      <c r="U605" s="81"/>
      <c r="V605" s="81"/>
      <c r="W605" s="81"/>
      <c r="X605" s="81"/>
      <c r="Y605" s="81"/>
      <c r="Z605" s="81"/>
    </row>
    <row r="606" spans="1:26" ht="24" customHeight="1" x14ac:dyDescent="0.5">
      <c r="A606" s="81"/>
      <c r="B606" s="81"/>
      <c r="C606" s="81"/>
      <c r="D606" s="81"/>
      <c r="E606" s="81"/>
      <c r="F606" s="81"/>
      <c r="G606" s="81"/>
      <c r="H606" s="81"/>
      <c r="I606" s="289"/>
      <c r="J606" s="105"/>
      <c r="K606" s="81"/>
      <c r="L606" s="289"/>
      <c r="M606" s="81"/>
      <c r="N606" s="81"/>
      <c r="O606" s="289"/>
      <c r="P606" s="81"/>
      <c r="Q606" s="289"/>
      <c r="R606" s="81"/>
      <c r="S606" s="289"/>
      <c r="T606" s="81"/>
      <c r="U606" s="81"/>
      <c r="V606" s="81"/>
      <c r="W606" s="81"/>
      <c r="X606" s="81"/>
      <c r="Y606" s="81"/>
      <c r="Z606" s="81"/>
    </row>
    <row r="607" spans="1:26" ht="24" customHeight="1" x14ac:dyDescent="0.5">
      <c r="A607" s="81"/>
      <c r="B607" s="81"/>
      <c r="C607" s="81"/>
      <c r="D607" s="81"/>
      <c r="E607" s="81"/>
      <c r="F607" s="81"/>
      <c r="G607" s="81"/>
      <c r="H607" s="81"/>
      <c r="I607" s="289"/>
      <c r="J607" s="105"/>
      <c r="K607" s="81"/>
      <c r="L607" s="289"/>
      <c r="M607" s="81"/>
      <c r="N607" s="81"/>
      <c r="O607" s="289"/>
      <c r="P607" s="81"/>
      <c r="Q607" s="289"/>
      <c r="R607" s="81"/>
      <c r="S607" s="289"/>
      <c r="T607" s="81"/>
      <c r="U607" s="81"/>
      <c r="V607" s="81"/>
      <c r="W607" s="81"/>
      <c r="X607" s="81"/>
      <c r="Y607" s="81"/>
      <c r="Z607" s="81"/>
    </row>
    <row r="608" spans="1:26" ht="24" customHeight="1" x14ac:dyDescent="0.5">
      <c r="A608" s="81"/>
      <c r="B608" s="81"/>
      <c r="C608" s="81"/>
      <c r="D608" s="81"/>
      <c r="E608" s="81"/>
      <c r="F608" s="81"/>
      <c r="G608" s="81"/>
      <c r="H608" s="81"/>
      <c r="I608" s="289"/>
      <c r="J608" s="105"/>
      <c r="K608" s="81"/>
      <c r="L608" s="289"/>
      <c r="M608" s="81"/>
      <c r="N608" s="81"/>
      <c r="O608" s="289"/>
      <c r="P608" s="81"/>
      <c r="Q608" s="289"/>
      <c r="R608" s="81"/>
      <c r="S608" s="289"/>
      <c r="T608" s="81"/>
      <c r="U608" s="81"/>
      <c r="V608" s="81"/>
      <c r="W608" s="81"/>
      <c r="X608" s="81"/>
      <c r="Y608" s="81"/>
      <c r="Z608" s="81"/>
    </row>
    <row r="609" spans="1:26" ht="24" customHeight="1" x14ac:dyDescent="0.5">
      <c r="A609" s="81"/>
      <c r="B609" s="81"/>
      <c r="C609" s="81"/>
      <c r="D609" s="81"/>
      <c r="E609" s="81"/>
      <c r="F609" s="81"/>
      <c r="G609" s="81"/>
      <c r="H609" s="81"/>
      <c r="I609" s="289"/>
      <c r="J609" s="105"/>
      <c r="K609" s="81"/>
      <c r="L609" s="289"/>
      <c r="M609" s="81"/>
      <c r="N609" s="81"/>
      <c r="O609" s="289"/>
      <c r="P609" s="81"/>
      <c r="Q609" s="289"/>
      <c r="R609" s="81"/>
      <c r="S609" s="289"/>
      <c r="T609" s="81"/>
      <c r="U609" s="81"/>
      <c r="V609" s="81"/>
      <c r="W609" s="81"/>
      <c r="X609" s="81"/>
      <c r="Y609" s="81"/>
      <c r="Z609" s="81"/>
    </row>
    <row r="610" spans="1:26" ht="24" customHeight="1" x14ac:dyDescent="0.5">
      <c r="A610" s="81"/>
      <c r="B610" s="81"/>
      <c r="C610" s="81"/>
      <c r="D610" s="81"/>
      <c r="E610" s="81"/>
      <c r="F610" s="81"/>
      <c r="G610" s="81"/>
      <c r="H610" s="81"/>
      <c r="I610" s="289"/>
      <c r="J610" s="105"/>
      <c r="K610" s="81"/>
      <c r="L610" s="289"/>
      <c r="M610" s="81"/>
      <c r="N610" s="81"/>
      <c r="O610" s="289"/>
      <c r="P610" s="81"/>
      <c r="Q610" s="289"/>
      <c r="R610" s="81"/>
      <c r="S610" s="289"/>
      <c r="T610" s="81"/>
      <c r="U610" s="81"/>
      <c r="V610" s="81"/>
      <c r="W610" s="81"/>
      <c r="X610" s="81"/>
      <c r="Y610" s="81"/>
      <c r="Z610" s="81"/>
    </row>
    <row r="611" spans="1:26" ht="24" customHeight="1" x14ac:dyDescent="0.5">
      <c r="A611" s="81"/>
      <c r="B611" s="81"/>
      <c r="C611" s="81"/>
      <c r="D611" s="81"/>
      <c r="E611" s="81"/>
      <c r="F611" s="81"/>
      <c r="G611" s="81"/>
      <c r="H611" s="81"/>
      <c r="I611" s="289"/>
      <c r="J611" s="105"/>
      <c r="K611" s="81"/>
      <c r="L611" s="289"/>
      <c r="M611" s="81"/>
      <c r="N611" s="81"/>
      <c r="O611" s="289"/>
      <c r="P611" s="81"/>
      <c r="Q611" s="289"/>
      <c r="R611" s="81"/>
      <c r="S611" s="289"/>
      <c r="T611" s="81"/>
      <c r="U611" s="81"/>
      <c r="V611" s="81"/>
      <c r="W611" s="81"/>
      <c r="X611" s="81"/>
      <c r="Y611" s="81"/>
      <c r="Z611" s="81"/>
    </row>
    <row r="612" spans="1:26" ht="24" customHeight="1" x14ac:dyDescent="0.5">
      <c r="A612" s="81"/>
      <c r="B612" s="81"/>
      <c r="C612" s="81"/>
      <c r="D612" s="81"/>
      <c r="E612" s="81"/>
      <c r="F612" s="81"/>
      <c r="G612" s="81"/>
      <c r="H612" s="81"/>
      <c r="I612" s="289"/>
      <c r="J612" s="105"/>
      <c r="K612" s="81"/>
      <c r="L612" s="289"/>
      <c r="M612" s="81"/>
      <c r="N612" s="81"/>
      <c r="O612" s="289"/>
      <c r="P612" s="81"/>
      <c r="Q612" s="289"/>
      <c r="R612" s="81"/>
      <c r="S612" s="289"/>
      <c r="T612" s="81"/>
      <c r="U612" s="81"/>
      <c r="V612" s="81"/>
      <c r="W612" s="81"/>
      <c r="X612" s="81"/>
      <c r="Y612" s="81"/>
      <c r="Z612" s="81"/>
    </row>
    <row r="613" spans="1:26" ht="24" customHeight="1" x14ac:dyDescent="0.5">
      <c r="A613" s="81"/>
      <c r="B613" s="81"/>
      <c r="C613" s="81"/>
      <c r="D613" s="81"/>
      <c r="E613" s="81"/>
      <c r="F613" s="81"/>
      <c r="G613" s="81"/>
      <c r="H613" s="81"/>
      <c r="I613" s="289"/>
      <c r="J613" s="105"/>
      <c r="K613" s="81"/>
      <c r="L613" s="289"/>
      <c r="M613" s="81"/>
      <c r="N613" s="81"/>
      <c r="O613" s="289"/>
      <c r="P613" s="81"/>
      <c r="Q613" s="289"/>
      <c r="R613" s="81"/>
      <c r="S613" s="289"/>
      <c r="T613" s="81"/>
      <c r="U613" s="81"/>
      <c r="V613" s="81"/>
      <c r="W613" s="81"/>
      <c r="X613" s="81"/>
      <c r="Y613" s="81"/>
      <c r="Z613" s="81"/>
    </row>
    <row r="614" spans="1:26" ht="24" customHeight="1" x14ac:dyDescent="0.5">
      <c r="A614" s="81"/>
      <c r="B614" s="81"/>
      <c r="C614" s="81"/>
      <c r="D614" s="81"/>
      <c r="E614" s="81"/>
      <c r="F614" s="81"/>
      <c r="G614" s="81"/>
      <c r="H614" s="81"/>
      <c r="I614" s="289"/>
      <c r="J614" s="105"/>
      <c r="K614" s="81"/>
      <c r="L614" s="289"/>
      <c r="M614" s="81"/>
      <c r="N614" s="81"/>
      <c r="O614" s="289"/>
      <c r="P614" s="81"/>
      <c r="Q614" s="289"/>
      <c r="R614" s="81"/>
      <c r="S614" s="289"/>
      <c r="T614" s="81"/>
      <c r="U614" s="81"/>
      <c r="V614" s="81"/>
      <c r="W614" s="81"/>
      <c r="X614" s="81"/>
      <c r="Y614" s="81"/>
      <c r="Z614" s="81"/>
    </row>
    <row r="615" spans="1:26" ht="24" customHeight="1" x14ac:dyDescent="0.5">
      <c r="A615" s="81"/>
      <c r="B615" s="81"/>
      <c r="C615" s="81"/>
      <c r="D615" s="81"/>
      <c r="E615" s="81"/>
      <c r="F615" s="81"/>
      <c r="G615" s="81"/>
      <c r="H615" s="81"/>
      <c r="I615" s="289"/>
      <c r="J615" s="105"/>
      <c r="K615" s="81"/>
      <c r="L615" s="289"/>
      <c r="M615" s="81"/>
      <c r="N615" s="81"/>
      <c r="O615" s="289"/>
      <c r="P615" s="81"/>
      <c r="Q615" s="289"/>
      <c r="R615" s="81"/>
      <c r="S615" s="289"/>
      <c r="T615" s="81"/>
      <c r="U615" s="81"/>
      <c r="V615" s="81"/>
      <c r="W615" s="81"/>
      <c r="X615" s="81"/>
      <c r="Y615" s="81"/>
      <c r="Z615" s="81"/>
    </row>
    <row r="616" spans="1:26" ht="24" customHeight="1" x14ac:dyDescent="0.5">
      <c r="A616" s="81"/>
      <c r="B616" s="81"/>
      <c r="C616" s="81"/>
      <c r="D616" s="81"/>
      <c r="E616" s="81"/>
      <c r="F616" s="81"/>
      <c r="G616" s="81"/>
      <c r="H616" s="81"/>
      <c r="I616" s="289"/>
      <c r="J616" s="105"/>
      <c r="K616" s="81"/>
      <c r="L616" s="289"/>
      <c r="M616" s="81"/>
      <c r="N616" s="81"/>
      <c r="O616" s="289"/>
      <c r="P616" s="81"/>
      <c r="Q616" s="289"/>
      <c r="R616" s="81"/>
      <c r="S616" s="289"/>
      <c r="T616" s="81"/>
      <c r="U616" s="81"/>
      <c r="V616" s="81"/>
      <c r="W616" s="81"/>
      <c r="X616" s="81"/>
      <c r="Y616" s="81"/>
      <c r="Z616" s="81"/>
    </row>
    <row r="617" spans="1:26" ht="24" customHeight="1" x14ac:dyDescent="0.5">
      <c r="A617" s="81"/>
      <c r="B617" s="81"/>
      <c r="C617" s="81"/>
      <c r="D617" s="81"/>
      <c r="E617" s="81"/>
      <c r="F617" s="81"/>
      <c r="G617" s="81"/>
      <c r="H617" s="81"/>
      <c r="I617" s="289"/>
      <c r="J617" s="105"/>
      <c r="K617" s="81"/>
      <c r="L617" s="289"/>
      <c r="M617" s="81"/>
      <c r="N617" s="81"/>
      <c r="O617" s="289"/>
      <c r="P617" s="81"/>
      <c r="Q617" s="289"/>
      <c r="R617" s="81"/>
      <c r="S617" s="289"/>
      <c r="T617" s="81"/>
      <c r="U617" s="81"/>
      <c r="V617" s="81"/>
      <c r="W617" s="81"/>
      <c r="X617" s="81"/>
      <c r="Y617" s="81"/>
      <c r="Z617" s="81"/>
    </row>
    <row r="618" spans="1:26" ht="24" customHeight="1" x14ac:dyDescent="0.5">
      <c r="A618" s="81"/>
      <c r="B618" s="81"/>
      <c r="C618" s="81"/>
      <c r="D618" s="81"/>
      <c r="E618" s="81"/>
      <c r="F618" s="81"/>
      <c r="G618" s="81"/>
      <c r="H618" s="81"/>
      <c r="I618" s="289"/>
      <c r="J618" s="105"/>
      <c r="K618" s="81"/>
      <c r="L618" s="289"/>
      <c r="M618" s="81"/>
      <c r="N618" s="81"/>
      <c r="O618" s="289"/>
      <c r="P618" s="81"/>
      <c r="Q618" s="289"/>
      <c r="R618" s="81"/>
      <c r="S618" s="289"/>
      <c r="T618" s="81"/>
      <c r="U618" s="81"/>
      <c r="V618" s="81"/>
      <c r="W618" s="81"/>
      <c r="X618" s="81"/>
      <c r="Y618" s="81"/>
      <c r="Z618" s="81"/>
    </row>
    <row r="619" spans="1:26" ht="24" customHeight="1" x14ac:dyDescent="0.5">
      <c r="A619" s="81"/>
      <c r="B619" s="81"/>
      <c r="C619" s="81"/>
      <c r="D619" s="81"/>
      <c r="E619" s="81"/>
      <c r="F619" s="81"/>
      <c r="G619" s="81"/>
      <c r="H619" s="81"/>
      <c r="I619" s="289"/>
      <c r="J619" s="105"/>
      <c r="K619" s="81"/>
      <c r="L619" s="289"/>
      <c r="M619" s="81"/>
      <c r="N619" s="81"/>
      <c r="O619" s="289"/>
      <c r="P619" s="81"/>
      <c r="Q619" s="289"/>
      <c r="R619" s="81"/>
      <c r="S619" s="289"/>
      <c r="T619" s="81"/>
      <c r="U619" s="81"/>
      <c r="V619" s="81"/>
      <c r="W619" s="81"/>
      <c r="X619" s="81"/>
      <c r="Y619" s="81"/>
      <c r="Z619" s="81"/>
    </row>
    <row r="620" spans="1:26" ht="24" customHeight="1" x14ac:dyDescent="0.5">
      <c r="A620" s="81"/>
      <c r="B620" s="81"/>
      <c r="C620" s="81"/>
      <c r="D620" s="81"/>
      <c r="E620" s="81"/>
      <c r="F620" s="81"/>
      <c r="G620" s="81"/>
      <c r="H620" s="81"/>
      <c r="I620" s="289"/>
      <c r="J620" s="105"/>
      <c r="K620" s="81"/>
      <c r="L620" s="289"/>
      <c r="M620" s="81"/>
      <c r="N620" s="81"/>
      <c r="O620" s="289"/>
      <c r="P620" s="81"/>
      <c r="Q620" s="289"/>
      <c r="R620" s="81"/>
      <c r="S620" s="289"/>
      <c r="T620" s="81"/>
      <c r="U620" s="81"/>
      <c r="V620" s="81"/>
      <c r="W620" s="81"/>
      <c r="X620" s="81"/>
      <c r="Y620" s="81"/>
      <c r="Z620" s="81"/>
    </row>
    <row r="621" spans="1:26" ht="24" customHeight="1" x14ac:dyDescent="0.5">
      <c r="A621" s="81"/>
      <c r="B621" s="81"/>
      <c r="C621" s="81"/>
      <c r="D621" s="81"/>
      <c r="E621" s="81"/>
      <c r="F621" s="81"/>
      <c r="G621" s="81"/>
      <c r="H621" s="81"/>
      <c r="I621" s="289"/>
      <c r="J621" s="105"/>
      <c r="K621" s="81"/>
      <c r="L621" s="289"/>
      <c r="M621" s="81"/>
      <c r="N621" s="81"/>
      <c r="O621" s="289"/>
      <c r="P621" s="81"/>
      <c r="Q621" s="289"/>
      <c r="R621" s="81"/>
      <c r="S621" s="289"/>
      <c r="T621" s="81"/>
      <c r="U621" s="81"/>
      <c r="V621" s="81"/>
      <c r="W621" s="81"/>
      <c r="X621" s="81"/>
      <c r="Y621" s="81"/>
      <c r="Z621" s="81"/>
    </row>
    <row r="622" spans="1:26" ht="24" customHeight="1" x14ac:dyDescent="0.5">
      <c r="A622" s="81"/>
      <c r="B622" s="81"/>
      <c r="C622" s="81"/>
      <c r="D622" s="81"/>
      <c r="E622" s="81"/>
      <c r="F622" s="81"/>
      <c r="G622" s="81"/>
      <c r="H622" s="81"/>
      <c r="I622" s="289"/>
      <c r="J622" s="105"/>
      <c r="K622" s="81"/>
      <c r="L622" s="289"/>
      <c r="M622" s="81"/>
      <c r="N622" s="81"/>
      <c r="O622" s="289"/>
      <c r="P622" s="81"/>
      <c r="Q622" s="289"/>
      <c r="R622" s="81"/>
      <c r="S622" s="289"/>
      <c r="T622" s="81"/>
      <c r="U622" s="81"/>
      <c r="V622" s="81"/>
      <c r="W622" s="81"/>
      <c r="X622" s="81"/>
      <c r="Y622" s="81"/>
      <c r="Z622" s="81"/>
    </row>
    <row r="623" spans="1:26" ht="24" customHeight="1" x14ac:dyDescent="0.5">
      <c r="A623" s="81"/>
      <c r="B623" s="81"/>
      <c r="C623" s="81"/>
      <c r="D623" s="81"/>
      <c r="E623" s="81"/>
      <c r="F623" s="81"/>
      <c r="G623" s="81"/>
      <c r="H623" s="81"/>
      <c r="I623" s="289"/>
      <c r="J623" s="105"/>
      <c r="K623" s="81"/>
      <c r="L623" s="289"/>
      <c r="M623" s="81"/>
      <c r="N623" s="81"/>
      <c r="O623" s="289"/>
      <c r="P623" s="81"/>
      <c r="Q623" s="289"/>
      <c r="R623" s="81"/>
      <c r="S623" s="289"/>
      <c r="T623" s="81"/>
      <c r="U623" s="81"/>
      <c r="V623" s="81"/>
      <c r="W623" s="81"/>
      <c r="X623" s="81"/>
      <c r="Y623" s="81"/>
      <c r="Z623" s="81"/>
    </row>
    <row r="624" spans="1:26" ht="24" customHeight="1" x14ac:dyDescent="0.5">
      <c r="A624" s="81"/>
      <c r="B624" s="81"/>
      <c r="C624" s="81"/>
      <c r="D624" s="81"/>
      <c r="E624" s="81"/>
      <c r="F624" s="81"/>
      <c r="G624" s="81"/>
      <c r="H624" s="81"/>
      <c r="I624" s="289"/>
      <c r="J624" s="105"/>
      <c r="K624" s="81"/>
      <c r="L624" s="289"/>
      <c r="M624" s="81"/>
      <c r="N624" s="81"/>
      <c r="O624" s="289"/>
      <c r="P624" s="81"/>
      <c r="Q624" s="289"/>
      <c r="R624" s="81"/>
      <c r="S624" s="289"/>
      <c r="T624" s="81"/>
      <c r="U624" s="81"/>
      <c r="V624" s="81"/>
      <c r="W624" s="81"/>
      <c r="X624" s="81"/>
      <c r="Y624" s="81"/>
      <c r="Z624" s="81"/>
    </row>
    <row r="625" spans="1:26" ht="24" customHeight="1" x14ac:dyDescent="0.5">
      <c r="A625" s="81"/>
      <c r="B625" s="81"/>
      <c r="C625" s="81"/>
      <c r="D625" s="81"/>
      <c r="E625" s="81"/>
      <c r="F625" s="81"/>
      <c r="G625" s="81"/>
      <c r="H625" s="81"/>
      <c r="I625" s="289"/>
      <c r="J625" s="105"/>
      <c r="K625" s="81"/>
      <c r="L625" s="289"/>
      <c r="M625" s="81"/>
      <c r="N625" s="81"/>
      <c r="O625" s="289"/>
      <c r="P625" s="81"/>
      <c r="Q625" s="289"/>
      <c r="R625" s="81"/>
      <c r="S625" s="289"/>
      <c r="T625" s="81"/>
      <c r="U625" s="81"/>
      <c r="V625" s="81"/>
      <c r="W625" s="81"/>
      <c r="X625" s="81"/>
      <c r="Y625" s="81"/>
      <c r="Z625" s="81"/>
    </row>
    <row r="626" spans="1:26" ht="24" customHeight="1" x14ac:dyDescent="0.5">
      <c r="A626" s="81"/>
      <c r="B626" s="81"/>
      <c r="C626" s="81"/>
      <c r="D626" s="81"/>
      <c r="E626" s="81"/>
      <c r="F626" s="81"/>
      <c r="G626" s="81"/>
      <c r="H626" s="81"/>
      <c r="I626" s="289"/>
      <c r="J626" s="105"/>
      <c r="K626" s="81"/>
      <c r="L626" s="289"/>
      <c r="M626" s="81"/>
      <c r="N626" s="81"/>
      <c r="O626" s="289"/>
      <c r="P626" s="81"/>
      <c r="Q626" s="289"/>
      <c r="R626" s="81"/>
      <c r="S626" s="289"/>
      <c r="T626" s="81"/>
      <c r="U626" s="81"/>
      <c r="V626" s="81"/>
      <c r="W626" s="81"/>
      <c r="X626" s="81"/>
      <c r="Y626" s="81"/>
      <c r="Z626" s="81"/>
    </row>
    <row r="627" spans="1:26" ht="24" customHeight="1" x14ac:dyDescent="0.5">
      <c r="A627" s="81"/>
      <c r="B627" s="81"/>
      <c r="C627" s="81"/>
      <c r="D627" s="81"/>
      <c r="E627" s="81"/>
      <c r="F627" s="81"/>
      <c r="G627" s="81"/>
      <c r="H627" s="81"/>
      <c r="I627" s="289"/>
      <c r="J627" s="105"/>
      <c r="K627" s="81"/>
      <c r="L627" s="289"/>
      <c r="M627" s="81"/>
      <c r="N627" s="81"/>
      <c r="O627" s="289"/>
      <c r="P627" s="81"/>
      <c r="Q627" s="289"/>
      <c r="R627" s="81"/>
      <c r="S627" s="289"/>
      <c r="T627" s="81"/>
      <c r="U627" s="81"/>
      <c r="V627" s="81"/>
      <c r="W627" s="81"/>
      <c r="X627" s="81"/>
      <c r="Y627" s="81"/>
      <c r="Z627" s="81"/>
    </row>
    <row r="628" spans="1:26" ht="24" customHeight="1" x14ac:dyDescent="0.5">
      <c r="A628" s="81"/>
      <c r="B628" s="81"/>
      <c r="C628" s="81"/>
      <c r="D628" s="81"/>
      <c r="E628" s="81"/>
      <c r="F628" s="81"/>
      <c r="G628" s="81"/>
      <c r="H628" s="81"/>
      <c r="I628" s="289"/>
      <c r="J628" s="105"/>
      <c r="K628" s="81"/>
      <c r="L628" s="289"/>
      <c r="M628" s="81"/>
      <c r="N628" s="81"/>
      <c r="O628" s="289"/>
      <c r="P628" s="81"/>
      <c r="Q628" s="289"/>
      <c r="R628" s="81"/>
      <c r="S628" s="289"/>
      <c r="T628" s="81"/>
      <c r="U628" s="81"/>
      <c r="V628" s="81"/>
      <c r="W628" s="81"/>
      <c r="X628" s="81"/>
      <c r="Y628" s="81"/>
      <c r="Z628" s="81"/>
    </row>
    <row r="629" spans="1:26" ht="24" customHeight="1" x14ac:dyDescent="0.5">
      <c r="A629" s="81"/>
      <c r="B629" s="81"/>
      <c r="C629" s="81"/>
      <c r="D629" s="81"/>
      <c r="E629" s="81"/>
      <c r="F629" s="81"/>
      <c r="G629" s="81"/>
      <c r="H629" s="81"/>
      <c r="I629" s="289"/>
      <c r="J629" s="105"/>
      <c r="K629" s="81"/>
      <c r="L629" s="289"/>
      <c r="M629" s="81"/>
      <c r="N629" s="81"/>
      <c r="O629" s="289"/>
      <c r="P629" s="81"/>
      <c r="Q629" s="289"/>
      <c r="R629" s="81"/>
      <c r="S629" s="289"/>
      <c r="T629" s="81"/>
      <c r="U629" s="81"/>
      <c r="V629" s="81"/>
      <c r="W629" s="81"/>
      <c r="X629" s="81"/>
      <c r="Y629" s="81"/>
      <c r="Z629" s="81"/>
    </row>
    <row r="630" spans="1:26" ht="24" customHeight="1" x14ac:dyDescent="0.5">
      <c r="A630" s="81"/>
      <c r="B630" s="81"/>
      <c r="C630" s="81"/>
      <c r="D630" s="81"/>
      <c r="E630" s="81"/>
      <c r="F630" s="81"/>
      <c r="G630" s="81"/>
      <c r="H630" s="81"/>
      <c r="I630" s="289"/>
      <c r="J630" s="105"/>
      <c r="K630" s="81"/>
      <c r="L630" s="289"/>
      <c r="M630" s="81"/>
      <c r="N630" s="81"/>
      <c r="O630" s="289"/>
      <c r="P630" s="81"/>
      <c r="Q630" s="289"/>
      <c r="R630" s="81"/>
      <c r="S630" s="289"/>
      <c r="T630" s="81"/>
      <c r="U630" s="81"/>
      <c r="V630" s="81"/>
      <c r="W630" s="81"/>
      <c r="X630" s="81"/>
      <c r="Y630" s="81"/>
      <c r="Z630" s="81"/>
    </row>
    <row r="631" spans="1:26" ht="24" customHeight="1" x14ac:dyDescent="0.5">
      <c r="A631" s="81"/>
      <c r="B631" s="81"/>
      <c r="C631" s="81"/>
      <c r="D631" s="81"/>
      <c r="E631" s="81"/>
      <c r="F631" s="81"/>
      <c r="G631" s="81"/>
      <c r="H631" s="81"/>
      <c r="I631" s="289"/>
      <c r="J631" s="105"/>
      <c r="K631" s="81"/>
      <c r="L631" s="289"/>
      <c r="M631" s="81"/>
      <c r="N631" s="81"/>
      <c r="O631" s="289"/>
      <c r="P631" s="81"/>
      <c r="Q631" s="289"/>
      <c r="R631" s="81"/>
      <c r="S631" s="289"/>
      <c r="T631" s="81"/>
      <c r="U631" s="81"/>
      <c r="V631" s="81"/>
      <c r="W631" s="81"/>
      <c r="X631" s="81"/>
      <c r="Y631" s="81"/>
      <c r="Z631" s="81"/>
    </row>
    <row r="632" spans="1:26" ht="24" customHeight="1" x14ac:dyDescent="0.5">
      <c r="A632" s="81"/>
      <c r="B632" s="81"/>
      <c r="C632" s="81"/>
      <c r="D632" s="81"/>
      <c r="E632" s="81"/>
      <c r="F632" s="81"/>
      <c r="G632" s="81"/>
      <c r="H632" s="81"/>
      <c r="I632" s="289"/>
      <c r="J632" s="105"/>
      <c r="K632" s="81"/>
      <c r="L632" s="289"/>
      <c r="M632" s="81"/>
      <c r="N632" s="81"/>
      <c r="O632" s="289"/>
      <c r="P632" s="81"/>
      <c r="Q632" s="289"/>
      <c r="R632" s="81"/>
      <c r="S632" s="289"/>
      <c r="T632" s="81"/>
      <c r="U632" s="81"/>
      <c r="V632" s="81"/>
      <c r="W632" s="81"/>
      <c r="X632" s="81"/>
      <c r="Y632" s="81"/>
      <c r="Z632" s="81"/>
    </row>
    <row r="633" spans="1:26" ht="24" customHeight="1" x14ac:dyDescent="0.5">
      <c r="A633" s="81"/>
      <c r="B633" s="81"/>
      <c r="C633" s="81"/>
      <c r="D633" s="81"/>
      <c r="E633" s="81"/>
      <c r="F633" s="81"/>
      <c r="G633" s="81"/>
      <c r="H633" s="81"/>
      <c r="I633" s="289"/>
      <c r="J633" s="105"/>
      <c r="K633" s="81"/>
      <c r="L633" s="289"/>
      <c r="M633" s="81"/>
      <c r="N633" s="81"/>
      <c r="O633" s="289"/>
      <c r="P633" s="81"/>
      <c r="Q633" s="289"/>
      <c r="R633" s="81"/>
      <c r="S633" s="289"/>
      <c r="T633" s="81"/>
      <c r="U633" s="81"/>
      <c r="V633" s="81"/>
      <c r="W633" s="81"/>
      <c r="X633" s="81"/>
      <c r="Y633" s="81"/>
      <c r="Z633" s="81"/>
    </row>
    <row r="634" spans="1:26" ht="24" customHeight="1" x14ac:dyDescent="0.5">
      <c r="A634" s="81"/>
      <c r="B634" s="81"/>
      <c r="C634" s="81"/>
      <c r="D634" s="81"/>
      <c r="E634" s="81"/>
      <c r="F634" s="81"/>
      <c r="G634" s="81"/>
      <c r="H634" s="81"/>
      <c r="I634" s="289"/>
      <c r="J634" s="105"/>
      <c r="K634" s="81"/>
      <c r="L634" s="289"/>
      <c r="M634" s="81"/>
      <c r="N634" s="81"/>
      <c r="O634" s="289"/>
      <c r="P634" s="81"/>
      <c r="Q634" s="289"/>
      <c r="R634" s="81"/>
      <c r="S634" s="289"/>
      <c r="T634" s="81"/>
      <c r="U634" s="81"/>
      <c r="V634" s="81"/>
      <c r="W634" s="81"/>
      <c r="X634" s="81"/>
      <c r="Y634" s="81"/>
      <c r="Z634" s="81"/>
    </row>
    <row r="635" spans="1:26" ht="24" customHeight="1" x14ac:dyDescent="0.5">
      <c r="A635" s="81"/>
      <c r="B635" s="81"/>
      <c r="C635" s="81"/>
      <c r="D635" s="81"/>
      <c r="E635" s="81"/>
      <c r="F635" s="81"/>
      <c r="G635" s="81"/>
      <c r="H635" s="81"/>
      <c r="I635" s="289"/>
      <c r="J635" s="105"/>
      <c r="K635" s="81"/>
      <c r="L635" s="289"/>
      <c r="M635" s="81"/>
      <c r="N635" s="81"/>
      <c r="O635" s="289"/>
      <c r="P635" s="81"/>
      <c r="Q635" s="289"/>
      <c r="R635" s="81"/>
      <c r="S635" s="289"/>
      <c r="T635" s="81"/>
      <c r="U635" s="81"/>
      <c r="V635" s="81"/>
      <c r="W635" s="81"/>
      <c r="X635" s="81"/>
      <c r="Y635" s="81"/>
      <c r="Z635" s="81"/>
    </row>
    <row r="636" spans="1:26" ht="24" customHeight="1" x14ac:dyDescent="0.5">
      <c r="A636" s="81"/>
      <c r="B636" s="81"/>
      <c r="C636" s="81"/>
      <c r="D636" s="81"/>
      <c r="E636" s="81"/>
      <c r="F636" s="81"/>
      <c r="G636" s="81"/>
      <c r="H636" s="81"/>
      <c r="I636" s="289"/>
      <c r="J636" s="105"/>
      <c r="K636" s="81"/>
      <c r="L636" s="289"/>
      <c r="M636" s="81"/>
      <c r="N636" s="81"/>
      <c r="O636" s="289"/>
      <c r="P636" s="81"/>
      <c r="Q636" s="289"/>
      <c r="R636" s="81"/>
      <c r="S636" s="289"/>
      <c r="T636" s="81"/>
      <c r="U636" s="81"/>
      <c r="V636" s="81"/>
      <c r="W636" s="81"/>
      <c r="X636" s="81"/>
      <c r="Y636" s="81"/>
      <c r="Z636" s="81"/>
    </row>
    <row r="637" spans="1:26" ht="24" customHeight="1" x14ac:dyDescent="0.5">
      <c r="A637" s="81"/>
      <c r="B637" s="81"/>
      <c r="C637" s="81"/>
      <c r="D637" s="81"/>
      <c r="E637" s="81"/>
      <c r="F637" s="81"/>
      <c r="G637" s="81"/>
      <c r="H637" s="81"/>
      <c r="I637" s="289"/>
      <c r="J637" s="105"/>
      <c r="K637" s="81"/>
      <c r="L637" s="289"/>
      <c r="M637" s="81"/>
      <c r="N637" s="81"/>
      <c r="O637" s="289"/>
      <c r="P637" s="81"/>
      <c r="Q637" s="289"/>
      <c r="R637" s="81"/>
      <c r="S637" s="289"/>
      <c r="T637" s="81"/>
      <c r="U637" s="81"/>
      <c r="V637" s="81"/>
      <c r="W637" s="81"/>
      <c r="X637" s="81"/>
      <c r="Y637" s="81"/>
      <c r="Z637" s="81"/>
    </row>
    <row r="638" spans="1:26" ht="24" customHeight="1" x14ac:dyDescent="0.5">
      <c r="A638" s="81"/>
      <c r="B638" s="81"/>
      <c r="C638" s="81"/>
      <c r="D638" s="81"/>
      <c r="E638" s="81"/>
      <c r="F638" s="81"/>
      <c r="G638" s="81"/>
      <c r="H638" s="81"/>
      <c r="I638" s="289"/>
      <c r="J638" s="105"/>
      <c r="K638" s="81"/>
      <c r="L638" s="289"/>
      <c r="M638" s="81"/>
      <c r="N638" s="81"/>
      <c r="O638" s="289"/>
      <c r="P638" s="81"/>
      <c r="Q638" s="289"/>
      <c r="R638" s="81"/>
      <c r="S638" s="289"/>
      <c r="T638" s="81"/>
      <c r="U638" s="81"/>
      <c r="V638" s="81"/>
      <c r="W638" s="81"/>
      <c r="X638" s="81"/>
      <c r="Y638" s="81"/>
      <c r="Z638" s="81"/>
    </row>
    <row r="639" spans="1:26" ht="24" customHeight="1" x14ac:dyDescent="0.5">
      <c r="A639" s="81"/>
      <c r="B639" s="81"/>
      <c r="C639" s="81"/>
      <c r="D639" s="81"/>
      <c r="E639" s="81"/>
      <c r="F639" s="81"/>
      <c r="G639" s="81"/>
      <c r="H639" s="81"/>
      <c r="I639" s="289"/>
      <c r="J639" s="105"/>
      <c r="K639" s="81"/>
      <c r="L639" s="289"/>
      <c r="M639" s="81"/>
      <c r="N639" s="81"/>
      <c r="O639" s="289"/>
      <c r="P639" s="81"/>
      <c r="Q639" s="289"/>
      <c r="R639" s="81"/>
      <c r="S639" s="289"/>
      <c r="T639" s="81"/>
      <c r="U639" s="81"/>
      <c r="V639" s="81"/>
      <c r="W639" s="81"/>
      <c r="X639" s="81"/>
      <c r="Y639" s="81"/>
      <c r="Z639" s="81"/>
    </row>
    <row r="640" spans="1:26" ht="24" customHeight="1" x14ac:dyDescent="0.5">
      <c r="A640" s="81"/>
      <c r="B640" s="81"/>
      <c r="C640" s="81"/>
      <c r="D640" s="81"/>
      <c r="E640" s="81"/>
      <c r="F640" s="81"/>
      <c r="G640" s="81"/>
      <c r="H640" s="81"/>
      <c r="I640" s="289"/>
      <c r="J640" s="105"/>
      <c r="K640" s="81"/>
      <c r="L640" s="289"/>
      <c r="M640" s="81"/>
      <c r="N640" s="81"/>
      <c r="O640" s="289"/>
      <c r="P640" s="81"/>
      <c r="Q640" s="289"/>
      <c r="R640" s="81"/>
      <c r="S640" s="289"/>
      <c r="T640" s="81"/>
      <c r="U640" s="81"/>
      <c r="V640" s="81"/>
      <c r="W640" s="81"/>
      <c r="X640" s="81"/>
      <c r="Y640" s="81"/>
      <c r="Z640" s="81"/>
    </row>
    <row r="641" spans="1:26" ht="24" customHeight="1" x14ac:dyDescent="0.5">
      <c r="A641" s="81"/>
      <c r="B641" s="81"/>
      <c r="C641" s="81"/>
      <c r="D641" s="81"/>
      <c r="E641" s="81"/>
      <c r="F641" s="81"/>
      <c r="G641" s="81"/>
      <c r="H641" s="81"/>
      <c r="I641" s="289"/>
      <c r="J641" s="105"/>
      <c r="K641" s="81"/>
      <c r="L641" s="289"/>
      <c r="M641" s="81"/>
      <c r="N641" s="81"/>
      <c r="O641" s="289"/>
      <c r="P641" s="81"/>
      <c r="Q641" s="289"/>
      <c r="R641" s="81"/>
      <c r="S641" s="289"/>
      <c r="T641" s="81"/>
      <c r="U641" s="81"/>
      <c r="V641" s="81"/>
      <c r="W641" s="81"/>
      <c r="X641" s="81"/>
      <c r="Y641" s="81"/>
      <c r="Z641" s="81"/>
    </row>
    <row r="642" spans="1:26" ht="24" customHeight="1" x14ac:dyDescent="0.5">
      <c r="A642" s="81"/>
      <c r="B642" s="81"/>
      <c r="C642" s="81"/>
      <c r="D642" s="81"/>
      <c r="E642" s="81"/>
      <c r="F642" s="81"/>
      <c r="G642" s="81"/>
      <c r="H642" s="81"/>
      <c r="I642" s="289"/>
      <c r="J642" s="105"/>
      <c r="K642" s="81"/>
      <c r="L642" s="289"/>
      <c r="M642" s="81"/>
      <c r="N642" s="81"/>
      <c r="O642" s="289"/>
      <c r="P642" s="81"/>
      <c r="Q642" s="289"/>
      <c r="R642" s="81"/>
      <c r="S642" s="289"/>
      <c r="T642" s="81"/>
      <c r="U642" s="81"/>
      <c r="V642" s="81"/>
      <c r="W642" s="81"/>
      <c r="X642" s="81"/>
      <c r="Y642" s="81"/>
      <c r="Z642" s="81"/>
    </row>
    <row r="643" spans="1:26" ht="24" customHeight="1" x14ac:dyDescent="0.5">
      <c r="A643" s="81"/>
      <c r="B643" s="81"/>
      <c r="C643" s="81"/>
      <c r="D643" s="81"/>
      <c r="E643" s="81"/>
      <c r="F643" s="81"/>
      <c r="G643" s="81"/>
      <c r="H643" s="81"/>
      <c r="I643" s="289"/>
      <c r="J643" s="105"/>
      <c r="K643" s="81"/>
      <c r="L643" s="289"/>
      <c r="M643" s="81"/>
      <c r="N643" s="81"/>
      <c r="O643" s="289"/>
      <c r="P643" s="81"/>
      <c r="Q643" s="289"/>
      <c r="R643" s="81"/>
      <c r="S643" s="289"/>
      <c r="T643" s="81"/>
      <c r="U643" s="81"/>
      <c r="V643" s="81"/>
      <c r="W643" s="81"/>
      <c r="X643" s="81"/>
      <c r="Y643" s="81"/>
      <c r="Z643" s="81"/>
    </row>
    <row r="644" spans="1:26" ht="24" customHeight="1" x14ac:dyDescent="0.5">
      <c r="A644" s="81"/>
      <c r="B644" s="81"/>
      <c r="C644" s="81"/>
      <c r="D644" s="81"/>
      <c r="E644" s="81"/>
      <c r="F644" s="81"/>
      <c r="G644" s="81"/>
      <c r="H644" s="81"/>
      <c r="I644" s="289"/>
      <c r="J644" s="105"/>
      <c r="K644" s="81"/>
      <c r="L644" s="289"/>
      <c r="M644" s="81"/>
      <c r="N644" s="81"/>
      <c r="O644" s="289"/>
      <c r="P644" s="81"/>
      <c r="Q644" s="289"/>
      <c r="R644" s="81"/>
      <c r="S644" s="289"/>
      <c r="T644" s="81"/>
      <c r="U644" s="81"/>
      <c r="V644" s="81"/>
      <c r="W644" s="81"/>
      <c r="X644" s="81"/>
      <c r="Y644" s="81"/>
      <c r="Z644" s="81"/>
    </row>
    <row r="645" spans="1:26" ht="24" customHeight="1" x14ac:dyDescent="0.5">
      <c r="A645" s="81"/>
      <c r="B645" s="81"/>
      <c r="C645" s="81"/>
      <c r="D645" s="81"/>
      <c r="E645" s="81"/>
      <c r="F645" s="81"/>
      <c r="G645" s="81"/>
      <c r="H645" s="81"/>
      <c r="I645" s="289"/>
      <c r="J645" s="105"/>
      <c r="K645" s="81"/>
      <c r="L645" s="289"/>
      <c r="M645" s="81"/>
      <c r="N645" s="81"/>
      <c r="O645" s="289"/>
      <c r="P645" s="81"/>
      <c r="Q645" s="289"/>
      <c r="R645" s="81"/>
      <c r="S645" s="289"/>
      <c r="T645" s="81"/>
      <c r="U645" s="81"/>
      <c r="V645" s="81"/>
      <c r="W645" s="81"/>
      <c r="X645" s="81"/>
      <c r="Y645" s="81"/>
      <c r="Z645" s="81"/>
    </row>
    <row r="646" spans="1:26" ht="24" customHeight="1" x14ac:dyDescent="0.5">
      <c r="A646" s="81"/>
      <c r="B646" s="81"/>
      <c r="C646" s="81"/>
      <c r="D646" s="81"/>
      <c r="E646" s="81"/>
      <c r="F646" s="81"/>
      <c r="G646" s="81"/>
      <c r="H646" s="81"/>
      <c r="I646" s="289"/>
      <c r="J646" s="105"/>
      <c r="K646" s="81"/>
      <c r="L646" s="289"/>
      <c r="M646" s="81"/>
      <c r="N646" s="81"/>
      <c r="O646" s="289"/>
      <c r="P646" s="81"/>
      <c r="Q646" s="289"/>
      <c r="R646" s="81"/>
      <c r="S646" s="289"/>
      <c r="T646" s="81"/>
      <c r="U646" s="81"/>
      <c r="V646" s="81"/>
      <c r="W646" s="81"/>
      <c r="X646" s="81"/>
      <c r="Y646" s="81"/>
      <c r="Z646" s="81"/>
    </row>
    <row r="647" spans="1:26" ht="24" customHeight="1" x14ac:dyDescent="0.5">
      <c r="A647" s="81"/>
      <c r="B647" s="81"/>
      <c r="C647" s="81"/>
      <c r="D647" s="81"/>
      <c r="E647" s="81"/>
      <c r="F647" s="81"/>
      <c r="G647" s="81"/>
      <c r="H647" s="81"/>
      <c r="I647" s="289"/>
      <c r="J647" s="105"/>
      <c r="K647" s="81"/>
      <c r="L647" s="289"/>
      <c r="M647" s="81"/>
      <c r="N647" s="81"/>
      <c r="O647" s="289"/>
      <c r="P647" s="81"/>
      <c r="Q647" s="289"/>
      <c r="R647" s="81"/>
      <c r="S647" s="289"/>
      <c r="T647" s="81"/>
      <c r="U647" s="81"/>
      <c r="V647" s="81"/>
      <c r="W647" s="81"/>
      <c r="X647" s="81"/>
      <c r="Y647" s="81"/>
      <c r="Z647" s="81"/>
    </row>
    <row r="648" spans="1:26" ht="24" customHeight="1" x14ac:dyDescent="0.5">
      <c r="A648" s="81"/>
      <c r="B648" s="81"/>
      <c r="C648" s="81"/>
      <c r="D648" s="81"/>
      <c r="E648" s="81"/>
      <c r="F648" s="81"/>
      <c r="G648" s="81"/>
      <c r="H648" s="81"/>
      <c r="I648" s="289"/>
      <c r="J648" s="105"/>
      <c r="K648" s="81"/>
      <c r="L648" s="289"/>
      <c r="M648" s="81"/>
      <c r="N648" s="81"/>
      <c r="O648" s="289"/>
      <c r="P648" s="81"/>
      <c r="Q648" s="289"/>
      <c r="R648" s="81"/>
      <c r="S648" s="289"/>
      <c r="T648" s="81"/>
      <c r="U648" s="81"/>
      <c r="V648" s="81"/>
      <c r="W648" s="81"/>
      <c r="X648" s="81"/>
      <c r="Y648" s="81"/>
      <c r="Z648" s="81"/>
    </row>
    <row r="649" spans="1:26" ht="24" customHeight="1" x14ac:dyDescent="0.5">
      <c r="A649" s="81"/>
      <c r="B649" s="81"/>
      <c r="C649" s="81"/>
      <c r="D649" s="81"/>
      <c r="E649" s="81"/>
      <c r="F649" s="81"/>
      <c r="G649" s="81"/>
      <c r="H649" s="81"/>
      <c r="I649" s="289"/>
      <c r="J649" s="105"/>
      <c r="K649" s="81"/>
      <c r="L649" s="289"/>
      <c r="M649" s="81"/>
      <c r="N649" s="81"/>
      <c r="O649" s="289"/>
      <c r="P649" s="81"/>
      <c r="Q649" s="289"/>
      <c r="R649" s="81"/>
      <c r="S649" s="289"/>
      <c r="T649" s="81"/>
      <c r="U649" s="81"/>
      <c r="V649" s="81"/>
      <c r="W649" s="81"/>
      <c r="X649" s="81"/>
      <c r="Y649" s="81"/>
      <c r="Z649" s="81"/>
    </row>
    <row r="650" spans="1:26" ht="24" customHeight="1" x14ac:dyDescent="0.5">
      <c r="A650" s="81"/>
      <c r="B650" s="81"/>
      <c r="C650" s="81"/>
      <c r="D650" s="81"/>
      <c r="E650" s="81"/>
      <c r="F650" s="81"/>
      <c r="G650" s="81"/>
      <c r="H650" s="81"/>
      <c r="I650" s="289"/>
      <c r="J650" s="105"/>
      <c r="K650" s="81"/>
      <c r="L650" s="289"/>
      <c r="M650" s="81"/>
      <c r="N650" s="81"/>
      <c r="O650" s="289"/>
      <c r="P650" s="81"/>
      <c r="Q650" s="289"/>
      <c r="R650" s="81"/>
      <c r="S650" s="289"/>
      <c r="T650" s="81"/>
      <c r="U650" s="81"/>
      <c r="V650" s="81"/>
      <c r="W650" s="81"/>
      <c r="X650" s="81"/>
      <c r="Y650" s="81"/>
      <c r="Z650" s="81"/>
    </row>
    <row r="651" spans="1:26" ht="24" customHeight="1" x14ac:dyDescent="0.5">
      <c r="A651" s="81"/>
      <c r="B651" s="81"/>
      <c r="C651" s="81"/>
      <c r="D651" s="81"/>
      <c r="E651" s="81"/>
      <c r="F651" s="81"/>
      <c r="G651" s="81"/>
      <c r="H651" s="81"/>
      <c r="I651" s="289"/>
      <c r="J651" s="105"/>
      <c r="K651" s="81"/>
      <c r="L651" s="289"/>
      <c r="M651" s="81"/>
      <c r="N651" s="81"/>
      <c r="O651" s="289"/>
      <c r="P651" s="81"/>
      <c r="Q651" s="289"/>
      <c r="R651" s="81"/>
      <c r="S651" s="289"/>
      <c r="T651" s="81"/>
      <c r="U651" s="81"/>
      <c r="V651" s="81"/>
      <c r="W651" s="81"/>
      <c r="X651" s="81"/>
      <c r="Y651" s="81"/>
      <c r="Z651" s="81"/>
    </row>
    <row r="652" spans="1:26" ht="24" customHeight="1" x14ac:dyDescent="0.5">
      <c r="A652" s="81"/>
      <c r="B652" s="81"/>
      <c r="C652" s="81"/>
      <c r="D652" s="81"/>
      <c r="E652" s="81"/>
      <c r="F652" s="81"/>
      <c r="G652" s="81"/>
      <c r="H652" s="81"/>
      <c r="I652" s="289"/>
      <c r="J652" s="105"/>
      <c r="K652" s="81"/>
      <c r="L652" s="289"/>
      <c r="M652" s="81"/>
      <c r="N652" s="81"/>
      <c r="O652" s="289"/>
      <c r="P652" s="81"/>
      <c r="Q652" s="289"/>
      <c r="R652" s="81"/>
      <c r="S652" s="289"/>
      <c r="T652" s="81"/>
      <c r="U652" s="81"/>
      <c r="V652" s="81"/>
      <c r="W652" s="81"/>
      <c r="X652" s="81"/>
      <c r="Y652" s="81"/>
      <c r="Z652" s="81"/>
    </row>
    <row r="653" spans="1:26" ht="24" customHeight="1" x14ac:dyDescent="0.5">
      <c r="A653" s="81"/>
      <c r="B653" s="81"/>
      <c r="C653" s="81"/>
      <c r="D653" s="81"/>
      <c r="E653" s="81"/>
      <c r="F653" s="81"/>
      <c r="G653" s="81"/>
      <c r="H653" s="81"/>
      <c r="I653" s="289"/>
      <c r="J653" s="105"/>
      <c r="K653" s="81"/>
      <c r="L653" s="289"/>
      <c r="M653" s="81"/>
      <c r="N653" s="81"/>
      <c r="O653" s="289"/>
      <c r="P653" s="81"/>
      <c r="Q653" s="289"/>
      <c r="R653" s="81"/>
      <c r="S653" s="289"/>
      <c r="T653" s="81"/>
      <c r="U653" s="81"/>
      <c r="V653" s="81"/>
      <c r="W653" s="81"/>
      <c r="X653" s="81"/>
      <c r="Y653" s="81"/>
      <c r="Z653" s="81"/>
    </row>
    <row r="654" spans="1:26" ht="24" customHeight="1" x14ac:dyDescent="0.5">
      <c r="A654" s="81"/>
      <c r="B654" s="81"/>
      <c r="C654" s="81"/>
      <c r="D654" s="81"/>
      <c r="E654" s="81"/>
      <c r="F654" s="81"/>
      <c r="G654" s="81"/>
      <c r="H654" s="81"/>
      <c r="I654" s="289"/>
      <c r="J654" s="105"/>
      <c r="K654" s="81"/>
      <c r="L654" s="289"/>
      <c r="M654" s="81"/>
      <c r="N654" s="81"/>
      <c r="O654" s="289"/>
      <c r="P654" s="81"/>
      <c r="Q654" s="289"/>
      <c r="R654" s="81"/>
      <c r="S654" s="289"/>
      <c r="T654" s="81"/>
      <c r="U654" s="81"/>
      <c r="V654" s="81"/>
      <c r="W654" s="81"/>
      <c r="X654" s="81"/>
      <c r="Y654" s="81"/>
      <c r="Z654" s="81"/>
    </row>
    <row r="655" spans="1:26" ht="24" customHeight="1" x14ac:dyDescent="0.5">
      <c r="A655" s="81"/>
      <c r="B655" s="81"/>
      <c r="C655" s="81"/>
      <c r="D655" s="81"/>
      <c r="E655" s="81"/>
      <c r="F655" s="81"/>
      <c r="G655" s="81"/>
      <c r="H655" s="81"/>
      <c r="I655" s="289"/>
      <c r="J655" s="105"/>
      <c r="K655" s="81"/>
      <c r="L655" s="289"/>
      <c r="M655" s="81"/>
      <c r="N655" s="81"/>
      <c r="O655" s="289"/>
      <c r="P655" s="81"/>
      <c r="Q655" s="289"/>
      <c r="R655" s="81"/>
      <c r="S655" s="289"/>
      <c r="T655" s="81"/>
      <c r="U655" s="81"/>
      <c r="V655" s="81"/>
      <c r="W655" s="81"/>
      <c r="X655" s="81"/>
      <c r="Y655" s="81"/>
      <c r="Z655" s="81"/>
    </row>
    <row r="656" spans="1:26" ht="24" customHeight="1" x14ac:dyDescent="0.5">
      <c r="A656" s="81"/>
      <c r="B656" s="81"/>
      <c r="C656" s="81"/>
      <c r="D656" s="81"/>
      <c r="E656" s="81"/>
      <c r="F656" s="81"/>
      <c r="G656" s="81"/>
      <c r="H656" s="81"/>
      <c r="I656" s="289"/>
      <c r="J656" s="105"/>
      <c r="K656" s="81"/>
      <c r="L656" s="289"/>
      <c r="M656" s="81"/>
      <c r="N656" s="81"/>
      <c r="O656" s="289"/>
      <c r="P656" s="81"/>
      <c r="Q656" s="289"/>
      <c r="R656" s="81"/>
      <c r="S656" s="289"/>
      <c r="T656" s="81"/>
      <c r="U656" s="81"/>
      <c r="V656" s="81"/>
      <c r="W656" s="81"/>
      <c r="X656" s="81"/>
      <c r="Y656" s="81"/>
      <c r="Z656" s="81"/>
    </row>
    <row r="657" spans="1:26" ht="24" customHeight="1" x14ac:dyDescent="0.5">
      <c r="A657" s="81"/>
      <c r="B657" s="81"/>
      <c r="C657" s="81"/>
      <c r="D657" s="81"/>
      <c r="E657" s="81"/>
      <c r="F657" s="81"/>
      <c r="G657" s="81"/>
      <c r="H657" s="81"/>
      <c r="I657" s="289"/>
      <c r="J657" s="105"/>
      <c r="K657" s="81"/>
      <c r="L657" s="289"/>
      <c r="M657" s="81"/>
      <c r="N657" s="81"/>
      <c r="O657" s="289"/>
      <c r="P657" s="81"/>
      <c r="Q657" s="289"/>
      <c r="R657" s="81"/>
      <c r="S657" s="289"/>
      <c r="T657" s="81"/>
      <c r="U657" s="81"/>
      <c r="V657" s="81"/>
      <c r="W657" s="81"/>
      <c r="X657" s="81"/>
      <c r="Y657" s="81"/>
      <c r="Z657" s="81"/>
    </row>
    <row r="658" spans="1:26" ht="24" customHeight="1" x14ac:dyDescent="0.5">
      <c r="A658" s="81"/>
      <c r="B658" s="81"/>
      <c r="C658" s="81"/>
      <c r="D658" s="81"/>
      <c r="E658" s="81"/>
      <c r="F658" s="81"/>
      <c r="G658" s="81"/>
      <c r="H658" s="81"/>
      <c r="I658" s="289"/>
      <c r="J658" s="105"/>
      <c r="K658" s="81"/>
      <c r="L658" s="289"/>
      <c r="M658" s="81"/>
      <c r="N658" s="81"/>
      <c r="O658" s="289"/>
      <c r="P658" s="81"/>
      <c r="Q658" s="289"/>
      <c r="R658" s="81"/>
      <c r="S658" s="289"/>
      <c r="T658" s="81"/>
      <c r="U658" s="81"/>
      <c r="V658" s="81"/>
      <c r="W658" s="81"/>
      <c r="X658" s="81"/>
      <c r="Y658" s="81"/>
      <c r="Z658" s="81"/>
    </row>
    <row r="659" spans="1:26" ht="24" customHeight="1" x14ac:dyDescent="0.5">
      <c r="A659" s="81"/>
      <c r="B659" s="81"/>
      <c r="C659" s="81"/>
      <c r="D659" s="81"/>
      <c r="E659" s="81"/>
      <c r="F659" s="81"/>
      <c r="G659" s="81"/>
      <c r="H659" s="81"/>
      <c r="I659" s="289"/>
      <c r="J659" s="105"/>
      <c r="K659" s="81"/>
      <c r="L659" s="289"/>
      <c r="M659" s="81"/>
      <c r="N659" s="81"/>
      <c r="O659" s="289"/>
      <c r="P659" s="81"/>
      <c r="Q659" s="289"/>
      <c r="R659" s="81"/>
      <c r="S659" s="289"/>
      <c r="T659" s="81"/>
      <c r="U659" s="81"/>
      <c r="V659" s="81"/>
      <c r="W659" s="81"/>
      <c r="X659" s="81"/>
      <c r="Y659" s="81"/>
      <c r="Z659" s="81"/>
    </row>
    <row r="660" spans="1:26" ht="24" customHeight="1" x14ac:dyDescent="0.5">
      <c r="A660" s="81"/>
      <c r="B660" s="81"/>
      <c r="C660" s="81"/>
      <c r="D660" s="81"/>
      <c r="E660" s="81"/>
      <c r="F660" s="81"/>
      <c r="G660" s="81"/>
      <c r="H660" s="81"/>
      <c r="I660" s="289"/>
      <c r="J660" s="105"/>
      <c r="K660" s="81"/>
      <c r="L660" s="289"/>
      <c r="M660" s="81"/>
      <c r="N660" s="81"/>
      <c r="O660" s="289"/>
      <c r="P660" s="81"/>
      <c r="Q660" s="289"/>
      <c r="R660" s="81"/>
      <c r="S660" s="289"/>
      <c r="T660" s="81"/>
      <c r="U660" s="81"/>
      <c r="V660" s="81"/>
      <c r="W660" s="81"/>
      <c r="X660" s="81"/>
      <c r="Y660" s="81"/>
      <c r="Z660" s="81"/>
    </row>
    <row r="661" spans="1:26" ht="24" customHeight="1" x14ac:dyDescent="0.5">
      <c r="A661" s="81"/>
      <c r="B661" s="81"/>
      <c r="C661" s="81"/>
      <c r="D661" s="81"/>
      <c r="E661" s="81"/>
      <c r="F661" s="81"/>
      <c r="G661" s="81"/>
      <c r="H661" s="81"/>
      <c r="I661" s="289"/>
      <c r="J661" s="105"/>
      <c r="K661" s="81"/>
      <c r="L661" s="289"/>
      <c r="M661" s="81"/>
      <c r="N661" s="81"/>
      <c r="O661" s="289"/>
      <c r="P661" s="81"/>
      <c r="Q661" s="289"/>
      <c r="R661" s="81"/>
      <c r="S661" s="289"/>
      <c r="T661" s="81"/>
      <c r="U661" s="81"/>
      <c r="V661" s="81"/>
      <c r="W661" s="81"/>
      <c r="X661" s="81"/>
      <c r="Y661" s="81"/>
      <c r="Z661" s="81"/>
    </row>
    <row r="662" spans="1:26" ht="24" customHeight="1" x14ac:dyDescent="0.5">
      <c r="A662" s="81"/>
      <c r="B662" s="81"/>
      <c r="C662" s="81"/>
      <c r="D662" s="81"/>
      <c r="E662" s="81"/>
      <c r="F662" s="81"/>
      <c r="G662" s="81"/>
      <c r="H662" s="81"/>
      <c r="I662" s="289"/>
      <c r="J662" s="105"/>
      <c r="K662" s="81"/>
      <c r="L662" s="289"/>
      <c r="M662" s="81"/>
      <c r="N662" s="81"/>
      <c r="O662" s="289"/>
      <c r="P662" s="81"/>
      <c r="Q662" s="289"/>
      <c r="R662" s="81"/>
      <c r="S662" s="289"/>
      <c r="T662" s="81"/>
      <c r="U662" s="81"/>
      <c r="V662" s="81"/>
      <c r="W662" s="81"/>
      <c r="X662" s="81"/>
      <c r="Y662" s="81"/>
      <c r="Z662" s="81"/>
    </row>
    <row r="663" spans="1:26" ht="24" customHeight="1" x14ac:dyDescent="0.5">
      <c r="A663" s="81"/>
      <c r="B663" s="81"/>
      <c r="C663" s="81"/>
      <c r="D663" s="81"/>
      <c r="E663" s="81"/>
      <c r="F663" s="81"/>
      <c r="G663" s="81"/>
      <c r="H663" s="81"/>
      <c r="I663" s="289"/>
      <c r="J663" s="105"/>
      <c r="K663" s="81"/>
      <c r="L663" s="289"/>
      <c r="M663" s="81"/>
      <c r="N663" s="81"/>
      <c r="O663" s="289"/>
      <c r="P663" s="81"/>
      <c r="Q663" s="289"/>
      <c r="R663" s="81"/>
      <c r="S663" s="289"/>
      <c r="T663" s="81"/>
      <c r="U663" s="81"/>
      <c r="V663" s="81"/>
      <c r="W663" s="81"/>
      <c r="X663" s="81"/>
      <c r="Y663" s="81"/>
      <c r="Z663" s="81"/>
    </row>
    <row r="664" spans="1:26" ht="24" customHeight="1" x14ac:dyDescent="0.5">
      <c r="A664" s="81"/>
      <c r="B664" s="81"/>
      <c r="C664" s="81"/>
      <c r="D664" s="81"/>
      <c r="E664" s="81"/>
      <c r="F664" s="81"/>
      <c r="G664" s="81"/>
      <c r="H664" s="81"/>
      <c r="I664" s="289"/>
      <c r="J664" s="105"/>
      <c r="K664" s="81"/>
      <c r="L664" s="289"/>
      <c r="M664" s="81"/>
      <c r="N664" s="81"/>
      <c r="O664" s="289"/>
      <c r="P664" s="81"/>
      <c r="Q664" s="289"/>
      <c r="R664" s="81"/>
      <c r="S664" s="289"/>
      <c r="T664" s="81"/>
      <c r="U664" s="81"/>
      <c r="V664" s="81"/>
      <c r="W664" s="81"/>
      <c r="X664" s="81"/>
      <c r="Y664" s="81"/>
      <c r="Z664" s="81"/>
    </row>
    <row r="665" spans="1:26" ht="24" customHeight="1" x14ac:dyDescent="0.5">
      <c r="A665" s="81"/>
      <c r="B665" s="81"/>
      <c r="C665" s="81"/>
      <c r="D665" s="81"/>
      <c r="E665" s="81"/>
      <c r="F665" s="81"/>
      <c r="G665" s="81"/>
      <c r="H665" s="81"/>
      <c r="I665" s="289"/>
      <c r="J665" s="105"/>
      <c r="K665" s="81"/>
      <c r="L665" s="289"/>
      <c r="M665" s="81"/>
      <c r="N665" s="81"/>
      <c r="O665" s="289"/>
      <c r="P665" s="81"/>
      <c r="Q665" s="289"/>
      <c r="R665" s="81"/>
      <c r="S665" s="289"/>
      <c r="T665" s="81"/>
      <c r="U665" s="81"/>
      <c r="V665" s="81"/>
      <c r="W665" s="81"/>
      <c r="X665" s="81"/>
      <c r="Y665" s="81"/>
      <c r="Z665" s="81"/>
    </row>
    <row r="666" spans="1:26" ht="24" customHeight="1" x14ac:dyDescent="0.5">
      <c r="A666" s="81"/>
      <c r="B666" s="81"/>
      <c r="C666" s="81"/>
      <c r="D666" s="81"/>
      <c r="E666" s="81"/>
      <c r="F666" s="81"/>
      <c r="G666" s="81"/>
      <c r="H666" s="81"/>
      <c r="I666" s="289"/>
      <c r="J666" s="105"/>
      <c r="K666" s="81"/>
      <c r="L666" s="289"/>
      <c r="M666" s="81"/>
      <c r="N666" s="81"/>
      <c r="O666" s="289"/>
      <c r="P666" s="81"/>
      <c r="Q666" s="289"/>
      <c r="R666" s="81"/>
      <c r="S666" s="289"/>
      <c r="T666" s="81"/>
      <c r="U666" s="81"/>
      <c r="V666" s="81"/>
      <c r="W666" s="81"/>
      <c r="X666" s="81"/>
      <c r="Y666" s="81"/>
      <c r="Z666" s="81"/>
    </row>
    <row r="667" spans="1:26" ht="24" customHeight="1" x14ac:dyDescent="0.5">
      <c r="A667" s="81"/>
      <c r="B667" s="81"/>
      <c r="C667" s="81"/>
      <c r="D667" s="81"/>
      <c r="E667" s="81"/>
      <c r="F667" s="81"/>
      <c r="G667" s="81"/>
      <c r="H667" s="81"/>
      <c r="I667" s="289"/>
      <c r="J667" s="105"/>
      <c r="K667" s="81"/>
      <c r="L667" s="289"/>
      <c r="M667" s="81"/>
      <c r="N667" s="81"/>
      <c r="O667" s="289"/>
      <c r="P667" s="81"/>
      <c r="Q667" s="289"/>
      <c r="R667" s="81"/>
      <c r="S667" s="289"/>
      <c r="T667" s="81"/>
      <c r="U667" s="81"/>
      <c r="V667" s="81"/>
      <c r="W667" s="81"/>
      <c r="X667" s="81"/>
      <c r="Y667" s="81"/>
      <c r="Z667" s="81"/>
    </row>
    <row r="668" spans="1:26" ht="24" customHeight="1" x14ac:dyDescent="0.5">
      <c r="A668" s="81"/>
      <c r="B668" s="81"/>
      <c r="C668" s="81"/>
      <c r="D668" s="81"/>
      <c r="E668" s="81"/>
      <c r="F668" s="81"/>
      <c r="G668" s="81"/>
      <c r="H668" s="81"/>
      <c r="I668" s="289"/>
      <c r="J668" s="105"/>
      <c r="K668" s="81"/>
      <c r="L668" s="289"/>
      <c r="M668" s="81"/>
      <c r="N668" s="81"/>
      <c r="O668" s="289"/>
      <c r="P668" s="81"/>
      <c r="Q668" s="289"/>
      <c r="R668" s="81"/>
      <c r="S668" s="289"/>
      <c r="T668" s="81"/>
      <c r="U668" s="81"/>
      <c r="V668" s="81"/>
      <c r="W668" s="81"/>
      <c r="X668" s="81"/>
      <c r="Y668" s="81"/>
      <c r="Z668" s="81"/>
    </row>
    <row r="669" spans="1:26" ht="24" customHeight="1" x14ac:dyDescent="0.5">
      <c r="A669" s="81"/>
      <c r="B669" s="81"/>
      <c r="C669" s="81"/>
      <c r="D669" s="81"/>
      <c r="E669" s="81"/>
      <c r="F669" s="81"/>
      <c r="G669" s="81"/>
      <c r="H669" s="81"/>
      <c r="I669" s="289"/>
      <c r="J669" s="105"/>
      <c r="K669" s="81"/>
      <c r="L669" s="289"/>
      <c r="M669" s="81"/>
      <c r="N669" s="81"/>
      <c r="O669" s="289"/>
      <c r="P669" s="81"/>
      <c r="Q669" s="289"/>
      <c r="R669" s="81"/>
      <c r="S669" s="289"/>
      <c r="T669" s="81"/>
      <c r="U669" s="81"/>
      <c r="V669" s="81"/>
      <c r="W669" s="81"/>
      <c r="X669" s="81"/>
      <c r="Y669" s="81"/>
      <c r="Z669" s="81"/>
    </row>
    <row r="670" spans="1:26" ht="24" customHeight="1" x14ac:dyDescent="0.5">
      <c r="A670" s="81"/>
      <c r="B670" s="81"/>
      <c r="C670" s="81"/>
      <c r="D670" s="81"/>
      <c r="E670" s="81"/>
      <c r="F670" s="81"/>
      <c r="G670" s="81"/>
      <c r="H670" s="81"/>
      <c r="I670" s="289"/>
      <c r="J670" s="105"/>
      <c r="K670" s="81"/>
      <c r="L670" s="289"/>
      <c r="M670" s="81"/>
      <c r="N670" s="81"/>
      <c r="O670" s="289"/>
      <c r="P670" s="81"/>
      <c r="Q670" s="289"/>
      <c r="R670" s="81"/>
      <c r="S670" s="289"/>
      <c r="T670" s="81"/>
      <c r="U670" s="81"/>
      <c r="V670" s="81"/>
      <c r="W670" s="81"/>
      <c r="X670" s="81"/>
      <c r="Y670" s="81"/>
      <c r="Z670" s="81"/>
    </row>
    <row r="671" spans="1:26" ht="24" customHeight="1" x14ac:dyDescent="0.5">
      <c r="A671" s="81"/>
      <c r="B671" s="81"/>
      <c r="C671" s="81"/>
      <c r="D671" s="81"/>
      <c r="E671" s="81"/>
      <c r="F671" s="81"/>
      <c r="G671" s="81"/>
      <c r="H671" s="81"/>
      <c r="I671" s="289"/>
      <c r="J671" s="105"/>
      <c r="K671" s="81"/>
      <c r="L671" s="289"/>
      <c r="M671" s="81"/>
      <c r="N671" s="81"/>
      <c r="O671" s="289"/>
      <c r="P671" s="81"/>
      <c r="Q671" s="289"/>
      <c r="R671" s="81"/>
      <c r="S671" s="289"/>
      <c r="T671" s="81"/>
      <c r="U671" s="81"/>
      <c r="V671" s="81"/>
      <c r="W671" s="81"/>
      <c r="X671" s="81"/>
      <c r="Y671" s="81"/>
      <c r="Z671" s="81"/>
    </row>
    <row r="672" spans="1:26" ht="24" customHeight="1" x14ac:dyDescent="0.5">
      <c r="A672" s="81"/>
      <c r="B672" s="81"/>
      <c r="C672" s="81"/>
      <c r="D672" s="81"/>
      <c r="E672" s="81"/>
      <c r="F672" s="81"/>
      <c r="G672" s="81"/>
      <c r="H672" s="81"/>
      <c r="I672" s="289"/>
      <c r="J672" s="105"/>
      <c r="K672" s="81"/>
      <c r="L672" s="289"/>
      <c r="M672" s="81"/>
      <c r="N672" s="81"/>
      <c r="O672" s="289"/>
      <c r="P672" s="81"/>
      <c r="Q672" s="289"/>
      <c r="R672" s="81"/>
      <c r="S672" s="289"/>
      <c r="T672" s="81"/>
      <c r="U672" s="81"/>
      <c r="V672" s="81"/>
      <c r="W672" s="81"/>
      <c r="X672" s="81"/>
      <c r="Y672" s="81"/>
      <c r="Z672" s="81"/>
    </row>
    <row r="673" spans="1:26" ht="24" customHeight="1" x14ac:dyDescent="0.5">
      <c r="A673" s="81"/>
      <c r="B673" s="81"/>
      <c r="C673" s="81"/>
      <c r="D673" s="81"/>
      <c r="E673" s="81"/>
      <c r="F673" s="81"/>
      <c r="G673" s="81"/>
      <c r="H673" s="81"/>
      <c r="I673" s="289"/>
      <c r="J673" s="105"/>
      <c r="K673" s="81"/>
      <c r="L673" s="289"/>
      <c r="M673" s="81"/>
      <c r="N673" s="81"/>
      <c r="O673" s="289"/>
      <c r="P673" s="81"/>
      <c r="Q673" s="289"/>
      <c r="R673" s="81"/>
      <c r="S673" s="289"/>
      <c r="T673" s="81"/>
      <c r="U673" s="81"/>
      <c r="V673" s="81"/>
      <c r="W673" s="81"/>
      <c r="X673" s="81"/>
      <c r="Y673" s="81"/>
      <c r="Z673" s="81"/>
    </row>
    <row r="674" spans="1:26" ht="24" customHeight="1" x14ac:dyDescent="0.5">
      <c r="A674" s="81"/>
      <c r="B674" s="81"/>
      <c r="C674" s="81"/>
      <c r="D674" s="81"/>
      <c r="E674" s="81"/>
      <c r="F674" s="81"/>
      <c r="G674" s="81"/>
      <c r="H674" s="81"/>
      <c r="I674" s="289"/>
      <c r="J674" s="105"/>
      <c r="K674" s="81"/>
      <c r="L674" s="289"/>
      <c r="M674" s="81"/>
      <c r="N674" s="81"/>
      <c r="O674" s="289"/>
      <c r="P674" s="81"/>
      <c r="Q674" s="289"/>
      <c r="R674" s="81"/>
      <c r="S674" s="289"/>
      <c r="T674" s="81"/>
      <c r="U674" s="81"/>
      <c r="V674" s="81"/>
      <c r="W674" s="81"/>
      <c r="X674" s="81"/>
      <c r="Y674" s="81"/>
      <c r="Z674" s="81"/>
    </row>
    <row r="675" spans="1:26" ht="24" customHeight="1" x14ac:dyDescent="0.5">
      <c r="A675" s="81"/>
      <c r="B675" s="81"/>
      <c r="C675" s="81"/>
      <c r="D675" s="81"/>
      <c r="E675" s="81"/>
      <c r="F675" s="81"/>
      <c r="G675" s="81"/>
      <c r="H675" s="81"/>
      <c r="I675" s="289"/>
      <c r="J675" s="105"/>
      <c r="K675" s="81"/>
      <c r="L675" s="289"/>
      <c r="M675" s="81"/>
      <c r="N675" s="81"/>
      <c r="O675" s="289"/>
      <c r="P675" s="81"/>
      <c r="Q675" s="289"/>
      <c r="R675" s="81"/>
      <c r="S675" s="289"/>
      <c r="T675" s="81"/>
      <c r="U675" s="81"/>
      <c r="V675" s="81"/>
      <c r="W675" s="81"/>
      <c r="X675" s="81"/>
      <c r="Y675" s="81"/>
      <c r="Z675" s="81"/>
    </row>
    <row r="676" spans="1:26" ht="24" customHeight="1" x14ac:dyDescent="0.5">
      <c r="A676" s="81"/>
      <c r="B676" s="81"/>
      <c r="C676" s="81"/>
      <c r="D676" s="81"/>
      <c r="E676" s="81"/>
      <c r="F676" s="81"/>
      <c r="G676" s="81"/>
      <c r="H676" s="81"/>
      <c r="I676" s="289"/>
      <c r="J676" s="105"/>
      <c r="K676" s="81"/>
      <c r="L676" s="289"/>
      <c r="M676" s="81"/>
      <c r="N676" s="81"/>
      <c r="O676" s="289"/>
      <c r="P676" s="81"/>
      <c r="Q676" s="289"/>
      <c r="R676" s="81"/>
      <c r="S676" s="289"/>
      <c r="T676" s="81"/>
      <c r="U676" s="81"/>
      <c r="V676" s="81"/>
      <c r="W676" s="81"/>
      <c r="X676" s="81"/>
      <c r="Y676" s="81"/>
      <c r="Z676" s="81"/>
    </row>
    <row r="677" spans="1:26" ht="24" customHeight="1" x14ac:dyDescent="0.5">
      <c r="A677" s="81"/>
      <c r="B677" s="81"/>
      <c r="C677" s="81"/>
      <c r="D677" s="81"/>
      <c r="E677" s="81"/>
      <c r="F677" s="81"/>
      <c r="G677" s="81"/>
      <c r="H677" s="81"/>
      <c r="I677" s="289"/>
      <c r="J677" s="105"/>
      <c r="K677" s="81"/>
      <c r="L677" s="289"/>
      <c r="M677" s="81"/>
      <c r="N677" s="81"/>
      <c r="O677" s="289"/>
      <c r="P677" s="81"/>
      <c r="Q677" s="289"/>
      <c r="R677" s="81"/>
      <c r="S677" s="289"/>
      <c r="T677" s="81"/>
      <c r="U677" s="81"/>
      <c r="V677" s="81"/>
      <c r="W677" s="81"/>
      <c r="X677" s="81"/>
      <c r="Y677" s="81"/>
      <c r="Z677" s="81"/>
    </row>
    <row r="678" spans="1:26" ht="24" customHeight="1" x14ac:dyDescent="0.5">
      <c r="A678" s="81"/>
      <c r="B678" s="81"/>
      <c r="C678" s="81"/>
      <c r="D678" s="81"/>
      <c r="E678" s="81"/>
      <c r="F678" s="81"/>
      <c r="G678" s="81"/>
      <c r="H678" s="81"/>
      <c r="I678" s="289"/>
      <c r="J678" s="105"/>
      <c r="K678" s="81"/>
      <c r="L678" s="289"/>
      <c r="M678" s="81"/>
      <c r="N678" s="81"/>
      <c r="O678" s="289"/>
      <c r="P678" s="81"/>
      <c r="Q678" s="289"/>
      <c r="R678" s="81"/>
      <c r="S678" s="289"/>
      <c r="T678" s="81"/>
      <c r="U678" s="81"/>
      <c r="V678" s="81"/>
      <c r="W678" s="81"/>
      <c r="X678" s="81"/>
      <c r="Y678" s="81"/>
      <c r="Z678" s="81"/>
    </row>
    <row r="679" spans="1:26" ht="24" customHeight="1" x14ac:dyDescent="0.5">
      <c r="A679" s="81"/>
      <c r="B679" s="81"/>
      <c r="C679" s="81"/>
      <c r="D679" s="81"/>
      <c r="E679" s="81"/>
      <c r="F679" s="81"/>
      <c r="G679" s="81"/>
      <c r="H679" s="81"/>
      <c r="I679" s="289"/>
      <c r="J679" s="105"/>
      <c r="K679" s="81"/>
      <c r="L679" s="289"/>
      <c r="M679" s="81"/>
      <c r="N679" s="81"/>
      <c r="O679" s="289"/>
      <c r="P679" s="81"/>
      <c r="Q679" s="289"/>
      <c r="R679" s="81"/>
      <c r="S679" s="289"/>
      <c r="T679" s="81"/>
      <c r="U679" s="81"/>
      <c r="V679" s="81"/>
      <c r="W679" s="81"/>
      <c r="X679" s="81"/>
      <c r="Y679" s="81"/>
      <c r="Z679" s="81"/>
    </row>
    <row r="680" spans="1:26" ht="24" customHeight="1" x14ac:dyDescent="0.5">
      <c r="A680" s="81"/>
      <c r="B680" s="81"/>
      <c r="C680" s="81"/>
      <c r="D680" s="81"/>
      <c r="E680" s="81"/>
      <c r="F680" s="81"/>
      <c r="G680" s="81"/>
      <c r="H680" s="81"/>
      <c r="I680" s="289"/>
      <c r="J680" s="105"/>
      <c r="K680" s="81"/>
      <c r="L680" s="289"/>
      <c r="M680" s="81"/>
      <c r="N680" s="81"/>
      <c r="O680" s="289"/>
      <c r="P680" s="81"/>
      <c r="Q680" s="289"/>
      <c r="R680" s="81"/>
      <c r="S680" s="289"/>
      <c r="T680" s="81"/>
      <c r="U680" s="81"/>
      <c r="V680" s="81"/>
      <c r="W680" s="81"/>
      <c r="X680" s="81"/>
      <c r="Y680" s="81"/>
      <c r="Z680" s="81"/>
    </row>
    <row r="681" spans="1:26" ht="24" customHeight="1" x14ac:dyDescent="0.5">
      <c r="A681" s="81"/>
      <c r="B681" s="81"/>
      <c r="C681" s="81"/>
      <c r="D681" s="81"/>
      <c r="E681" s="81"/>
      <c r="F681" s="81"/>
      <c r="G681" s="81"/>
      <c r="H681" s="81"/>
      <c r="I681" s="289"/>
      <c r="J681" s="105"/>
      <c r="K681" s="81"/>
      <c r="L681" s="289"/>
      <c r="M681" s="81"/>
      <c r="N681" s="81"/>
      <c r="O681" s="289"/>
      <c r="P681" s="81"/>
      <c r="Q681" s="289"/>
      <c r="R681" s="81"/>
      <c r="S681" s="289"/>
      <c r="T681" s="81"/>
      <c r="U681" s="81"/>
      <c r="V681" s="81"/>
      <c r="W681" s="81"/>
      <c r="X681" s="81"/>
      <c r="Y681" s="81"/>
      <c r="Z681" s="81"/>
    </row>
    <row r="682" spans="1:26" ht="24" customHeight="1" x14ac:dyDescent="0.5">
      <c r="A682" s="81"/>
      <c r="B682" s="81"/>
      <c r="C682" s="81"/>
      <c r="D682" s="81"/>
      <c r="E682" s="81"/>
      <c r="F682" s="81"/>
      <c r="G682" s="81"/>
      <c r="H682" s="81"/>
      <c r="I682" s="289"/>
      <c r="J682" s="105"/>
      <c r="K682" s="81"/>
      <c r="L682" s="289"/>
      <c r="M682" s="81"/>
      <c r="N682" s="81"/>
      <c r="O682" s="289"/>
      <c r="P682" s="81"/>
      <c r="Q682" s="289"/>
      <c r="R682" s="81"/>
      <c r="S682" s="289"/>
      <c r="T682" s="81"/>
      <c r="U682" s="81"/>
      <c r="V682" s="81"/>
      <c r="W682" s="81"/>
      <c r="X682" s="81"/>
      <c r="Y682" s="81"/>
      <c r="Z682" s="81"/>
    </row>
    <row r="683" spans="1:26" ht="24" customHeight="1" x14ac:dyDescent="0.5">
      <c r="A683" s="81"/>
      <c r="B683" s="81"/>
      <c r="C683" s="81"/>
      <c r="D683" s="81"/>
      <c r="E683" s="81"/>
      <c r="F683" s="81"/>
      <c r="G683" s="81"/>
      <c r="H683" s="81"/>
      <c r="I683" s="289"/>
      <c r="J683" s="105"/>
      <c r="K683" s="81"/>
      <c r="L683" s="289"/>
      <c r="M683" s="81"/>
      <c r="N683" s="81"/>
      <c r="O683" s="289"/>
      <c r="P683" s="81"/>
      <c r="Q683" s="289"/>
      <c r="R683" s="81"/>
      <c r="S683" s="289"/>
      <c r="T683" s="81"/>
      <c r="U683" s="81"/>
      <c r="V683" s="81"/>
      <c r="W683" s="81"/>
      <c r="X683" s="81"/>
      <c r="Y683" s="81"/>
      <c r="Z683" s="81"/>
    </row>
    <row r="684" spans="1:26" ht="24" customHeight="1" x14ac:dyDescent="0.5">
      <c r="A684" s="81"/>
      <c r="B684" s="81"/>
      <c r="C684" s="81"/>
      <c r="D684" s="81"/>
      <c r="E684" s="81"/>
      <c r="F684" s="81"/>
      <c r="G684" s="81"/>
      <c r="H684" s="81"/>
      <c r="I684" s="289"/>
      <c r="J684" s="105"/>
      <c r="K684" s="81"/>
      <c r="L684" s="289"/>
      <c r="M684" s="81"/>
      <c r="N684" s="81"/>
      <c r="O684" s="289"/>
      <c r="P684" s="81"/>
      <c r="Q684" s="289"/>
      <c r="R684" s="81"/>
      <c r="S684" s="289"/>
      <c r="T684" s="81"/>
      <c r="U684" s="81"/>
      <c r="V684" s="81"/>
      <c r="W684" s="81"/>
      <c r="X684" s="81"/>
      <c r="Y684" s="81"/>
      <c r="Z684" s="81"/>
    </row>
    <row r="685" spans="1:26" ht="24" customHeight="1" x14ac:dyDescent="0.5">
      <c r="A685" s="81"/>
      <c r="B685" s="81"/>
      <c r="C685" s="81"/>
      <c r="D685" s="81"/>
      <c r="E685" s="81"/>
      <c r="F685" s="81"/>
      <c r="G685" s="81"/>
      <c r="H685" s="81"/>
      <c r="I685" s="289"/>
      <c r="J685" s="105"/>
      <c r="K685" s="81"/>
      <c r="L685" s="289"/>
      <c r="M685" s="81"/>
      <c r="N685" s="81"/>
      <c r="O685" s="289"/>
      <c r="P685" s="81"/>
      <c r="Q685" s="289"/>
      <c r="R685" s="81"/>
      <c r="S685" s="289"/>
      <c r="T685" s="81"/>
      <c r="U685" s="81"/>
      <c r="V685" s="81"/>
      <c r="W685" s="81"/>
      <c r="X685" s="81"/>
      <c r="Y685" s="81"/>
      <c r="Z685" s="81"/>
    </row>
    <row r="686" spans="1:26" ht="24" customHeight="1" x14ac:dyDescent="0.5">
      <c r="A686" s="81"/>
      <c r="B686" s="81"/>
      <c r="C686" s="81"/>
      <c r="D686" s="81"/>
      <c r="E686" s="81"/>
      <c r="F686" s="81"/>
      <c r="G686" s="81"/>
      <c r="H686" s="81"/>
      <c r="I686" s="289"/>
      <c r="J686" s="105"/>
      <c r="K686" s="81"/>
      <c r="L686" s="289"/>
      <c r="M686" s="81"/>
      <c r="N686" s="81"/>
      <c r="O686" s="289"/>
      <c r="P686" s="81"/>
      <c r="Q686" s="289"/>
      <c r="R686" s="81"/>
      <c r="S686" s="289"/>
      <c r="T686" s="81"/>
      <c r="U686" s="81"/>
      <c r="V686" s="81"/>
      <c r="W686" s="81"/>
      <c r="X686" s="81"/>
      <c r="Y686" s="81"/>
      <c r="Z686" s="81"/>
    </row>
    <row r="687" spans="1:26" ht="24" customHeight="1" x14ac:dyDescent="0.5">
      <c r="A687" s="81"/>
      <c r="B687" s="81"/>
      <c r="C687" s="81"/>
      <c r="D687" s="81"/>
      <c r="E687" s="81"/>
      <c r="F687" s="81"/>
      <c r="G687" s="81"/>
      <c r="H687" s="81"/>
      <c r="I687" s="289"/>
      <c r="J687" s="105"/>
      <c r="K687" s="81"/>
      <c r="L687" s="289"/>
      <c r="M687" s="81"/>
      <c r="N687" s="81"/>
      <c r="O687" s="289"/>
      <c r="P687" s="81"/>
      <c r="Q687" s="289"/>
      <c r="R687" s="81"/>
      <c r="S687" s="289"/>
      <c r="T687" s="81"/>
      <c r="U687" s="81"/>
      <c r="V687" s="81"/>
      <c r="W687" s="81"/>
      <c r="X687" s="81"/>
      <c r="Y687" s="81"/>
      <c r="Z687" s="81"/>
    </row>
    <row r="688" spans="1:26" ht="24" customHeight="1" x14ac:dyDescent="0.5">
      <c r="A688" s="81"/>
      <c r="B688" s="81"/>
      <c r="C688" s="81"/>
      <c r="D688" s="81"/>
      <c r="E688" s="81"/>
      <c r="F688" s="81"/>
      <c r="G688" s="81"/>
      <c r="H688" s="81"/>
      <c r="I688" s="289"/>
      <c r="J688" s="105"/>
      <c r="K688" s="81"/>
      <c r="L688" s="289"/>
      <c r="M688" s="81"/>
      <c r="N688" s="81"/>
      <c r="O688" s="289"/>
      <c r="P688" s="81"/>
      <c r="Q688" s="289"/>
      <c r="R688" s="81"/>
      <c r="S688" s="289"/>
      <c r="T688" s="81"/>
      <c r="U688" s="81"/>
      <c r="V688" s="81"/>
      <c r="W688" s="81"/>
      <c r="X688" s="81"/>
      <c r="Y688" s="81"/>
      <c r="Z688" s="81"/>
    </row>
    <row r="689" spans="1:26" ht="24" customHeight="1" x14ac:dyDescent="0.5">
      <c r="A689" s="81"/>
      <c r="B689" s="81"/>
      <c r="C689" s="81"/>
      <c r="D689" s="81"/>
      <c r="E689" s="81"/>
      <c r="F689" s="81"/>
      <c r="G689" s="81"/>
      <c r="H689" s="81"/>
      <c r="I689" s="289"/>
      <c r="J689" s="105"/>
      <c r="K689" s="81"/>
      <c r="L689" s="289"/>
      <c r="M689" s="81"/>
      <c r="N689" s="81"/>
      <c r="O689" s="289"/>
      <c r="P689" s="81"/>
      <c r="Q689" s="289"/>
      <c r="R689" s="81"/>
      <c r="S689" s="289"/>
      <c r="T689" s="81"/>
      <c r="U689" s="81"/>
      <c r="V689" s="81"/>
      <c r="W689" s="81"/>
      <c r="X689" s="81"/>
      <c r="Y689" s="81"/>
      <c r="Z689" s="81"/>
    </row>
    <row r="690" spans="1:26" ht="24" customHeight="1" x14ac:dyDescent="0.5">
      <c r="A690" s="81"/>
      <c r="B690" s="81"/>
      <c r="C690" s="81"/>
      <c r="D690" s="81"/>
      <c r="E690" s="81"/>
      <c r="F690" s="81"/>
      <c r="G690" s="81"/>
      <c r="H690" s="81"/>
      <c r="I690" s="289"/>
      <c r="J690" s="105"/>
      <c r="K690" s="81"/>
      <c r="L690" s="289"/>
      <c r="M690" s="81"/>
      <c r="N690" s="81"/>
      <c r="O690" s="289"/>
      <c r="P690" s="81"/>
      <c r="Q690" s="289"/>
      <c r="R690" s="81"/>
      <c r="S690" s="289"/>
      <c r="T690" s="81"/>
      <c r="U690" s="81"/>
      <c r="V690" s="81"/>
      <c r="W690" s="81"/>
      <c r="X690" s="81"/>
      <c r="Y690" s="81"/>
      <c r="Z690" s="81"/>
    </row>
    <row r="691" spans="1:26" ht="24" customHeight="1" x14ac:dyDescent="0.5">
      <c r="A691" s="81"/>
      <c r="B691" s="81"/>
      <c r="C691" s="81"/>
      <c r="D691" s="81"/>
      <c r="E691" s="81"/>
      <c r="F691" s="81"/>
      <c r="G691" s="81"/>
      <c r="H691" s="81"/>
      <c r="I691" s="289"/>
      <c r="J691" s="105"/>
      <c r="K691" s="81"/>
      <c r="L691" s="289"/>
      <c r="M691" s="81"/>
      <c r="N691" s="81"/>
      <c r="O691" s="289"/>
      <c r="P691" s="81"/>
      <c r="Q691" s="289"/>
      <c r="R691" s="81"/>
      <c r="S691" s="289"/>
      <c r="T691" s="81"/>
      <c r="U691" s="81"/>
      <c r="V691" s="81"/>
      <c r="W691" s="81"/>
      <c r="X691" s="81"/>
      <c r="Y691" s="81"/>
      <c r="Z691" s="81"/>
    </row>
    <row r="692" spans="1:26" ht="24" customHeight="1" x14ac:dyDescent="0.5">
      <c r="A692" s="81"/>
      <c r="B692" s="81"/>
      <c r="C692" s="81"/>
      <c r="D692" s="81"/>
      <c r="E692" s="81"/>
      <c r="F692" s="81"/>
      <c r="G692" s="81"/>
      <c r="H692" s="81"/>
      <c r="I692" s="289"/>
      <c r="J692" s="105"/>
      <c r="K692" s="81"/>
      <c r="L692" s="289"/>
      <c r="M692" s="81"/>
      <c r="N692" s="81"/>
      <c r="O692" s="289"/>
      <c r="P692" s="81"/>
      <c r="Q692" s="289"/>
      <c r="R692" s="81"/>
      <c r="S692" s="289"/>
      <c r="T692" s="81"/>
      <c r="U692" s="81"/>
      <c r="V692" s="81"/>
      <c r="W692" s="81"/>
      <c r="X692" s="81"/>
      <c r="Y692" s="81"/>
      <c r="Z692" s="81"/>
    </row>
    <row r="693" spans="1:26" ht="24" customHeight="1" x14ac:dyDescent="0.5">
      <c r="A693" s="81"/>
      <c r="B693" s="81"/>
      <c r="C693" s="81"/>
      <c r="D693" s="81"/>
      <c r="E693" s="81"/>
      <c r="F693" s="81"/>
      <c r="G693" s="81"/>
      <c r="H693" s="81"/>
      <c r="I693" s="289"/>
      <c r="J693" s="105"/>
      <c r="K693" s="81"/>
      <c r="L693" s="289"/>
      <c r="M693" s="81"/>
      <c r="N693" s="81"/>
      <c r="O693" s="289"/>
      <c r="P693" s="81"/>
      <c r="Q693" s="289"/>
      <c r="R693" s="81"/>
      <c r="S693" s="289"/>
      <c r="T693" s="81"/>
      <c r="U693" s="81"/>
      <c r="V693" s="81"/>
      <c r="W693" s="81"/>
      <c r="X693" s="81"/>
      <c r="Y693" s="81"/>
      <c r="Z693" s="81"/>
    </row>
    <row r="694" spans="1:26" ht="24" customHeight="1" x14ac:dyDescent="0.5">
      <c r="A694" s="81"/>
      <c r="B694" s="81"/>
      <c r="C694" s="81"/>
      <c r="D694" s="81"/>
      <c r="E694" s="81"/>
      <c r="F694" s="81"/>
      <c r="G694" s="81"/>
      <c r="H694" s="81"/>
      <c r="I694" s="289"/>
      <c r="J694" s="105"/>
      <c r="K694" s="81"/>
      <c r="L694" s="289"/>
      <c r="M694" s="81"/>
      <c r="N694" s="81"/>
      <c r="O694" s="289"/>
      <c r="P694" s="81"/>
      <c r="Q694" s="289"/>
      <c r="R694" s="81"/>
      <c r="S694" s="289"/>
      <c r="T694" s="81"/>
      <c r="U694" s="81"/>
      <c r="V694" s="81"/>
      <c r="W694" s="81"/>
      <c r="X694" s="81"/>
      <c r="Y694" s="81"/>
      <c r="Z694" s="81"/>
    </row>
    <row r="695" spans="1:26" ht="24" customHeight="1" x14ac:dyDescent="0.5">
      <c r="A695" s="81"/>
      <c r="B695" s="81"/>
      <c r="C695" s="81"/>
      <c r="D695" s="81"/>
      <c r="E695" s="81"/>
      <c r="F695" s="81"/>
      <c r="G695" s="81"/>
      <c r="H695" s="81"/>
      <c r="I695" s="289"/>
      <c r="J695" s="105"/>
      <c r="K695" s="81"/>
      <c r="L695" s="289"/>
      <c r="M695" s="81"/>
      <c r="N695" s="81"/>
      <c r="O695" s="289"/>
      <c r="P695" s="81"/>
      <c r="Q695" s="289"/>
      <c r="R695" s="81"/>
      <c r="S695" s="289"/>
      <c r="T695" s="81"/>
      <c r="U695" s="81"/>
      <c r="V695" s="81"/>
      <c r="W695" s="81"/>
      <c r="X695" s="81"/>
      <c r="Y695" s="81"/>
      <c r="Z695" s="81"/>
    </row>
    <row r="696" spans="1:26" ht="24" customHeight="1" x14ac:dyDescent="0.5">
      <c r="A696" s="81"/>
      <c r="B696" s="81"/>
      <c r="C696" s="81"/>
      <c r="D696" s="81"/>
      <c r="E696" s="81"/>
      <c r="F696" s="81"/>
      <c r="G696" s="81"/>
      <c r="H696" s="81"/>
      <c r="I696" s="289"/>
      <c r="J696" s="105"/>
      <c r="K696" s="81"/>
      <c r="L696" s="289"/>
      <c r="M696" s="81"/>
      <c r="N696" s="81"/>
      <c r="O696" s="289"/>
      <c r="P696" s="81"/>
      <c r="Q696" s="289"/>
      <c r="R696" s="81"/>
      <c r="S696" s="289"/>
      <c r="T696" s="81"/>
      <c r="U696" s="81"/>
      <c r="V696" s="81"/>
      <c r="W696" s="81"/>
      <c r="X696" s="81"/>
      <c r="Y696" s="81"/>
      <c r="Z696" s="81"/>
    </row>
    <row r="697" spans="1:26" ht="24" customHeight="1" x14ac:dyDescent="0.5">
      <c r="A697" s="81"/>
      <c r="B697" s="81"/>
      <c r="C697" s="81"/>
      <c r="D697" s="81"/>
      <c r="E697" s="81"/>
      <c r="F697" s="81"/>
      <c r="G697" s="81"/>
      <c r="H697" s="81"/>
      <c r="I697" s="289"/>
      <c r="J697" s="105"/>
      <c r="K697" s="81"/>
      <c r="L697" s="289"/>
      <c r="M697" s="81"/>
      <c r="N697" s="81"/>
      <c r="O697" s="289"/>
      <c r="P697" s="81"/>
      <c r="Q697" s="289"/>
      <c r="R697" s="81"/>
      <c r="S697" s="289"/>
      <c r="T697" s="81"/>
      <c r="U697" s="81"/>
      <c r="V697" s="81"/>
      <c r="W697" s="81"/>
      <c r="X697" s="81"/>
      <c r="Y697" s="81"/>
      <c r="Z697" s="81"/>
    </row>
    <row r="698" spans="1:26" ht="24" customHeight="1" x14ac:dyDescent="0.5">
      <c r="A698" s="81"/>
      <c r="B698" s="81"/>
      <c r="C698" s="81"/>
      <c r="D698" s="81"/>
      <c r="E698" s="81"/>
      <c r="F698" s="81"/>
      <c r="G698" s="81"/>
      <c r="H698" s="81"/>
      <c r="I698" s="289"/>
      <c r="J698" s="105"/>
      <c r="K698" s="81"/>
      <c r="L698" s="289"/>
      <c r="M698" s="81"/>
      <c r="N698" s="81"/>
      <c r="O698" s="289"/>
      <c r="P698" s="81"/>
      <c r="Q698" s="289"/>
      <c r="R698" s="81"/>
      <c r="S698" s="289"/>
      <c r="T698" s="81"/>
      <c r="U698" s="81"/>
      <c r="V698" s="81"/>
      <c r="W698" s="81"/>
      <c r="X698" s="81"/>
      <c r="Y698" s="81"/>
      <c r="Z698" s="81"/>
    </row>
    <row r="699" spans="1:26" ht="24" customHeight="1" x14ac:dyDescent="0.5">
      <c r="A699" s="81"/>
      <c r="B699" s="81"/>
      <c r="C699" s="81"/>
      <c r="D699" s="81"/>
      <c r="E699" s="81"/>
      <c r="F699" s="81"/>
      <c r="G699" s="81"/>
      <c r="H699" s="81"/>
      <c r="I699" s="289"/>
      <c r="J699" s="105"/>
      <c r="K699" s="81"/>
      <c r="L699" s="289"/>
      <c r="M699" s="81"/>
      <c r="N699" s="81"/>
      <c r="O699" s="289"/>
      <c r="P699" s="81"/>
      <c r="Q699" s="289"/>
      <c r="R699" s="81"/>
      <c r="S699" s="289"/>
      <c r="T699" s="81"/>
      <c r="U699" s="81"/>
      <c r="V699" s="81"/>
      <c r="W699" s="81"/>
      <c r="X699" s="81"/>
      <c r="Y699" s="81"/>
      <c r="Z699" s="81"/>
    </row>
    <row r="700" spans="1:26" ht="24" customHeight="1" x14ac:dyDescent="0.5">
      <c r="A700" s="81"/>
      <c r="B700" s="81"/>
      <c r="C700" s="81"/>
      <c r="D700" s="81"/>
      <c r="E700" s="81"/>
      <c r="F700" s="81"/>
      <c r="G700" s="81"/>
      <c r="H700" s="81"/>
      <c r="I700" s="289"/>
      <c r="J700" s="105"/>
      <c r="K700" s="81"/>
      <c r="L700" s="289"/>
      <c r="M700" s="81"/>
      <c r="N700" s="81"/>
      <c r="O700" s="289"/>
      <c r="P700" s="81"/>
      <c r="Q700" s="289"/>
      <c r="R700" s="81"/>
      <c r="S700" s="289"/>
      <c r="T700" s="81"/>
      <c r="U700" s="81"/>
      <c r="V700" s="81"/>
      <c r="W700" s="81"/>
      <c r="X700" s="81"/>
      <c r="Y700" s="81"/>
      <c r="Z700" s="81"/>
    </row>
    <row r="701" spans="1:26" ht="24" customHeight="1" x14ac:dyDescent="0.5">
      <c r="A701" s="81"/>
      <c r="B701" s="81"/>
      <c r="C701" s="81"/>
      <c r="D701" s="81"/>
      <c r="E701" s="81"/>
      <c r="F701" s="81"/>
      <c r="G701" s="81"/>
      <c r="H701" s="81"/>
      <c r="I701" s="289"/>
      <c r="J701" s="105"/>
      <c r="K701" s="81"/>
      <c r="L701" s="289"/>
      <c r="M701" s="81"/>
      <c r="N701" s="81"/>
      <c r="O701" s="289"/>
      <c r="P701" s="81"/>
      <c r="Q701" s="289"/>
      <c r="R701" s="81"/>
      <c r="S701" s="289"/>
      <c r="T701" s="81"/>
      <c r="U701" s="81"/>
      <c r="V701" s="81"/>
      <c r="W701" s="81"/>
      <c r="X701" s="81"/>
      <c r="Y701" s="81"/>
      <c r="Z701" s="81"/>
    </row>
    <row r="702" spans="1:26" ht="24" customHeight="1" x14ac:dyDescent="0.5">
      <c r="A702" s="81"/>
      <c r="B702" s="81"/>
      <c r="C702" s="81"/>
      <c r="D702" s="81"/>
      <c r="E702" s="81"/>
      <c r="F702" s="81"/>
      <c r="G702" s="81"/>
      <c r="H702" s="81"/>
      <c r="I702" s="289"/>
      <c r="J702" s="105"/>
      <c r="K702" s="81"/>
      <c r="L702" s="289"/>
      <c r="M702" s="81"/>
      <c r="N702" s="81"/>
      <c r="O702" s="289"/>
      <c r="P702" s="81"/>
      <c r="Q702" s="289"/>
      <c r="R702" s="81"/>
      <c r="S702" s="289"/>
      <c r="T702" s="81"/>
      <c r="U702" s="81"/>
      <c r="V702" s="81"/>
      <c r="W702" s="81"/>
      <c r="X702" s="81"/>
      <c r="Y702" s="81"/>
      <c r="Z702" s="81"/>
    </row>
    <row r="703" spans="1:26" ht="24" customHeight="1" x14ac:dyDescent="0.5">
      <c r="A703" s="81"/>
      <c r="B703" s="81"/>
      <c r="C703" s="81"/>
      <c r="D703" s="81"/>
      <c r="E703" s="81"/>
      <c r="F703" s="81"/>
      <c r="G703" s="81"/>
      <c r="H703" s="81"/>
      <c r="I703" s="289"/>
      <c r="J703" s="105"/>
      <c r="K703" s="81"/>
      <c r="L703" s="289"/>
      <c r="M703" s="81"/>
      <c r="N703" s="81"/>
      <c r="O703" s="289"/>
      <c r="P703" s="81"/>
      <c r="Q703" s="289"/>
      <c r="R703" s="81"/>
      <c r="S703" s="289"/>
      <c r="T703" s="81"/>
      <c r="U703" s="81"/>
      <c r="V703" s="81"/>
      <c r="W703" s="81"/>
      <c r="X703" s="81"/>
      <c r="Y703" s="81"/>
      <c r="Z703" s="81"/>
    </row>
    <row r="704" spans="1:26" ht="24" customHeight="1" x14ac:dyDescent="0.5">
      <c r="A704" s="81"/>
      <c r="B704" s="81"/>
      <c r="C704" s="81"/>
      <c r="D704" s="81"/>
      <c r="E704" s="81"/>
      <c r="F704" s="81"/>
      <c r="G704" s="81"/>
      <c r="H704" s="81"/>
      <c r="I704" s="289"/>
      <c r="J704" s="105"/>
      <c r="K704" s="81"/>
      <c r="L704" s="289"/>
      <c r="M704" s="81"/>
      <c r="N704" s="81"/>
      <c r="O704" s="289"/>
      <c r="P704" s="81"/>
      <c r="Q704" s="289"/>
      <c r="R704" s="81"/>
      <c r="S704" s="289"/>
      <c r="T704" s="81"/>
      <c r="U704" s="81"/>
      <c r="V704" s="81"/>
      <c r="W704" s="81"/>
      <c r="X704" s="81"/>
      <c r="Y704" s="81"/>
      <c r="Z704" s="81"/>
    </row>
    <row r="705" spans="1:26" ht="24" customHeight="1" x14ac:dyDescent="0.5">
      <c r="A705" s="81"/>
      <c r="B705" s="81"/>
      <c r="C705" s="81"/>
      <c r="D705" s="81"/>
      <c r="E705" s="81"/>
      <c r="F705" s="81"/>
      <c r="G705" s="81"/>
      <c r="H705" s="81"/>
      <c r="I705" s="289"/>
      <c r="J705" s="105"/>
      <c r="K705" s="81"/>
      <c r="L705" s="289"/>
      <c r="M705" s="81"/>
      <c r="N705" s="81"/>
      <c r="O705" s="289"/>
      <c r="P705" s="81"/>
      <c r="Q705" s="289"/>
      <c r="R705" s="81"/>
      <c r="S705" s="289"/>
      <c r="T705" s="81"/>
      <c r="U705" s="81"/>
      <c r="V705" s="81"/>
      <c r="W705" s="81"/>
      <c r="X705" s="81"/>
      <c r="Y705" s="81"/>
      <c r="Z705" s="81"/>
    </row>
    <row r="706" spans="1:26" ht="24" customHeight="1" x14ac:dyDescent="0.5">
      <c r="A706" s="81"/>
      <c r="B706" s="81"/>
      <c r="C706" s="81"/>
      <c r="D706" s="81"/>
      <c r="E706" s="81"/>
      <c r="F706" s="81"/>
      <c r="G706" s="81"/>
      <c r="H706" s="81"/>
      <c r="I706" s="289"/>
      <c r="J706" s="105"/>
      <c r="K706" s="81"/>
      <c r="L706" s="289"/>
      <c r="M706" s="81"/>
      <c r="N706" s="81"/>
      <c r="O706" s="289"/>
      <c r="P706" s="81"/>
      <c r="Q706" s="289"/>
      <c r="R706" s="81"/>
      <c r="S706" s="289"/>
      <c r="T706" s="81"/>
      <c r="U706" s="81"/>
      <c r="V706" s="81"/>
      <c r="W706" s="81"/>
      <c r="X706" s="81"/>
      <c r="Y706" s="81"/>
      <c r="Z706" s="81"/>
    </row>
    <row r="707" spans="1:26" ht="24" customHeight="1" x14ac:dyDescent="0.5">
      <c r="A707" s="81"/>
      <c r="B707" s="81"/>
      <c r="C707" s="81"/>
      <c r="D707" s="81"/>
      <c r="E707" s="81"/>
      <c r="F707" s="81"/>
      <c r="G707" s="81"/>
      <c r="H707" s="81"/>
      <c r="I707" s="289"/>
      <c r="J707" s="105"/>
      <c r="K707" s="81"/>
      <c r="L707" s="289"/>
      <c r="M707" s="81"/>
      <c r="N707" s="81"/>
      <c r="O707" s="289"/>
      <c r="P707" s="81"/>
      <c r="Q707" s="289"/>
      <c r="R707" s="81"/>
      <c r="S707" s="289"/>
      <c r="T707" s="81"/>
      <c r="U707" s="81"/>
      <c r="V707" s="81"/>
      <c r="W707" s="81"/>
      <c r="X707" s="81"/>
      <c r="Y707" s="81"/>
      <c r="Z707" s="81"/>
    </row>
    <row r="708" spans="1:26" ht="24" customHeight="1" x14ac:dyDescent="0.5">
      <c r="A708" s="81"/>
      <c r="B708" s="81"/>
      <c r="C708" s="81"/>
      <c r="D708" s="81"/>
      <c r="E708" s="81"/>
      <c r="F708" s="81"/>
      <c r="G708" s="81"/>
      <c r="H708" s="81"/>
      <c r="I708" s="289"/>
      <c r="J708" s="105"/>
      <c r="K708" s="81"/>
      <c r="L708" s="289"/>
      <c r="M708" s="81"/>
      <c r="N708" s="81"/>
      <c r="O708" s="289"/>
      <c r="P708" s="81"/>
      <c r="Q708" s="289"/>
      <c r="R708" s="81"/>
      <c r="S708" s="289"/>
      <c r="T708" s="81"/>
      <c r="U708" s="81"/>
      <c r="V708" s="81"/>
      <c r="W708" s="81"/>
      <c r="X708" s="81"/>
      <c r="Y708" s="81"/>
      <c r="Z708" s="81"/>
    </row>
    <row r="709" spans="1:26" ht="24" customHeight="1" x14ac:dyDescent="0.5">
      <c r="A709" s="81"/>
      <c r="B709" s="81"/>
      <c r="C709" s="81"/>
      <c r="D709" s="81"/>
      <c r="E709" s="81"/>
      <c r="F709" s="81"/>
      <c r="G709" s="81"/>
      <c r="H709" s="81"/>
      <c r="I709" s="289"/>
      <c r="J709" s="105"/>
      <c r="K709" s="81"/>
      <c r="L709" s="289"/>
      <c r="M709" s="81"/>
      <c r="N709" s="81"/>
      <c r="O709" s="289"/>
      <c r="P709" s="81"/>
      <c r="Q709" s="289"/>
      <c r="R709" s="81"/>
      <c r="S709" s="289"/>
      <c r="T709" s="81"/>
      <c r="U709" s="81"/>
      <c r="V709" s="81"/>
      <c r="W709" s="81"/>
      <c r="X709" s="81"/>
      <c r="Y709" s="81"/>
      <c r="Z709" s="81"/>
    </row>
    <row r="710" spans="1:26" ht="24" customHeight="1" x14ac:dyDescent="0.5">
      <c r="A710" s="81"/>
      <c r="B710" s="81"/>
      <c r="C710" s="81"/>
      <c r="D710" s="81"/>
      <c r="E710" s="81"/>
      <c r="F710" s="81"/>
      <c r="G710" s="81"/>
      <c r="H710" s="81"/>
      <c r="I710" s="289"/>
      <c r="J710" s="105"/>
      <c r="K710" s="81"/>
      <c r="L710" s="289"/>
      <c r="M710" s="81"/>
      <c r="N710" s="81"/>
      <c r="O710" s="289"/>
      <c r="P710" s="81"/>
      <c r="Q710" s="289"/>
      <c r="R710" s="81"/>
      <c r="S710" s="289"/>
      <c r="T710" s="81"/>
      <c r="U710" s="81"/>
      <c r="V710" s="81"/>
      <c r="W710" s="81"/>
      <c r="X710" s="81"/>
      <c r="Y710" s="81"/>
      <c r="Z710" s="81"/>
    </row>
    <row r="711" spans="1:26" ht="24" customHeight="1" x14ac:dyDescent="0.5">
      <c r="A711" s="81"/>
      <c r="B711" s="81"/>
      <c r="C711" s="81"/>
      <c r="D711" s="81"/>
      <c r="E711" s="81"/>
      <c r="F711" s="81"/>
      <c r="G711" s="81"/>
      <c r="H711" s="81"/>
      <c r="I711" s="289"/>
      <c r="J711" s="105"/>
      <c r="K711" s="81"/>
      <c r="L711" s="289"/>
      <c r="M711" s="81"/>
      <c r="N711" s="81"/>
      <c r="O711" s="289"/>
      <c r="P711" s="81"/>
      <c r="Q711" s="289"/>
      <c r="R711" s="81"/>
      <c r="S711" s="289"/>
      <c r="T711" s="81"/>
      <c r="U711" s="81"/>
      <c r="V711" s="81"/>
      <c r="W711" s="81"/>
      <c r="X711" s="81"/>
      <c r="Y711" s="81"/>
      <c r="Z711" s="81"/>
    </row>
    <row r="712" spans="1:26" ht="24" customHeight="1" x14ac:dyDescent="0.5">
      <c r="A712" s="81"/>
      <c r="B712" s="81"/>
      <c r="C712" s="81"/>
      <c r="D712" s="81"/>
      <c r="E712" s="81"/>
      <c r="F712" s="81"/>
      <c r="G712" s="81"/>
      <c r="H712" s="81"/>
      <c r="I712" s="289"/>
      <c r="J712" s="105"/>
      <c r="K712" s="81"/>
      <c r="L712" s="289"/>
      <c r="M712" s="81"/>
      <c r="N712" s="81"/>
      <c r="O712" s="289"/>
      <c r="P712" s="81"/>
      <c r="Q712" s="289"/>
      <c r="R712" s="81"/>
      <c r="S712" s="289"/>
      <c r="T712" s="81"/>
      <c r="U712" s="81"/>
      <c r="V712" s="81"/>
      <c r="W712" s="81"/>
      <c r="X712" s="81"/>
      <c r="Y712" s="81"/>
      <c r="Z712" s="81"/>
    </row>
    <row r="713" spans="1:26" ht="24" customHeight="1" x14ac:dyDescent="0.5">
      <c r="A713" s="81"/>
      <c r="B713" s="81"/>
      <c r="C713" s="81"/>
      <c r="D713" s="81"/>
      <c r="E713" s="81"/>
      <c r="F713" s="81"/>
      <c r="G713" s="81"/>
      <c r="H713" s="81"/>
      <c r="I713" s="289"/>
      <c r="J713" s="105"/>
      <c r="K713" s="81"/>
      <c r="L713" s="289"/>
      <c r="M713" s="81"/>
      <c r="N713" s="81"/>
      <c r="O713" s="289"/>
      <c r="P713" s="81"/>
      <c r="Q713" s="289"/>
      <c r="R713" s="81"/>
      <c r="S713" s="289"/>
      <c r="T713" s="81"/>
      <c r="U713" s="81"/>
      <c r="V713" s="81"/>
      <c r="W713" s="81"/>
      <c r="X713" s="81"/>
      <c r="Y713" s="81"/>
      <c r="Z713" s="81"/>
    </row>
    <row r="714" spans="1:26" ht="24" customHeight="1" x14ac:dyDescent="0.5">
      <c r="A714" s="81"/>
      <c r="B714" s="81"/>
      <c r="C714" s="81"/>
      <c r="D714" s="81"/>
      <c r="E714" s="81"/>
      <c r="F714" s="81"/>
      <c r="G714" s="81"/>
      <c r="H714" s="81"/>
      <c r="I714" s="289"/>
      <c r="J714" s="105"/>
      <c r="K714" s="81"/>
      <c r="L714" s="289"/>
      <c r="M714" s="81"/>
      <c r="N714" s="81"/>
      <c r="O714" s="289"/>
      <c r="P714" s="81"/>
      <c r="Q714" s="289"/>
      <c r="R714" s="81"/>
      <c r="S714" s="289"/>
      <c r="T714" s="81"/>
      <c r="U714" s="81"/>
      <c r="V714" s="81"/>
      <c r="W714" s="81"/>
      <c r="X714" s="81"/>
      <c r="Y714" s="81"/>
      <c r="Z714" s="81"/>
    </row>
    <row r="715" spans="1:26" ht="24" customHeight="1" x14ac:dyDescent="0.5">
      <c r="A715" s="81"/>
      <c r="B715" s="81"/>
      <c r="C715" s="81"/>
      <c r="D715" s="81"/>
      <c r="E715" s="81"/>
      <c r="F715" s="81"/>
      <c r="G715" s="81"/>
      <c r="H715" s="81"/>
      <c r="I715" s="289"/>
      <c r="J715" s="105"/>
      <c r="K715" s="81"/>
      <c r="L715" s="289"/>
      <c r="M715" s="81"/>
      <c r="N715" s="81"/>
      <c r="O715" s="289"/>
      <c r="P715" s="81"/>
      <c r="Q715" s="289"/>
      <c r="R715" s="81"/>
      <c r="S715" s="289"/>
      <c r="T715" s="81"/>
      <c r="U715" s="81"/>
      <c r="V715" s="81"/>
      <c r="W715" s="81"/>
      <c r="X715" s="81"/>
      <c r="Y715" s="81"/>
      <c r="Z715" s="81"/>
    </row>
    <row r="716" spans="1:26" ht="24" customHeight="1" x14ac:dyDescent="0.5">
      <c r="A716" s="81"/>
      <c r="B716" s="81"/>
      <c r="C716" s="81"/>
      <c r="D716" s="81"/>
      <c r="E716" s="81"/>
      <c r="F716" s="81"/>
      <c r="G716" s="81"/>
      <c r="H716" s="81"/>
      <c r="I716" s="289"/>
      <c r="J716" s="105"/>
      <c r="K716" s="81"/>
      <c r="L716" s="289"/>
      <c r="M716" s="81"/>
      <c r="N716" s="81"/>
      <c r="O716" s="289"/>
      <c r="P716" s="81"/>
      <c r="Q716" s="289"/>
      <c r="R716" s="81"/>
      <c r="S716" s="289"/>
      <c r="T716" s="81"/>
      <c r="U716" s="81"/>
      <c r="V716" s="81"/>
      <c r="W716" s="81"/>
      <c r="X716" s="81"/>
      <c r="Y716" s="81"/>
      <c r="Z716" s="81"/>
    </row>
    <row r="717" spans="1:26" ht="24" customHeight="1" x14ac:dyDescent="0.5">
      <c r="A717" s="81"/>
      <c r="B717" s="81"/>
      <c r="C717" s="81"/>
      <c r="D717" s="81"/>
      <c r="E717" s="81"/>
      <c r="F717" s="81"/>
      <c r="G717" s="81"/>
      <c r="H717" s="81"/>
      <c r="I717" s="289"/>
      <c r="J717" s="105"/>
      <c r="K717" s="81"/>
      <c r="L717" s="289"/>
      <c r="M717" s="81"/>
      <c r="N717" s="81"/>
      <c r="O717" s="289"/>
      <c r="P717" s="81"/>
      <c r="Q717" s="289"/>
      <c r="R717" s="81"/>
      <c r="S717" s="289"/>
      <c r="T717" s="81"/>
      <c r="U717" s="81"/>
      <c r="V717" s="81"/>
      <c r="W717" s="81"/>
      <c r="X717" s="81"/>
      <c r="Y717" s="81"/>
      <c r="Z717" s="81"/>
    </row>
    <row r="718" spans="1:26" ht="24" customHeight="1" x14ac:dyDescent="0.5">
      <c r="A718" s="81"/>
      <c r="B718" s="81"/>
      <c r="C718" s="81"/>
      <c r="D718" s="81"/>
      <c r="E718" s="81"/>
      <c r="F718" s="81"/>
      <c r="G718" s="81"/>
      <c r="H718" s="81"/>
      <c r="I718" s="289"/>
      <c r="J718" s="105"/>
      <c r="K718" s="81"/>
      <c r="L718" s="289"/>
      <c r="M718" s="81"/>
      <c r="N718" s="81"/>
      <c r="O718" s="289"/>
      <c r="P718" s="81"/>
      <c r="Q718" s="289"/>
      <c r="R718" s="81"/>
      <c r="S718" s="289"/>
      <c r="T718" s="81"/>
      <c r="U718" s="81"/>
      <c r="V718" s="81"/>
      <c r="W718" s="81"/>
      <c r="X718" s="81"/>
      <c r="Y718" s="81"/>
      <c r="Z718" s="81"/>
    </row>
    <row r="719" spans="1:26" ht="24" customHeight="1" x14ac:dyDescent="0.5">
      <c r="A719" s="81"/>
      <c r="B719" s="81"/>
      <c r="C719" s="81"/>
      <c r="D719" s="81"/>
      <c r="E719" s="81"/>
      <c r="F719" s="81"/>
      <c r="G719" s="81"/>
      <c r="H719" s="81"/>
      <c r="I719" s="289"/>
      <c r="J719" s="105"/>
      <c r="K719" s="81"/>
      <c r="L719" s="289"/>
      <c r="M719" s="81"/>
      <c r="N719" s="81"/>
      <c r="O719" s="289"/>
      <c r="P719" s="81"/>
      <c r="Q719" s="289"/>
      <c r="R719" s="81"/>
      <c r="S719" s="289"/>
      <c r="T719" s="81"/>
      <c r="U719" s="81"/>
      <c r="V719" s="81"/>
      <c r="W719" s="81"/>
      <c r="X719" s="81"/>
      <c r="Y719" s="81"/>
      <c r="Z719" s="81"/>
    </row>
    <row r="720" spans="1:26" ht="24" customHeight="1" x14ac:dyDescent="0.5">
      <c r="A720" s="81"/>
      <c r="B720" s="81"/>
      <c r="C720" s="81"/>
      <c r="D720" s="81"/>
      <c r="E720" s="81"/>
      <c r="F720" s="81"/>
      <c r="G720" s="81"/>
      <c r="H720" s="81"/>
      <c r="I720" s="289"/>
      <c r="J720" s="105"/>
      <c r="K720" s="81"/>
      <c r="L720" s="289"/>
      <c r="M720" s="81"/>
      <c r="N720" s="81"/>
      <c r="O720" s="289"/>
      <c r="P720" s="81"/>
      <c r="Q720" s="289"/>
      <c r="R720" s="81"/>
      <c r="S720" s="289"/>
      <c r="T720" s="81"/>
      <c r="U720" s="81"/>
      <c r="V720" s="81"/>
      <c r="W720" s="81"/>
      <c r="X720" s="81"/>
      <c r="Y720" s="81"/>
      <c r="Z720" s="81"/>
    </row>
    <row r="721" spans="1:26" ht="24" customHeight="1" x14ac:dyDescent="0.5">
      <c r="A721" s="81"/>
      <c r="B721" s="81"/>
      <c r="C721" s="81"/>
      <c r="D721" s="81"/>
      <c r="E721" s="81"/>
      <c r="F721" s="81"/>
      <c r="G721" s="81"/>
      <c r="H721" s="81"/>
      <c r="I721" s="289"/>
      <c r="J721" s="105"/>
      <c r="K721" s="81"/>
      <c r="L721" s="289"/>
      <c r="M721" s="81"/>
      <c r="N721" s="81"/>
      <c r="O721" s="289"/>
      <c r="P721" s="81"/>
      <c r="Q721" s="289"/>
      <c r="R721" s="81"/>
      <c r="S721" s="289"/>
      <c r="T721" s="81"/>
      <c r="U721" s="81"/>
      <c r="V721" s="81"/>
      <c r="W721" s="81"/>
      <c r="X721" s="81"/>
      <c r="Y721" s="81"/>
      <c r="Z721" s="81"/>
    </row>
    <row r="722" spans="1:26" ht="24" customHeight="1" x14ac:dyDescent="0.5">
      <c r="A722" s="81"/>
      <c r="B722" s="81"/>
      <c r="C722" s="81"/>
      <c r="D722" s="81"/>
      <c r="E722" s="81"/>
      <c r="F722" s="81"/>
      <c r="G722" s="81"/>
      <c r="H722" s="81"/>
      <c r="I722" s="289"/>
      <c r="J722" s="105"/>
      <c r="K722" s="81"/>
      <c r="L722" s="289"/>
      <c r="M722" s="81"/>
      <c r="N722" s="81"/>
      <c r="O722" s="289"/>
      <c r="P722" s="81"/>
      <c r="Q722" s="289"/>
      <c r="R722" s="81"/>
      <c r="S722" s="289"/>
      <c r="T722" s="81"/>
      <c r="U722" s="81"/>
      <c r="V722" s="81"/>
      <c r="W722" s="81"/>
      <c r="X722" s="81"/>
      <c r="Y722" s="81"/>
      <c r="Z722" s="81"/>
    </row>
    <row r="723" spans="1:26" ht="24" customHeight="1" x14ac:dyDescent="0.5">
      <c r="A723" s="81"/>
      <c r="B723" s="81"/>
      <c r="C723" s="81"/>
      <c r="D723" s="81"/>
      <c r="E723" s="81"/>
      <c r="F723" s="81"/>
      <c r="G723" s="81"/>
      <c r="H723" s="81"/>
      <c r="I723" s="289"/>
      <c r="J723" s="105"/>
      <c r="K723" s="81"/>
      <c r="L723" s="289"/>
      <c r="M723" s="81"/>
      <c r="N723" s="81"/>
      <c r="O723" s="289"/>
      <c r="P723" s="81"/>
      <c r="Q723" s="289"/>
      <c r="R723" s="81"/>
      <c r="S723" s="289"/>
      <c r="T723" s="81"/>
      <c r="U723" s="81"/>
      <c r="V723" s="81"/>
      <c r="W723" s="81"/>
      <c r="X723" s="81"/>
      <c r="Y723" s="81"/>
      <c r="Z723" s="81"/>
    </row>
    <row r="724" spans="1:26" ht="24" customHeight="1" x14ac:dyDescent="0.5">
      <c r="A724" s="81"/>
      <c r="B724" s="81"/>
      <c r="C724" s="81"/>
      <c r="D724" s="81"/>
      <c r="E724" s="81"/>
      <c r="F724" s="81"/>
      <c r="G724" s="81"/>
      <c r="H724" s="81"/>
      <c r="I724" s="289"/>
      <c r="J724" s="105"/>
      <c r="K724" s="81"/>
      <c r="L724" s="289"/>
      <c r="M724" s="81"/>
      <c r="N724" s="81"/>
      <c r="O724" s="289"/>
      <c r="P724" s="81"/>
      <c r="Q724" s="289"/>
      <c r="R724" s="81"/>
      <c r="S724" s="289"/>
      <c r="T724" s="81"/>
      <c r="U724" s="81"/>
      <c r="V724" s="81"/>
      <c r="W724" s="81"/>
      <c r="X724" s="81"/>
      <c r="Y724" s="81"/>
      <c r="Z724" s="81"/>
    </row>
    <row r="725" spans="1:26" ht="24" customHeight="1" x14ac:dyDescent="0.5">
      <c r="A725" s="81"/>
      <c r="B725" s="81"/>
      <c r="C725" s="81"/>
      <c r="D725" s="81"/>
      <c r="E725" s="81"/>
      <c r="F725" s="81"/>
      <c r="G725" s="81"/>
      <c r="H725" s="81"/>
      <c r="I725" s="289"/>
      <c r="J725" s="105"/>
      <c r="K725" s="81"/>
      <c r="L725" s="289"/>
      <c r="M725" s="81"/>
      <c r="N725" s="81"/>
      <c r="O725" s="289"/>
      <c r="P725" s="81"/>
      <c r="Q725" s="289"/>
      <c r="R725" s="81"/>
      <c r="S725" s="289"/>
      <c r="T725" s="81"/>
      <c r="U725" s="81"/>
      <c r="V725" s="81"/>
      <c r="W725" s="81"/>
      <c r="X725" s="81"/>
      <c r="Y725" s="81"/>
      <c r="Z725" s="81"/>
    </row>
    <row r="726" spans="1:26" ht="24" customHeight="1" x14ac:dyDescent="0.5">
      <c r="A726" s="81"/>
      <c r="B726" s="81"/>
      <c r="C726" s="81"/>
      <c r="D726" s="81"/>
      <c r="E726" s="81"/>
      <c r="F726" s="81"/>
      <c r="G726" s="81"/>
      <c r="H726" s="81"/>
      <c r="I726" s="289"/>
      <c r="J726" s="105"/>
      <c r="K726" s="81"/>
      <c r="L726" s="289"/>
      <c r="M726" s="81"/>
      <c r="N726" s="81"/>
      <c r="O726" s="289"/>
      <c r="P726" s="81"/>
      <c r="Q726" s="289"/>
      <c r="R726" s="81"/>
      <c r="S726" s="289"/>
      <c r="T726" s="81"/>
      <c r="U726" s="81"/>
      <c r="V726" s="81"/>
      <c r="W726" s="81"/>
      <c r="X726" s="81"/>
      <c r="Y726" s="81"/>
      <c r="Z726" s="81"/>
    </row>
    <row r="727" spans="1:26" ht="24" customHeight="1" x14ac:dyDescent="0.5">
      <c r="A727" s="81"/>
      <c r="B727" s="81"/>
      <c r="C727" s="81"/>
      <c r="D727" s="81"/>
      <c r="E727" s="81"/>
      <c r="F727" s="81"/>
      <c r="G727" s="81"/>
      <c r="H727" s="81"/>
      <c r="I727" s="289"/>
      <c r="J727" s="105"/>
      <c r="K727" s="81"/>
      <c r="L727" s="289"/>
      <c r="M727" s="81"/>
      <c r="N727" s="81"/>
      <c r="O727" s="289"/>
      <c r="P727" s="81"/>
      <c r="Q727" s="289"/>
      <c r="R727" s="81"/>
      <c r="S727" s="289"/>
      <c r="T727" s="81"/>
      <c r="U727" s="81"/>
      <c r="V727" s="81"/>
      <c r="W727" s="81"/>
      <c r="X727" s="81"/>
      <c r="Y727" s="81"/>
      <c r="Z727" s="81"/>
    </row>
    <row r="728" spans="1:26" ht="24" customHeight="1" x14ac:dyDescent="0.5">
      <c r="A728" s="81"/>
      <c r="B728" s="81"/>
      <c r="C728" s="81"/>
      <c r="D728" s="81"/>
      <c r="E728" s="81"/>
      <c r="F728" s="81"/>
      <c r="G728" s="81"/>
      <c r="H728" s="81"/>
      <c r="I728" s="289"/>
      <c r="J728" s="105"/>
      <c r="K728" s="81"/>
      <c r="L728" s="289"/>
      <c r="M728" s="81"/>
      <c r="N728" s="81"/>
      <c r="O728" s="289"/>
      <c r="P728" s="81"/>
      <c r="Q728" s="289"/>
      <c r="R728" s="81"/>
      <c r="S728" s="289"/>
      <c r="T728" s="81"/>
      <c r="U728" s="81"/>
      <c r="V728" s="81"/>
      <c r="W728" s="81"/>
      <c r="X728" s="81"/>
      <c r="Y728" s="81"/>
      <c r="Z728" s="81"/>
    </row>
    <row r="729" spans="1:26" ht="24" customHeight="1" x14ac:dyDescent="0.5">
      <c r="A729" s="81"/>
      <c r="B729" s="81"/>
      <c r="C729" s="81"/>
      <c r="D729" s="81"/>
      <c r="E729" s="81"/>
      <c r="F729" s="81"/>
      <c r="G729" s="81"/>
      <c r="H729" s="81"/>
      <c r="I729" s="289"/>
      <c r="J729" s="105"/>
      <c r="K729" s="81"/>
      <c r="L729" s="289"/>
      <c r="M729" s="81"/>
      <c r="N729" s="81"/>
      <c r="O729" s="289"/>
      <c r="P729" s="81"/>
      <c r="Q729" s="289"/>
      <c r="R729" s="81"/>
      <c r="S729" s="289"/>
      <c r="T729" s="81"/>
      <c r="U729" s="81"/>
      <c r="V729" s="81"/>
      <c r="W729" s="81"/>
      <c r="X729" s="81"/>
      <c r="Y729" s="81"/>
      <c r="Z729" s="81"/>
    </row>
    <row r="730" spans="1:26" ht="24" customHeight="1" x14ac:dyDescent="0.5">
      <c r="A730" s="81"/>
      <c r="B730" s="81"/>
      <c r="C730" s="81"/>
      <c r="D730" s="81"/>
      <c r="E730" s="81"/>
      <c r="F730" s="81"/>
      <c r="G730" s="81"/>
      <c r="H730" s="81"/>
      <c r="I730" s="289"/>
      <c r="J730" s="105"/>
      <c r="K730" s="81"/>
      <c r="L730" s="289"/>
      <c r="M730" s="81"/>
      <c r="N730" s="81"/>
      <c r="O730" s="289"/>
      <c r="P730" s="81"/>
      <c r="Q730" s="289"/>
      <c r="R730" s="81"/>
      <c r="S730" s="289"/>
      <c r="T730" s="81"/>
      <c r="U730" s="81"/>
      <c r="V730" s="81"/>
      <c r="W730" s="81"/>
      <c r="X730" s="81"/>
      <c r="Y730" s="81"/>
      <c r="Z730" s="81"/>
    </row>
    <row r="731" spans="1:26" ht="24" customHeight="1" x14ac:dyDescent="0.5">
      <c r="A731" s="81"/>
      <c r="B731" s="81"/>
      <c r="C731" s="81"/>
      <c r="D731" s="81"/>
      <c r="E731" s="81"/>
      <c r="F731" s="81"/>
      <c r="G731" s="81"/>
      <c r="H731" s="81"/>
      <c r="I731" s="289"/>
      <c r="J731" s="105"/>
      <c r="K731" s="81"/>
      <c r="L731" s="289"/>
      <c r="M731" s="81"/>
      <c r="N731" s="81"/>
      <c r="O731" s="289"/>
      <c r="P731" s="81"/>
      <c r="Q731" s="289"/>
      <c r="R731" s="81"/>
      <c r="S731" s="289"/>
      <c r="T731" s="81"/>
      <c r="U731" s="81"/>
      <c r="V731" s="81"/>
      <c r="W731" s="81"/>
      <c r="X731" s="81"/>
      <c r="Y731" s="81"/>
      <c r="Z731" s="81"/>
    </row>
    <row r="732" spans="1:26" ht="24" customHeight="1" x14ac:dyDescent="0.5">
      <c r="A732" s="81"/>
      <c r="B732" s="81"/>
      <c r="C732" s="81"/>
      <c r="D732" s="81"/>
      <c r="E732" s="81"/>
      <c r="F732" s="81"/>
      <c r="G732" s="81"/>
      <c r="H732" s="81"/>
      <c r="I732" s="289"/>
      <c r="J732" s="105"/>
      <c r="K732" s="81"/>
      <c r="L732" s="289"/>
      <c r="M732" s="81"/>
      <c r="N732" s="81"/>
      <c r="O732" s="289"/>
      <c r="P732" s="81"/>
      <c r="Q732" s="289"/>
      <c r="R732" s="81"/>
      <c r="S732" s="289"/>
      <c r="T732" s="81"/>
      <c r="U732" s="81"/>
      <c r="V732" s="81"/>
      <c r="W732" s="81"/>
      <c r="X732" s="81"/>
      <c r="Y732" s="81"/>
      <c r="Z732" s="81"/>
    </row>
    <row r="733" spans="1:26" ht="24" customHeight="1" x14ac:dyDescent="0.5">
      <c r="A733" s="81"/>
      <c r="B733" s="81"/>
      <c r="C733" s="81"/>
      <c r="D733" s="81"/>
      <c r="E733" s="81"/>
      <c r="F733" s="81"/>
      <c r="G733" s="81"/>
      <c r="H733" s="81"/>
      <c r="I733" s="289"/>
      <c r="J733" s="105"/>
      <c r="K733" s="81"/>
      <c r="L733" s="289"/>
      <c r="M733" s="81"/>
      <c r="N733" s="81"/>
      <c r="O733" s="289"/>
      <c r="P733" s="81"/>
      <c r="Q733" s="289"/>
      <c r="R733" s="81"/>
      <c r="S733" s="289"/>
      <c r="T733" s="81"/>
      <c r="U733" s="81"/>
      <c r="V733" s="81"/>
      <c r="W733" s="81"/>
      <c r="X733" s="81"/>
      <c r="Y733" s="81"/>
      <c r="Z733" s="81"/>
    </row>
    <row r="734" spans="1:26" ht="24" customHeight="1" x14ac:dyDescent="0.5">
      <c r="A734" s="81"/>
      <c r="B734" s="81"/>
      <c r="C734" s="81"/>
      <c r="D734" s="81"/>
      <c r="E734" s="81"/>
      <c r="F734" s="81"/>
      <c r="G734" s="81"/>
      <c r="H734" s="81"/>
      <c r="I734" s="289"/>
      <c r="J734" s="105"/>
      <c r="K734" s="81"/>
      <c r="L734" s="289"/>
      <c r="M734" s="81"/>
      <c r="N734" s="81"/>
      <c r="O734" s="289"/>
      <c r="P734" s="81"/>
      <c r="Q734" s="289"/>
      <c r="R734" s="81"/>
      <c r="S734" s="289"/>
      <c r="T734" s="81"/>
      <c r="U734" s="81"/>
      <c r="V734" s="81"/>
      <c r="W734" s="81"/>
      <c r="X734" s="81"/>
      <c r="Y734" s="81"/>
      <c r="Z734" s="81"/>
    </row>
    <row r="735" spans="1:26" ht="24" customHeight="1" x14ac:dyDescent="0.5">
      <c r="A735" s="81"/>
      <c r="B735" s="81"/>
      <c r="C735" s="81"/>
      <c r="D735" s="81"/>
      <c r="E735" s="81"/>
      <c r="F735" s="81"/>
      <c r="G735" s="81"/>
      <c r="H735" s="81"/>
      <c r="I735" s="289"/>
      <c r="J735" s="105"/>
      <c r="K735" s="81"/>
      <c r="L735" s="289"/>
      <c r="M735" s="81"/>
      <c r="N735" s="81"/>
      <c r="O735" s="289"/>
      <c r="P735" s="81"/>
      <c r="Q735" s="289"/>
      <c r="R735" s="81"/>
      <c r="S735" s="289"/>
      <c r="T735" s="81"/>
      <c r="U735" s="81"/>
      <c r="V735" s="81"/>
      <c r="W735" s="81"/>
      <c r="X735" s="81"/>
      <c r="Y735" s="81"/>
      <c r="Z735" s="81"/>
    </row>
    <row r="736" spans="1:26" ht="24" customHeight="1" x14ac:dyDescent="0.5">
      <c r="A736" s="81"/>
      <c r="B736" s="81"/>
      <c r="C736" s="81"/>
      <c r="D736" s="81"/>
      <c r="E736" s="81"/>
      <c r="F736" s="81"/>
      <c r="G736" s="81"/>
      <c r="H736" s="81"/>
      <c r="I736" s="289"/>
      <c r="J736" s="105"/>
      <c r="K736" s="81"/>
      <c r="L736" s="289"/>
      <c r="M736" s="81"/>
      <c r="N736" s="81"/>
      <c r="O736" s="289"/>
      <c r="P736" s="81"/>
      <c r="Q736" s="289"/>
      <c r="R736" s="81"/>
      <c r="S736" s="289"/>
      <c r="T736" s="81"/>
      <c r="U736" s="81"/>
      <c r="V736" s="81"/>
      <c r="W736" s="81"/>
      <c r="X736" s="81"/>
      <c r="Y736" s="81"/>
      <c r="Z736" s="81"/>
    </row>
    <row r="737" spans="1:26" ht="24" customHeight="1" x14ac:dyDescent="0.5">
      <c r="A737" s="81"/>
      <c r="B737" s="81"/>
      <c r="C737" s="81"/>
      <c r="D737" s="81"/>
      <c r="E737" s="81"/>
      <c r="F737" s="81"/>
      <c r="G737" s="81"/>
      <c r="H737" s="81"/>
      <c r="I737" s="289"/>
      <c r="J737" s="105"/>
      <c r="K737" s="81"/>
      <c r="L737" s="289"/>
      <c r="M737" s="81"/>
      <c r="N737" s="81"/>
      <c r="O737" s="289"/>
      <c r="P737" s="81"/>
      <c r="Q737" s="289"/>
      <c r="R737" s="81"/>
      <c r="S737" s="289"/>
      <c r="T737" s="81"/>
      <c r="U737" s="81"/>
      <c r="V737" s="81"/>
      <c r="W737" s="81"/>
      <c r="X737" s="81"/>
      <c r="Y737" s="81"/>
      <c r="Z737" s="81"/>
    </row>
    <row r="738" spans="1:26" ht="24" customHeight="1" x14ac:dyDescent="0.5">
      <c r="A738" s="81"/>
      <c r="B738" s="81"/>
      <c r="C738" s="81"/>
      <c r="D738" s="81"/>
      <c r="E738" s="81"/>
      <c r="F738" s="81"/>
      <c r="G738" s="81"/>
      <c r="H738" s="81"/>
      <c r="I738" s="289"/>
      <c r="J738" s="105"/>
      <c r="K738" s="81"/>
      <c r="L738" s="289"/>
      <c r="M738" s="81"/>
      <c r="N738" s="81"/>
      <c r="O738" s="289"/>
      <c r="P738" s="81"/>
      <c r="Q738" s="289"/>
      <c r="R738" s="81"/>
      <c r="S738" s="289"/>
      <c r="T738" s="81"/>
      <c r="U738" s="81"/>
      <c r="V738" s="81"/>
      <c r="W738" s="81"/>
      <c r="X738" s="81"/>
      <c r="Y738" s="81"/>
      <c r="Z738" s="81"/>
    </row>
    <row r="739" spans="1:26" ht="24" customHeight="1" x14ac:dyDescent="0.5">
      <c r="A739" s="81"/>
      <c r="B739" s="81"/>
      <c r="C739" s="81"/>
      <c r="D739" s="81"/>
      <c r="E739" s="81"/>
      <c r="F739" s="81"/>
      <c r="G739" s="81"/>
      <c r="H739" s="81"/>
      <c r="I739" s="289"/>
      <c r="J739" s="105"/>
      <c r="K739" s="81"/>
      <c r="L739" s="289"/>
      <c r="M739" s="81"/>
      <c r="N739" s="81"/>
      <c r="O739" s="289"/>
      <c r="P739" s="81"/>
      <c r="Q739" s="289"/>
      <c r="R739" s="81"/>
      <c r="S739" s="289"/>
      <c r="T739" s="81"/>
      <c r="U739" s="81"/>
      <c r="V739" s="81"/>
      <c r="W739" s="81"/>
      <c r="X739" s="81"/>
      <c r="Y739" s="81"/>
      <c r="Z739" s="81"/>
    </row>
    <row r="740" spans="1:26" ht="24" customHeight="1" x14ac:dyDescent="0.5">
      <c r="A740" s="81"/>
      <c r="B740" s="81"/>
      <c r="C740" s="81"/>
      <c r="D740" s="81"/>
      <c r="E740" s="81"/>
      <c r="F740" s="81"/>
      <c r="G740" s="81"/>
      <c r="H740" s="81"/>
      <c r="I740" s="289"/>
      <c r="J740" s="105"/>
      <c r="K740" s="81"/>
      <c r="L740" s="289"/>
      <c r="M740" s="81"/>
      <c r="N740" s="81"/>
      <c r="O740" s="289"/>
      <c r="P740" s="81"/>
      <c r="Q740" s="289"/>
      <c r="R740" s="81"/>
      <c r="S740" s="289"/>
      <c r="T740" s="81"/>
      <c r="U740" s="81"/>
      <c r="V740" s="81"/>
      <c r="W740" s="81"/>
      <c r="X740" s="81"/>
      <c r="Y740" s="81"/>
      <c r="Z740" s="81"/>
    </row>
    <row r="741" spans="1:26" ht="24" customHeight="1" x14ac:dyDescent="0.5">
      <c r="A741" s="81"/>
      <c r="B741" s="81"/>
      <c r="C741" s="81"/>
      <c r="D741" s="81"/>
      <c r="E741" s="81"/>
      <c r="F741" s="81"/>
      <c r="G741" s="81"/>
      <c r="H741" s="81"/>
      <c r="I741" s="289"/>
      <c r="J741" s="105"/>
      <c r="K741" s="81"/>
      <c r="L741" s="289"/>
      <c r="M741" s="81"/>
      <c r="N741" s="81"/>
      <c r="O741" s="289"/>
      <c r="P741" s="81"/>
      <c r="Q741" s="289"/>
      <c r="R741" s="81"/>
      <c r="S741" s="289"/>
      <c r="T741" s="81"/>
      <c r="U741" s="81"/>
      <c r="V741" s="81"/>
      <c r="W741" s="81"/>
      <c r="X741" s="81"/>
      <c r="Y741" s="81"/>
      <c r="Z741" s="81"/>
    </row>
    <row r="742" spans="1:26" ht="24" customHeight="1" x14ac:dyDescent="0.5">
      <c r="A742" s="81"/>
      <c r="B742" s="81"/>
      <c r="C742" s="81"/>
      <c r="D742" s="81"/>
      <c r="E742" s="81"/>
      <c r="F742" s="81"/>
      <c r="G742" s="81"/>
      <c r="H742" s="81"/>
      <c r="I742" s="289"/>
      <c r="J742" s="105"/>
      <c r="K742" s="81"/>
      <c r="L742" s="289"/>
      <c r="M742" s="81"/>
      <c r="N742" s="81"/>
      <c r="O742" s="289"/>
      <c r="P742" s="81"/>
      <c r="Q742" s="289"/>
      <c r="R742" s="81"/>
      <c r="S742" s="289"/>
      <c r="T742" s="81"/>
      <c r="U742" s="81"/>
      <c r="V742" s="81"/>
      <c r="W742" s="81"/>
      <c r="X742" s="81"/>
      <c r="Y742" s="81"/>
      <c r="Z742" s="81"/>
    </row>
    <row r="743" spans="1:26" ht="24" customHeight="1" x14ac:dyDescent="0.5">
      <c r="A743" s="81"/>
      <c r="B743" s="81"/>
      <c r="C743" s="81"/>
      <c r="D743" s="81"/>
      <c r="E743" s="81"/>
      <c r="F743" s="81"/>
      <c r="G743" s="81"/>
      <c r="H743" s="81"/>
      <c r="I743" s="289"/>
      <c r="J743" s="105"/>
      <c r="K743" s="81"/>
      <c r="L743" s="289"/>
      <c r="M743" s="81"/>
      <c r="N743" s="81"/>
      <c r="O743" s="289"/>
      <c r="P743" s="81"/>
      <c r="Q743" s="289"/>
      <c r="R743" s="81"/>
      <c r="S743" s="289"/>
      <c r="T743" s="81"/>
      <c r="U743" s="81"/>
      <c r="V743" s="81"/>
      <c r="W743" s="81"/>
      <c r="X743" s="81"/>
      <c r="Y743" s="81"/>
      <c r="Z743" s="81"/>
    </row>
    <row r="744" spans="1:26" ht="24" customHeight="1" x14ac:dyDescent="0.5">
      <c r="A744" s="81"/>
      <c r="B744" s="81"/>
      <c r="C744" s="81"/>
      <c r="D744" s="81"/>
      <c r="E744" s="81"/>
      <c r="F744" s="81"/>
      <c r="G744" s="81"/>
      <c r="H744" s="81"/>
      <c r="I744" s="289"/>
      <c r="J744" s="105"/>
      <c r="K744" s="81"/>
      <c r="L744" s="289"/>
      <c r="M744" s="81"/>
      <c r="N744" s="81"/>
      <c r="O744" s="289"/>
      <c r="P744" s="81"/>
      <c r="Q744" s="289"/>
      <c r="R744" s="81"/>
      <c r="S744" s="289"/>
      <c r="T744" s="81"/>
      <c r="U744" s="81"/>
      <c r="V744" s="81"/>
      <c r="W744" s="81"/>
      <c r="X744" s="81"/>
      <c r="Y744" s="81"/>
      <c r="Z744" s="81"/>
    </row>
    <row r="745" spans="1:26" ht="24" customHeight="1" x14ac:dyDescent="0.5">
      <c r="A745" s="81"/>
      <c r="B745" s="81"/>
      <c r="C745" s="81"/>
      <c r="D745" s="81"/>
      <c r="E745" s="81"/>
      <c r="F745" s="81"/>
      <c r="G745" s="81"/>
      <c r="H745" s="81"/>
      <c r="I745" s="289"/>
      <c r="J745" s="105"/>
      <c r="K745" s="81"/>
      <c r="L745" s="289"/>
      <c r="M745" s="81"/>
      <c r="N745" s="81"/>
      <c r="O745" s="289"/>
      <c r="P745" s="81"/>
      <c r="Q745" s="289"/>
      <c r="R745" s="81"/>
      <c r="S745" s="289"/>
      <c r="T745" s="81"/>
      <c r="U745" s="81"/>
      <c r="V745" s="81"/>
      <c r="W745" s="81"/>
      <c r="X745" s="81"/>
      <c r="Y745" s="81"/>
      <c r="Z745" s="81"/>
    </row>
    <row r="746" spans="1:26" ht="24" customHeight="1" x14ac:dyDescent="0.5">
      <c r="A746" s="81"/>
      <c r="B746" s="81"/>
      <c r="C746" s="81"/>
      <c r="D746" s="81"/>
      <c r="E746" s="81"/>
      <c r="F746" s="81"/>
      <c r="G746" s="81"/>
      <c r="H746" s="81"/>
      <c r="I746" s="289"/>
      <c r="J746" s="105"/>
      <c r="K746" s="81"/>
      <c r="L746" s="289"/>
      <c r="M746" s="81"/>
      <c r="N746" s="81"/>
      <c r="O746" s="289"/>
      <c r="P746" s="81"/>
      <c r="Q746" s="289"/>
      <c r="R746" s="81"/>
      <c r="S746" s="289"/>
      <c r="T746" s="81"/>
      <c r="U746" s="81"/>
      <c r="V746" s="81"/>
      <c r="W746" s="81"/>
      <c r="X746" s="81"/>
      <c r="Y746" s="81"/>
      <c r="Z746" s="81"/>
    </row>
    <row r="747" spans="1:26" ht="24" customHeight="1" x14ac:dyDescent="0.5">
      <c r="A747" s="81"/>
      <c r="B747" s="81"/>
      <c r="C747" s="81"/>
      <c r="D747" s="81"/>
      <c r="E747" s="81"/>
      <c r="F747" s="81"/>
      <c r="G747" s="81"/>
      <c r="H747" s="81"/>
      <c r="I747" s="289"/>
      <c r="J747" s="105"/>
      <c r="K747" s="81"/>
      <c r="L747" s="289"/>
      <c r="M747" s="81"/>
      <c r="N747" s="81"/>
      <c r="O747" s="289"/>
      <c r="P747" s="81"/>
      <c r="Q747" s="289"/>
      <c r="R747" s="81"/>
      <c r="S747" s="289"/>
      <c r="T747" s="81"/>
      <c r="U747" s="81"/>
      <c r="V747" s="81"/>
      <c r="W747" s="81"/>
      <c r="X747" s="81"/>
      <c r="Y747" s="81"/>
      <c r="Z747" s="81"/>
    </row>
    <row r="748" spans="1:26" ht="24" customHeight="1" x14ac:dyDescent="0.5">
      <c r="A748" s="81"/>
      <c r="B748" s="81"/>
      <c r="C748" s="81"/>
      <c r="D748" s="81"/>
      <c r="E748" s="81"/>
      <c r="F748" s="81"/>
      <c r="G748" s="81"/>
      <c r="H748" s="81"/>
      <c r="I748" s="289"/>
      <c r="J748" s="105"/>
      <c r="K748" s="81"/>
      <c r="L748" s="289"/>
      <c r="M748" s="81"/>
      <c r="N748" s="81"/>
      <c r="O748" s="289"/>
      <c r="P748" s="81"/>
      <c r="Q748" s="289"/>
      <c r="R748" s="81"/>
      <c r="S748" s="289"/>
      <c r="T748" s="81"/>
      <c r="U748" s="81"/>
      <c r="V748" s="81"/>
      <c r="W748" s="81"/>
      <c r="X748" s="81"/>
      <c r="Y748" s="81"/>
      <c r="Z748" s="81"/>
    </row>
    <row r="749" spans="1:26" ht="24" customHeight="1" x14ac:dyDescent="0.5">
      <c r="A749" s="81"/>
      <c r="B749" s="81"/>
      <c r="C749" s="81"/>
      <c r="D749" s="81"/>
      <c r="E749" s="81"/>
      <c r="F749" s="81"/>
      <c r="G749" s="81"/>
      <c r="H749" s="81"/>
      <c r="I749" s="289"/>
      <c r="J749" s="105"/>
      <c r="K749" s="81"/>
      <c r="L749" s="289"/>
      <c r="M749" s="81"/>
      <c r="N749" s="81"/>
      <c r="O749" s="289"/>
      <c r="P749" s="81"/>
      <c r="Q749" s="289"/>
      <c r="R749" s="81"/>
      <c r="S749" s="289"/>
      <c r="T749" s="81"/>
      <c r="U749" s="81"/>
      <c r="V749" s="81"/>
      <c r="W749" s="81"/>
      <c r="X749" s="81"/>
      <c r="Y749" s="81"/>
      <c r="Z749" s="81"/>
    </row>
    <row r="750" spans="1:26" ht="24" customHeight="1" x14ac:dyDescent="0.5">
      <c r="A750" s="81"/>
      <c r="B750" s="81"/>
      <c r="C750" s="81"/>
      <c r="D750" s="81"/>
      <c r="E750" s="81"/>
      <c r="F750" s="81"/>
      <c r="G750" s="81"/>
      <c r="H750" s="81"/>
      <c r="I750" s="289"/>
      <c r="J750" s="105"/>
      <c r="K750" s="81"/>
      <c r="L750" s="289"/>
      <c r="M750" s="81"/>
      <c r="N750" s="81"/>
      <c r="O750" s="289"/>
      <c r="P750" s="81"/>
      <c r="Q750" s="289"/>
      <c r="R750" s="81"/>
      <c r="S750" s="289"/>
      <c r="T750" s="81"/>
      <c r="U750" s="81"/>
      <c r="V750" s="81"/>
      <c r="W750" s="81"/>
      <c r="X750" s="81"/>
      <c r="Y750" s="81"/>
      <c r="Z750" s="81"/>
    </row>
    <row r="751" spans="1:26" ht="24" customHeight="1" x14ac:dyDescent="0.5">
      <c r="A751" s="81"/>
      <c r="B751" s="81"/>
      <c r="C751" s="81"/>
      <c r="D751" s="81"/>
      <c r="E751" s="81"/>
      <c r="F751" s="81"/>
      <c r="G751" s="81"/>
      <c r="H751" s="81"/>
      <c r="I751" s="289"/>
      <c r="J751" s="105"/>
      <c r="K751" s="81"/>
      <c r="L751" s="289"/>
      <c r="M751" s="81"/>
      <c r="N751" s="81"/>
      <c r="O751" s="289"/>
      <c r="P751" s="81"/>
      <c r="Q751" s="289"/>
      <c r="R751" s="81"/>
      <c r="S751" s="289"/>
      <c r="T751" s="81"/>
      <c r="U751" s="81"/>
      <c r="V751" s="81"/>
      <c r="W751" s="81"/>
      <c r="X751" s="81"/>
      <c r="Y751" s="81"/>
      <c r="Z751" s="81"/>
    </row>
    <row r="752" spans="1:26" ht="24" customHeight="1" x14ac:dyDescent="0.5">
      <c r="A752" s="81"/>
      <c r="B752" s="81"/>
      <c r="C752" s="81"/>
      <c r="D752" s="81"/>
      <c r="E752" s="81"/>
      <c r="F752" s="81"/>
      <c r="G752" s="81"/>
      <c r="H752" s="81"/>
      <c r="I752" s="289"/>
      <c r="J752" s="105"/>
      <c r="K752" s="81"/>
      <c r="L752" s="289"/>
      <c r="M752" s="81"/>
      <c r="N752" s="81"/>
      <c r="O752" s="289"/>
      <c r="P752" s="81"/>
      <c r="Q752" s="289"/>
      <c r="R752" s="81"/>
      <c r="S752" s="289"/>
      <c r="T752" s="81"/>
      <c r="U752" s="81"/>
      <c r="V752" s="81"/>
      <c r="W752" s="81"/>
      <c r="X752" s="81"/>
      <c r="Y752" s="81"/>
      <c r="Z752" s="81"/>
    </row>
    <row r="753" spans="1:26" ht="24" customHeight="1" x14ac:dyDescent="0.5">
      <c r="A753" s="81"/>
      <c r="B753" s="81"/>
      <c r="C753" s="81"/>
      <c r="D753" s="81"/>
      <c r="E753" s="81"/>
      <c r="F753" s="81"/>
      <c r="G753" s="81"/>
      <c r="H753" s="81"/>
      <c r="I753" s="289"/>
      <c r="J753" s="105"/>
      <c r="K753" s="81"/>
      <c r="L753" s="289"/>
      <c r="M753" s="81"/>
      <c r="N753" s="81"/>
      <c r="O753" s="289"/>
      <c r="P753" s="81"/>
      <c r="Q753" s="289"/>
      <c r="R753" s="81"/>
      <c r="S753" s="289"/>
      <c r="T753" s="81"/>
      <c r="U753" s="81"/>
      <c r="V753" s="81"/>
      <c r="W753" s="81"/>
      <c r="X753" s="81"/>
      <c r="Y753" s="81"/>
      <c r="Z753" s="81"/>
    </row>
    <row r="754" spans="1:26" ht="24" customHeight="1" x14ac:dyDescent="0.5">
      <c r="A754" s="81"/>
      <c r="B754" s="81"/>
      <c r="C754" s="81"/>
      <c r="D754" s="81"/>
      <c r="E754" s="81"/>
      <c r="F754" s="81"/>
      <c r="G754" s="81"/>
      <c r="H754" s="81"/>
      <c r="I754" s="289"/>
      <c r="J754" s="105"/>
      <c r="K754" s="81"/>
      <c r="L754" s="289"/>
      <c r="M754" s="81"/>
      <c r="N754" s="81"/>
      <c r="O754" s="289"/>
      <c r="P754" s="81"/>
      <c r="Q754" s="289"/>
      <c r="R754" s="81"/>
      <c r="S754" s="289"/>
      <c r="T754" s="81"/>
      <c r="U754" s="81"/>
      <c r="V754" s="81"/>
      <c r="W754" s="81"/>
      <c r="X754" s="81"/>
      <c r="Y754" s="81"/>
      <c r="Z754" s="81"/>
    </row>
    <row r="755" spans="1:26" ht="24" customHeight="1" x14ac:dyDescent="0.5">
      <c r="A755" s="81"/>
      <c r="B755" s="81"/>
      <c r="C755" s="81"/>
      <c r="D755" s="81"/>
      <c r="E755" s="81"/>
      <c r="F755" s="81"/>
      <c r="G755" s="81"/>
      <c r="H755" s="81"/>
      <c r="I755" s="289"/>
      <c r="J755" s="105"/>
      <c r="K755" s="81"/>
      <c r="L755" s="289"/>
      <c r="M755" s="81"/>
      <c r="N755" s="81"/>
      <c r="O755" s="289"/>
      <c r="P755" s="81"/>
      <c r="Q755" s="289"/>
      <c r="R755" s="81"/>
      <c r="S755" s="289"/>
      <c r="T755" s="81"/>
      <c r="U755" s="81"/>
      <c r="V755" s="81"/>
      <c r="W755" s="81"/>
      <c r="X755" s="81"/>
      <c r="Y755" s="81"/>
      <c r="Z755" s="81"/>
    </row>
    <row r="756" spans="1:26" ht="24" customHeight="1" x14ac:dyDescent="0.5">
      <c r="A756" s="81"/>
      <c r="B756" s="81"/>
      <c r="C756" s="81"/>
      <c r="D756" s="81"/>
      <c r="E756" s="81"/>
      <c r="F756" s="81"/>
      <c r="G756" s="81"/>
      <c r="H756" s="81"/>
      <c r="I756" s="289"/>
      <c r="J756" s="105"/>
      <c r="K756" s="81"/>
      <c r="L756" s="289"/>
      <c r="M756" s="81"/>
      <c r="N756" s="81"/>
      <c r="O756" s="289"/>
      <c r="P756" s="81"/>
      <c r="Q756" s="289"/>
      <c r="R756" s="81"/>
      <c r="S756" s="289"/>
      <c r="T756" s="81"/>
      <c r="U756" s="81"/>
      <c r="V756" s="81"/>
      <c r="W756" s="81"/>
      <c r="X756" s="81"/>
      <c r="Y756" s="81"/>
      <c r="Z756" s="81"/>
    </row>
    <row r="757" spans="1:26" ht="24" customHeight="1" x14ac:dyDescent="0.5">
      <c r="A757" s="81"/>
      <c r="B757" s="81"/>
      <c r="C757" s="81"/>
      <c r="D757" s="81"/>
      <c r="E757" s="81"/>
      <c r="F757" s="81"/>
      <c r="G757" s="81"/>
      <c r="H757" s="81"/>
      <c r="I757" s="289"/>
      <c r="J757" s="105"/>
      <c r="K757" s="81"/>
      <c r="L757" s="289"/>
      <c r="M757" s="81"/>
      <c r="N757" s="81"/>
      <c r="O757" s="289"/>
      <c r="P757" s="81"/>
      <c r="Q757" s="289"/>
      <c r="R757" s="81"/>
      <c r="S757" s="289"/>
      <c r="T757" s="81"/>
      <c r="U757" s="81"/>
      <c r="V757" s="81"/>
      <c r="W757" s="81"/>
      <c r="X757" s="81"/>
      <c r="Y757" s="81"/>
      <c r="Z757" s="81"/>
    </row>
    <row r="758" spans="1:26" ht="24" customHeight="1" x14ac:dyDescent="0.5">
      <c r="A758" s="81"/>
      <c r="B758" s="81"/>
      <c r="C758" s="81"/>
      <c r="D758" s="81"/>
      <c r="E758" s="81"/>
      <c r="F758" s="81"/>
      <c r="G758" s="81"/>
      <c r="H758" s="81"/>
      <c r="I758" s="289"/>
      <c r="J758" s="105"/>
      <c r="K758" s="81"/>
      <c r="L758" s="289"/>
      <c r="M758" s="81"/>
      <c r="N758" s="81"/>
      <c r="O758" s="289"/>
      <c r="P758" s="81"/>
      <c r="Q758" s="289"/>
      <c r="R758" s="81"/>
      <c r="S758" s="289"/>
      <c r="T758" s="81"/>
      <c r="U758" s="81"/>
      <c r="V758" s="81"/>
      <c r="W758" s="81"/>
      <c r="X758" s="81"/>
      <c r="Y758" s="81"/>
      <c r="Z758" s="81"/>
    </row>
    <row r="759" spans="1:26" ht="24" customHeight="1" x14ac:dyDescent="0.5">
      <c r="A759" s="81"/>
      <c r="B759" s="81"/>
      <c r="C759" s="81"/>
      <c r="D759" s="81"/>
      <c r="E759" s="81"/>
      <c r="F759" s="81"/>
      <c r="G759" s="81"/>
      <c r="H759" s="81"/>
      <c r="I759" s="289"/>
      <c r="J759" s="105"/>
      <c r="K759" s="81"/>
      <c r="L759" s="289"/>
      <c r="M759" s="81"/>
      <c r="N759" s="81"/>
      <c r="O759" s="289"/>
      <c r="P759" s="81"/>
      <c r="Q759" s="289"/>
      <c r="R759" s="81"/>
      <c r="S759" s="289"/>
      <c r="T759" s="81"/>
      <c r="U759" s="81"/>
      <c r="V759" s="81"/>
      <c r="W759" s="81"/>
      <c r="X759" s="81"/>
      <c r="Y759" s="81"/>
      <c r="Z759" s="81"/>
    </row>
    <row r="760" spans="1:26" ht="24" customHeight="1" x14ac:dyDescent="0.5">
      <c r="A760" s="81"/>
      <c r="B760" s="81"/>
      <c r="C760" s="81"/>
      <c r="D760" s="81"/>
      <c r="E760" s="81"/>
      <c r="F760" s="81"/>
      <c r="G760" s="81"/>
      <c r="H760" s="81"/>
      <c r="I760" s="289"/>
      <c r="J760" s="105"/>
      <c r="K760" s="81"/>
      <c r="L760" s="289"/>
      <c r="M760" s="81"/>
      <c r="N760" s="81"/>
      <c r="O760" s="289"/>
      <c r="P760" s="81"/>
      <c r="Q760" s="289"/>
      <c r="R760" s="81"/>
      <c r="S760" s="289"/>
      <c r="T760" s="81"/>
      <c r="U760" s="81"/>
      <c r="V760" s="81"/>
      <c r="W760" s="81"/>
      <c r="X760" s="81"/>
      <c r="Y760" s="81"/>
      <c r="Z760" s="81"/>
    </row>
    <row r="761" spans="1:26" ht="24" customHeight="1" x14ac:dyDescent="0.5">
      <c r="A761" s="81"/>
      <c r="B761" s="81"/>
      <c r="C761" s="81"/>
      <c r="D761" s="81"/>
      <c r="E761" s="81"/>
      <c r="F761" s="81"/>
      <c r="G761" s="81"/>
      <c r="H761" s="81"/>
      <c r="I761" s="289"/>
      <c r="J761" s="105"/>
      <c r="K761" s="81"/>
      <c r="L761" s="289"/>
      <c r="M761" s="81"/>
      <c r="N761" s="81"/>
      <c r="O761" s="289"/>
      <c r="P761" s="81"/>
      <c r="Q761" s="289"/>
      <c r="R761" s="81"/>
      <c r="S761" s="289"/>
      <c r="T761" s="81"/>
      <c r="U761" s="81"/>
      <c r="V761" s="81"/>
      <c r="W761" s="81"/>
      <c r="X761" s="81"/>
      <c r="Y761" s="81"/>
      <c r="Z761" s="81"/>
    </row>
    <row r="762" spans="1:26" ht="24" customHeight="1" x14ac:dyDescent="0.5">
      <c r="A762" s="81"/>
      <c r="B762" s="81"/>
      <c r="C762" s="81"/>
      <c r="D762" s="81"/>
      <c r="E762" s="81"/>
      <c r="F762" s="81"/>
      <c r="G762" s="81"/>
      <c r="H762" s="81"/>
      <c r="I762" s="289"/>
      <c r="J762" s="105"/>
      <c r="K762" s="81"/>
      <c r="L762" s="289"/>
      <c r="M762" s="81"/>
      <c r="N762" s="81"/>
      <c r="O762" s="289"/>
      <c r="P762" s="81"/>
      <c r="Q762" s="289"/>
      <c r="R762" s="81"/>
      <c r="S762" s="289"/>
      <c r="T762" s="81"/>
      <c r="U762" s="81"/>
      <c r="V762" s="81"/>
      <c r="W762" s="81"/>
      <c r="X762" s="81"/>
      <c r="Y762" s="81"/>
      <c r="Z762" s="81"/>
    </row>
    <row r="763" spans="1:26" ht="24" customHeight="1" x14ac:dyDescent="0.5">
      <c r="A763" s="81"/>
      <c r="B763" s="81"/>
      <c r="C763" s="81"/>
      <c r="D763" s="81"/>
      <c r="E763" s="81"/>
      <c r="F763" s="81"/>
      <c r="G763" s="81"/>
      <c r="H763" s="81"/>
      <c r="I763" s="289"/>
      <c r="J763" s="105"/>
      <c r="K763" s="81"/>
      <c r="L763" s="289"/>
      <c r="M763" s="81"/>
      <c r="N763" s="81"/>
      <c r="O763" s="289"/>
      <c r="P763" s="81"/>
      <c r="Q763" s="289"/>
      <c r="R763" s="81"/>
      <c r="S763" s="289"/>
      <c r="T763" s="81"/>
      <c r="U763" s="81"/>
      <c r="V763" s="81"/>
      <c r="W763" s="81"/>
      <c r="X763" s="81"/>
      <c r="Y763" s="81"/>
      <c r="Z763" s="81"/>
    </row>
    <row r="764" spans="1:26" ht="24" customHeight="1" x14ac:dyDescent="0.5">
      <c r="A764" s="81"/>
      <c r="B764" s="81"/>
      <c r="C764" s="81"/>
      <c r="D764" s="81"/>
      <c r="E764" s="81"/>
      <c r="F764" s="81"/>
      <c r="G764" s="81"/>
      <c r="H764" s="81"/>
      <c r="I764" s="289"/>
      <c r="J764" s="105"/>
      <c r="K764" s="81"/>
      <c r="L764" s="289"/>
      <c r="M764" s="81"/>
      <c r="N764" s="81"/>
      <c r="O764" s="289"/>
      <c r="P764" s="81"/>
      <c r="Q764" s="289"/>
      <c r="R764" s="81"/>
      <c r="S764" s="289"/>
      <c r="T764" s="81"/>
      <c r="U764" s="81"/>
      <c r="V764" s="81"/>
      <c r="W764" s="81"/>
      <c r="X764" s="81"/>
      <c r="Y764" s="81"/>
      <c r="Z764" s="81"/>
    </row>
    <row r="765" spans="1:26" ht="24" customHeight="1" x14ac:dyDescent="0.5">
      <c r="A765" s="81"/>
      <c r="B765" s="81"/>
      <c r="C765" s="81"/>
      <c r="D765" s="81"/>
      <c r="E765" s="81"/>
      <c r="F765" s="81"/>
      <c r="G765" s="81"/>
      <c r="H765" s="81"/>
      <c r="I765" s="289"/>
      <c r="J765" s="105"/>
      <c r="K765" s="81"/>
      <c r="L765" s="289"/>
      <c r="M765" s="81"/>
      <c r="N765" s="81"/>
      <c r="O765" s="289"/>
      <c r="P765" s="81"/>
      <c r="Q765" s="289"/>
      <c r="R765" s="81"/>
      <c r="S765" s="289"/>
      <c r="T765" s="81"/>
      <c r="U765" s="81"/>
      <c r="V765" s="81"/>
      <c r="W765" s="81"/>
      <c r="X765" s="81"/>
      <c r="Y765" s="81"/>
      <c r="Z765" s="81"/>
    </row>
    <row r="766" spans="1:26" ht="24" customHeight="1" x14ac:dyDescent="0.5">
      <c r="A766" s="81"/>
      <c r="B766" s="81"/>
      <c r="C766" s="81"/>
      <c r="D766" s="81"/>
      <c r="E766" s="81"/>
      <c r="F766" s="81"/>
      <c r="G766" s="81"/>
      <c r="H766" s="81"/>
      <c r="I766" s="289"/>
      <c r="J766" s="105"/>
      <c r="K766" s="81"/>
      <c r="L766" s="289"/>
      <c r="M766" s="81"/>
      <c r="N766" s="81"/>
      <c r="O766" s="289"/>
      <c r="P766" s="81"/>
      <c r="Q766" s="289"/>
      <c r="R766" s="81"/>
      <c r="S766" s="289"/>
      <c r="T766" s="81"/>
      <c r="U766" s="81"/>
      <c r="V766" s="81"/>
      <c r="W766" s="81"/>
      <c r="X766" s="81"/>
      <c r="Y766" s="81"/>
      <c r="Z766" s="81"/>
    </row>
    <row r="767" spans="1:26" ht="24" customHeight="1" x14ac:dyDescent="0.5">
      <c r="A767" s="81"/>
      <c r="B767" s="81"/>
      <c r="C767" s="81"/>
      <c r="D767" s="81"/>
      <c r="E767" s="81"/>
      <c r="F767" s="81"/>
      <c r="G767" s="81"/>
      <c r="H767" s="81"/>
      <c r="I767" s="289"/>
      <c r="J767" s="105"/>
      <c r="K767" s="81"/>
      <c r="L767" s="289"/>
      <c r="M767" s="81"/>
      <c r="N767" s="81"/>
      <c r="O767" s="289"/>
      <c r="P767" s="81"/>
      <c r="Q767" s="289"/>
      <c r="R767" s="81"/>
      <c r="S767" s="289"/>
      <c r="T767" s="81"/>
      <c r="U767" s="81"/>
      <c r="V767" s="81"/>
      <c r="W767" s="81"/>
      <c r="X767" s="81"/>
      <c r="Y767" s="81"/>
      <c r="Z767" s="81"/>
    </row>
    <row r="768" spans="1:26" ht="24" customHeight="1" x14ac:dyDescent="0.5">
      <c r="A768" s="81"/>
      <c r="B768" s="81"/>
      <c r="C768" s="81"/>
      <c r="D768" s="81"/>
      <c r="E768" s="81"/>
      <c r="F768" s="81"/>
      <c r="G768" s="81"/>
      <c r="H768" s="81"/>
      <c r="I768" s="289"/>
      <c r="J768" s="105"/>
      <c r="K768" s="81"/>
      <c r="L768" s="289"/>
      <c r="M768" s="81"/>
      <c r="N768" s="81"/>
      <c r="O768" s="289"/>
      <c r="P768" s="81"/>
      <c r="Q768" s="289"/>
      <c r="R768" s="81"/>
      <c r="S768" s="289"/>
      <c r="T768" s="81"/>
      <c r="U768" s="81"/>
      <c r="V768" s="81"/>
      <c r="W768" s="81"/>
      <c r="X768" s="81"/>
      <c r="Y768" s="81"/>
      <c r="Z768" s="81"/>
    </row>
    <row r="769" spans="1:26" ht="24" customHeight="1" x14ac:dyDescent="0.5">
      <c r="A769" s="81"/>
      <c r="B769" s="81"/>
      <c r="C769" s="81"/>
      <c r="D769" s="81"/>
      <c r="E769" s="81"/>
      <c r="F769" s="81"/>
      <c r="G769" s="81"/>
      <c r="H769" s="81"/>
      <c r="I769" s="289"/>
      <c r="J769" s="105"/>
      <c r="K769" s="81"/>
      <c r="L769" s="289"/>
      <c r="M769" s="81"/>
      <c r="N769" s="81"/>
      <c r="O769" s="289"/>
      <c r="P769" s="81"/>
      <c r="Q769" s="289"/>
      <c r="R769" s="81"/>
      <c r="S769" s="289"/>
      <c r="T769" s="81"/>
      <c r="U769" s="81"/>
      <c r="V769" s="81"/>
      <c r="W769" s="81"/>
      <c r="X769" s="81"/>
      <c r="Y769" s="81"/>
      <c r="Z769" s="81"/>
    </row>
    <row r="770" spans="1:26" ht="24" customHeight="1" x14ac:dyDescent="0.5">
      <c r="A770" s="81"/>
      <c r="B770" s="81"/>
      <c r="C770" s="81"/>
      <c r="D770" s="81"/>
      <c r="E770" s="81"/>
      <c r="F770" s="81"/>
      <c r="G770" s="81"/>
      <c r="H770" s="81"/>
      <c r="I770" s="289"/>
      <c r="J770" s="105"/>
      <c r="K770" s="81"/>
      <c r="L770" s="289"/>
      <c r="M770" s="81"/>
      <c r="N770" s="81"/>
      <c r="O770" s="289"/>
      <c r="P770" s="81"/>
      <c r="Q770" s="289"/>
      <c r="R770" s="81"/>
      <c r="S770" s="289"/>
      <c r="T770" s="81"/>
      <c r="U770" s="81"/>
      <c r="V770" s="81"/>
      <c r="W770" s="81"/>
      <c r="X770" s="81"/>
      <c r="Y770" s="81"/>
      <c r="Z770" s="81"/>
    </row>
    <row r="771" spans="1:26" ht="24" customHeight="1" x14ac:dyDescent="0.5">
      <c r="A771" s="81"/>
      <c r="B771" s="81"/>
      <c r="C771" s="81"/>
      <c r="D771" s="81"/>
      <c r="E771" s="81"/>
      <c r="F771" s="81"/>
      <c r="G771" s="81"/>
      <c r="H771" s="81"/>
      <c r="I771" s="289"/>
      <c r="J771" s="105"/>
      <c r="K771" s="81"/>
      <c r="L771" s="289"/>
      <c r="M771" s="81"/>
      <c r="N771" s="81"/>
      <c r="O771" s="289"/>
      <c r="P771" s="81"/>
      <c r="Q771" s="289"/>
      <c r="R771" s="81"/>
      <c r="S771" s="289"/>
      <c r="T771" s="81"/>
      <c r="U771" s="81"/>
      <c r="V771" s="81"/>
      <c r="W771" s="81"/>
      <c r="X771" s="81"/>
      <c r="Y771" s="81"/>
      <c r="Z771" s="81"/>
    </row>
    <row r="772" spans="1:26" ht="24" customHeight="1" x14ac:dyDescent="0.5">
      <c r="A772" s="81"/>
      <c r="B772" s="81"/>
      <c r="C772" s="81"/>
      <c r="D772" s="81"/>
      <c r="E772" s="81"/>
      <c r="F772" s="81"/>
      <c r="G772" s="81"/>
      <c r="H772" s="81"/>
      <c r="I772" s="289"/>
      <c r="J772" s="105"/>
      <c r="K772" s="81"/>
      <c r="L772" s="289"/>
      <c r="M772" s="81"/>
      <c r="N772" s="81"/>
      <c r="O772" s="289"/>
      <c r="P772" s="81"/>
      <c r="Q772" s="289"/>
      <c r="R772" s="81"/>
      <c r="S772" s="289"/>
      <c r="T772" s="81"/>
      <c r="U772" s="81"/>
      <c r="V772" s="81"/>
      <c r="W772" s="81"/>
      <c r="X772" s="81"/>
      <c r="Y772" s="81"/>
      <c r="Z772" s="81"/>
    </row>
    <row r="773" spans="1:26" ht="24" customHeight="1" x14ac:dyDescent="0.5">
      <c r="A773" s="81"/>
      <c r="B773" s="81"/>
      <c r="C773" s="81"/>
      <c r="D773" s="81"/>
      <c r="E773" s="81"/>
      <c r="F773" s="81"/>
      <c r="G773" s="81"/>
      <c r="H773" s="81"/>
      <c r="I773" s="289"/>
      <c r="J773" s="105"/>
      <c r="K773" s="81"/>
      <c r="L773" s="289"/>
      <c r="M773" s="81"/>
      <c r="N773" s="81"/>
      <c r="O773" s="289"/>
      <c r="P773" s="81"/>
      <c r="Q773" s="289"/>
      <c r="R773" s="81"/>
      <c r="S773" s="289"/>
      <c r="T773" s="81"/>
      <c r="U773" s="81"/>
      <c r="V773" s="81"/>
      <c r="W773" s="81"/>
      <c r="X773" s="81"/>
      <c r="Y773" s="81"/>
      <c r="Z773" s="81"/>
    </row>
    <row r="774" spans="1:26" ht="24" customHeight="1" x14ac:dyDescent="0.5">
      <c r="A774" s="81"/>
      <c r="B774" s="81"/>
      <c r="C774" s="81"/>
      <c r="D774" s="81"/>
      <c r="E774" s="81"/>
      <c r="F774" s="81"/>
      <c r="G774" s="81"/>
      <c r="H774" s="81"/>
      <c r="I774" s="289"/>
      <c r="J774" s="105"/>
      <c r="K774" s="81"/>
      <c r="L774" s="289"/>
      <c r="M774" s="81"/>
      <c r="N774" s="81"/>
      <c r="O774" s="289"/>
      <c r="P774" s="81"/>
      <c r="Q774" s="289"/>
      <c r="R774" s="81"/>
      <c r="S774" s="289"/>
      <c r="T774" s="81"/>
      <c r="U774" s="81"/>
      <c r="V774" s="81"/>
      <c r="W774" s="81"/>
      <c r="X774" s="81"/>
      <c r="Y774" s="81"/>
      <c r="Z774" s="81"/>
    </row>
    <row r="775" spans="1:26" ht="24" customHeight="1" x14ac:dyDescent="0.5">
      <c r="A775" s="81"/>
      <c r="B775" s="81"/>
      <c r="C775" s="81"/>
      <c r="D775" s="81"/>
      <c r="E775" s="81"/>
      <c r="F775" s="81"/>
      <c r="G775" s="81"/>
      <c r="H775" s="81"/>
      <c r="I775" s="289"/>
      <c r="J775" s="105"/>
      <c r="K775" s="81"/>
      <c r="L775" s="289"/>
      <c r="M775" s="81"/>
      <c r="N775" s="81"/>
      <c r="O775" s="289"/>
      <c r="P775" s="81"/>
      <c r="Q775" s="289"/>
      <c r="R775" s="81"/>
      <c r="S775" s="289"/>
      <c r="T775" s="81"/>
      <c r="U775" s="81"/>
      <c r="V775" s="81"/>
      <c r="W775" s="81"/>
      <c r="X775" s="81"/>
      <c r="Y775" s="81"/>
      <c r="Z775" s="81"/>
    </row>
    <row r="776" spans="1:26" ht="24" customHeight="1" x14ac:dyDescent="0.5">
      <c r="A776" s="81"/>
      <c r="B776" s="81"/>
      <c r="C776" s="81"/>
      <c r="D776" s="81"/>
      <c r="E776" s="81"/>
      <c r="F776" s="81"/>
      <c r="G776" s="81"/>
      <c r="H776" s="81"/>
      <c r="I776" s="289"/>
      <c r="J776" s="105"/>
      <c r="K776" s="81"/>
      <c r="L776" s="289"/>
      <c r="M776" s="81"/>
      <c r="N776" s="81"/>
      <c r="O776" s="289"/>
      <c r="P776" s="81"/>
      <c r="Q776" s="289"/>
      <c r="R776" s="81"/>
      <c r="S776" s="289"/>
      <c r="T776" s="81"/>
      <c r="U776" s="81"/>
      <c r="V776" s="81"/>
      <c r="W776" s="81"/>
      <c r="X776" s="81"/>
      <c r="Y776" s="81"/>
      <c r="Z776" s="81"/>
    </row>
    <row r="777" spans="1:26" ht="24" customHeight="1" x14ac:dyDescent="0.5">
      <c r="A777" s="81"/>
      <c r="B777" s="81"/>
      <c r="C777" s="81"/>
      <c r="D777" s="81"/>
      <c r="E777" s="81"/>
      <c r="F777" s="81"/>
      <c r="G777" s="81"/>
      <c r="H777" s="81"/>
      <c r="I777" s="289"/>
      <c r="J777" s="105"/>
      <c r="K777" s="81"/>
      <c r="L777" s="289"/>
      <c r="M777" s="81"/>
      <c r="N777" s="81"/>
      <c r="O777" s="289"/>
      <c r="P777" s="81"/>
      <c r="Q777" s="289"/>
      <c r="R777" s="81"/>
      <c r="S777" s="289"/>
      <c r="T777" s="81"/>
      <c r="U777" s="81"/>
      <c r="V777" s="81"/>
      <c r="W777" s="81"/>
      <c r="X777" s="81"/>
      <c r="Y777" s="81"/>
      <c r="Z777" s="81"/>
    </row>
    <row r="778" spans="1:26" ht="24" customHeight="1" x14ac:dyDescent="0.5">
      <c r="A778" s="81"/>
      <c r="B778" s="81"/>
      <c r="C778" s="81"/>
      <c r="D778" s="81"/>
      <c r="E778" s="81"/>
      <c r="F778" s="81"/>
      <c r="G778" s="81"/>
      <c r="H778" s="81"/>
      <c r="I778" s="289"/>
      <c r="J778" s="105"/>
      <c r="K778" s="81"/>
      <c r="L778" s="289"/>
      <c r="M778" s="81"/>
      <c r="N778" s="81"/>
      <c r="O778" s="289"/>
      <c r="P778" s="81"/>
      <c r="Q778" s="289"/>
      <c r="R778" s="81"/>
      <c r="S778" s="289"/>
      <c r="T778" s="81"/>
      <c r="U778" s="81"/>
      <c r="V778" s="81"/>
      <c r="W778" s="81"/>
      <c r="X778" s="81"/>
      <c r="Y778" s="81"/>
      <c r="Z778" s="81"/>
    </row>
    <row r="779" spans="1:26" ht="24" customHeight="1" x14ac:dyDescent="0.5">
      <c r="A779" s="81"/>
      <c r="B779" s="81"/>
      <c r="C779" s="81"/>
      <c r="D779" s="81"/>
      <c r="E779" s="81"/>
      <c r="F779" s="81"/>
      <c r="G779" s="81"/>
      <c r="H779" s="81"/>
      <c r="I779" s="289"/>
      <c r="J779" s="105"/>
      <c r="K779" s="81"/>
      <c r="L779" s="289"/>
      <c r="M779" s="81"/>
      <c r="N779" s="81"/>
      <c r="O779" s="289"/>
      <c r="P779" s="81"/>
      <c r="Q779" s="289"/>
      <c r="R779" s="81"/>
      <c r="S779" s="289"/>
      <c r="T779" s="81"/>
      <c r="U779" s="81"/>
      <c r="V779" s="81"/>
      <c r="W779" s="81"/>
      <c r="X779" s="81"/>
      <c r="Y779" s="81"/>
      <c r="Z779" s="81"/>
    </row>
    <row r="780" spans="1:26" ht="24" customHeight="1" x14ac:dyDescent="0.5">
      <c r="A780" s="81"/>
      <c r="B780" s="81"/>
      <c r="C780" s="81"/>
      <c r="D780" s="81"/>
      <c r="E780" s="81"/>
      <c r="F780" s="81"/>
      <c r="G780" s="81"/>
      <c r="H780" s="81"/>
      <c r="I780" s="289"/>
      <c r="J780" s="105"/>
      <c r="K780" s="81"/>
      <c r="L780" s="289"/>
      <c r="M780" s="81"/>
      <c r="N780" s="81"/>
      <c r="O780" s="289"/>
      <c r="P780" s="81"/>
      <c r="Q780" s="289"/>
      <c r="R780" s="81"/>
      <c r="S780" s="289"/>
      <c r="T780" s="81"/>
      <c r="U780" s="81"/>
      <c r="V780" s="81"/>
      <c r="W780" s="81"/>
      <c r="X780" s="81"/>
      <c r="Y780" s="81"/>
      <c r="Z780" s="81"/>
    </row>
    <row r="781" spans="1:26" ht="24" customHeight="1" x14ac:dyDescent="0.5">
      <c r="A781" s="81"/>
      <c r="B781" s="81"/>
      <c r="C781" s="81"/>
      <c r="D781" s="81"/>
      <c r="E781" s="81"/>
      <c r="F781" s="81"/>
      <c r="G781" s="81"/>
      <c r="H781" s="81"/>
      <c r="I781" s="289"/>
      <c r="J781" s="105"/>
      <c r="K781" s="81"/>
      <c r="L781" s="289"/>
      <c r="M781" s="81"/>
      <c r="N781" s="81"/>
      <c r="O781" s="289"/>
      <c r="P781" s="81"/>
      <c r="Q781" s="289"/>
      <c r="R781" s="81"/>
      <c r="S781" s="289"/>
      <c r="T781" s="81"/>
      <c r="U781" s="81"/>
      <c r="V781" s="81"/>
      <c r="W781" s="81"/>
      <c r="X781" s="81"/>
      <c r="Y781" s="81"/>
      <c r="Z781" s="81"/>
    </row>
    <row r="782" spans="1:26" ht="24" customHeight="1" x14ac:dyDescent="0.5">
      <c r="A782" s="81"/>
      <c r="B782" s="81"/>
      <c r="C782" s="81"/>
      <c r="D782" s="81"/>
      <c r="E782" s="81"/>
      <c r="F782" s="81"/>
      <c r="G782" s="81"/>
      <c r="H782" s="81"/>
      <c r="I782" s="289"/>
      <c r="J782" s="105"/>
      <c r="K782" s="81"/>
      <c r="L782" s="289"/>
      <c r="M782" s="81"/>
      <c r="N782" s="81"/>
      <c r="O782" s="289"/>
      <c r="P782" s="81"/>
      <c r="Q782" s="289"/>
      <c r="R782" s="81"/>
      <c r="S782" s="289"/>
      <c r="T782" s="81"/>
      <c r="U782" s="81"/>
      <c r="V782" s="81"/>
      <c r="W782" s="81"/>
      <c r="X782" s="81"/>
      <c r="Y782" s="81"/>
      <c r="Z782" s="81"/>
    </row>
    <row r="783" spans="1:26" ht="24" customHeight="1" x14ac:dyDescent="0.5">
      <c r="A783" s="81"/>
      <c r="B783" s="81"/>
      <c r="C783" s="81"/>
      <c r="D783" s="81"/>
      <c r="E783" s="81"/>
      <c r="F783" s="81"/>
      <c r="G783" s="81"/>
      <c r="H783" s="81"/>
      <c r="I783" s="289"/>
      <c r="J783" s="105"/>
      <c r="K783" s="81"/>
      <c r="L783" s="289"/>
      <c r="M783" s="81"/>
      <c r="N783" s="81"/>
      <c r="O783" s="289"/>
      <c r="P783" s="81"/>
      <c r="Q783" s="289"/>
      <c r="R783" s="81"/>
      <c r="S783" s="289"/>
      <c r="T783" s="81"/>
      <c r="U783" s="81"/>
      <c r="V783" s="81"/>
      <c r="W783" s="81"/>
      <c r="X783" s="81"/>
      <c r="Y783" s="81"/>
      <c r="Z783" s="81"/>
    </row>
    <row r="784" spans="1:26" ht="24" customHeight="1" x14ac:dyDescent="0.5">
      <c r="A784" s="81"/>
      <c r="B784" s="81"/>
      <c r="C784" s="81"/>
      <c r="D784" s="81"/>
      <c r="E784" s="81"/>
      <c r="F784" s="81"/>
      <c r="G784" s="81"/>
      <c r="H784" s="81"/>
      <c r="I784" s="289"/>
      <c r="J784" s="105"/>
      <c r="K784" s="81"/>
      <c r="L784" s="289"/>
      <c r="M784" s="81"/>
      <c r="N784" s="81"/>
      <c r="O784" s="289"/>
      <c r="P784" s="81"/>
      <c r="Q784" s="289"/>
      <c r="R784" s="81"/>
      <c r="S784" s="289"/>
      <c r="T784" s="81"/>
      <c r="U784" s="81"/>
      <c r="V784" s="81"/>
      <c r="W784" s="81"/>
      <c r="X784" s="81"/>
      <c r="Y784" s="81"/>
      <c r="Z784" s="81"/>
    </row>
    <row r="785" spans="1:26" ht="24" customHeight="1" x14ac:dyDescent="0.5">
      <c r="A785" s="81"/>
      <c r="B785" s="81"/>
      <c r="C785" s="81"/>
      <c r="D785" s="81"/>
      <c r="E785" s="81"/>
      <c r="F785" s="81"/>
      <c r="G785" s="81"/>
      <c r="H785" s="81"/>
      <c r="I785" s="289"/>
      <c r="J785" s="105"/>
      <c r="K785" s="81"/>
      <c r="L785" s="289"/>
      <c r="M785" s="81"/>
      <c r="N785" s="81"/>
      <c r="O785" s="289"/>
      <c r="P785" s="81"/>
      <c r="Q785" s="289"/>
      <c r="R785" s="81"/>
      <c r="S785" s="289"/>
      <c r="T785" s="81"/>
      <c r="U785" s="81"/>
      <c r="V785" s="81"/>
      <c r="W785" s="81"/>
      <c r="X785" s="81"/>
      <c r="Y785" s="81"/>
      <c r="Z785" s="81"/>
    </row>
    <row r="786" spans="1:26" ht="24" customHeight="1" x14ac:dyDescent="0.5">
      <c r="A786" s="81"/>
      <c r="B786" s="81"/>
      <c r="C786" s="81"/>
      <c r="D786" s="81"/>
      <c r="E786" s="81"/>
      <c r="F786" s="81"/>
      <c r="G786" s="81"/>
      <c r="H786" s="81"/>
      <c r="I786" s="289"/>
      <c r="J786" s="105"/>
      <c r="K786" s="81"/>
      <c r="L786" s="289"/>
      <c r="M786" s="81"/>
      <c r="N786" s="81"/>
      <c r="O786" s="289"/>
      <c r="P786" s="81"/>
      <c r="Q786" s="289"/>
      <c r="R786" s="81"/>
      <c r="S786" s="289"/>
      <c r="T786" s="81"/>
      <c r="U786" s="81"/>
      <c r="V786" s="81"/>
      <c r="W786" s="81"/>
      <c r="X786" s="81"/>
      <c r="Y786" s="81"/>
      <c r="Z786" s="81"/>
    </row>
    <row r="787" spans="1:26" ht="24" customHeight="1" x14ac:dyDescent="0.5">
      <c r="A787" s="81"/>
      <c r="B787" s="81"/>
      <c r="C787" s="81"/>
      <c r="D787" s="81"/>
      <c r="E787" s="81"/>
      <c r="F787" s="81"/>
      <c r="G787" s="81"/>
      <c r="H787" s="81"/>
      <c r="I787" s="289"/>
      <c r="J787" s="105"/>
      <c r="K787" s="81"/>
      <c r="L787" s="289"/>
      <c r="M787" s="81"/>
      <c r="N787" s="81"/>
      <c r="O787" s="289"/>
      <c r="P787" s="81"/>
      <c r="Q787" s="289"/>
      <c r="R787" s="81"/>
      <c r="S787" s="289"/>
      <c r="T787" s="81"/>
      <c r="U787" s="81"/>
      <c r="V787" s="81"/>
      <c r="W787" s="81"/>
      <c r="X787" s="81"/>
      <c r="Y787" s="81"/>
      <c r="Z787" s="81"/>
    </row>
    <row r="788" spans="1:26" ht="24" customHeight="1" x14ac:dyDescent="0.5">
      <c r="A788" s="81"/>
      <c r="B788" s="81"/>
      <c r="C788" s="81"/>
      <c r="D788" s="81"/>
      <c r="E788" s="81"/>
      <c r="F788" s="81"/>
      <c r="G788" s="81"/>
      <c r="H788" s="81"/>
      <c r="I788" s="289"/>
      <c r="J788" s="105"/>
      <c r="K788" s="81"/>
      <c r="L788" s="289"/>
      <c r="M788" s="81"/>
      <c r="N788" s="81"/>
      <c r="O788" s="289"/>
      <c r="P788" s="81"/>
      <c r="Q788" s="289"/>
      <c r="R788" s="81"/>
      <c r="S788" s="289"/>
      <c r="T788" s="81"/>
      <c r="U788" s="81"/>
      <c r="V788" s="81"/>
      <c r="W788" s="81"/>
      <c r="X788" s="81"/>
      <c r="Y788" s="81"/>
      <c r="Z788" s="81"/>
    </row>
    <row r="789" spans="1:26" ht="24" customHeight="1" x14ac:dyDescent="0.5">
      <c r="A789" s="81"/>
      <c r="B789" s="81"/>
      <c r="C789" s="81"/>
      <c r="D789" s="81"/>
      <c r="E789" s="81"/>
      <c r="F789" s="81"/>
      <c r="G789" s="81"/>
      <c r="H789" s="81"/>
      <c r="I789" s="289"/>
      <c r="J789" s="105"/>
      <c r="K789" s="81"/>
      <c r="L789" s="289"/>
      <c r="M789" s="81"/>
      <c r="N789" s="81"/>
      <c r="O789" s="289"/>
      <c r="P789" s="81"/>
      <c r="Q789" s="289"/>
      <c r="R789" s="81"/>
      <c r="S789" s="289"/>
      <c r="T789" s="81"/>
      <c r="U789" s="81"/>
      <c r="V789" s="81"/>
      <c r="W789" s="81"/>
      <c r="X789" s="81"/>
      <c r="Y789" s="81"/>
      <c r="Z789" s="81"/>
    </row>
    <row r="790" spans="1:26" ht="24" customHeight="1" x14ac:dyDescent="0.5">
      <c r="A790" s="81"/>
      <c r="B790" s="81"/>
      <c r="C790" s="81"/>
      <c r="D790" s="81"/>
      <c r="E790" s="81"/>
      <c r="F790" s="81"/>
      <c r="G790" s="81"/>
      <c r="H790" s="81"/>
      <c r="I790" s="289"/>
      <c r="J790" s="105"/>
      <c r="K790" s="81"/>
      <c r="L790" s="289"/>
      <c r="M790" s="81"/>
      <c r="N790" s="81"/>
      <c r="O790" s="289"/>
      <c r="P790" s="81"/>
      <c r="Q790" s="289"/>
      <c r="R790" s="81"/>
      <c r="S790" s="289"/>
      <c r="T790" s="81"/>
      <c r="U790" s="81"/>
      <c r="V790" s="81"/>
      <c r="W790" s="81"/>
      <c r="X790" s="81"/>
      <c r="Y790" s="81"/>
      <c r="Z790" s="81"/>
    </row>
    <row r="791" spans="1:26" ht="24" customHeight="1" x14ac:dyDescent="0.5">
      <c r="A791" s="81"/>
      <c r="B791" s="81"/>
      <c r="C791" s="81"/>
      <c r="D791" s="81"/>
      <c r="E791" s="81"/>
      <c r="F791" s="81"/>
      <c r="G791" s="81"/>
      <c r="H791" s="81"/>
      <c r="I791" s="289"/>
      <c r="J791" s="105"/>
      <c r="K791" s="81"/>
      <c r="L791" s="289"/>
      <c r="M791" s="81"/>
      <c r="N791" s="81"/>
      <c r="O791" s="289"/>
      <c r="P791" s="81"/>
      <c r="Q791" s="289"/>
      <c r="R791" s="81"/>
      <c r="S791" s="289"/>
      <c r="T791" s="81"/>
      <c r="U791" s="81"/>
      <c r="V791" s="81"/>
      <c r="W791" s="81"/>
      <c r="X791" s="81"/>
      <c r="Y791" s="81"/>
      <c r="Z791" s="81"/>
    </row>
    <row r="792" spans="1:26" ht="24" customHeight="1" x14ac:dyDescent="0.5">
      <c r="A792" s="81"/>
      <c r="B792" s="81"/>
      <c r="C792" s="81"/>
      <c r="D792" s="81"/>
      <c r="E792" s="81"/>
      <c r="F792" s="81"/>
      <c r="G792" s="81"/>
      <c r="H792" s="81"/>
      <c r="I792" s="289"/>
      <c r="J792" s="105"/>
      <c r="K792" s="81"/>
      <c r="L792" s="289"/>
      <c r="M792" s="81"/>
      <c r="N792" s="81"/>
      <c r="O792" s="289"/>
      <c r="P792" s="81"/>
      <c r="Q792" s="289"/>
      <c r="R792" s="81"/>
      <c r="S792" s="289"/>
      <c r="T792" s="81"/>
      <c r="U792" s="81"/>
      <c r="V792" s="81"/>
      <c r="W792" s="81"/>
      <c r="X792" s="81"/>
      <c r="Y792" s="81"/>
      <c r="Z792" s="81"/>
    </row>
    <row r="793" spans="1:26" ht="24" customHeight="1" x14ac:dyDescent="0.5">
      <c r="A793" s="81"/>
      <c r="B793" s="81"/>
      <c r="C793" s="81"/>
      <c r="D793" s="81"/>
      <c r="E793" s="81"/>
      <c r="F793" s="81"/>
      <c r="G793" s="81"/>
      <c r="H793" s="81"/>
      <c r="I793" s="289"/>
      <c r="J793" s="105"/>
      <c r="K793" s="81"/>
      <c r="L793" s="289"/>
      <c r="M793" s="81"/>
      <c r="N793" s="81"/>
      <c r="O793" s="289"/>
      <c r="P793" s="81"/>
      <c r="Q793" s="289"/>
      <c r="R793" s="81"/>
      <c r="S793" s="289"/>
      <c r="T793" s="81"/>
      <c r="U793" s="81"/>
      <c r="V793" s="81"/>
      <c r="W793" s="81"/>
      <c r="X793" s="81"/>
      <c r="Y793" s="81"/>
      <c r="Z793" s="81"/>
    </row>
    <row r="794" spans="1:26" ht="24" customHeight="1" x14ac:dyDescent="0.5">
      <c r="A794" s="81"/>
      <c r="B794" s="81"/>
      <c r="C794" s="81"/>
      <c r="D794" s="81"/>
      <c r="E794" s="81"/>
      <c r="F794" s="81"/>
      <c r="G794" s="81"/>
      <c r="H794" s="81"/>
      <c r="I794" s="289"/>
      <c r="J794" s="105"/>
      <c r="K794" s="81"/>
      <c r="L794" s="289"/>
      <c r="M794" s="81"/>
      <c r="N794" s="81"/>
      <c r="O794" s="289"/>
      <c r="P794" s="81"/>
      <c r="Q794" s="289"/>
      <c r="R794" s="81"/>
      <c r="S794" s="289"/>
      <c r="T794" s="81"/>
      <c r="U794" s="81"/>
      <c r="V794" s="81"/>
      <c r="W794" s="81"/>
      <c r="X794" s="81"/>
      <c r="Y794" s="81"/>
      <c r="Z794" s="81"/>
    </row>
    <row r="795" spans="1:26" ht="24" customHeight="1" x14ac:dyDescent="0.5">
      <c r="A795" s="81"/>
      <c r="B795" s="81"/>
      <c r="C795" s="81"/>
      <c r="D795" s="81"/>
      <c r="E795" s="81"/>
      <c r="F795" s="81"/>
      <c r="G795" s="81"/>
      <c r="H795" s="81"/>
      <c r="I795" s="289"/>
      <c r="J795" s="105"/>
      <c r="K795" s="81"/>
      <c r="L795" s="289"/>
      <c r="M795" s="81"/>
      <c r="N795" s="81"/>
      <c r="O795" s="289"/>
      <c r="P795" s="81"/>
      <c r="Q795" s="289"/>
      <c r="R795" s="81"/>
      <c r="S795" s="289"/>
      <c r="T795" s="81"/>
      <c r="U795" s="81"/>
      <c r="V795" s="81"/>
      <c r="W795" s="81"/>
      <c r="X795" s="81"/>
      <c r="Y795" s="81"/>
      <c r="Z795" s="81"/>
    </row>
    <row r="796" spans="1:26" ht="24" customHeight="1" x14ac:dyDescent="0.5">
      <c r="A796" s="81"/>
      <c r="B796" s="81"/>
      <c r="C796" s="81"/>
      <c r="D796" s="81"/>
      <c r="E796" s="81"/>
      <c r="F796" s="81"/>
      <c r="G796" s="81"/>
      <c r="H796" s="81"/>
      <c r="I796" s="289"/>
      <c r="J796" s="105"/>
      <c r="K796" s="81"/>
      <c r="L796" s="289"/>
      <c r="M796" s="81"/>
      <c r="N796" s="81"/>
      <c r="O796" s="289"/>
      <c r="P796" s="81"/>
      <c r="Q796" s="289"/>
      <c r="R796" s="81"/>
      <c r="S796" s="289"/>
      <c r="T796" s="81"/>
      <c r="U796" s="81"/>
      <c r="V796" s="81"/>
      <c r="W796" s="81"/>
      <c r="X796" s="81"/>
      <c r="Y796" s="81"/>
      <c r="Z796" s="81"/>
    </row>
    <row r="797" spans="1:26" ht="24" customHeight="1" x14ac:dyDescent="0.5">
      <c r="A797" s="81"/>
      <c r="B797" s="81"/>
      <c r="C797" s="81"/>
      <c r="D797" s="81"/>
      <c r="E797" s="81"/>
      <c r="F797" s="81"/>
      <c r="G797" s="81"/>
      <c r="H797" s="81"/>
      <c r="I797" s="289"/>
      <c r="J797" s="105"/>
      <c r="K797" s="81"/>
      <c r="L797" s="289"/>
      <c r="M797" s="81"/>
      <c r="N797" s="81"/>
      <c r="O797" s="289"/>
      <c r="P797" s="81"/>
      <c r="Q797" s="289"/>
      <c r="R797" s="81"/>
      <c r="S797" s="289"/>
      <c r="T797" s="81"/>
      <c r="U797" s="81"/>
      <c r="V797" s="81"/>
      <c r="W797" s="81"/>
      <c r="X797" s="81"/>
      <c r="Y797" s="81"/>
      <c r="Z797" s="81"/>
    </row>
    <row r="798" spans="1:26" ht="24" customHeight="1" x14ac:dyDescent="0.5">
      <c r="A798" s="81"/>
      <c r="B798" s="81"/>
      <c r="C798" s="81"/>
      <c r="D798" s="81"/>
      <c r="E798" s="81"/>
      <c r="F798" s="81"/>
      <c r="G798" s="81"/>
      <c r="H798" s="81"/>
      <c r="I798" s="289"/>
      <c r="J798" s="105"/>
      <c r="K798" s="81"/>
      <c r="L798" s="289"/>
      <c r="M798" s="81"/>
      <c r="N798" s="81"/>
      <c r="O798" s="289"/>
      <c r="P798" s="81"/>
      <c r="Q798" s="289"/>
      <c r="R798" s="81"/>
      <c r="S798" s="289"/>
      <c r="T798" s="81"/>
      <c r="U798" s="81"/>
      <c r="V798" s="81"/>
      <c r="W798" s="81"/>
      <c r="X798" s="81"/>
      <c r="Y798" s="81"/>
      <c r="Z798" s="81"/>
    </row>
    <row r="799" spans="1:26" ht="24" customHeight="1" x14ac:dyDescent="0.5">
      <c r="A799" s="81"/>
      <c r="B799" s="81"/>
      <c r="C799" s="81"/>
      <c r="D799" s="81"/>
      <c r="E799" s="81"/>
      <c r="F799" s="81"/>
      <c r="G799" s="81"/>
      <c r="H799" s="81"/>
      <c r="I799" s="289"/>
      <c r="J799" s="105"/>
      <c r="K799" s="81"/>
      <c r="L799" s="289"/>
      <c r="M799" s="81"/>
      <c r="N799" s="81"/>
      <c r="O799" s="289"/>
      <c r="P799" s="81"/>
      <c r="Q799" s="289"/>
      <c r="R799" s="81"/>
      <c r="S799" s="289"/>
      <c r="T799" s="81"/>
      <c r="U799" s="81"/>
      <c r="V799" s="81"/>
      <c r="W799" s="81"/>
      <c r="X799" s="81"/>
      <c r="Y799" s="81"/>
      <c r="Z799" s="81"/>
    </row>
    <row r="800" spans="1:26" ht="24" customHeight="1" x14ac:dyDescent="0.5">
      <c r="A800" s="81"/>
      <c r="B800" s="81"/>
      <c r="C800" s="81"/>
      <c r="D800" s="81"/>
      <c r="E800" s="81"/>
      <c r="F800" s="81"/>
      <c r="G800" s="81"/>
      <c r="H800" s="81"/>
      <c r="I800" s="289"/>
      <c r="J800" s="105"/>
      <c r="K800" s="81"/>
      <c r="L800" s="289"/>
      <c r="M800" s="81"/>
      <c r="N800" s="81"/>
      <c r="O800" s="289"/>
      <c r="P800" s="81"/>
      <c r="Q800" s="289"/>
      <c r="R800" s="81"/>
      <c r="S800" s="289"/>
      <c r="T800" s="81"/>
      <c r="U800" s="81"/>
      <c r="V800" s="81"/>
      <c r="W800" s="81"/>
      <c r="X800" s="81"/>
      <c r="Y800" s="81"/>
      <c r="Z800" s="81"/>
    </row>
    <row r="801" spans="1:26" ht="24" customHeight="1" x14ac:dyDescent="0.5">
      <c r="A801" s="81"/>
      <c r="B801" s="81"/>
      <c r="C801" s="81"/>
      <c r="D801" s="81"/>
      <c r="E801" s="81"/>
      <c r="F801" s="81"/>
      <c r="G801" s="81"/>
      <c r="H801" s="81"/>
      <c r="I801" s="289"/>
      <c r="J801" s="105"/>
      <c r="K801" s="81"/>
      <c r="L801" s="289"/>
      <c r="M801" s="81"/>
      <c r="N801" s="81"/>
      <c r="O801" s="289"/>
      <c r="P801" s="81"/>
      <c r="Q801" s="289"/>
      <c r="R801" s="81"/>
      <c r="S801" s="289"/>
      <c r="T801" s="81"/>
      <c r="U801" s="81"/>
      <c r="V801" s="81"/>
      <c r="W801" s="81"/>
      <c r="X801" s="81"/>
      <c r="Y801" s="81"/>
      <c r="Z801" s="81"/>
    </row>
    <row r="802" spans="1:26" ht="24" customHeight="1" x14ac:dyDescent="0.5">
      <c r="A802" s="81"/>
      <c r="B802" s="81"/>
      <c r="C802" s="81"/>
      <c r="D802" s="81"/>
      <c r="E802" s="81"/>
      <c r="F802" s="81"/>
      <c r="G802" s="81"/>
      <c r="H802" s="81"/>
      <c r="I802" s="289"/>
      <c r="J802" s="105"/>
      <c r="K802" s="81"/>
      <c r="L802" s="289"/>
      <c r="M802" s="81"/>
      <c r="N802" s="81"/>
      <c r="O802" s="289"/>
      <c r="P802" s="81"/>
      <c r="Q802" s="289"/>
      <c r="R802" s="81"/>
      <c r="S802" s="289"/>
      <c r="T802" s="81"/>
      <c r="U802" s="81"/>
      <c r="V802" s="81"/>
      <c r="W802" s="81"/>
      <c r="X802" s="81"/>
      <c r="Y802" s="81"/>
      <c r="Z802" s="81"/>
    </row>
    <row r="803" spans="1:26" ht="24" customHeight="1" x14ac:dyDescent="0.5">
      <c r="A803" s="81"/>
      <c r="B803" s="81"/>
      <c r="C803" s="81"/>
      <c r="D803" s="81"/>
      <c r="E803" s="81"/>
      <c r="F803" s="81"/>
      <c r="G803" s="81"/>
      <c r="H803" s="81"/>
      <c r="I803" s="289"/>
      <c r="J803" s="105"/>
      <c r="K803" s="81"/>
      <c r="L803" s="289"/>
      <c r="M803" s="81"/>
      <c r="N803" s="81"/>
      <c r="O803" s="289"/>
      <c r="P803" s="81"/>
      <c r="Q803" s="289"/>
      <c r="R803" s="81"/>
      <c r="S803" s="289"/>
      <c r="T803" s="81"/>
      <c r="U803" s="81"/>
      <c r="V803" s="81"/>
      <c r="W803" s="81"/>
      <c r="X803" s="81"/>
      <c r="Y803" s="81"/>
      <c r="Z803" s="81"/>
    </row>
    <row r="804" spans="1:26" ht="24" customHeight="1" x14ac:dyDescent="0.5">
      <c r="A804" s="81"/>
      <c r="B804" s="81"/>
      <c r="C804" s="81"/>
      <c r="D804" s="81"/>
      <c r="E804" s="81"/>
      <c r="F804" s="81"/>
      <c r="G804" s="81"/>
      <c r="H804" s="81"/>
      <c r="I804" s="289"/>
      <c r="J804" s="105"/>
      <c r="K804" s="81"/>
      <c r="L804" s="289"/>
      <c r="M804" s="81"/>
      <c r="N804" s="81"/>
      <c r="O804" s="289"/>
      <c r="P804" s="81"/>
      <c r="Q804" s="289"/>
      <c r="R804" s="81"/>
      <c r="S804" s="289"/>
      <c r="T804" s="81"/>
      <c r="U804" s="81"/>
      <c r="V804" s="81"/>
      <c r="W804" s="81"/>
      <c r="X804" s="81"/>
      <c r="Y804" s="81"/>
      <c r="Z804" s="81"/>
    </row>
    <row r="805" spans="1:26" ht="24" customHeight="1" x14ac:dyDescent="0.5">
      <c r="A805" s="81"/>
      <c r="B805" s="81"/>
      <c r="C805" s="81"/>
      <c r="D805" s="81"/>
      <c r="E805" s="81"/>
      <c r="F805" s="81"/>
      <c r="G805" s="81"/>
      <c r="H805" s="81"/>
      <c r="I805" s="289"/>
      <c r="J805" s="105"/>
      <c r="K805" s="81"/>
      <c r="L805" s="289"/>
      <c r="M805" s="81"/>
      <c r="N805" s="81"/>
      <c r="O805" s="289"/>
      <c r="P805" s="81"/>
      <c r="Q805" s="289"/>
      <c r="R805" s="81"/>
      <c r="S805" s="289"/>
      <c r="T805" s="81"/>
      <c r="U805" s="81"/>
      <c r="V805" s="81"/>
      <c r="W805" s="81"/>
      <c r="X805" s="81"/>
      <c r="Y805" s="81"/>
      <c r="Z805" s="81"/>
    </row>
    <row r="806" spans="1:26" ht="24" customHeight="1" x14ac:dyDescent="0.5">
      <c r="A806" s="81"/>
      <c r="B806" s="81"/>
      <c r="C806" s="81"/>
      <c r="D806" s="81"/>
      <c r="E806" s="81"/>
      <c r="F806" s="81"/>
      <c r="G806" s="81"/>
      <c r="H806" s="81"/>
      <c r="I806" s="289"/>
      <c r="J806" s="105"/>
      <c r="K806" s="81"/>
      <c r="L806" s="289"/>
      <c r="M806" s="81"/>
      <c r="N806" s="81"/>
      <c r="O806" s="289"/>
      <c r="P806" s="81"/>
      <c r="Q806" s="289"/>
      <c r="R806" s="81"/>
      <c r="S806" s="289"/>
      <c r="T806" s="81"/>
      <c r="U806" s="81"/>
      <c r="V806" s="81"/>
      <c r="W806" s="81"/>
      <c r="X806" s="81"/>
      <c r="Y806" s="81"/>
      <c r="Z806" s="81"/>
    </row>
    <row r="807" spans="1:26" ht="24" customHeight="1" x14ac:dyDescent="0.5">
      <c r="A807" s="81"/>
      <c r="B807" s="81"/>
      <c r="C807" s="81"/>
      <c r="D807" s="81"/>
      <c r="E807" s="81"/>
      <c r="F807" s="81"/>
      <c r="G807" s="81"/>
      <c r="H807" s="81"/>
      <c r="I807" s="289"/>
      <c r="J807" s="105"/>
      <c r="K807" s="81"/>
      <c r="L807" s="289"/>
      <c r="M807" s="81"/>
      <c r="N807" s="81"/>
      <c r="O807" s="289"/>
      <c r="P807" s="81"/>
      <c r="Q807" s="289"/>
      <c r="R807" s="81"/>
      <c r="S807" s="289"/>
      <c r="T807" s="81"/>
      <c r="U807" s="81"/>
      <c r="V807" s="81"/>
      <c r="W807" s="81"/>
      <c r="X807" s="81"/>
      <c r="Y807" s="81"/>
      <c r="Z807" s="81"/>
    </row>
    <row r="808" spans="1:26" ht="24" customHeight="1" x14ac:dyDescent="0.5">
      <c r="A808" s="81"/>
      <c r="B808" s="81"/>
      <c r="C808" s="81"/>
      <c r="D808" s="81"/>
      <c r="E808" s="81"/>
      <c r="F808" s="81"/>
      <c r="G808" s="81"/>
      <c r="H808" s="81"/>
      <c r="I808" s="289"/>
      <c r="J808" s="105"/>
      <c r="K808" s="81"/>
      <c r="L808" s="289"/>
      <c r="M808" s="81"/>
      <c r="N808" s="81"/>
      <c r="O808" s="289"/>
      <c r="P808" s="81"/>
      <c r="Q808" s="289"/>
      <c r="R808" s="81"/>
      <c r="S808" s="289"/>
      <c r="T808" s="81"/>
      <c r="U808" s="81"/>
      <c r="V808" s="81"/>
      <c r="W808" s="81"/>
      <c r="X808" s="81"/>
      <c r="Y808" s="81"/>
      <c r="Z808" s="81"/>
    </row>
    <row r="809" spans="1:26" ht="24" customHeight="1" x14ac:dyDescent="0.5">
      <c r="A809" s="81"/>
      <c r="B809" s="81"/>
      <c r="C809" s="81"/>
      <c r="D809" s="81"/>
      <c r="E809" s="81"/>
      <c r="F809" s="81"/>
      <c r="G809" s="81"/>
      <c r="H809" s="81"/>
      <c r="I809" s="289"/>
      <c r="J809" s="105"/>
      <c r="K809" s="81"/>
      <c r="L809" s="289"/>
      <c r="M809" s="81"/>
      <c r="N809" s="81"/>
      <c r="O809" s="289"/>
      <c r="P809" s="81"/>
      <c r="Q809" s="289"/>
      <c r="R809" s="81"/>
      <c r="S809" s="289"/>
      <c r="T809" s="81"/>
      <c r="U809" s="81"/>
      <c r="V809" s="81"/>
      <c r="W809" s="81"/>
      <c r="X809" s="81"/>
      <c r="Y809" s="81"/>
      <c r="Z809" s="81"/>
    </row>
    <row r="810" spans="1:26" ht="24" customHeight="1" x14ac:dyDescent="0.5">
      <c r="A810" s="81"/>
      <c r="B810" s="81"/>
      <c r="C810" s="81"/>
      <c r="D810" s="81"/>
      <c r="E810" s="81"/>
      <c r="F810" s="81"/>
      <c r="G810" s="81"/>
      <c r="H810" s="81"/>
      <c r="I810" s="289"/>
      <c r="J810" s="105"/>
      <c r="K810" s="81"/>
      <c r="L810" s="289"/>
      <c r="M810" s="81"/>
      <c r="N810" s="81"/>
      <c r="O810" s="289"/>
      <c r="P810" s="81"/>
      <c r="Q810" s="289"/>
      <c r="R810" s="81"/>
      <c r="S810" s="289"/>
      <c r="T810" s="81"/>
      <c r="U810" s="81"/>
      <c r="V810" s="81"/>
      <c r="W810" s="81"/>
      <c r="X810" s="81"/>
      <c r="Y810" s="81"/>
      <c r="Z810" s="81"/>
    </row>
    <row r="811" spans="1:26" ht="24" customHeight="1" x14ac:dyDescent="0.5">
      <c r="A811" s="81"/>
      <c r="B811" s="81"/>
      <c r="C811" s="81"/>
      <c r="D811" s="81"/>
      <c r="E811" s="81"/>
      <c r="F811" s="81"/>
      <c r="G811" s="81"/>
      <c r="H811" s="81"/>
      <c r="I811" s="289"/>
      <c r="J811" s="105"/>
      <c r="K811" s="81"/>
      <c r="L811" s="289"/>
      <c r="M811" s="81"/>
      <c r="N811" s="81"/>
      <c r="O811" s="289"/>
      <c r="P811" s="81"/>
      <c r="Q811" s="289"/>
      <c r="R811" s="81"/>
      <c r="S811" s="289"/>
      <c r="T811" s="81"/>
      <c r="U811" s="81"/>
      <c r="V811" s="81"/>
      <c r="W811" s="81"/>
      <c r="X811" s="81"/>
      <c r="Y811" s="81"/>
      <c r="Z811" s="81"/>
    </row>
    <row r="812" spans="1:26" ht="24" customHeight="1" x14ac:dyDescent="0.5">
      <c r="A812" s="81"/>
      <c r="B812" s="81"/>
      <c r="C812" s="81"/>
      <c r="D812" s="81"/>
      <c r="E812" s="81"/>
      <c r="F812" s="81"/>
      <c r="G812" s="81"/>
      <c r="H812" s="81"/>
      <c r="I812" s="289"/>
      <c r="J812" s="105"/>
      <c r="K812" s="81"/>
      <c r="L812" s="289"/>
      <c r="M812" s="81"/>
      <c r="N812" s="81"/>
      <c r="O812" s="289"/>
      <c r="P812" s="81"/>
      <c r="Q812" s="289"/>
      <c r="R812" s="81"/>
      <c r="S812" s="289"/>
      <c r="T812" s="81"/>
      <c r="U812" s="81"/>
      <c r="V812" s="81"/>
      <c r="W812" s="81"/>
      <c r="X812" s="81"/>
      <c r="Y812" s="81"/>
      <c r="Z812" s="81"/>
    </row>
    <row r="813" spans="1:26" ht="24" customHeight="1" x14ac:dyDescent="0.5">
      <c r="A813" s="81"/>
      <c r="B813" s="81"/>
      <c r="C813" s="81"/>
      <c r="D813" s="81"/>
      <c r="E813" s="81"/>
      <c r="F813" s="81"/>
      <c r="G813" s="81"/>
      <c r="H813" s="81"/>
      <c r="I813" s="289"/>
      <c r="J813" s="105"/>
      <c r="K813" s="81"/>
      <c r="L813" s="289"/>
      <c r="M813" s="81"/>
      <c r="N813" s="81"/>
      <c r="O813" s="289"/>
      <c r="P813" s="81"/>
      <c r="Q813" s="289"/>
      <c r="R813" s="81"/>
      <c r="S813" s="289"/>
      <c r="T813" s="81"/>
      <c r="U813" s="81"/>
      <c r="V813" s="81"/>
      <c r="W813" s="81"/>
      <c r="X813" s="81"/>
      <c r="Y813" s="81"/>
      <c r="Z813" s="81"/>
    </row>
    <row r="814" spans="1:26" ht="24" customHeight="1" x14ac:dyDescent="0.5">
      <c r="A814" s="81"/>
      <c r="B814" s="81"/>
      <c r="C814" s="81"/>
      <c r="D814" s="81"/>
      <c r="E814" s="81"/>
      <c r="F814" s="81"/>
      <c r="G814" s="81"/>
      <c r="H814" s="81"/>
      <c r="I814" s="289"/>
      <c r="J814" s="105"/>
      <c r="K814" s="81"/>
      <c r="L814" s="289"/>
      <c r="M814" s="81"/>
      <c r="N814" s="81"/>
      <c r="O814" s="289"/>
      <c r="P814" s="81"/>
      <c r="Q814" s="289"/>
      <c r="R814" s="81"/>
      <c r="S814" s="289"/>
      <c r="T814" s="81"/>
      <c r="U814" s="81"/>
      <c r="V814" s="81"/>
      <c r="W814" s="81"/>
      <c r="X814" s="81"/>
      <c r="Y814" s="81"/>
      <c r="Z814" s="81"/>
    </row>
    <row r="815" spans="1:26" ht="24" customHeight="1" x14ac:dyDescent="0.5">
      <c r="A815" s="81"/>
      <c r="B815" s="81"/>
      <c r="C815" s="81"/>
      <c r="D815" s="81"/>
      <c r="E815" s="81"/>
      <c r="F815" s="81"/>
      <c r="G815" s="81"/>
      <c r="H815" s="81"/>
      <c r="I815" s="289"/>
      <c r="J815" s="105"/>
      <c r="K815" s="81"/>
      <c r="L815" s="289"/>
      <c r="M815" s="81"/>
      <c r="N815" s="81"/>
      <c r="O815" s="289"/>
      <c r="P815" s="81"/>
      <c r="Q815" s="289"/>
      <c r="R815" s="81"/>
      <c r="S815" s="289"/>
      <c r="T815" s="81"/>
      <c r="U815" s="81"/>
      <c r="V815" s="81"/>
      <c r="W815" s="81"/>
      <c r="X815" s="81"/>
      <c r="Y815" s="81"/>
      <c r="Z815" s="81"/>
    </row>
    <row r="816" spans="1:26" ht="24" customHeight="1" x14ac:dyDescent="0.5">
      <c r="A816" s="81"/>
      <c r="B816" s="81"/>
      <c r="C816" s="81"/>
      <c r="D816" s="81"/>
      <c r="E816" s="81"/>
      <c r="F816" s="81"/>
      <c r="G816" s="81"/>
      <c r="H816" s="81"/>
      <c r="I816" s="289"/>
      <c r="J816" s="105"/>
      <c r="K816" s="81"/>
      <c r="L816" s="289"/>
      <c r="M816" s="81"/>
      <c r="N816" s="81"/>
      <c r="O816" s="289"/>
      <c r="P816" s="81"/>
      <c r="Q816" s="289"/>
      <c r="R816" s="81"/>
      <c r="S816" s="289"/>
      <c r="T816" s="81"/>
      <c r="U816" s="81"/>
      <c r="V816" s="81"/>
      <c r="W816" s="81"/>
      <c r="X816" s="81"/>
      <c r="Y816" s="81"/>
      <c r="Z816" s="81"/>
    </row>
    <row r="817" spans="1:26" ht="24" customHeight="1" x14ac:dyDescent="0.5">
      <c r="A817" s="81"/>
      <c r="B817" s="81"/>
      <c r="C817" s="81"/>
      <c r="D817" s="81"/>
      <c r="E817" s="81"/>
      <c r="F817" s="81"/>
      <c r="G817" s="81"/>
      <c r="H817" s="81"/>
      <c r="I817" s="289"/>
      <c r="J817" s="105"/>
      <c r="K817" s="81"/>
      <c r="L817" s="289"/>
      <c r="M817" s="81"/>
      <c r="N817" s="81"/>
      <c r="O817" s="289"/>
      <c r="P817" s="81"/>
      <c r="Q817" s="289"/>
      <c r="R817" s="81"/>
      <c r="S817" s="289"/>
      <c r="T817" s="81"/>
      <c r="U817" s="81"/>
      <c r="V817" s="81"/>
      <c r="W817" s="81"/>
      <c r="X817" s="81"/>
      <c r="Y817" s="81"/>
      <c r="Z817" s="81"/>
    </row>
    <row r="818" spans="1:26" ht="24" customHeight="1" x14ac:dyDescent="0.5">
      <c r="A818" s="81"/>
      <c r="B818" s="81"/>
      <c r="C818" s="81"/>
      <c r="D818" s="81"/>
      <c r="E818" s="81"/>
      <c r="F818" s="81"/>
      <c r="G818" s="81"/>
      <c r="H818" s="81"/>
      <c r="I818" s="289"/>
      <c r="J818" s="105"/>
      <c r="K818" s="81"/>
      <c r="L818" s="289"/>
      <c r="M818" s="81"/>
      <c r="N818" s="81"/>
      <c r="O818" s="289"/>
      <c r="P818" s="81"/>
      <c r="Q818" s="289"/>
      <c r="R818" s="81"/>
      <c r="S818" s="289"/>
      <c r="T818" s="81"/>
      <c r="U818" s="81"/>
      <c r="V818" s="81"/>
      <c r="W818" s="81"/>
      <c r="X818" s="81"/>
      <c r="Y818" s="81"/>
      <c r="Z818" s="81"/>
    </row>
    <row r="819" spans="1:26" ht="24" customHeight="1" x14ac:dyDescent="0.5">
      <c r="A819" s="81"/>
      <c r="B819" s="81"/>
      <c r="C819" s="81"/>
      <c r="D819" s="81"/>
      <c r="E819" s="81"/>
      <c r="F819" s="81"/>
      <c r="G819" s="81"/>
      <c r="H819" s="81"/>
      <c r="I819" s="289"/>
      <c r="J819" s="105"/>
      <c r="K819" s="81"/>
      <c r="L819" s="289"/>
      <c r="M819" s="81"/>
      <c r="N819" s="81"/>
      <c r="O819" s="289"/>
      <c r="P819" s="81"/>
      <c r="Q819" s="289"/>
      <c r="R819" s="81"/>
      <c r="S819" s="289"/>
      <c r="T819" s="81"/>
      <c r="U819" s="81"/>
      <c r="V819" s="81"/>
      <c r="W819" s="81"/>
      <c r="X819" s="81"/>
      <c r="Y819" s="81"/>
      <c r="Z819" s="81"/>
    </row>
    <row r="820" spans="1:26" ht="24" customHeight="1" x14ac:dyDescent="0.5">
      <c r="A820" s="81"/>
      <c r="B820" s="81"/>
      <c r="C820" s="81"/>
      <c r="D820" s="81"/>
      <c r="E820" s="81"/>
      <c r="F820" s="81"/>
      <c r="G820" s="81"/>
      <c r="H820" s="81"/>
      <c r="I820" s="289"/>
      <c r="J820" s="105"/>
      <c r="K820" s="81"/>
      <c r="L820" s="289"/>
      <c r="M820" s="81"/>
      <c r="N820" s="81"/>
      <c r="O820" s="289"/>
      <c r="P820" s="81"/>
      <c r="Q820" s="289"/>
      <c r="R820" s="81"/>
      <c r="S820" s="289"/>
      <c r="T820" s="81"/>
      <c r="U820" s="81"/>
      <c r="V820" s="81"/>
      <c r="W820" s="81"/>
      <c r="X820" s="81"/>
      <c r="Y820" s="81"/>
      <c r="Z820" s="81"/>
    </row>
    <row r="821" spans="1:26" ht="24" customHeight="1" x14ac:dyDescent="0.5">
      <c r="A821" s="81"/>
      <c r="B821" s="81"/>
      <c r="C821" s="81"/>
      <c r="D821" s="81"/>
      <c r="E821" s="81"/>
      <c r="F821" s="81"/>
      <c r="G821" s="81"/>
      <c r="H821" s="81"/>
      <c r="I821" s="289"/>
      <c r="J821" s="105"/>
      <c r="K821" s="81"/>
      <c r="L821" s="289"/>
      <c r="M821" s="81"/>
      <c r="N821" s="81"/>
      <c r="O821" s="289"/>
      <c r="P821" s="81"/>
      <c r="Q821" s="289"/>
      <c r="R821" s="81"/>
      <c r="S821" s="289"/>
      <c r="T821" s="81"/>
      <c r="U821" s="81"/>
      <c r="V821" s="81"/>
      <c r="W821" s="81"/>
      <c r="X821" s="81"/>
      <c r="Y821" s="81"/>
      <c r="Z821" s="81"/>
    </row>
    <row r="822" spans="1:26" ht="24" customHeight="1" x14ac:dyDescent="0.5">
      <c r="A822" s="81"/>
      <c r="B822" s="81"/>
      <c r="C822" s="81"/>
      <c r="D822" s="81"/>
      <c r="E822" s="81"/>
      <c r="F822" s="81"/>
      <c r="G822" s="81"/>
      <c r="H822" s="81"/>
      <c r="I822" s="289"/>
      <c r="J822" s="105"/>
      <c r="K822" s="81"/>
      <c r="L822" s="289"/>
      <c r="M822" s="81"/>
      <c r="N822" s="81"/>
      <c r="O822" s="289"/>
      <c r="P822" s="81"/>
      <c r="Q822" s="289"/>
      <c r="R822" s="81"/>
      <c r="S822" s="289"/>
      <c r="T822" s="81"/>
      <c r="U822" s="81"/>
      <c r="V822" s="81"/>
      <c r="W822" s="81"/>
      <c r="X822" s="81"/>
      <c r="Y822" s="81"/>
      <c r="Z822" s="81"/>
    </row>
    <row r="823" spans="1:26" ht="24" customHeight="1" x14ac:dyDescent="0.5">
      <c r="A823" s="81"/>
      <c r="B823" s="81"/>
      <c r="C823" s="81"/>
      <c r="D823" s="81"/>
      <c r="E823" s="81"/>
      <c r="F823" s="81"/>
      <c r="G823" s="81"/>
      <c r="H823" s="81"/>
      <c r="I823" s="289"/>
      <c r="J823" s="105"/>
      <c r="K823" s="81"/>
      <c r="L823" s="289"/>
      <c r="M823" s="81"/>
      <c r="N823" s="81"/>
      <c r="O823" s="289"/>
      <c r="P823" s="81"/>
      <c r="Q823" s="289"/>
      <c r="R823" s="81"/>
      <c r="S823" s="289"/>
      <c r="T823" s="81"/>
      <c r="U823" s="81"/>
      <c r="V823" s="81"/>
      <c r="W823" s="81"/>
      <c r="X823" s="81"/>
      <c r="Y823" s="81"/>
      <c r="Z823" s="81"/>
    </row>
    <row r="824" spans="1:26" ht="24" customHeight="1" x14ac:dyDescent="0.5">
      <c r="A824" s="81"/>
      <c r="B824" s="81"/>
      <c r="C824" s="81"/>
      <c r="D824" s="81"/>
      <c r="E824" s="81"/>
      <c r="F824" s="81"/>
      <c r="G824" s="81"/>
      <c r="H824" s="81"/>
      <c r="I824" s="289"/>
      <c r="J824" s="105"/>
      <c r="K824" s="81"/>
      <c r="L824" s="289"/>
      <c r="M824" s="81"/>
      <c r="N824" s="81"/>
      <c r="O824" s="289"/>
      <c r="P824" s="81"/>
      <c r="Q824" s="289"/>
      <c r="R824" s="81"/>
      <c r="S824" s="289"/>
      <c r="T824" s="81"/>
      <c r="U824" s="81"/>
      <c r="V824" s="81"/>
      <c r="W824" s="81"/>
      <c r="X824" s="81"/>
      <c r="Y824" s="81"/>
      <c r="Z824" s="81"/>
    </row>
    <row r="825" spans="1:26" ht="24" customHeight="1" x14ac:dyDescent="0.5">
      <c r="A825" s="81"/>
      <c r="B825" s="81"/>
      <c r="C825" s="81"/>
      <c r="D825" s="81"/>
      <c r="E825" s="81"/>
      <c r="F825" s="81"/>
      <c r="G825" s="81"/>
      <c r="H825" s="81"/>
      <c r="I825" s="289"/>
      <c r="J825" s="105"/>
      <c r="K825" s="81"/>
      <c r="L825" s="289"/>
      <c r="M825" s="81"/>
      <c r="N825" s="81"/>
      <c r="O825" s="289"/>
      <c r="P825" s="81"/>
      <c r="Q825" s="289"/>
      <c r="R825" s="81"/>
      <c r="S825" s="289"/>
      <c r="T825" s="81"/>
      <c r="U825" s="81"/>
      <c r="V825" s="81"/>
      <c r="W825" s="81"/>
      <c r="X825" s="81"/>
      <c r="Y825" s="81"/>
      <c r="Z825" s="81"/>
    </row>
    <row r="826" spans="1:26" ht="24" customHeight="1" x14ac:dyDescent="0.5">
      <c r="A826" s="81"/>
      <c r="B826" s="81"/>
      <c r="C826" s="81"/>
      <c r="D826" s="81"/>
      <c r="E826" s="81"/>
      <c r="F826" s="81"/>
      <c r="G826" s="81"/>
      <c r="H826" s="81"/>
      <c r="I826" s="289"/>
      <c r="J826" s="105"/>
      <c r="K826" s="81"/>
      <c r="L826" s="289"/>
      <c r="M826" s="81"/>
      <c r="N826" s="81"/>
      <c r="O826" s="289"/>
      <c r="P826" s="81"/>
      <c r="Q826" s="289"/>
      <c r="R826" s="81"/>
      <c r="S826" s="289"/>
      <c r="T826" s="81"/>
      <c r="U826" s="81"/>
      <c r="V826" s="81"/>
      <c r="W826" s="81"/>
      <c r="X826" s="81"/>
      <c r="Y826" s="81"/>
      <c r="Z826" s="81"/>
    </row>
    <row r="827" spans="1:26" ht="24" customHeight="1" x14ac:dyDescent="0.5">
      <c r="A827" s="81"/>
      <c r="B827" s="81"/>
      <c r="C827" s="81"/>
      <c r="D827" s="81"/>
      <c r="E827" s="81"/>
      <c r="F827" s="81"/>
      <c r="G827" s="81"/>
      <c r="H827" s="81"/>
      <c r="I827" s="289"/>
      <c r="J827" s="105"/>
      <c r="K827" s="81"/>
      <c r="L827" s="289"/>
      <c r="M827" s="81"/>
      <c r="N827" s="81"/>
      <c r="O827" s="289"/>
      <c r="P827" s="81"/>
      <c r="Q827" s="289"/>
      <c r="R827" s="81"/>
      <c r="S827" s="289"/>
      <c r="T827" s="81"/>
      <c r="U827" s="81"/>
      <c r="V827" s="81"/>
      <c r="W827" s="81"/>
      <c r="X827" s="81"/>
      <c r="Y827" s="81"/>
      <c r="Z827" s="81"/>
    </row>
    <row r="828" spans="1:26" ht="24" customHeight="1" x14ac:dyDescent="0.5">
      <c r="A828" s="81"/>
      <c r="B828" s="81"/>
      <c r="C828" s="81"/>
      <c r="D828" s="81"/>
      <c r="E828" s="81"/>
      <c r="F828" s="81"/>
      <c r="G828" s="81"/>
      <c r="H828" s="81"/>
      <c r="I828" s="289"/>
      <c r="J828" s="105"/>
      <c r="K828" s="81"/>
      <c r="L828" s="289"/>
      <c r="M828" s="81"/>
      <c r="N828" s="81"/>
      <c r="O828" s="289"/>
      <c r="P828" s="81"/>
      <c r="Q828" s="289"/>
      <c r="R828" s="81"/>
      <c r="S828" s="289"/>
      <c r="T828" s="81"/>
      <c r="U828" s="81"/>
      <c r="V828" s="81"/>
      <c r="W828" s="81"/>
      <c r="X828" s="81"/>
      <c r="Y828" s="81"/>
      <c r="Z828" s="81"/>
    </row>
    <row r="829" spans="1:26" ht="24" customHeight="1" x14ac:dyDescent="0.5">
      <c r="A829" s="81"/>
      <c r="B829" s="81"/>
      <c r="C829" s="81"/>
      <c r="D829" s="81"/>
      <c r="E829" s="81"/>
      <c r="F829" s="81"/>
      <c r="G829" s="81"/>
      <c r="H829" s="81"/>
      <c r="I829" s="289"/>
      <c r="J829" s="105"/>
      <c r="K829" s="81"/>
      <c r="L829" s="289"/>
      <c r="M829" s="81"/>
      <c r="N829" s="81"/>
      <c r="O829" s="289"/>
      <c r="P829" s="81"/>
      <c r="Q829" s="289"/>
      <c r="R829" s="81"/>
      <c r="S829" s="289"/>
      <c r="T829" s="81"/>
      <c r="U829" s="81"/>
      <c r="V829" s="81"/>
      <c r="W829" s="81"/>
      <c r="X829" s="81"/>
      <c r="Y829" s="81"/>
      <c r="Z829" s="81"/>
    </row>
    <row r="830" spans="1:26" ht="24" customHeight="1" x14ac:dyDescent="0.5">
      <c r="A830" s="81"/>
      <c r="B830" s="81"/>
      <c r="C830" s="81"/>
      <c r="D830" s="81"/>
      <c r="E830" s="81"/>
      <c r="F830" s="81"/>
      <c r="G830" s="81"/>
      <c r="H830" s="81"/>
      <c r="I830" s="289"/>
      <c r="J830" s="105"/>
      <c r="K830" s="81"/>
      <c r="L830" s="289"/>
      <c r="M830" s="81"/>
      <c r="N830" s="81"/>
      <c r="O830" s="289"/>
      <c r="P830" s="81"/>
      <c r="Q830" s="289"/>
      <c r="R830" s="81"/>
      <c r="S830" s="289"/>
      <c r="T830" s="81"/>
      <c r="U830" s="81"/>
      <c r="V830" s="81"/>
      <c r="W830" s="81"/>
      <c r="X830" s="81"/>
      <c r="Y830" s="81"/>
      <c r="Z830" s="81"/>
    </row>
    <row r="831" spans="1:26" ht="24" customHeight="1" x14ac:dyDescent="0.5">
      <c r="A831" s="81"/>
      <c r="B831" s="81"/>
      <c r="C831" s="81"/>
      <c r="D831" s="81"/>
      <c r="E831" s="81"/>
      <c r="F831" s="81"/>
      <c r="G831" s="81"/>
      <c r="H831" s="81"/>
      <c r="I831" s="289"/>
      <c r="J831" s="105"/>
      <c r="K831" s="81"/>
      <c r="L831" s="289"/>
      <c r="M831" s="81"/>
      <c r="N831" s="81"/>
      <c r="O831" s="289"/>
      <c r="P831" s="81"/>
      <c r="Q831" s="289"/>
      <c r="R831" s="81"/>
      <c r="S831" s="289"/>
      <c r="T831" s="81"/>
      <c r="U831" s="81"/>
      <c r="V831" s="81"/>
      <c r="W831" s="81"/>
      <c r="X831" s="81"/>
      <c r="Y831" s="81"/>
      <c r="Z831" s="81"/>
    </row>
    <row r="832" spans="1:26" ht="24" customHeight="1" x14ac:dyDescent="0.5">
      <c r="A832" s="81"/>
      <c r="B832" s="81"/>
      <c r="C832" s="81"/>
      <c r="D832" s="81"/>
      <c r="E832" s="81"/>
      <c r="F832" s="81"/>
      <c r="G832" s="81"/>
      <c r="H832" s="81"/>
      <c r="I832" s="289"/>
      <c r="J832" s="105"/>
      <c r="K832" s="81"/>
      <c r="L832" s="289"/>
      <c r="M832" s="81"/>
      <c r="N832" s="81"/>
      <c r="O832" s="289"/>
      <c r="P832" s="81"/>
      <c r="Q832" s="289"/>
      <c r="R832" s="81"/>
      <c r="S832" s="289"/>
      <c r="T832" s="81"/>
      <c r="U832" s="81"/>
      <c r="V832" s="81"/>
      <c r="W832" s="81"/>
      <c r="X832" s="81"/>
      <c r="Y832" s="81"/>
      <c r="Z832" s="81"/>
    </row>
    <row r="833" spans="1:26" ht="24" customHeight="1" x14ac:dyDescent="0.5">
      <c r="A833" s="81"/>
      <c r="B833" s="81"/>
      <c r="C833" s="81"/>
      <c r="D833" s="81"/>
      <c r="E833" s="81"/>
      <c r="F833" s="81"/>
      <c r="G833" s="81"/>
      <c r="H833" s="81"/>
      <c r="I833" s="289"/>
      <c r="J833" s="105"/>
      <c r="K833" s="81"/>
      <c r="L833" s="289"/>
      <c r="M833" s="81"/>
      <c r="N833" s="81"/>
      <c r="O833" s="289"/>
      <c r="P833" s="81"/>
      <c r="Q833" s="289"/>
      <c r="R833" s="81"/>
      <c r="S833" s="289"/>
      <c r="T833" s="81"/>
      <c r="U833" s="81"/>
      <c r="V833" s="81"/>
      <c r="W833" s="81"/>
      <c r="X833" s="81"/>
      <c r="Y833" s="81"/>
      <c r="Z833" s="81"/>
    </row>
    <row r="834" spans="1:26" ht="24" customHeight="1" x14ac:dyDescent="0.5">
      <c r="A834" s="81"/>
      <c r="B834" s="81"/>
      <c r="C834" s="81"/>
      <c r="D834" s="81"/>
      <c r="E834" s="81"/>
      <c r="F834" s="81"/>
      <c r="G834" s="81"/>
      <c r="H834" s="81"/>
      <c r="I834" s="289"/>
      <c r="J834" s="105"/>
      <c r="K834" s="81"/>
      <c r="L834" s="289"/>
      <c r="M834" s="81"/>
      <c r="N834" s="81"/>
      <c r="O834" s="289"/>
      <c r="P834" s="81"/>
      <c r="Q834" s="289"/>
      <c r="R834" s="81"/>
      <c r="S834" s="289"/>
      <c r="T834" s="81"/>
      <c r="U834" s="81"/>
      <c r="V834" s="81"/>
      <c r="W834" s="81"/>
      <c r="X834" s="81"/>
      <c r="Y834" s="81"/>
      <c r="Z834" s="81"/>
    </row>
    <row r="835" spans="1:26" ht="24" customHeight="1" x14ac:dyDescent="0.5">
      <c r="A835" s="81"/>
      <c r="B835" s="81"/>
      <c r="C835" s="81"/>
      <c r="D835" s="81"/>
      <c r="E835" s="81"/>
      <c r="F835" s="81"/>
      <c r="G835" s="81"/>
      <c r="H835" s="81"/>
      <c r="I835" s="289"/>
      <c r="J835" s="105"/>
      <c r="K835" s="81"/>
      <c r="L835" s="289"/>
      <c r="M835" s="81"/>
      <c r="N835" s="81"/>
      <c r="O835" s="289"/>
      <c r="P835" s="81"/>
      <c r="Q835" s="289"/>
      <c r="R835" s="81"/>
      <c r="S835" s="289"/>
      <c r="T835" s="81"/>
      <c r="U835" s="81"/>
      <c r="V835" s="81"/>
      <c r="W835" s="81"/>
      <c r="X835" s="81"/>
      <c r="Y835" s="81"/>
      <c r="Z835" s="81"/>
    </row>
    <row r="836" spans="1:26" ht="24" customHeight="1" x14ac:dyDescent="0.5">
      <c r="A836" s="81"/>
      <c r="B836" s="81"/>
      <c r="C836" s="81"/>
      <c r="D836" s="81"/>
      <c r="E836" s="81"/>
      <c r="F836" s="81"/>
      <c r="G836" s="81"/>
      <c r="H836" s="81"/>
      <c r="I836" s="289"/>
      <c r="J836" s="105"/>
      <c r="K836" s="81"/>
      <c r="L836" s="289"/>
      <c r="M836" s="81"/>
      <c r="N836" s="81"/>
      <c r="O836" s="289"/>
      <c r="P836" s="81"/>
      <c r="Q836" s="289"/>
      <c r="R836" s="81"/>
      <c r="S836" s="289"/>
      <c r="T836" s="81"/>
      <c r="U836" s="81"/>
      <c r="V836" s="81"/>
      <c r="W836" s="81"/>
      <c r="X836" s="81"/>
      <c r="Y836" s="81"/>
      <c r="Z836" s="81"/>
    </row>
    <row r="837" spans="1:26" ht="24" customHeight="1" x14ac:dyDescent="0.5">
      <c r="A837" s="81"/>
      <c r="B837" s="81"/>
      <c r="C837" s="81"/>
      <c r="D837" s="81"/>
      <c r="E837" s="81"/>
      <c r="F837" s="81"/>
      <c r="G837" s="81"/>
      <c r="H837" s="81"/>
      <c r="I837" s="289"/>
      <c r="J837" s="105"/>
      <c r="K837" s="81"/>
      <c r="L837" s="289"/>
      <c r="M837" s="81"/>
      <c r="N837" s="81"/>
      <c r="O837" s="289"/>
      <c r="P837" s="81"/>
      <c r="Q837" s="289"/>
      <c r="R837" s="81"/>
      <c r="S837" s="289"/>
      <c r="T837" s="81"/>
      <c r="U837" s="81"/>
      <c r="V837" s="81"/>
      <c r="W837" s="81"/>
      <c r="X837" s="81"/>
      <c r="Y837" s="81"/>
      <c r="Z837" s="81"/>
    </row>
    <row r="838" spans="1:26" ht="24" customHeight="1" x14ac:dyDescent="0.5">
      <c r="A838" s="81"/>
      <c r="B838" s="81"/>
      <c r="C838" s="81"/>
      <c r="D838" s="81"/>
      <c r="E838" s="81"/>
      <c r="F838" s="81"/>
      <c r="G838" s="81"/>
      <c r="H838" s="81"/>
      <c r="I838" s="289"/>
      <c r="J838" s="105"/>
      <c r="K838" s="81"/>
      <c r="L838" s="289"/>
      <c r="M838" s="81"/>
      <c r="N838" s="81"/>
      <c r="O838" s="289"/>
      <c r="P838" s="81"/>
      <c r="Q838" s="289"/>
      <c r="R838" s="81"/>
      <c r="S838" s="289"/>
      <c r="T838" s="81"/>
      <c r="U838" s="81"/>
      <c r="V838" s="81"/>
      <c r="W838" s="81"/>
      <c r="X838" s="81"/>
      <c r="Y838" s="81"/>
      <c r="Z838" s="81"/>
    </row>
    <row r="839" spans="1:26" ht="24" customHeight="1" x14ac:dyDescent="0.5">
      <c r="A839" s="81"/>
      <c r="B839" s="81"/>
      <c r="C839" s="81"/>
      <c r="D839" s="81"/>
      <c r="E839" s="81"/>
      <c r="F839" s="81"/>
      <c r="G839" s="81"/>
      <c r="H839" s="81"/>
      <c r="I839" s="289"/>
      <c r="J839" s="105"/>
      <c r="K839" s="81"/>
      <c r="L839" s="289"/>
      <c r="M839" s="81"/>
      <c r="N839" s="81"/>
      <c r="O839" s="289"/>
      <c r="P839" s="81"/>
      <c r="Q839" s="289"/>
      <c r="R839" s="81"/>
      <c r="S839" s="289"/>
      <c r="T839" s="81"/>
      <c r="U839" s="81"/>
      <c r="V839" s="81"/>
      <c r="W839" s="81"/>
      <c r="X839" s="81"/>
      <c r="Y839" s="81"/>
      <c r="Z839" s="81"/>
    </row>
    <row r="840" spans="1:26" ht="24" customHeight="1" x14ac:dyDescent="0.5">
      <c r="A840" s="81"/>
      <c r="B840" s="81"/>
      <c r="C840" s="81"/>
      <c r="D840" s="81"/>
      <c r="E840" s="81"/>
      <c r="F840" s="81"/>
      <c r="G840" s="81"/>
      <c r="H840" s="81"/>
      <c r="I840" s="289"/>
      <c r="J840" s="105"/>
      <c r="K840" s="81"/>
      <c r="L840" s="289"/>
      <c r="M840" s="81"/>
      <c r="N840" s="81"/>
      <c r="O840" s="289"/>
      <c r="P840" s="81"/>
      <c r="Q840" s="289"/>
      <c r="R840" s="81"/>
      <c r="S840" s="289"/>
      <c r="T840" s="81"/>
      <c r="U840" s="81"/>
      <c r="V840" s="81"/>
      <c r="W840" s="81"/>
      <c r="X840" s="81"/>
      <c r="Y840" s="81"/>
      <c r="Z840" s="81"/>
    </row>
    <row r="841" spans="1:26" ht="24" customHeight="1" x14ac:dyDescent="0.5">
      <c r="A841" s="81"/>
      <c r="B841" s="81"/>
      <c r="C841" s="81"/>
      <c r="D841" s="81"/>
      <c r="E841" s="81"/>
      <c r="F841" s="81"/>
      <c r="G841" s="81"/>
      <c r="H841" s="81"/>
      <c r="I841" s="289"/>
      <c r="J841" s="105"/>
      <c r="K841" s="81"/>
      <c r="L841" s="289"/>
      <c r="M841" s="81"/>
      <c r="N841" s="81"/>
      <c r="O841" s="289"/>
      <c r="P841" s="81"/>
      <c r="Q841" s="289"/>
      <c r="R841" s="81"/>
      <c r="S841" s="289"/>
      <c r="T841" s="81"/>
      <c r="U841" s="81"/>
      <c r="V841" s="81"/>
      <c r="W841" s="81"/>
      <c r="X841" s="81"/>
      <c r="Y841" s="81"/>
      <c r="Z841" s="81"/>
    </row>
    <row r="842" spans="1:26" ht="24" customHeight="1" x14ac:dyDescent="0.5">
      <c r="A842" s="81"/>
      <c r="B842" s="81"/>
      <c r="C842" s="81"/>
      <c r="D842" s="81"/>
      <c r="E842" s="81"/>
      <c r="F842" s="81"/>
      <c r="G842" s="81"/>
      <c r="H842" s="81"/>
      <c r="I842" s="289"/>
      <c r="J842" s="105"/>
      <c r="K842" s="81"/>
      <c r="L842" s="289"/>
      <c r="M842" s="81"/>
      <c r="N842" s="81"/>
      <c r="O842" s="289"/>
      <c r="P842" s="81"/>
      <c r="Q842" s="289"/>
      <c r="R842" s="81"/>
      <c r="S842" s="289"/>
      <c r="T842" s="81"/>
      <c r="U842" s="81"/>
      <c r="V842" s="81"/>
      <c r="W842" s="81"/>
      <c r="X842" s="81"/>
      <c r="Y842" s="81"/>
      <c r="Z842" s="81"/>
    </row>
    <row r="843" spans="1:26" ht="24" customHeight="1" x14ac:dyDescent="0.5">
      <c r="A843" s="81"/>
      <c r="B843" s="81"/>
      <c r="C843" s="81"/>
      <c r="D843" s="81"/>
      <c r="E843" s="81"/>
      <c r="F843" s="81"/>
      <c r="G843" s="81"/>
      <c r="H843" s="81"/>
      <c r="I843" s="289"/>
      <c r="J843" s="105"/>
      <c r="K843" s="81"/>
      <c r="L843" s="289"/>
      <c r="M843" s="81"/>
      <c r="N843" s="81"/>
      <c r="O843" s="289"/>
      <c r="P843" s="81"/>
      <c r="Q843" s="289"/>
      <c r="R843" s="81"/>
      <c r="S843" s="289"/>
      <c r="T843" s="81"/>
      <c r="U843" s="81"/>
      <c r="V843" s="81"/>
      <c r="W843" s="81"/>
      <c r="X843" s="81"/>
      <c r="Y843" s="81"/>
      <c r="Z843" s="81"/>
    </row>
    <row r="844" spans="1:26" ht="24" customHeight="1" x14ac:dyDescent="0.5">
      <c r="A844" s="81"/>
      <c r="B844" s="81"/>
      <c r="C844" s="81"/>
      <c r="D844" s="81"/>
      <c r="E844" s="81"/>
      <c r="F844" s="81"/>
      <c r="G844" s="81"/>
      <c r="H844" s="81"/>
      <c r="I844" s="289"/>
      <c r="J844" s="105"/>
      <c r="K844" s="81"/>
      <c r="L844" s="289"/>
      <c r="M844" s="81"/>
      <c r="N844" s="81"/>
      <c r="O844" s="289"/>
      <c r="P844" s="81"/>
      <c r="Q844" s="289"/>
      <c r="R844" s="81"/>
      <c r="S844" s="289"/>
      <c r="T844" s="81"/>
      <c r="U844" s="81"/>
      <c r="V844" s="81"/>
      <c r="W844" s="81"/>
      <c r="X844" s="81"/>
      <c r="Y844" s="81"/>
      <c r="Z844" s="81"/>
    </row>
    <row r="845" spans="1:26" ht="24" customHeight="1" x14ac:dyDescent="0.5">
      <c r="A845" s="81"/>
      <c r="B845" s="81"/>
      <c r="C845" s="81"/>
      <c r="D845" s="81"/>
      <c r="E845" s="81"/>
      <c r="F845" s="81"/>
      <c r="G845" s="81"/>
      <c r="H845" s="81"/>
      <c r="I845" s="289"/>
      <c r="J845" s="105"/>
      <c r="K845" s="81"/>
      <c r="L845" s="289"/>
      <c r="M845" s="81"/>
      <c r="N845" s="81"/>
      <c r="O845" s="289"/>
      <c r="P845" s="81"/>
      <c r="Q845" s="289"/>
      <c r="R845" s="81"/>
      <c r="S845" s="289"/>
      <c r="T845" s="81"/>
      <c r="U845" s="81"/>
      <c r="V845" s="81"/>
      <c r="W845" s="81"/>
      <c r="X845" s="81"/>
      <c r="Y845" s="81"/>
      <c r="Z845" s="81"/>
    </row>
    <row r="846" spans="1:26" ht="24" customHeight="1" x14ac:dyDescent="0.5">
      <c r="A846" s="81"/>
      <c r="B846" s="81"/>
      <c r="C846" s="81"/>
      <c r="D846" s="81"/>
      <c r="E846" s="81"/>
      <c r="F846" s="81"/>
      <c r="G846" s="81"/>
      <c r="H846" s="81"/>
      <c r="I846" s="289"/>
      <c r="J846" s="105"/>
      <c r="K846" s="81"/>
      <c r="L846" s="289"/>
      <c r="M846" s="81"/>
      <c r="N846" s="81"/>
      <c r="O846" s="289"/>
      <c r="P846" s="81"/>
      <c r="Q846" s="289"/>
      <c r="R846" s="81"/>
      <c r="S846" s="289"/>
      <c r="T846" s="81"/>
      <c r="U846" s="81"/>
      <c r="V846" s="81"/>
      <c r="W846" s="81"/>
      <c r="X846" s="81"/>
      <c r="Y846" s="81"/>
      <c r="Z846" s="81"/>
    </row>
    <row r="847" spans="1:26" ht="24" customHeight="1" x14ac:dyDescent="0.5">
      <c r="A847" s="81"/>
      <c r="B847" s="81"/>
      <c r="C847" s="81"/>
      <c r="D847" s="81"/>
      <c r="E847" s="81"/>
      <c r="F847" s="81"/>
      <c r="G847" s="81"/>
      <c r="H847" s="81"/>
      <c r="I847" s="289"/>
      <c r="J847" s="105"/>
      <c r="K847" s="81"/>
      <c r="L847" s="289"/>
      <c r="M847" s="81"/>
      <c r="N847" s="81"/>
      <c r="O847" s="289"/>
      <c r="P847" s="81"/>
      <c r="Q847" s="289"/>
      <c r="R847" s="81"/>
      <c r="S847" s="289"/>
      <c r="T847" s="81"/>
      <c r="U847" s="81"/>
      <c r="V847" s="81"/>
      <c r="W847" s="81"/>
      <c r="X847" s="81"/>
      <c r="Y847" s="81"/>
      <c r="Z847" s="81"/>
    </row>
    <row r="848" spans="1:26" ht="24" customHeight="1" x14ac:dyDescent="0.5">
      <c r="A848" s="81"/>
      <c r="B848" s="81"/>
      <c r="C848" s="81"/>
      <c r="D848" s="81"/>
      <c r="E848" s="81"/>
      <c r="F848" s="81"/>
      <c r="G848" s="81"/>
      <c r="H848" s="81"/>
      <c r="I848" s="289"/>
      <c r="J848" s="105"/>
      <c r="K848" s="81"/>
      <c r="L848" s="289"/>
      <c r="M848" s="81"/>
      <c r="N848" s="81"/>
      <c r="O848" s="289"/>
      <c r="P848" s="81"/>
      <c r="Q848" s="289"/>
      <c r="R848" s="81"/>
      <c r="S848" s="289"/>
      <c r="T848" s="81"/>
      <c r="U848" s="81"/>
      <c r="V848" s="81"/>
      <c r="W848" s="81"/>
      <c r="X848" s="81"/>
      <c r="Y848" s="81"/>
      <c r="Z848" s="81"/>
    </row>
    <row r="849" spans="1:26" ht="24" customHeight="1" x14ac:dyDescent="0.5">
      <c r="A849" s="81"/>
      <c r="B849" s="81"/>
      <c r="C849" s="81"/>
      <c r="D849" s="81"/>
      <c r="E849" s="81"/>
      <c r="F849" s="81"/>
      <c r="G849" s="81"/>
      <c r="H849" s="81"/>
      <c r="I849" s="289"/>
      <c r="J849" s="105"/>
      <c r="K849" s="81"/>
      <c r="L849" s="289"/>
      <c r="M849" s="81"/>
      <c r="N849" s="81"/>
      <c r="O849" s="289"/>
      <c r="P849" s="81"/>
      <c r="Q849" s="289"/>
      <c r="R849" s="81"/>
      <c r="S849" s="289"/>
      <c r="T849" s="81"/>
      <c r="U849" s="81"/>
      <c r="V849" s="81"/>
      <c r="W849" s="81"/>
      <c r="X849" s="81"/>
      <c r="Y849" s="81"/>
      <c r="Z849" s="81"/>
    </row>
    <row r="850" spans="1:26" ht="24" customHeight="1" x14ac:dyDescent="0.5">
      <c r="A850" s="81"/>
      <c r="B850" s="81"/>
      <c r="C850" s="81"/>
      <c r="D850" s="81"/>
      <c r="E850" s="81"/>
      <c r="F850" s="81"/>
      <c r="G850" s="81"/>
      <c r="H850" s="81"/>
      <c r="I850" s="289"/>
      <c r="J850" s="105"/>
      <c r="K850" s="81"/>
      <c r="L850" s="289"/>
      <c r="M850" s="81"/>
      <c r="N850" s="81"/>
      <c r="O850" s="289"/>
      <c r="P850" s="81"/>
      <c r="Q850" s="289"/>
      <c r="R850" s="81"/>
      <c r="S850" s="289"/>
      <c r="T850" s="81"/>
      <c r="U850" s="81"/>
      <c r="V850" s="81"/>
      <c r="W850" s="81"/>
      <c r="X850" s="81"/>
      <c r="Y850" s="81"/>
      <c r="Z850" s="81"/>
    </row>
    <row r="851" spans="1:26" ht="24" customHeight="1" x14ac:dyDescent="0.5">
      <c r="A851" s="81"/>
      <c r="B851" s="81"/>
      <c r="C851" s="81"/>
      <c r="D851" s="81"/>
      <c r="E851" s="81"/>
      <c r="F851" s="81"/>
      <c r="G851" s="81"/>
      <c r="H851" s="81"/>
      <c r="I851" s="289"/>
      <c r="J851" s="105"/>
      <c r="K851" s="81"/>
      <c r="L851" s="289"/>
      <c r="M851" s="81"/>
      <c r="N851" s="81"/>
      <c r="O851" s="289"/>
      <c r="P851" s="81"/>
      <c r="Q851" s="289"/>
      <c r="R851" s="81"/>
      <c r="S851" s="289"/>
      <c r="T851" s="81"/>
      <c r="U851" s="81"/>
      <c r="V851" s="81"/>
      <c r="W851" s="81"/>
      <c r="X851" s="81"/>
      <c r="Y851" s="81"/>
      <c r="Z851" s="81"/>
    </row>
    <row r="852" spans="1:26" ht="24" customHeight="1" x14ac:dyDescent="0.5">
      <c r="A852" s="81"/>
      <c r="B852" s="81"/>
      <c r="C852" s="81"/>
      <c r="D852" s="81"/>
      <c r="E852" s="81"/>
      <c r="F852" s="81"/>
      <c r="G852" s="81"/>
      <c r="H852" s="81"/>
      <c r="I852" s="289"/>
      <c r="J852" s="105"/>
      <c r="K852" s="81"/>
      <c r="L852" s="289"/>
      <c r="M852" s="81"/>
      <c r="N852" s="81"/>
      <c r="O852" s="289"/>
      <c r="P852" s="81"/>
      <c r="Q852" s="289"/>
      <c r="R852" s="81"/>
      <c r="S852" s="289"/>
      <c r="T852" s="81"/>
      <c r="U852" s="81"/>
      <c r="V852" s="81"/>
      <c r="W852" s="81"/>
      <c r="X852" s="81"/>
      <c r="Y852" s="81"/>
      <c r="Z852" s="81"/>
    </row>
    <row r="853" spans="1:26" ht="24" customHeight="1" x14ac:dyDescent="0.5">
      <c r="A853" s="81"/>
      <c r="B853" s="81"/>
      <c r="C853" s="81"/>
      <c r="D853" s="81"/>
      <c r="E853" s="81"/>
      <c r="F853" s="81"/>
      <c r="G853" s="81"/>
      <c r="H853" s="81"/>
      <c r="I853" s="289"/>
      <c r="J853" s="105"/>
      <c r="K853" s="81"/>
      <c r="L853" s="289"/>
      <c r="M853" s="81"/>
      <c r="N853" s="81"/>
      <c r="O853" s="289"/>
      <c r="P853" s="81"/>
      <c r="Q853" s="289"/>
      <c r="R853" s="81"/>
      <c r="S853" s="289"/>
      <c r="T853" s="81"/>
      <c r="U853" s="81"/>
      <c r="V853" s="81"/>
      <c r="W853" s="81"/>
      <c r="X853" s="81"/>
      <c r="Y853" s="81"/>
      <c r="Z853" s="81"/>
    </row>
    <row r="854" spans="1:26" ht="24" customHeight="1" x14ac:dyDescent="0.5">
      <c r="A854" s="81"/>
      <c r="B854" s="81"/>
      <c r="C854" s="81"/>
      <c r="D854" s="81"/>
      <c r="E854" s="81"/>
      <c r="F854" s="81"/>
      <c r="G854" s="81"/>
      <c r="H854" s="81"/>
      <c r="I854" s="289"/>
      <c r="J854" s="105"/>
      <c r="K854" s="81"/>
      <c r="L854" s="289"/>
      <c r="M854" s="81"/>
      <c r="N854" s="81"/>
      <c r="O854" s="289"/>
      <c r="P854" s="81"/>
      <c r="Q854" s="289"/>
      <c r="R854" s="81"/>
      <c r="S854" s="289"/>
      <c r="T854" s="81"/>
      <c r="U854" s="81"/>
      <c r="V854" s="81"/>
      <c r="W854" s="81"/>
      <c r="X854" s="81"/>
      <c r="Y854" s="81"/>
      <c r="Z854" s="81"/>
    </row>
    <row r="855" spans="1:26" ht="24" customHeight="1" x14ac:dyDescent="0.5">
      <c r="A855" s="81"/>
      <c r="B855" s="81"/>
      <c r="C855" s="81"/>
      <c r="D855" s="81"/>
      <c r="E855" s="81"/>
      <c r="F855" s="81"/>
      <c r="G855" s="81"/>
      <c r="H855" s="81"/>
      <c r="I855" s="289"/>
      <c r="J855" s="105"/>
      <c r="K855" s="81"/>
      <c r="L855" s="289"/>
      <c r="M855" s="81"/>
      <c r="N855" s="81"/>
      <c r="O855" s="289"/>
      <c r="P855" s="81"/>
      <c r="Q855" s="289"/>
      <c r="R855" s="81"/>
      <c r="S855" s="289"/>
      <c r="T855" s="81"/>
      <c r="U855" s="81"/>
      <c r="V855" s="81"/>
      <c r="W855" s="81"/>
      <c r="X855" s="81"/>
      <c r="Y855" s="81"/>
      <c r="Z855" s="81"/>
    </row>
    <row r="856" spans="1:26" ht="24" customHeight="1" x14ac:dyDescent="0.5">
      <c r="A856" s="81"/>
      <c r="B856" s="81"/>
      <c r="C856" s="81"/>
      <c r="D856" s="81"/>
      <c r="E856" s="81"/>
      <c r="F856" s="81"/>
      <c r="G856" s="81"/>
      <c r="H856" s="81"/>
      <c r="I856" s="289"/>
      <c r="J856" s="105"/>
      <c r="K856" s="81"/>
      <c r="L856" s="289"/>
      <c r="M856" s="81"/>
      <c r="N856" s="81"/>
      <c r="O856" s="289"/>
      <c r="P856" s="81"/>
      <c r="Q856" s="289"/>
      <c r="R856" s="81"/>
      <c r="S856" s="289"/>
      <c r="T856" s="81"/>
      <c r="U856" s="81"/>
      <c r="V856" s="81"/>
      <c r="W856" s="81"/>
      <c r="X856" s="81"/>
      <c r="Y856" s="81"/>
      <c r="Z856" s="81"/>
    </row>
    <row r="857" spans="1:26" ht="24" customHeight="1" x14ac:dyDescent="0.5">
      <c r="A857" s="81"/>
      <c r="B857" s="81"/>
      <c r="C857" s="81"/>
      <c r="D857" s="81"/>
      <c r="E857" s="81"/>
      <c r="F857" s="81"/>
      <c r="G857" s="81"/>
      <c r="H857" s="81"/>
      <c r="I857" s="289"/>
      <c r="J857" s="105"/>
      <c r="K857" s="81"/>
      <c r="L857" s="289"/>
      <c r="M857" s="81"/>
      <c r="N857" s="81"/>
      <c r="O857" s="289"/>
      <c r="P857" s="81"/>
      <c r="Q857" s="289"/>
      <c r="R857" s="81"/>
      <c r="S857" s="289"/>
      <c r="T857" s="81"/>
      <c r="U857" s="81"/>
      <c r="V857" s="81"/>
      <c r="W857" s="81"/>
      <c r="X857" s="81"/>
      <c r="Y857" s="81"/>
      <c r="Z857" s="81"/>
    </row>
    <row r="858" spans="1:26" ht="24" customHeight="1" x14ac:dyDescent="0.5">
      <c r="A858" s="81"/>
      <c r="B858" s="81"/>
      <c r="C858" s="81"/>
      <c r="D858" s="81"/>
      <c r="E858" s="81"/>
      <c r="F858" s="81"/>
      <c r="G858" s="81"/>
      <c r="H858" s="81"/>
      <c r="I858" s="289"/>
      <c r="J858" s="105"/>
      <c r="K858" s="81"/>
      <c r="L858" s="289"/>
      <c r="M858" s="81"/>
      <c r="N858" s="81"/>
      <c r="O858" s="289"/>
      <c r="P858" s="81"/>
      <c r="Q858" s="289"/>
      <c r="R858" s="81"/>
      <c r="S858" s="289"/>
      <c r="T858" s="81"/>
      <c r="U858" s="81"/>
      <c r="V858" s="81"/>
      <c r="W858" s="81"/>
      <c r="X858" s="81"/>
      <c r="Y858" s="81"/>
      <c r="Z858" s="81"/>
    </row>
    <row r="859" spans="1:26" ht="24" customHeight="1" x14ac:dyDescent="0.5">
      <c r="A859" s="81"/>
      <c r="B859" s="81"/>
      <c r="C859" s="81"/>
      <c r="D859" s="81"/>
      <c r="E859" s="81"/>
      <c r="F859" s="81"/>
      <c r="G859" s="81"/>
      <c r="H859" s="81"/>
      <c r="I859" s="289"/>
      <c r="J859" s="105"/>
      <c r="K859" s="81"/>
      <c r="L859" s="289"/>
      <c r="M859" s="81"/>
      <c r="N859" s="81"/>
      <c r="O859" s="289"/>
      <c r="P859" s="81"/>
      <c r="Q859" s="289"/>
      <c r="R859" s="81"/>
      <c r="S859" s="289"/>
      <c r="T859" s="81"/>
      <c r="U859" s="81"/>
      <c r="V859" s="81"/>
      <c r="W859" s="81"/>
      <c r="X859" s="81"/>
      <c r="Y859" s="81"/>
      <c r="Z859" s="81"/>
    </row>
    <row r="860" spans="1:26" ht="24" customHeight="1" x14ac:dyDescent="0.5">
      <c r="A860" s="81"/>
      <c r="B860" s="81"/>
      <c r="C860" s="81"/>
      <c r="D860" s="81"/>
      <c r="E860" s="81"/>
      <c r="F860" s="81"/>
      <c r="G860" s="81"/>
      <c r="H860" s="81"/>
      <c r="I860" s="289"/>
      <c r="J860" s="105"/>
      <c r="K860" s="81"/>
      <c r="L860" s="289"/>
      <c r="M860" s="81"/>
      <c r="N860" s="81"/>
      <c r="O860" s="289"/>
      <c r="P860" s="81"/>
      <c r="Q860" s="289"/>
      <c r="R860" s="81"/>
      <c r="S860" s="289"/>
      <c r="T860" s="81"/>
      <c r="U860" s="81"/>
      <c r="V860" s="81"/>
      <c r="W860" s="81"/>
      <c r="X860" s="81"/>
      <c r="Y860" s="81"/>
      <c r="Z860" s="81"/>
    </row>
    <row r="861" spans="1:26" ht="24" customHeight="1" x14ac:dyDescent="0.5">
      <c r="A861" s="81"/>
      <c r="B861" s="81"/>
      <c r="C861" s="81"/>
      <c r="D861" s="81"/>
      <c r="E861" s="81"/>
      <c r="F861" s="81"/>
      <c r="G861" s="81"/>
      <c r="H861" s="81"/>
      <c r="I861" s="289"/>
      <c r="J861" s="105"/>
      <c r="K861" s="81"/>
      <c r="L861" s="289"/>
      <c r="M861" s="81"/>
      <c r="N861" s="81"/>
      <c r="O861" s="289"/>
      <c r="P861" s="81"/>
      <c r="Q861" s="289"/>
      <c r="R861" s="81"/>
      <c r="S861" s="289"/>
      <c r="T861" s="81"/>
      <c r="U861" s="81"/>
      <c r="V861" s="81"/>
      <c r="W861" s="81"/>
      <c r="X861" s="81"/>
      <c r="Y861" s="81"/>
      <c r="Z861" s="81"/>
    </row>
    <row r="862" spans="1:26" ht="24" customHeight="1" x14ac:dyDescent="0.5">
      <c r="A862" s="81"/>
      <c r="B862" s="81"/>
      <c r="C862" s="81"/>
      <c r="D862" s="81"/>
      <c r="E862" s="81"/>
      <c r="F862" s="81"/>
      <c r="G862" s="81"/>
      <c r="H862" s="81"/>
      <c r="I862" s="289"/>
      <c r="J862" s="105"/>
      <c r="K862" s="81"/>
      <c r="L862" s="289"/>
      <c r="M862" s="81"/>
      <c r="N862" s="81"/>
      <c r="O862" s="289"/>
      <c r="P862" s="81"/>
      <c r="Q862" s="289"/>
      <c r="R862" s="81"/>
      <c r="S862" s="289"/>
      <c r="T862" s="81"/>
      <c r="U862" s="81"/>
      <c r="V862" s="81"/>
      <c r="W862" s="81"/>
      <c r="X862" s="81"/>
      <c r="Y862" s="81"/>
      <c r="Z862" s="81"/>
    </row>
    <row r="863" spans="1:26" ht="24" customHeight="1" x14ac:dyDescent="0.5">
      <c r="A863" s="81"/>
      <c r="B863" s="81"/>
      <c r="C863" s="81"/>
      <c r="D863" s="81"/>
      <c r="E863" s="81"/>
      <c r="F863" s="81"/>
      <c r="G863" s="81"/>
      <c r="H863" s="81"/>
      <c r="I863" s="289"/>
      <c r="J863" s="105"/>
      <c r="K863" s="81"/>
      <c r="L863" s="289"/>
      <c r="M863" s="81"/>
      <c r="N863" s="81"/>
      <c r="O863" s="289"/>
      <c r="P863" s="81"/>
      <c r="Q863" s="289"/>
      <c r="R863" s="81"/>
      <c r="S863" s="289"/>
      <c r="T863" s="81"/>
      <c r="U863" s="81"/>
      <c r="V863" s="81"/>
      <c r="W863" s="81"/>
      <c r="X863" s="81"/>
      <c r="Y863" s="81"/>
      <c r="Z863" s="81"/>
    </row>
    <row r="864" spans="1:26" ht="24" customHeight="1" x14ac:dyDescent="0.5">
      <c r="A864" s="81"/>
      <c r="B864" s="81"/>
      <c r="C864" s="81"/>
      <c r="D864" s="81"/>
      <c r="E864" s="81"/>
      <c r="F864" s="81"/>
      <c r="G864" s="81"/>
      <c r="H864" s="81"/>
      <c r="I864" s="289"/>
      <c r="J864" s="105"/>
      <c r="K864" s="81"/>
      <c r="L864" s="289"/>
      <c r="M864" s="81"/>
      <c r="N864" s="81"/>
      <c r="O864" s="289"/>
      <c r="P864" s="81"/>
      <c r="Q864" s="289"/>
      <c r="R864" s="81"/>
      <c r="S864" s="289"/>
      <c r="T864" s="81"/>
      <c r="U864" s="81"/>
      <c r="V864" s="81"/>
      <c r="W864" s="81"/>
      <c r="X864" s="81"/>
      <c r="Y864" s="81"/>
      <c r="Z864" s="81"/>
    </row>
    <row r="865" spans="1:26" ht="24" customHeight="1" x14ac:dyDescent="0.5">
      <c r="A865" s="81"/>
      <c r="B865" s="81"/>
      <c r="C865" s="81"/>
      <c r="D865" s="81"/>
      <c r="E865" s="81"/>
      <c r="F865" s="81"/>
      <c r="G865" s="81"/>
      <c r="H865" s="81"/>
      <c r="I865" s="289"/>
      <c r="J865" s="105"/>
      <c r="K865" s="81"/>
      <c r="L865" s="289"/>
      <c r="M865" s="81"/>
      <c r="N865" s="81"/>
      <c r="O865" s="289"/>
      <c r="P865" s="81"/>
      <c r="Q865" s="289"/>
      <c r="R865" s="81"/>
      <c r="S865" s="289"/>
      <c r="T865" s="81"/>
      <c r="U865" s="81"/>
      <c r="V865" s="81"/>
      <c r="W865" s="81"/>
      <c r="X865" s="81"/>
      <c r="Y865" s="81"/>
      <c r="Z865" s="81"/>
    </row>
    <row r="866" spans="1:26" ht="24" customHeight="1" x14ac:dyDescent="0.5">
      <c r="A866" s="81"/>
      <c r="B866" s="81"/>
      <c r="C866" s="81"/>
      <c r="D866" s="81"/>
      <c r="E866" s="81"/>
      <c r="F866" s="81"/>
      <c r="G866" s="81"/>
      <c r="H866" s="81"/>
      <c r="I866" s="289"/>
      <c r="J866" s="105"/>
      <c r="K866" s="81"/>
      <c r="L866" s="289"/>
      <c r="M866" s="81"/>
      <c r="N866" s="81"/>
      <c r="O866" s="289"/>
      <c r="P866" s="81"/>
      <c r="Q866" s="289"/>
      <c r="R866" s="81"/>
      <c r="S866" s="289"/>
      <c r="T866" s="81"/>
      <c r="U866" s="81"/>
      <c r="V866" s="81"/>
      <c r="W866" s="81"/>
      <c r="X866" s="81"/>
      <c r="Y866" s="81"/>
      <c r="Z866" s="81"/>
    </row>
    <row r="867" spans="1:26" ht="24" customHeight="1" x14ac:dyDescent="0.5">
      <c r="A867" s="81"/>
      <c r="B867" s="81"/>
      <c r="C867" s="81"/>
      <c r="D867" s="81"/>
      <c r="E867" s="81"/>
      <c r="F867" s="81"/>
      <c r="G867" s="81"/>
      <c r="H867" s="81"/>
      <c r="I867" s="289"/>
      <c r="J867" s="105"/>
      <c r="K867" s="81"/>
      <c r="L867" s="289"/>
      <c r="M867" s="81"/>
      <c r="N867" s="81"/>
      <c r="O867" s="289"/>
      <c r="P867" s="81"/>
      <c r="Q867" s="289"/>
      <c r="R867" s="81"/>
      <c r="S867" s="289"/>
      <c r="T867" s="81"/>
      <c r="U867" s="81"/>
      <c r="V867" s="81"/>
      <c r="W867" s="81"/>
      <c r="X867" s="81"/>
      <c r="Y867" s="81"/>
      <c r="Z867" s="81"/>
    </row>
    <row r="868" spans="1:26" ht="24" customHeight="1" x14ac:dyDescent="0.5">
      <c r="A868" s="81"/>
      <c r="B868" s="81"/>
      <c r="C868" s="81"/>
      <c r="D868" s="81"/>
      <c r="E868" s="81"/>
      <c r="F868" s="81"/>
      <c r="G868" s="81"/>
      <c r="H868" s="81"/>
      <c r="I868" s="289"/>
      <c r="J868" s="105"/>
      <c r="K868" s="81"/>
      <c r="L868" s="289"/>
      <c r="M868" s="81"/>
      <c r="N868" s="81"/>
      <c r="O868" s="289"/>
      <c r="P868" s="81"/>
      <c r="Q868" s="289"/>
      <c r="R868" s="81"/>
      <c r="S868" s="289"/>
      <c r="T868" s="81"/>
      <c r="U868" s="81"/>
      <c r="V868" s="81"/>
      <c r="W868" s="81"/>
      <c r="X868" s="81"/>
      <c r="Y868" s="81"/>
      <c r="Z868" s="81"/>
    </row>
    <row r="869" spans="1:26" ht="24" customHeight="1" x14ac:dyDescent="0.5">
      <c r="A869" s="81"/>
      <c r="B869" s="81"/>
      <c r="C869" s="81"/>
      <c r="D869" s="81"/>
      <c r="E869" s="81"/>
      <c r="F869" s="81"/>
      <c r="G869" s="81"/>
      <c r="H869" s="81"/>
      <c r="I869" s="289"/>
      <c r="J869" s="105"/>
      <c r="K869" s="81"/>
      <c r="L869" s="289"/>
      <c r="M869" s="81"/>
      <c r="N869" s="81"/>
      <c r="O869" s="289"/>
      <c r="P869" s="81"/>
      <c r="Q869" s="289"/>
      <c r="R869" s="81"/>
      <c r="S869" s="289"/>
      <c r="T869" s="81"/>
      <c r="U869" s="81"/>
      <c r="V869" s="81"/>
      <c r="W869" s="81"/>
      <c r="X869" s="81"/>
      <c r="Y869" s="81"/>
      <c r="Z869" s="81"/>
    </row>
    <row r="870" spans="1:26" ht="24" customHeight="1" x14ac:dyDescent="0.5">
      <c r="A870" s="81"/>
      <c r="B870" s="81"/>
      <c r="C870" s="81"/>
      <c r="D870" s="81"/>
      <c r="E870" s="81"/>
      <c r="F870" s="81"/>
      <c r="G870" s="81"/>
      <c r="H870" s="81"/>
      <c r="I870" s="289"/>
      <c r="J870" s="105"/>
      <c r="K870" s="81"/>
      <c r="L870" s="289"/>
      <c r="M870" s="81"/>
      <c r="N870" s="81"/>
      <c r="O870" s="289"/>
      <c r="P870" s="81"/>
      <c r="Q870" s="289"/>
      <c r="R870" s="81"/>
      <c r="S870" s="289"/>
      <c r="T870" s="81"/>
      <c r="U870" s="81"/>
      <c r="V870" s="81"/>
      <c r="W870" s="81"/>
      <c r="X870" s="81"/>
      <c r="Y870" s="81"/>
      <c r="Z870" s="81"/>
    </row>
    <row r="871" spans="1:26" ht="24" customHeight="1" x14ac:dyDescent="0.5">
      <c r="A871" s="81"/>
      <c r="B871" s="81"/>
      <c r="C871" s="81"/>
      <c r="D871" s="81"/>
      <c r="E871" s="81"/>
      <c r="F871" s="81"/>
      <c r="G871" s="81"/>
      <c r="H871" s="81"/>
      <c r="I871" s="289"/>
      <c r="J871" s="105"/>
      <c r="K871" s="81"/>
      <c r="L871" s="289"/>
      <c r="M871" s="81"/>
      <c r="N871" s="81"/>
      <c r="O871" s="289"/>
      <c r="P871" s="81"/>
      <c r="Q871" s="289"/>
      <c r="R871" s="81"/>
      <c r="S871" s="289"/>
      <c r="T871" s="81"/>
      <c r="U871" s="81"/>
      <c r="V871" s="81"/>
      <c r="W871" s="81"/>
      <c r="X871" s="81"/>
      <c r="Y871" s="81"/>
      <c r="Z871" s="81"/>
    </row>
    <row r="872" spans="1:26" ht="24" customHeight="1" x14ac:dyDescent="0.5">
      <c r="A872" s="81"/>
      <c r="B872" s="81"/>
      <c r="C872" s="81"/>
      <c r="D872" s="81"/>
      <c r="E872" s="81"/>
      <c r="F872" s="81"/>
      <c r="G872" s="81"/>
      <c r="H872" s="81"/>
      <c r="I872" s="289"/>
      <c r="J872" s="105"/>
      <c r="K872" s="81"/>
      <c r="L872" s="289"/>
      <c r="M872" s="81"/>
      <c r="N872" s="81"/>
      <c r="O872" s="289"/>
      <c r="P872" s="81"/>
      <c r="Q872" s="289"/>
      <c r="R872" s="81"/>
      <c r="S872" s="289"/>
      <c r="T872" s="81"/>
      <c r="U872" s="81"/>
      <c r="V872" s="81"/>
      <c r="W872" s="81"/>
      <c r="X872" s="81"/>
      <c r="Y872" s="81"/>
      <c r="Z872" s="81"/>
    </row>
    <row r="873" spans="1:26" ht="24" customHeight="1" x14ac:dyDescent="0.5">
      <c r="A873" s="81"/>
      <c r="B873" s="81"/>
      <c r="C873" s="81"/>
      <c r="D873" s="81"/>
      <c r="E873" s="81"/>
      <c r="F873" s="81"/>
      <c r="G873" s="81"/>
      <c r="H873" s="81"/>
      <c r="I873" s="289"/>
      <c r="J873" s="105"/>
      <c r="K873" s="81"/>
      <c r="L873" s="289"/>
      <c r="M873" s="81"/>
      <c r="N873" s="81"/>
      <c r="O873" s="289"/>
      <c r="P873" s="81"/>
      <c r="Q873" s="289"/>
      <c r="R873" s="81"/>
      <c r="S873" s="289"/>
      <c r="T873" s="81"/>
      <c r="U873" s="81"/>
      <c r="V873" s="81"/>
      <c r="W873" s="81"/>
      <c r="X873" s="81"/>
      <c r="Y873" s="81"/>
      <c r="Z873" s="81"/>
    </row>
    <row r="874" spans="1:26" ht="24" customHeight="1" x14ac:dyDescent="0.5">
      <c r="A874" s="81"/>
      <c r="B874" s="81"/>
      <c r="C874" s="81"/>
      <c r="D874" s="81"/>
      <c r="E874" s="81"/>
      <c r="F874" s="81"/>
      <c r="G874" s="81"/>
      <c r="H874" s="81"/>
      <c r="I874" s="289"/>
      <c r="J874" s="105"/>
      <c r="K874" s="81"/>
      <c r="L874" s="289"/>
      <c r="M874" s="81"/>
      <c r="N874" s="81"/>
      <c r="O874" s="289"/>
      <c r="P874" s="81"/>
      <c r="Q874" s="289"/>
      <c r="R874" s="81"/>
      <c r="S874" s="289"/>
      <c r="T874" s="81"/>
      <c r="U874" s="81"/>
      <c r="V874" s="81"/>
      <c r="W874" s="81"/>
      <c r="X874" s="81"/>
      <c r="Y874" s="81"/>
      <c r="Z874" s="81"/>
    </row>
    <row r="875" spans="1:26" ht="24" customHeight="1" x14ac:dyDescent="0.5">
      <c r="A875" s="81"/>
      <c r="B875" s="81"/>
      <c r="C875" s="81"/>
      <c r="D875" s="81"/>
      <c r="E875" s="81"/>
      <c r="F875" s="81"/>
      <c r="G875" s="81"/>
      <c r="H875" s="81"/>
      <c r="I875" s="289"/>
      <c r="J875" s="105"/>
      <c r="K875" s="81"/>
      <c r="L875" s="289"/>
      <c r="M875" s="81"/>
      <c r="N875" s="81"/>
      <c r="O875" s="289"/>
      <c r="P875" s="81"/>
      <c r="Q875" s="289"/>
      <c r="R875" s="81"/>
      <c r="S875" s="289"/>
      <c r="T875" s="81"/>
      <c r="U875" s="81"/>
      <c r="V875" s="81"/>
      <c r="W875" s="81"/>
      <c r="X875" s="81"/>
      <c r="Y875" s="81"/>
      <c r="Z875" s="81"/>
    </row>
    <row r="876" spans="1:26" ht="24" customHeight="1" x14ac:dyDescent="0.5">
      <c r="A876" s="81"/>
      <c r="B876" s="81"/>
      <c r="C876" s="81"/>
      <c r="D876" s="81"/>
      <c r="E876" s="81"/>
      <c r="F876" s="81"/>
      <c r="G876" s="81"/>
      <c r="H876" s="81"/>
      <c r="I876" s="289"/>
      <c r="J876" s="105"/>
      <c r="K876" s="81"/>
      <c r="L876" s="289"/>
      <c r="M876" s="81"/>
      <c r="N876" s="81"/>
      <c r="O876" s="289"/>
      <c r="P876" s="81"/>
      <c r="Q876" s="289"/>
      <c r="R876" s="81"/>
      <c r="S876" s="289"/>
      <c r="T876" s="81"/>
      <c r="U876" s="81"/>
      <c r="V876" s="81"/>
      <c r="W876" s="81"/>
      <c r="X876" s="81"/>
      <c r="Y876" s="81"/>
      <c r="Z876" s="81"/>
    </row>
    <row r="877" spans="1:26" ht="24" customHeight="1" x14ac:dyDescent="0.5">
      <c r="A877" s="81"/>
      <c r="B877" s="81"/>
      <c r="C877" s="81"/>
      <c r="D877" s="81"/>
      <c r="E877" s="81"/>
      <c r="F877" s="81"/>
      <c r="G877" s="81"/>
      <c r="H877" s="81"/>
      <c r="I877" s="289"/>
      <c r="J877" s="105"/>
      <c r="K877" s="81"/>
      <c r="L877" s="289"/>
      <c r="M877" s="81"/>
      <c r="N877" s="81"/>
      <c r="O877" s="289"/>
      <c r="P877" s="81"/>
      <c r="Q877" s="289"/>
      <c r="R877" s="81"/>
      <c r="S877" s="289"/>
      <c r="T877" s="81"/>
      <c r="U877" s="81"/>
      <c r="V877" s="81"/>
      <c r="W877" s="81"/>
      <c r="X877" s="81"/>
      <c r="Y877" s="81"/>
      <c r="Z877" s="81"/>
    </row>
    <row r="878" spans="1:26" ht="24" customHeight="1" x14ac:dyDescent="0.5">
      <c r="A878" s="81"/>
      <c r="B878" s="81"/>
      <c r="C878" s="81"/>
      <c r="D878" s="81"/>
      <c r="E878" s="81"/>
      <c r="F878" s="81"/>
      <c r="G878" s="81"/>
      <c r="H878" s="81"/>
      <c r="I878" s="289"/>
      <c r="J878" s="105"/>
      <c r="K878" s="81"/>
      <c r="L878" s="289"/>
      <c r="M878" s="81"/>
      <c r="N878" s="81"/>
      <c r="O878" s="289"/>
      <c r="P878" s="81"/>
      <c r="Q878" s="289"/>
      <c r="R878" s="81"/>
      <c r="S878" s="289"/>
      <c r="T878" s="81"/>
      <c r="U878" s="81"/>
      <c r="V878" s="81"/>
      <c r="W878" s="81"/>
      <c r="X878" s="81"/>
      <c r="Y878" s="81"/>
      <c r="Z878" s="81"/>
    </row>
    <row r="879" spans="1:26" ht="24" customHeight="1" x14ac:dyDescent="0.5">
      <c r="A879" s="81"/>
      <c r="B879" s="81"/>
      <c r="C879" s="81"/>
      <c r="D879" s="81"/>
      <c r="E879" s="81"/>
      <c r="F879" s="81"/>
      <c r="G879" s="81"/>
      <c r="H879" s="81"/>
      <c r="I879" s="289"/>
      <c r="J879" s="105"/>
      <c r="K879" s="81"/>
      <c r="L879" s="289"/>
      <c r="M879" s="81"/>
      <c r="N879" s="81"/>
      <c r="O879" s="289"/>
      <c r="P879" s="81"/>
      <c r="Q879" s="289"/>
      <c r="R879" s="81"/>
      <c r="S879" s="289"/>
      <c r="T879" s="81"/>
      <c r="U879" s="81"/>
      <c r="V879" s="81"/>
      <c r="W879" s="81"/>
      <c r="X879" s="81"/>
      <c r="Y879" s="81"/>
      <c r="Z879" s="81"/>
    </row>
    <row r="880" spans="1:26" ht="24" customHeight="1" x14ac:dyDescent="0.5">
      <c r="A880" s="81"/>
      <c r="B880" s="81"/>
      <c r="C880" s="81"/>
      <c r="D880" s="81"/>
      <c r="E880" s="81"/>
      <c r="F880" s="81"/>
      <c r="G880" s="81"/>
      <c r="H880" s="81"/>
      <c r="I880" s="289"/>
      <c r="J880" s="105"/>
      <c r="K880" s="81"/>
      <c r="L880" s="289"/>
      <c r="M880" s="81"/>
      <c r="N880" s="81"/>
      <c r="O880" s="289"/>
      <c r="P880" s="81"/>
      <c r="Q880" s="289"/>
      <c r="R880" s="81"/>
      <c r="S880" s="289"/>
      <c r="T880" s="81"/>
      <c r="U880" s="81"/>
      <c r="V880" s="81"/>
      <c r="W880" s="81"/>
      <c r="X880" s="81"/>
      <c r="Y880" s="81"/>
      <c r="Z880" s="81"/>
    </row>
    <row r="881" spans="1:26" ht="24" customHeight="1" x14ac:dyDescent="0.5">
      <c r="A881" s="81"/>
      <c r="B881" s="81"/>
      <c r="C881" s="81"/>
      <c r="D881" s="81"/>
      <c r="E881" s="81"/>
      <c r="F881" s="81"/>
      <c r="G881" s="81"/>
      <c r="H881" s="81"/>
      <c r="I881" s="289"/>
      <c r="J881" s="105"/>
      <c r="K881" s="81"/>
      <c r="L881" s="289"/>
      <c r="M881" s="81"/>
      <c r="N881" s="81"/>
      <c r="O881" s="289"/>
      <c r="P881" s="81"/>
      <c r="Q881" s="289"/>
      <c r="R881" s="81"/>
      <c r="S881" s="289"/>
      <c r="T881" s="81"/>
      <c r="U881" s="81"/>
      <c r="V881" s="81"/>
      <c r="W881" s="81"/>
      <c r="X881" s="81"/>
      <c r="Y881" s="81"/>
      <c r="Z881" s="81"/>
    </row>
    <row r="882" spans="1:26" ht="24" customHeight="1" x14ac:dyDescent="0.5">
      <c r="A882" s="81"/>
      <c r="B882" s="81"/>
      <c r="C882" s="81"/>
      <c r="D882" s="81"/>
      <c r="E882" s="81"/>
      <c r="F882" s="81"/>
      <c r="G882" s="81"/>
      <c r="H882" s="81"/>
      <c r="I882" s="289"/>
      <c r="J882" s="105"/>
      <c r="K882" s="81"/>
      <c r="L882" s="289"/>
      <c r="M882" s="81"/>
      <c r="N882" s="81"/>
      <c r="O882" s="289"/>
      <c r="P882" s="81"/>
      <c r="Q882" s="289"/>
      <c r="R882" s="81"/>
      <c r="S882" s="289"/>
      <c r="T882" s="81"/>
      <c r="U882" s="81"/>
      <c r="V882" s="81"/>
      <c r="W882" s="81"/>
      <c r="X882" s="81"/>
      <c r="Y882" s="81"/>
      <c r="Z882" s="81"/>
    </row>
    <row r="883" spans="1:26" ht="24" customHeight="1" x14ac:dyDescent="0.5">
      <c r="A883" s="81"/>
      <c r="B883" s="81"/>
      <c r="C883" s="81"/>
      <c r="D883" s="81"/>
      <c r="E883" s="81"/>
      <c r="F883" s="81"/>
      <c r="G883" s="81"/>
      <c r="H883" s="81"/>
      <c r="I883" s="289"/>
      <c r="J883" s="105"/>
      <c r="K883" s="81"/>
      <c r="L883" s="289"/>
      <c r="M883" s="81"/>
      <c r="N883" s="81"/>
      <c r="O883" s="289"/>
      <c r="P883" s="81"/>
      <c r="Q883" s="289"/>
      <c r="R883" s="81"/>
      <c r="S883" s="289"/>
      <c r="T883" s="81"/>
      <c r="U883" s="81"/>
      <c r="V883" s="81"/>
      <c r="W883" s="81"/>
      <c r="X883" s="81"/>
      <c r="Y883" s="81"/>
      <c r="Z883" s="81"/>
    </row>
    <row r="884" spans="1:26" ht="24" customHeight="1" x14ac:dyDescent="0.5">
      <c r="A884" s="81"/>
      <c r="B884" s="81"/>
      <c r="C884" s="81"/>
      <c r="D884" s="81"/>
      <c r="E884" s="81"/>
      <c r="F884" s="81"/>
      <c r="G884" s="81"/>
      <c r="H884" s="81"/>
      <c r="I884" s="289"/>
      <c r="J884" s="105"/>
      <c r="K884" s="81"/>
      <c r="L884" s="289"/>
      <c r="M884" s="81"/>
      <c r="N884" s="81"/>
      <c r="O884" s="289"/>
      <c r="P884" s="81"/>
      <c r="Q884" s="289"/>
      <c r="R884" s="81"/>
      <c r="S884" s="289"/>
      <c r="T884" s="81"/>
      <c r="U884" s="81"/>
      <c r="V884" s="81"/>
      <c r="W884" s="81"/>
      <c r="X884" s="81"/>
      <c r="Y884" s="81"/>
      <c r="Z884" s="81"/>
    </row>
    <row r="885" spans="1:26" ht="24" customHeight="1" x14ac:dyDescent="0.5">
      <c r="A885" s="81"/>
      <c r="B885" s="81"/>
      <c r="C885" s="81"/>
      <c r="D885" s="81"/>
      <c r="E885" s="81"/>
      <c r="F885" s="81"/>
      <c r="G885" s="81"/>
      <c r="H885" s="81"/>
      <c r="I885" s="289"/>
      <c r="J885" s="105"/>
      <c r="K885" s="81"/>
      <c r="L885" s="289"/>
      <c r="M885" s="81"/>
      <c r="N885" s="81"/>
      <c r="O885" s="289"/>
      <c r="P885" s="81"/>
      <c r="Q885" s="289"/>
      <c r="R885" s="81"/>
      <c r="S885" s="289"/>
      <c r="T885" s="81"/>
      <c r="U885" s="81"/>
      <c r="V885" s="81"/>
      <c r="W885" s="81"/>
      <c r="X885" s="81"/>
      <c r="Y885" s="81"/>
      <c r="Z885" s="81"/>
    </row>
    <row r="886" spans="1:26" ht="24" customHeight="1" x14ac:dyDescent="0.5">
      <c r="A886" s="81"/>
      <c r="B886" s="81"/>
      <c r="C886" s="81"/>
      <c r="D886" s="81"/>
      <c r="E886" s="81"/>
      <c r="F886" s="81"/>
      <c r="G886" s="81"/>
      <c r="H886" s="81"/>
      <c r="I886" s="289"/>
      <c r="J886" s="105"/>
      <c r="K886" s="81"/>
      <c r="L886" s="289"/>
      <c r="M886" s="81"/>
      <c r="N886" s="81"/>
      <c r="O886" s="289"/>
      <c r="P886" s="81"/>
      <c r="Q886" s="289"/>
      <c r="R886" s="81"/>
      <c r="S886" s="289"/>
      <c r="T886" s="81"/>
      <c r="U886" s="81"/>
      <c r="V886" s="81"/>
      <c r="W886" s="81"/>
      <c r="X886" s="81"/>
      <c r="Y886" s="81"/>
      <c r="Z886" s="81"/>
    </row>
    <row r="887" spans="1:26" ht="24" customHeight="1" x14ac:dyDescent="0.5">
      <c r="A887" s="81"/>
      <c r="B887" s="81"/>
      <c r="C887" s="81"/>
      <c r="D887" s="81"/>
      <c r="E887" s="81"/>
      <c r="F887" s="81"/>
      <c r="G887" s="81"/>
      <c r="H887" s="81"/>
      <c r="I887" s="289"/>
      <c r="J887" s="105"/>
      <c r="K887" s="81"/>
      <c r="L887" s="289"/>
      <c r="M887" s="81"/>
      <c r="N887" s="81"/>
      <c r="O887" s="289"/>
      <c r="P887" s="81"/>
      <c r="Q887" s="289"/>
      <c r="R887" s="81"/>
      <c r="S887" s="289"/>
      <c r="T887" s="81"/>
      <c r="U887" s="81"/>
      <c r="V887" s="81"/>
      <c r="W887" s="81"/>
      <c r="X887" s="81"/>
      <c r="Y887" s="81"/>
      <c r="Z887" s="81"/>
    </row>
    <row r="888" spans="1:26" ht="24" customHeight="1" x14ac:dyDescent="0.5">
      <c r="A888" s="81"/>
      <c r="B888" s="81"/>
      <c r="C888" s="81"/>
      <c r="D888" s="81"/>
      <c r="E888" s="81"/>
      <c r="F888" s="81"/>
      <c r="G888" s="81"/>
      <c r="H888" s="81"/>
      <c r="I888" s="289"/>
      <c r="J888" s="105"/>
      <c r="K888" s="81"/>
      <c r="L888" s="289"/>
      <c r="M888" s="81"/>
      <c r="N888" s="81"/>
      <c r="O888" s="289"/>
      <c r="P888" s="81"/>
      <c r="Q888" s="289"/>
      <c r="R888" s="81"/>
      <c r="S888" s="289"/>
      <c r="T888" s="81"/>
      <c r="U888" s="81"/>
      <c r="V888" s="81"/>
      <c r="W888" s="81"/>
      <c r="X888" s="81"/>
      <c r="Y888" s="81"/>
      <c r="Z888" s="81"/>
    </row>
    <row r="889" spans="1:26" ht="24" customHeight="1" x14ac:dyDescent="0.5">
      <c r="A889" s="81"/>
      <c r="B889" s="81"/>
      <c r="C889" s="81"/>
      <c r="D889" s="81"/>
      <c r="E889" s="81"/>
      <c r="F889" s="81"/>
      <c r="G889" s="81"/>
      <c r="H889" s="81"/>
      <c r="I889" s="289"/>
      <c r="J889" s="105"/>
      <c r="K889" s="81"/>
      <c r="L889" s="289"/>
      <c r="M889" s="81"/>
      <c r="N889" s="81"/>
      <c r="O889" s="289"/>
      <c r="P889" s="81"/>
      <c r="Q889" s="289"/>
      <c r="R889" s="81"/>
      <c r="S889" s="289"/>
      <c r="T889" s="81"/>
      <c r="U889" s="81"/>
      <c r="V889" s="81"/>
      <c r="W889" s="81"/>
      <c r="X889" s="81"/>
      <c r="Y889" s="81"/>
      <c r="Z889" s="81"/>
    </row>
    <row r="890" spans="1:26" ht="24" customHeight="1" x14ac:dyDescent="0.5">
      <c r="A890" s="81"/>
      <c r="B890" s="81"/>
      <c r="C890" s="81"/>
      <c r="D890" s="81"/>
      <c r="E890" s="81"/>
      <c r="F890" s="81"/>
      <c r="G890" s="81"/>
      <c r="H890" s="81"/>
      <c r="I890" s="289"/>
      <c r="J890" s="105"/>
      <c r="K890" s="81"/>
      <c r="L890" s="289"/>
      <c r="M890" s="81"/>
      <c r="N890" s="81"/>
      <c r="O890" s="289"/>
      <c r="P890" s="81"/>
      <c r="Q890" s="289"/>
      <c r="R890" s="81"/>
      <c r="S890" s="289"/>
      <c r="T890" s="81"/>
      <c r="U890" s="81"/>
      <c r="V890" s="81"/>
      <c r="W890" s="81"/>
      <c r="X890" s="81"/>
      <c r="Y890" s="81"/>
      <c r="Z890" s="81"/>
    </row>
    <row r="891" spans="1:26" ht="24" customHeight="1" x14ac:dyDescent="0.5">
      <c r="A891" s="81"/>
      <c r="B891" s="81"/>
      <c r="C891" s="81"/>
      <c r="D891" s="81"/>
      <c r="E891" s="81"/>
      <c r="F891" s="81"/>
      <c r="G891" s="81"/>
      <c r="H891" s="81"/>
      <c r="I891" s="289"/>
      <c r="J891" s="105"/>
      <c r="K891" s="81"/>
      <c r="L891" s="289"/>
      <c r="M891" s="81"/>
      <c r="N891" s="81"/>
      <c r="O891" s="289"/>
      <c r="P891" s="81"/>
      <c r="Q891" s="289"/>
      <c r="R891" s="81"/>
      <c r="S891" s="289"/>
      <c r="T891" s="81"/>
      <c r="U891" s="81"/>
      <c r="V891" s="81"/>
      <c r="W891" s="81"/>
      <c r="X891" s="81"/>
      <c r="Y891" s="81"/>
      <c r="Z891" s="81"/>
    </row>
    <row r="892" spans="1:26" ht="24" customHeight="1" x14ac:dyDescent="0.5">
      <c r="A892" s="81"/>
      <c r="B892" s="81"/>
      <c r="C892" s="81"/>
      <c r="D892" s="81"/>
      <c r="E892" s="81"/>
      <c r="F892" s="81"/>
      <c r="G892" s="81"/>
      <c r="H892" s="81"/>
      <c r="I892" s="289"/>
      <c r="J892" s="105"/>
      <c r="K892" s="81"/>
      <c r="L892" s="289"/>
      <c r="M892" s="81"/>
      <c r="N892" s="81"/>
      <c r="O892" s="289"/>
      <c r="P892" s="81"/>
      <c r="Q892" s="289"/>
      <c r="R892" s="81"/>
      <c r="S892" s="289"/>
      <c r="T892" s="81"/>
      <c r="U892" s="81"/>
      <c r="V892" s="81"/>
      <c r="W892" s="81"/>
      <c r="X892" s="81"/>
      <c r="Y892" s="81"/>
      <c r="Z892" s="81"/>
    </row>
    <row r="893" spans="1:26" ht="24" customHeight="1" x14ac:dyDescent="0.5">
      <c r="A893" s="81"/>
      <c r="B893" s="81"/>
      <c r="C893" s="81"/>
      <c r="D893" s="81"/>
      <c r="E893" s="81"/>
      <c r="F893" s="81"/>
      <c r="G893" s="81"/>
      <c r="H893" s="81"/>
      <c r="I893" s="289"/>
      <c r="J893" s="105"/>
      <c r="K893" s="81"/>
      <c r="L893" s="289"/>
      <c r="M893" s="81"/>
      <c r="N893" s="81"/>
      <c r="O893" s="289"/>
      <c r="P893" s="81"/>
      <c r="Q893" s="289"/>
      <c r="R893" s="81"/>
      <c r="S893" s="289"/>
      <c r="T893" s="81"/>
      <c r="U893" s="81"/>
      <c r="V893" s="81"/>
      <c r="W893" s="81"/>
      <c r="X893" s="81"/>
      <c r="Y893" s="81"/>
      <c r="Z893" s="81"/>
    </row>
    <row r="894" spans="1:26" ht="24" customHeight="1" x14ac:dyDescent="0.5">
      <c r="A894" s="81"/>
      <c r="B894" s="81"/>
      <c r="C894" s="81"/>
      <c r="D894" s="81"/>
      <c r="E894" s="81"/>
      <c r="F894" s="81"/>
      <c r="G894" s="81"/>
      <c r="H894" s="81"/>
      <c r="I894" s="289"/>
      <c r="J894" s="105"/>
      <c r="K894" s="81"/>
      <c r="L894" s="289"/>
      <c r="M894" s="81"/>
      <c r="N894" s="81"/>
      <c r="O894" s="289"/>
      <c r="P894" s="81"/>
      <c r="Q894" s="289"/>
      <c r="R894" s="81"/>
      <c r="S894" s="289"/>
      <c r="T894" s="81"/>
      <c r="U894" s="81"/>
      <c r="V894" s="81"/>
      <c r="W894" s="81"/>
      <c r="X894" s="81"/>
      <c r="Y894" s="81"/>
      <c r="Z894" s="81"/>
    </row>
    <row r="895" spans="1:26" ht="24" customHeight="1" x14ac:dyDescent="0.5">
      <c r="A895" s="81"/>
      <c r="B895" s="81"/>
      <c r="C895" s="81"/>
      <c r="D895" s="81"/>
      <c r="E895" s="81"/>
      <c r="F895" s="81"/>
      <c r="G895" s="81"/>
      <c r="H895" s="81"/>
      <c r="I895" s="289"/>
      <c r="J895" s="105"/>
      <c r="K895" s="81"/>
      <c r="L895" s="289"/>
      <c r="M895" s="81"/>
      <c r="N895" s="81"/>
      <c r="O895" s="289"/>
      <c r="P895" s="81"/>
      <c r="Q895" s="289"/>
      <c r="R895" s="81"/>
      <c r="S895" s="289"/>
      <c r="T895" s="81"/>
      <c r="U895" s="81"/>
      <c r="V895" s="81"/>
      <c r="W895" s="81"/>
      <c r="X895" s="81"/>
      <c r="Y895" s="81"/>
      <c r="Z895" s="81"/>
    </row>
    <row r="896" spans="1:26" ht="24" customHeight="1" x14ac:dyDescent="0.5">
      <c r="A896" s="81"/>
      <c r="B896" s="81"/>
      <c r="C896" s="81"/>
      <c r="D896" s="81"/>
      <c r="E896" s="81"/>
      <c r="F896" s="81"/>
      <c r="G896" s="81"/>
      <c r="H896" s="81"/>
      <c r="I896" s="289"/>
      <c r="J896" s="105"/>
      <c r="K896" s="81"/>
      <c r="L896" s="289"/>
      <c r="M896" s="81"/>
      <c r="N896" s="81"/>
      <c r="O896" s="289"/>
      <c r="P896" s="81"/>
      <c r="Q896" s="289"/>
      <c r="R896" s="81"/>
      <c r="S896" s="289"/>
      <c r="T896" s="81"/>
      <c r="U896" s="81"/>
      <c r="V896" s="81"/>
      <c r="W896" s="81"/>
      <c r="X896" s="81"/>
      <c r="Y896" s="81"/>
      <c r="Z896" s="81"/>
    </row>
    <row r="897" spans="1:26" ht="24" customHeight="1" x14ac:dyDescent="0.5">
      <c r="A897" s="81"/>
      <c r="B897" s="81"/>
      <c r="C897" s="81"/>
      <c r="D897" s="81"/>
      <c r="E897" s="81"/>
      <c r="F897" s="81"/>
      <c r="G897" s="81"/>
      <c r="H897" s="81"/>
      <c r="I897" s="289"/>
      <c r="J897" s="105"/>
      <c r="K897" s="81"/>
      <c r="L897" s="289"/>
      <c r="M897" s="81"/>
      <c r="N897" s="81"/>
      <c r="O897" s="289"/>
      <c r="P897" s="81"/>
      <c r="Q897" s="289"/>
      <c r="R897" s="81"/>
      <c r="S897" s="289"/>
      <c r="T897" s="81"/>
      <c r="U897" s="81"/>
      <c r="V897" s="81"/>
      <c r="W897" s="81"/>
      <c r="X897" s="81"/>
      <c r="Y897" s="81"/>
      <c r="Z897" s="81"/>
    </row>
    <row r="898" spans="1:26" ht="24" customHeight="1" x14ac:dyDescent="0.5">
      <c r="A898" s="81"/>
      <c r="B898" s="81"/>
      <c r="C898" s="81"/>
      <c r="D898" s="81"/>
      <c r="E898" s="81"/>
      <c r="F898" s="81"/>
      <c r="G898" s="81"/>
      <c r="H898" s="81"/>
      <c r="I898" s="289"/>
      <c r="J898" s="105"/>
      <c r="K898" s="81"/>
      <c r="L898" s="289"/>
      <c r="M898" s="81"/>
      <c r="N898" s="81"/>
      <c r="O898" s="289"/>
      <c r="P898" s="81"/>
      <c r="Q898" s="289"/>
      <c r="R898" s="81"/>
      <c r="S898" s="289"/>
      <c r="T898" s="81"/>
      <c r="U898" s="81"/>
      <c r="V898" s="81"/>
      <c r="W898" s="81"/>
      <c r="X898" s="81"/>
      <c r="Y898" s="81"/>
      <c r="Z898" s="81"/>
    </row>
    <row r="899" spans="1:26" ht="24" customHeight="1" x14ac:dyDescent="0.5">
      <c r="A899" s="81"/>
      <c r="B899" s="81"/>
      <c r="C899" s="81"/>
      <c r="D899" s="81"/>
      <c r="E899" s="81"/>
      <c r="F899" s="81"/>
      <c r="G899" s="81"/>
      <c r="H899" s="81"/>
      <c r="I899" s="289"/>
      <c r="J899" s="105"/>
      <c r="K899" s="81"/>
      <c r="L899" s="289"/>
      <c r="M899" s="81"/>
      <c r="N899" s="81"/>
      <c r="O899" s="289"/>
      <c r="P899" s="81"/>
      <c r="Q899" s="289"/>
      <c r="R899" s="81"/>
      <c r="S899" s="289"/>
      <c r="T899" s="81"/>
      <c r="U899" s="81"/>
      <c r="V899" s="81"/>
      <c r="W899" s="81"/>
      <c r="X899" s="81"/>
      <c r="Y899" s="81"/>
      <c r="Z899" s="81"/>
    </row>
    <row r="900" spans="1:26" ht="24" customHeight="1" x14ac:dyDescent="0.5">
      <c r="A900" s="81"/>
      <c r="B900" s="81"/>
      <c r="C900" s="81"/>
      <c r="D900" s="81"/>
      <c r="E900" s="81"/>
      <c r="F900" s="81"/>
      <c r="G900" s="81"/>
      <c r="H900" s="81"/>
      <c r="I900" s="289"/>
      <c r="J900" s="105"/>
      <c r="K900" s="81"/>
      <c r="L900" s="289"/>
      <c r="M900" s="81"/>
      <c r="N900" s="81"/>
      <c r="O900" s="289"/>
      <c r="P900" s="81"/>
      <c r="Q900" s="289"/>
      <c r="R900" s="81"/>
      <c r="S900" s="289"/>
      <c r="T900" s="81"/>
      <c r="U900" s="81"/>
      <c r="V900" s="81"/>
      <c r="W900" s="81"/>
      <c r="X900" s="81"/>
      <c r="Y900" s="81"/>
      <c r="Z900" s="81"/>
    </row>
    <row r="901" spans="1:26" ht="24" customHeight="1" x14ac:dyDescent="0.5">
      <c r="A901" s="81"/>
      <c r="B901" s="81"/>
      <c r="C901" s="81"/>
      <c r="D901" s="81"/>
      <c r="E901" s="81"/>
      <c r="F901" s="81"/>
      <c r="G901" s="81"/>
      <c r="H901" s="81"/>
      <c r="I901" s="289"/>
      <c r="J901" s="105"/>
      <c r="K901" s="81"/>
      <c r="L901" s="289"/>
      <c r="M901" s="81"/>
      <c r="N901" s="81"/>
      <c r="O901" s="289"/>
      <c r="P901" s="81"/>
      <c r="Q901" s="289"/>
      <c r="R901" s="81"/>
      <c r="S901" s="289"/>
      <c r="T901" s="81"/>
      <c r="U901" s="81"/>
      <c r="V901" s="81"/>
      <c r="W901" s="81"/>
      <c r="X901" s="81"/>
      <c r="Y901" s="81"/>
      <c r="Z901" s="81"/>
    </row>
    <row r="902" spans="1:26" ht="24" customHeight="1" x14ac:dyDescent="0.5">
      <c r="A902" s="81"/>
      <c r="B902" s="81"/>
      <c r="C902" s="81"/>
      <c r="D902" s="81"/>
      <c r="E902" s="81"/>
      <c r="F902" s="81"/>
      <c r="G902" s="81"/>
      <c r="H902" s="81"/>
      <c r="I902" s="289"/>
      <c r="J902" s="105"/>
      <c r="K902" s="81"/>
      <c r="L902" s="289"/>
      <c r="M902" s="81"/>
      <c r="N902" s="81"/>
      <c r="O902" s="289"/>
      <c r="P902" s="81"/>
      <c r="Q902" s="289"/>
      <c r="R902" s="81"/>
      <c r="S902" s="289"/>
      <c r="T902" s="81"/>
      <c r="U902" s="81"/>
      <c r="V902" s="81"/>
      <c r="W902" s="81"/>
      <c r="X902" s="81"/>
      <c r="Y902" s="81"/>
      <c r="Z902" s="81"/>
    </row>
    <row r="903" spans="1:26" ht="24" customHeight="1" x14ac:dyDescent="0.5">
      <c r="A903" s="81"/>
      <c r="B903" s="81"/>
      <c r="C903" s="81"/>
      <c r="D903" s="81"/>
      <c r="E903" s="81"/>
      <c r="F903" s="81"/>
      <c r="G903" s="81"/>
      <c r="H903" s="81"/>
      <c r="I903" s="289"/>
      <c r="J903" s="105"/>
      <c r="K903" s="81"/>
      <c r="L903" s="289"/>
      <c r="M903" s="81"/>
      <c r="N903" s="81"/>
      <c r="O903" s="289"/>
      <c r="P903" s="81"/>
      <c r="Q903" s="289"/>
      <c r="R903" s="81"/>
      <c r="S903" s="289"/>
      <c r="T903" s="81"/>
      <c r="U903" s="81"/>
      <c r="V903" s="81"/>
      <c r="W903" s="81"/>
      <c r="X903" s="81"/>
      <c r="Y903" s="81"/>
      <c r="Z903" s="81"/>
    </row>
    <row r="904" spans="1:26" ht="24" customHeight="1" x14ac:dyDescent="0.5">
      <c r="A904" s="81"/>
      <c r="B904" s="81"/>
      <c r="C904" s="81"/>
      <c r="D904" s="81"/>
      <c r="E904" s="81"/>
      <c r="F904" s="81"/>
      <c r="G904" s="81"/>
      <c r="H904" s="81"/>
      <c r="I904" s="289"/>
      <c r="J904" s="105"/>
      <c r="K904" s="81"/>
      <c r="L904" s="289"/>
      <c r="M904" s="81"/>
      <c r="N904" s="81"/>
      <c r="O904" s="289"/>
      <c r="P904" s="81"/>
      <c r="Q904" s="289"/>
      <c r="R904" s="81"/>
      <c r="S904" s="289"/>
      <c r="T904" s="81"/>
      <c r="U904" s="81"/>
      <c r="V904" s="81"/>
      <c r="W904" s="81"/>
      <c r="X904" s="81"/>
      <c r="Y904" s="81"/>
      <c r="Z904" s="81"/>
    </row>
    <row r="905" spans="1:26" ht="24" customHeight="1" x14ac:dyDescent="0.5">
      <c r="A905" s="81"/>
      <c r="B905" s="81"/>
      <c r="C905" s="81"/>
      <c r="D905" s="81"/>
      <c r="E905" s="81"/>
      <c r="F905" s="81"/>
      <c r="G905" s="81"/>
      <c r="H905" s="81"/>
      <c r="I905" s="289"/>
      <c r="J905" s="105"/>
      <c r="K905" s="81"/>
      <c r="L905" s="289"/>
      <c r="M905" s="81"/>
      <c r="N905" s="81"/>
      <c r="O905" s="289"/>
      <c r="P905" s="81"/>
      <c r="Q905" s="289"/>
      <c r="R905" s="81"/>
      <c r="S905" s="289"/>
      <c r="T905" s="81"/>
      <c r="U905" s="81"/>
      <c r="V905" s="81"/>
      <c r="W905" s="81"/>
      <c r="X905" s="81"/>
      <c r="Y905" s="81"/>
      <c r="Z905" s="81"/>
    </row>
    <row r="906" spans="1:26" ht="24" customHeight="1" x14ac:dyDescent="0.5">
      <c r="A906" s="81"/>
      <c r="B906" s="81"/>
      <c r="C906" s="81"/>
      <c r="D906" s="81"/>
      <c r="E906" s="81"/>
      <c r="F906" s="81"/>
      <c r="G906" s="81"/>
      <c r="H906" s="81"/>
      <c r="I906" s="289"/>
      <c r="J906" s="105"/>
      <c r="K906" s="81"/>
      <c r="L906" s="289"/>
      <c r="M906" s="81"/>
      <c r="N906" s="81"/>
      <c r="O906" s="289"/>
      <c r="P906" s="81"/>
      <c r="Q906" s="289"/>
      <c r="R906" s="81"/>
      <c r="S906" s="289"/>
      <c r="T906" s="81"/>
      <c r="U906" s="81"/>
      <c r="V906" s="81"/>
      <c r="W906" s="81"/>
      <c r="X906" s="81"/>
      <c r="Y906" s="81"/>
      <c r="Z906" s="81"/>
    </row>
    <row r="907" spans="1:26" ht="24" customHeight="1" x14ac:dyDescent="0.5">
      <c r="A907" s="81"/>
      <c r="B907" s="81"/>
      <c r="C907" s="81"/>
      <c r="D907" s="81"/>
      <c r="E907" s="81"/>
      <c r="F907" s="81"/>
      <c r="G907" s="81"/>
      <c r="H907" s="81"/>
      <c r="I907" s="289"/>
      <c r="J907" s="105"/>
      <c r="K907" s="81"/>
      <c r="L907" s="289"/>
      <c r="M907" s="81"/>
      <c r="N907" s="81"/>
      <c r="O907" s="289"/>
      <c r="P907" s="81"/>
      <c r="Q907" s="289"/>
      <c r="R907" s="81"/>
      <c r="S907" s="289"/>
      <c r="T907" s="81"/>
      <c r="U907" s="81"/>
      <c r="V907" s="81"/>
      <c r="W907" s="81"/>
      <c r="X907" s="81"/>
      <c r="Y907" s="81"/>
      <c r="Z907" s="81"/>
    </row>
    <row r="908" spans="1:26" ht="24" customHeight="1" x14ac:dyDescent="0.5">
      <c r="A908" s="81"/>
      <c r="B908" s="81"/>
      <c r="C908" s="81"/>
      <c r="D908" s="81"/>
      <c r="E908" s="81"/>
      <c r="F908" s="81"/>
      <c r="G908" s="81"/>
      <c r="H908" s="81"/>
      <c r="I908" s="289"/>
      <c r="J908" s="105"/>
      <c r="K908" s="81"/>
      <c r="L908" s="289"/>
      <c r="M908" s="81"/>
      <c r="N908" s="81"/>
      <c r="O908" s="289"/>
      <c r="P908" s="81"/>
      <c r="Q908" s="289"/>
      <c r="R908" s="81"/>
      <c r="S908" s="289"/>
      <c r="T908" s="81"/>
      <c r="U908" s="81"/>
      <c r="V908" s="81"/>
      <c r="W908" s="81"/>
      <c r="X908" s="81"/>
      <c r="Y908" s="81"/>
      <c r="Z908" s="81"/>
    </row>
    <row r="909" spans="1:26" ht="24" customHeight="1" x14ac:dyDescent="0.5">
      <c r="A909" s="81"/>
      <c r="B909" s="81"/>
      <c r="C909" s="81"/>
      <c r="D909" s="81"/>
      <c r="E909" s="81"/>
      <c r="F909" s="81"/>
      <c r="G909" s="81"/>
      <c r="H909" s="81"/>
      <c r="I909" s="289"/>
      <c r="J909" s="105"/>
      <c r="K909" s="81"/>
      <c r="L909" s="289"/>
      <c r="M909" s="81"/>
      <c r="N909" s="81"/>
      <c r="O909" s="289"/>
      <c r="P909" s="81"/>
      <c r="Q909" s="289"/>
      <c r="R909" s="81"/>
      <c r="S909" s="289"/>
      <c r="T909" s="81"/>
      <c r="U909" s="81"/>
      <c r="V909" s="81"/>
      <c r="W909" s="81"/>
      <c r="X909" s="81"/>
      <c r="Y909" s="81"/>
      <c r="Z909" s="81"/>
    </row>
    <row r="910" spans="1:26" ht="24" customHeight="1" x14ac:dyDescent="0.5">
      <c r="A910" s="81"/>
      <c r="B910" s="81"/>
      <c r="C910" s="81"/>
      <c r="D910" s="81"/>
      <c r="E910" s="81"/>
      <c r="F910" s="81"/>
      <c r="G910" s="81"/>
      <c r="H910" s="81"/>
      <c r="I910" s="289"/>
      <c r="J910" s="105"/>
      <c r="K910" s="81"/>
      <c r="L910" s="289"/>
      <c r="M910" s="81"/>
      <c r="N910" s="81"/>
      <c r="O910" s="289"/>
      <c r="P910" s="81"/>
      <c r="Q910" s="289"/>
      <c r="R910" s="81"/>
      <c r="S910" s="289"/>
      <c r="T910" s="81"/>
      <c r="U910" s="81"/>
      <c r="V910" s="81"/>
      <c r="W910" s="81"/>
      <c r="X910" s="81"/>
      <c r="Y910" s="81"/>
      <c r="Z910" s="81"/>
    </row>
    <row r="911" spans="1:26" ht="24" customHeight="1" x14ac:dyDescent="0.5">
      <c r="A911" s="81"/>
      <c r="B911" s="81"/>
      <c r="C911" s="81"/>
      <c r="D911" s="81"/>
      <c r="E911" s="81"/>
      <c r="F911" s="81"/>
      <c r="G911" s="81"/>
      <c r="H911" s="81"/>
      <c r="I911" s="289"/>
      <c r="J911" s="105"/>
      <c r="K911" s="81"/>
      <c r="L911" s="289"/>
      <c r="M911" s="81"/>
      <c r="N911" s="81"/>
      <c r="O911" s="289"/>
      <c r="P911" s="81"/>
      <c r="Q911" s="289"/>
      <c r="R911" s="81"/>
      <c r="S911" s="289"/>
      <c r="T911" s="81"/>
      <c r="U911" s="81"/>
      <c r="V911" s="81"/>
      <c r="W911" s="81"/>
      <c r="X911" s="81"/>
      <c r="Y911" s="81"/>
      <c r="Z911" s="81"/>
    </row>
    <row r="912" spans="1:26" ht="24" customHeight="1" x14ac:dyDescent="0.5">
      <c r="A912" s="81"/>
      <c r="B912" s="81"/>
      <c r="C912" s="81"/>
      <c r="D912" s="81"/>
      <c r="E912" s="81"/>
      <c r="F912" s="81"/>
      <c r="G912" s="81"/>
      <c r="H912" s="81"/>
      <c r="I912" s="289"/>
      <c r="J912" s="105"/>
      <c r="K912" s="81"/>
      <c r="L912" s="289"/>
      <c r="M912" s="81"/>
      <c r="N912" s="81"/>
      <c r="O912" s="289"/>
      <c r="P912" s="81"/>
      <c r="Q912" s="289"/>
      <c r="R912" s="81"/>
      <c r="S912" s="289"/>
      <c r="T912" s="81"/>
      <c r="U912" s="81"/>
      <c r="V912" s="81"/>
      <c r="W912" s="81"/>
      <c r="X912" s="81"/>
      <c r="Y912" s="81"/>
      <c r="Z912" s="81"/>
    </row>
    <row r="913" spans="1:26" ht="24" customHeight="1" x14ac:dyDescent="0.5">
      <c r="A913" s="81"/>
      <c r="B913" s="81"/>
      <c r="C913" s="81"/>
      <c r="D913" s="81"/>
      <c r="E913" s="81"/>
      <c r="F913" s="81"/>
      <c r="G913" s="81"/>
      <c r="H913" s="81"/>
      <c r="I913" s="289"/>
      <c r="J913" s="105"/>
      <c r="K913" s="81"/>
      <c r="L913" s="289"/>
      <c r="M913" s="81"/>
      <c r="N913" s="81"/>
      <c r="O913" s="289"/>
      <c r="P913" s="81"/>
      <c r="Q913" s="289"/>
      <c r="R913" s="81"/>
      <c r="S913" s="289"/>
      <c r="T913" s="81"/>
      <c r="U913" s="81"/>
      <c r="V913" s="81"/>
      <c r="W913" s="81"/>
      <c r="X913" s="81"/>
      <c r="Y913" s="81"/>
      <c r="Z913" s="81"/>
    </row>
    <row r="914" spans="1:26" ht="24" customHeight="1" x14ac:dyDescent="0.5">
      <c r="A914" s="81"/>
      <c r="B914" s="81"/>
      <c r="C914" s="81"/>
      <c r="D914" s="81"/>
      <c r="E914" s="81"/>
      <c r="F914" s="81"/>
      <c r="G914" s="81"/>
      <c r="H914" s="81"/>
      <c r="I914" s="289"/>
      <c r="J914" s="105"/>
      <c r="K914" s="81"/>
      <c r="L914" s="289"/>
      <c r="M914" s="81"/>
      <c r="N914" s="81"/>
      <c r="O914" s="289"/>
      <c r="P914" s="81"/>
      <c r="Q914" s="289"/>
      <c r="R914" s="81"/>
      <c r="S914" s="289"/>
      <c r="T914" s="81"/>
      <c r="U914" s="81"/>
      <c r="V914" s="81"/>
      <c r="W914" s="81"/>
      <c r="X914" s="81"/>
      <c r="Y914" s="81"/>
      <c r="Z914" s="81"/>
    </row>
    <row r="915" spans="1:26" ht="24" customHeight="1" x14ac:dyDescent="0.5">
      <c r="A915" s="81"/>
      <c r="B915" s="81"/>
      <c r="C915" s="81"/>
      <c r="D915" s="81"/>
      <c r="E915" s="81"/>
      <c r="F915" s="81"/>
      <c r="G915" s="81"/>
      <c r="H915" s="81"/>
      <c r="I915" s="289"/>
      <c r="J915" s="105"/>
      <c r="K915" s="81"/>
      <c r="L915" s="289"/>
      <c r="M915" s="81"/>
      <c r="N915" s="81"/>
      <c r="O915" s="289"/>
      <c r="P915" s="81"/>
      <c r="Q915" s="289"/>
      <c r="R915" s="81"/>
      <c r="S915" s="289"/>
      <c r="T915" s="81"/>
      <c r="U915" s="81"/>
      <c r="V915" s="81"/>
      <c r="W915" s="81"/>
      <c r="X915" s="81"/>
      <c r="Y915" s="81"/>
      <c r="Z915" s="81"/>
    </row>
    <row r="916" spans="1:26" ht="24" customHeight="1" x14ac:dyDescent="0.5">
      <c r="A916" s="81"/>
      <c r="B916" s="81"/>
      <c r="C916" s="81"/>
      <c r="D916" s="81"/>
      <c r="E916" s="81"/>
      <c r="F916" s="81"/>
      <c r="G916" s="81"/>
      <c r="H916" s="81"/>
      <c r="I916" s="289"/>
      <c r="J916" s="105"/>
      <c r="K916" s="81"/>
      <c r="L916" s="289"/>
      <c r="M916" s="81"/>
      <c r="N916" s="81"/>
      <c r="O916" s="289"/>
      <c r="P916" s="81"/>
      <c r="Q916" s="289"/>
      <c r="R916" s="81"/>
      <c r="S916" s="289"/>
      <c r="T916" s="81"/>
      <c r="U916" s="81"/>
      <c r="V916" s="81"/>
      <c r="W916" s="81"/>
      <c r="X916" s="81"/>
      <c r="Y916" s="81"/>
      <c r="Z916" s="81"/>
    </row>
    <row r="917" spans="1:26" ht="24" customHeight="1" x14ac:dyDescent="0.5">
      <c r="A917" s="81"/>
      <c r="B917" s="81"/>
      <c r="C917" s="81"/>
      <c r="D917" s="81"/>
      <c r="E917" s="81"/>
      <c r="F917" s="81"/>
      <c r="G917" s="81"/>
      <c r="H917" s="81"/>
      <c r="I917" s="289"/>
      <c r="J917" s="105"/>
      <c r="K917" s="81"/>
      <c r="L917" s="289"/>
      <c r="M917" s="81"/>
      <c r="N917" s="81"/>
      <c r="O917" s="289"/>
      <c r="P917" s="81"/>
      <c r="Q917" s="289"/>
      <c r="R917" s="81"/>
      <c r="S917" s="289"/>
      <c r="T917" s="81"/>
      <c r="U917" s="81"/>
      <c r="V917" s="81"/>
      <c r="W917" s="81"/>
      <c r="X917" s="81"/>
      <c r="Y917" s="81"/>
      <c r="Z917" s="81"/>
    </row>
    <row r="918" spans="1:26" ht="24" customHeight="1" x14ac:dyDescent="0.5">
      <c r="A918" s="81"/>
      <c r="B918" s="81"/>
      <c r="C918" s="81"/>
      <c r="D918" s="81"/>
      <c r="E918" s="81"/>
      <c r="F918" s="81"/>
      <c r="G918" s="81"/>
      <c r="H918" s="81"/>
      <c r="I918" s="289"/>
      <c r="J918" s="105"/>
      <c r="K918" s="81"/>
      <c r="L918" s="289"/>
      <c r="M918" s="81"/>
      <c r="N918" s="81"/>
      <c r="O918" s="289"/>
      <c r="P918" s="81"/>
      <c r="Q918" s="289"/>
      <c r="R918" s="81"/>
      <c r="S918" s="289"/>
      <c r="T918" s="81"/>
      <c r="U918" s="81"/>
      <c r="V918" s="81"/>
      <c r="W918" s="81"/>
      <c r="X918" s="81"/>
      <c r="Y918" s="81"/>
      <c r="Z918" s="81"/>
    </row>
    <row r="919" spans="1:26" ht="24" customHeight="1" x14ac:dyDescent="0.5">
      <c r="A919" s="81"/>
      <c r="B919" s="81"/>
      <c r="C919" s="81"/>
      <c r="D919" s="81"/>
      <c r="E919" s="81"/>
      <c r="F919" s="81"/>
      <c r="G919" s="81"/>
      <c r="H919" s="81"/>
      <c r="I919" s="289"/>
      <c r="J919" s="105"/>
      <c r="K919" s="81"/>
      <c r="L919" s="289"/>
      <c r="M919" s="81"/>
      <c r="N919" s="81"/>
      <c r="O919" s="289"/>
      <c r="P919" s="81"/>
      <c r="Q919" s="289"/>
      <c r="R919" s="81"/>
      <c r="S919" s="289"/>
      <c r="T919" s="81"/>
      <c r="U919" s="81"/>
      <c r="V919" s="81"/>
      <c r="W919" s="81"/>
      <c r="X919" s="81"/>
      <c r="Y919" s="81"/>
      <c r="Z919" s="81"/>
    </row>
    <row r="920" spans="1:26" ht="24" customHeight="1" x14ac:dyDescent="0.5">
      <c r="A920" s="81"/>
      <c r="B920" s="81"/>
      <c r="C920" s="81"/>
      <c r="D920" s="81"/>
      <c r="E920" s="81"/>
      <c r="F920" s="81"/>
      <c r="G920" s="81"/>
      <c r="H920" s="81"/>
      <c r="I920" s="289"/>
      <c r="J920" s="105"/>
      <c r="K920" s="81"/>
      <c r="L920" s="289"/>
      <c r="M920" s="81"/>
      <c r="N920" s="81"/>
      <c r="O920" s="289"/>
      <c r="P920" s="81"/>
      <c r="Q920" s="289"/>
      <c r="R920" s="81"/>
      <c r="S920" s="289"/>
      <c r="T920" s="81"/>
      <c r="U920" s="81"/>
      <c r="V920" s="81"/>
      <c r="W920" s="81"/>
      <c r="X920" s="81"/>
      <c r="Y920" s="81"/>
      <c r="Z920" s="81"/>
    </row>
    <row r="921" spans="1:26" ht="24" customHeight="1" x14ac:dyDescent="0.5">
      <c r="A921" s="81"/>
      <c r="B921" s="81"/>
      <c r="C921" s="81"/>
      <c r="D921" s="81"/>
      <c r="E921" s="81"/>
      <c r="F921" s="81"/>
      <c r="G921" s="81"/>
      <c r="H921" s="81"/>
      <c r="I921" s="289"/>
      <c r="J921" s="105"/>
      <c r="K921" s="81"/>
      <c r="L921" s="289"/>
      <c r="M921" s="81"/>
      <c r="N921" s="81"/>
      <c r="O921" s="289"/>
      <c r="P921" s="81"/>
      <c r="Q921" s="289"/>
      <c r="R921" s="81"/>
      <c r="S921" s="289"/>
      <c r="T921" s="81"/>
      <c r="U921" s="81"/>
      <c r="V921" s="81"/>
      <c r="W921" s="81"/>
      <c r="X921" s="81"/>
      <c r="Y921" s="81"/>
      <c r="Z921" s="81"/>
    </row>
    <row r="922" spans="1:26" ht="24" customHeight="1" x14ac:dyDescent="0.5">
      <c r="A922" s="81"/>
      <c r="B922" s="81"/>
      <c r="C922" s="81"/>
      <c r="D922" s="81"/>
      <c r="E922" s="81"/>
      <c r="F922" s="81"/>
      <c r="G922" s="81"/>
      <c r="H922" s="81"/>
      <c r="I922" s="289"/>
      <c r="J922" s="105"/>
      <c r="K922" s="81"/>
      <c r="L922" s="289"/>
      <c r="M922" s="81"/>
      <c r="N922" s="81"/>
      <c r="O922" s="289"/>
      <c r="P922" s="81"/>
      <c r="Q922" s="289"/>
      <c r="R922" s="81"/>
      <c r="S922" s="289"/>
      <c r="T922" s="81"/>
      <c r="U922" s="81"/>
      <c r="V922" s="81"/>
      <c r="W922" s="81"/>
      <c r="X922" s="81"/>
      <c r="Y922" s="81"/>
      <c r="Z922" s="81"/>
    </row>
    <row r="923" spans="1:26" ht="24" customHeight="1" x14ac:dyDescent="0.5">
      <c r="A923" s="81"/>
      <c r="B923" s="81"/>
      <c r="C923" s="81"/>
      <c r="D923" s="81"/>
      <c r="E923" s="81"/>
      <c r="F923" s="81"/>
      <c r="G923" s="81"/>
      <c r="H923" s="81"/>
      <c r="I923" s="289"/>
      <c r="J923" s="105"/>
      <c r="K923" s="81"/>
      <c r="L923" s="289"/>
      <c r="M923" s="81"/>
      <c r="N923" s="81"/>
      <c r="O923" s="289"/>
      <c r="P923" s="81"/>
      <c r="Q923" s="289"/>
      <c r="R923" s="81"/>
      <c r="S923" s="289"/>
      <c r="T923" s="81"/>
      <c r="U923" s="81"/>
      <c r="V923" s="81"/>
      <c r="W923" s="81"/>
      <c r="X923" s="81"/>
      <c r="Y923" s="81"/>
      <c r="Z923" s="81"/>
    </row>
    <row r="924" spans="1:26" ht="24" customHeight="1" x14ac:dyDescent="0.5">
      <c r="A924" s="81"/>
      <c r="B924" s="81"/>
      <c r="C924" s="81"/>
      <c r="D924" s="81"/>
      <c r="E924" s="81"/>
      <c r="F924" s="81"/>
      <c r="G924" s="81"/>
      <c r="H924" s="81"/>
      <c r="I924" s="289"/>
      <c r="J924" s="105"/>
      <c r="K924" s="81"/>
      <c r="L924" s="289"/>
      <c r="M924" s="81"/>
      <c r="N924" s="81"/>
      <c r="O924" s="289"/>
      <c r="P924" s="81"/>
      <c r="Q924" s="289"/>
      <c r="R924" s="81"/>
      <c r="S924" s="289"/>
      <c r="T924" s="81"/>
      <c r="U924" s="81"/>
      <c r="V924" s="81"/>
      <c r="W924" s="81"/>
      <c r="X924" s="81"/>
      <c r="Y924" s="81"/>
      <c r="Z924" s="81"/>
    </row>
    <row r="925" spans="1:26" ht="24" customHeight="1" x14ac:dyDescent="0.5">
      <c r="A925" s="81"/>
      <c r="B925" s="81"/>
      <c r="C925" s="81"/>
      <c r="D925" s="81"/>
      <c r="E925" s="81"/>
      <c r="F925" s="81"/>
      <c r="G925" s="81"/>
      <c r="H925" s="81"/>
      <c r="I925" s="289"/>
      <c r="J925" s="105"/>
      <c r="K925" s="81"/>
      <c r="L925" s="289"/>
      <c r="M925" s="81"/>
      <c r="N925" s="81"/>
      <c r="O925" s="289"/>
      <c r="P925" s="81"/>
      <c r="Q925" s="289"/>
      <c r="R925" s="81"/>
      <c r="S925" s="289"/>
      <c r="T925" s="81"/>
      <c r="U925" s="81"/>
      <c r="V925" s="81"/>
      <c r="W925" s="81"/>
      <c r="X925" s="81"/>
      <c r="Y925" s="81"/>
      <c r="Z925" s="81"/>
    </row>
    <row r="926" spans="1:26" ht="24" customHeight="1" x14ac:dyDescent="0.5">
      <c r="A926" s="81"/>
      <c r="B926" s="81"/>
      <c r="C926" s="81"/>
      <c r="D926" s="81"/>
      <c r="E926" s="81"/>
      <c r="F926" s="81"/>
      <c r="G926" s="81"/>
      <c r="H926" s="81"/>
      <c r="I926" s="289"/>
      <c r="J926" s="105"/>
      <c r="K926" s="81"/>
      <c r="L926" s="289"/>
      <c r="M926" s="81"/>
      <c r="N926" s="81"/>
      <c r="O926" s="289"/>
      <c r="P926" s="81"/>
      <c r="Q926" s="289"/>
      <c r="R926" s="81"/>
      <c r="S926" s="289"/>
      <c r="T926" s="81"/>
      <c r="U926" s="81"/>
      <c r="V926" s="81"/>
      <c r="W926" s="81"/>
      <c r="X926" s="81"/>
      <c r="Y926" s="81"/>
      <c r="Z926" s="81"/>
    </row>
    <row r="927" spans="1:26" ht="24" customHeight="1" x14ac:dyDescent="0.5">
      <c r="A927" s="81"/>
      <c r="B927" s="81"/>
      <c r="C927" s="81"/>
      <c r="D927" s="81"/>
      <c r="E927" s="81"/>
      <c r="F927" s="81"/>
      <c r="G927" s="81"/>
      <c r="H927" s="81"/>
      <c r="I927" s="289"/>
      <c r="J927" s="105"/>
      <c r="K927" s="81"/>
      <c r="L927" s="289"/>
      <c r="M927" s="81"/>
      <c r="N927" s="81"/>
      <c r="O927" s="289"/>
      <c r="P927" s="81"/>
      <c r="Q927" s="289"/>
      <c r="R927" s="81"/>
      <c r="S927" s="289"/>
      <c r="T927" s="81"/>
      <c r="U927" s="81"/>
      <c r="V927" s="81"/>
      <c r="W927" s="81"/>
      <c r="X927" s="81"/>
      <c r="Y927" s="81"/>
      <c r="Z927" s="81"/>
    </row>
    <row r="928" spans="1:26" ht="24" customHeight="1" x14ac:dyDescent="0.5">
      <c r="A928" s="81"/>
      <c r="B928" s="81"/>
      <c r="C928" s="81"/>
      <c r="D928" s="81"/>
      <c r="E928" s="81"/>
      <c r="F928" s="81"/>
      <c r="G928" s="81"/>
      <c r="H928" s="81"/>
      <c r="I928" s="289"/>
      <c r="J928" s="105"/>
      <c r="K928" s="81"/>
      <c r="L928" s="289"/>
      <c r="M928" s="81"/>
      <c r="N928" s="81"/>
      <c r="O928" s="289"/>
      <c r="P928" s="81"/>
      <c r="Q928" s="289"/>
      <c r="R928" s="81"/>
      <c r="S928" s="289"/>
      <c r="T928" s="81"/>
      <c r="U928" s="81"/>
      <c r="V928" s="81"/>
      <c r="W928" s="81"/>
      <c r="X928" s="81"/>
      <c r="Y928" s="81"/>
      <c r="Z928" s="81"/>
    </row>
    <row r="929" spans="1:26" ht="24" customHeight="1" x14ac:dyDescent="0.5">
      <c r="A929" s="81"/>
      <c r="B929" s="81"/>
      <c r="C929" s="81"/>
      <c r="D929" s="81"/>
      <c r="E929" s="81"/>
      <c r="F929" s="81"/>
      <c r="G929" s="81"/>
      <c r="H929" s="81"/>
      <c r="I929" s="289"/>
      <c r="J929" s="105"/>
      <c r="K929" s="81"/>
      <c r="L929" s="289"/>
      <c r="M929" s="81"/>
      <c r="N929" s="81"/>
      <c r="O929" s="289"/>
      <c r="P929" s="81"/>
      <c r="Q929" s="289"/>
      <c r="R929" s="81"/>
      <c r="S929" s="289"/>
      <c r="T929" s="81"/>
      <c r="U929" s="81"/>
      <c r="V929" s="81"/>
      <c r="W929" s="81"/>
      <c r="X929" s="81"/>
      <c r="Y929" s="81"/>
      <c r="Z929" s="81"/>
    </row>
    <row r="930" spans="1:26" ht="24" customHeight="1" x14ac:dyDescent="0.5">
      <c r="A930" s="81"/>
      <c r="B930" s="81"/>
      <c r="C930" s="81"/>
      <c r="D930" s="81"/>
      <c r="E930" s="81"/>
      <c r="F930" s="81"/>
      <c r="G930" s="81"/>
      <c r="H930" s="81"/>
      <c r="I930" s="289"/>
      <c r="J930" s="105"/>
      <c r="K930" s="81"/>
      <c r="L930" s="289"/>
      <c r="M930" s="81"/>
      <c r="N930" s="81"/>
      <c r="O930" s="289"/>
      <c r="P930" s="81"/>
      <c r="Q930" s="289"/>
      <c r="R930" s="81"/>
      <c r="S930" s="289"/>
      <c r="T930" s="81"/>
      <c r="U930" s="81"/>
      <c r="V930" s="81"/>
      <c r="W930" s="81"/>
      <c r="X930" s="81"/>
      <c r="Y930" s="81"/>
      <c r="Z930" s="81"/>
    </row>
    <row r="931" spans="1:26" ht="24" customHeight="1" x14ac:dyDescent="0.5">
      <c r="A931" s="81"/>
      <c r="B931" s="81"/>
      <c r="C931" s="81"/>
      <c r="D931" s="81"/>
      <c r="E931" s="81"/>
      <c r="F931" s="81"/>
      <c r="G931" s="81"/>
      <c r="H931" s="81"/>
      <c r="I931" s="289"/>
      <c r="J931" s="105"/>
      <c r="K931" s="81"/>
      <c r="L931" s="289"/>
      <c r="M931" s="81"/>
      <c r="N931" s="81"/>
      <c r="O931" s="289"/>
      <c r="P931" s="81"/>
      <c r="Q931" s="289"/>
      <c r="R931" s="81"/>
      <c r="S931" s="289"/>
      <c r="T931" s="81"/>
      <c r="U931" s="81"/>
      <c r="V931" s="81"/>
      <c r="W931" s="81"/>
      <c r="X931" s="81"/>
      <c r="Y931" s="81"/>
      <c r="Z931" s="81"/>
    </row>
    <row r="932" spans="1:26" ht="24" customHeight="1" x14ac:dyDescent="0.5">
      <c r="A932" s="81"/>
      <c r="B932" s="81"/>
      <c r="C932" s="81"/>
      <c r="D932" s="81"/>
      <c r="E932" s="81"/>
      <c r="F932" s="81"/>
      <c r="G932" s="81"/>
      <c r="H932" s="81"/>
      <c r="I932" s="289"/>
      <c r="J932" s="105"/>
      <c r="K932" s="81"/>
      <c r="L932" s="289"/>
      <c r="M932" s="81"/>
      <c r="N932" s="81"/>
      <c r="O932" s="289"/>
      <c r="P932" s="81"/>
      <c r="Q932" s="289"/>
      <c r="R932" s="81"/>
      <c r="S932" s="289"/>
      <c r="T932" s="81"/>
      <c r="U932" s="81"/>
      <c r="V932" s="81"/>
      <c r="W932" s="81"/>
      <c r="X932" s="81"/>
      <c r="Y932" s="81"/>
      <c r="Z932" s="81"/>
    </row>
    <row r="933" spans="1:26" ht="24" customHeight="1" x14ac:dyDescent="0.5">
      <c r="A933" s="81"/>
      <c r="B933" s="81"/>
      <c r="C933" s="81"/>
      <c r="D933" s="81"/>
      <c r="E933" s="81"/>
      <c r="F933" s="81"/>
      <c r="G933" s="81"/>
      <c r="H933" s="81"/>
      <c r="I933" s="289"/>
      <c r="J933" s="105"/>
      <c r="K933" s="81"/>
      <c r="L933" s="289"/>
      <c r="M933" s="81"/>
      <c r="N933" s="81"/>
      <c r="O933" s="289"/>
      <c r="P933" s="81"/>
      <c r="Q933" s="289"/>
      <c r="R933" s="81"/>
      <c r="S933" s="289"/>
      <c r="T933" s="81"/>
      <c r="U933" s="81"/>
      <c r="V933" s="81"/>
      <c r="W933" s="81"/>
      <c r="X933" s="81"/>
      <c r="Y933" s="81"/>
      <c r="Z933" s="81"/>
    </row>
    <row r="934" spans="1:26" ht="24" customHeight="1" x14ac:dyDescent="0.5">
      <c r="A934" s="81"/>
      <c r="B934" s="81"/>
      <c r="C934" s="81"/>
      <c r="D934" s="81"/>
      <c r="E934" s="81"/>
      <c r="F934" s="81"/>
      <c r="G934" s="81"/>
      <c r="H934" s="81"/>
      <c r="I934" s="289"/>
      <c r="J934" s="105"/>
      <c r="K934" s="81"/>
      <c r="L934" s="289"/>
      <c r="M934" s="81"/>
      <c r="N934" s="81"/>
      <c r="O934" s="289"/>
      <c r="P934" s="81"/>
      <c r="Q934" s="289"/>
      <c r="R934" s="81"/>
      <c r="S934" s="289"/>
      <c r="T934" s="81"/>
      <c r="U934" s="81"/>
      <c r="V934" s="81"/>
      <c r="W934" s="81"/>
      <c r="X934" s="81"/>
      <c r="Y934" s="81"/>
      <c r="Z934" s="81"/>
    </row>
    <row r="935" spans="1:26" ht="24" customHeight="1" x14ac:dyDescent="0.5">
      <c r="A935" s="81"/>
      <c r="B935" s="81"/>
      <c r="C935" s="81"/>
      <c r="D935" s="81"/>
      <c r="E935" s="81"/>
      <c r="F935" s="81"/>
      <c r="G935" s="81"/>
      <c r="H935" s="81"/>
      <c r="I935" s="289"/>
      <c r="J935" s="105"/>
      <c r="K935" s="81"/>
      <c r="L935" s="289"/>
      <c r="M935" s="81"/>
      <c r="N935" s="81"/>
      <c r="O935" s="289"/>
      <c r="P935" s="81"/>
      <c r="Q935" s="289"/>
      <c r="R935" s="81"/>
      <c r="S935" s="289"/>
      <c r="T935" s="81"/>
      <c r="U935" s="81"/>
      <c r="V935" s="81"/>
      <c r="W935" s="81"/>
      <c r="X935" s="81"/>
      <c r="Y935" s="81"/>
      <c r="Z935" s="81"/>
    </row>
    <row r="936" spans="1:26" ht="24" customHeight="1" x14ac:dyDescent="0.5">
      <c r="A936" s="81"/>
      <c r="B936" s="81"/>
      <c r="C936" s="81"/>
      <c r="D936" s="81"/>
      <c r="E936" s="81"/>
      <c r="F936" s="81"/>
      <c r="G936" s="81"/>
      <c r="H936" s="81"/>
      <c r="I936" s="289"/>
      <c r="J936" s="105"/>
      <c r="K936" s="81"/>
      <c r="L936" s="289"/>
      <c r="M936" s="81"/>
      <c r="N936" s="81"/>
      <c r="O936" s="289"/>
      <c r="P936" s="81"/>
      <c r="Q936" s="289"/>
      <c r="R936" s="81"/>
      <c r="S936" s="289"/>
      <c r="T936" s="81"/>
      <c r="U936" s="81"/>
      <c r="V936" s="81"/>
      <c r="W936" s="81"/>
      <c r="X936" s="81"/>
      <c r="Y936" s="81"/>
      <c r="Z936" s="81"/>
    </row>
    <row r="937" spans="1:26" ht="24" customHeight="1" x14ac:dyDescent="0.5">
      <c r="A937" s="81"/>
      <c r="B937" s="81"/>
      <c r="C937" s="81"/>
      <c r="D937" s="81"/>
      <c r="E937" s="81"/>
      <c r="F937" s="81"/>
      <c r="G937" s="81"/>
      <c r="H937" s="81"/>
      <c r="I937" s="289"/>
      <c r="J937" s="105"/>
      <c r="K937" s="81"/>
      <c r="L937" s="289"/>
      <c r="M937" s="81"/>
      <c r="N937" s="81"/>
      <c r="O937" s="289"/>
      <c r="P937" s="81"/>
      <c r="Q937" s="289"/>
      <c r="R937" s="81"/>
      <c r="S937" s="289"/>
      <c r="T937" s="81"/>
      <c r="U937" s="81"/>
      <c r="V937" s="81"/>
      <c r="W937" s="81"/>
      <c r="X937" s="81"/>
      <c r="Y937" s="81"/>
      <c r="Z937" s="81"/>
    </row>
    <row r="938" spans="1:26" ht="24" customHeight="1" x14ac:dyDescent="0.5">
      <c r="A938" s="81"/>
      <c r="B938" s="81"/>
      <c r="C938" s="81"/>
      <c r="D938" s="81"/>
      <c r="E938" s="81"/>
      <c r="F938" s="81"/>
      <c r="G938" s="81"/>
      <c r="H938" s="81"/>
      <c r="I938" s="289"/>
      <c r="J938" s="105"/>
      <c r="K938" s="81"/>
      <c r="L938" s="289"/>
      <c r="M938" s="81"/>
      <c r="N938" s="81"/>
      <c r="O938" s="289"/>
      <c r="P938" s="81"/>
      <c r="Q938" s="289"/>
      <c r="R938" s="81"/>
      <c r="S938" s="289"/>
      <c r="T938" s="81"/>
      <c r="U938" s="81"/>
      <c r="V938" s="81"/>
      <c r="W938" s="81"/>
      <c r="X938" s="81"/>
      <c r="Y938" s="81"/>
      <c r="Z938" s="81"/>
    </row>
    <row r="939" spans="1:26" ht="24" customHeight="1" x14ac:dyDescent="0.5">
      <c r="A939" s="81"/>
      <c r="B939" s="81"/>
      <c r="C939" s="81"/>
      <c r="D939" s="81"/>
      <c r="E939" s="81"/>
      <c r="F939" s="81"/>
      <c r="G939" s="81"/>
      <c r="H939" s="81"/>
      <c r="I939" s="289"/>
      <c r="J939" s="105"/>
      <c r="K939" s="81"/>
      <c r="L939" s="289"/>
      <c r="M939" s="81"/>
      <c r="N939" s="81"/>
      <c r="O939" s="289"/>
      <c r="P939" s="81"/>
      <c r="Q939" s="289"/>
      <c r="R939" s="81"/>
      <c r="S939" s="289"/>
      <c r="T939" s="81"/>
      <c r="U939" s="81"/>
      <c r="V939" s="81"/>
      <c r="W939" s="81"/>
      <c r="X939" s="81"/>
      <c r="Y939" s="81"/>
      <c r="Z939" s="81"/>
    </row>
    <row r="940" spans="1:26" ht="24" customHeight="1" x14ac:dyDescent="0.5">
      <c r="A940" s="81"/>
      <c r="B940" s="81"/>
      <c r="C940" s="81"/>
      <c r="D940" s="81"/>
      <c r="E940" s="81"/>
      <c r="F940" s="81"/>
      <c r="G940" s="81"/>
      <c r="H940" s="81"/>
      <c r="I940" s="289"/>
      <c r="J940" s="105"/>
      <c r="K940" s="81"/>
      <c r="L940" s="289"/>
      <c r="M940" s="81"/>
      <c r="N940" s="81"/>
      <c r="O940" s="289"/>
      <c r="P940" s="81"/>
      <c r="Q940" s="289"/>
      <c r="R940" s="81"/>
      <c r="S940" s="289"/>
      <c r="T940" s="81"/>
      <c r="U940" s="81"/>
      <c r="V940" s="81"/>
      <c r="W940" s="81"/>
      <c r="X940" s="81"/>
      <c r="Y940" s="81"/>
      <c r="Z940" s="81"/>
    </row>
    <row r="941" spans="1:26" ht="24" customHeight="1" x14ac:dyDescent="0.5">
      <c r="A941" s="81"/>
      <c r="B941" s="81"/>
      <c r="C941" s="81"/>
      <c r="D941" s="81"/>
      <c r="E941" s="81"/>
      <c r="F941" s="81"/>
      <c r="G941" s="81"/>
      <c r="H941" s="81"/>
      <c r="I941" s="289"/>
      <c r="J941" s="105"/>
      <c r="K941" s="81"/>
      <c r="L941" s="289"/>
      <c r="M941" s="81"/>
      <c r="N941" s="81"/>
      <c r="O941" s="289"/>
      <c r="P941" s="81"/>
      <c r="Q941" s="289"/>
      <c r="R941" s="81"/>
      <c r="S941" s="289"/>
      <c r="T941" s="81"/>
      <c r="U941" s="81"/>
      <c r="V941" s="81"/>
      <c r="W941" s="81"/>
      <c r="X941" s="81"/>
      <c r="Y941" s="81"/>
      <c r="Z941" s="81"/>
    </row>
    <row r="942" spans="1:26" ht="24" customHeight="1" x14ac:dyDescent="0.5">
      <c r="A942" s="81"/>
      <c r="B942" s="81"/>
      <c r="C942" s="81"/>
      <c r="D942" s="81"/>
      <c r="E942" s="81"/>
      <c r="F942" s="81"/>
      <c r="G942" s="81"/>
      <c r="H942" s="81"/>
      <c r="I942" s="289"/>
      <c r="J942" s="105"/>
      <c r="K942" s="81"/>
      <c r="L942" s="289"/>
      <c r="M942" s="81"/>
      <c r="N942" s="81"/>
      <c r="O942" s="289"/>
      <c r="P942" s="81"/>
      <c r="Q942" s="289"/>
      <c r="R942" s="81"/>
      <c r="S942" s="289"/>
      <c r="T942" s="81"/>
      <c r="U942" s="81"/>
      <c r="V942" s="81"/>
      <c r="W942" s="81"/>
      <c r="X942" s="81"/>
      <c r="Y942" s="81"/>
      <c r="Z942" s="81"/>
    </row>
    <row r="943" spans="1:26" ht="24" customHeight="1" x14ac:dyDescent="0.5">
      <c r="A943" s="81"/>
      <c r="B943" s="81"/>
      <c r="C943" s="81"/>
      <c r="D943" s="81"/>
      <c r="E943" s="81"/>
      <c r="F943" s="81"/>
      <c r="G943" s="81"/>
      <c r="H943" s="81"/>
      <c r="I943" s="289"/>
      <c r="J943" s="105"/>
      <c r="K943" s="81"/>
      <c r="L943" s="289"/>
      <c r="M943" s="81"/>
      <c r="N943" s="81"/>
      <c r="O943" s="289"/>
      <c r="P943" s="81"/>
      <c r="Q943" s="289"/>
      <c r="R943" s="81"/>
      <c r="S943" s="289"/>
      <c r="T943" s="81"/>
      <c r="U943" s="81"/>
      <c r="V943" s="81"/>
      <c r="W943" s="81"/>
      <c r="X943" s="81"/>
      <c r="Y943" s="81"/>
      <c r="Z943" s="81"/>
    </row>
    <row r="944" spans="1:26" ht="24" customHeight="1" x14ac:dyDescent="0.5">
      <c r="A944" s="81"/>
      <c r="B944" s="81"/>
      <c r="C944" s="81"/>
      <c r="D944" s="81"/>
      <c r="E944" s="81"/>
      <c r="F944" s="81"/>
      <c r="G944" s="81"/>
      <c r="H944" s="81"/>
      <c r="I944" s="289"/>
      <c r="J944" s="105"/>
      <c r="K944" s="81"/>
      <c r="L944" s="289"/>
      <c r="M944" s="81"/>
      <c r="N944" s="81"/>
      <c r="O944" s="289"/>
      <c r="P944" s="81"/>
      <c r="Q944" s="289"/>
      <c r="R944" s="81"/>
      <c r="S944" s="289"/>
      <c r="T944" s="81"/>
      <c r="U944" s="81"/>
      <c r="V944" s="81"/>
      <c r="W944" s="81"/>
      <c r="X944" s="81"/>
      <c r="Y944" s="81"/>
      <c r="Z944" s="81"/>
    </row>
    <row r="945" spans="1:26" ht="24" customHeight="1" x14ac:dyDescent="0.5">
      <c r="A945" s="81"/>
      <c r="B945" s="81"/>
      <c r="C945" s="81"/>
      <c r="D945" s="81"/>
      <c r="E945" s="81"/>
      <c r="F945" s="81"/>
      <c r="G945" s="81"/>
      <c r="H945" s="81"/>
      <c r="I945" s="289"/>
      <c r="J945" s="105"/>
      <c r="K945" s="81"/>
      <c r="L945" s="289"/>
      <c r="M945" s="81"/>
      <c r="N945" s="81"/>
      <c r="O945" s="289"/>
      <c r="P945" s="81"/>
      <c r="Q945" s="289"/>
      <c r="R945" s="81"/>
      <c r="S945" s="289"/>
      <c r="T945" s="81"/>
      <c r="U945" s="81"/>
      <c r="V945" s="81"/>
      <c r="W945" s="81"/>
      <c r="X945" s="81"/>
      <c r="Y945" s="81"/>
      <c r="Z945" s="81"/>
    </row>
    <row r="946" spans="1:26" ht="24" customHeight="1" x14ac:dyDescent="0.5">
      <c r="A946" s="81"/>
      <c r="B946" s="81"/>
      <c r="C946" s="81"/>
      <c r="D946" s="81"/>
      <c r="E946" s="81"/>
      <c r="F946" s="81"/>
      <c r="G946" s="81"/>
      <c r="H946" s="81"/>
      <c r="I946" s="289"/>
      <c r="J946" s="105"/>
      <c r="K946" s="81"/>
      <c r="L946" s="289"/>
      <c r="M946" s="81"/>
      <c r="N946" s="81"/>
      <c r="O946" s="289"/>
      <c r="P946" s="81"/>
      <c r="Q946" s="289"/>
      <c r="R946" s="81"/>
      <c r="S946" s="289"/>
      <c r="T946" s="81"/>
      <c r="U946" s="81"/>
      <c r="V946" s="81"/>
      <c r="W946" s="81"/>
      <c r="X946" s="81"/>
      <c r="Y946" s="81"/>
      <c r="Z946" s="81"/>
    </row>
    <row r="947" spans="1:26" ht="24" customHeight="1" x14ac:dyDescent="0.5">
      <c r="A947" s="81"/>
      <c r="B947" s="81"/>
      <c r="C947" s="81"/>
      <c r="D947" s="81"/>
      <c r="E947" s="81"/>
      <c r="F947" s="81"/>
      <c r="G947" s="81"/>
      <c r="H947" s="81"/>
      <c r="I947" s="289"/>
      <c r="J947" s="105"/>
      <c r="K947" s="81"/>
      <c r="L947" s="289"/>
      <c r="M947" s="81"/>
      <c r="N947" s="81"/>
      <c r="O947" s="289"/>
      <c r="P947" s="81"/>
      <c r="Q947" s="289"/>
      <c r="R947" s="81"/>
      <c r="S947" s="289"/>
      <c r="T947" s="81"/>
      <c r="U947" s="81"/>
      <c r="V947" s="81"/>
      <c r="W947" s="81"/>
      <c r="X947" s="81"/>
      <c r="Y947" s="81"/>
      <c r="Z947" s="81"/>
    </row>
    <row r="948" spans="1:26" ht="24" customHeight="1" x14ac:dyDescent="0.5">
      <c r="A948" s="81"/>
      <c r="B948" s="81"/>
      <c r="C948" s="81"/>
      <c r="D948" s="81"/>
      <c r="E948" s="81"/>
      <c r="F948" s="81"/>
      <c r="G948" s="81"/>
      <c r="H948" s="81"/>
      <c r="I948" s="289"/>
      <c r="J948" s="105"/>
      <c r="K948" s="81"/>
      <c r="L948" s="289"/>
      <c r="M948" s="81"/>
      <c r="N948" s="81"/>
      <c r="O948" s="289"/>
      <c r="P948" s="81"/>
      <c r="Q948" s="289"/>
      <c r="R948" s="81"/>
      <c r="S948" s="289"/>
      <c r="T948" s="81"/>
      <c r="U948" s="81"/>
      <c r="V948" s="81"/>
      <c r="W948" s="81"/>
      <c r="X948" s="81"/>
      <c r="Y948" s="81"/>
      <c r="Z948" s="81"/>
    </row>
    <row r="949" spans="1:26" ht="24" customHeight="1" x14ac:dyDescent="0.5">
      <c r="A949" s="81"/>
      <c r="B949" s="81"/>
      <c r="C949" s="81"/>
      <c r="D949" s="81"/>
      <c r="E949" s="81"/>
      <c r="F949" s="81"/>
      <c r="G949" s="81"/>
      <c r="H949" s="81"/>
      <c r="I949" s="289"/>
      <c r="J949" s="105"/>
      <c r="K949" s="81"/>
      <c r="L949" s="289"/>
      <c r="M949" s="81"/>
      <c r="N949" s="81"/>
      <c r="O949" s="289"/>
      <c r="P949" s="81"/>
      <c r="Q949" s="289"/>
      <c r="R949" s="81"/>
      <c r="S949" s="289"/>
      <c r="T949" s="81"/>
      <c r="U949" s="81"/>
      <c r="V949" s="81"/>
      <c r="W949" s="81"/>
      <c r="X949" s="81"/>
      <c r="Y949" s="81"/>
      <c r="Z949" s="81"/>
    </row>
    <row r="950" spans="1:26" ht="24" customHeight="1" x14ac:dyDescent="0.5">
      <c r="A950" s="81"/>
      <c r="B950" s="81"/>
      <c r="C950" s="81"/>
      <c r="D950" s="81"/>
      <c r="E950" s="81"/>
      <c r="F950" s="81"/>
      <c r="G950" s="81"/>
      <c r="H950" s="81"/>
      <c r="I950" s="289"/>
      <c r="J950" s="105"/>
      <c r="K950" s="81"/>
      <c r="L950" s="289"/>
      <c r="M950" s="81"/>
      <c r="N950" s="81"/>
      <c r="O950" s="289"/>
      <c r="P950" s="81"/>
      <c r="Q950" s="289"/>
      <c r="R950" s="81"/>
      <c r="S950" s="289"/>
      <c r="T950" s="81"/>
      <c r="U950" s="81"/>
      <c r="V950" s="81"/>
      <c r="W950" s="81"/>
      <c r="X950" s="81"/>
      <c r="Y950" s="81"/>
      <c r="Z950" s="81"/>
    </row>
    <row r="951" spans="1:26" ht="24" customHeight="1" x14ac:dyDescent="0.5">
      <c r="A951" s="81"/>
      <c r="B951" s="81"/>
      <c r="C951" s="81"/>
      <c r="D951" s="81"/>
      <c r="E951" s="81"/>
      <c r="F951" s="81"/>
      <c r="G951" s="81"/>
      <c r="H951" s="81"/>
      <c r="I951" s="289"/>
      <c r="J951" s="105"/>
      <c r="K951" s="81"/>
      <c r="L951" s="289"/>
      <c r="M951" s="81"/>
      <c r="N951" s="81"/>
      <c r="O951" s="289"/>
      <c r="P951" s="81"/>
      <c r="Q951" s="289"/>
      <c r="R951" s="81"/>
      <c r="S951" s="289"/>
      <c r="T951" s="81"/>
      <c r="U951" s="81"/>
      <c r="V951" s="81"/>
      <c r="W951" s="81"/>
      <c r="X951" s="81"/>
      <c r="Y951" s="81"/>
      <c r="Z951" s="81"/>
    </row>
    <row r="952" spans="1:26" ht="24" customHeight="1" x14ac:dyDescent="0.5">
      <c r="A952" s="81"/>
      <c r="B952" s="81"/>
      <c r="C952" s="81"/>
      <c r="D952" s="81"/>
      <c r="E952" s="81"/>
      <c r="F952" s="81"/>
      <c r="G952" s="81"/>
      <c r="H952" s="81"/>
      <c r="I952" s="289"/>
      <c r="J952" s="105"/>
      <c r="K952" s="81"/>
      <c r="L952" s="289"/>
      <c r="M952" s="81"/>
      <c r="N952" s="81"/>
      <c r="O952" s="289"/>
      <c r="P952" s="81"/>
      <c r="Q952" s="289"/>
      <c r="R952" s="81"/>
      <c r="S952" s="289"/>
      <c r="T952" s="81"/>
      <c r="U952" s="81"/>
      <c r="V952" s="81"/>
      <c r="W952" s="81"/>
      <c r="X952" s="81"/>
      <c r="Y952" s="81"/>
      <c r="Z952" s="81"/>
    </row>
    <row r="953" spans="1:26" ht="24" customHeight="1" x14ac:dyDescent="0.5">
      <c r="A953" s="81"/>
      <c r="B953" s="81"/>
      <c r="C953" s="81"/>
      <c r="D953" s="81"/>
      <c r="E953" s="81"/>
      <c r="F953" s="81"/>
      <c r="G953" s="81"/>
      <c r="H953" s="81"/>
      <c r="I953" s="289"/>
      <c r="J953" s="105"/>
      <c r="K953" s="81"/>
      <c r="L953" s="289"/>
      <c r="M953" s="81"/>
      <c r="N953" s="81"/>
      <c r="O953" s="289"/>
      <c r="P953" s="81"/>
      <c r="Q953" s="289"/>
      <c r="R953" s="81"/>
      <c r="S953" s="289"/>
      <c r="T953" s="81"/>
      <c r="U953" s="81"/>
      <c r="V953" s="81"/>
      <c r="W953" s="81"/>
      <c r="X953" s="81"/>
      <c r="Y953" s="81"/>
      <c r="Z953" s="81"/>
    </row>
    <row r="954" spans="1:26" ht="24" customHeight="1" x14ac:dyDescent="0.5">
      <c r="A954" s="81"/>
      <c r="B954" s="81"/>
      <c r="C954" s="81"/>
      <c r="D954" s="81"/>
      <c r="E954" s="81"/>
      <c r="F954" s="81"/>
      <c r="G954" s="81"/>
      <c r="H954" s="81"/>
      <c r="I954" s="289"/>
      <c r="J954" s="105"/>
      <c r="K954" s="81"/>
      <c r="L954" s="289"/>
      <c r="M954" s="81"/>
      <c r="N954" s="81"/>
      <c r="O954" s="289"/>
      <c r="P954" s="81"/>
      <c r="Q954" s="289"/>
      <c r="R954" s="81"/>
      <c r="S954" s="289"/>
      <c r="T954" s="81"/>
      <c r="U954" s="81"/>
      <c r="V954" s="81"/>
      <c r="W954" s="81"/>
      <c r="X954" s="81"/>
      <c r="Y954" s="81"/>
      <c r="Z954" s="81"/>
    </row>
    <row r="955" spans="1:26" ht="24" customHeight="1" x14ac:dyDescent="0.5">
      <c r="A955" s="81"/>
      <c r="B955" s="81"/>
      <c r="C955" s="81"/>
      <c r="D955" s="81"/>
      <c r="E955" s="81"/>
      <c r="F955" s="81"/>
      <c r="G955" s="81"/>
      <c r="H955" s="81"/>
      <c r="I955" s="289"/>
      <c r="J955" s="105"/>
      <c r="K955" s="81"/>
      <c r="L955" s="289"/>
      <c r="M955" s="81"/>
      <c r="N955" s="81"/>
      <c r="O955" s="289"/>
      <c r="P955" s="81"/>
      <c r="Q955" s="289"/>
      <c r="R955" s="81"/>
      <c r="S955" s="289"/>
      <c r="T955" s="81"/>
      <c r="U955" s="81"/>
      <c r="V955" s="81"/>
      <c r="W955" s="81"/>
      <c r="X955" s="81"/>
      <c r="Y955" s="81"/>
      <c r="Z955" s="81"/>
    </row>
    <row r="956" spans="1:26" ht="24" customHeight="1" x14ac:dyDescent="0.5">
      <c r="A956" s="81"/>
      <c r="B956" s="81"/>
      <c r="C956" s="81"/>
      <c r="D956" s="81"/>
      <c r="E956" s="81"/>
      <c r="F956" s="81"/>
      <c r="G956" s="81"/>
      <c r="H956" s="81"/>
      <c r="I956" s="289"/>
      <c r="J956" s="105"/>
      <c r="K956" s="81"/>
      <c r="L956" s="289"/>
      <c r="M956" s="81"/>
      <c r="N956" s="81"/>
      <c r="O956" s="289"/>
      <c r="P956" s="81"/>
      <c r="Q956" s="289"/>
      <c r="R956" s="81"/>
      <c r="S956" s="289"/>
      <c r="T956" s="81"/>
      <c r="U956" s="81"/>
      <c r="V956" s="81"/>
      <c r="W956" s="81"/>
      <c r="X956" s="81"/>
      <c r="Y956" s="81"/>
      <c r="Z956" s="81"/>
    </row>
    <row r="957" spans="1:26" ht="24" customHeight="1" x14ac:dyDescent="0.5">
      <c r="A957" s="81"/>
      <c r="B957" s="81"/>
      <c r="C957" s="81"/>
      <c r="D957" s="81"/>
      <c r="E957" s="81"/>
      <c r="F957" s="81"/>
      <c r="G957" s="81"/>
      <c r="H957" s="81"/>
      <c r="I957" s="289"/>
      <c r="J957" s="105"/>
      <c r="K957" s="81"/>
      <c r="L957" s="289"/>
      <c r="M957" s="81"/>
      <c r="N957" s="81"/>
      <c r="O957" s="289"/>
      <c r="P957" s="81"/>
      <c r="Q957" s="289"/>
      <c r="R957" s="81"/>
      <c r="S957" s="289"/>
      <c r="T957" s="81"/>
      <c r="U957" s="81"/>
      <c r="V957" s="81"/>
      <c r="W957" s="81"/>
      <c r="X957" s="81"/>
      <c r="Y957" s="81"/>
      <c r="Z957" s="81"/>
    </row>
    <row r="958" spans="1:26" ht="24" customHeight="1" x14ac:dyDescent="0.5">
      <c r="A958" s="81"/>
      <c r="B958" s="81"/>
      <c r="C958" s="81"/>
      <c r="D958" s="81"/>
      <c r="E958" s="81"/>
      <c r="F958" s="81"/>
      <c r="G958" s="81"/>
      <c r="H958" s="81"/>
      <c r="I958" s="289"/>
      <c r="J958" s="105"/>
      <c r="K958" s="81"/>
      <c r="L958" s="289"/>
      <c r="M958" s="81"/>
      <c r="N958" s="81"/>
      <c r="O958" s="289"/>
      <c r="P958" s="81"/>
      <c r="Q958" s="289"/>
      <c r="R958" s="81"/>
      <c r="S958" s="289"/>
      <c r="T958" s="81"/>
      <c r="U958" s="81"/>
      <c r="V958" s="81"/>
      <c r="W958" s="81"/>
      <c r="X958" s="81"/>
      <c r="Y958" s="81"/>
      <c r="Z958" s="81"/>
    </row>
    <row r="959" spans="1:26" ht="24" customHeight="1" x14ac:dyDescent="0.5">
      <c r="A959" s="81"/>
      <c r="B959" s="81"/>
      <c r="C959" s="81"/>
      <c r="D959" s="81"/>
      <c r="E959" s="81"/>
      <c r="F959" s="81"/>
      <c r="G959" s="81"/>
      <c r="H959" s="81"/>
      <c r="I959" s="289"/>
      <c r="J959" s="105"/>
      <c r="K959" s="81"/>
      <c r="L959" s="289"/>
      <c r="M959" s="81"/>
      <c r="N959" s="81"/>
      <c r="O959" s="289"/>
      <c r="P959" s="81"/>
      <c r="Q959" s="289"/>
      <c r="R959" s="81"/>
      <c r="S959" s="289"/>
      <c r="T959" s="81"/>
      <c r="U959" s="81"/>
      <c r="V959" s="81"/>
      <c r="W959" s="81"/>
      <c r="X959" s="81"/>
      <c r="Y959" s="81"/>
      <c r="Z959" s="81"/>
    </row>
    <row r="960" spans="1:26" ht="24" customHeight="1" x14ac:dyDescent="0.5">
      <c r="A960" s="81"/>
      <c r="B960" s="81"/>
      <c r="C960" s="81"/>
      <c r="D960" s="81"/>
      <c r="E960" s="81"/>
      <c r="F960" s="81"/>
      <c r="G960" s="81"/>
      <c r="H960" s="81"/>
      <c r="I960" s="289"/>
      <c r="J960" s="105"/>
      <c r="K960" s="81"/>
      <c r="L960" s="289"/>
      <c r="M960" s="81"/>
      <c r="N960" s="81"/>
      <c r="O960" s="289"/>
      <c r="P960" s="81"/>
      <c r="Q960" s="289"/>
      <c r="R960" s="81"/>
      <c r="S960" s="289"/>
      <c r="T960" s="81"/>
      <c r="U960" s="81"/>
      <c r="V960" s="81"/>
      <c r="W960" s="81"/>
      <c r="X960" s="81"/>
      <c r="Y960" s="81"/>
      <c r="Z960" s="81"/>
    </row>
    <row r="961" spans="1:26" ht="24" customHeight="1" x14ac:dyDescent="0.5">
      <c r="A961" s="81"/>
      <c r="B961" s="81"/>
      <c r="C961" s="81"/>
      <c r="D961" s="81"/>
      <c r="E961" s="81"/>
      <c r="F961" s="81"/>
      <c r="G961" s="81"/>
      <c r="H961" s="81"/>
      <c r="I961" s="289"/>
      <c r="J961" s="105"/>
      <c r="K961" s="81"/>
      <c r="L961" s="289"/>
      <c r="M961" s="81"/>
      <c r="N961" s="81"/>
      <c r="O961" s="289"/>
      <c r="P961" s="81"/>
      <c r="Q961" s="289"/>
      <c r="R961" s="81"/>
      <c r="S961" s="289"/>
      <c r="T961" s="81"/>
      <c r="U961" s="81"/>
      <c r="V961" s="81"/>
      <c r="W961" s="81"/>
      <c r="X961" s="81"/>
      <c r="Y961" s="81"/>
      <c r="Z961" s="81"/>
    </row>
    <row r="962" spans="1:26" ht="24" customHeight="1" x14ac:dyDescent="0.5">
      <c r="A962" s="81"/>
      <c r="B962" s="81"/>
      <c r="C962" s="81"/>
      <c r="D962" s="81"/>
      <c r="E962" s="81"/>
      <c r="F962" s="81"/>
      <c r="G962" s="81"/>
      <c r="H962" s="81"/>
      <c r="I962" s="289"/>
      <c r="J962" s="105"/>
      <c r="K962" s="81"/>
      <c r="L962" s="289"/>
      <c r="M962" s="81"/>
      <c r="N962" s="81"/>
      <c r="O962" s="289"/>
      <c r="P962" s="81"/>
      <c r="Q962" s="289"/>
      <c r="R962" s="81"/>
      <c r="S962" s="289"/>
      <c r="T962" s="81"/>
      <c r="U962" s="81"/>
      <c r="V962" s="81"/>
      <c r="W962" s="81"/>
      <c r="X962" s="81"/>
      <c r="Y962" s="81"/>
      <c r="Z962" s="81"/>
    </row>
    <row r="963" spans="1:26" ht="24" customHeight="1" x14ac:dyDescent="0.5">
      <c r="A963" s="81"/>
      <c r="B963" s="81"/>
      <c r="C963" s="81"/>
      <c r="D963" s="81"/>
      <c r="E963" s="81"/>
      <c r="F963" s="81"/>
      <c r="G963" s="81"/>
      <c r="H963" s="81"/>
      <c r="I963" s="289"/>
      <c r="J963" s="105"/>
      <c r="K963" s="81"/>
      <c r="L963" s="289"/>
      <c r="M963" s="81"/>
      <c r="N963" s="81"/>
      <c r="O963" s="289"/>
      <c r="P963" s="81"/>
      <c r="Q963" s="289"/>
      <c r="R963" s="81"/>
      <c r="S963" s="289"/>
      <c r="T963" s="81"/>
      <c r="U963" s="81"/>
      <c r="V963" s="81"/>
      <c r="W963" s="81"/>
      <c r="X963" s="81"/>
      <c r="Y963" s="81"/>
      <c r="Z963" s="81"/>
    </row>
    <row r="964" spans="1:26" ht="24" customHeight="1" x14ac:dyDescent="0.5">
      <c r="A964" s="81"/>
      <c r="B964" s="81"/>
      <c r="C964" s="81"/>
      <c r="D964" s="81"/>
      <c r="E964" s="81"/>
      <c r="F964" s="81"/>
      <c r="G964" s="81"/>
      <c r="H964" s="81"/>
      <c r="I964" s="289"/>
      <c r="J964" s="105"/>
      <c r="K964" s="81"/>
      <c r="L964" s="289"/>
      <c r="M964" s="81"/>
      <c r="N964" s="81"/>
      <c r="O964" s="289"/>
      <c r="P964" s="81"/>
      <c r="Q964" s="289"/>
      <c r="R964" s="81"/>
      <c r="S964" s="289"/>
      <c r="T964" s="81"/>
      <c r="U964" s="81"/>
      <c r="V964" s="81"/>
      <c r="W964" s="81"/>
      <c r="X964" s="81"/>
      <c r="Y964" s="81"/>
      <c r="Z964" s="81"/>
    </row>
    <row r="965" spans="1:26" ht="24" customHeight="1" x14ac:dyDescent="0.5">
      <c r="A965" s="81"/>
      <c r="B965" s="81"/>
      <c r="C965" s="81"/>
      <c r="D965" s="81"/>
      <c r="E965" s="81"/>
      <c r="F965" s="81"/>
      <c r="G965" s="81"/>
      <c r="H965" s="81"/>
      <c r="I965" s="289"/>
      <c r="J965" s="105"/>
      <c r="K965" s="81"/>
      <c r="L965" s="289"/>
      <c r="M965" s="81"/>
      <c r="N965" s="81"/>
      <c r="O965" s="289"/>
      <c r="P965" s="81"/>
      <c r="Q965" s="289"/>
      <c r="R965" s="81"/>
      <c r="S965" s="289"/>
      <c r="T965" s="81"/>
      <c r="U965" s="81"/>
      <c r="V965" s="81"/>
      <c r="W965" s="81"/>
      <c r="X965" s="81"/>
      <c r="Y965" s="81"/>
      <c r="Z965" s="81"/>
    </row>
    <row r="966" spans="1:26" ht="24" customHeight="1" x14ac:dyDescent="0.5">
      <c r="A966" s="81"/>
      <c r="B966" s="81"/>
      <c r="C966" s="81"/>
      <c r="D966" s="81"/>
      <c r="E966" s="81"/>
      <c r="F966" s="81"/>
      <c r="G966" s="81"/>
      <c r="H966" s="81"/>
      <c r="I966" s="289"/>
      <c r="J966" s="105"/>
      <c r="K966" s="81"/>
      <c r="L966" s="289"/>
      <c r="M966" s="81"/>
      <c r="N966" s="81"/>
      <c r="O966" s="289"/>
      <c r="P966" s="81"/>
      <c r="Q966" s="289"/>
      <c r="R966" s="81"/>
      <c r="S966" s="289"/>
      <c r="T966" s="81"/>
      <c r="U966" s="81"/>
      <c r="V966" s="81"/>
      <c r="W966" s="81"/>
      <c r="X966" s="81"/>
      <c r="Y966" s="81"/>
      <c r="Z966" s="81"/>
    </row>
    <row r="967" spans="1:26" ht="24" customHeight="1" x14ac:dyDescent="0.5">
      <c r="A967" s="81"/>
      <c r="B967" s="81"/>
      <c r="C967" s="81"/>
      <c r="D967" s="81"/>
      <c r="E967" s="81"/>
      <c r="F967" s="81"/>
      <c r="G967" s="81"/>
      <c r="H967" s="81"/>
      <c r="I967" s="289"/>
      <c r="J967" s="105"/>
      <c r="K967" s="81"/>
      <c r="L967" s="289"/>
      <c r="M967" s="81"/>
      <c r="N967" s="81"/>
      <c r="O967" s="289"/>
      <c r="P967" s="81"/>
      <c r="Q967" s="289"/>
      <c r="R967" s="81"/>
      <c r="S967" s="289"/>
      <c r="T967" s="81"/>
      <c r="U967" s="81"/>
      <c r="V967" s="81"/>
      <c r="W967" s="81"/>
      <c r="X967" s="81"/>
      <c r="Y967" s="81"/>
      <c r="Z967" s="81"/>
    </row>
    <row r="968" spans="1:26" ht="24" customHeight="1" x14ac:dyDescent="0.5">
      <c r="A968" s="81"/>
      <c r="B968" s="81"/>
      <c r="C968" s="81"/>
      <c r="D968" s="81"/>
      <c r="E968" s="81"/>
      <c r="F968" s="81"/>
      <c r="G968" s="81"/>
      <c r="H968" s="81"/>
      <c r="I968" s="289"/>
      <c r="J968" s="105"/>
      <c r="K968" s="81"/>
      <c r="L968" s="289"/>
      <c r="M968" s="81"/>
      <c r="N968" s="81"/>
      <c r="O968" s="289"/>
      <c r="P968" s="81"/>
      <c r="Q968" s="289"/>
      <c r="R968" s="81"/>
      <c r="S968" s="289"/>
      <c r="T968" s="81"/>
      <c r="U968" s="81"/>
      <c r="V968" s="81"/>
      <c r="W968" s="81"/>
      <c r="X968" s="81"/>
      <c r="Y968" s="81"/>
      <c r="Z968" s="81"/>
    </row>
    <row r="969" spans="1:26" ht="24" customHeight="1" x14ac:dyDescent="0.5">
      <c r="A969" s="81"/>
      <c r="B969" s="81"/>
      <c r="C969" s="81"/>
      <c r="D969" s="81"/>
      <c r="E969" s="81"/>
      <c r="F969" s="81"/>
      <c r="G969" s="81"/>
      <c r="H969" s="81"/>
      <c r="I969" s="289"/>
      <c r="J969" s="105"/>
      <c r="K969" s="81"/>
      <c r="L969" s="289"/>
      <c r="M969" s="81"/>
      <c r="N969" s="81"/>
      <c r="O969" s="289"/>
      <c r="P969" s="81"/>
      <c r="Q969" s="289"/>
      <c r="R969" s="81"/>
      <c r="S969" s="289"/>
      <c r="T969" s="81"/>
      <c r="U969" s="81"/>
      <c r="V969" s="81"/>
      <c r="W969" s="81"/>
      <c r="X969" s="81"/>
      <c r="Y969" s="81"/>
      <c r="Z969" s="81"/>
    </row>
    <row r="970" spans="1:26" ht="24" customHeight="1" x14ac:dyDescent="0.5">
      <c r="A970" s="81"/>
      <c r="B970" s="81"/>
      <c r="C970" s="81"/>
      <c r="D970" s="81"/>
      <c r="E970" s="81"/>
      <c r="F970" s="81"/>
      <c r="G970" s="81"/>
      <c r="H970" s="81"/>
      <c r="I970" s="289"/>
      <c r="J970" s="105"/>
      <c r="K970" s="81"/>
      <c r="L970" s="289"/>
      <c r="M970" s="81"/>
      <c r="N970" s="81"/>
      <c r="O970" s="289"/>
      <c r="P970" s="81"/>
      <c r="Q970" s="289"/>
      <c r="R970" s="81"/>
      <c r="S970" s="289"/>
      <c r="T970" s="81"/>
      <c r="U970" s="81"/>
      <c r="V970" s="81"/>
      <c r="W970" s="81"/>
      <c r="X970" s="81"/>
      <c r="Y970" s="81"/>
      <c r="Z970" s="81"/>
    </row>
    <row r="971" spans="1:26" ht="24" customHeight="1" x14ac:dyDescent="0.5">
      <c r="A971" s="81"/>
      <c r="B971" s="81"/>
      <c r="C971" s="81"/>
      <c r="D971" s="81"/>
      <c r="E971" s="81"/>
      <c r="F971" s="81"/>
      <c r="G971" s="81"/>
      <c r="H971" s="81"/>
      <c r="I971" s="289"/>
      <c r="J971" s="105"/>
      <c r="K971" s="81"/>
      <c r="L971" s="289"/>
      <c r="M971" s="81"/>
      <c r="N971" s="81"/>
      <c r="O971" s="289"/>
      <c r="P971" s="81"/>
      <c r="Q971" s="289"/>
      <c r="R971" s="81"/>
      <c r="S971" s="289"/>
      <c r="T971" s="81"/>
      <c r="U971" s="81"/>
      <c r="V971" s="81"/>
      <c r="W971" s="81"/>
      <c r="X971" s="81"/>
      <c r="Y971" s="81"/>
      <c r="Z971" s="81"/>
    </row>
    <row r="972" spans="1:26" ht="24" customHeight="1" x14ac:dyDescent="0.5">
      <c r="A972" s="81"/>
      <c r="B972" s="81"/>
      <c r="C972" s="81"/>
      <c r="D972" s="81"/>
      <c r="E972" s="81"/>
      <c r="F972" s="81"/>
      <c r="G972" s="81"/>
      <c r="H972" s="81"/>
      <c r="I972" s="289"/>
      <c r="J972" s="105"/>
      <c r="K972" s="81"/>
      <c r="L972" s="289"/>
      <c r="M972" s="81"/>
      <c r="N972" s="81"/>
      <c r="O972" s="289"/>
      <c r="P972" s="81"/>
      <c r="Q972" s="289"/>
      <c r="R972" s="81"/>
      <c r="S972" s="289"/>
      <c r="T972" s="81"/>
      <c r="U972" s="81"/>
      <c r="V972" s="81"/>
      <c r="W972" s="81"/>
      <c r="X972" s="81"/>
      <c r="Y972" s="81"/>
      <c r="Z972" s="81"/>
    </row>
    <row r="973" spans="1:26" ht="24" customHeight="1" x14ac:dyDescent="0.5">
      <c r="A973" s="81"/>
      <c r="B973" s="81"/>
      <c r="C973" s="81"/>
      <c r="D973" s="81"/>
      <c r="E973" s="81"/>
      <c r="F973" s="81"/>
      <c r="G973" s="81"/>
      <c r="H973" s="81"/>
      <c r="I973" s="289"/>
      <c r="J973" s="105"/>
      <c r="K973" s="81"/>
      <c r="L973" s="289"/>
      <c r="M973" s="81"/>
      <c r="N973" s="81"/>
      <c r="O973" s="289"/>
      <c r="P973" s="81"/>
      <c r="Q973" s="289"/>
      <c r="R973" s="81"/>
      <c r="S973" s="289"/>
      <c r="T973" s="81"/>
      <c r="U973" s="81"/>
      <c r="V973" s="81"/>
      <c r="W973" s="81"/>
      <c r="X973" s="81"/>
      <c r="Y973" s="81"/>
      <c r="Z973" s="81"/>
    </row>
    <row r="974" spans="1:26" ht="24" customHeight="1" x14ac:dyDescent="0.5">
      <c r="A974" s="81"/>
      <c r="B974" s="81"/>
      <c r="C974" s="81"/>
      <c r="D974" s="81"/>
      <c r="E974" s="81"/>
      <c r="F974" s="81"/>
      <c r="G974" s="81"/>
      <c r="H974" s="81"/>
      <c r="I974" s="289"/>
      <c r="J974" s="105"/>
      <c r="K974" s="81"/>
      <c r="L974" s="289"/>
      <c r="M974" s="81"/>
      <c r="N974" s="81"/>
      <c r="O974" s="289"/>
      <c r="P974" s="81"/>
      <c r="Q974" s="289"/>
      <c r="R974" s="81"/>
      <c r="S974" s="289"/>
      <c r="T974" s="81"/>
      <c r="U974" s="81"/>
      <c r="V974" s="81"/>
      <c r="W974" s="81"/>
      <c r="X974" s="81"/>
      <c r="Y974" s="81"/>
      <c r="Z974" s="81"/>
    </row>
    <row r="975" spans="1:26" ht="24" customHeight="1" x14ac:dyDescent="0.5">
      <c r="A975" s="81"/>
      <c r="B975" s="81"/>
      <c r="C975" s="81"/>
      <c r="D975" s="81"/>
      <c r="E975" s="81"/>
      <c r="F975" s="81"/>
      <c r="G975" s="81"/>
      <c r="H975" s="81"/>
      <c r="I975" s="289"/>
      <c r="J975" s="105"/>
      <c r="K975" s="81"/>
      <c r="L975" s="289"/>
      <c r="M975" s="81"/>
      <c r="N975" s="81"/>
      <c r="O975" s="289"/>
      <c r="P975" s="81"/>
      <c r="Q975" s="289"/>
      <c r="R975" s="81"/>
      <c r="S975" s="289"/>
      <c r="T975" s="81"/>
      <c r="U975" s="81"/>
      <c r="V975" s="81"/>
      <c r="W975" s="81"/>
      <c r="X975" s="81"/>
      <c r="Y975" s="81"/>
      <c r="Z975" s="81"/>
    </row>
    <row r="976" spans="1:26" ht="24" customHeight="1" x14ac:dyDescent="0.5">
      <c r="A976" s="81"/>
      <c r="B976" s="81"/>
      <c r="C976" s="81"/>
      <c r="D976" s="81"/>
      <c r="E976" s="81"/>
      <c r="F976" s="81"/>
      <c r="G976" s="81"/>
      <c r="H976" s="81"/>
      <c r="I976" s="289"/>
      <c r="J976" s="105"/>
      <c r="K976" s="81"/>
      <c r="L976" s="289"/>
      <c r="M976" s="81"/>
      <c r="N976" s="81"/>
      <c r="O976" s="289"/>
      <c r="P976" s="81"/>
      <c r="Q976" s="289"/>
      <c r="R976" s="81"/>
      <c r="S976" s="289"/>
      <c r="T976" s="81"/>
      <c r="U976" s="81"/>
      <c r="V976" s="81"/>
      <c r="W976" s="81"/>
      <c r="X976" s="81"/>
      <c r="Y976" s="81"/>
      <c r="Z976" s="81"/>
    </row>
    <row r="977" spans="1:26" ht="24" customHeight="1" x14ac:dyDescent="0.5">
      <c r="A977" s="81"/>
      <c r="B977" s="81"/>
      <c r="C977" s="81"/>
      <c r="D977" s="81"/>
      <c r="E977" s="81"/>
      <c r="F977" s="81"/>
      <c r="G977" s="81"/>
      <c r="H977" s="81"/>
      <c r="I977" s="289"/>
      <c r="J977" s="105"/>
      <c r="K977" s="81"/>
      <c r="L977" s="289"/>
      <c r="M977" s="81"/>
      <c r="N977" s="81"/>
      <c r="O977" s="289"/>
      <c r="P977" s="81"/>
      <c r="Q977" s="289"/>
      <c r="R977" s="81"/>
      <c r="S977" s="289"/>
      <c r="T977" s="81"/>
      <c r="U977" s="81"/>
      <c r="V977" s="81"/>
      <c r="W977" s="81"/>
      <c r="X977" s="81"/>
      <c r="Y977" s="81"/>
      <c r="Z977" s="81"/>
    </row>
    <row r="978" spans="1:26" ht="24" customHeight="1" x14ac:dyDescent="0.5">
      <c r="A978" s="81"/>
      <c r="B978" s="81"/>
      <c r="C978" s="81"/>
      <c r="D978" s="81"/>
      <c r="E978" s="81"/>
      <c r="F978" s="81"/>
      <c r="G978" s="81"/>
      <c r="H978" s="81"/>
      <c r="I978" s="289"/>
      <c r="J978" s="105"/>
      <c r="K978" s="81"/>
      <c r="L978" s="289"/>
      <c r="M978" s="81"/>
      <c r="N978" s="81"/>
      <c r="O978" s="289"/>
      <c r="P978" s="81"/>
      <c r="Q978" s="289"/>
      <c r="R978" s="81"/>
      <c r="S978" s="289"/>
      <c r="T978" s="81"/>
      <c r="U978" s="81"/>
      <c r="V978" s="81"/>
      <c r="W978" s="81"/>
      <c r="X978" s="81"/>
      <c r="Y978" s="81"/>
      <c r="Z978" s="81"/>
    </row>
    <row r="979" spans="1:26" ht="24" customHeight="1" x14ac:dyDescent="0.5">
      <c r="A979" s="81"/>
      <c r="B979" s="81"/>
      <c r="C979" s="81"/>
      <c r="D979" s="81"/>
      <c r="E979" s="81"/>
      <c r="F979" s="81"/>
      <c r="G979" s="81"/>
      <c r="H979" s="81"/>
      <c r="I979" s="289"/>
      <c r="J979" s="105"/>
      <c r="K979" s="81"/>
      <c r="L979" s="289"/>
      <c r="M979" s="81"/>
      <c r="N979" s="81"/>
      <c r="O979" s="289"/>
      <c r="P979" s="81"/>
      <c r="Q979" s="289"/>
      <c r="R979" s="81"/>
      <c r="S979" s="289"/>
      <c r="T979" s="81"/>
      <c r="U979" s="81"/>
      <c r="V979" s="81"/>
      <c r="W979" s="81"/>
      <c r="X979" s="81"/>
      <c r="Y979" s="81"/>
      <c r="Z979" s="81"/>
    </row>
    <row r="980" spans="1:26" ht="24" customHeight="1" x14ac:dyDescent="0.5">
      <c r="A980" s="81"/>
      <c r="B980" s="81"/>
      <c r="C980" s="81"/>
      <c r="D980" s="81"/>
      <c r="E980" s="81"/>
      <c r="F980" s="81"/>
      <c r="G980" s="81"/>
      <c r="H980" s="81"/>
      <c r="I980" s="289"/>
      <c r="J980" s="105"/>
      <c r="K980" s="81"/>
      <c r="L980" s="289"/>
      <c r="M980" s="81"/>
      <c r="N980" s="81"/>
      <c r="O980" s="289"/>
      <c r="P980" s="81"/>
      <c r="Q980" s="289"/>
      <c r="R980" s="81"/>
      <c r="S980" s="289"/>
      <c r="T980" s="81"/>
      <c r="U980" s="81"/>
      <c r="V980" s="81"/>
      <c r="W980" s="81"/>
      <c r="X980" s="81"/>
      <c r="Y980" s="81"/>
      <c r="Z980" s="81"/>
    </row>
    <row r="981" spans="1:26" ht="24" customHeight="1" x14ac:dyDescent="0.5">
      <c r="A981" s="81"/>
      <c r="B981" s="81"/>
      <c r="C981" s="81"/>
      <c r="D981" s="81"/>
      <c r="E981" s="81"/>
      <c r="F981" s="81"/>
      <c r="G981" s="81"/>
      <c r="H981" s="81"/>
      <c r="I981" s="289"/>
      <c r="J981" s="105"/>
      <c r="K981" s="81"/>
      <c r="L981" s="289"/>
      <c r="M981" s="81"/>
      <c r="N981" s="81"/>
      <c r="O981" s="289"/>
      <c r="P981" s="81"/>
      <c r="Q981" s="289"/>
      <c r="R981" s="81"/>
      <c r="S981" s="289"/>
      <c r="T981" s="81"/>
      <c r="U981" s="81"/>
      <c r="V981" s="81"/>
      <c r="W981" s="81"/>
      <c r="X981" s="81"/>
      <c r="Y981" s="81"/>
      <c r="Z981" s="81"/>
    </row>
    <row r="982" spans="1:26" ht="24" customHeight="1" x14ac:dyDescent="0.5">
      <c r="A982" s="81"/>
      <c r="B982" s="81"/>
      <c r="C982" s="81"/>
      <c r="D982" s="81"/>
      <c r="E982" s="81"/>
      <c r="F982" s="81"/>
      <c r="G982" s="81"/>
      <c r="H982" s="81"/>
      <c r="I982" s="289"/>
      <c r="J982" s="105"/>
      <c r="K982" s="81"/>
      <c r="L982" s="289"/>
      <c r="M982" s="81"/>
      <c r="N982" s="81"/>
      <c r="O982" s="289"/>
      <c r="P982" s="81"/>
      <c r="Q982" s="289"/>
      <c r="R982" s="81"/>
      <c r="S982" s="289"/>
      <c r="T982" s="81"/>
      <c r="U982" s="81"/>
      <c r="V982" s="81"/>
      <c r="W982" s="81"/>
      <c r="X982" s="81"/>
      <c r="Y982" s="81"/>
      <c r="Z982" s="81"/>
    </row>
    <row r="983" spans="1:26" ht="24" customHeight="1" x14ac:dyDescent="0.5">
      <c r="A983" s="81"/>
      <c r="B983" s="81"/>
      <c r="C983" s="81"/>
      <c r="D983" s="81"/>
      <c r="E983" s="81"/>
      <c r="F983" s="81"/>
      <c r="G983" s="81"/>
      <c r="H983" s="81"/>
      <c r="I983" s="289"/>
      <c r="J983" s="105"/>
      <c r="K983" s="81"/>
      <c r="L983" s="289"/>
      <c r="M983" s="81"/>
      <c r="N983" s="81"/>
      <c r="O983" s="289"/>
      <c r="P983" s="81"/>
      <c r="Q983" s="289"/>
      <c r="R983" s="81"/>
      <c r="S983" s="289"/>
      <c r="T983" s="81"/>
      <c r="U983" s="81"/>
      <c r="V983" s="81"/>
      <c r="W983" s="81"/>
      <c r="X983" s="81"/>
      <c r="Y983" s="81"/>
      <c r="Z983" s="81"/>
    </row>
    <row r="984" spans="1:26" ht="24" customHeight="1" x14ac:dyDescent="0.5">
      <c r="A984" s="81"/>
      <c r="B984" s="81"/>
      <c r="C984" s="81"/>
      <c r="D984" s="81"/>
      <c r="E984" s="81"/>
      <c r="F984" s="81"/>
      <c r="G984" s="81"/>
      <c r="H984" s="81"/>
      <c r="I984" s="289"/>
      <c r="J984" s="105"/>
      <c r="K984" s="81"/>
      <c r="L984" s="289"/>
      <c r="M984" s="81"/>
      <c r="N984" s="81"/>
      <c r="O984" s="289"/>
      <c r="P984" s="81"/>
      <c r="Q984" s="289"/>
      <c r="R984" s="81"/>
      <c r="S984" s="289"/>
      <c r="T984" s="81"/>
      <c r="U984" s="81"/>
      <c r="V984" s="81"/>
      <c r="W984" s="81"/>
      <c r="X984" s="81"/>
      <c r="Y984" s="81"/>
      <c r="Z984" s="81"/>
    </row>
    <row r="985" spans="1:26" ht="24" customHeight="1" x14ac:dyDescent="0.5">
      <c r="A985" s="81"/>
      <c r="B985" s="81"/>
      <c r="C985" s="81"/>
      <c r="D985" s="81"/>
      <c r="E985" s="81"/>
      <c r="F985" s="81"/>
      <c r="G985" s="81"/>
      <c r="H985" s="81"/>
      <c r="I985" s="289"/>
      <c r="J985" s="105"/>
      <c r="K985" s="81"/>
      <c r="L985" s="289"/>
      <c r="M985" s="81"/>
      <c r="N985" s="81"/>
      <c r="O985" s="289"/>
      <c r="P985" s="81"/>
      <c r="Q985" s="289"/>
      <c r="R985" s="81"/>
      <c r="S985" s="289"/>
      <c r="T985" s="81"/>
      <c r="U985" s="81"/>
      <c r="V985" s="81"/>
      <c r="W985" s="81"/>
      <c r="X985" s="81"/>
      <c r="Y985" s="81"/>
      <c r="Z985" s="81"/>
    </row>
    <row r="986" spans="1:26" ht="24" customHeight="1" x14ac:dyDescent="0.5">
      <c r="A986" s="81"/>
      <c r="B986" s="81"/>
      <c r="C986" s="81"/>
      <c r="D986" s="81"/>
      <c r="E986" s="81"/>
      <c r="F986" s="81"/>
      <c r="G986" s="81"/>
      <c r="H986" s="81"/>
      <c r="I986" s="289"/>
      <c r="J986" s="105"/>
      <c r="K986" s="81"/>
      <c r="L986" s="289"/>
      <c r="M986" s="81"/>
      <c r="N986" s="81"/>
      <c r="O986" s="289"/>
      <c r="P986" s="81"/>
      <c r="Q986" s="289"/>
      <c r="R986" s="81"/>
      <c r="S986" s="289"/>
      <c r="T986" s="81"/>
      <c r="U986" s="81"/>
      <c r="V986" s="81"/>
      <c r="W986" s="81"/>
      <c r="X986" s="81"/>
      <c r="Y986" s="81"/>
      <c r="Z986" s="81"/>
    </row>
    <row r="987" spans="1:26" ht="24" customHeight="1" x14ac:dyDescent="0.5">
      <c r="A987" s="81"/>
      <c r="B987" s="81"/>
      <c r="C987" s="81"/>
      <c r="D987" s="81"/>
      <c r="E987" s="81"/>
      <c r="F987" s="81"/>
      <c r="G987" s="81"/>
      <c r="H987" s="81"/>
      <c r="I987" s="289"/>
      <c r="J987" s="105"/>
      <c r="K987" s="81"/>
      <c r="L987" s="289"/>
      <c r="M987" s="81"/>
      <c r="N987" s="81"/>
      <c r="O987" s="289"/>
      <c r="P987" s="81"/>
      <c r="Q987" s="289"/>
      <c r="R987" s="81"/>
      <c r="S987" s="289"/>
      <c r="T987" s="81"/>
      <c r="U987" s="81"/>
      <c r="V987" s="81"/>
      <c r="W987" s="81"/>
      <c r="X987" s="81"/>
      <c r="Y987" s="81"/>
      <c r="Z987" s="81"/>
    </row>
    <row r="988" spans="1:26" ht="24" customHeight="1" x14ac:dyDescent="0.5">
      <c r="A988" s="81"/>
      <c r="B988" s="81"/>
      <c r="C988" s="81"/>
      <c r="D988" s="81"/>
      <c r="E988" s="81"/>
      <c r="F988" s="81"/>
      <c r="G988" s="81"/>
      <c r="H988" s="81"/>
      <c r="I988" s="289"/>
      <c r="J988" s="105"/>
      <c r="K988" s="81"/>
      <c r="L988" s="289"/>
      <c r="M988" s="81"/>
      <c r="N988" s="81"/>
      <c r="O988" s="289"/>
      <c r="P988" s="81"/>
      <c r="Q988" s="289"/>
      <c r="R988" s="81"/>
      <c r="S988" s="289"/>
      <c r="T988" s="81"/>
      <c r="U988" s="81"/>
      <c r="V988" s="81"/>
      <c r="W988" s="81"/>
      <c r="X988" s="81"/>
      <c r="Y988" s="81"/>
      <c r="Z988" s="81"/>
    </row>
    <row r="989" spans="1:26" ht="24" customHeight="1" x14ac:dyDescent="0.5">
      <c r="A989" s="81"/>
      <c r="B989" s="81"/>
      <c r="C989" s="81"/>
      <c r="D989" s="81"/>
      <c r="E989" s="81"/>
      <c r="F989" s="81"/>
      <c r="G989" s="81"/>
      <c r="H989" s="81"/>
      <c r="I989" s="289"/>
      <c r="J989" s="105"/>
      <c r="K989" s="81"/>
      <c r="L989" s="289"/>
      <c r="M989" s="81"/>
      <c r="N989" s="81"/>
      <c r="O989" s="289"/>
      <c r="P989" s="81"/>
      <c r="Q989" s="289"/>
      <c r="R989" s="81"/>
      <c r="S989" s="289"/>
      <c r="T989" s="81"/>
      <c r="U989" s="81"/>
      <c r="V989" s="81"/>
      <c r="W989" s="81"/>
      <c r="X989" s="81"/>
      <c r="Y989" s="81"/>
      <c r="Z989" s="81"/>
    </row>
    <row r="990" spans="1:26" ht="24" customHeight="1" x14ac:dyDescent="0.5">
      <c r="A990" s="81"/>
      <c r="B990" s="81"/>
      <c r="C990" s="81"/>
      <c r="D990" s="81"/>
      <c r="E990" s="81"/>
      <c r="F990" s="81"/>
      <c r="G990" s="81"/>
      <c r="H990" s="81"/>
      <c r="I990" s="289"/>
      <c r="J990" s="105"/>
      <c r="K990" s="81"/>
      <c r="L990" s="289"/>
      <c r="M990" s="81"/>
      <c r="N990" s="81"/>
      <c r="O990" s="289"/>
      <c r="P990" s="81"/>
      <c r="Q990" s="289"/>
      <c r="R990" s="81"/>
      <c r="S990" s="289"/>
      <c r="T990" s="81"/>
      <c r="U990" s="81"/>
      <c r="V990" s="81"/>
      <c r="W990" s="81"/>
      <c r="X990" s="81"/>
      <c r="Y990" s="81"/>
      <c r="Z990" s="81"/>
    </row>
    <row r="991" spans="1:26" ht="24" customHeight="1" x14ac:dyDescent="0.5">
      <c r="A991" s="81"/>
      <c r="B991" s="81"/>
      <c r="C991" s="81"/>
      <c r="D991" s="81"/>
      <c r="E991" s="81"/>
      <c r="F991" s="81"/>
      <c r="G991" s="81"/>
      <c r="H991" s="81"/>
      <c r="I991" s="289"/>
      <c r="J991" s="105"/>
      <c r="K991" s="81"/>
      <c r="L991" s="289"/>
      <c r="M991" s="81"/>
      <c r="N991" s="81"/>
      <c r="O991" s="289"/>
      <c r="P991" s="81"/>
      <c r="Q991" s="289"/>
      <c r="R991" s="81"/>
      <c r="S991" s="289"/>
      <c r="T991" s="81"/>
      <c r="U991" s="81"/>
      <c r="V991" s="81"/>
      <c r="W991" s="81"/>
      <c r="X991" s="81"/>
      <c r="Y991" s="81"/>
      <c r="Z991" s="81"/>
    </row>
    <row r="992" spans="1:26" ht="24" customHeight="1" x14ac:dyDescent="0.5">
      <c r="A992" s="81"/>
      <c r="B992" s="81"/>
      <c r="C992" s="81"/>
      <c r="D992" s="81"/>
      <c r="E992" s="81"/>
      <c r="F992" s="81"/>
      <c r="G992" s="81"/>
      <c r="H992" s="81"/>
      <c r="I992" s="289"/>
      <c r="J992" s="105"/>
      <c r="K992" s="81"/>
      <c r="L992" s="289"/>
      <c r="M992" s="81"/>
      <c r="N992" s="81"/>
      <c r="O992" s="289"/>
      <c r="P992" s="81"/>
      <c r="Q992" s="289"/>
      <c r="R992" s="81"/>
      <c r="S992" s="289"/>
      <c r="T992" s="81"/>
      <c r="U992" s="81"/>
      <c r="V992" s="81"/>
      <c r="W992" s="81"/>
      <c r="X992" s="81"/>
      <c r="Y992" s="81"/>
      <c r="Z992" s="81"/>
    </row>
    <row r="993" spans="1:26" ht="24" customHeight="1" x14ac:dyDescent="0.5">
      <c r="A993" s="81"/>
      <c r="B993" s="81"/>
      <c r="C993" s="81"/>
      <c r="D993" s="81"/>
      <c r="E993" s="81"/>
      <c r="F993" s="81"/>
      <c r="G993" s="81"/>
      <c r="H993" s="81"/>
      <c r="I993" s="289"/>
      <c r="J993" s="105"/>
      <c r="K993" s="81"/>
      <c r="L993" s="289"/>
      <c r="M993" s="81"/>
      <c r="N993" s="81"/>
      <c r="O993" s="289"/>
      <c r="P993" s="81"/>
      <c r="Q993" s="289"/>
      <c r="R993" s="81"/>
      <c r="S993" s="289"/>
      <c r="T993" s="81"/>
      <c r="U993" s="81"/>
      <c r="V993" s="81"/>
      <c r="W993" s="81"/>
      <c r="X993" s="81"/>
      <c r="Y993" s="81"/>
      <c r="Z993" s="81"/>
    </row>
    <row r="994" spans="1:26" ht="24" customHeight="1" x14ac:dyDescent="0.5">
      <c r="A994" s="81"/>
      <c r="B994" s="81"/>
      <c r="C994" s="81"/>
      <c r="D994" s="81"/>
      <c r="E994" s="81"/>
      <c r="F994" s="81"/>
      <c r="G994" s="81"/>
      <c r="H994" s="81"/>
      <c r="I994" s="289"/>
      <c r="J994" s="105"/>
      <c r="K994" s="81"/>
      <c r="L994" s="289"/>
      <c r="M994" s="81"/>
      <c r="N994" s="81"/>
      <c r="O994" s="289"/>
      <c r="P994" s="81"/>
      <c r="Q994" s="289"/>
      <c r="R994" s="81"/>
      <c r="S994" s="289"/>
      <c r="T994" s="81"/>
      <c r="U994" s="81"/>
      <c r="V994" s="81"/>
      <c r="W994" s="81"/>
      <c r="X994" s="81"/>
      <c r="Y994" s="81"/>
      <c r="Z994" s="81"/>
    </row>
    <row r="995" spans="1:26" ht="24" customHeight="1" x14ac:dyDescent="0.5">
      <c r="A995" s="81"/>
      <c r="B995" s="81"/>
      <c r="C995" s="81"/>
      <c r="D995" s="81"/>
      <c r="E995" s="81"/>
      <c r="F995" s="81"/>
      <c r="G995" s="81"/>
      <c r="H995" s="81"/>
      <c r="I995" s="289"/>
      <c r="J995" s="105"/>
      <c r="K995" s="81"/>
      <c r="L995" s="289"/>
      <c r="M995" s="81"/>
      <c r="N995" s="81"/>
      <c r="O995" s="289"/>
      <c r="P995" s="81"/>
      <c r="Q995" s="289"/>
      <c r="R995" s="81"/>
      <c r="S995" s="289"/>
      <c r="T995" s="81"/>
      <c r="U995" s="81"/>
      <c r="V995" s="81"/>
      <c r="W995" s="81"/>
      <c r="X995" s="81"/>
      <c r="Y995" s="81"/>
      <c r="Z995" s="81"/>
    </row>
    <row r="996" spans="1:26" ht="24" customHeight="1" x14ac:dyDescent="0.5">
      <c r="A996" s="81"/>
      <c r="B996" s="81"/>
      <c r="C996" s="81"/>
      <c r="D996" s="81"/>
      <c r="E996" s="81"/>
      <c r="F996" s="81"/>
      <c r="G996" s="81"/>
      <c r="H996" s="81"/>
      <c r="I996" s="289"/>
      <c r="J996" s="105"/>
      <c r="K996" s="81"/>
      <c r="L996" s="289"/>
      <c r="M996" s="81"/>
      <c r="N996" s="81"/>
      <c r="O996" s="289"/>
      <c r="P996" s="81"/>
      <c r="Q996" s="289"/>
      <c r="R996" s="81"/>
      <c r="S996" s="289"/>
      <c r="T996" s="81"/>
      <c r="U996" s="81"/>
      <c r="V996" s="81"/>
      <c r="W996" s="81"/>
      <c r="X996" s="81"/>
      <c r="Y996" s="81"/>
      <c r="Z996" s="81"/>
    </row>
    <row r="997" spans="1:26" ht="24" customHeight="1" x14ac:dyDescent="0.5">
      <c r="A997" s="81"/>
      <c r="B997" s="81"/>
      <c r="C997" s="81"/>
      <c r="D997" s="81"/>
      <c r="E997" s="81"/>
      <c r="F997" s="81"/>
      <c r="G997" s="81"/>
      <c r="H997" s="81"/>
      <c r="I997" s="289"/>
      <c r="J997" s="105"/>
      <c r="K997" s="81"/>
      <c r="L997" s="289"/>
      <c r="M997" s="81"/>
      <c r="N997" s="81"/>
      <c r="O997" s="289"/>
      <c r="P997" s="81"/>
      <c r="Q997" s="289"/>
      <c r="R997" s="81"/>
      <c r="S997" s="289"/>
      <c r="T997" s="81"/>
      <c r="U997" s="81"/>
      <c r="V997" s="81"/>
      <c r="W997" s="81"/>
      <c r="X997" s="81"/>
      <c r="Y997" s="81"/>
      <c r="Z997" s="81"/>
    </row>
    <row r="998" spans="1:26" ht="24" customHeight="1" x14ac:dyDescent="0.5">
      <c r="A998" s="81"/>
      <c r="B998" s="81"/>
      <c r="C998" s="81"/>
      <c r="D998" s="81"/>
      <c r="E998" s="81"/>
      <c r="F998" s="81"/>
      <c r="G998" s="81"/>
      <c r="H998" s="81"/>
      <c r="I998" s="289"/>
      <c r="J998" s="105"/>
      <c r="K998" s="81"/>
      <c r="L998" s="289"/>
      <c r="M998" s="81"/>
      <c r="N998" s="81"/>
      <c r="O998" s="289"/>
      <c r="P998" s="81"/>
      <c r="Q998" s="289"/>
      <c r="R998" s="81"/>
      <c r="S998" s="289"/>
      <c r="T998" s="81"/>
      <c r="U998" s="81"/>
      <c r="V998" s="81"/>
      <c r="W998" s="81"/>
      <c r="X998" s="81"/>
      <c r="Y998" s="81"/>
      <c r="Z998" s="81"/>
    </row>
    <row r="999" spans="1:26" ht="24" customHeight="1" x14ac:dyDescent="0.5">
      <c r="A999" s="81"/>
      <c r="B999" s="81"/>
      <c r="C999" s="81"/>
      <c r="D999" s="81"/>
      <c r="E999" s="81"/>
      <c r="F999" s="81"/>
      <c r="G999" s="81"/>
      <c r="H999" s="81"/>
      <c r="I999" s="289"/>
      <c r="J999" s="105"/>
      <c r="K999" s="81"/>
      <c r="L999" s="289"/>
      <c r="M999" s="81"/>
      <c r="N999" s="81"/>
      <c r="O999" s="289"/>
      <c r="P999" s="81"/>
      <c r="Q999" s="289"/>
      <c r="R999" s="81"/>
      <c r="S999" s="289"/>
      <c r="T999" s="81"/>
      <c r="U999" s="81"/>
      <c r="V999" s="81"/>
      <c r="W999" s="81"/>
      <c r="X999" s="81"/>
      <c r="Y999" s="81"/>
      <c r="Z999" s="81"/>
    </row>
    <row r="1000" spans="1:26" ht="24" customHeight="1" x14ac:dyDescent="0.5">
      <c r="A1000" s="81"/>
      <c r="B1000" s="81"/>
      <c r="C1000" s="81"/>
      <c r="D1000" s="81"/>
      <c r="E1000" s="81"/>
      <c r="F1000" s="81"/>
      <c r="G1000" s="81"/>
      <c r="H1000" s="81"/>
      <c r="I1000" s="289"/>
      <c r="J1000" s="105"/>
      <c r="K1000" s="81"/>
      <c r="L1000" s="289"/>
      <c r="M1000" s="81"/>
      <c r="N1000" s="81"/>
      <c r="O1000" s="289"/>
      <c r="P1000" s="81"/>
      <c r="Q1000" s="289"/>
      <c r="R1000" s="81"/>
      <c r="S1000" s="289"/>
      <c r="T1000" s="81"/>
      <c r="U1000" s="81"/>
      <c r="V1000" s="81"/>
      <c r="W1000" s="81"/>
      <c r="X1000" s="81"/>
      <c r="Y1000" s="81"/>
      <c r="Z1000" s="81"/>
    </row>
  </sheetData>
  <mergeCells count="25">
    <mergeCell ref="A54:B54"/>
    <mergeCell ref="A76:B76"/>
    <mergeCell ref="A91:B91"/>
    <mergeCell ref="A106:B106"/>
    <mergeCell ref="I7:J7"/>
    <mergeCell ref="D7:D8"/>
    <mergeCell ref="F7:G7"/>
    <mergeCell ref="A9:B9"/>
    <mergeCell ref="A15:B15"/>
    <mergeCell ref="A33:B33"/>
    <mergeCell ref="L7:M7"/>
    <mergeCell ref="S7:T7"/>
    <mergeCell ref="A2:B6"/>
    <mergeCell ref="C2:T3"/>
    <mergeCell ref="C4:G5"/>
    <mergeCell ref="H4:T4"/>
    <mergeCell ref="H5:J6"/>
    <mergeCell ref="K5:Q5"/>
    <mergeCell ref="R5:T6"/>
    <mergeCell ref="P6:Q6"/>
    <mergeCell ref="C6:E6"/>
    <mergeCell ref="F6:G6"/>
    <mergeCell ref="K6:M6"/>
    <mergeCell ref="N6:O6"/>
    <mergeCell ref="A7:B8"/>
  </mergeCells>
  <printOptions horizontalCentered="1"/>
  <pageMargins left="0.15" right="0.15" top="0.75" bottom="0.75" header="0.3" footer="0.3"/>
  <pageSetup paperSize="9" scale="60" orientation="landscape" r:id="rId1"/>
  <rowBreaks count="4" manualBreakCount="4">
    <brk id="32" max="19" man="1"/>
    <brk id="53" max="19" man="1"/>
    <brk id="75" max="19" man="1"/>
    <brk id="90" max="19" man="1"/>
  </rowBreaks>
  <colBreaks count="1" manualBreakCount="1">
    <brk id="2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D965"/>
  </sheetPr>
  <dimension ref="A1:CE314"/>
  <sheetViews>
    <sheetView view="pageBreakPreview" zoomScale="55" zoomScaleNormal="55" zoomScaleSheetLayoutView="55" workbookViewId="0">
      <pane xSplit="2" topLeftCell="C1" activePane="topRight" state="frozen"/>
      <selection activeCell="Z5" sqref="Z5:AB6"/>
      <selection pane="topRight" activeCell="F16" sqref="F16"/>
    </sheetView>
  </sheetViews>
  <sheetFormatPr defaultColWidth="12.625" defaultRowHeight="24" customHeight="1" x14ac:dyDescent="0.5"/>
  <cols>
    <col min="1" max="1" width="4.375" style="6" customWidth="1"/>
    <col min="2" max="2" width="23.75" style="6" customWidth="1"/>
    <col min="3" max="6" width="10.75" style="6" customWidth="1"/>
    <col min="7" max="7" width="6.375" style="6" customWidth="1"/>
    <col min="8" max="10" width="10.75" style="6" customWidth="1"/>
    <col min="11" max="11" width="6.75" style="6" customWidth="1"/>
    <col min="12" max="12" width="10.75" style="6" customWidth="1"/>
    <col min="13" max="13" width="6.75" style="6" customWidth="1"/>
    <col min="14" max="19" width="10.75" style="6" customWidth="1"/>
    <col min="20" max="43" width="7.75" style="6" customWidth="1"/>
    <col min="44" max="46" width="10.75" style="6" customWidth="1"/>
    <col min="47" max="47" width="6.75" style="6" customWidth="1"/>
    <col min="48" max="48" width="10.75" style="6" customWidth="1"/>
    <col min="49" max="49" width="6.75" style="6" customWidth="1"/>
    <col min="50" max="51" width="10.75" style="6" customWidth="1"/>
    <col min="52" max="52" width="11.875" style="6" customWidth="1"/>
    <col min="53" max="53" width="11.125" style="6" customWidth="1"/>
    <col min="54" max="61" width="10.75" style="6" customWidth="1"/>
    <col min="62" max="83" width="8.25" style="6" customWidth="1"/>
    <col min="84" max="16384" width="12.625" style="6"/>
  </cols>
  <sheetData>
    <row r="1" spans="1:83" ht="24" customHeight="1" thickBot="1" x14ac:dyDescent="0.55000000000000004">
      <c r="A1" s="257" t="s">
        <v>324</v>
      </c>
      <c r="B1" s="258"/>
      <c r="C1" s="258"/>
      <c r="D1" s="258"/>
      <c r="E1" s="258"/>
      <c r="F1" s="258"/>
      <c r="G1" s="258"/>
      <c r="H1" s="258"/>
      <c r="I1" s="258"/>
      <c r="J1" s="258"/>
      <c r="K1" s="260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60"/>
      <c r="AF1" s="258"/>
      <c r="AG1" s="260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60"/>
      <c r="BN1" s="258"/>
      <c r="BO1" s="260"/>
      <c r="BP1" s="258"/>
      <c r="BQ1" s="258"/>
      <c r="BR1" s="258"/>
      <c r="BS1" s="258"/>
      <c r="BT1" s="258"/>
      <c r="BU1" s="258"/>
      <c r="BV1" s="258"/>
      <c r="BW1" s="260"/>
      <c r="BX1" s="258"/>
      <c r="BY1" s="260"/>
      <c r="BZ1" s="258"/>
      <c r="CA1" s="258"/>
      <c r="CB1" s="258"/>
      <c r="CC1" s="258"/>
      <c r="CD1" s="258"/>
      <c r="CE1" s="258"/>
    </row>
    <row r="2" spans="1:83" ht="24" customHeight="1" x14ac:dyDescent="0.5">
      <c r="A2" s="752" t="s">
        <v>0</v>
      </c>
      <c r="B2" s="627"/>
      <c r="C2" s="839" t="s">
        <v>236</v>
      </c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  <c r="Q2" s="840"/>
      <c r="R2" s="840"/>
      <c r="S2" s="840"/>
      <c r="T2" s="844" t="s">
        <v>236</v>
      </c>
      <c r="U2" s="840"/>
      <c r="V2" s="840"/>
      <c r="W2" s="840"/>
      <c r="X2" s="840"/>
      <c r="Y2" s="840"/>
      <c r="Z2" s="840"/>
      <c r="AA2" s="840"/>
      <c r="AB2" s="840"/>
      <c r="AC2" s="840"/>
      <c r="AD2" s="840"/>
      <c r="AE2" s="840"/>
      <c r="AF2" s="840"/>
      <c r="AG2" s="840"/>
      <c r="AH2" s="840"/>
      <c r="AI2" s="840"/>
      <c r="AJ2" s="840"/>
      <c r="AK2" s="840"/>
      <c r="AL2" s="840"/>
      <c r="AM2" s="840"/>
      <c r="AN2" s="840"/>
      <c r="AO2" s="840"/>
      <c r="AP2" s="840"/>
      <c r="AQ2" s="840"/>
      <c r="AR2" s="844" t="s">
        <v>237</v>
      </c>
      <c r="AS2" s="814"/>
      <c r="AT2" s="814"/>
      <c r="AU2" s="814"/>
      <c r="AV2" s="814"/>
      <c r="AW2" s="814"/>
      <c r="AX2" s="814"/>
      <c r="AY2" s="814"/>
      <c r="AZ2" s="814"/>
      <c r="BA2" s="814"/>
      <c r="BB2" s="814"/>
      <c r="BC2" s="814"/>
      <c r="BD2" s="814"/>
      <c r="BE2" s="814"/>
      <c r="BF2" s="814"/>
      <c r="BG2" s="814"/>
      <c r="BH2" s="814"/>
      <c r="BI2" s="814"/>
      <c r="BJ2" s="844" t="s">
        <v>238</v>
      </c>
      <c r="BK2" s="814"/>
      <c r="BL2" s="814"/>
      <c r="BM2" s="814"/>
      <c r="BN2" s="814"/>
      <c r="BO2" s="814"/>
      <c r="BP2" s="814"/>
      <c r="BQ2" s="814"/>
      <c r="BR2" s="814"/>
      <c r="BS2" s="814"/>
      <c r="BT2" s="814"/>
      <c r="BU2" s="814"/>
      <c r="BV2" s="814"/>
      <c r="BW2" s="814"/>
      <c r="BX2" s="814"/>
      <c r="BY2" s="814"/>
      <c r="BZ2" s="814"/>
      <c r="CA2" s="814"/>
      <c r="CB2" s="814"/>
      <c r="CC2" s="814"/>
      <c r="CD2" s="814"/>
      <c r="CE2" s="755"/>
    </row>
    <row r="3" spans="1:83" ht="24" customHeight="1" x14ac:dyDescent="0.5">
      <c r="A3" s="628"/>
      <c r="B3" s="629"/>
      <c r="C3" s="841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  <c r="Q3" s="842"/>
      <c r="R3" s="842"/>
      <c r="S3" s="842"/>
      <c r="T3" s="845"/>
      <c r="U3" s="842"/>
      <c r="V3" s="842"/>
      <c r="W3" s="842"/>
      <c r="X3" s="842"/>
      <c r="Y3" s="842"/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2"/>
      <c r="AL3" s="842"/>
      <c r="AM3" s="842"/>
      <c r="AN3" s="842"/>
      <c r="AO3" s="842"/>
      <c r="AP3" s="842"/>
      <c r="AQ3" s="842"/>
      <c r="AR3" s="815"/>
      <c r="AS3" s="669"/>
      <c r="AT3" s="669"/>
      <c r="AU3" s="669"/>
      <c r="AV3" s="669"/>
      <c r="AW3" s="669"/>
      <c r="AX3" s="669"/>
      <c r="AY3" s="669"/>
      <c r="AZ3" s="669"/>
      <c r="BA3" s="669"/>
      <c r="BB3" s="669"/>
      <c r="BC3" s="669"/>
      <c r="BD3" s="669"/>
      <c r="BE3" s="669"/>
      <c r="BF3" s="669"/>
      <c r="BG3" s="669"/>
      <c r="BH3" s="669"/>
      <c r="BI3" s="669"/>
      <c r="BJ3" s="815"/>
      <c r="BK3" s="669"/>
      <c r="BL3" s="669"/>
      <c r="BM3" s="669"/>
      <c r="BN3" s="669"/>
      <c r="BO3" s="669"/>
      <c r="BP3" s="669"/>
      <c r="BQ3" s="669"/>
      <c r="BR3" s="669"/>
      <c r="BS3" s="669"/>
      <c r="BT3" s="669"/>
      <c r="BU3" s="669"/>
      <c r="BV3" s="669"/>
      <c r="BW3" s="669"/>
      <c r="BX3" s="669"/>
      <c r="BY3" s="669"/>
      <c r="BZ3" s="669"/>
      <c r="CA3" s="669"/>
      <c r="CB3" s="669"/>
      <c r="CC3" s="669"/>
      <c r="CD3" s="669"/>
      <c r="CE3" s="757"/>
    </row>
    <row r="4" spans="1:83" ht="24" customHeight="1" x14ac:dyDescent="0.5">
      <c r="A4" s="628"/>
      <c r="B4" s="629"/>
      <c r="C4" s="852" t="s">
        <v>202</v>
      </c>
      <c r="D4" s="853"/>
      <c r="E4" s="853"/>
      <c r="F4" s="853"/>
      <c r="G4" s="854"/>
      <c r="H4" s="818" t="s">
        <v>239</v>
      </c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6" t="s">
        <v>239</v>
      </c>
      <c r="U4" s="843"/>
      <c r="V4" s="843"/>
      <c r="W4" s="843"/>
      <c r="X4" s="843"/>
      <c r="Y4" s="843"/>
      <c r="Z4" s="843"/>
      <c r="AA4" s="843"/>
      <c r="AB4" s="843"/>
      <c r="AC4" s="843"/>
      <c r="AD4" s="843"/>
      <c r="AE4" s="843"/>
      <c r="AF4" s="843"/>
      <c r="AG4" s="843"/>
      <c r="AH4" s="843"/>
      <c r="AI4" s="843"/>
      <c r="AJ4" s="843"/>
      <c r="AK4" s="843"/>
      <c r="AL4" s="843"/>
      <c r="AM4" s="843"/>
      <c r="AN4" s="843"/>
      <c r="AO4" s="843"/>
      <c r="AP4" s="843"/>
      <c r="AQ4" s="843"/>
      <c r="AR4" s="861" t="s">
        <v>240</v>
      </c>
      <c r="AS4" s="817"/>
      <c r="AT4" s="817"/>
      <c r="AU4" s="817"/>
      <c r="AV4" s="817"/>
      <c r="AW4" s="817"/>
      <c r="AX4" s="817"/>
      <c r="AY4" s="817"/>
      <c r="AZ4" s="817"/>
      <c r="BA4" s="817"/>
      <c r="BB4" s="817"/>
      <c r="BC4" s="817"/>
      <c r="BD4" s="817"/>
      <c r="BE4" s="817"/>
      <c r="BF4" s="817"/>
      <c r="BG4" s="817"/>
      <c r="BH4" s="817"/>
      <c r="BI4" s="817"/>
      <c r="BJ4" s="846" t="s">
        <v>241</v>
      </c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20"/>
    </row>
    <row r="5" spans="1:83" ht="24" customHeight="1" x14ac:dyDescent="0.5">
      <c r="A5" s="628"/>
      <c r="B5" s="629"/>
      <c r="C5" s="823"/>
      <c r="D5" s="669"/>
      <c r="E5" s="669"/>
      <c r="F5" s="669"/>
      <c r="G5" s="824"/>
      <c r="H5" s="857" t="s">
        <v>16</v>
      </c>
      <c r="I5" s="822"/>
      <c r="J5" s="818" t="s">
        <v>242</v>
      </c>
      <c r="K5" s="819"/>
      <c r="L5" s="819"/>
      <c r="M5" s="819"/>
      <c r="N5" s="819"/>
      <c r="O5" s="819"/>
      <c r="P5" s="819"/>
      <c r="Q5" s="819"/>
      <c r="R5" s="819"/>
      <c r="S5" s="819"/>
      <c r="T5" s="846" t="s">
        <v>243</v>
      </c>
      <c r="U5" s="819"/>
      <c r="V5" s="819"/>
      <c r="W5" s="819"/>
      <c r="X5" s="819"/>
      <c r="Y5" s="819"/>
      <c r="Z5" s="819"/>
      <c r="AA5" s="819"/>
      <c r="AB5" s="819"/>
      <c r="AC5" s="812"/>
      <c r="AD5" s="818" t="s">
        <v>244</v>
      </c>
      <c r="AE5" s="819"/>
      <c r="AF5" s="819"/>
      <c r="AG5" s="819"/>
      <c r="AH5" s="819"/>
      <c r="AI5" s="819"/>
      <c r="AJ5" s="819"/>
      <c r="AK5" s="819"/>
      <c r="AL5" s="819"/>
      <c r="AM5" s="819"/>
      <c r="AN5" s="819"/>
      <c r="AO5" s="819"/>
      <c r="AP5" s="819"/>
      <c r="AQ5" s="819"/>
      <c r="AR5" s="859" t="s">
        <v>16</v>
      </c>
      <c r="AS5" s="822"/>
      <c r="AT5" s="818" t="s">
        <v>245</v>
      </c>
      <c r="AU5" s="819"/>
      <c r="AV5" s="819"/>
      <c r="AW5" s="819"/>
      <c r="AX5" s="819"/>
      <c r="AY5" s="819"/>
      <c r="AZ5" s="819"/>
      <c r="BA5" s="819"/>
      <c r="BB5" s="819"/>
      <c r="BC5" s="819"/>
      <c r="BD5" s="819"/>
      <c r="BE5" s="819"/>
      <c r="BF5" s="819"/>
      <c r="BG5" s="819"/>
      <c r="BH5" s="819"/>
      <c r="BI5" s="819"/>
      <c r="BJ5" s="859" t="s">
        <v>16</v>
      </c>
      <c r="BK5" s="822"/>
      <c r="BL5" s="818" t="s">
        <v>246</v>
      </c>
      <c r="BM5" s="819"/>
      <c r="BN5" s="819"/>
      <c r="BO5" s="819"/>
      <c r="BP5" s="819"/>
      <c r="BQ5" s="819"/>
      <c r="BR5" s="819"/>
      <c r="BS5" s="819"/>
      <c r="BT5" s="819"/>
      <c r="BU5" s="812"/>
      <c r="BV5" s="843" t="s">
        <v>247</v>
      </c>
      <c r="BW5" s="819"/>
      <c r="BX5" s="819"/>
      <c r="BY5" s="819"/>
      <c r="BZ5" s="819"/>
      <c r="CA5" s="819"/>
      <c r="CB5" s="819"/>
      <c r="CC5" s="819"/>
      <c r="CD5" s="819"/>
      <c r="CE5" s="820"/>
    </row>
    <row r="6" spans="1:83" ht="24" customHeight="1" x14ac:dyDescent="0.5">
      <c r="A6" s="630"/>
      <c r="B6" s="631"/>
      <c r="C6" s="855" t="s">
        <v>6</v>
      </c>
      <c r="D6" s="819"/>
      <c r="E6" s="812"/>
      <c r="F6" s="835" t="s">
        <v>7</v>
      </c>
      <c r="G6" s="822"/>
      <c r="H6" s="853"/>
      <c r="I6" s="854"/>
      <c r="J6" s="847" t="s">
        <v>248</v>
      </c>
      <c r="K6" s="819"/>
      <c r="L6" s="819"/>
      <c r="M6" s="819"/>
      <c r="N6" s="819"/>
      <c r="O6" s="819"/>
      <c r="P6" s="819"/>
      <c r="Q6" s="819"/>
      <c r="R6" s="819"/>
      <c r="S6" s="819"/>
      <c r="T6" s="848" t="s">
        <v>248</v>
      </c>
      <c r="U6" s="819"/>
      <c r="V6" s="819"/>
      <c r="W6" s="819"/>
      <c r="X6" s="819"/>
      <c r="Y6" s="819"/>
      <c r="Z6" s="819"/>
      <c r="AA6" s="819"/>
      <c r="AB6" s="819"/>
      <c r="AC6" s="812"/>
      <c r="AD6" s="847" t="s">
        <v>248</v>
      </c>
      <c r="AE6" s="819"/>
      <c r="AF6" s="819"/>
      <c r="AG6" s="819"/>
      <c r="AH6" s="819"/>
      <c r="AI6" s="819"/>
      <c r="AJ6" s="819"/>
      <c r="AK6" s="819"/>
      <c r="AL6" s="819"/>
      <c r="AM6" s="819"/>
      <c r="AN6" s="819"/>
      <c r="AO6" s="819"/>
      <c r="AP6" s="819"/>
      <c r="AQ6" s="819"/>
      <c r="AR6" s="860"/>
      <c r="AS6" s="854"/>
      <c r="AT6" s="862" t="s">
        <v>249</v>
      </c>
      <c r="AU6" s="817"/>
      <c r="AV6" s="817"/>
      <c r="AW6" s="822"/>
      <c r="AX6" s="847" t="s">
        <v>250</v>
      </c>
      <c r="AY6" s="819"/>
      <c r="AZ6" s="819"/>
      <c r="BA6" s="819"/>
      <c r="BB6" s="819"/>
      <c r="BC6" s="812"/>
      <c r="BD6" s="847" t="s">
        <v>251</v>
      </c>
      <c r="BE6" s="819"/>
      <c r="BF6" s="819"/>
      <c r="BG6" s="812"/>
      <c r="BH6" s="867" t="s">
        <v>252</v>
      </c>
      <c r="BI6" s="868"/>
      <c r="BJ6" s="860"/>
      <c r="BK6" s="854"/>
      <c r="BL6" s="847" t="s">
        <v>253</v>
      </c>
      <c r="BM6" s="819"/>
      <c r="BN6" s="819"/>
      <c r="BO6" s="819"/>
      <c r="BP6" s="819"/>
      <c r="BQ6" s="819"/>
      <c r="BR6" s="819"/>
      <c r="BS6" s="812"/>
      <c r="BT6" s="871" t="s">
        <v>254</v>
      </c>
      <c r="BU6" s="872"/>
      <c r="BV6" s="847" t="s">
        <v>253</v>
      </c>
      <c r="BW6" s="819"/>
      <c r="BX6" s="819"/>
      <c r="BY6" s="819"/>
      <c r="BZ6" s="819"/>
      <c r="CA6" s="819"/>
      <c r="CB6" s="819"/>
      <c r="CC6" s="819"/>
      <c r="CD6" s="819"/>
      <c r="CE6" s="820"/>
    </row>
    <row r="7" spans="1:83" ht="41.25" customHeight="1" x14ac:dyDescent="0.5">
      <c r="A7" s="773" t="s">
        <v>207</v>
      </c>
      <c r="B7" s="774"/>
      <c r="C7" s="514" t="s">
        <v>12</v>
      </c>
      <c r="D7" s="604" t="s">
        <v>13</v>
      </c>
      <c r="E7" s="511" t="s">
        <v>14</v>
      </c>
      <c r="F7" s="838" t="s">
        <v>15</v>
      </c>
      <c r="G7" s="824"/>
      <c r="H7" s="669"/>
      <c r="I7" s="824"/>
      <c r="J7" s="856" t="s">
        <v>12</v>
      </c>
      <c r="K7" s="819"/>
      <c r="L7" s="819"/>
      <c r="M7" s="812"/>
      <c r="N7" s="849" t="s">
        <v>255</v>
      </c>
      <c r="O7" s="812"/>
      <c r="P7" s="849" t="s">
        <v>256</v>
      </c>
      <c r="Q7" s="812"/>
      <c r="R7" s="850" t="s">
        <v>257</v>
      </c>
      <c r="S7" s="819"/>
      <c r="T7" s="851" t="s">
        <v>12</v>
      </c>
      <c r="U7" s="819"/>
      <c r="V7" s="819"/>
      <c r="W7" s="812"/>
      <c r="X7" s="849" t="s">
        <v>255</v>
      </c>
      <c r="Y7" s="812"/>
      <c r="Z7" s="849" t="s">
        <v>258</v>
      </c>
      <c r="AA7" s="812"/>
      <c r="AB7" s="850" t="s">
        <v>257</v>
      </c>
      <c r="AC7" s="812"/>
      <c r="AD7" s="856" t="s">
        <v>12</v>
      </c>
      <c r="AE7" s="819"/>
      <c r="AF7" s="819"/>
      <c r="AG7" s="812"/>
      <c r="AH7" s="849" t="s">
        <v>255</v>
      </c>
      <c r="AI7" s="812"/>
      <c r="AJ7" s="849" t="s">
        <v>256</v>
      </c>
      <c r="AK7" s="812"/>
      <c r="AL7" s="849" t="s">
        <v>259</v>
      </c>
      <c r="AM7" s="812"/>
      <c r="AN7" s="849" t="s">
        <v>259</v>
      </c>
      <c r="AO7" s="812"/>
      <c r="AP7" s="849" t="s">
        <v>260</v>
      </c>
      <c r="AQ7" s="819"/>
      <c r="AR7" s="815"/>
      <c r="AS7" s="824"/>
      <c r="AT7" s="823"/>
      <c r="AU7" s="669"/>
      <c r="AV7" s="669"/>
      <c r="AW7" s="824"/>
      <c r="AX7" s="849" t="s">
        <v>331</v>
      </c>
      <c r="AY7" s="812"/>
      <c r="AZ7" s="849" t="s">
        <v>332</v>
      </c>
      <c r="BA7" s="812"/>
      <c r="BB7" s="850" t="s">
        <v>261</v>
      </c>
      <c r="BC7" s="812"/>
      <c r="BD7" s="858" t="s">
        <v>262</v>
      </c>
      <c r="BE7" s="822"/>
      <c r="BF7" s="863" t="s">
        <v>263</v>
      </c>
      <c r="BG7" s="822"/>
      <c r="BH7" s="869"/>
      <c r="BI7" s="870"/>
      <c r="BJ7" s="815"/>
      <c r="BK7" s="824"/>
      <c r="BL7" s="847" t="s">
        <v>264</v>
      </c>
      <c r="BM7" s="819"/>
      <c r="BN7" s="819"/>
      <c r="BO7" s="812"/>
      <c r="BP7" s="875" t="s">
        <v>265</v>
      </c>
      <c r="BQ7" s="876"/>
      <c r="BR7" s="877" t="s">
        <v>266</v>
      </c>
      <c r="BS7" s="854"/>
      <c r="BT7" s="873"/>
      <c r="BU7" s="874"/>
      <c r="BV7" s="847" t="s">
        <v>12</v>
      </c>
      <c r="BW7" s="819"/>
      <c r="BX7" s="819"/>
      <c r="BY7" s="812"/>
      <c r="BZ7" s="864" t="s">
        <v>267</v>
      </c>
      <c r="CA7" s="822"/>
      <c r="CB7" s="864" t="s">
        <v>268</v>
      </c>
      <c r="CC7" s="822"/>
      <c r="CD7" s="865" t="s">
        <v>269</v>
      </c>
      <c r="CE7" s="866"/>
    </row>
    <row r="8" spans="1:83" ht="24" customHeight="1" x14ac:dyDescent="0.5">
      <c r="A8" s="775"/>
      <c r="B8" s="776"/>
      <c r="C8" s="515"/>
      <c r="D8" s="605"/>
      <c r="E8" s="512"/>
      <c r="F8" s="14" t="s">
        <v>18</v>
      </c>
      <c r="G8" s="14" t="s">
        <v>19</v>
      </c>
      <c r="H8" s="239" t="s">
        <v>199</v>
      </c>
      <c r="I8" s="239" t="s">
        <v>20</v>
      </c>
      <c r="J8" s="383" t="s">
        <v>199</v>
      </c>
      <c r="K8" s="384" t="s">
        <v>19</v>
      </c>
      <c r="L8" s="383" t="s">
        <v>20</v>
      </c>
      <c r="M8" s="383" t="s">
        <v>19</v>
      </c>
      <c r="N8" s="110" t="s">
        <v>199</v>
      </c>
      <c r="O8" s="110" t="s">
        <v>20</v>
      </c>
      <c r="P8" s="110" t="s">
        <v>199</v>
      </c>
      <c r="Q8" s="110" t="s">
        <v>20</v>
      </c>
      <c r="R8" s="110" t="s">
        <v>199</v>
      </c>
      <c r="S8" s="386" t="s">
        <v>20</v>
      </c>
      <c r="T8" s="516" t="s">
        <v>199</v>
      </c>
      <c r="U8" s="383" t="s">
        <v>19</v>
      </c>
      <c r="V8" s="383" t="s">
        <v>20</v>
      </c>
      <c r="W8" s="383" t="s">
        <v>19</v>
      </c>
      <c r="X8" s="110" t="s">
        <v>199</v>
      </c>
      <c r="Y8" s="110" t="s">
        <v>20</v>
      </c>
      <c r="Z8" s="110" t="s">
        <v>199</v>
      </c>
      <c r="AA8" s="110" t="s">
        <v>20</v>
      </c>
      <c r="AB8" s="110" t="s">
        <v>199</v>
      </c>
      <c r="AC8" s="110" t="s">
        <v>20</v>
      </c>
      <c r="AD8" s="383" t="s">
        <v>199</v>
      </c>
      <c r="AE8" s="384" t="s">
        <v>19</v>
      </c>
      <c r="AF8" s="383" t="s">
        <v>20</v>
      </c>
      <c r="AG8" s="384" t="s">
        <v>19</v>
      </c>
      <c r="AH8" s="110" t="s">
        <v>199</v>
      </c>
      <c r="AI8" s="110" t="s">
        <v>20</v>
      </c>
      <c r="AJ8" s="110" t="s">
        <v>199</v>
      </c>
      <c r="AK8" s="110" t="s">
        <v>20</v>
      </c>
      <c r="AL8" s="110" t="s">
        <v>199</v>
      </c>
      <c r="AM8" s="110" t="s">
        <v>20</v>
      </c>
      <c r="AN8" s="110" t="s">
        <v>199</v>
      </c>
      <c r="AO8" s="110" t="s">
        <v>20</v>
      </c>
      <c r="AP8" s="110" t="s">
        <v>199</v>
      </c>
      <c r="AQ8" s="386" t="s">
        <v>20</v>
      </c>
      <c r="AR8" s="517" t="s">
        <v>199</v>
      </c>
      <c r="AS8" s="239" t="s">
        <v>20</v>
      </c>
      <c r="AT8" s="383" t="s">
        <v>199</v>
      </c>
      <c r="AU8" s="383" t="s">
        <v>19</v>
      </c>
      <c r="AV8" s="383" t="s">
        <v>20</v>
      </c>
      <c r="AW8" s="383" t="s">
        <v>19</v>
      </c>
      <c r="AX8" s="110" t="s">
        <v>199</v>
      </c>
      <c r="AY8" s="110" t="s">
        <v>20</v>
      </c>
      <c r="AZ8" s="110" t="s">
        <v>199</v>
      </c>
      <c r="BA8" s="110" t="s">
        <v>20</v>
      </c>
      <c r="BB8" s="110" t="s">
        <v>199</v>
      </c>
      <c r="BC8" s="110" t="s">
        <v>20</v>
      </c>
      <c r="BD8" s="110" t="s">
        <v>199</v>
      </c>
      <c r="BE8" s="110" t="s">
        <v>20</v>
      </c>
      <c r="BF8" s="110" t="s">
        <v>199</v>
      </c>
      <c r="BG8" s="110" t="s">
        <v>20</v>
      </c>
      <c r="BH8" s="110" t="s">
        <v>199</v>
      </c>
      <c r="BI8" s="386" t="s">
        <v>20</v>
      </c>
      <c r="BJ8" s="517" t="s">
        <v>199</v>
      </c>
      <c r="BK8" s="239" t="s">
        <v>20</v>
      </c>
      <c r="BL8" s="110" t="s">
        <v>199</v>
      </c>
      <c r="BM8" s="385" t="s">
        <v>19</v>
      </c>
      <c r="BN8" s="110" t="s">
        <v>20</v>
      </c>
      <c r="BO8" s="385" t="s">
        <v>19</v>
      </c>
      <c r="BP8" s="110" t="s">
        <v>199</v>
      </c>
      <c r="BQ8" s="110" t="s">
        <v>20</v>
      </c>
      <c r="BR8" s="110" t="s">
        <v>199</v>
      </c>
      <c r="BS8" s="110" t="s">
        <v>20</v>
      </c>
      <c r="BT8" s="110" t="s">
        <v>199</v>
      </c>
      <c r="BU8" s="110" t="s">
        <v>20</v>
      </c>
      <c r="BV8" s="110" t="s">
        <v>199</v>
      </c>
      <c r="BW8" s="385" t="s">
        <v>19</v>
      </c>
      <c r="BX8" s="110" t="s">
        <v>20</v>
      </c>
      <c r="BY8" s="385" t="s">
        <v>19</v>
      </c>
      <c r="BZ8" s="110" t="s">
        <v>199</v>
      </c>
      <c r="CA8" s="110" t="s">
        <v>20</v>
      </c>
      <c r="CB8" s="110" t="s">
        <v>199</v>
      </c>
      <c r="CC8" s="110" t="s">
        <v>20</v>
      </c>
      <c r="CD8" s="110" t="s">
        <v>199</v>
      </c>
      <c r="CE8" s="513" t="s">
        <v>20</v>
      </c>
    </row>
    <row r="9" spans="1:83" ht="24" customHeight="1" x14ac:dyDescent="0.5">
      <c r="A9" s="771" t="s">
        <v>24</v>
      </c>
      <c r="B9" s="643"/>
      <c r="C9" s="326">
        <f t="shared" ref="C9:E9" si="0">C10+C11</f>
        <v>38601300.409999996</v>
      </c>
      <c r="D9" s="266">
        <f t="shared" si="0"/>
        <v>0</v>
      </c>
      <c r="E9" s="267">
        <f t="shared" si="0"/>
        <v>38601300.409999996</v>
      </c>
      <c r="F9" s="242">
        <f ca="1">+F10+F11</f>
        <v>167392.1</v>
      </c>
      <c r="G9" s="243">
        <f t="shared" ref="G9:G114" ca="1" si="1">IF(C9&gt;0,F9*100/C9,0)</f>
        <v>0.43364368096945161</v>
      </c>
      <c r="H9" s="244">
        <f t="shared" ref="H9:J9" si="2">H10+H11</f>
        <v>2589930</v>
      </c>
      <c r="I9" s="244">
        <f t="shared" si="2"/>
        <v>295025</v>
      </c>
      <c r="J9" s="387">
        <f t="shared" ca="1" si="2"/>
        <v>0</v>
      </c>
      <c r="K9" s="388">
        <f t="shared" ref="K9:K114" ca="1" si="3">IF(H9&gt;0,J9*100/H9,0)</f>
        <v>0</v>
      </c>
      <c r="L9" s="387">
        <f ca="1">L10+L11</f>
        <v>0</v>
      </c>
      <c r="M9" s="388">
        <f t="shared" ref="M9:M114" ca="1" si="4">IF(I9&gt;0,L9*100/I9,0)</f>
        <v>0</v>
      </c>
      <c r="N9" s="245">
        <f t="shared" ref="N9:T9" ca="1" si="5">N10+N11</f>
        <v>0</v>
      </c>
      <c r="O9" s="245">
        <f t="shared" ca="1" si="5"/>
        <v>0</v>
      </c>
      <c r="P9" s="245">
        <f t="shared" ca="1" si="5"/>
        <v>0</v>
      </c>
      <c r="Q9" s="245">
        <f t="shared" ca="1" si="5"/>
        <v>0</v>
      </c>
      <c r="R9" s="245">
        <f t="shared" ca="1" si="5"/>
        <v>0</v>
      </c>
      <c r="S9" s="245">
        <f t="shared" ca="1" si="5"/>
        <v>0</v>
      </c>
      <c r="T9" s="387">
        <f t="shared" ca="1" si="5"/>
        <v>0</v>
      </c>
      <c r="U9" s="388">
        <f t="shared" ref="U9:U114" ca="1" si="6">IF(H9&gt;0,T9*100/H9,0)</f>
        <v>0</v>
      </c>
      <c r="V9" s="387">
        <f ca="1">V10+V11</f>
        <v>0</v>
      </c>
      <c r="W9" s="388">
        <f t="shared" ref="W9:W114" ca="1" si="7">IF(I9&gt;0,V9*100/I9,0)</f>
        <v>0</v>
      </c>
      <c r="X9" s="245">
        <f t="shared" ref="X9:AD9" ca="1" si="8">X10+X11</f>
        <v>0</v>
      </c>
      <c r="Y9" s="245">
        <f t="shared" ca="1" si="8"/>
        <v>0</v>
      </c>
      <c r="Z9" s="245">
        <f t="shared" ca="1" si="8"/>
        <v>0</v>
      </c>
      <c r="AA9" s="245">
        <f t="shared" ca="1" si="8"/>
        <v>0</v>
      </c>
      <c r="AB9" s="245">
        <f t="shared" ca="1" si="8"/>
        <v>0</v>
      </c>
      <c r="AC9" s="245">
        <f t="shared" ca="1" si="8"/>
        <v>0</v>
      </c>
      <c r="AD9" s="387">
        <f t="shared" ca="1" si="8"/>
        <v>0</v>
      </c>
      <c r="AE9" s="388">
        <f t="shared" ref="AE9:AE114" ca="1" si="9">IF(H9&gt;0,AD9*100/H9,0)</f>
        <v>0</v>
      </c>
      <c r="AF9" s="387">
        <f ca="1">AF10+AF11</f>
        <v>0</v>
      </c>
      <c r="AG9" s="388">
        <f t="shared" ref="AG9:AG114" ca="1" si="10">IF(I9&gt;0,AF9*100/I9,0)</f>
        <v>0</v>
      </c>
      <c r="AH9" s="245">
        <f t="shared" ref="AH9:AT9" ca="1" si="11">AH10+AH11</f>
        <v>0</v>
      </c>
      <c r="AI9" s="245">
        <f t="shared" ca="1" si="11"/>
        <v>0</v>
      </c>
      <c r="AJ9" s="245">
        <f t="shared" ca="1" si="11"/>
        <v>0</v>
      </c>
      <c r="AK9" s="245">
        <f t="shared" ca="1" si="11"/>
        <v>0</v>
      </c>
      <c r="AL9" s="245">
        <f t="shared" ca="1" si="11"/>
        <v>0</v>
      </c>
      <c r="AM9" s="245">
        <f t="shared" ca="1" si="11"/>
        <v>0</v>
      </c>
      <c r="AN9" s="245">
        <f t="shared" ca="1" si="11"/>
        <v>0</v>
      </c>
      <c r="AO9" s="245">
        <f t="shared" ca="1" si="11"/>
        <v>0</v>
      </c>
      <c r="AP9" s="245">
        <f t="shared" ca="1" si="11"/>
        <v>0</v>
      </c>
      <c r="AQ9" s="245">
        <f t="shared" ca="1" si="11"/>
        <v>0</v>
      </c>
      <c r="AR9" s="244">
        <f t="shared" si="11"/>
        <v>17060</v>
      </c>
      <c r="AS9" s="244">
        <f t="shared" si="11"/>
        <v>199669</v>
      </c>
      <c r="AT9" s="389">
        <f t="shared" ca="1" si="11"/>
        <v>323</v>
      </c>
      <c r="AU9" s="389">
        <f t="shared" ref="AU9:AU114" ca="1" si="12">IF(AR9&gt;0,AT9*100/AR9,0)</f>
        <v>1.8933177022274326</v>
      </c>
      <c r="AV9" s="389">
        <f ca="1">AV10+AV11</f>
        <v>23</v>
      </c>
      <c r="AW9" s="389">
        <f t="shared" ref="AW9:AW114" ca="1" si="13">IF(AS9&gt;0,AV9*100/AS9,0)</f>
        <v>1.1519064051004411E-2</v>
      </c>
      <c r="AX9" s="245">
        <f t="shared" ref="AX9:BL9" ca="1" si="14">AX10+AX11</f>
        <v>305</v>
      </c>
      <c r="AY9" s="245">
        <f t="shared" ca="1" si="14"/>
        <v>20</v>
      </c>
      <c r="AZ9" s="245">
        <f t="shared" ca="1" si="14"/>
        <v>0</v>
      </c>
      <c r="BA9" s="245">
        <f t="shared" ca="1" si="14"/>
        <v>0</v>
      </c>
      <c r="BB9" s="245">
        <f t="shared" ca="1" si="14"/>
        <v>0</v>
      </c>
      <c r="BC9" s="245">
        <f t="shared" ca="1" si="14"/>
        <v>0</v>
      </c>
      <c r="BD9" s="245">
        <f t="shared" ca="1" si="14"/>
        <v>18</v>
      </c>
      <c r="BE9" s="245">
        <f t="shared" ca="1" si="14"/>
        <v>3</v>
      </c>
      <c r="BF9" s="245">
        <f t="shared" ca="1" si="14"/>
        <v>0</v>
      </c>
      <c r="BG9" s="245">
        <f t="shared" ca="1" si="14"/>
        <v>0</v>
      </c>
      <c r="BH9" s="245">
        <f t="shared" ca="1" si="14"/>
        <v>0</v>
      </c>
      <c r="BI9" s="245">
        <f t="shared" ca="1" si="14"/>
        <v>0</v>
      </c>
      <c r="BJ9" s="499">
        <f t="shared" si="14"/>
        <v>2589930</v>
      </c>
      <c r="BK9" s="499">
        <f t="shared" si="14"/>
        <v>295025</v>
      </c>
      <c r="BL9" s="500">
        <f t="shared" ca="1" si="14"/>
        <v>0</v>
      </c>
      <c r="BM9" s="501">
        <f t="shared" ref="BM9:BM90" ca="1" si="15">IF(BJ9&gt;0,BL9*100/BJ9,0)</f>
        <v>0</v>
      </c>
      <c r="BN9" s="500">
        <f ca="1">BN10+BN11</f>
        <v>0</v>
      </c>
      <c r="BO9" s="501">
        <f t="shared" ref="BO9:BO114" ca="1" si="16">IF(BK9&gt;0,BN9*100/BK9,0)</f>
        <v>0</v>
      </c>
      <c r="BP9" s="500">
        <f t="shared" ref="BP9:BV9" ca="1" si="17">BP10+BP11</f>
        <v>0</v>
      </c>
      <c r="BQ9" s="500">
        <f t="shared" ca="1" si="17"/>
        <v>0</v>
      </c>
      <c r="BR9" s="500">
        <f t="shared" ca="1" si="17"/>
        <v>0</v>
      </c>
      <c r="BS9" s="500">
        <f t="shared" ca="1" si="17"/>
        <v>0</v>
      </c>
      <c r="BT9" s="500">
        <f t="shared" ca="1" si="17"/>
        <v>0</v>
      </c>
      <c r="BU9" s="500">
        <f t="shared" ca="1" si="17"/>
        <v>0</v>
      </c>
      <c r="BV9" s="500">
        <f t="shared" ca="1" si="17"/>
        <v>0</v>
      </c>
      <c r="BW9" s="501">
        <f t="shared" ref="BW9:BW32" ca="1" si="18">IF(BT9&gt;0,BV9*100/BT9,0)</f>
        <v>0</v>
      </c>
      <c r="BX9" s="500">
        <f ca="1">BX10+BX11</f>
        <v>0</v>
      </c>
      <c r="BY9" s="501">
        <f t="shared" ref="BY9:BY32" ca="1" si="19">IF(BU9&gt;0,BX9*100/BU9,0)</f>
        <v>0</v>
      </c>
      <c r="BZ9" s="500">
        <f t="shared" ref="BZ9:CE9" ca="1" si="20">BZ10+BZ11</f>
        <v>0</v>
      </c>
      <c r="CA9" s="500">
        <f t="shared" ca="1" si="20"/>
        <v>0</v>
      </c>
      <c r="CB9" s="500">
        <f t="shared" ca="1" si="20"/>
        <v>0</v>
      </c>
      <c r="CC9" s="247">
        <f t="shared" ca="1" si="20"/>
        <v>0</v>
      </c>
      <c r="CD9" s="247">
        <f t="shared" ca="1" si="20"/>
        <v>0</v>
      </c>
      <c r="CE9" s="561">
        <f t="shared" ca="1" si="20"/>
        <v>0</v>
      </c>
    </row>
    <row r="10" spans="1:83" ht="24" customHeight="1" x14ac:dyDescent="0.5">
      <c r="A10" s="27" t="s">
        <v>25</v>
      </c>
      <c r="B10" s="28"/>
      <c r="C10" s="31">
        <f t="shared" ref="C10:F10" si="21">+C15+C33+C54+C76</f>
        <v>27982350.409999996</v>
      </c>
      <c r="D10" s="29">
        <f t="shared" si="21"/>
        <v>0</v>
      </c>
      <c r="E10" s="29">
        <f t="shared" si="21"/>
        <v>27982350.409999996</v>
      </c>
      <c r="F10" s="29">
        <f t="shared" ca="1" si="21"/>
        <v>167392.1</v>
      </c>
      <c r="G10" s="91">
        <f t="shared" ca="1" si="1"/>
        <v>0.5982060032390254</v>
      </c>
      <c r="H10" s="66">
        <f t="shared" ref="H10:J10" si="22">+H15+H33+H54+H76</f>
        <v>2589930</v>
      </c>
      <c r="I10" s="66">
        <f t="shared" si="22"/>
        <v>295025</v>
      </c>
      <c r="J10" s="66">
        <f t="shared" ca="1" si="22"/>
        <v>0</v>
      </c>
      <c r="K10" s="101">
        <f t="shared" ca="1" si="3"/>
        <v>0</v>
      </c>
      <c r="L10" s="66">
        <f ca="1">+L15+L33+L54+L76</f>
        <v>0</v>
      </c>
      <c r="M10" s="101">
        <f t="shared" ca="1" si="4"/>
        <v>0</v>
      </c>
      <c r="N10" s="66">
        <f t="shared" ref="N10:T10" ca="1" si="23">+N15+N33+N54+N76</f>
        <v>0</v>
      </c>
      <c r="O10" s="66">
        <f t="shared" ca="1" si="23"/>
        <v>0</v>
      </c>
      <c r="P10" s="66">
        <f t="shared" ca="1" si="23"/>
        <v>0</v>
      </c>
      <c r="Q10" s="66">
        <f t="shared" ca="1" si="23"/>
        <v>0</v>
      </c>
      <c r="R10" s="66">
        <f t="shared" ca="1" si="23"/>
        <v>0</v>
      </c>
      <c r="S10" s="66">
        <f t="shared" ca="1" si="23"/>
        <v>0</v>
      </c>
      <c r="T10" s="66">
        <f t="shared" ca="1" si="23"/>
        <v>0</v>
      </c>
      <c r="U10" s="101">
        <f t="shared" ca="1" si="6"/>
        <v>0</v>
      </c>
      <c r="V10" s="66">
        <f ca="1">+V15+V33+V54+V76</f>
        <v>0</v>
      </c>
      <c r="W10" s="101">
        <f t="shared" ca="1" si="7"/>
        <v>0</v>
      </c>
      <c r="X10" s="66">
        <f t="shared" ref="X10:AD10" ca="1" si="24">+X15+X33+X54+X76</f>
        <v>0</v>
      </c>
      <c r="Y10" s="66">
        <f t="shared" ca="1" si="24"/>
        <v>0</v>
      </c>
      <c r="Z10" s="66">
        <f t="shared" ca="1" si="24"/>
        <v>0</v>
      </c>
      <c r="AA10" s="66">
        <f t="shared" ca="1" si="24"/>
        <v>0</v>
      </c>
      <c r="AB10" s="66">
        <f t="shared" ca="1" si="24"/>
        <v>0</v>
      </c>
      <c r="AC10" s="66">
        <f t="shared" ca="1" si="24"/>
        <v>0</v>
      </c>
      <c r="AD10" s="66">
        <f t="shared" ca="1" si="24"/>
        <v>0</v>
      </c>
      <c r="AE10" s="101">
        <f t="shared" ca="1" si="9"/>
        <v>0</v>
      </c>
      <c r="AF10" s="66">
        <f ca="1">+AF15+AF33+AF54+AF76</f>
        <v>0</v>
      </c>
      <c r="AG10" s="101">
        <f t="shared" ca="1" si="10"/>
        <v>0</v>
      </c>
      <c r="AH10" s="66">
        <f t="shared" ref="AH10:AT10" ca="1" si="25">+AH15+AH33+AH54+AH76</f>
        <v>0</v>
      </c>
      <c r="AI10" s="66">
        <f t="shared" ca="1" si="25"/>
        <v>0</v>
      </c>
      <c r="AJ10" s="66">
        <f t="shared" ca="1" si="25"/>
        <v>0</v>
      </c>
      <c r="AK10" s="66">
        <f t="shared" ca="1" si="25"/>
        <v>0</v>
      </c>
      <c r="AL10" s="66">
        <f t="shared" ca="1" si="25"/>
        <v>0</v>
      </c>
      <c r="AM10" s="66">
        <f t="shared" ca="1" si="25"/>
        <v>0</v>
      </c>
      <c r="AN10" s="66">
        <f t="shared" ca="1" si="25"/>
        <v>0</v>
      </c>
      <c r="AO10" s="66">
        <f t="shared" ca="1" si="25"/>
        <v>0</v>
      </c>
      <c r="AP10" s="66">
        <f t="shared" ca="1" si="25"/>
        <v>0</v>
      </c>
      <c r="AQ10" s="66">
        <f t="shared" ca="1" si="25"/>
        <v>0</v>
      </c>
      <c r="AR10" s="66">
        <f t="shared" si="25"/>
        <v>17060</v>
      </c>
      <c r="AS10" s="66">
        <f t="shared" si="25"/>
        <v>199669</v>
      </c>
      <c r="AT10" s="66">
        <f t="shared" ca="1" si="25"/>
        <v>323</v>
      </c>
      <c r="AU10" s="66">
        <f t="shared" ca="1" si="12"/>
        <v>1.8933177022274326</v>
      </c>
      <c r="AV10" s="66">
        <f ca="1">+AV15+AV33+AV54+AV76</f>
        <v>23</v>
      </c>
      <c r="AW10" s="66">
        <f t="shared" ca="1" si="13"/>
        <v>1.1519064051004411E-2</v>
      </c>
      <c r="AX10" s="66">
        <f t="shared" ref="AX10:BL10" ca="1" si="26">+AX15+AX33+AX54+AX76</f>
        <v>305</v>
      </c>
      <c r="AY10" s="66">
        <f t="shared" ca="1" si="26"/>
        <v>20</v>
      </c>
      <c r="AZ10" s="391">
        <f t="shared" ca="1" si="26"/>
        <v>0</v>
      </c>
      <c r="BA10" s="391">
        <f t="shared" ca="1" si="26"/>
        <v>0</v>
      </c>
      <c r="BB10" s="391">
        <f t="shared" ca="1" si="26"/>
        <v>0</v>
      </c>
      <c r="BC10" s="391">
        <f t="shared" ca="1" si="26"/>
        <v>0</v>
      </c>
      <c r="BD10" s="66">
        <f t="shared" ca="1" si="26"/>
        <v>18</v>
      </c>
      <c r="BE10" s="66">
        <f t="shared" ca="1" si="26"/>
        <v>3</v>
      </c>
      <c r="BF10" s="391">
        <f t="shared" ca="1" si="26"/>
        <v>0</v>
      </c>
      <c r="BG10" s="391">
        <f t="shared" ca="1" si="26"/>
        <v>0</v>
      </c>
      <c r="BH10" s="391">
        <f t="shared" ca="1" si="26"/>
        <v>0</v>
      </c>
      <c r="BI10" s="391">
        <f t="shared" ca="1" si="26"/>
        <v>0</v>
      </c>
      <c r="BJ10" s="66">
        <f t="shared" si="26"/>
        <v>2589930</v>
      </c>
      <c r="BK10" s="66">
        <f t="shared" si="26"/>
        <v>295025</v>
      </c>
      <c r="BL10" s="391">
        <f t="shared" ca="1" si="26"/>
        <v>0</v>
      </c>
      <c r="BM10" s="392">
        <f t="shared" ca="1" si="15"/>
        <v>0</v>
      </c>
      <c r="BN10" s="391">
        <f ca="1">+BN15+BN33+BN54+BN76</f>
        <v>0</v>
      </c>
      <c r="BO10" s="392">
        <f t="shared" ca="1" si="16"/>
        <v>0</v>
      </c>
      <c r="BP10" s="391">
        <f t="shared" ref="BP10:BV10" ca="1" si="27">+BP15+BP33+BP54+BP76</f>
        <v>0</v>
      </c>
      <c r="BQ10" s="391">
        <f t="shared" ca="1" si="27"/>
        <v>0</v>
      </c>
      <c r="BR10" s="391">
        <f t="shared" ca="1" si="27"/>
        <v>0</v>
      </c>
      <c r="BS10" s="391">
        <f t="shared" ca="1" si="27"/>
        <v>0</v>
      </c>
      <c r="BT10" s="391">
        <f t="shared" ca="1" si="27"/>
        <v>0</v>
      </c>
      <c r="BU10" s="391">
        <f t="shared" ca="1" si="27"/>
        <v>0</v>
      </c>
      <c r="BV10" s="391">
        <f t="shared" ca="1" si="27"/>
        <v>0</v>
      </c>
      <c r="BW10" s="392">
        <f t="shared" ca="1" si="18"/>
        <v>0</v>
      </c>
      <c r="BX10" s="391">
        <f ca="1">+BX15+BX33+BX54+BX76</f>
        <v>0</v>
      </c>
      <c r="BY10" s="392">
        <f t="shared" ca="1" si="19"/>
        <v>0</v>
      </c>
      <c r="BZ10" s="391">
        <f t="shared" ref="BZ10:CE10" ca="1" si="28">+BZ15+BZ33+BZ54+BZ76</f>
        <v>0</v>
      </c>
      <c r="CA10" s="391">
        <f t="shared" ca="1" si="28"/>
        <v>0</v>
      </c>
      <c r="CB10" s="391">
        <f t="shared" ca="1" si="28"/>
        <v>0</v>
      </c>
      <c r="CC10" s="562">
        <f t="shared" ca="1" si="28"/>
        <v>0</v>
      </c>
      <c r="CD10" s="562">
        <f t="shared" ca="1" si="28"/>
        <v>0</v>
      </c>
      <c r="CE10" s="563">
        <f t="shared" ca="1" si="28"/>
        <v>0</v>
      </c>
    </row>
    <row r="11" spans="1:83" ht="24" customHeight="1" x14ac:dyDescent="0.5">
      <c r="A11" s="33" t="s">
        <v>26</v>
      </c>
      <c r="B11" s="34"/>
      <c r="C11" s="37">
        <f t="shared" ref="C11:F11" si="29">+C12+C13</f>
        <v>10618950</v>
      </c>
      <c r="D11" s="35">
        <f t="shared" si="29"/>
        <v>0</v>
      </c>
      <c r="E11" s="35">
        <f t="shared" si="29"/>
        <v>10618950</v>
      </c>
      <c r="F11" s="35">
        <f t="shared" si="29"/>
        <v>0</v>
      </c>
      <c r="G11" s="92">
        <f t="shared" si="1"/>
        <v>0</v>
      </c>
      <c r="H11" s="35">
        <f t="shared" ref="H11:J11" si="30">+H12+H13</f>
        <v>0</v>
      </c>
      <c r="I11" s="35">
        <f t="shared" si="30"/>
        <v>0</v>
      </c>
      <c r="J11" s="35">
        <f t="shared" si="30"/>
        <v>0</v>
      </c>
      <c r="K11" s="92">
        <f t="shared" si="3"/>
        <v>0</v>
      </c>
      <c r="L11" s="35">
        <f>+L12+L13</f>
        <v>0</v>
      </c>
      <c r="M11" s="92">
        <f t="shared" si="4"/>
        <v>0</v>
      </c>
      <c r="N11" s="35">
        <f t="shared" ref="N11:T11" si="31">+N12+N13</f>
        <v>0</v>
      </c>
      <c r="O11" s="35">
        <f t="shared" si="31"/>
        <v>0</v>
      </c>
      <c r="P11" s="35">
        <f t="shared" si="31"/>
        <v>0</v>
      </c>
      <c r="Q11" s="35">
        <f t="shared" si="31"/>
        <v>0</v>
      </c>
      <c r="R11" s="35">
        <f t="shared" si="31"/>
        <v>0</v>
      </c>
      <c r="S11" s="35">
        <f t="shared" si="31"/>
        <v>0</v>
      </c>
      <c r="T11" s="35">
        <f t="shared" si="31"/>
        <v>0</v>
      </c>
      <c r="U11" s="92">
        <f t="shared" si="6"/>
        <v>0</v>
      </c>
      <c r="V11" s="35">
        <f>+V12+V13</f>
        <v>0</v>
      </c>
      <c r="W11" s="92">
        <f t="shared" si="7"/>
        <v>0</v>
      </c>
      <c r="X11" s="35">
        <f t="shared" ref="X11:AD11" si="32">+X12+X13</f>
        <v>0</v>
      </c>
      <c r="Y11" s="35">
        <f t="shared" si="32"/>
        <v>0</v>
      </c>
      <c r="Z11" s="35">
        <f t="shared" si="32"/>
        <v>0</v>
      </c>
      <c r="AA11" s="35">
        <f t="shared" si="32"/>
        <v>0</v>
      </c>
      <c r="AB11" s="35">
        <f t="shared" si="32"/>
        <v>0</v>
      </c>
      <c r="AC11" s="35">
        <f t="shared" si="32"/>
        <v>0</v>
      </c>
      <c r="AD11" s="35">
        <f t="shared" si="32"/>
        <v>0</v>
      </c>
      <c r="AE11" s="92">
        <f t="shared" si="9"/>
        <v>0</v>
      </c>
      <c r="AF11" s="35">
        <f>+AF12+AF13</f>
        <v>0</v>
      </c>
      <c r="AG11" s="92">
        <f t="shared" si="10"/>
        <v>0</v>
      </c>
      <c r="AH11" s="35">
        <f t="shared" ref="AH11:AT11" si="33">+AH12+AH13</f>
        <v>0</v>
      </c>
      <c r="AI11" s="35">
        <f t="shared" si="33"/>
        <v>0</v>
      </c>
      <c r="AJ11" s="35">
        <f t="shared" si="33"/>
        <v>0</v>
      </c>
      <c r="AK11" s="35">
        <f t="shared" si="33"/>
        <v>0</v>
      </c>
      <c r="AL11" s="35">
        <f t="shared" si="33"/>
        <v>0</v>
      </c>
      <c r="AM11" s="35">
        <f t="shared" si="33"/>
        <v>0</v>
      </c>
      <c r="AN11" s="35">
        <f t="shared" si="33"/>
        <v>0</v>
      </c>
      <c r="AO11" s="35">
        <f t="shared" si="33"/>
        <v>0</v>
      </c>
      <c r="AP11" s="35">
        <f t="shared" si="33"/>
        <v>0</v>
      </c>
      <c r="AQ11" s="35">
        <f t="shared" si="33"/>
        <v>0</v>
      </c>
      <c r="AR11" s="35">
        <f t="shared" si="33"/>
        <v>0</v>
      </c>
      <c r="AS11" s="35">
        <f t="shared" si="33"/>
        <v>0</v>
      </c>
      <c r="AT11" s="35">
        <f t="shared" si="33"/>
        <v>0</v>
      </c>
      <c r="AU11" s="35">
        <f t="shared" si="12"/>
        <v>0</v>
      </c>
      <c r="AV11" s="35">
        <f>+AV12+AV13</f>
        <v>0</v>
      </c>
      <c r="AW11" s="35">
        <f t="shared" si="13"/>
        <v>0</v>
      </c>
      <c r="AX11" s="35">
        <f t="shared" ref="AX11:BL11" si="34">+AX12+AX13</f>
        <v>0</v>
      </c>
      <c r="AY11" s="35">
        <f t="shared" si="34"/>
        <v>0</v>
      </c>
      <c r="AZ11" s="35">
        <f t="shared" si="34"/>
        <v>0</v>
      </c>
      <c r="BA11" s="35">
        <f t="shared" si="34"/>
        <v>0</v>
      </c>
      <c r="BB11" s="35">
        <f t="shared" si="34"/>
        <v>0</v>
      </c>
      <c r="BC11" s="35">
        <f t="shared" si="34"/>
        <v>0</v>
      </c>
      <c r="BD11" s="35">
        <f t="shared" si="34"/>
        <v>0</v>
      </c>
      <c r="BE11" s="35">
        <f t="shared" si="34"/>
        <v>0</v>
      </c>
      <c r="BF11" s="35">
        <f t="shared" si="34"/>
        <v>0</v>
      </c>
      <c r="BG11" s="35">
        <f t="shared" si="34"/>
        <v>0</v>
      </c>
      <c r="BH11" s="35">
        <f t="shared" si="34"/>
        <v>0</v>
      </c>
      <c r="BI11" s="35">
        <f t="shared" si="34"/>
        <v>0</v>
      </c>
      <c r="BJ11" s="35">
        <f t="shared" si="34"/>
        <v>0</v>
      </c>
      <c r="BK11" s="35">
        <f t="shared" si="34"/>
        <v>0</v>
      </c>
      <c r="BL11" s="35">
        <f t="shared" si="34"/>
        <v>0</v>
      </c>
      <c r="BM11" s="92">
        <f t="shared" si="15"/>
        <v>0</v>
      </c>
      <c r="BN11" s="35">
        <f>+BN12+BN13</f>
        <v>0</v>
      </c>
      <c r="BO11" s="92">
        <f t="shared" si="16"/>
        <v>0</v>
      </c>
      <c r="BP11" s="35">
        <f t="shared" ref="BP11:BV11" si="35">+BP12+BP13</f>
        <v>0</v>
      </c>
      <c r="BQ11" s="35">
        <f t="shared" si="35"/>
        <v>0</v>
      </c>
      <c r="BR11" s="35">
        <f t="shared" si="35"/>
        <v>0</v>
      </c>
      <c r="BS11" s="35">
        <f t="shared" si="35"/>
        <v>0</v>
      </c>
      <c r="BT11" s="35">
        <f t="shared" si="35"/>
        <v>0</v>
      </c>
      <c r="BU11" s="35">
        <f t="shared" si="35"/>
        <v>0</v>
      </c>
      <c r="BV11" s="35">
        <f t="shared" si="35"/>
        <v>0</v>
      </c>
      <c r="BW11" s="92">
        <f t="shared" si="18"/>
        <v>0</v>
      </c>
      <c r="BX11" s="35">
        <f>+BX12+BX13</f>
        <v>0</v>
      </c>
      <c r="BY11" s="92">
        <f t="shared" si="19"/>
        <v>0</v>
      </c>
      <c r="BZ11" s="35">
        <f t="shared" ref="BZ11:CE11" si="36">+BZ12+BZ13</f>
        <v>0</v>
      </c>
      <c r="CA11" s="35">
        <f t="shared" si="36"/>
        <v>0</v>
      </c>
      <c r="CB11" s="35">
        <f t="shared" si="36"/>
        <v>0</v>
      </c>
      <c r="CC11" s="35">
        <f t="shared" si="36"/>
        <v>0</v>
      </c>
      <c r="CD11" s="35">
        <f t="shared" si="36"/>
        <v>0</v>
      </c>
      <c r="CE11" s="415">
        <f t="shared" si="36"/>
        <v>0</v>
      </c>
    </row>
    <row r="12" spans="1:83" ht="24" customHeight="1" x14ac:dyDescent="0.5">
      <c r="A12" s="33" t="s">
        <v>27</v>
      </c>
      <c r="B12" s="34"/>
      <c r="C12" s="37">
        <f t="shared" ref="C12:F12" si="37">+C91</f>
        <v>10618950</v>
      </c>
      <c r="D12" s="35">
        <f t="shared" si="37"/>
        <v>0</v>
      </c>
      <c r="E12" s="35">
        <f t="shared" si="37"/>
        <v>10618950</v>
      </c>
      <c r="F12" s="35">
        <f t="shared" si="37"/>
        <v>0</v>
      </c>
      <c r="G12" s="92">
        <f t="shared" si="1"/>
        <v>0</v>
      </c>
      <c r="H12" s="35">
        <f t="shared" ref="H12:J12" si="38">+H91</f>
        <v>0</v>
      </c>
      <c r="I12" s="35">
        <f t="shared" si="38"/>
        <v>0</v>
      </c>
      <c r="J12" s="35">
        <f t="shared" si="38"/>
        <v>0</v>
      </c>
      <c r="K12" s="92">
        <f t="shared" si="3"/>
        <v>0</v>
      </c>
      <c r="L12" s="35">
        <f>+L91</f>
        <v>0</v>
      </c>
      <c r="M12" s="92">
        <f t="shared" si="4"/>
        <v>0</v>
      </c>
      <c r="N12" s="35">
        <f t="shared" ref="N12:T12" si="39">+N91</f>
        <v>0</v>
      </c>
      <c r="O12" s="35">
        <f t="shared" si="39"/>
        <v>0</v>
      </c>
      <c r="P12" s="35">
        <f t="shared" si="39"/>
        <v>0</v>
      </c>
      <c r="Q12" s="35">
        <f t="shared" si="39"/>
        <v>0</v>
      </c>
      <c r="R12" s="35">
        <f t="shared" si="39"/>
        <v>0</v>
      </c>
      <c r="S12" s="35">
        <f t="shared" si="39"/>
        <v>0</v>
      </c>
      <c r="T12" s="35">
        <f t="shared" si="39"/>
        <v>0</v>
      </c>
      <c r="U12" s="92">
        <f t="shared" si="6"/>
        <v>0</v>
      </c>
      <c r="V12" s="35">
        <f>+V91</f>
        <v>0</v>
      </c>
      <c r="W12" s="92">
        <f t="shared" si="7"/>
        <v>0</v>
      </c>
      <c r="X12" s="35">
        <f t="shared" ref="X12:AD12" si="40">+X91</f>
        <v>0</v>
      </c>
      <c r="Y12" s="35">
        <f t="shared" si="40"/>
        <v>0</v>
      </c>
      <c r="Z12" s="35">
        <f t="shared" si="40"/>
        <v>0</v>
      </c>
      <c r="AA12" s="35">
        <f t="shared" si="40"/>
        <v>0</v>
      </c>
      <c r="AB12" s="35">
        <f t="shared" si="40"/>
        <v>0</v>
      </c>
      <c r="AC12" s="35">
        <f t="shared" si="40"/>
        <v>0</v>
      </c>
      <c r="AD12" s="35">
        <f t="shared" si="40"/>
        <v>0</v>
      </c>
      <c r="AE12" s="92">
        <f t="shared" si="9"/>
        <v>0</v>
      </c>
      <c r="AF12" s="35">
        <f>+AF91</f>
        <v>0</v>
      </c>
      <c r="AG12" s="92">
        <f t="shared" si="10"/>
        <v>0</v>
      </c>
      <c r="AH12" s="35">
        <f t="shared" ref="AH12:AT12" si="41">+AH91</f>
        <v>0</v>
      </c>
      <c r="AI12" s="35">
        <f t="shared" si="41"/>
        <v>0</v>
      </c>
      <c r="AJ12" s="35">
        <f t="shared" si="41"/>
        <v>0</v>
      </c>
      <c r="AK12" s="35">
        <f t="shared" si="41"/>
        <v>0</v>
      </c>
      <c r="AL12" s="35">
        <f t="shared" si="41"/>
        <v>0</v>
      </c>
      <c r="AM12" s="35">
        <f t="shared" si="41"/>
        <v>0</v>
      </c>
      <c r="AN12" s="35">
        <f t="shared" si="41"/>
        <v>0</v>
      </c>
      <c r="AO12" s="35">
        <f t="shared" si="41"/>
        <v>0</v>
      </c>
      <c r="AP12" s="35">
        <f t="shared" si="41"/>
        <v>0</v>
      </c>
      <c r="AQ12" s="35">
        <f t="shared" si="41"/>
        <v>0</v>
      </c>
      <c r="AR12" s="35">
        <f t="shared" si="41"/>
        <v>0</v>
      </c>
      <c r="AS12" s="35">
        <f t="shared" si="41"/>
        <v>0</v>
      </c>
      <c r="AT12" s="35">
        <f t="shared" si="41"/>
        <v>0</v>
      </c>
      <c r="AU12" s="35">
        <f t="shared" si="12"/>
        <v>0</v>
      </c>
      <c r="AV12" s="35">
        <f>+AV91</f>
        <v>0</v>
      </c>
      <c r="AW12" s="35">
        <f t="shared" si="13"/>
        <v>0</v>
      </c>
      <c r="AX12" s="35">
        <f t="shared" ref="AX12:BL12" si="42">+AX91</f>
        <v>0</v>
      </c>
      <c r="AY12" s="35">
        <f t="shared" si="42"/>
        <v>0</v>
      </c>
      <c r="AZ12" s="35">
        <f t="shared" si="42"/>
        <v>0</v>
      </c>
      <c r="BA12" s="35">
        <f t="shared" si="42"/>
        <v>0</v>
      </c>
      <c r="BB12" s="35">
        <f t="shared" si="42"/>
        <v>0</v>
      </c>
      <c r="BC12" s="35">
        <f t="shared" si="42"/>
        <v>0</v>
      </c>
      <c r="BD12" s="35">
        <f t="shared" si="42"/>
        <v>0</v>
      </c>
      <c r="BE12" s="35">
        <f t="shared" si="42"/>
        <v>0</v>
      </c>
      <c r="BF12" s="35">
        <f t="shared" si="42"/>
        <v>0</v>
      </c>
      <c r="BG12" s="35">
        <f t="shared" si="42"/>
        <v>0</v>
      </c>
      <c r="BH12" s="35">
        <f t="shared" si="42"/>
        <v>0</v>
      </c>
      <c r="BI12" s="35">
        <f t="shared" si="42"/>
        <v>0</v>
      </c>
      <c r="BJ12" s="35">
        <f t="shared" si="42"/>
        <v>0</v>
      </c>
      <c r="BK12" s="35">
        <f t="shared" si="42"/>
        <v>0</v>
      </c>
      <c r="BL12" s="35">
        <f t="shared" si="42"/>
        <v>0</v>
      </c>
      <c r="BM12" s="92">
        <f t="shared" si="15"/>
        <v>0</v>
      </c>
      <c r="BN12" s="35">
        <f>+BN91</f>
        <v>0</v>
      </c>
      <c r="BO12" s="92">
        <f t="shared" si="16"/>
        <v>0</v>
      </c>
      <c r="BP12" s="35">
        <f t="shared" ref="BP12:BV12" si="43">+BP91</f>
        <v>0</v>
      </c>
      <c r="BQ12" s="35">
        <f t="shared" si="43"/>
        <v>0</v>
      </c>
      <c r="BR12" s="35">
        <f t="shared" si="43"/>
        <v>0</v>
      </c>
      <c r="BS12" s="35">
        <f t="shared" si="43"/>
        <v>0</v>
      </c>
      <c r="BT12" s="35">
        <f t="shared" si="43"/>
        <v>0</v>
      </c>
      <c r="BU12" s="35">
        <f t="shared" si="43"/>
        <v>0</v>
      </c>
      <c r="BV12" s="35">
        <f t="shared" si="43"/>
        <v>0</v>
      </c>
      <c r="BW12" s="92">
        <f t="shared" si="18"/>
        <v>0</v>
      </c>
      <c r="BX12" s="35">
        <f>+BX91</f>
        <v>0</v>
      </c>
      <c r="BY12" s="92">
        <f t="shared" si="19"/>
        <v>0</v>
      </c>
      <c r="BZ12" s="35">
        <f t="shared" ref="BZ12:CE12" si="44">+BZ91</f>
        <v>0</v>
      </c>
      <c r="CA12" s="35">
        <f t="shared" si="44"/>
        <v>0</v>
      </c>
      <c r="CB12" s="35">
        <f t="shared" si="44"/>
        <v>0</v>
      </c>
      <c r="CC12" s="35">
        <f t="shared" si="44"/>
        <v>0</v>
      </c>
      <c r="CD12" s="35">
        <f t="shared" si="44"/>
        <v>0</v>
      </c>
      <c r="CE12" s="415">
        <f t="shared" si="44"/>
        <v>0</v>
      </c>
    </row>
    <row r="13" spans="1:83" ht="24" customHeight="1" x14ac:dyDescent="0.5">
      <c r="A13" s="33" t="s">
        <v>28</v>
      </c>
      <c r="B13" s="34"/>
      <c r="C13" s="37">
        <f t="shared" ref="C13:E13" si="45">+C106</f>
        <v>0</v>
      </c>
      <c r="D13" s="35">
        <f t="shared" si="45"/>
        <v>0</v>
      </c>
      <c r="E13" s="35">
        <f t="shared" si="45"/>
        <v>0</v>
      </c>
      <c r="F13" s="35"/>
      <c r="G13" s="92">
        <f t="shared" si="1"/>
        <v>0</v>
      </c>
      <c r="H13" s="35">
        <f t="shared" ref="H13:J13" si="46">+H106</f>
        <v>0</v>
      </c>
      <c r="I13" s="35">
        <f t="shared" si="46"/>
        <v>0</v>
      </c>
      <c r="J13" s="35">
        <f t="shared" si="46"/>
        <v>0</v>
      </c>
      <c r="K13" s="92">
        <f t="shared" si="3"/>
        <v>0</v>
      </c>
      <c r="L13" s="35">
        <f>+L106</f>
        <v>0</v>
      </c>
      <c r="M13" s="92">
        <f t="shared" si="4"/>
        <v>0</v>
      </c>
      <c r="N13" s="35">
        <f t="shared" ref="N13:T13" si="47">+N106</f>
        <v>0</v>
      </c>
      <c r="O13" s="35">
        <f t="shared" si="47"/>
        <v>0</v>
      </c>
      <c r="P13" s="35">
        <f t="shared" si="47"/>
        <v>0</v>
      </c>
      <c r="Q13" s="35">
        <f t="shared" si="47"/>
        <v>0</v>
      </c>
      <c r="R13" s="35">
        <f t="shared" si="47"/>
        <v>0</v>
      </c>
      <c r="S13" s="35">
        <f t="shared" si="47"/>
        <v>0</v>
      </c>
      <c r="T13" s="35">
        <f t="shared" si="47"/>
        <v>0</v>
      </c>
      <c r="U13" s="92">
        <f t="shared" si="6"/>
        <v>0</v>
      </c>
      <c r="V13" s="35">
        <f>+V106</f>
        <v>0</v>
      </c>
      <c r="W13" s="92">
        <f t="shared" si="7"/>
        <v>0</v>
      </c>
      <c r="X13" s="35">
        <f t="shared" ref="X13:AD13" si="48">+X106</f>
        <v>0</v>
      </c>
      <c r="Y13" s="35">
        <f t="shared" si="48"/>
        <v>0</v>
      </c>
      <c r="Z13" s="35">
        <f t="shared" si="48"/>
        <v>0</v>
      </c>
      <c r="AA13" s="35">
        <f t="shared" si="48"/>
        <v>0</v>
      </c>
      <c r="AB13" s="35">
        <f t="shared" si="48"/>
        <v>0</v>
      </c>
      <c r="AC13" s="35">
        <f t="shared" si="48"/>
        <v>0</v>
      </c>
      <c r="AD13" s="35">
        <f t="shared" si="48"/>
        <v>0</v>
      </c>
      <c r="AE13" s="92">
        <f t="shared" si="9"/>
        <v>0</v>
      </c>
      <c r="AF13" s="35">
        <f>+AF106</f>
        <v>0</v>
      </c>
      <c r="AG13" s="92">
        <f t="shared" si="10"/>
        <v>0</v>
      </c>
      <c r="AH13" s="35">
        <f t="shared" ref="AH13:AT13" si="49">+AH106</f>
        <v>0</v>
      </c>
      <c r="AI13" s="35">
        <f t="shared" si="49"/>
        <v>0</v>
      </c>
      <c r="AJ13" s="35">
        <f t="shared" si="49"/>
        <v>0</v>
      </c>
      <c r="AK13" s="35">
        <f t="shared" si="49"/>
        <v>0</v>
      </c>
      <c r="AL13" s="35">
        <f t="shared" si="49"/>
        <v>0</v>
      </c>
      <c r="AM13" s="35">
        <f t="shared" si="49"/>
        <v>0</v>
      </c>
      <c r="AN13" s="35">
        <f t="shared" si="49"/>
        <v>0</v>
      </c>
      <c r="AO13" s="35">
        <f t="shared" si="49"/>
        <v>0</v>
      </c>
      <c r="AP13" s="35">
        <f t="shared" si="49"/>
        <v>0</v>
      </c>
      <c r="AQ13" s="35">
        <f t="shared" si="49"/>
        <v>0</v>
      </c>
      <c r="AR13" s="35">
        <f t="shared" si="49"/>
        <v>0</v>
      </c>
      <c r="AS13" s="35">
        <f t="shared" si="49"/>
        <v>0</v>
      </c>
      <c r="AT13" s="35">
        <f t="shared" si="49"/>
        <v>0</v>
      </c>
      <c r="AU13" s="35">
        <f t="shared" si="12"/>
        <v>0</v>
      </c>
      <c r="AV13" s="35">
        <f>+AV106</f>
        <v>0</v>
      </c>
      <c r="AW13" s="35">
        <f t="shared" si="13"/>
        <v>0</v>
      </c>
      <c r="AX13" s="35">
        <f t="shared" ref="AX13:BL13" si="50">+AX106</f>
        <v>0</v>
      </c>
      <c r="AY13" s="35">
        <f t="shared" si="50"/>
        <v>0</v>
      </c>
      <c r="AZ13" s="35">
        <f t="shared" si="50"/>
        <v>0</v>
      </c>
      <c r="BA13" s="35">
        <f t="shared" si="50"/>
        <v>0</v>
      </c>
      <c r="BB13" s="35">
        <f t="shared" si="50"/>
        <v>0</v>
      </c>
      <c r="BC13" s="35">
        <f t="shared" si="50"/>
        <v>0</v>
      </c>
      <c r="BD13" s="35">
        <f t="shared" si="50"/>
        <v>0</v>
      </c>
      <c r="BE13" s="35">
        <f t="shared" si="50"/>
        <v>0</v>
      </c>
      <c r="BF13" s="35">
        <f t="shared" si="50"/>
        <v>0</v>
      </c>
      <c r="BG13" s="35">
        <f t="shared" si="50"/>
        <v>0</v>
      </c>
      <c r="BH13" s="35">
        <f t="shared" si="50"/>
        <v>0</v>
      </c>
      <c r="BI13" s="35">
        <f t="shared" si="50"/>
        <v>0</v>
      </c>
      <c r="BJ13" s="35">
        <f t="shared" si="50"/>
        <v>0</v>
      </c>
      <c r="BK13" s="35">
        <f t="shared" si="50"/>
        <v>0</v>
      </c>
      <c r="BL13" s="35">
        <f t="shared" si="50"/>
        <v>0</v>
      </c>
      <c r="BM13" s="92">
        <f t="shared" si="15"/>
        <v>0</v>
      </c>
      <c r="BN13" s="35">
        <f>+BN106</f>
        <v>0</v>
      </c>
      <c r="BO13" s="92">
        <f t="shared" si="16"/>
        <v>0</v>
      </c>
      <c r="BP13" s="35">
        <f t="shared" ref="BP13:BV13" si="51">+BP106</f>
        <v>0</v>
      </c>
      <c r="BQ13" s="35">
        <f t="shared" si="51"/>
        <v>0</v>
      </c>
      <c r="BR13" s="35">
        <f t="shared" si="51"/>
        <v>0</v>
      </c>
      <c r="BS13" s="35">
        <f t="shared" si="51"/>
        <v>0</v>
      </c>
      <c r="BT13" s="35">
        <f t="shared" si="51"/>
        <v>0</v>
      </c>
      <c r="BU13" s="35">
        <f t="shared" si="51"/>
        <v>0</v>
      </c>
      <c r="BV13" s="35">
        <f t="shared" si="51"/>
        <v>0</v>
      </c>
      <c r="BW13" s="92">
        <f t="shared" si="18"/>
        <v>0</v>
      </c>
      <c r="BX13" s="35">
        <f>+BX106</f>
        <v>0</v>
      </c>
      <c r="BY13" s="92">
        <f t="shared" si="19"/>
        <v>0</v>
      </c>
      <c r="BZ13" s="35">
        <f t="shared" ref="BZ13:CE13" si="52">+BZ106</f>
        <v>0</v>
      </c>
      <c r="CA13" s="35">
        <f t="shared" si="52"/>
        <v>0</v>
      </c>
      <c r="CB13" s="35">
        <f t="shared" si="52"/>
        <v>0</v>
      </c>
      <c r="CC13" s="35">
        <f t="shared" si="52"/>
        <v>0</v>
      </c>
      <c r="CD13" s="35">
        <f t="shared" si="52"/>
        <v>0</v>
      </c>
      <c r="CE13" s="415">
        <f t="shared" si="52"/>
        <v>0</v>
      </c>
    </row>
    <row r="14" spans="1:83" ht="24" customHeight="1" x14ac:dyDescent="0.5">
      <c r="A14" s="39" t="s">
        <v>208</v>
      </c>
      <c r="B14" s="252"/>
      <c r="C14" s="393">
        <v>0</v>
      </c>
      <c r="D14" s="93">
        <v>0</v>
      </c>
      <c r="E14" s="93">
        <v>0</v>
      </c>
      <c r="F14" s="93"/>
      <c r="G14" s="96">
        <f t="shared" si="1"/>
        <v>0</v>
      </c>
      <c r="H14" s="93">
        <v>0</v>
      </c>
      <c r="I14" s="93">
        <v>0</v>
      </c>
      <c r="J14" s="93">
        <v>0</v>
      </c>
      <c r="K14" s="96">
        <f t="shared" si="3"/>
        <v>0</v>
      </c>
      <c r="L14" s="93">
        <v>0</v>
      </c>
      <c r="M14" s="96">
        <f t="shared" si="4"/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6">
        <f t="shared" si="6"/>
        <v>0</v>
      </c>
      <c r="V14" s="93">
        <v>0</v>
      </c>
      <c r="W14" s="96">
        <f t="shared" si="7"/>
        <v>0</v>
      </c>
      <c r="X14" s="93">
        <v>0</v>
      </c>
      <c r="Y14" s="93">
        <v>0</v>
      </c>
      <c r="Z14" s="93">
        <v>0</v>
      </c>
      <c r="AA14" s="93">
        <v>0</v>
      </c>
      <c r="AB14" s="93">
        <v>0</v>
      </c>
      <c r="AC14" s="93">
        <v>0</v>
      </c>
      <c r="AD14" s="93">
        <v>0</v>
      </c>
      <c r="AE14" s="96">
        <f t="shared" si="9"/>
        <v>0</v>
      </c>
      <c r="AF14" s="93">
        <v>0</v>
      </c>
      <c r="AG14" s="96">
        <f t="shared" si="10"/>
        <v>0</v>
      </c>
      <c r="AH14" s="93">
        <v>0</v>
      </c>
      <c r="AI14" s="93">
        <v>0</v>
      </c>
      <c r="AJ14" s="93">
        <v>0</v>
      </c>
      <c r="AK14" s="93">
        <v>0</v>
      </c>
      <c r="AL14" s="93">
        <v>0</v>
      </c>
      <c r="AM14" s="93">
        <v>0</v>
      </c>
      <c r="AN14" s="93">
        <v>0</v>
      </c>
      <c r="AO14" s="93">
        <v>0</v>
      </c>
      <c r="AP14" s="93">
        <v>0</v>
      </c>
      <c r="AQ14" s="93">
        <v>0</v>
      </c>
      <c r="AR14" s="93">
        <v>0</v>
      </c>
      <c r="AS14" s="93">
        <v>0</v>
      </c>
      <c r="AT14" s="93">
        <v>0</v>
      </c>
      <c r="AU14" s="93">
        <f t="shared" si="12"/>
        <v>0</v>
      </c>
      <c r="AV14" s="93">
        <v>0</v>
      </c>
      <c r="AW14" s="93">
        <f t="shared" si="13"/>
        <v>0</v>
      </c>
      <c r="AX14" s="93">
        <v>0</v>
      </c>
      <c r="AY14" s="93">
        <v>0</v>
      </c>
      <c r="AZ14" s="93">
        <v>0</v>
      </c>
      <c r="BA14" s="93">
        <v>0</v>
      </c>
      <c r="BB14" s="93">
        <v>0</v>
      </c>
      <c r="BC14" s="93">
        <v>0</v>
      </c>
      <c r="BD14" s="93">
        <v>0</v>
      </c>
      <c r="BE14" s="93">
        <v>0</v>
      </c>
      <c r="BF14" s="93">
        <v>0</v>
      </c>
      <c r="BG14" s="93">
        <v>0</v>
      </c>
      <c r="BH14" s="93">
        <v>0</v>
      </c>
      <c r="BI14" s="93">
        <v>0</v>
      </c>
      <c r="BJ14" s="506">
        <v>0</v>
      </c>
      <c r="BK14" s="506">
        <v>0</v>
      </c>
      <c r="BL14" s="506">
        <v>0</v>
      </c>
      <c r="BM14" s="507">
        <f t="shared" si="15"/>
        <v>0</v>
      </c>
      <c r="BN14" s="506">
        <v>0</v>
      </c>
      <c r="BO14" s="507">
        <f t="shared" si="16"/>
        <v>0</v>
      </c>
      <c r="BP14" s="506">
        <v>0</v>
      </c>
      <c r="BQ14" s="506">
        <v>0</v>
      </c>
      <c r="BR14" s="506">
        <v>0</v>
      </c>
      <c r="BS14" s="506">
        <v>0</v>
      </c>
      <c r="BT14" s="506">
        <v>0</v>
      </c>
      <c r="BU14" s="506">
        <v>0</v>
      </c>
      <c r="BV14" s="506">
        <v>0</v>
      </c>
      <c r="BW14" s="507">
        <f t="shared" si="18"/>
        <v>0</v>
      </c>
      <c r="BX14" s="506">
        <v>0</v>
      </c>
      <c r="BY14" s="507">
        <f t="shared" si="19"/>
        <v>0</v>
      </c>
      <c r="BZ14" s="506">
        <v>0</v>
      </c>
      <c r="CA14" s="506">
        <v>0</v>
      </c>
      <c r="CB14" s="506">
        <v>0</v>
      </c>
      <c r="CC14" s="506">
        <v>0</v>
      </c>
      <c r="CD14" s="506">
        <v>0</v>
      </c>
      <c r="CE14" s="416">
        <v>0</v>
      </c>
    </row>
    <row r="15" spans="1:83" ht="24" customHeight="1" x14ac:dyDescent="0.5">
      <c r="A15" s="777" t="s">
        <v>30</v>
      </c>
      <c r="B15" s="571"/>
      <c r="C15" s="394">
        <f t="shared" ref="C15:F15" si="53">SUM(C16:C32)</f>
        <v>7607157.1100000003</v>
      </c>
      <c r="D15" s="66">
        <f t="shared" si="53"/>
        <v>0</v>
      </c>
      <c r="E15" s="395">
        <f t="shared" si="53"/>
        <v>7607157.1100000003</v>
      </c>
      <c r="F15" s="101">
        <f t="shared" ca="1" si="53"/>
        <v>76862.31</v>
      </c>
      <c r="G15" s="101">
        <f t="shared" ca="1" si="1"/>
        <v>1.0103946702896478</v>
      </c>
      <c r="H15" s="66">
        <f t="shared" ref="H15:J15" si="54">SUM(H16:H32)</f>
        <v>753602</v>
      </c>
      <c r="I15" s="66">
        <f t="shared" si="54"/>
        <v>94924</v>
      </c>
      <c r="J15" s="66">
        <f t="shared" ca="1" si="54"/>
        <v>0</v>
      </c>
      <c r="K15" s="101">
        <f t="shared" ca="1" si="3"/>
        <v>0</v>
      </c>
      <c r="L15" s="66">
        <f ca="1">SUM(L16:L32)</f>
        <v>0</v>
      </c>
      <c r="M15" s="101">
        <f t="shared" ca="1" si="4"/>
        <v>0</v>
      </c>
      <c r="N15" s="66">
        <f t="shared" ref="N15:T15" ca="1" si="55">SUM(N16:N32)</f>
        <v>0</v>
      </c>
      <c r="O15" s="66">
        <f t="shared" ca="1" si="55"/>
        <v>0</v>
      </c>
      <c r="P15" s="66">
        <f t="shared" ca="1" si="55"/>
        <v>0</v>
      </c>
      <c r="Q15" s="66">
        <f t="shared" ca="1" si="55"/>
        <v>0</v>
      </c>
      <c r="R15" s="66">
        <f t="shared" ca="1" si="55"/>
        <v>0</v>
      </c>
      <c r="S15" s="66">
        <f t="shared" ca="1" si="55"/>
        <v>0</v>
      </c>
      <c r="T15" s="66">
        <f t="shared" ca="1" si="55"/>
        <v>0</v>
      </c>
      <c r="U15" s="101">
        <f t="shared" ca="1" si="6"/>
        <v>0</v>
      </c>
      <c r="V15" s="66">
        <f ca="1">SUM(V16:V32)</f>
        <v>0</v>
      </c>
      <c r="W15" s="101">
        <f t="shared" ca="1" si="7"/>
        <v>0</v>
      </c>
      <c r="X15" s="66">
        <f t="shared" ref="X15:AD15" ca="1" si="56">SUM(X16:X32)</f>
        <v>0</v>
      </c>
      <c r="Y15" s="66">
        <f t="shared" ca="1" si="56"/>
        <v>0</v>
      </c>
      <c r="Z15" s="66">
        <f t="shared" ca="1" si="56"/>
        <v>0</v>
      </c>
      <c r="AA15" s="66">
        <f t="shared" ca="1" si="56"/>
        <v>0</v>
      </c>
      <c r="AB15" s="66">
        <f t="shared" ca="1" si="56"/>
        <v>0</v>
      </c>
      <c r="AC15" s="66">
        <f t="shared" ca="1" si="56"/>
        <v>0</v>
      </c>
      <c r="AD15" s="66">
        <f t="shared" ca="1" si="56"/>
        <v>0</v>
      </c>
      <c r="AE15" s="101">
        <f t="shared" ca="1" si="9"/>
        <v>0</v>
      </c>
      <c r="AF15" s="66">
        <f ca="1">SUM(AF16:AF32)</f>
        <v>0</v>
      </c>
      <c r="AG15" s="101">
        <f t="shared" ca="1" si="10"/>
        <v>0</v>
      </c>
      <c r="AH15" s="66">
        <f t="shared" ref="AH15:AT15" ca="1" si="57">SUM(AH16:AH32)</f>
        <v>0</v>
      </c>
      <c r="AI15" s="66">
        <f t="shared" ca="1" si="57"/>
        <v>0</v>
      </c>
      <c r="AJ15" s="66">
        <f t="shared" ca="1" si="57"/>
        <v>0</v>
      </c>
      <c r="AK15" s="66">
        <f t="shared" ca="1" si="57"/>
        <v>0</v>
      </c>
      <c r="AL15" s="66">
        <f t="shared" ca="1" si="57"/>
        <v>0</v>
      </c>
      <c r="AM15" s="66">
        <f t="shared" ca="1" si="57"/>
        <v>0</v>
      </c>
      <c r="AN15" s="66">
        <f t="shared" ca="1" si="57"/>
        <v>0</v>
      </c>
      <c r="AO15" s="66">
        <f t="shared" ca="1" si="57"/>
        <v>0</v>
      </c>
      <c r="AP15" s="66">
        <f t="shared" ca="1" si="57"/>
        <v>0</v>
      </c>
      <c r="AQ15" s="66">
        <f t="shared" ca="1" si="57"/>
        <v>0</v>
      </c>
      <c r="AR15" s="66">
        <f t="shared" si="57"/>
        <v>3164</v>
      </c>
      <c r="AS15" s="66">
        <f t="shared" si="57"/>
        <v>43003</v>
      </c>
      <c r="AT15" s="66">
        <f t="shared" ca="1" si="57"/>
        <v>0</v>
      </c>
      <c r="AU15" s="66">
        <f t="shared" ca="1" si="12"/>
        <v>0</v>
      </c>
      <c r="AV15" s="66">
        <f ca="1">SUM(AV16:AV32)</f>
        <v>0</v>
      </c>
      <c r="AW15" s="66">
        <f t="shared" ca="1" si="13"/>
        <v>0</v>
      </c>
      <c r="AX15" s="66">
        <f t="shared" ref="AX15:BL15" ca="1" si="58">SUM(AX16:AX32)</f>
        <v>0</v>
      </c>
      <c r="AY15" s="66">
        <f t="shared" ca="1" si="58"/>
        <v>0</v>
      </c>
      <c r="AZ15" s="66">
        <f t="shared" ca="1" si="58"/>
        <v>0</v>
      </c>
      <c r="BA15" s="66">
        <f t="shared" ca="1" si="58"/>
        <v>0</v>
      </c>
      <c r="BB15" s="66">
        <f t="shared" ca="1" si="58"/>
        <v>0</v>
      </c>
      <c r="BC15" s="66">
        <f t="shared" ca="1" si="58"/>
        <v>0</v>
      </c>
      <c r="BD15" s="66">
        <f t="shared" ca="1" si="58"/>
        <v>0</v>
      </c>
      <c r="BE15" s="66">
        <f t="shared" ca="1" si="58"/>
        <v>0</v>
      </c>
      <c r="BF15" s="66">
        <f t="shared" ca="1" si="58"/>
        <v>0</v>
      </c>
      <c r="BG15" s="66">
        <f t="shared" ca="1" si="58"/>
        <v>0</v>
      </c>
      <c r="BH15" s="66">
        <f t="shared" ca="1" si="58"/>
        <v>0</v>
      </c>
      <c r="BI15" s="66">
        <f t="shared" ca="1" si="58"/>
        <v>0</v>
      </c>
      <c r="BJ15" s="66">
        <f t="shared" si="58"/>
        <v>753602</v>
      </c>
      <c r="BK15" s="66">
        <f t="shared" si="58"/>
        <v>94924</v>
      </c>
      <c r="BL15" s="66">
        <f t="shared" ca="1" si="58"/>
        <v>0</v>
      </c>
      <c r="BM15" s="101">
        <f t="shared" ca="1" si="15"/>
        <v>0</v>
      </c>
      <c r="BN15" s="66">
        <f ca="1">SUM(BN16:BN32)</f>
        <v>0</v>
      </c>
      <c r="BO15" s="101">
        <f t="shared" ca="1" si="16"/>
        <v>0</v>
      </c>
      <c r="BP15" s="66">
        <f t="shared" ref="BP15:BV15" ca="1" si="59">SUM(BP16:BP32)</f>
        <v>0</v>
      </c>
      <c r="BQ15" s="66">
        <f t="shared" ca="1" si="59"/>
        <v>0</v>
      </c>
      <c r="BR15" s="66">
        <f t="shared" ca="1" si="59"/>
        <v>0</v>
      </c>
      <c r="BS15" s="66">
        <f t="shared" ca="1" si="59"/>
        <v>0</v>
      </c>
      <c r="BT15" s="66">
        <f t="shared" ca="1" si="59"/>
        <v>0</v>
      </c>
      <c r="BU15" s="66">
        <f t="shared" ca="1" si="59"/>
        <v>0</v>
      </c>
      <c r="BV15" s="66">
        <f t="shared" ca="1" si="59"/>
        <v>0</v>
      </c>
      <c r="BW15" s="101">
        <f t="shared" ca="1" si="18"/>
        <v>0</v>
      </c>
      <c r="BX15" s="66">
        <f ca="1">SUM(BX16:BX32)</f>
        <v>0</v>
      </c>
      <c r="BY15" s="101">
        <f t="shared" ca="1" si="19"/>
        <v>0</v>
      </c>
      <c r="BZ15" s="66">
        <f t="shared" ref="BZ15:CE15" ca="1" si="60">SUM(BZ16:BZ32)</f>
        <v>0</v>
      </c>
      <c r="CA15" s="66">
        <f t="shared" ca="1" si="60"/>
        <v>0</v>
      </c>
      <c r="CB15" s="66">
        <f t="shared" ca="1" si="60"/>
        <v>0</v>
      </c>
      <c r="CC15" s="66">
        <f t="shared" ca="1" si="60"/>
        <v>0</v>
      </c>
      <c r="CD15" s="66">
        <f t="shared" ca="1" si="60"/>
        <v>0</v>
      </c>
      <c r="CE15" s="414">
        <f t="shared" ca="1" si="60"/>
        <v>0</v>
      </c>
    </row>
    <row r="16" spans="1:83" ht="24" customHeight="1" x14ac:dyDescent="0.5">
      <c r="A16" s="268">
        <v>1</v>
      </c>
      <c r="B16" s="269" t="s">
        <v>31</v>
      </c>
      <c r="C16" s="396">
        <f t="shared" ref="C16:C32" si="61">+D16+E16</f>
        <v>1082066.33</v>
      </c>
      <c r="D16" s="48">
        <v>0</v>
      </c>
      <c r="E16" s="397">
        <v>1082066.33</v>
      </c>
      <c r="F16" s="98">
        <f ca="1">IFERROR(__xludf.DUMMYFUNCTION("IMPORTRANGE(""https://docs.google.com/spreadsheets/d/11923uPwbBZFjjGgGUA6NLw09EwE0CqkOc4q9oUmW1yo/edit?usp=sharing"",""กำแพงเพชร!M352"")"),0)</f>
        <v>0</v>
      </c>
      <c r="G16" s="98">
        <f t="shared" ca="1" si="1"/>
        <v>0</v>
      </c>
      <c r="H16" s="49">
        <v>156920</v>
      </c>
      <c r="I16" s="49">
        <v>12870</v>
      </c>
      <c r="J16" s="48">
        <f t="shared" ref="J16:J32" ca="1" si="62">SUM(N16,P16,R16)</f>
        <v>0</v>
      </c>
      <c r="K16" s="98">
        <f t="shared" ca="1" si="3"/>
        <v>0</v>
      </c>
      <c r="L16" s="48">
        <f t="shared" ref="L16:L32" ca="1" si="63">SUM(O16,Q16,S16)</f>
        <v>0</v>
      </c>
      <c r="M16" s="98">
        <f t="shared" ca="1" si="4"/>
        <v>0</v>
      </c>
      <c r="N16" s="48">
        <f ca="1">IFERROR(__xludf.DUMMYFUNCTION("IMPORTRANGE(""https://docs.google.com/spreadsheets/d/11923uPwbBZFjjGgGUA6NLw09EwE0CqkOc4q9oUmW1yo/edit?usp=sharing"",""กำแพงเพชร!J362"")"),0)</f>
        <v>0</v>
      </c>
      <c r="O16" s="48">
        <f ca="1">IFERROR(__xludf.DUMMYFUNCTION("IMPORTRANGE(""https://docs.google.com/spreadsheets/d/11923uPwbBZFjjGgGUA6NLw09EwE0CqkOc4q9oUmW1yo/edit?usp=sharing"",""กำแพงเพชร!J363"")"),0)</f>
        <v>0</v>
      </c>
      <c r="P16" s="48">
        <f ca="1">IFERROR(__xludf.DUMMYFUNCTION("IMPORTRANGE(""https://docs.google.com/spreadsheets/d/11923uPwbBZFjjGgGUA6NLw09EwE0CqkOc4q9oUmW1yo/edit?usp=sharing"",""กำแพงเพชร!J364"")"),0)</f>
        <v>0</v>
      </c>
      <c r="Q16" s="48">
        <f ca="1">IFERROR(__xludf.DUMMYFUNCTION("IMPORTRANGE(""https://docs.google.com/spreadsheets/d/11923uPwbBZFjjGgGUA6NLw09EwE0CqkOc4q9oUmW1yo/edit?usp=sharing"",""กำแพงเพชร!J365"")"),0)</f>
        <v>0</v>
      </c>
      <c r="R16" s="48">
        <f ca="1">IFERROR(__xludf.DUMMYFUNCTION("IMPORTRANGE(""https://docs.google.com/spreadsheets/d/11923uPwbBZFjjGgGUA6NLw09EwE0CqkOc4q9oUmW1yo/edit?usp=sharing"",""กำแพงเพชร!J366"")"),0)</f>
        <v>0</v>
      </c>
      <c r="S16" s="48">
        <f ca="1">IFERROR(__xludf.DUMMYFUNCTION("IMPORTRANGE(""https://docs.google.com/spreadsheets/d/11923uPwbBZFjjGgGUA6NLw09EwE0CqkOc4q9oUmW1yo/edit?usp=sharing"",""กำแพงเพชร!J367"")"),0)</f>
        <v>0</v>
      </c>
      <c r="T16" s="48">
        <f t="shared" ref="T16:T32" ca="1" si="64">SUM(X16,Z16,AB16)</f>
        <v>0</v>
      </c>
      <c r="U16" s="98">
        <f t="shared" ca="1" si="6"/>
        <v>0</v>
      </c>
      <c r="V16" s="48">
        <f t="shared" ref="V16:V32" ca="1" si="65">SUM(Y16,AA16,AC16)</f>
        <v>0</v>
      </c>
      <c r="W16" s="98">
        <f t="shared" ca="1" si="7"/>
        <v>0</v>
      </c>
      <c r="X16" s="48">
        <f ca="1">IFERROR(__xludf.DUMMYFUNCTION("IMPORTRANGE(""https://docs.google.com/spreadsheets/d/11923uPwbBZFjjGgGUA6NLw09EwE0CqkOc4q9oUmW1yo/edit?usp=sharing"",""กำแพงเพชร!J370"")"),0)</f>
        <v>0</v>
      </c>
      <c r="Y16" s="48">
        <f ca="1">IFERROR(__xludf.DUMMYFUNCTION("IMPORTRANGE(""https://docs.google.com/spreadsheets/d/11923uPwbBZFjjGgGUA6NLw09EwE0CqkOc4q9oUmW1yo/edit?usp=sharing"",""กำแพงเพชร!J371"")"),0)</f>
        <v>0</v>
      </c>
      <c r="Z16" s="48">
        <f ca="1">IFERROR(__xludf.DUMMYFUNCTION("IMPORTRANGE(""https://docs.google.com/spreadsheets/d/11923uPwbBZFjjGgGUA6NLw09EwE0CqkOc4q9oUmW1yo/edit?usp=sharing"",""กำแพงเพชร!J372"")"),0)</f>
        <v>0</v>
      </c>
      <c r="AA16" s="48">
        <f ca="1">IFERROR(__xludf.DUMMYFUNCTION("IMPORTRANGE(""https://docs.google.com/spreadsheets/d/11923uPwbBZFjjGgGUA6NLw09EwE0CqkOc4q9oUmW1yo/edit?usp=sharing"",""กำแพงเพชร!J373"")"),0)</f>
        <v>0</v>
      </c>
      <c r="AB16" s="48">
        <f ca="1">IFERROR(__xludf.DUMMYFUNCTION("IMPORTRANGE(""https://docs.google.com/spreadsheets/d/11923uPwbBZFjjGgGUA6NLw09EwE0CqkOc4q9oUmW1yo/edit?usp=sharing"",""กำแพงเพชร!J374"")"),0)</f>
        <v>0</v>
      </c>
      <c r="AC16" s="48">
        <f ca="1">IFERROR(__xludf.DUMMYFUNCTION("IMPORTRANGE(""https://docs.google.com/spreadsheets/d/11923uPwbBZFjjGgGUA6NLw09EwE0CqkOc4q9oUmW1yo/edit?usp=sharing"",""กำแพงเพชร!J375"")"),0)</f>
        <v>0</v>
      </c>
      <c r="AD16" s="48">
        <f t="shared" ref="AD16:AD32" ca="1" si="66">SUM(AH16,AJ16,AL16,AN16,AP16)</f>
        <v>0</v>
      </c>
      <c r="AE16" s="98">
        <f t="shared" ca="1" si="9"/>
        <v>0</v>
      </c>
      <c r="AF16" s="48">
        <f t="shared" ref="AF16:AF32" ca="1" si="67">SUM(AI16,AK16,AM16,AO16,AQ16)</f>
        <v>0</v>
      </c>
      <c r="AG16" s="98">
        <f t="shared" ca="1" si="10"/>
        <v>0</v>
      </c>
      <c r="AH16" s="48">
        <f ca="1">IFERROR(__xludf.DUMMYFUNCTION("IMPORTRANGE(""https://docs.google.com/spreadsheets/d/11923uPwbBZFjjGgGUA6NLw09EwE0CqkOc4q9oUmW1yo/edit?usp=sharing"",""กำแพงเพชร!J378"")"),0)</f>
        <v>0</v>
      </c>
      <c r="AI16" s="48">
        <f ca="1">IFERROR(__xludf.DUMMYFUNCTION("IMPORTRANGE(""https://docs.google.com/spreadsheets/d/11923uPwbBZFjjGgGUA6NLw09EwE0CqkOc4q9oUmW1yo/edit?usp=sharing"",""กำแพงเพชร!J379"")"),0)</f>
        <v>0</v>
      </c>
      <c r="AJ16" s="48">
        <f ca="1">IFERROR(__xludf.DUMMYFUNCTION("IMPORTRANGE(""https://docs.google.com/spreadsheets/d/11923uPwbBZFjjGgGUA6NLw09EwE0CqkOc4q9oUmW1yo/edit?usp=sharing"",""กำแพงเพชร!J380"")"),0)</f>
        <v>0</v>
      </c>
      <c r="AK16" s="48">
        <f ca="1">IFERROR(__xludf.DUMMYFUNCTION("IMPORTRANGE(""https://docs.google.com/spreadsheets/d/11923uPwbBZFjjGgGUA6NLw09EwE0CqkOc4q9oUmW1yo/edit?usp=sharing"",""กำแพงเพชร!J381"")"),0)</f>
        <v>0</v>
      </c>
      <c r="AL16" s="48">
        <f ca="1">IFERROR(__xludf.DUMMYFUNCTION("IMPORTRANGE(""https://docs.google.com/spreadsheets/d/11923uPwbBZFjjGgGUA6NLw09EwE0CqkOc4q9oUmW1yo/edit?usp=sharing"",""กำแพงเพชร!J384"")"),0)</f>
        <v>0</v>
      </c>
      <c r="AM16" s="48">
        <f ca="1">IFERROR(__xludf.DUMMYFUNCTION("IMPORTRANGE(""https://docs.google.com/spreadsheets/d/11923uPwbBZFjjGgGUA6NLw09EwE0CqkOc4q9oUmW1yo/edit?usp=sharing"",""กำแพงเพชร!J385"")"),0)</f>
        <v>0</v>
      </c>
      <c r="AN16" s="48">
        <f ca="1">IFERROR(__xludf.DUMMYFUNCTION("IMPORTRANGE(""https://docs.google.com/spreadsheets/d/11923uPwbBZFjjGgGUA6NLw09EwE0CqkOc4q9oUmW1yo/edit?usp=sharing"",""กำแพงเพชร!J386"")"),0)</f>
        <v>0</v>
      </c>
      <c r="AO16" s="48">
        <f ca="1">IFERROR(__xludf.DUMMYFUNCTION("IMPORTRANGE(""https://docs.google.com/spreadsheets/d/11923uPwbBZFjjGgGUA6NLw09EwE0CqkOc4q9oUmW1yo/edit?usp=sharing"",""กำแพงเพชร!J387"")"),0)</f>
        <v>0</v>
      </c>
      <c r="AP16" s="48">
        <f ca="1">IFERROR(__xludf.DUMMYFUNCTION("IMPORTRANGE(""https://docs.google.com/spreadsheets/d/11923uPwbBZFjjGgGUA6NLw09EwE0CqkOc4q9oUmW1yo/edit?usp=sharing"",""กำแพงเพชร!J388"")"),0)</f>
        <v>0</v>
      </c>
      <c r="AQ16" s="48">
        <f ca="1">IFERROR(__xludf.DUMMYFUNCTION("IMPORTRANGE(""https://docs.google.com/spreadsheets/d/11923uPwbBZFjjGgGUA6NLw09EwE0CqkOc4q9oUmW1yo/edit?usp=sharing"",""กำแพงเพชร!J389"")"),0)</f>
        <v>0</v>
      </c>
      <c r="AR16" s="398">
        <v>493</v>
      </c>
      <c r="AS16" s="398">
        <v>5005</v>
      </c>
      <c r="AT16" s="398">
        <f t="shared" ref="AT16:AT32" ca="1" si="68">SUM(AX16,AZ16,BB16,BD16,BF16,BH16)</f>
        <v>0</v>
      </c>
      <c r="AU16" s="398">
        <f t="shared" ca="1" si="12"/>
        <v>0</v>
      </c>
      <c r="AV16" s="398">
        <f t="shared" ref="AV16:AV32" ca="1" si="69">SUM(AY16,BA16,BC16,BE16,BG16,BI16)</f>
        <v>0</v>
      </c>
      <c r="AW16" s="398">
        <f t="shared" ca="1" si="13"/>
        <v>0</v>
      </c>
      <c r="AX16" s="48">
        <f ca="1">IFERROR(__xludf.DUMMYFUNCTION("IMPORTRANGE(""https://docs.google.com/spreadsheets/d/11923uPwbBZFjjGgGUA6NLw09EwE0CqkOc4q9oUmW1yo/edit?usp=sharing"",""กำแพงเพชร!J395"")"),0)</f>
        <v>0</v>
      </c>
      <c r="AY16" s="48">
        <f ca="1">IFERROR(__xludf.DUMMYFUNCTION("IMPORTRANGE(""https://docs.google.com/spreadsheets/d/11923uPwbBZFjjGgGUA6NLw09EwE0CqkOc4q9oUmW1yo/edit?usp=sharing"",""กำแพงเพชร!J396"")"),0)</f>
        <v>0</v>
      </c>
      <c r="AZ16" s="48">
        <f ca="1">IFERROR(__xludf.DUMMYFUNCTION("IMPORTRANGE(""https://docs.google.com/spreadsheets/d/11923uPwbBZFjjGgGUA6NLw09EwE0CqkOc4q9oUmW1yo/edit?usp=sharing"",""กำแพงเพชร!J397"")"),0)</f>
        <v>0</v>
      </c>
      <c r="BA16" s="48">
        <f ca="1">IFERROR(__xludf.DUMMYFUNCTION("IMPORTRANGE(""https://docs.google.com/spreadsheets/d/11923uPwbBZFjjGgGUA6NLw09EwE0CqkOc4q9oUmW1yo/edit?usp=sharing"",""กำแพงเพชร!J398"")"),0)</f>
        <v>0</v>
      </c>
      <c r="BB16" s="48">
        <f ca="1">IFERROR(__xludf.DUMMYFUNCTION("IMPORTRANGE(""https://docs.google.com/spreadsheets/d/11923uPwbBZFjjGgGUA6NLw09EwE0CqkOc4q9oUmW1yo/edit?usp=sharing"",""กำแพงเพชร!J399"")"),0)</f>
        <v>0</v>
      </c>
      <c r="BC16" s="48">
        <f ca="1">IFERROR(__xludf.DUMMYFUNCTION("IMPORTRANGE(""https://docs.google.com/spreadsheets/d/11923uPwbBZFjjGgGUA6NLw09EwE0CqkOc4q9oUmW1yo/edit?usp=sharing"",""กำแพงเพชร!J400"")"),0)</f>
        <v>0</v>
      </c>
      <c r="BD16" s="48">
        <f ca="1">IFERROR(__xludf.DUMMYFUNCTION("IMPORTRANGE(""https://docs.google.com/spreadsheets/d/11923uPwbBZFjjGgGUA6NLw09EwE0CqkOc4q9oUmW1yo/edit?usp=sharing"",""กำแพงเพชร!J403"")"),0)</f>
        <v>0</v>
      </c>
      <c r="BE16" s="48">
        <f ca="1">IFERROR(__xludf.DUMMYFUNCTION("IMPORTRANGE(""https://docs.google.com/spreadsheets/d/11923uPwbBZFjjGgGUA6NLw09EwE0CqkOc4q9oUmW1yo/edit?usp=sharing"",""กำแพงเพชร!J404"")"),0)</f>
        <v>0</v>
      </c>
      <c r="BF16" s="48">
        <f ca="1">IFERROR(__xludf.DUMMYFUNCTION("IMPORTRANGE(""https://docs.google.com/spreadsheets/d/11923uPwbBZFjjGgGUA6NLw09EwE0CqkOc4q9oUmW1yo/edit?usp=sharing"",""กำแพงเพชร!J405"")"),0)</f>
        <v>0</v>
      </c>
      <c r="BG16" s="48">
        <f ca="1">IFERROR(__xludf.DUMMYFUNCTION("IMPORTRANGE(""https://docs.google.com/spreadsheets/d/11923uPwbBZFjjGgGUA6NLw09EwE0CqkOc4q9oUmW1yo/edit?usp=sharing"",""กำแพงเพชร!J406"")"),0)</f>
        <v>0</v>
      </c>
      <c r="BH16" s="48">
        <f ca="1">IFERROR(__xludf.DUMMYFUNCTION("IMPORTRANGE(""https://docs.google.com/spreadsheets/d/11923uPwbBZFjjGgGUA6NLw09EwE0CqkOc4q9oUmW1yo/edit?usp=sharing"",""กำแพงเพชร!J407"")"),0)</f>
        <v>0</v>
      </c>
      <c r="BI16" s="48">
        <f ca="1">IFERROR(__xludf.DUMMYFUNCTION("IMPORTRANGE(""https://docs.google.com/spreadsheets/d/11923uPwbBZFjjGgGUA6NLw09EwE0CqkOc4q9oUmW1yo/edit?usp=sharing"",""กำแพงเพชร!J408"")"),0)</f>
        <v>0</v>
      </c>
      <c r="BJ16" s="398">
        <v>156920</v>
      </c>
      <c r="BK16" s="398">
        <v>12870</v>
      </c>
      <c r="BL16" s="398">
        <f t="shared" ref="BL16:BL32" ca="1" si="70">SUM(BP16,BR16)</f>
        <v>0</v>
      </c>
      <c r="BM16" s="399">
        <f t="shared" ca="1" si="15"/>
        <v>0</v>
      </c>
      <c r="BN16" s="398">
        <f t="shared" ref="BN16:BN32" ca="1" si="71">SUM(BQ16,BS16)</f>
        <v>0</v>
      </c>
      <c r="BO16" s="399">
        <f t="shared" ca="1" si="16"/>
        <v>0</v>
      </c>
      <c r="BP16" s="48">
        <f ca="1">IFERROR(__xludf.DUMMYFUNCTION("IMPORTRANGE(""https://docs.google.com/spreadsheets/d/11923uPwbBZFjjGgGUA6NLw09EwE0CqkOc4q9oUmW1yo/edit?usp=sharing"",""กำแพงเพชร!J412"")"),0)</f>
        <v>0</v>
      </c>
      <c r="BQ16" s="48">
        <f ca="1">IFERROR(__xludf.DUMMYFUNCTION("IMPORTRANGE(""https://docs.google.com/spreadsheets/d/11923uPwbBZFjjGgGUA6NLw09EwE0CqkOc4q9oUmW1yo/edit?usp=sharing"",""กำแพงเพชร!J413"")"),0)</f>
        <v>0</v>
      </c>
      <c r="BR16" s="48">
        <f ca="1">IFERROR(__xludf.DUMMYFUNCTION("IMPORTRANGE(""https://docs.google.com/spreadsheets/d/11923uPwbBZFjjGgGUA6NLw09EwE0CqkOc4q9oUmW1yo/edit?usp=sharing"",""กำแพงเพชร!J414"")"),0)</f>
        <v>0</v>
      </c>
      <c r="BS16" s="48">
        <f ca="1">IFERROR(__xludf.DUMMYFUNCTION("IMPORTRANGE(""https://docs.google.com/spreadsheets/d/11923uPwbBZFjjGgGUA6NLw09EwE0CqkOc4q9oUmW1yo/edit?usp=sharing"",""กำแพงเพชร!J415"")"),0)</f>
        <v>0</v>
      </c>
      <c r="BT16" s="48">
        <f ca="1">IFERROR(__xludf.DUMMYFUNCTION("IMPORTRANGE(""https://docs.google.com/spreadsheets/d/11923uPwbBZFjjGgGUA6NLw09EwE0CqkOc4q9oUmW1yo/edit?usp=sharing"",""กำแพงเพชร!J416"")"),0)</f>
        <v>0</v>
      </c>
      <c r="BU16" s="48">
        <f ca="1">IFERROR(__xludf.DUMMYFUNCTION("IMPORTRANGE(""https://docs.google.com/spreadsheets/d/11923uPwbBZFjjGgGUA6NLw09EwE0CqkOc4q9oUmW1yo/edit?usp=sharing"",""กำแพงเพชร!J417"")"),0)</f>
        <v>0</v>
      </c>
      <c r="BV16" s="398">
        <f t="shared" ref="BV16:BV32" ca="1" si="72">SUM(BZ16,CB16,CD16)</f>
        <v>0</v>
      </c>
      <c r="BW16" s="399">
        <f t="shared" ca="1" si="18"/>
        <v>0</v>
      </c>
      <c r="BX16" s="398">
        <f t="shared" ref="BX16:BX32" ca="1" si="73">SUM(CA16,CC16,CE16)</f>
        <v>0</v>
      </c>
      <c r="BY16" s="399">
        <f t="shared" ca="1" si="19"/>
        <v>0</v>
      </c>
      <c r="BZ16" s="48">
        <f ca="1">IFERROR(__xludf.DUMMYFUNCTION("IMPORTRANGE(""https://docs.google.com/spreadsheets/d/11923uPwbBZFjjGgGUA6NLw09EwE0CqkOc4q9oUmW1yo/edit?usp=sharing"",""กำแพงเพชร!J420"")"),0)</f>
        <v>0</v>
      </c>
      <c r="CA16" s="48">
        <f ca="1">IFERROR(__xludf.DUMMYFUNCTION("IMPORTRANGE(""https://docs.google.com/spreadsheets/d/11923uPwbBZFjjGgGUA6NLw09EwE0CqkOc4q9oUmW1yo/edit?usp=sharing"",""กำแพงเพชร!J421"")"),0)</f>
        <v>0</v>
      </c>
      <c r="CB16" s="48">
        <f ca="1">IFERROR(__xludf.DUMMYFUNCTION("IMPORTRANGE(""https://docs.google.com/spreadsheets/d/11923uPwbBZFjjGgGUA6NLw09EwE0CqkOc4q9oUmW1yo/edit?usp=sharing"",""กำแพงเพชร!J422"")"),0)</f>
        <v>0</v>
      </c>
      <c r="CC16" s="48">
        <f ca="1">IFERROR(__xludf.DUMMYFUNCTION("IMPORTRANGE(""https://docs.google.com/spreadsheets/d/11923uPwbBZFjjGgGUA6NLw09EwE0CqkOc4q9oUmW1yo/edit?usp=sharing"",""กำแพงเพชร!J423"")"),0)</f>
        <v>0</v>
      </c>
      <c r="CD16" s="48">
        <f ca="1">IFERROR(__xludf.DUMMYFUNCTION("IMPORTRANGE(""https://docs.google.com/spreadsheets/d/11923uPwbBZFjjGgGUA6NLw09EwE0CqkOc4q9oUmW1yo/edit?usp=sharing"",""กำแพงเพชร!J424"")"),0)</f>
        <v>0</v>
      </c>
      <c r="CE16" s="420">
        <f ca="1">IFERROR(__xludf.DUMMYFUNCTION("IMPORTRANGE(""https://docs.google.com/spreadsheets/d/11923uPwbBZFjjGgGUA6NLw09EwE0CqkOc4q9oUmW1yo/edit?usp=sharing"",""กำแพงเพชร!J425"")"),0)</f>
        <v>0</v>
      </c>
    </row>
    <row r="17" spans="1:83" ht="24" customHeight="1" x14ac:dyDescent="0.5">
      <c r="A17" s="273">
        <v>2</v>
      </c>
      <c r="B17" s="274" t="s">
        <v>32</v>
      </c>
      <c r="C17" s="400">
        <f t="shared" si="61"/>
        <v>510552.7</v>
      </c>
      <c r="D17" s="55">
        <v>0</v>
      </c>
      <c r="E17" s="401">
        <v>510552.7</v>
      </c>
      <c r="F17" s="99">
        <f ca="1">IFERROR(__xludf.DUMMYFUNCTION("IMPORTRANGE(""https://docs.google.com/spreadsheets/d/11923uPwbBZFjjGgGUA6NLw09EwE0CqkOc4q9oUmW1yo/edit?usp=sharing"",""เชียงราย!M352"")"),0)</f>
        <v>0</v>
      </c>
      <c r="G17" s="99">
        <f t="shared" ca="1" si="1"/>
        <v>0</v>
      </c>
      <c r="H17" s="57">
        <v>44814</v>
      </c>
      <c r="I17" s="57">
        <v>9843</v>
      </c>
      <c r="J17" s="55">
        <f t="shared" ca="1" si="62"/>
        <v>0</v>
      </c>
      <c r="K17" s="99">
        <f t="shared" ca="1" si="3"/>
        <v>0</v>
      </c>
      <c r="L17" s="55">
        <f t="shared" ca="1" si="63"/>
        <v>0</v>
      </c>
      <c r="M17" s="99">
        <f t="shared" ca="1" si="4"/>
        <v>0</v>
      </c>
      <c r="N17" s="55">
        <f ca="1">IFERROR(__xludf.DUMMYFUNCTION("IMPORTRANGE(""https://docs.google.com/spreadsheets/d/11923uPwbBZFjjGgGUA6NLw09EwE0CqkOc4q9oUmW1yo/edit?usp=sharing"",""เชียงราย!J362"")"),0)</f>
        <v>0</v>
      </c>
      <c r="O17" s="55">
        <f ca="1">IFERROR(__xludf.DUMMYFUNCTION("IMPORTRANGE(""https://docs.google.com/spreadsheets/d/11923uPwbBZFjjGgGUA6NLw09EwE0CqkOc4q9oUmW1yo/edit?usp=sharing"",""เชียงราย!J363"")"),0)</f>
        <v>0</v>
      </c>
      <c r="P17" s="55">
        <f ca="1">IFERROR(__xludf.DUMMYFUNCTION("IMPORTRANGE(""https://docs.google.com/spreadsheets/d/11923uPwbBZFjjGgGUA6NLw09EwE0CqkOc4q9oUmW1yo/edit?usp=sharing"",""เชียงราย!J364"")"),0)</f>
        <v>0</v>
      </c>
      <c r="Q17" s="55">
        <f ca="1">IFERROR(__xludf.DUMMYFUNCTION("IMPORTRANGE(""https://docs.google.com/spreadsheets/d/11923uPwbBZFjjGgGUA6NLw09EwE0CqkOc4q9oUmW1yo/edit?usp=sharing"",""เชียงราย!J365"")"),0)</f>
        <v>0</v>
      </c>
      <c r="R17" s="55">
        <f ca="1">IFERROR(__xludf.DUMMYFUNCTION("IMPORTRANGE(""https://docs.google.com/spreadsheets/d/11923uPwbBZFjjGgGUA6NLw09EwE0CqkOc4q9oUmW1yo/edit?usp=sharing"",""เชียงราย!J366"")"),0)</f>
        <v>0</v>
      </c>
      <c r="S17" s="55">
        <f ca="1">IFERROR(__xludf.DUMMYFUNCTION("IMPORTRANGE(""https://docs.google.com/spreadsheets/d/11923uPwbBZFjjGgGUA6NLw09EwE0CqkOc4q9oUmW1yo/edit?usp=sharing"",""เชียงราย!J367"")"),0)</f>
        <v>0</v>
      </c>
      <c r="T17" s="55">
        <f t="shared" ca="1" si="64"/>
        <v>0</v>
      </c>
      <c r="U17" s="55">
        <f t="shared" ca="1" si="6"/>
        <v>0</v>
      </c>
      <c r="V17" s="55">
        <f t="shared" ca="1" si="65"/>
        <v>0</v>
      </c>
      <c r="W17" s="55">
        <f t="shared" ca="1" si="7"/>
        <v>0</v>
      </c>
      <c r="X17" s="55">
        <f ca="1">IFERROR(__xludf.DUMMYFUNCTION("IMPORTRANGE(""https://docs.google.com/spreadsheets/d/11923uPwbBZFjjGgGUA6NLw09EwE0CqkOc4q9oUmW1yo/edit?usp=sharing"",""เชียงราย!J370"")"),0)</f>
        <v>0</v>
      </c>
      <c r="Y17" s="55">
        <f ca="1">IFERROR(__xludf.DUMMYFUNCTION("IMPORTRANGE(""https://docs.google.com/spreadsheets/d/11923uPwbBZFjjGgGUA6NLw09EwE0CqkOc4q9oUmW1yo/edit?usp=sharing"",""เชียงราย!J371"")"),0)</f>
        <v>0</v>
      </c>
      <c r="Z17" s="55">
        <f ca="1">IFERROR(__xludf.DUMMYFUNCTION("IMPORTRANGE(""https://docs.google.com/spreadsheets/d/11923uPwbBZFjjGgGUA6NLw09EwE0CqkOc4q9oUmW1yo/edit?usp=sharing"",""เชียงราย!J372"")"),0)</f>
        <v>0</v>
      </c>
      <c r="AA17" s="55">
        <f ca="1">IFERROR(__xludf.DUMMYFUNCTION("IMPORTRANGE(""https://docs.google.com/spreadsheets/d/11923uPwbBZFjjGgGUA6NLw09EwE0CqkOc4q9oUmW1yo/edit?usp=sharing"",""เชียงราย!J373"")"),0)</f>
        <v>0</v>
      </c>
      <c r="AB17" s="55">
        <f ca="1">IFERROR(__xludf.DUMMYFUNCTION("IMPORTRANGE(""https://docs.google.com/spreadsheets/d/11923uPwbBZFjjGgGUA6NLw09EwE0CqkOc4q9oUmW1yo/edit?usp=sharing"",""เชียงราย!J374"")"),0)</f>
        <v>0</v>
      </c>
      <c r="AC17" s="55">
        <f ca="1">IFERROR(__xludf.DUMMYFUNCTION("IMPORTRANGE(""https://docs.google.com/spreadsheets/d/11923uPwbBZFjjGgGUA6NLw09EwE0CqkOc4q9oUmW1yo/edit?usp=sharing"",""เชียงราย!J375"")"),0)</f>
        <v>0</v>
      </c>
      <c r="AD17" s="55">
        <f t="shared" ca="1" si="66"/>
        <v>0</v>
      </c>
      <c r="AE17" s="99">
        <f t="shared" ca="1" si="9"/>
        <v>0</v>
      </c>
      <c r="AF17" s="55">
        <f t="shared" ca="1" si="67"/>
        <v>0</v>
      </c>
      <c r="AG17" s="99">
        <f t="shared" ca="1" si="10"/>
        <v>0</v>
      </c>
      <c r="AH17" s="55">
        <f ca="1">IFERROR(__xludf.DUMMYFUNCTION("IMPORTRANGE(""https://docs.google.com/spreadsheets/d/11923uPwbBZFjjGgGUA6NLw09EwE0CqkOc4q9oUmW1yo/edit?usp=sharing"",""เชียงราย!J378"")"),0)</f>
        <v>0</v>
      </c>
      <c r="AI17" s="55">
        <f ca="1">IFERROR(__xludf.DUMMYFUNCTION("IMPORTRANGE(""https://docs.google.com/spreadsheets/d/11923uPwbBZFjjGgGUA6NLw09EwE0CqkOc4q9oUmW1yo/edit?usp=sharing"",""เชียงราย!J379"")"),0)</f>
        <v>0</v>
      </c>
      <c r="AJ17" s="55">
        <f ca="1">IFERROR(__xludf.DUMMYFUNCTION("IMPORTRANGE(""https://docs.google.com/spreadsheets/d/11923uPwbBZFjjGgGUA6NLw09EwE0CqkOc4q9oUmW1yo/edit?usp=sharing"",""เชียงราย!J380"")"),0)</f>
        <v>0</v>
      </c>
      <c r="AK17" s="55">
        <f ca="1">IFERROR(__xludf.DUMMYFUNCTION("IMPORTRANGE(""https://docs.google.com/spreadsheets/d/11923uPwbBZFjjGgGUA6NLw09EwE0CqkOc4q9oUmW1yo/edit?usp=sharing"",""เชียงราย!J381"")"),0)</f>
        <v>0</v>
      </c>
      <c r="AL17" s="55">
        <f ca="1">IFERROR(__xludf.DUMMYFUNCTION("IMPORTRANGE(""https://docs.google.com/spreadsheets/d/11923uPwbBZFjjGgGUA6NLw09EwE0CqkOc4q9oUmW1yo/edit?usp=sharing"",""เชียงราย!J384"")"),0)</f>
        <v>0</v>
      </c>
      <c r="AM17" s="55">
        <f ca="1">IFERROR(__xludf.DUMMYFUNCTION("IMPORTRANGE(""https://docs.google.com/spreadsheets/d/11923uPwbBZFjjGgGUA6NLw09EwE0CqkOc4q9oUmW1yo/edit?usp=sharing"",""เชียงราย!J385"")"),0)</f>
        <v>0</v>
      </c>
      <c r="AN17" s="55">
        <f ca="1">IFERROR(__xludf.DUMMYFUNCTION("IMPORTRANGE(""https://docs.google.com/spreadsheets/d/11923uPwbBZFjjGgGUA6NLw09EwE0CqkOc4q9oUmW1yo/edit?usp=sharing"",""เชียงราย!J386"")"),0)</f>
        <v>0</v>
      </c>
      <c r="AO17" s="55">
        <f ca="1">IFERROR(__xludf.DUMMYFUNCTION("IMPORTRANGE(""https://docs.google.com/spreadsheets/d/11923uPwbBZFjjGgGUA6NLw09EwE0CqkOc4q9oUmW1yo/edit?usp=sharing"",""เชียงราย!J387"")"),0)</f>
        <v>0</v>
      </c>
      <c r="AP17" s="55">
        <f ca="1">IFERROR(__xludf.DUMMYFUNCTION("IMPORTRANGE(""https://docs.google.com/spreadsheets/d/11923uPwbBZFjjGgGUA6NLw09EwE0CqkOc4q9oUmW1yo/edit?usp=sharing"",""เชียงราย!J388"")"),0)</f>
        <v>0</v>
      </c>
      <c r="AQ17" s="55">
        <f ca="1">IFERROR(__xludf.DUMMYFUNCTION("IMPORTRANGE(""https://docs.google.com/spreadsheets/d/11923uPwbBZFjjGgGUA6NLw09EwE0CqkOc4q9oUmW1yo/edit?usp=sharing"",""เชียงราย!J389"")"),0)</f>
        <v>0</v>
      </c>
      <c r="AR17" s="402">
        <v>6</v>
      </c>
      <c r="AS17" s="402">
        <v>31</v>
      </c>
      <c r="AT17" s="402">
        <f t="shared" ca="1" si="68"/>
        <v>0</v>
      </c>
      <c r="AU17" s="402">
        <f t="shared" ca="1" si="12"/>
        <v>0</v>
      </c>
      <c r="AV17" s="402">
        <f t="shared" ca="1" si="69"/>
        <v>0</v>
      </c>
      <c r="AW17" s="402">
        <f t="shared" ca="1" si="13"/>
        <v>0</v>
      </c>
      <c r="AX17" s="55">
        <f ca="1">IFERROR(__xludf.DUMMYFUNCTION("IMPORTRANGE(""https://docs.google.com/spreadsheets/d/11923uPwbBZFjjGgGUA6NLw09EwE0CqkOc4q9oUmW1yo/edit?usp=sharing"",""เชียงราย!J395"")"),0)</f>
        <v>0</v>
      </c>
      <c r="AY17" s="55">
        <f ca="1">IFERROR(__xludf.DUMMYFUNCTION("IMPORTRANGE(""https://docs.google.com/spreadsheets/d/11923uPwbBZFjjGgGUA6NLw09EwE0CqkOc4q9oUmW1yo/edit?usp=sharing"",""เชียงราย!J396"")"),0)</f>
        <v>0</v>
      </c>
      <c r="AZ17" s="55">
        <f ca="1">IFERROR(__xludf.DUMMYFUNCTION("IMPORTRANGE(""https://docs.google.com/spreadsheets/d/11923uPwbBZFjjGgGUA6NLw09EwE0CqkOc4q9oUmW1yo/edit?usp=sharing"",""เชียงราย!J397"")"),0)</f>
        <v>0</v>
      </c>
      <c r="BA17" s="55">
        <f ca="1">IFERROR(__xludf.DUMMYFUNCTION("IMPORTRANGE(""https://docs.google.com/spreadsheets/d/11923uPwbBZFjjGgGUA6NLw09EwE0CqkOc4q9oUmW1yo/edit?usp=sharing"",""เชียงราย!J398"")"),0)</f>
        <v>0</v>
      </c>
      <c r="BB17" s="55">
        <f ca="1">IFERROR(__xludf.DUMMYFUNCTION("IMPORTRANGE(""https://docs.google.com/spreadsheets/d/11923uPwbBZFjjGgGUA6NLw09EwE0CqkOc4q9oUmW1yo/edit?usp=sharing"",""เชียงราย!J399"")"),0)</f>
        <v>0</v>
      </c>
      <c r="BC17" s="55">
        <f ca="1">IFERROR(__xludf.DUMMYFUNCTION("IMPORTRANGE(""https://docs.google.com/spreadsheets/d/11923uPwbBZFjjGgGUA6NLw09EwE0CqkOc4q9oUmW1yo/edit?usp=sharing"",""เชียงราย!J400"")"),0)</f>
        <v>0</v>
      </c>
      <c r="BD17" s="55">
        <f ca="1">IFERROR(__xludf.DUMMYFUNCTION("IMPORTRANGE(""https://docs.google.com/spreadsheets/d/11923uPwbBZFjjGgGUA6NLw09EwE0CqkOc4q9oUmW1yo/edit?usp=sharing"",""เชียงราย!J403"")"),0)</f>
        <v>0</v>
      </c>
      <c r="BE17" s="55">
        <f ca="1">IFERROR(__xludf.DUMMYFUNCTION("IMPORTRANGE(""https://docs.google.com/spreadsheets/d/11923uPwbBZFjjGgGUA6NLw09EwE0CqkOc4q9oUmW1yo/edit?usp=sharing"",""เชียงราย!J404"")"),0)</f>
        <v>0</v>
      </c>
      <c r="BF17" s="55">
        <f ca="1">IFERROR(__xludf.DUMMYFUNCTION("IMPORTRANGE(""https://docs.google.com/spreadsheets/d/11923uPwbBZFjjGgGUA6NLw09EwE0CqkOc4q9oUmW1yo/edit?usp=sharing"",""เชียงราย!J405"")"),0)</f>
        <v>0</v>
      </c>
      <c r="BG17" s="55">
        <f ca="1">IFERROR(__xludf.DUMMYFUNCTION("IMPORTRANGE(""https://docs.google.com/spreadsheets/d/11923uPwbBZFjjGgGUA6NLw09EwE0CqkOc4q9oUmW1yo/edit?usp=sharing"",""เชียงราย!J406"")"),0)</f>
        <v>0</v>
      </c>
      <c r="BH17" s="55">
        <f ca="1">IFERROR(__xludf.DUMMYFUNCTION("IMPORTRANGE(""https://docs.google.com/spreadsheets/d/11923uPwbBZFjjGgGUA6NLw09EwE0CqkOc4q9oUmW1yo/edit?usp=sharing"",""เชียงราย!J407"")"),0)</f>
        <v>0</v>
      </c>
      <c r="BI17" s="55">
        <f ca="1">IFERROR(__xludf.DUMMYFUNCTION("IMPORTRANGE(""https://docs.google.com/spreadsheets/d/11923uPwbBZFjjGgGUA6NLw09EwE0CqkOc4q9oUmW1yo/edit?usp=sharing"",""เชียงราย!J408"")"),0)</f>
        <v>0</v>
      </c>
      <c r="BJ17" s="402">
        <v>44814</v>
      </c>
      <c r="BK17" s="402">
        <v>9843</v>
      </c>
      <c r="BL17" s="402">
        <f t="shared" ca="1" si="70"/>
        <v>0</v>
      </c>
      <c r="BM17" s="403">
        <f t="shared" ca="1" si="15"/>
        <v>0</v>
      </c>
      <c r="BN17" s="402">
        <f t="shared" ca="1" si="71"/>
        <v>0</v>
      </c>
      <c r="BO17" s="403">
        <f t="shared" ca="1" si="16"/>
        <v>0</v>
      </c>
      <c r="BP17" s="55">
        <f ca="1">IFERROR(__xludf.DUMMYFUNCTION("IMPORTRANGE(""https://docs.google.com/spreadsheets/d/11923uPwbBZFjjGgGUA6NLw09EwE0CqkOc4q9oUmW1yo/edit?usp=sharing"",""เชียงราย!J412"")"),0)</f>
        <v>0</v>
      </c>
      <c r="BQ17" s="55">
        <f ca="1">IFERROR(__xludf.DUMMYFUNCTION("IMPORTRANGE(""https://docs.google.com/spreadsheets/d/11923uPwbBZFjjGgGUA6NLw09EwE0CqkOc4q9oUmW1yo/edit?usp=sharing"",""เชียงราย!J413"")"),0)</f>
        <v>0</v>
      </c>
      <c r="BR17" s="55">
        <f ca="1">IFERROR(__xludf.DUMMYFUNCTION("IMPORTRANGE(""https://docs.google.com/spreadsheets/d/11923uPwbBZFjjGgGUA6NLw09EwE0CqkOc4q9oUmW1yo/edit?usp=sharing"",""เชียงราย!J414"")"),0)</f>
        <v>0</v>
      </c>
      <c r="BS17" s="55">
        <f ca="1">IFERROR(__xludf.DUMMYFUNCTION("IMPORTRANGE(""https://docs.google.com/spreadsheets/d/11923uPwbBZFjjGgGUA6NLw09EwE0CqkOc4q9oUmW1yo/edit?usp=sharing"",""เชียงราย!J415"")"),0)</f>
        <v>0</v>
      </c>
      <c r="BT17" s="55">
        <f ca="1">IFERROR(__xludf.DUMMYFUNCTION("IMPORTRANGE(""https://docs.google.com/spreadsheets/d/11923uPwbBZFjjGgGUA6NLw09EwE0CqkOc4q9oUmW1yo/edit?usp=sharing"",""เชียงราย!J416"")"),0)</f>
        <v>0</v>
      </c>
      <c r="BU17" s="55">
        <f ca="1">IFERROR(__xludf.DUMMYFUNCTION("IMPORTRANGE(""https://docs.google.com/spreadsheets/d/11923uPwbBZFjjGgGUA6NLw09EwE0CqkOc4q9oUmW1yo/edit?usp=sharing"",""เชียงราย!J417"")"),0)</f>
        <v>0</v>
      </c>
      <c r="BV17" s="402">
        <f t="shared" ca="1" si="72"/>
        <v>0</v>
      </c>
      <c r="BW17" s="403">
        <f t="shared" ca="1" si="18"/>
        <v>0</v>
      </c>
      <c r="BX17" s="402">
        <f t="shared" ca="1" si="73"/>
        <v>0</v>
      </c>
      <c r="BY17" s="403">
        <f t="shared" ca="1" si="19"/>
        <v>0</v>
      </c>
      <c r="BZ17" s="55">
        <f ca="1">IFERROR(__xludf.DUMMYFUNCTION("IMPORTRANGE(""https://docs.google.com/spreadsheets/d/11923uPwbBZFjjGgGUA6NLw09EwE0CqkOc4q9oUmW1yo/edit?usp=sharing"",""เชียงราย!J420"")"),0)</f>
        <v>0</v>
      </c>
      <c r="CA17" s="55">
        <f ca="1">IFERROR(__xludf.DUMMYFUNCTION("IMPORTRANGE(""https://docs.google.com/spreadsheets/d/11923uPwbBZFjjGgGUA6NLw09EwE0CqkOc4q9oUmW1yo/edit?usp=sharing"",""เชียงราย!J421"")"),0)</f>
        <v>0</v>
      </c>
      <c r="CB17" s="55">
        <f ca="1">IFERROR(__xludf.DUMMYFUNCTION("IMPORTRANGE(""https://docs.google.com/spreadsheets/d/11923uPwbBZFjjGgGUA6NLw09EwE0CqkOc4q9oUmW1yo/edit?usp=sharing"",""เชียงราย!J422"")"),0)</f>
        <v>0</v>
      </c>
      <c r="CC17" s="55">
        <f ca="1">IFERROR(__xludf.DUMMYFUNCTION("IMPORTRANGE(""https://docs.google.com/spreadsheets/d/11923uPwbBZFjjGgGUA6NLw09EwE0CqkOc4q9oUmW1yo/edit?usp=sharing"",""เชียงราย!J423"")"),0)</f>
        <v>0</v>
      </c>
      <c r="CD17" s="55">
        <f ca="1">IFERROR(__xludf.DUMMYFUNCTION("IMPORTRANGE(""https://docs.google.com/spreadsheets/d/11923uPwbBZFjjGgGUA6NLw09EwE0CqkOc4q9oUmW1yo/edit?usp=sharing"",""เชียงราย!J424"")"),0)</f>
        <v>0</v>
      </c>
      <c r="CE17" s="422">
        <f ca="1">IFERROR(__xludf.DUMMYFUNCTION("IMPORTRANGE(""https://docs.google.com/spreadsheets/d/11923uPwbBZFjjGgGUA6NLw09EwE0CqkOc4q9oUmW1yo/edit?usp=sharing"",""เชียงราย!J425"")"),0)</f>
        <v>0</v>
      </c>
    </row>
    <row r="18" spans="1:83" ht="24" customHeight="1" x14ac:dyDescent="0.5">
      <c r="A18" s="273">
        <v>3</v>
      </c>
      <c r="B18" s="274" t="s">
        <v>33</v>
      </c>
      <c r="C18" s="400">
        <f t="shared" si="61"/>
        <v>536539.44999999995</v>
      </c>
      <c r="D18" s="55">
        <v>0</v>
      </c>
      <c r="E18" s="401">
        <v>536539.44999999995</v>
      </c>
      <c r="F18" s="99">
        <f ca="1">IFERROR(__xludf.DUMMYFUNCTION("IMPORTRANGE(""https://docs.google.com/spreadsheets/d/11923uPwbBZFjjGgGUA6NLw09EwE0CqkOc4q9oUmW1yo/edit?usp=sharing"",""เชียงใหม่!M352"")"),28025.58)</f>
        <v>28025.58</v>
      </c>
      <c r="G18" s="99">
        <f t="shared" ca="1" si="1"/>
        <v>5.2233959683672841</v>
      </c>
      <c r="H18" s="57">
        <v>18110</v>
      </c>
      <c r="I18" s="57">
        <v>4394</v>
      </c>
      <c r="J18" s="55">
        <f t="shared" ca="1" si="62"/>
        <v>0</v>
      </c>
      <c r="K18" s="99">
        <f t="shared" ca="1" si="3"/>
        <v>0</v>
      </c>
      <c r="L18" s="55">
        <f t="shared" ca="1" si="63"/>
        <v>0</v>
      </c>
      <c r="M18" s="99">
        <f t="shared" ca="1" si="4"/>
        <v>0</v>
      </c>
      <c r="N18" s="55">
        <f ca="1">IFERROR(__xludf.DUMMYFUNCTION("IMPORTRANGE(""https://docs.google.com/spreadsheets/d/11923uPwbBZFjjGgGUA6NLw09EwE0CqkOc4q9oUmW1yo/edit?usp=sharing"",""เชียงใหม่!J362"")"),0)</f>
        <v>0</v>
      </c>
      <c r="O18" s="55">
        <f ca="1">IFERROR(__xludf.DUMMYFUNCTION("IMPORTRANGE(""https://docs.google.com/spreadsheets/d/11923uPwbBZFjjGgGUA6NLw09EwE0CqkOc4q9oUmW1yo/edit?usp=sharing"",""เชียงใหม่!J363"")"),0)</f>
        <v>0</v>
      </c>
      <c r="P18" s="55">
        <f ca="1">IFERROR(__xludf.DUMMYFUNCTION("IMPORTRANGE(""https://docs.google.com/spreadsheets/d/11923uPwbBZFjjGgGUA6NLw09EwE0CqkOc4q9oUmW1yo/edit?usp=sharing"",""เชียงใหม่!J364"")"),0)</f>
        <v>0</v>
      </c>
      <c r="Q18" s="55">
        <f ca="1">IFERROR(__xludf.DUMMYFUNCTION("IMPORTRANGE(""https://docs.google.com/spreadsheets/d/11923uPwbBZFjjGgGUA6NLw09EwE0CqkOc4q9oUmW1yo/edit?usp=sharing"",""เชียงใหม่!J365"")"),0)</f>
        <v>0</v>
      </c>
      <c r="R18" s="55">
        <f ca="1">IFERROR(__xludf.DUMMYFUNCTION("IMPORTRANGE(""https://docs.google.com/spreadsheets/d/11923uPwbBZFjjGgGUA6NLw09EwE0CqkOc4q9oUmW1yo/edit?usp=sharing"",""เชียงใหม่!J366"")"),0)</f>
        <v>0</v>
      </c>
      <c r="S18" s="55">
        <f ca="1">IFERROR(__xludf.DUMMYFUNCTION("IMPORTRANGE(""https://docs.google.com/spreadsheets/d/11923uPwbBZFjjGgGUA6NLw09EwE0CqkOc4q9oUmW1yo/edit?usp=sharing"",""เชียงใหม่!J367"")"),0)</f>
        <v>0</v>
      </c>
      <c r="T18" s="55">
        <f t="shared" ca="1" si="64"/>
        <v>0</v>
      </c>
      <c r="U18" s="55">
        <f t="shared" ca="1" si="6"/>
        <v>0</v>
      </c>
      <c r="V18" s="55">
        <f t="shared" ca="1" si="65"/>
        <v>0</v>
      </c>
      <c r="W18" s="55">
        <f t="shared" ca="1" si="7"/>
        <v>0</v>
      </c>
      <c r="X18" s="55">
        <f ca="1">IFERROR(__xludf.DUMMYFUNCTION("IMPORTRANGE(""https://docs.google.com/spreadsheets/d/11923uPwbBZFjjGgGUA6NLw09EwE0CqkOc4q9oUmW1yo/edit?usp=sharing"",""เชียงใหม่!J370"")"),0)</f>
        <v>0</v>
      </c>
      <c r="Y18" s="55">
        <f ca="1">IFERROR(__xludf.DUMMYFUNCTION("IMPORTRANGE(""https://docs.google.com/spreadsheets/d/11923uPwbBZFjjGgGUA6NLw09EwE0CqkOc4q9oUmW1yo/edit?usp=sharing"",""เชียงใหม่!J371"")"),0)</f>
        <v>0</v>
      </c>
      <c r="Z18" s="55">
        <f ca="1">IFERROR(__xludf.DUMMYFUNCTION("IMPORTRANGE(""https://docs.google.com/spreadsheets/d/11923uPwbBZFjjGgGUA6NLw09EwE0CqkOc4q9oUmW1yo/edit?usp=sharing"",""เชียงใหม่!J372"")"),0)</f>
        <v>0</v>
      </c>
      <c r="AA18" s="55">
        <f ca="1">IFERROR(__xludf.DUMMYFUNCTION("IMPORTRANGE(""https://docs.google.com/spreadsheets/d/11923uPwbBZFjjGgGUA6NLw09EwE0CqkOc4q9oUmW1yo/edit?usp=sharing"",""เชียงใหม่!J373"")"),0)</f>
        <v>0</v>
      </c>
      <c r="AB18" s="55">
        <f ca="1">IFERROR(__xludf.DUMMYFUNCTION("IMPORTRANGE(""https://docs.google.com/spreadsheets/d/11923uPwbBZFjjGgGUA6NLw09EwE0CqkOc4q9oUmW1yo/edit?usp=sharing"",""เชียงใหม่!J374"")"),0)</f>
        <v>0</v>
      </c>
      <c r="AC18" s="55">
        <f ca="1">IFERROR(__xludf.DUMMYFUNCTION("IMPORTRANGE(""https://docs.google.com/spreadsheets/d/11923uPwbBZFjjGgGUA6NLw09EwE0CqkOc4q9oUmW1yo/edit?usp=sharing"",""เชียงใหม่!J375"")"),0)</f>
        <v>0</v>
      </c>
      <c r="AD18" s="55">
        <f t="shared" ca="1" si="66"/>
        <v>0</v>
      </c>
      <c r="AE18" s="99">
        <f t="shared" ca="1" si="9"/>
        <v>0</v>
      </c>
      <c r="AF18" s="55">
        <f t="shared" ca="1" si="67"/>
        <v>0</v>
      </c>
      <c r="AG18" s="99">
        <f t="shared" ca="1" si="10"/>
        <v>0</v>
      </c>
      <c r="AH18" s="55">
        <f ca="1">IFERROR(__xludf.DUMMYFUNCTION("IMPORTRANGE(""https://docs.google.com/spreadsheets/d/11923uPwbBZFjjGgGUA6NLw09EwE0CqkOc4q9oUmW1yo/edit?usp=sharing"",""เชียงใหม่!J378"")"),0)</f>
        <v>0</v>
      </c>
      <c r="AI18" s="55">
        <f ca="1">IFERROR(__xludf.DUMMYFUNCTION("IMPORTRANGE(""https://docs.google.com/spreadsheets/d/11923uPwbBZFjjGgGUA6NLw09EwE0CqkOc4q9oUmW1yo/edit?usp=sharing"",""เชียงใหม่!J379"")"),0)</f>
        <v>0</v>
      </c>
      <c r="AJ18" s="55">
        <f ca="1">IFERROR(__xludf.DUMMYFUNCTION("IMPORTRANGE(""https://docs.google.com/spreadsheets/d/11923uPwbBZFjjGgGUA6NLw09EwE0CqkOc4q9oUmW1yo/edit?usp=sharing"",""เชียงใหม่!J380"")"),0)</f>
        <v>0</v>
      </c>
      <c r="AK18" s="55">
        <f ca="1">IFERROR(__xludf.DUMMYFUNCTION("IMPORTRANGE(""https://docs.google.com/spreadsheets/d/11923uPwbBZFjjGgGUA6NLw09EwE0CqkOc4q9oUmW1yo/edit?usp=sharing"",""เชียงใหม่!J381"")"),0)</f>
        <v>0</v>
      </c>
      <c r="AL18" s="55">
        <f ca="1">IFERROR(__xludf.DUMMYFUNCTION("IMPORTRANGE(""https://docs.google.com/spreadsheets/d/11923uPwbBZFjjGgGUA6NLw09EwE0CqkOc4q9oUmW1yo/edit?usp=sharing"",""เชียงใหม่!J384"")"),0)</f>
        <v>0</v>
      </c>
      <c r="AM18" s="55">
        <f ca="1">IFERROR(__xludf.DUMMYFUNCTION("IMPORTRANGE(""https://docs.google.com/spreadsheets/d/11923uPwbBZFjjGgGUA6NLw09EwE0CqkOc4q9oUmW1yo/edit?usp=sharing"",""เชียงใหม่!J385"")"),0)</f>
        <v>0</v>
      </c>
      <c r="AN18" s="55">
        <f ca="1">IFERROR(__xludf.DUMMYFUNCTION("IMPORTRANGE(""https://docs.google.com/spreadsheets/d/11923uPwbBZFjjGgGUA6NLw09EwE0CqkOc4q9oUmW1yo/edit?usp=sharing"",""เชียงใหม่!J386"")"),0)</f>
        <v>0</v>
      </c>
      <c r="AO18" s="55">
        <f ca="1">IFERROR(__xludf.DUMMYFUNCTION("IMPORTRANGE(""https://docs.google.com/spreadsheets/d/11923uPwbBZFjjGgGUA6NLw09EwE0CqkOc4q9oUmW1yo/edit?usp=sharing"",""เชียงใหม่!J387"")"),0)</f>
        <v>0</v>
      </c>
      <c r="AP18" s="55">
        <f ca="1">IFERROR(__xludf.DUMMYFUNCTION("IMPORTRANGE(""https://docs.google.com/spreadsheets/d/11923uPwbBZFjjGgGUA6NLw09EwE0CqkOc4q9oUmW1yo/edit?usp=sharing"",""เชียงใหม่!J388"")"),0)</f>
        <v>0</v>
      </c>
      <c r="AQ18" s="55">
        <f ca="1">IFERROR(__xludf.DUMMYFUNCTION("IMPORTRANGE(""https://docs.google.com/spreadsheets/d/11923uPwbBZFjjGgGUA6NLw09EwE0CqkOc4q9oUmW1yo/edit?usp=sharing"",""เชียงใหม่!J389"")"),0)</f>
        <v>0</v>
      </c>
      <c r="AR18" s="402">
        <v>697</v>
      </c>
      <c r="AS18" s="402">
        <v>5581</v>
      </c>
      <c r="AT18" s="402">
        <f t="shared" ca="1" si="68"/>
        <v>0</v>
      </c>
      <c r="AU18" s="402">
        <f t="shared" ca="1" si="12"/>
        <v>0</v>
      </c>
      <c r="AV18" s="402">
        <f t="shared" ca="1" si="69"/>
        <v>0</v>
      </c>
      <c r="AW18" s="402">
        <f t="shared" ca="1" si="13"/>
        <v>0</v>
      </c>
      <c r="AX18" s="55">
        <f ca="1">IFERROR(__xludf.DUMMYFUNCTION("IMPORTRANGE(""https://docs.google.com/spreadsheets/d/11923uPwbBZFjjGgGUA6NLw09EwE0CqkOc4q9oUmW1yo/edit?usp=sharing"",""เชียงใหม่!J395"")"),0)</f>
        <v>0</v>
      </c>
      <c r="AY18" s="55">
        <f ca="1">IFERROR(__xludf.DUMMYFUNCTION("IMPORTRANGE(""https://docs.google.com/spreadsheets/d/11923uPwbBZFjjGgGUA6NLw09EwE0CqkOc4q9oUmW1yo/edit?usp=sharing"",""เชียงใหม่!J396"")"),0)</f>
        <v>0</v>
      </c>
      <c r="AZ18" s="55">
        <f ca="1">IFERROR(__xludf.DUMMYFUNCTION("IMPORTRANGE(""https://docs.google.com/spreadsheets/d/11923uPwbBZFjjGgGUA6NLw09EwE0CqkOc4q9oUmW1yo/edit?usp=sharing"",""เชียงใหม่!J397"")"),0)</f>
        <v>0</v>
      </c>
      <c r="BA18" s="55">
        <f ca="1">IFERROR(__xludf.DUMMYFUNCTION("IMPORTRANGE(""https://docs.google.com/spreadsheets/d/11923uPwbBZFjjGgGUA6NLw09EwE0CqkOc4q9oUmW1yo/edit?usp=sharing"",""เชียงใหม่!J398"")"),0)</f>
        <v>0</v>
      </c>
      <c r="BB18" s="55">
        <f ca="1">IFERROR(__xludf.DUMMYFUNCTION("IMPORTRANGE(""https://docs.google.com/spreadsheets/d/11923uPwbBZFjjGgGUA6NLw09EwE0CqkOc4q9oUmW1yo/edit?usp=sharing"",""เชียงใหม่!J399"")"),0)</f>
        <v>0</v>
      </c>
      <c r="BC18" s="55">
        <f ca="1">IFERROR(__xludf.DUMMYFUNCTION("IMPORTRANGE(""https://docs.google.com/spreadsheets/d/11923uPwbBZFjjGgGUA6NLw09EwE0CqkOc4q9oUmW1yo/edit?usp=sharing"",""เชียงใหม่!J400"")"),0)</f>
        <v>0</v>
      </c>
      <c r="BD18" s="55">
        <f ca="1">IFERROR(__xludf.DUMMYFUNCTION("IMPORTRANGE(""https://docs.google.com/spreadsheets/d/11923uPwbBZFjjGgGUA6NLw09EwE0CqkOc4q9oUmW1yo/edit?usp=sharing"",""เชียงใหม่!J403"")"),0)</f>
        <v>0</v>
      </c>
      <c r="BE18" s="55">
        <f ca="1">IFERROR(__xludf.DUMMYFUNCTION("IMPORTRANGE(""https://docs.google.com/spreadsheets/d/11923uPwbBZFjjGgGUA6NLw09EwE0CqkOc4q9oUmW1yo/edit?usp=sharing"",""เชียงใหม่!J404"")"),0)</f>
        <v>0</v>
      </c>
      <c r="BF18" s="55">
        <f ca="1">IFERROR(__xludf.DUMMYFUNCTION("IMPORTRANGE(""https://docs.google.com/spreadsheets/d/11923uPwbBZFjjGgGUA6NLw09EwE0CqkOc4q9oUmW1yo/edit?usp=sharing"",""เชียงใหม่!J405"")"),0)</f>
        <v>0</v>
      </c>
      <c r="BG18" s="55">
        <f ca="1">IFERROR(__xludf.DUMMYFUNCTION("IMPORTRANGE(""https://docs.google.com/spreadsheets/d/11923uPwbBZFjjGgGUA6NLw09EwE0CqkOc4q9oUmW1yo/edit?usp=sharing"",""เชียงใหม่!J406"")"),0)</f>
        <v>0</v>
      </c>
      <c r="BH18" s="55">
        <f ca="1">IFERROR(__xludf.DUMMYFUNCTION("IMPORTRANGE(""https://docs.google.com/spreadsheets/d/11923uPwbBZFjjGgGUA6NLw09EwE0CqkOc4q9oUmW1yo/edit?usp=sharing"",""เชียงใหม่!J407"")"),0)</f>
        <v>0</v>
      </c>
      <c r="BI18" s="55">
        <f ca="1">IFERROR(__xludf.DUMMYFUNCTION("IMPORTRANGE(""https://docs.google.com/spreadsheets/d/11923uPwbBZFjjGgGUA6NLw09EwE0CqkOc4q9oUmW1yo/edit?usp=sharing"",""เชียงใหม่!J408"")"),0)</f>
        <v>0</v>
      </c>
      <c r="BJ18" s="402">
        <v>18110</v>
      </c>
      <c r="BK18" s="402">
        <v>4394</v>
      </c>
      <c r="BL18" s="402">
        <f t="shared" ca="1" si="70"/>
        <v>0</v>
      </c>
      <c r="BM18" s="403">
        <f t="shared" ca="1" si="15"/>
        <v>0</v>
      </c>
      <c r="BN18" s="402">
        <f t="shared" ca="1" si="71"/>
        <v>0</v>
      </c>
      <c r="BO18" s="403">
        <f t="shared" ca="1" si="16"/>
        <v>0</v>
      </c>
      <c r="BP18" s="55">
        <f ca="1">IFERROR(__xludf.DUMMYFUNCTION("IMPORTRANGE(""https://docs.google.com/spreadsheets/d/11923uPwbBZFjjGgGUA6NLw09EwE0CqkOc4q9oUmW1yo/edit?usp=sharing"",""เชียงใหม่!J412"")"),0)</f>
        <v>0</v>
      </c>
      <c r="BQ18" s="55">
        <f ca="1">IFERROR(__xludf.DUMMYFUNCTION("IMPORTRANGE(""https://docs.google.com/spreadsheets/d/11923uPwbBZFjjGgGUA6NLw09EwE0CqkOc4q9oUmW1yo/edit?usp=sharing"",""เชียงใหม่!J413"")"),0)</f>
        <v>0</v>
      </c>
      <c r="BR18" s="55">
        <f ca="1">IFERROR(__xludf.DUMMYFUNCTION("IMPORTRANGE(""https://docs.google.com/spreadsheets/d/11923uPwbBZFjjGgGUA6NLw09EwE0CqkOc4q9oUmW1yo/edit?usp=sharing"",""เชียงใหม่!J414"")"),0)</f>
        <v>0</v>
      </c>
      <c r="BS18" s="55">
        <f ca="1">IFERROR(__xludf.DUMMYFUNCTION("IMPORTRANGE(""https://docs.google.com/spreadsheets/d/11923uPwbBZFjjGgGUA6NLw09EwE0CqkOc4q9oUmW1yo/edit?usp=sharing"",""เชียงใหม่!J415"")"),0)</f>
        <v>0</v>
      </c>
      <c r="BT18" s="55">
        <f ca="1">IFERROR(__xludf.DUMMYFUNCTION("IMPORTRANGE(""https://docs.google.com/spreadsheets/d/11923uPwbBZFjjGgGUA6NLw09EwE0CqkOc4q9oUmW1yo/edit?usp=sharing"",""เชียงใหม่!J416"")"),0)</f>
        <v>0</v>
      </c>
      <c r="BU18" s="55">
        <f ca="1">IFERROR(__xludf.DUMMYFUNCTION("IMPORTRANGE(""https://docs.google.com/spreadsheets/d/11923uPwbBZFjjGgGUA6NLw09EwE0CqkOc4q9oUmW1yo/edit?usp=sharing"",""เชียงใหม่!J417"")"),0)</f>
        <v>0</v>
      </c>
      <c r="BV18" s="402">
        <f t="shared" ca="1" si="72"/>
        <v>0</v>
      </c>
      <c r="BW18" s="403">
        <f t="shared" ca="1" si="18"/>
        <v>0</v>
      </c>
      <c r="BX18" s="402">
        <f t="shared" ca="1" si="73"/>
        <v>0</v>
      </c>
      <c r="BY18" s="403">
        <f t="shared" ca="1" si="19"/>
        <v>0</v>
      </c>
      <c r="BZ18" s="55">
        <f ca="1">IFERROR(__xludf.DUMMYFUNCTION("IMPORTRANGE(""https://docs.google.com/spreadsheets/d/11923uPwbBZFjjGgGUA6NLw09EwE0CqkOc4q9oUmW1yo/edit?usp=sharing"",""เชียงใหม่!J420"")"),0)</f>
        <v>0</v>
      </c>
      <c r="CA18" s="55">
        <f ca="1">IFERROR(__xludf.DUMMYFUNCTION("IMPORTRANGE(""https://docs.google.com/spreadsheets/d/11923uPwbBZFjjGgGUA6NLw09EwE0CqkOc4q9oUmW1yo/edit?usp=sharing"",""เชียงใหม่!J421"")"),0)</f>
        <v>0</v>
      </c>
      <c r="CB18" s="55">
        <f ca="1">IFERROR(__xludf.DUMMYFUNCTION("IMPORTRANGE(""https://docs.google.com/spreadsheets/d/11923uPwbBZFjjGgGUA6NLw09EwE0CqkOc4q9oUmW1yo/edit?usp=sharing"",""เชียงใหม่!J422"")"),0)</f>
        <v>0</v>
      </c>
      <c r="CC18" s="55">
        <f ca="1">IFERROR(__xludf.DUMMYFUNCTION("IMPORTRANGE(""https://docs.google.com/spreadsheets/d/11923uPwbBZFjjGgGUA6NLw09EwE0CqkOc4q9oUmW1yo/edit?usp=sharing"",""เชียงใหม่!J423"")"),0)</f>
        <v>0</v>
      </c>
      <c r="CD18" s="55">
        <f ca="1">IFERROR(__xludf.DUMMYFUNCTION("IMPORTRANGE(""https://docs.google.com/spreadsheets/d/11923uPwbBZFjjGgGUA6NLw09EwE0CqkOc4q9oUmW1yo/edit?usp=sharing"",""เชียงใหม่!J424"")"),0)</f>
        <v>0</v>
      </c>
      <c r="CE18" s="422">
        <f ca="1">IFERROR(__xludf.DUMMYFUNCTION("IMPORTRANGE(""https://docs.google.com/spreadsheets/d/11923uPwbBZFjjGgGUA6NLw09EwE0CqkOc4q9oUmW1yo/edit?usp=sharing"",""เชียงใหม่!J425"")"),0)</f>
        <v>0</v>
      </c>
    </row>
    <row r="19" spans="1:83" ht="24" customHeight="1" x14ac:dyDescent="0.5">
      <c r="A19" s="273">
        <v>4</v>
      </c>
      <c r="B19" s="274" t="s">
        <v>34</v>
      </c>
      <c r="C19" s="400">
        <f t="shared" si="61"/>
        <v>462177.68</v>
      </c>
      <c r="D19" s="55">
        <v>0</v>
      </c>
      <c r="E19" s="401">
        <v>462177.68</v>
      </c>
      <c r="F19" s="99">
        <f ca="1">IFERROR(__xludf.DUMMYFUNCTION("IMPORTRANGE(""https://docs.google.com/spreadsheets/d/11923uPwbBZFjjGgGUA6NLw09EwE0CqkOc4q9oUmW1yo/edit?usp=sharing"",""ตาก!M352"")"),0)</f>
        <v>0</v>
      </c>
      <c r="G19" s="99">
        <f t="shared" ca="1" si="1"/>
        <v>0</v>
      </c>
      <c r="H19" s="57">
        <v>53199</v>
      </c>
      <c r="I19" s="57">
        <v>4506</v>
      </c>
      <c r="J19" s="55">
        <f t="shared" ca="1" si="62"/>
        <v>0</v>
      </c>
      <c r="K19" s="99">
        <f t="shared" ca="1" si="3"/>
        <v>0</v>
      </c>
      <c r="L19" s="55">
        <f t="shared" ca="1" si="63"/>
        <v>0</v>
      </c>
      <c r="M19" s="99">
        <f t="shared" ca="1" si="4"/>
        <v>0</v>
      </c>
      <c r="N19" s="55">
        <f ca="1">IFERROR(__xludf.DUMMYFUNCTION("IMPORTRANGE(""https://docs.google.com/spreadsheets/d/11923uPwbBZFjjGgGUA6NLw09EwE0CqkOc4q9oUmW1yo/edit?usp=sharing"",""ตาก!J362"")"),0)</f>
        <v>0</v>
      </c>
      <c r="O19" s="55">
        <f ca="1">IFERROR(__xludf.DUMMYFUNCTION("IMPORTRANGE(""https://docs.google.com/spreadsheets/d/11923uPwbBZFjjGgGUA6NLw09EwE0CqkOc4q9oUmW1yo/edit?usp=sharing"",""ตาก!J363"")"),0)</f>
        <v>0</v>
      </c>
      <c r="P19" s="55">
        <f ca="1">IFERROR(__xludf.DUMMYFUNCTION("IMPORTRANGE(""https://docs.google.com/spreadsheets/d/11923uPwbBZFjjGgGUA6NLw09EwE0CqkOc4q9oUmW1yo/edit?usp=sharing"",""ตาก!J364"")"),0)</f>
        <v>0</v>
      </c>
      <c r="Q19" s="55">
        <f ca="1">IFERROR(__xludf.DUMMYFUNCTION("IMPORTRANGE(""https://docs.google.com/spreadsheets/d/11923uPwbBZFjjGgGUA6NLw09EwE0CqkOc4q9oUmW1yo/edit?usp=sharing"",""ตาก!J365"")"),0)</f>
        <v>0</v>
      </c>
      <c r="R19" s="55">
        <f ca="1">IFERROR(__xludf.DUMMYFUNCTION("IMPORTRANGE(""https://docs.google.com/spreadsheets/d/11923uPwbBZFjjGgGUA6NLw09EwE0CqkOc4q9oUmW1yo/edit?usp=sharing"",""ตาก!J366"")"),0)</f>
        <v>0</v>
      </c>
      <c r="S19" s="55">
        <f ca="1">IFERROR(__xludf.DUMMYFUNCTION("IMPORTRANGE(""https://docs.google.com/spreadsheets/d/11923uPwbBZFjjGgGUA6NLw09EwE0CqkOc4q9oUmW1yo/edit?usp=sharing"",""ตาก!J367"")"),0)</f>
        <v>0</v>
      </c>
      <c r="T19" s="55">
        <f t="shared" ca="1" si="64"/>
        <v>0</v>
      </c>
      <c r="U19" s="55">
        <f t="shared" ca="1" si="6"/>
        <v>0</v>
      </c>
      <c r="V19" s="55">
        <f t="shared" ca="1" si="65"/>
        <v>0</v>
      </c>
      <c r="W19" s="55">
        <f t="shared" ca="1" si="7"/>
        <v>0</v>
      </c>
      <c r="X19" s="55">
        <f ca="1">IFERROR(__xludf.DUMMYFUNCTION("IMPORTRANGE(""https://docs.google.com/spreadsheets/d/11923uPwbBZFjjGgGUA6NLw09EwE0CqkOc4q9oUmW1yo/edit?usp=sharing"",""ตาก!J370"")"),0)</f>
        <v>0</v>
      </c>
      <c r="Y19" s="55">
        <f ca="1">IFERROR(__xludf.DUMMYFUNCTION("IMPORTRANGE(""https://docs.google.com/spreadsheets/d/11923uPwbBZFjjGgGUA6NLw09EwE0CqkOc4q9oUmW1yo/edit?usp=sharing"",""ตาก!J371"")"),0)</f>
        <v>0</v>
      </c>
      <c r="Z19" s="55">
        <f ca="1">IFERROR(__xludf.DUMMYFUNCTION("IMPORTRANGE(""https://docs.google.com/spreadsheets/d/11923uPwbBZFjjGgGUA6NLw09EwE0CqkOc4q9oUmW1yo/edit?usp=sharing"",""ตาก!J372"")"),0)</f>
        <v>0</v>
      </c>
      <c r="AA19" s="55">
        <f ca="1">IFERROR(__xludf.DUMMYFUNCTION("IMPORTRANGE(""https://docs.google.com/spreadsheets/d/11923uPwbBZFjjGgGUA6NLw09EwE0CqkOc4q9oUmW1yo/edit?usp=sharing"",""ตาก!J373"")"),0)</f>
        <v>0</v>
      </c>
      <c r="AB19" s="55">
        <f ca="1">IFERROR(__xludf.DUMMYFUNCTION("IMPORTRANGE(""https://docs.google.com/spreadsheets/d/11923uPwbBZFjjGgGUA6NLw09EwE0CqkOc4q9oUmW1yo/edit?usp=sharing"",""ตาก!J374"")"),0)</f>
        <v>0</v>
      </c>
      <c r="AC19" s="55">
        <f ca="1">IFERROR(__xludf.DUMMYFUNCTION("IMPORTRANGE(""https://docs.google.com/spreadsheets/d/11923uPwbBZFjjGgGUA6NLw09EwE0CqkOc4q9oUmW1yo/edit?usp=sharing"",""ตาก!J375"")"),0)</f>
        <v>0</v>
      </c>
      <c r="AD19" s="55">
        <f t="shared" ca="1" si="66"/>
        <v>0</v>
      </c>
      <c r="AE19" s="99">
        <f t="shared" ca="1" si="9"/>
        <v>0</v>
      </c>
      <c r="AF19" s="55">
        <f t="shared" ca="1" si="67"/>
        <v>0</v>
      </c>
      <c r="AG19" s="99">
        <f t="shared" ca="1" si="10"/>
        <v>0</v>
      </c>
      <c r="AH19" s="55">
        <f ca="1">IFERROR(__xludf.DUMMYFUNCTION("IMPORTRANGE(""https://docs.google.com/spreadsheets/d/11923uPwbBZFjjGgGUA6NLw09EwE0CqkOc4q9oUmW1yo/edit?usp=sharing"",""ตาก!J378"")"),0)</f>
        <v>0</v>
      </c>
      <c r="AI19" s="55">
        <f ca="1">IFERROR(__xludf.DUMMYFUNCTION("IMPORTRANGE(""https://docs.google.com/spreadsheets/d/11923uPwbBZFjjGgGUA6NLw09EwE0CqkOc4q9oUmW1yo/edit?usp=sharing"",""ตาก!J379"")"),0)</f>
        <v>0</v>
      </c>
      <c r="AJ19" s="55">
        <f ca="1">IFERROR(__xludf.DUMMYFUNCTION("IMPORTRANGE(""https://docs.google.com/spreadsheets/d/11923uPwbBZFjjGgGUA6NLw09EwE0CqkOc4q9oUmW1yo/edit?usp=sharing"",""ตาก!J380"")"),0)</f>
        <v>0</v>
      </c>
      <c r="AK19" s="55">
        <f ca="1">IFERROR(__xludf.DUMMYFUNCTION("IMPORTRANGE(""https://docs.google.com/spreadsheets/d/11923uPwbBZFjjGgGUA6NLw09EwE0CqkOc4q9oUmW1yo/edit?usp=sharing"",""ตาก!J381"")"),0)</f>
        <v>0</v>
      </c>
      <c r="AL19" s="55">
        <f ca="1">IFERROR(__xludf.DUMMYFUNCTION("IMPORTRANGE(""https://docs.google.com/spreadsheets/d/11923uPwbBZFjjGgGUA6NLw09EwE0CqkOc4q9oUmW1yo/edit?usp=sharing"",""ตาก!J384"")"),0)</f>
        <v>0</v>
      </c>
      <c r="AM19" s="55">
        <f ca="1">IFERROR(__xludf.DUMMYFUNCTION("IMPORTRANGE(""https://docs.google.com/spreadsheets/d/11923uPwbBZFjjGgGUA6NLw09EwE0CqkOc4q9oUmW1yo/edit?usp=sharing"",""ตาก!J385"")"),0)</f>
        <v>0</v>
      </c>
      <c r="AN19" s="55">
        <f ca="1">IFERROR(__xludf.DUMMYFUNCTION("IMPORTRANGE(""https://docs.google.com/spreadsheets/d/11923uPwbBZFjjGgGUA6NLw09EwE0CqkOc4q9oUmW1yo/edit?usp=sharing"",""ตาก!J386"")"),0)</f>
        <v>0</v>
      </c>
      <c r="AO19" s="55">
        <f ca="1">IFERROR(__xludf.DUMMYFUNCTION("IMPORTRANGE(""https://docs.google.com/spreadsheets/d/11923uPwbBZFjjGgGUA6NLw09EwE0CqkOc4q9oUmW1yo/edit?usp=sharing"",""ตาก!J387"")"),0)</f>
        <v>0</v>
      </c>
      <c r="AP19" s="55">
        <f ca="1">IFERROR(__xludf.DUMMYFUNCTION("IMPORTRANGE(""https://docs.google.com/spreadsheets/d/11923uPwbBZFjjGgGUA6NLw09EwE0CqkOc4q9oUmW1yo/edit?usp=sharing"",""ตาก!J388"")"),0)</f>
        <v>0</v>
      </c>
      <c r="AQ19" s="55">
        <f ca="1">IFERROR(__xludf.DUMMYFUNCTION("IMPORTRANGE(""https://docs.google.com/spreadsheets/d/11923uPwbBZFjjGgGUA6NLw09EwE0CqkOc4q9oUmW1yo/edit?usp=sharing"",""ตาก!J389"")"),0)</f>
        <v>0</v>
      </c>
      <c r="AR19" s="402">
        <v>31</v>
      </c>
      <c r="AS19" s="402">
        <v>364</v>
      </c>
      <c r="AT19" s="402">
        <f t="shared" ca="1" si="68"/>
        <v>0</v>
      </c>
      <c r="AU19" s="402">
        <f t="shared" ca="1" si="12"/>
        <v>0</v>
      </c>
      <c r="AV19" s="402">
        <f t="shared" ca="1" si="69"/>
        <v>0</v>
      </c>
      <c r="AW19" s="402">
        <f t="shared" ca="1" si="13"/>
        <v>0</v>
      </c>
      <c r="AX19" s="55">
        <f ca="1">IFERROR(__xludf.DUMMYFUNCTION("IMPORTRANGE(""https://docs.google.com/spreadsheets/d/11923uPwbBZFjjGgGUA6NLw09EwE0CqkOc4q9oUmW1yo/edit?usp=sharing"",""ตาก!J395"")"),0)</f>
        <v>0</v>
      </c>
      <c r="AY19" s="55">
        <f ca="1">IFERROR(__xludf.DUMMYFUNCTION("IMPORTRANGE(""https://docs.google.com/spreadsheets/d/11923uPwbBZFjjGgGUA6NLw09EwE0CqkOc4q9oUmW1yo/edit?usp=sharing"",""ตาก!J396"")"),0)</f>
        <v>0</v>
      </c>
      <c r="AZ19" s="55">
        <f ca="1">IFERROR(__xludf.DUMMYFUNCTION("IMPORTRANGE(""https://docs.google.com/spreadsheets/d/11923uPwbBZFjjGgGUA6NLw09EwE0CqkOc4q9oUmW1yo/edit?usp=sharing"",""ตาก!J397"")"),0)</f>
        <v>0</v>
      </c>
      <c r="BA19" s="55">
        <f ca="1">IFERROR(__xludf.DUMMYFUNCTION("IMPORTRANGE(""https://docs.google.com/spreadsheets/d/11923uPwbBZFjjGgGUA6NLw09EwE0CqkOc4q9oUmW1yo/edit?usp=sharing"",""ตาก!J398"")"),0)</f>
        <v>0</v>
      </c>
      <c r="BB19" s="55">
        <f ca="1">IFERROR(__xludf.DUMMYFUNCTION("IMPORTRANGE(""https://docs.google.com/spreadsheets/d/11923uPwbBZFjjGgGUA6NLw09EwE0CqkOc4q9oUmW1yo/edit?usp=sharing"",""ตาก!J399"")"),0)</f>
        <v>0</v>
      </c>
      <c r="BC19" s="55">
        <f ca="1">IFERROR(__xludf.DUMMYFUNCTION("IMPORTRANGE(""https://docs.google.com/spreadsheets/d/11923uPwbBZFjjGgGUA6NLw09EwE0CqkOc4q9oUmW1yo/edit?usp=sharing"",""ตาก!J400"")"),0)</f>
        <v>0</v>
      </c>
      <c r="BD19" s="55">
        <f ca="1">IFERROR(__xludf.DUMMYFUNCTION("IMPORTRANGE(""https://docs.google.com/spreadsheets/d/11923uPwbBZFjjGgGUA6NLw09EwE0CqkOc4q9oUmW1yo/edit?usp=sharing"",""ตาก!J403"")"),0)</f>
        <v>0</v>
      </c>
      <c r="BE19" s="55">
        <f ca="1">IFERROR(__xludf.DUMMYFUNCTION("IMPORTRANGE(""https://docs.google.com/spreadsheets/d/11923uPwbBZFjjGgGUA6NLw09EwE0CqkOc4q9oUmW1yo/edit?usp=sharing"",""ตาก!J404"")"),0)</f>
        <v>0</v>
      </c>
      <c r="BF19" s="55">
        <f ca="1">IFERROR(__xludf.DUMMYFUNCTION("IMPORTRANGE(""https://docs.google.com/spreadsheets/d/11923uPwbBZFjjGgGUA6NLw09EwE0CqkOc4q9oUmW1yo/edit?usp=sharing"",""ตาก!J405"")"),0)</f>
        <v>0</v>
      </c>
      <c r="BG19" s="55">
        <f ca="1">IFERROR(__xludf.DUMMYFUNCTION("IMPORTRANGE(""https://docs.google.com/spreadsheets/d/11923uPwbBZFjjGgGUA6NLw09EwE0CqkOc4q9oUmW1yo/edit?usp=sharing"",""ตาก!J406"")"),0)</f>
        <v>0</v>
      </c>
      <c r="BH19" s="55">
        <f ca="1">IFERROR(__xludf.DUMMYFUNCTION("IMPORTRANGE(""https://docs.google.com/spreadsheets/d/11923uPwbBZFjjGgGUA6NLw09EwE0CqkOc4q9oUmW1yo/edit?usp=sharing"",""ตาก!J407"")"),0)</f>
        <v>0</v>
      </c>
      <c r="BI19" s="55">
        <f ca="1">IFERROR(__xludf.DUMMYFUNCTION("IMPORTRANGE(""https://docs.google.com/spreadsheets/d/11923uPwbBZFjjGgGUA6NLw09EwE0CqkOc4q9oUmW1yo/edit?usp=sharing"",""ตาก!J408"")"),0)</f>
        <v>0</v>
      </c>
      <c r="BJ19" s="402">
        <v>53199</v>
      </c>
      <c r="BK19" s="402">
        <v>4506</v>
      </c>
      <c r="BL19" s="402">
        <f t="shared" ca="1" si="70"/>
        <v>0</v>
      </c>
      <c r="BM19" s="403">
        <f t="shared" ca="1" si="15"/>
        <v>0</v>
      </c>
      <c r="BN19" s="402">
        <f t="shared" ca="1" si="71"/>
        <v>0</v>
      </c>
      <c r="BO19" s="403">
        <f t="shared" ca="1" si="16"/>
        <v>0</v>
      </c>
      <c r="BP19" s="55">
        <f ca="1">IFERROR(__xludf.DUMMYFUNCTION("IMPORTRANGE(""https://docs.google.com/spreadsheets/d/11923uPwbBZFjjGgGUA6NLw09EwE0CqkOc4q9oUmW1yo/edit?usp=sharing"",""ตาก!J412"")"),0)</f>
        <v>0</v>
      </c>
      <c r="BQ19" s="55">
        <f ca="1">IFERROR(__xludf.DUMMYFUNCTION("IMPORTRANGE(""https://docs.google.com/spreadsheets/d/11923uPwbBZFjjGgGUA6NLw09EwE0CqkOc4q9oUmW1yo/edit?usp=sharing"",""ตาก!J413"")"),0)</f>
        <v>0</v>
      </c>
      <c r="BR19" s="55">
        <f ca="1">IFERROR(__xludf.DUMMYFUNCTION("IMPORTRANGE(""https://docs.google.com/spreadsheets/d/11923uPwbBZFjjGgGUA6NLw09EwE0CqkOc4q9oUmW1yo/edit?usp=sharing"",""ตาก!J414"")"),0)</f>
        <v>0</v>
      </c>
      <c r="BS19" s="55">
        <f ca="1">IFERROR(__xludf.DUMMYFUNCTION("IMPORTRANGE(""https://docs.google.com/spreadsheets/d/11923uPwbBZFjjGgGUA6NLw09EwE0CqkOc4q9oUmW1yo/edit?usp=sharing"",""ตาก!J415"")"),0)</f>
        <v>0</v>
      </c>
      <c r="BT19" s="55">
        <f ca="1">IFERROR(__xludf.DUMMYFUNCTION("IMPORTRANGE(""https://docs.google.com/spreadsheets/d/11923uPwbBZFjjGgGUA6NLw09EwE0CqkOc4q9oUmW1yo/edit?usp=sharing"",""ตาก!J416"")"),0)</f>
        <v>0</v>
      </c>
      <c r="BU19" s="55">
        <f ca="1">IFERROR(__xludf.DUMMYFUNCTION("IMPORTRANGE(""https://docs.google.com/spreadsheets/d/11923uPwbBZFjjGgGUA6NLw09EwE0CqkOc4q9oUmW1yo/edit?usp=sharing"",""ตาก!J417"")"),0)</f>
        <v>0</v>
      </c>
      <c r="BV19" s="402">
        <f t="shared" ca="1" si="72"/>
        <v>0</v>
      </c>
      <c r="BW19" s="403">
        <f t="shared" ca="1" si="18"/>
        <v>0</v>
      </c>
      <c r="BX19" s="402">
        <f t="shared" ca="1" si="73"/>
        <v>0</v>
      </c>
      <c r="BY19" s="403">
        <f t="shared" ca="1" si="19"/>
        <v>0</v>
      </c>
      <c r="BZ19" s="55">
        <f ca="1">IFERROR(__xludf.DUMMYFUNCTION("IMPORTRANGE(""https://docs.google.com/spreadsheets/d/11923uPwbBZFjjGgGUA6NLw09EwE0CqkOc4q9oUmW1yo/edit?usp=sharing"",""ตาก!J420"")"),0)</f>
        <v>0</v>
      </c>
      <c r="CA19" s="55">
        <f ca="1">IFERROR(__xludf.DUMMYFUNCTION("IMPORTRANGE(""https://docs.google.com/spreadsheets/d/11923uPwbBZFjjGgGUA6NLw09EwE0CqkOc4q9oUmW1yo/edit?usp=sharing"",""ตาก!J421"")"),0)</f>
        <v>0</v>
      </c>
      <c r="CB19" s="55">
        <f ca="1">IFERROR(__xludf.DUMMYFUNCTION("IMPORTRANGE(""https://docs.google.com/spreadsheets/d/11923uPwbBZFjjGgGUA6NLw09EwE0CqkOc4q9oUmW1yo/edit?usp=sharing"",""ตาก!J422"")"),0)</f>
        <v>0</v>
      </c>
      <c r="CC19" s="55">
        <f ca="1">IFERROR(__xludf.DUMMYFUNCTION("IMPORTRANGE(""https://docs.google.com/spreadsheets/d/11923uPwbBZFjjGgGUA6NLw09EwE0CqkOc4q9oUmW1yo/edit?usp=sharing"",""ตาก!J423"")"),0)</f>
        <v>0</v>
      </c>
      <c r="CD19" s="55">
        <f ca="1">IFERROR(__xludf.DUMMYFUNCTION("IMPORTRANGE(""https://docs.google.com/spreadsheets/d/11923uPwbBZFjjGgGUA6NLw09EwE0CqkOc4q9oUmW1yo/edit?usp=sharing"",""ตาก!J424"")"),0)</f>
        <v>0</v>
      </c>
      <c r="CE19" s="422">
        <f ca="1">IFERROR(__xludf.DUMMYFUNCTION("IMPORTRANGE(""https://docs.google.com/spreadsheets/d/11923uPwbBZFjjGgGUA6NLw09EwE0CqkOc4q9oUmW1yo/edit?usp=sharing"",""ตาก!J425"")"),0)</f>
        <v>0</v>
      </c>
    </row>
    <row r="20" spans="1:83" ht="24" customHeight="1" x14ac:dyDescent="0.5">
      <c r="A20" s="273">
        <v>5</v>
      </c>
      <c r="B20" s="274" t="s">
        <v>35</v>
      </c>
      <c r="C20" s="400">
        <f t="shared" si="61"/>
        <v>270063.44</v>
      </c>
      <c r="D20" s="55">
        <v>0</v>
      </c>
      <c r="E20" s="401">
        <v>270063.44</v>
      </c>
      <c r="F20" s="99">
        <f ca="1">IFERROR(__xludf.DUMMYFUNCTION("IMPORTRANGE(""https://docs.google.com/spreadsheets/d/11923uPwbBZFjjGgGUA6NLw09EwE0CqkOc4q9oUmW1yo/edit?usp=sharing"",""นครสวรรค์!M352"")"),0)</f>
        <v>0</v>
      </c>
      <c r="G20" s="99">
        <f t="shared" ca="1" si="1"/>
        <v>0</v>
      </c>
      <c r="H20" s="57">
        <v>40137</v>
      </c>
      <c r="I20" s="57">
        <v>3128</v>
      </c>
      <c r="J20" s="55">
        <f t="shared" ca="1" si="62"/>
        <v>0</v>
      </c>
      <c r="K20" s="99">
        <f t="shared" ca="1" si="3"/>
        <v>0</v>
      </c>
      <c r="L20" s="55">
        <f t="shared" ca="1" si="63"/>
        <v>0</v>
      </c>
      <c r="M20" s="99">
        <f t="shared" ca="1" si="4"/>
        <v>0</v>
      </c>
      <c r="N20" s="55">
        <f ca="1">IFERROR(__xludf.DUMMYFUNCTION("IMPORTRANGE(""https://docs.google.com/spreadsheets/d/11923uPwbBZFjjGgGUA6NLw09EwE0CqkOc4q9oUmW1yo/edit?usp=sharing"",""นครสวรรค์!J362"")"),0)</f>
        <v>0</v>
      </c>
      <c r="O20" s="55">
        <f ca="1">IFERROR(__xludf.DUMMYFUNCTION("IMPORTRANGE(""https://docs.google.com/spreadsheets/d/11923uPwbBZFjjGgGUA6NLw09EwE0CqkOc4q9oUmW1yo/edit?usp=sharing"",""นครสวรรค์!J363"")"),0)</f>
        <v>0</v>
      </c>
      <c r="P20" s="55">
        <f ca="1">IFERROR(__xludf.DUMMYFUNCTION("IMPORTRANGE(""https://docs.google.com/spreadsheets/d/11923uPwbBZFjjGgGUA6NLw09EwE0CqkOc4q9oUmW1yo/edit?usp=sharing"",""นครสวรรค์!J364"")"),0)</f>
        <v>0</v>
      </c>
      <c r="Q20" s="55">
        <f ca="1">IFERROR(__xludf.DUMMYFUNCTION("IMPORTRANGE(""https://docs.google.com/spreadsheets/d/11923uPwbBZFjjGgGUA6NLw09EwE0CqkOc4q9oUmW1yo/edit?usp=sharing"",""นครสวรรค์!J365"")"),0)</f>
        <v>0</v>
      </c>
      <c r="R20" s="55">
        <f ca="1">IFERROR(__xludf.DUMMYFUNCTION("IMPORTRANGE(""https://docs.google.com/spreadsheets/d/11923uPwbBZFjjGgGUA6NLw09EwE0CqkOc4q9oUmW1yo/edit?usp=sharing"",""นครสวรรค์!J366"")"),0)</f>
        <v>0</v>
      </c>
      <c r="S20" s="55">
        <f ca="1">IFERROR(__xludf.DUMMYFUNCTION("IMPORTRANGE(""https://docs.google.com/spreadsheets/d/11923uPwbBZFjjGgGUA6NLw09EwE0CqkOc4q9oUmW1yo/edit?usp=sharing"",""นครสวรรค์!J367"")"),0)</f>
        <v>0</v>
      </c>
      <c r="T20" s="55">
        <f t="shared" ca="1" si="64"/>
        <v>0</v>
      </c>
      <c r="U20" s="55">
        <f t="shared" ca="1" si="6"/>
        <v>0</v>
      </c>
      <c r="V20" s="55">
        <f t="shared" ca="1" si="65"/>
        <v>0</v>
      </c>
      <c r="W20" s="55">
        <f t="shared" ca="1" si="7"/>
        <v>0</v>
      </c>
      <c r="X20" s="55">
        <f ca="1">IFERROR(__xludf.DUMMYFUNCTION("IMPORTRANGE(""https://docs.google.com/spreadsheets/d/11923uPwbBZFjjGgGUA6NLw09EwE0CqkOc4q9oUmW1yo/edit?usp=sharing"",""นครสวรรค์!J370"")"),0)</f>
        <v>0</v>
      </c>
      <c r="Y20" s="55">
        <f ca="1">IFERROR(__xludf.DUMMYFUNCTION("IMPORTRANGE(""https://docs.google.com/spreadsheets/d/11923uPwbBZFjjGgGUA6NLw09EwE0CqkOc4q9oUmW1yo/edit?usp=sharing"",""นครสวรรค์!J371"")"),0)</f>
        <v>0</v>
      </c>
      <c r="Z20" s="55">
        <f ca="1">IFERROR(__xludf.DUMMYFUNCTION("IMPORTRANGE(""https://docs.google.com/spreadsheets/d/11923uPwbBZFjjGgGUA6NLw09EwE0CqkOc4q9oUmW1yo/edit?usp=sharing"",""นครสวรรค์!J372"")"),0)</f>
        <v>0</v>
      </c>
      <c r="AA20" s="55">
        <f ca="1">IFERROR(__xludf.DUMMYFUNCTION("IMPORTRANGE(""https://docs.google.com/spreadsheets/d/11923uPwbBZFjjGgGUA6NLw09EwE0CqkOc4q9oUmW1yo/edit?usp=sharing"",""นครสวรรค์!J373"")"),0)</f>
        <v>0</v>
      </c>
      <c r="AB20" s="55">
        <f ca="1">IFERROR(__xludf.DUMMYFUNCTION("IMPORTRANGE(""https://docs.google.com/spreadsheets/d/11923uPwbBZFjjGgGUA6NLw09EwE0CqkOc4q9oUmW1yo/edit?usp=sharing"",""นครสวรรค์!J374"")"),0)</f>
        <v>0</v>
      </c>
      <c r="AC20" s="55">
        <f ca="1">IFERROR(__xludf.DUMMYFUNCTION("IMPORTRANGE(""https://docs.google.com/spreadsheets/d/11923uPwbBZFjjGgGUA6NLw09EwE0CqkOc4q9oUmW1yo/edit?usp=sharing"",""นครสวรรค์!J375"")"),0)</f>
        <v>0</v>
      </c>
      <c r="AD20" s="55">
        <f t="shared" ca="1" si="66"/>
        <v>0</v>
      </c>
      <c r="AE20" s="99">
        <f t="shared" ca="1" si="9"/>
        <v>0</v>
      </c>
      <c r="AF20" s="55">
        <f t="shared" ca="1" si="67"/>
        <v>0</v>
      </c>
      <c r="AG20" s="99">
        <f t="shared" ca="1" si="10"/>
        <v>0</v>
      </c>
      <c r="AH20" s="55">
        <f ca="1">IFERROR(__xludf.DUMMYFUNCTION("IMPORTRANGE(""https://docs.google.com/spreadsheets/d/11923uPwbBZFjjGgGUA6NLw09EwE0CqkOc4q9oUmW1yo/edit?usp=sharing"",""นครสวรรค์!J378"")"),0)</f>
        <v>0</v>
      </c>
      <c r="AI20" s="55">
        <f ca="1">IFERROR(__xludf.DUMMYFUNCTION("IMPORTRANGE(""https://docs.google.com/spreadsheets/d/11923uPwbBZFjjGgGUA6NLw09EwE0CqkOc4q9oUmW1yo/edit?usp=sharing"",""นครสวรรค์!J379"")"),0)</f>
        <v>0</v>
      </c>
      <c r="AJ20" s="55">
        <f ca="1">IFERROR(__xludf.DUMMYFUNCTION("IMPORTRANGE(""https://docs.google.com/spreadsheets/d/11923uPwbBZFjjGgGUA6NLw09EwE0CqkOc4q9oUmW1yo/edit?usp=sharing"",""นครสวรรค์!J380"")"),0)</f>
        <v>0</v>
      </c>
      <c r="AK20" s="55">
        <f ca="1">IFERROR(__xludf.DUMMYFUNCTION("IMPORTRANGE(""https://docs.google.com/spreadsheets/d/11923uPwbBZFjjGgGUA6NLw09EwE0CqkOc4q9oUmW1yo/edit?usp=sharing"",""นครสวรรค์!J381"")"),0)</f>
        <v>0</v>
      </c>
      <c r="AL20" s="55">
        <f ca="1">IFERROR(__xludf.DUMMYFUNCTION("IMPORTRANGE(""https://docs.google.com/spreadsheets/d/11923uPwbBZFjjGgGUA6NLw09EwE0CqkOc4q9oUmW1yo/edit?usp=sharing"",""นครสวรรค์!J384"")"),0)</f>
        <v>0</v>
      </c>
      <c r="AM20" s="55">
        <f ca="1">IFERROR(__xludf.DUMMYFUNCTION("IMPORTRANGE(""https://docs.google.com/spreadsheets/d/11923uPwbBZFjjGgGUA6NLw09EwE0CqkOc4q9oUmW1yo/edit?usp=sharing"",""นครสวรรค์!J385"")"),0)</f>
        <v>0</v>
      </c>
      <c r="AN20" s="55">
        <f ca="1">IFERROR(__xludf.DUMMYFUNCTION("IMPORTRANGE(""https://docs.google.com/spreadsheets/d/11923uPwbBZFjjGgGUA6NLw09EwE0CqkOc4q9oUmW1yo/edit?usp=sharing"",""นครสวรรค์!J386"")"),0)</f>
        <v>0</v>
      </c>
      <c r="AO20" s="55">
        <f ca="1">IFERROR(__xludf.DUMMYFUNCTION("IMPORTRANGE(""https://docs.google.com/spreadsheets/d/11923uPwbBZFjjGgGUA6NLw09EwE0CqkOc4q9oUmW1yo/edit?usp=sharing"",""นครสวรรค์!J387"")"),0)</f>
        <v>0</v>
      </c>
      <c r="AP20" s="55">
        <f ca="1">IFERROR(__xludf.DUMMYFUNCTION("IMPORTRANGE(""https://docs.google.com/spreadsheets/d/11923uPwbBZFjjGgGUA6NLw09EwE0CqkOc4q9oUmW1yo/edit?usp=sharing"",""นครสวรรค์!J388"")"),0)</f>
        <v>0</v>
      </c>
      <c r="AQ20" s="55">
        <f ca="1">IFERROR(__xludf.DUMMYFUNCTION("IMPORTRANGE(""https://docs.google.com/spreadsheets/d/11923uPwbBZFjjGgGUA6NLw09EwE0CqkOc4q9oUmW1yo/edit?usp=sharing"",""นครสวรรค์!J389"")"),0)</f>
        <v>0</v>
      </c>
      <c r="AR20" s="402">
        <v>117</v>
      </c>
      <c r="AS20" s="402">
        <v>1984</v>
      </c>
      <c r="AT20" s="402">
        <f t="shared" ca="1" si="68"/>
        <v>0</v>
      </c>
      <c r="AU20" s="402">
        <f t="shared" ca="1" si="12"/>
        <v>0</v>
      </c>
      <c r="AV20" s="402">
        <f t="shared" ca="1" si="69"/>
        <v>0</v>
      </c>
      <c r="AW20" s="402">
        <f t="shared" ca="1" si="13"/>
        <v>0</v>
      </c>
      <c r="AX20" s="55">
        <f ca="1">IFERROR(__xludf.DUMMYFUNCTION("IMPORTRANGE(""https://docs.google.com/spreadsheets/d/11923uPwbBZFjjGgGUA6NLw09EwE0CqkOc4q9oUmW1yo/edit?usp=sharing"",""นครสวรรค์!J395"")"),0)</f>
        <v>0</v>
      </c>
      <c r="AY20" s="55">
        <f ca="1">IFERROR(__xludf.DUMMYFUNCTION("IMPORTRANGE(""https://docs.google.com/spreadsheets/d/11923uPwbBZFjjGgGUA6NLw09EwE0CqkOc4q9oUmW1yo/edit?usp=sharing"",""นครสวรรค์!J396"")"),0)</f>
        <v>0</v>
      </c>
      <c r="AZ20" s="55">
        <f ca="1">IFERROR(__xludf.DUMMYFUNCTION("IMPORTRANGE(""https://docs.google.com/spreadsheets/d/11923uPwbBZFjjGgGUA6NLw09EwE0CqkOc4q9oUmW1yo/edit?usp=sharing"",""นครสวรรค์!J397"")"),0)</f>
        <v>0</v>
      </c>
      <c r="BA20" s="55">
        <f ca="1">IFERROR(__xludf.DUMMYFUNCTION("IMPORTRANGE(""https://docs.google.com/spreadsheets/d/11923uPwbBZFjjGgGUA6NLw09EwE0CqkOc4q9oUmW1yo/edit?usp=sharing"",""นครสวรรค์!J398"")"),0)</f>
        <v>0</v>
      </c>
      <c r="BB20" s="55">
        <f ca="1">IFERROR(__xludf.DUMMYFUNCTION("IMPORTRANGE(""https://docs.google.com/spreadsheets/d/11923uPwbBZFjjGgGUA6NLw09EwE0CqkOc4q9oUmW1yo/edit?usp=sharing"",""นครสวรรค์!J399"")"),0)</f>
        <v>0</v>
      </c>
      <c r="BC20" s="55">
        <f ca="1">IFERROR(__xludf.DUMMYFUNCTION("IMPORTRANGE(""https://docs.google.com/spreadsheets/d/11923uPwbBZFjjGgGUA6NLw09EwE0CqkOc4q9oUmW1yo/edit?usp=sharing"",""นครสวรรค์!J400"")"),0)</f>
        <v>0</v>
      </c>
      <c r="BD20" s="55">
        <f ca="1">IFERROR(__xludf.DUMMYFUNCTION("IMPORTRANGE(""https://docs.google.com/spreadsheets/d/11923uPwbBZFjjGgGUA6NLw09EwE0CqkOc4q9oUmW1yo/edit?usp=sharing"",""นครสวรรค์!J403"")"),0)</f>
        <v>0</v>
      </c>
      <c r="BE20" s="55">
        <f ca="1">IFERROR(__xludf.DUMMYFUNCTION("IMPORTRANGE(""https://docs.google.com/spreadsheets/d/11923uPwbBZFjjGgGUA6NLw09EwE0CqkOc4q9oUmW1yo/edit?usp=sharing"",""นครสวรรค์!J404"")"),0)</f>
        <v>0</v>
      </c>
      <c r="BF20" s="55">
        <f ca="1">IFERROR(__xludf.DUMMYFUNCTION("IMPORTRANGE(""https://docs.google.com/spreadsheets/d/11923uPwbBZFjjGgGUA6NLw09EwE0CqkOc4q9oUmW1yo/edit?usp=sharing"",""นครสวรรค์!J405"")"),0)</f>
        <v>0</v>
      </c>
      <c r="BG20" s="55">
        <f ca="1">IFERROR(__xludf.DUMMYFUNCTION("IMPORTRANGE(""https://docs.google.com/spreadsheets/d/11923uPwbBZFjjGgGUA6NLw09EwE0CqkOc4q9oUmW1yo/edit?usp=sharing"",""นครสวรรค์!J406"")"),0)</f>
        <v>0</v>
      </c>
      <c r="BH20" s="55">
        <f ca="1">IFERROR(__xludf.DUMMYFUNCTION("IMPORTRANGE(""https://docs.google.com/spreadsheets/d/11923uPwbBZFjjGgGUA6NLw09EwE0CqkOc4q9oUmW1yo/edit?usp=sharing"",""นครสวรรค์!J407"")"),0)</f>
        <v>0</v>
      </c>
      <c r="BI20" s="55">
        <f ca="1">IFERROR(__xludf.DUMMYFUNCTION("IMPORTRANGE(""https://docs.google.com/spreadsheets/d/11923uPwbBZFjjGgGUA6NLw09EwE0CqkOc4q9oUmW1yo/edit?usp=sharing"",""นครสวรรค์!J408"")"),0)</f>
        <v>0</v>
      </c>
      <c r="BJ20" s="402">
        <v>40137</v>
      </c>
      <c r="BK20" s="402">
        <v>3128</v>
      </c>
      <c r="BL20" s="402">
        <f t="shared" ca="1" si="70"/>
        <v>0</v>
      </c>
      <c r="BM20" s="403">
        <f t="shared" ca="1" si="15"/>
        <v>0</v>
      </c>
      <c r="BN20" s="402">
        <f t="shared" ca="1" si="71"/>
        <v>0</v>
      </c>
      <c r="BO20" s="403">
        <f t="shared" ca="1" si="16"/>
        <v>0</v>
      </c>
      <c r="BP20" s="55">
        <f ca="1">IFERROR(__xludf.DUMMYFUNCTION("IMPORTRANGE(""https://docs.google.com/spreadsheets/d/11923uPwbBZFjjGgGUA6NLw09EwE0CqkOc4q9oUmW1yo/edit?usp=sharing"",""นครสวรรค์!J412"")"),0)</f>
        <v>0</v>
      </c>
      <c r="BQ20" s="55">
        <f ca="1">IFERROR(__xludf.DUMMYFUNCTION("IMPORTRANGE(""https://docs.google.com/spreadsheets/d/11923uPwbBZFjjGgGUA6NLw09EwE0CqkOc4q9oUmW1yo/edit?usp=sharing"",""นครสวรรค์!J413"")"),0)</f>
        <v>0</v>
      </c>
      <c r="BR20" s="55">
        <f ca="1">IFERROR(__xludf.DUMMYFUNCTION("IMPORTRANGE(""https://docs.google.com/spreadsheets/d/11923uPwbBZFjjGgGUA6NLw09EwE0CqkOc4q9oUmW1yo/edit?usp=sharing"",""นครสวรรค์!J414"")"),0)</f>
        <v>0</v>
      </c>
      <c r="BS20" s="55">
        <f ca="1">IFERROR(__xludf.DUMMYFUNCTION("IMPORTRANGE(""https://docs.google.com/spreadsheets/d/11923uPwbBZFjjGgGUA6NLw09EwE0CqkOc4q9oUmW1yo/edit?usp=sharing"",""นครสวรรค์!J415"")"),0)</f>
        <v>0</v>
      </c>
      <c r="BT20" s="55">
        <f ca="1">IFERROR(__xludf.DUMMYFUNCTION("IMPORTRANGE(""https://docs.google.com/spreadsheets/d/11923uPwbBZFjjGgGUA6NLw09EwE0CqkOc4q9oUmW1yo/edit?usp=sharing"",""นครสวรรค์!J416"")"),0)</f>
        <v>0</v>
      </c>
      <c r="BU20" s="55">
        <f ca="1">IFERROR(__xludf.DUMMYFUNCTION("IMPORTRANGE(""https://docs.google.com/spreadsheets/d/11923uPwbBZFjjGgGUA6NLw09EwE0CqkOc4q9oUmW1yo/edit?usp=sharing"",""นครสวรรค์!J417"")"),0)</f>
        <v>0</v>
      </c>
      <c r="BV20" s="402">
        <f t="shared" ca="1" si="72"/>
        <v>0</v>
      </c>
      <c r="BW20" s="403">
        <f t="shared" ca="1" si="18"/>
        <v>0</v>
      </c>
      <c r="BX20" s="402">
        <f t="shared" ca="1" si="73"/>
        <v>0</v>
      </c>
      <c r="BY20" s="403">
        <f t="shared" ca="1" si="19"/>
        <v>0</v>
      </c>
      <c r="BZ20" s="55">
        <f ca="1">IFERROR(__xludf.DUMMYFUNCTION("IMPORTRANGE(""https://docs.google.com/spreadsheets/d/11923uPwbBZFjjGgGUA6NLw09EwE0CqkOc4q9oUmW1yo/edit?usp=sharing"",""นครสวรรค์!J420"")"),0)</f>
        <v>0</v>
      </c>
      <c r="CA20" s="55">
        <f ca="1">IFERROR(__xludf.DUMMYFUNCTION("IMPORTRANGE(""https://docs.google.com/spreadsheets/d/11923uPwbBZFjjGgGUA6NLw09EwE0CqkOc4q9oUmW1yo/edit?usp=sharing"",""นครสวรรค์!J421"")"),0)</f>
        <v>0</v>
      </c>
      <c r="CB20" s="55">
        <f ca="1">IFERROR(__xludf.DUMMYFUNCTION("IMPORTRANGE(""https://docs.google.com/spreadsheets/d/11923uPwbBZFjjGgGUA6NLw09EwE0CqkOc4q9oUmW1yo/edit?usp=sharing"",""นครสวรรค์!J422"")"),0)</f>
        <v>0</v>
      </c>
      <c r="CC20" s="55">
        <f ca="1">IFERROR(__xludf.DUMMYFUNCTION("IMPORTRANGE(""https://docs.google.com/spreadsheets/d/11923uPwbBZFjjGgGUA6NLw09EwE0CqkOc4q9oUmW1yo/edit?usp=sharing"",""นครสวรรค์!J423"")"),0)</f>
        <v>0</v>
      </c>
      <c r="CD20" s="55">
        <f ca="1">IFERROR(__xludf.DUMMYFUNCTION("IMPORTRANGE(""https://docs.google.com/spreadsheets/d/11923uPwbBZFjjGgGUA6NLw09EwE0CqkOc4q9oUmW1yo/edit?usp=sharing"",""นครสวรรค์!J424"")"),0)</f>
        <v>0</v>
      </c>
      <c r="CE20" s="422">
        <f ca="1">IFERROR(__xludf.DUMMYFUNCTION("IMPORTRANGE(""https://docs.google.com/spreadsheets/d/11923uPwbBZFjjGgGUA6NLw09EwE0CqkOc4q9oUmW1yo/edit?usp=sharing"",""นครสวรรค์!J425"")"),0)</f>
        <v>0</v>
      </c>
    </row>
    <row r="21" spans="1:83" ht="24" customHeight="1" x14ac:dyDescent="0.5">
      <c r="A21" s="273">
        <v>6</v>
      </c>
      <c r="B21" s="274" t="s">
        <v>36</v>
      </c>
      <c r="C21" s="400">
        <f t="shared" si="61"/>
        <v>611754.41</v>
      </c>
      <c r="D21" s="55">
        <v>0</v>
      </c>
      <c r="E21" s="401">
        <v>611754.41</v>
      </c>
      <c r="F21" s="99">
        <f ca="1">IFERROR(__xludf.DUMMYFUNCTION("IMPORTRANGE(""https://docs.google.com/spreadsheets/d/11923uPwbBZFjjGgGUA6NLw09EwE0CqkOc4q9oUmW1yo/edit?usp=sharing"",""น่าน!M352"")"),0)</f>
        <v>0</v>
      </c>
      <c r="G21" s="99">
        <f t="shared" ca="1" si="1"/>
        <v>0</v>
      </c>
      <c r="H21" s="57">
        <v>52202</v>
      </c>
      <c r="I21" s="57">
        <v>9077</v>
      </c>
      <c r="J21" s="55">
        <f t="shared" ca="1" si="62"/>
        <v>0</v>
      </c>
      <c r="K21" s="99">
        <f t="shared" ca="1" si="3"/>
        <v>0</v>
      </c>
      <c r="L21" s="55">
        <f t="shared" ca="1" si="63"/>
        <v>0</v>
      </c>
      <c r="M21" s="99">
        <f t="shared" ca="1" si="4"/>
        <v>0</v>
      </c>
      <c r="N21" s="55">
        <f ca="1">IFERROR(__xludf.DUMMYFUNCTION("IMPORTRANGE(""https://docs.google.com/spreadsheets/d/11923uPwbBZFjjGgGUA6NLw09EwE0CqkOc4q9oUmW1yo/edit?usp=sharing"",""น่าน!J362"")"),0)</f>
        <v>0</v>
      </c>
      <c r="O21" s="55">
        <f ca="1">IFERROR(__xludf.DUMMYFUNCTION("IMPORTRANGE(""https://docs.google.com/spreadsheets/d/11923uPwbBZFjjGgGUA6NLw09EwE0CqkOc4q9oUmW1yo/edit?usp=sharing"",""น่าน!J363"")"),0)</f>
        <v>0</v>
      </c>
      <c r="P21" s="55">
        <f ca="1">IFERROR(__xludf.DUMMYFUNCTION("IMPORTRANGE(""https://docs.google.com/spreadsheets/d/11923uPwbBZFjjGgGUA6NLw09EwE0CqkOc4q9oUmW1yo/edit?usp=sharing"",""น่าน!J364"")"),0)</f>
        <v>0</v>
      </c>
      <c r="Q21" s="55">
        <f ca="1">IFERROR(__xludf.DUMMYFUNCTION("IMPORTRANGE(""https://docs.google.com/spreadsheets/d/11923uPwbBZFjjGgGUA6NLw09EwE0CqkOc4q9oUmW1yo/edit?usp=sharing"",""น่าน!J365"")"),0)</f>
        <v>0</v>
      </c>
      <c r="R21" s="55">
        <f ca="1">IFERROR(__xludf.DUMMYFUNCTION("IMPORTRANGE(""https://docs.google.com/spreadsheets/d/11923uPwbBZFjjGgGUA6NLw09EwE0CqkOc4q9oUmW1yo/edit?usp=sharing"",""น่าน!J366"")"),0)</f>
        <v>0</v>
      </c>
      <c r="S21" s="55">
        <f ca="1">IFERROR(__xludf.DUMMYFUNCTION("IMPORTRANGE(""https://docs.google.com/spreadsheets/d/11923uPwbBZFjjGgGUA6NLw09EwE0CqkOc4q9oUmW1yo/edit?usp=sharing"",""น่าน!J367"")"),0)</f>
        <v>0</v>
      </c>
      <c r="T21" s="55">
        <f t="shared" ca="1" si="64"/>
        <v>0</v>
      </c>
      <c r="U21" s="55">
        <f t="shared" ca="1" si="6"/>
        <v>0</v>
      </c>
      <c r="V21" s="55">
        <f t="shared" ca="1" si="65"/>
        <v>0</v>
      </c>
      <c r="W21" s="55">
        <f t="shared" ca="1" si="7"/>
        <v>0</v>
      </c>
      <c r="X21" s="55">
        <f ca="1">IFERROR(__xludf.DUMMYFUNCTION("IMPORTRANGE(""https://docs.google.com/spreadsheets/d/11923uPwbBZFjjGgGUA6NLw09EwE0CqkOc4q9oUmW1yo/edit?usp=sharing"",""น่าน!J370"")"),0)</f>
        <v>0</v>
      </c>
      <c r="Y21" s="55">
        <f ca="1">IFERROR(__xludf.DUMMYFUNCTION("IMPORTRANGE(""https://docs.google.com/spreadsheets/d/11923uPwbBZFjjGgGUA6NLw09EwE0CqkOc4q9oUmW1yo/edit?usp=sharing"",""น่าน!J371"")"),0)</f>
        <v>0</v>
      </c>
      <c r="Z21" s="55">
        <f ca="1">IFERROR(__xludf.DUMMYFUNCTION("IMPORTRANGE(""https://docs.google.com/spreadsheets/d/11923uPwbBZFjjGgGUA6NLw09EwE0CqkOc4q9oUmW1yo/edit?usp=sharing"",""น่าน!J372"")"),0)</f>
        <v>0</v>
      </c>
      <c r="AA21" s="55">
        <f ca="1">IFERROR(__xludf.DUMMYFUNCTION("IMPORTRANGE(""https://docs.google.com/spreadsheets/d/11923uPwbBZFjjGgGUA6NLw09EwE0CqkOc4q9oUmW1yo/edit?usp=sharing"",""น่าน!J373"")"),0)</f>
        <v>0</v>
      </c>
      <c r="AB21" s="55">
        <f ca="1">IFERROR(__xludf.DUMMYFUNCTION("IMPORTRANGE(""https://docs.google.com/spreadsheets/d/11923uPwbBZFjjGgGUA6NLw09EwE0CqkOc4q9oUmW1yo/edit?usp=sharing"",""น่าน!J374"")"),0)</f>
        <v>0</v>
      </c>
      <c r="AC21" s="55">
        <f ca="1">IFERROR(__xludf.DUMMYFUNCTION("IMPORTRANGE(""https://docs.google.com/spreadsheets/d/11923uPwbBZFjjGgGUA6NLw09EwE0CqkOc4q9oUmW1yo/edit?usp=sharing"",""น่าน!J375"")"),0)</f>
        <v>0</v>
      </c>
      <c r="AD21" s="55">
        <f t="shared" ca="1" si="66"/>
        <v>0</v>
      </c>
      <c r="AE21" s="99">
        <f t="shared" ca="1" si="9"/>
        <v>0</v>
      </c>
      <c r="AF21" s="55">
        <f t="shared" ca="1" si="67"/>
        <v>0</v>
      </c>
      <c r="AG21" s="99">
        <f t="shared" ca="1" si="10"/>
        <v>0</v>
      </c>
      <c r="AH21" s="55">
        <f ca="1">IFERROR(__xludf.DUMMYFUNCTION("IMPORTRANGE(""https://docs.google.com/spreadsheets/d/11923uPwbBZFjjGgGUA6NLw09EwE0CqkOc4q9oUmW1yo/edit?usp=sharing"",""น่าน!J378"")"),0)</f>
        <v>0</v>
      </c>
      <c r="AI21" s="55">
        <f ca="1">IFERROR(__xludf.DUMMYFUNCTION("IMPORTRANGE(""https://docs.google.com/spreadsheets/d/11923uPwbBZFjjGgGUA6NLw09EwE0CqkOc4q9oUmW1yo/edit?usp=sharing"",""น่าน!J379"")"),0)</f>
        <v>0</v>
      </c>
      <c r="AJ21" s="55">
        <f ca="1">IFERROR(__xludf.DUMMYFUNCTION("IMPORTRANGE(""https://docs.google.com/spreadsheets/d/11923uPwbBZFjjGgGUA6NLw09EwE0CqkOc4q9oUmW1yo/edit?usp=sharing"",""น่าน!J380"")"),0)</f>
        <v>0</v>
      </c>
      <c r="AK21" s="55">
        <f ca="1">IFERROR(__xludf.DUMMYFUNCTION("IMPORTRANGE(""https://docs.google.com/spreadsheets/d/11923uPwbBZFjjGgGUA6NLw09EwE0CqkOc4q9oUmW1yo/edit?usp=sharing"",""น่าน!J381"")"),0)</f>
        <v>0</v>
      </c>
      <c r="AL21" s="55">
        <f ca="1">IFERROR(__xludf.DUMMYFUNCTION("IMPORTRANGE(""https://docs.google.com/spreadsheets/d/11923uPwbBZFjjGgGUA6NLw09EwE0CqkOc4q9oUmW1yo/edit?usp=sharing"",""น่าน!J384"")"),0)</f>
        <v>0</v>
      </c>
      <c r="AM21" s="55">
        <f ca="1">IFERROR(__xludf.DUMMYFUNCTION("IMPORTRANGE(""https://docs.google.com/spreadsheets/d/11923uPwbBZFjjGgGUA6NLw09EwE0CqkOc4q9oUmW1yo/edit?usp=sharing"",""น่าน!J385"")"),0)</f>
        <v>0</v>
      </c>
      <c r="AN21" s="55">
        <f ca="1">IFERROR(__xludf.DUMMYFUNCTION("IMPORTRANGE(""https://docs.google.com/spreadsheets/d/11923uPwbBZFjjGgGUA6NLw09EwE0CqkOc4q9oUmW1yo/edit?usp=sharing"",""น่าน!J386"")"),0)</f>
        <v>0</v>
      </c>
      <c r="AO21" s="55">
        <f ca="1">IFERROR(__xludf.DUMMYFUNCTION("IMPORTRANGE(""https://docs.google.com/spreadsheets/d/11923uPwbBZFjjGgGUA6NLw09EwE0CqkOc4q9oUmW1yo/edit?usp=sharing"",""น่าน!J387"")"),0)</f>
        <v>0</v>
      </c>
      <c r="AP21" s="55">
        <f ca="1">IFERROR(__xludf.DUMMYFUNCTION("IMPORTRANGE(""https://docs.google.com/spreadsheets/d/11923uPwbBZFjjGgGUA6NLw09EwE0CqkOc4q9oUmW1yo/edit?usp=sharing"",""น่าน!J388"")"),0)</f>
        <v>0</v>
      </c>
      <c r="AQ21" s="55">
        <f ca="1">IFERROR(__xludf.DUMMYFUNCTION("IMPORTRANGE(""https://docs.google.com/spreadsheets/d/11923uPwbBZFjjGgGUA6NLw09EwE0CqkOc4q9oUmW1yo/edit?usp=sharing"",""น่าน!J389"")"),0)</f>
        <v>0</v>
      </c>
      <c r="AR21" s="402">
        <v>174</v>
      </c>
      <c r="AS21" s="402">
        <v>535</v>
      </c>
      <c r="AT21" s="402">
        <f t="shared" ca="1" si="68"/>
        <v>0</v>
      </c>
      <c r="AU21" s="402">
        <f t="shared" ca="1" si="12"/>
        <v>0</v>
      </c>
      <c r="AV21" s="402">
        <f t="shared" ca="1" si="69"/>
        <v>0</v>
      </c>
      <c r="AW21" s="402">
        <f t="shared" ca="1" si="13"/>
        <v>0</v>
      </c>
      <c r="AX21" s="55">
        <f ca="1">IFERROR(__xludf.DUMMYFUNCTION("IMPORTRANGE(""https://docs.google.com/spreadsheets/d/11923uPwbBZFjjGgGUA6NLw09EwE0CqkOc4q9oUmW1yo/edit?usp=sharing"",""น่าน!J395"")"),0)</f>
        <v>0</v>
      </c>
      <c r="AY21" s="55">
        <f ca="1">IFERROR(__xludf.DUMMYFUNCTION("IMPORTRANGE(""https://docs.google.com/spreadsheets/d/11923uPwbBZFjjGgGUA6NLw09EwE0CqkOc4q9oUmW1yo/edit?usp=sharing"",""น่าน!J396"")"),0)</f>
        <v>0</v>
      </c>
      <c r="AZ21" s="55">
        <f ca="1">IFERROR(__xludf.DUMMYFUNCTION("IMPORTRANGE(""https://docs.google.com/spreadsheets/d/11923uPwbBZFjjGgGUA6NLw09EwE0CqkOc4q9oUmW1yo/edit?usp=sharing"",""น่าน!J397"")"),0)</f>
        <v>0</v>
      </c>
      <c r="BA21" s="55">
        <f ca="1">IFERROR(__xludf.DUMMYFUNCTION("IMPORTRANGE(""https://docs.google.com/spreadsheets/d/11923uPwbBZFjjGgGUA6NLw09EwE0CqkOc4q9oUmW1yo/edit?usp=sharing"",""น่าน!J398"")"),0)</f>
        <v>0</v>
      </c>
      <c r="BB21" s="55">
        <f ca="1">IFERROR(__xludf.DUMMYFUNCTION("IMPORTRANGE(""https://docs.google.com/spreadsheets/d/11923uPwbBZFjjGgGUA6NLw09EwE0CqkOc4q9oUmW1yo/edit?usp=sharing"",""น่าน!J399"")"),0)</f>
        <v>0</v>
      </c>
      <c r="BC21" s="55">
        <f ca="1">IFERROR(__xludf.DUMMYFUNCTION("IMPORTRANGE(""https://docs.google.com/spreadsheets/d/11923uPwbBZFjjGgGUA6NLw09EwE0CqkOc4q9oUmW1yo/edit?usp=sharing"",""น่าน!J400"")"),0)</f>
        <v>0</v>
      </c>
      <c r="BD21" s="55">
        <f ca="1">IFERROR(__xludf.DUMMYFUNCTION("IMPORTRANGE(""https://docs.google.com/spreadsheets/d/11923uPwbBZFjjGgGUA6NLw09EwE0CqkOc4q9oUmW1yo/edit?usp=sharing"",""น่าน!J403"")"),0)</f>
        <v>0</v>
      </c>
      <c r="BE21" s="55">
        <f ca="1">IFERROR(__xludf.DUMMYFUNCTION("IMPORTRANGE(""https://docs.google.com/spreadsheets/d/11923uPwbBZFjjGgGUA6NLw09EwE0CqkOc4q9oUmW1yo/edit?usp=sharing"",""น่าน!J404"")"),0)</f>
        <v>0</v>
      </c>
      <c r="BF21" s="55">
        <f ca="1">IFERROR(__xludf.DUMMYFUNCTION("IMPORTRANGE(""https://docs.google.com/spreadsheets/d/11923uPwbBZFjjGgGUA6NLw09EwE0CqkOc4q9oUmW1yo/edit?usp=sharing"",""น่าน!J405"")"),0)</f>
        <v>0</v>
      </c>
      <c r="BG21" s="55">
        <f ca="1">IFERROR(__xludf.DUMMYFUNCTION("IMPORTRANGE(""https://docs.google.com/spreadsheets/d/11923uPwbBZFjjGgGUA6NLw09EwE0CqkOc4q9oUmW1yo/edit?usp=sharing"",""น่าน!J406"")"),0)</f>
        <v>0</v>
      </c>
      <c r="BH21" s="55">
        <f ca="1">IFERROR(__xludf.DUMMYFUNCTION("IMPORTRANGE(""https://docs.google.com/spreadsheets/d/11923uPwbBZFjjGgGUA6NLw09EwE0CqkOc4q9oUmW1yo/edit?usp=sharing"",""น่าน!J407"")"),0)</f>
        <v>0</v>
      </c>
      <c r="BI21" s="55">
        <f ca="1">IFERROR(__xludf.DUMMYFUNCTION("IMPORTRANGE(""https://docs.google.com/spreadsheets/d/11923uPwbBZFjjGgGUA6NLw09EwE0CqkOc4q9oUmW1yo/edit?usp=sharing"",""น่าน!J408"")"),0)</f>
        <v>0</v>
      </c>
      <c r="BJ21" s="402">
        <v>52202</v>
      </c>
      <c r="BK21" s="402">
        <v>9077</v>
      </c>
      <c r="BL21" s="402">
        <f t="shared" ca="1" si="70"/>
        <v>0</v>
      </c>
      <c r="BM21" s="403">
        <f t="shared" ca="1" si="15"/>
        <v>0</v>
      </c>
      <c r="BN21" s="402">
        <f t="shared" ca="1" si="71"/>
        <v>0</v>
      </c>
      <c r="BO21" s="403">
        <f t="shared" ca="1" si="16"/>
        <v>0</v>
      </c>
      <c r="BP21" s="55">
        <f ca="1">IFERROR(__xludf.DUMMYFUNCTION("IMPORTRANGE(""https://docs.google.com/spreadsheets/d/11923uPwbBZFjjGgGUA6NLw09EwE0CqkOc4q9oUmW1yo/edit?usp=sharing"",""น่าน!J412"")"),0)</f>
        <v>0</v>
      </c>
      <c r="BQ21" s="55">
        <f ca="1">IFERROR(__xludf.DUMMYFUNCTION("IMPORTRANGE(""https://docs.google.com/spreadsheets/d/11923uPwbBZFjjGgGUA6NLw09EwE0CqkOc4q9oUmW1yo/edit?usp=sharing"",""น่าน!J413"")"),0)</f>
        <v>0</v>
      </c>
      <c r="BR21" s="55">
        <f ca="1">IFERROR(__xludf.DUMMYFUNCTION("IMPORTRANGE(""https://docs.google.com/spreadsheets/d/11923uPwbBZFjjGgGUA6NLw09EwE0CqkOc4q9oUmW1yo/edit?usp=sharing"",""น่าน!J414"")"),0)</f>
        <v>0</v>
      </c>
      <c r="BS21" s="55">
        <f ca="1">IFERROR(__xludf.DUMMYFUNCTION("IMPORTRANGE(""https://docs.google.com/spreadsheets/d/11923uPwbBZFjjGgGUA6NLw09EwE0CqkOc4q9oUmW1yo/edit?usp=sharing"",""น่าน!J415"")"),0)</f>
        <v>0</v>
      </c>
      <c r="BT21" s="55">
        <f ca="1">IFERROR(__xludf.DUMMYFUNCTION("IMPORTRANGE(""https://docs.google.com/spreadsheets/d/11923uPwbBZFjjGgGUA6NLw09EwE0CqkOc4q9oUmW1yo/edit?usp=sharing"",""น่าน!J416"")"),0)</f>
        <v>0</v>
      </c>
      <c r="BU21" s="55">
        <f ca="1">IFERROR(__xludf.DUMMYFUNCTION("IMPORTRANGE(""https://docs.google.com/spreadsheets/d/11923uPwbBZFjjGgGUA6NLw09EwE0CqkOc4q9oUmW1yo/edit?usp=sharing"",""น่าน!J417"")"),0)</f>
        <v>0</v>
      </c>
      <c r="BV21" s="402">
        <f t="shared" ca="1" si="72"/>
        <v>0</v>
      </c>
      <c r="BW21" s="403">
        <f t="shared" ca="1" si="18"/>
        <v>0</v>
      </c>
      <c r="BX21" s="402">
        <f t="shared" ca="1" si="73"/>
        <v>0</v>
      </c>
      <c r="BY21" s="403">
        <f t="shared" ca="1" si="19"/>
        <v>0</v>
      </c>
      <c r="BZ21" s="55">
        <f ca="1">IFERROR(__xludf.DUMMYFUNCTION("IMPORTRANGE(""https://docs.google.com/spreadsheets/d/11923uPwbBZFjjGgGUA6NLw09EwE0CqkOc4q9oUmW1yo/edit?usp=sharing"",""น่าน!J420"")"),0)</f>
        <v>0</v>
      </c>
      <c r="CA21" s="55">
        <f ca="1">IFERROR(__xludf.DUMMYFUNCTION("IMPORTRANGE(""https://docs.google.com/spreadsheets/d/11923uPwbBZFjjGgGUA6NLw09EwE0CqkOc4q9oUmW1yo/edit?usp=sharing"",""น่าน!J421"")"),0)</f>
        <v>0</v>
      </c>
      <c r="CB21" s="55">
        <f ca="1">IFERROR(__xludf.DUMMYFUNCTION("IMPORTRANGE(""https://docs.google.com/spreadsheets/d/11923uPwbBZFjjGgGUA6NLw09EwE0CqkOc4q9oUmW1yo/edit?usp=sharing"",""น่าน!J422"")"),0)</f>
        <v>0</v>
      </c>
      <c r="CC21" s="55">
        <f ca="1">IFERROR(__xludf.DUMMYFUNCTION("IMPORTRANGE(""https://docs.google.com/spreadsheets/d/11923uPwbBZFjjGgGUA6NLw09EwE0CqkOc4q9oUmW1yo/edit?usp=sharing"",""น่าน!J423"")"),0)</f>
        <v>0</v>
      </c>
      <c r="CD21" s="55">
        <f ca="1">IFERROR(__xludf.DUMMYFUNCTION("IMPORTRANGE(""https://docs.google.com/spreadsheets/d/11923uPwbBZFjjGgGUA6NLw09EwE0CqkOc4q9oUmW1yo/edit?usp=sharing"",""น่าน!J424"")"),0)</f>
        <v>0</v>
      </c>
      <c r="CE21" s="422">
        <f ca="1">IFERROR(__xludf.DUMMYFUNCTION("IMPORTRANGE(""https://docs.google.com/spreadsheets/d/11923uPwbBZFjjGgGUA6NLw09EwE0CqkOc4q9oUmW1yo/edit?usp=sharing"",""น่าน!J425"")"),0)</f>
        <v>0</v>
      </c>
    </row>
    <row r="22" spans="1:83" ht="24" customHeight="1" x14ac:dyDescent="0.5">
      <c r="A22" s="273">
        <v>7</v>
      </c>
      <c r="B22" s="274" t="s">
        <v>37</v>
      </c>
      <c r="C22" s="400">
        <f t="shared" si="61"/>
        <v>396345.5</v>
      </c>
      <c r="D22" s="55">
        <v>0</v>
      </c>
      <c r="E22" s="401">
        <v>396345.5</v>
      </c>
      <c r="F22" s="99">
        <f ca="1">IFERROR(__xludf.DUMMYFUNCTION("IMPORTRANGE(""https://docs.google.com/spreadsheets/d/11923uPwbBZFjjGgGUA6NLw09EwE0CqkOc4q9oUmW1yo/edit?usp=sharing"",""พะเยา!M352"")"),240)</f>
        <v>240</v>
      </c>
      <c r="G22" s="99">
        <f t="shared" ca="1" si="1"/>
        <v>6.0553229442493986E-2</v>
      </c>
      <c r="H22" s="57">
        <v>28514</v>
      </c>
      <c r="I22" s="57">
        <v>5512</v>
      </c>
      <c r="J22" s="55">
        <f t="shared" ca="1" si="62"/>
        <v>0</v>
      </c>
      <c r="K22" s="99">
        <f t="shared" ca="1" si="3"/>
        <v>0</v>
      </c>
      <c r="L22" s="55">
        <f t="shared" ca="1" si="63"/>
        <v>0</v>
      </c>
      <c r="M22" s="99">
        <f t="shared" ca="1" si="4"/>
        <v>0</v>
      </c>
      <c r="N22" s="55">
        <f ca="1">IFERROR(__xludf.DUMMYFUNCTION("IMPORTRANGE(""https://docs.google.com/spreadsheets/d/11923uPwbBZFjjGgGUA6NLw09EwE0CqkOc4q9oUmW1yo/edit?usp=sharing"",""พะเยา!J362"")"),0)</f>
        <v>0</v>
      </c>
      <c r="O22" s="55">
        <f ca="1">IFERROR(__xludf.DUMMYFUNCTION("IMPORTRANGE(""https://docs.google.com/spreadsheets/d/11923uPwbBZFjjGgGUA6NLw09EwE0CqkOc4q9oUmW1yo/edit?usp=sharing"",""พะเยา!J363"")"),0)</f>
        <v>0</v>
      </c>
      <c r="P22" s="55">
        <f ca="1">IFERROR(__xludf.DUMMYFUNCTION("IMPORTRANGE(""https://docs.google.com/spreadsheets/d/11923uPwbBZFjjGgGUA6NLw09EwE0CqkOc4q9oUmW1yo/edit?usp=sharing"",""พะเยา!J364"")"),0)</f>
        <v>0</v>
      </c>
      <c r="Q22" s="55">
        <f ca="1">IFERROR(__xludf.DUMMYFUNCTION("IMPORTRANGE(""https://docs.google.com/spreadsheets/d/11923uPwbBZFjjGgGUA6NLw09EwE0CqkOc4q9oUmW1yo/edit?usp=sharing"",""พะเยา!J365"")"),0)</f>
        <v>0</v>
      </c>
      <c r="R22" s="55">
        <f ca="1">IFERROR(__xludf.DUMMYFUNCTION("IMPORTRANGE(""https://docs.google.com/spreadsheets/d/11923uPwbBZFjjGgGUA6NLw09EwE0CqkOc4q9oUmW1yo/edit?usp=sharing"",""พะเยา!J366"")"),0)</f>
        <v>0</v>
      </c>
      <c r="S22" s="55">
        <f ca="1">IFERROR(__xludf.DUMMYFUNCTION("IMPORTRANGE(""https://docs.google.com/spreadsheets/d/11923uPwbBZFjjGgGUA6NLw09EwE0CqkOc4q9oUmW1yo/edit?usp=sharing"",""พะเยา!J367"")"),0)</f>
        <v>0</v>
      </c>
      <c r="T22" s="55">
        <f t="shared" ca="1" si="64"/>
        <v>0</v>
      </c>
      <c r="U22" s="55">
        <f t="shared" ca="1" si="6"/>
        <v>0</v>
      </c>
      <c r="V22" s="55">
        <f t="shared" ca="1" si="65"/>
        <v>0</v>
      </c>
      <c r="W22" s="55">
        <f t="shared" ca="1" si="7"/>
        <v>0</v>
      </c>
      <c r="X22" s="55">
        <f ca="1">IFERROR(__xludf.DUMMYFUNCTION("IMPORTRANGE(""https://docs.google.com/spreadsheets/d/11923uPwbBZFjjGgGUA6NLw09EwE0CqkOc4q9oUmW1yo/edit?usp=sharing"",""พะเยา!J370"")"),0)</f>
        <v>0</v>
      </c>
      <c r="Y22" s="55">
        <f ca="1">IFERROR(__xludf.DUMMYFUNCTION("IMPORTRANGE(""https://docs.google.com/spreadsheets/d/11923uPwbBZFjjGgGUA6NLw09EwE0CqkOc4q9oUmW1yo/edit?usp=sharing"",""พะเยา!J371"")"),0)</f>
        <v>0</v>
      </c>
      <c r="Z22" s="55">
        <f ca="1">IFERROR(__xludf.DUMMYFUNCTION("IMPORTRANGE(""https://docs.google.com/spreadsheets/d/11923uPwbBZFjjGgGUA6NLw09EwE0CqkOc4q9oUmW1yo/edit?usp=sharing"",""พะเยา!J372"")"),0)</f>
        <v>0</v>
      </c>
      <c r="AA22" s="55">
        <f ca="1">IFERROR(__xludf.DUMMYFUNCTION("IMPORTRANGE(""https://docs.google.com/spreadsheets/d/11923uPwbBZFjjGgGUA6NLw09EwE0CqkOc4q9oUmW1yo/edit?usp=sharing"",""พะเยา!J373"")"),0)</f>
        <v>0</v>
      </c>
      <c r="AB22" s="55">
        <f ca="1">IFERROR(__xludf.DUMMYFUNCTION("IMPORTRANGE(""https://docs.google.com/spreadsheets/d/11923uPwbBZFjjGgGUA6NLw09EwE0CqkOc4q9oUmW1yo/edit?usp=sharing"",""พะเยา!J374"")"),0)</f>
        <v>0</v>
      </c>
      <c r="AC22" s="55">
        <f ca="1">IFERROR(__xludf.DUMMYFUNCTION("IMPORTRANGE(""https://docs.google.com/spreadsheets/d/11923uPwbBZFjjGgGUA6NLw09EwE0CqkOc4q9oUmW1yo/edit?usp=sharing"",""พะเยา!J375"")"),0)</f>
        <v>0</v>
      </c>
      <c r="AD22" s="55">
        <f t="shared" ca="1" si="66"/>
        <v>0</v>
      </c>
      <c r="AE22" s="99">
        <f t="shared" ca="1" si="9"/>
        <v>0</v>
      </c>
      <c r="AF22" s="55">
        <f t="shared" ca="1" si="67"/>
        <v>0</v>
      </c>
      <c r="AG22" s="99">
        <f t="shared" ca="1" si="10"/>
        <v>0</v>
      </c>
      <c r="AH22" s="55">
        <f ca="1">IFERROR(__xludf.DUMMYFUNCTION("IMPORTRANGE(""https://docs.google.com/spreadsheets/d/11923uPwbBZFjjGgGUA6NLw09EwE0CqkOc4q9oUmW1yo/edit?usp=sharing"",""พะเยา!J378"")"),0)</f>
        <v>0</v>
      </c>
      <c r="AI22" s="55">
        <f ca="1">IFERROR(__xludf.DUMMYFUNCTION("IMPORTRANGE(""https://docs.google.com/spreadsheets/d/11923uPwbBZFjjGgGUA6NLw09EwE0CqkOc4q9oUmW1yo/edit?usp=sharing"",""พะเยา!J379"")"),0)</f>
        <v>0</v>
      </c>
      <c r="AJ22" s="55">
        <f ca="1">IFERROR(__xludf.DUMMYFUNCTION("IMPORTRANGE(""https://docs.google.com/spreadsheets/d/11923uPwbBZFjjGgGUA6NLw09EwE0CqkOc4q9oUmW1yo/edit?usp=sharing"",""พะเยา!J380"")"),0)</f>
        <v>0</v>
      </c>
      <c r="AK22" s="55">
        <f ca="1">IFERROR(__xludf.DUMMYFUNCTION("IMPORTRANGE(""https://docs.google.com/spreadsheets/d/11923uPwbBZFjjGgGUA6NLw09EwE0CqkOc4q9oUmW1yo/edit?usp=sharing"",""พะเยา!J381"")"),0)</f>
        <v>0</v>
      </c>
      <c r="AL22" s="55">
        <f ca="1">IFERROR(__xludf.DUMMYFUNCTION("IMPORTRANGE(""https://docs.google.com/spreadsheets/d/11923uPwbBZFjjGgGUA6NLw09EwE0CqkOc4q9oUmW1yo/edit?usp=sharing"",""พะเยา!J384"")"),0)</f>
        <v>0</v>
      </c>
      <c r="AM22" s="55">
        <f ca="1">IFERROR(__xludf.DUMMYFUNCTION("IMPORTRANGE(""https://docs.google.com/spreadsheets/d/11923uPwbBZFjjGgGUA6NLw09EwE0CqkOc4q9oUmW1yo/edit?usp=sharing"",""พะเยา!J385"")"),0)</f>
        <v>0</v>
      </c>
      <c r="AN22" s="55">
        <f ca="1">IFERROR(__xludf.DUMMYFUNCTION("IMPORTRANGE(""https://docs.google.com/spreadsheets/d/11923uPwbBZFjjGgGUA6NLw09EwE0CqkOc4q9oUmW1yo/edit?usp=sharing"",""พะเยา!J386"")"),0)</f>
        <v>0</v>
      </c>
      <c r="AO22" s="55">
        <f ca="1">IFERROR(__xludf.DUMMYFUNCTION("IMPORTRANGE(""https://docs.google.com/spreadsheets/d/11923uPwbBZFjjGgGUA6NLw09EwE0CqkOc4q9oUmW1yo/edit?usp=sharing"",""พะเยา!J387"")"),0)</f>
        <v>0</v>
      </c>
      <c r="AP22" s="55">
        <f ca="1">IFERROR(__xludf.DUMMYFUNCTION("IMPORTRANGE(""https://docs.google.com/spreadsheets/d/11923uPwbBZFjjGgGUA6NLw09EwE0CqkOc4q9oUmW1yo/edit?usp=sharing"",""พะเยา!J388"")"),0)</f>
        <v>0</v>
      </c>
      <c r="AQ22" s="55">
        <f ca="1">IFERROR(__xludf.DUMMYFUNCTION("IMPORTRANGE(""https://docs.google.com/spreadsheets/d/11923uPwbBZFjjGgGUA6NLw09EwE0CqkOc4q9oUmW1yo/edit?usp=sharing"",""พะเยา!J389"")"),0)</f>
        <v>0</v>
      </c>
      <c r="AR22" s="402">
        <v>0</v>
      </c>
      <c r="AS22" s="402">
        <v>0</v>
      </c>
      <c r="AT22" s="402">
        <f t="shared" ca="1" si="68"/>
        <v>0</v>
      </c>
      <c r="AU22" s="402">
        <f t="shared" si="12"/>
        <v>0</v>
      </c>
      <c r="AV22" s="402">
        <f t="shared" ca="1" si="69"/>
        <v>0</v>
      </c>
      <c r="AW22" s="402">
        <f t="shared" si="13"/>
        <v>0</v>
      </c>
      <c r="AX22" s="55">
        <f ca="1">IFERROR(__xludf.DUMMYFUNCTION("IMPORTRANGE(""https://docs.google.com/spreadsheets/d/11923uPwbBZFjjGgGUA6NLw09EwE0CqkOc4q9oUmW1yo/edit?usp=sharing"",""พะเยา!J395"")"),0)</f>
        <v>0</v>
      </c>
      <c r="AY22" s="55">
        <f ca="1">IFERROR(__xludf.DUMMYFUNCTION("IMPORTRANGE(""https://docs.google.com/spreadsheets/d/11923uPwbBZFjjGgGUA6NLw09EwE0CqkOc4q9oUmW1yo/edit?usp=sharing"",""พะเยา!J396"")"),0)</f>
        <v>0</v>
      </c>
      <c r="AZ22" s="55">
        <f ca="1">IFERROR(__xludf.DUMMYFUNCTION("IMPORTRANGE(""https://docs.google.com/spreadsheets/d/11923uPwbBZFjjGgGUA6NLw09EwE0CqkOc4q9oUmW1yo/edit?usp=sharing"",""พะเยา!J397"")"),0)</f>
        <v>0</v>
      </c>
      <c r="BA22" s="55">
        <f ca="1">IFERROR(__xludf.DUMMYFUNCTION("IMPORTRANGE(""https://docs.google.com/spreadsheets/d/11923uPwbBZFjjGgGUA6NLw09EwE0CqkOc4q9oUmW1yo/edit?usp=sharing"",""พะเยา!J398"")"),0)</f>
        <v>0</v>
      </c>
      <c r="BB22" s="55">
        <f ca="1">IFERROR(__xludf.DUMMYFUNCTION("IMPORTRANGE(""https://docs.google.com/spreadsheets/d/11923uPwbBZFjjGgGUA6NLw09EwE0CqkOc4q9oUmW1yo/edit?usp=sharing"",""พะเยา!J399"")"),0)</f>
        <v>0</v>
      </c>
      <c r="BC22" s="55">
        <f ca="1">IFERROR(__xludf.DUMMYFUNCTION("IMPORTRANGE(""https://docs.google.com/spreadsheets/d/11923uPwbBZFjjGgGUA6NLw09EwE0CqkOc4q9oUmW1yo/edit?usp=sharing"",""พะเยา!J400"")"),0)</f>
        <v>0</v>
      </c>
      <c r="BD22" s="55">
        <f ca="1">IFERROR(__xludf.DUMMYFUNCTION("IMPORTRANGE(""https://docs.google.com/spreadsheets/d/11923uPwbBZFjjGgGUA6NLw09EwE0CqkOc4q9oUmW1yo/edit?usp=sharing"",""พะเยา!J403"")"),0)</f>
        <v>0</v>
      </c>
      <c r="BE22" s="55">
        <f ca="1">IFERROR(__xludf.DUMMYFUNCTION("IMPORTRANGE(""https://docs.google.com/spreadsheets/d/11923uPwbBZFjjGgGUA6NLw09EwE0CqkOc4q9oUmW1yo/edit?usp=sharing"",""พะเยา!J404"")"),0)</f>
        <v>0</v>
      </c>
      <c r="BF22" s="55">
        <f ca="1">IFERROR(__xludf.DUMMYFUNCTION("IMPORTRANGE(""https://docs.google.com/spreadsheets/d/11923uPwbBZFjjGgGUA6NLw09EwE0CqkOc4q9oUmW1yo/edit?usp=sharing"",""พะเยา!J405"")"),0)</f>
        <v>0</v>
      </c>
      <c r="BG22" s="55">
        <f ca="1">IFERROR(__xludf.DUMMYFUNCTION("IMPORTRANGE(""https://docs.google.com/spreadsheets/d/11923uPwbBZFjjGgGUA6NLw09EwE0CqkOc4q9oUmW1yo/edit?usp=sharing"",""พะเยา!J406"")"),0)</f>
        <v>0</v>
      </c>
      <c r="BH22" s="55">
        <f ca="1">IFERROR(__xludf.DUMMYFUNCTION("IMPORTRANGE(""https://docs.google.com/spreadsheets/d/11923uPwbBZFjjGgGUA6NLw09EwE0CqkOc4q9oUmW1yo/edit?usp=sharing"",""พะเยา!J407"")"),0)</f>
        <v>0</v>
      </c>
      <c r="BI22" s="55">
        <f ca="1">IFERROR(__xludf.DUMMYFUNCTION("IMPORTRANGE(""https://docs.google.com/spreadsheets/d/11923uPwbBZFjjGgGUA6NLw09EwE0CqkOc4q9oUmW1yo/edit?usp=sharing"",""พะเยา!J408"")"),0)</f>
        <v>0</v>
      </c>
      <c r="BJ22" s="402">
        <v>28514</v>
      </c>
      <c r="BK22" s="402">
        <v>5512</v>
      </c>
      <c r="BL22" s="402">
        <f t="shared" ca="1" si="70"/>
        <v>0</v>
      </c>
      <c r="BM22" s="403">
        <f t="shared" ca="1" si="15"/>
        <v>0</v>
      </c>
      <c r="BN22" s="402">
        <f t="shared" ca="1" si="71"/>
        <v>0</v>
      </c>
      <c r="BO22" s="403">
        <f t="shared" ca="1" si="16"/>
        <v>0</v>
      </c>
      <c r="BP22" s="55">
        <f ca="1">IFERROR(__xludf.DUMMYFUNCTION("IMPORTRANGE(""https://docs.google.com/spreadsheets/d/11923uPwbBZFjjGgGUA6NLw09EwE0CqkOc4q9oUmW1yo/edit?usp=sharing"",""พะเยา!J412"")"),0)</f>
        <v>0</v>
      </c>
      <c r="BQ22" s="55">
        <f ca="1">IFERROR(__xludf.DUMMYFUNCTION("IMPORTRANGE(""https://docs.google.com/spreadsheets/d/11923uPwbBZFjjGgGUA6NLw09EwE0CqkOc4q9oUmW1yo/edit?usp=sharing"",""พะเยา!J413"")"),0)</f>
        <v>0</v>
      </c>
      <c r="BR22" s="55">
        <f ca="1">IFERROR(__xludf.DUMMYFUNCTION("IMPORTRANGE(""https://docs.google.com/spreadsheets/d/11923uPwbBZFjjGgGUA6NLw09EwE0CqkOc4q9oUmW1yo/edit?usp=sharing"",""พะเยา!J414"")"),0)</f>
        <v>0</v>
      </c>
      <c r="BS22" s="55">
        <f ca="1">IFERROR(__xludf.DUMMYFUNCTION("IMPORTRANGE(""https://docs.google.com/spreadsheets/d/11923uPwbBZFjjGgGUA6NLw09EwE0CqkOc4q9oUmW1yo/edit?usp=sharing"",""พะเยา!J415"")"),0)</f>
        <v>0</v>
      </c>
      <c r="BT22" s="55">
        <f ca="1">IFERROR(__xludf.DUMMYFUNCTION("IMPORTRANGE(""https://docs.google.com/spreadsheets/d/11923uPwbBZFjjGgGUA6NLw09EwE0CqkOc4q9oUmW1yo/edit?usp=sharing"",""พะเยา!J416"")"),0)</f>
        <v>0</v>
      </c>
      <c r="BU22" s="55">
        <f ca="1">IFERROR(__xludf.DUMMYFUNCTION("IMPORTRANGE(""https://docs.google.com/spreadsheets/d/11923uPwbBZFjjGgGUA6NLw09EwE0CqkOc4q9oUmW1yo/edit?usp=sharing"",""พะเยา!J417"")"),0)</f>
        <v>0</v>
      </c>
      <c r="BV22" s="402">
        <f t="shared" ca="1" si="72"/>
        <v>0</v>
      </c>
      <c r="BW22" s="403">
        <f t="shared" ca="1" si="18"/>
        <v>0</v>
      </c>
      <c r="BX22" s="402">
        <f t="shared" ca="1" si="73"/>
        <v>0</v>
      </c>
      <c r="BY22" s="403">
        <f t="shared" ca="1" si="19"/>
        <v>0</v>
      </c>
      <c r="BZ22" s="55">
        <f ca="1">IFERROR(__xludf.DUMMYFUNCTION("IMPORTRANGE(""https://docs.google.com/spreadsheets/d/11923uPwbBZFjjGgGUA6NLw09EwE0CqkOc4q9oUmW1yo/edit?usp=sharing"",""พะเยา!J420"")"),0)</f>
        <v>0</v>
      </c>
      <c r="CA22" s="55">
        <f ca="1">IFERROR(__xludf.DUMMYFUNCTION("IMPORTRANGE(""https://docs.google.com/spreadsheets/d/11923uPwbBZFjjGgGUA6NLw09EwE0CqkOc4q9oUmW1yo/edit?usp=sharing"",""พะเยา!J421"")"),0)</f>
        <v>0</v>
      </c>
      <c r="CB22" s="55">
        <f ca="1">IFERROR(__xludf.DUMMYFUNCTION("IMPORTRANGE(""https://docs.google.com/spreadsheets/d/11923uPwbBZFjjGgGUA6NLw09EwE0CqkOc4q9oUmW1yo/edit?usp=sharing"",""พะเยา!J422"")"),0)</f>
        <v>0</v>
      </c>
      <c r="CC22" s="55">
        <f ca="1">IFERROR(__xludf.DUMMYFUNCTION("IMPORTRANGE(""https://docs.google.com/spreadsheets/d/11923uPwbBZFjjGgGUA6NLw09EwE0CqkOc4q9oUmW1yo/edit?usp=sharing"",""พะเยา!J423"")"),0)</f>
        <v>0</v>
      </c>
      <c r="CD22" s="55">
        <f ca="1">IFERROR(__xludf.DUMMYFUNCTION("IMPORTRANGE(""https://docs.google.com/spreadsheets/d/11923uPwbBZFjjGgGUA6NLw09EwE0CqkOc4q9oUmW1yo/edit?usp=sharing"",""พะเยา!J424"")"),0)</f>
        <v>0</v>
      </c>
      <c r="CE22" s="422">
        <f ca="1">IFERROR(__xludf.DUMMYFUNCTION("IMPORTRANGE(""https://docs.google.com/spreadsheets/d/11923uPwbBZFjjGgGUA6NLw09EwE0CqkOc4q9oUmW1yo/edit?usp=sharing"",""พะเยา!J425"")"),0)</f>
        <v>0</v>
      </c>
    </row>
    <row r="23" spans="1:83" ht="24" customHeight="1" x14ac:dyDescent="0.5">
      <c r="A23" s="273">
        <v>8</v>
      </c>
      <c r="B23" s="274" t="s">
        <v>38</v>
      </c>
      <c r="C23" s="400">
        <f t="shared" si="61"/>
        <v>579536.81999999995</v>
      </c>
      <c r="D23" s="55">
        <v>0</v>
      </c>
      <c r="E23" s="401">
        <v>579536.81999999995</v>
      </c>
      <c r="F23" s="99">
        <f ca="1">IFERROR(__xludf.DUMMYFUNCTION("IMPORTRANGE(""https://docs.google.com/spreadsheets/d/11923uPwbBZFjjGgGUA6NLw09EwE0CqkOc4q9oUmW1yo/edit?usp=sharing"",""พิจิตร!M352"")"),16416.64)</f>
        <v>16416.64</v>
      </c>
      <c r="G23" s="99">
        <f t="shared" ca="1" si="1"/>
        <v>2.8327173414106808</v>
      </c>
      <c r="H23" s="57">
        <v>74168</v>
      </c>
      <c r="I23" s="57">
        <v>7854</v>
      </c>
      <c r="J23" s="55">
        <f t="shared" ca="1" si="62"/>
        <v>0</v>
      </c>
      <c r="K23" s="99">
        <f t="shared" ca="1" si="3"/>
        <v>0</v>
      </c>
      <c r="L23" s="55">
        <f t="shared" ca="1" si="63"/>
        <v>0</v>
      </c>
      <c r="M23" s="99">
        <f t="shared" ca="1" si="4"/>
        <v>0</v>
      </c>
      <c r="N23" s="55">
        <f ca="1">IFERROR(__xludf.DUMMYFUNCTION("IMPORTRANGE(""https://docs.google.com/spreadsheets/d/11923uPwbBZFjjGgGUA6NLw09EwE0CqkOc4q9oUmW1yo/edit?usp=sharing"",""พิจิตร!J362"")"),0)</f>
        <v>0</v>
      </c>
      <c r="O23" s="55">
        <f ca="1">IFERROR(__xludf.DUMMYFUNCTION("IMPORTRANGE(""https://docs.google.com/spreadsheets/d/11923uPwbBZFjjGgGUA6NLw09EwE0CqkOc4q9oUmW1yo/edit?usp=sharing"",""พิจิตร!J363"")"),0)</f>
        <v>0</v>
      </c>
      <c r="P23" s="55">
        <f ca="1">IFERROR(__xludf.DUMMYFUNCTION("IMPORTRANGE(""https://docs.google.com/spreadsheets/d/11923uPwbBZFjjGgGUA6NLw09EwE0CqkOc4q9oUmW1yo/edit?usp=sharing"",""พิจิตร!J364"")"),0)</f>
        <v>0</v>
      </c>
      <c r="Q23" s="55">
        <f ca="1">IFERROR(__xludf.DUMMYFUNCTION("IMPORTRANGE(""https://docs.google.com/spreadsheets/d/11923uPwbBZFjjGgGUA6NLw09EwE0CqkOc4q9oUmW1yo/edit?usp=sharing"",""พิจิตร!J365"")"),0)</f>
        <v>0</v>
      </c>
      <c r="R23" s="55">
        <f ca="1">IFERROR(__xludf.DUMMYFUNCTION("IMPORTRANGE(""https://docs.google.com/spreadsheets/d/11923uPwbBZFjjGgGUA6NLw09EwE0CqkOc4q9oUmW1yo/edit?usp=sharing"",""พิจิตร!J366"")"),0)</f>
        <v>0</v>
      </c>
      <c r="S23" s="55">
        <f ca="1">IFERROR(__xludf.DUMMYFUNCTION("IMPORTRANGE(""https://docs.google.com/spreadsheets/d/11923uPwbBZFjjGgGUA6NLw09EwE0CqkOc4q9oUmW1yo/edit?usp=sharing"",""พิจิตร!J367"")"),0)</f>
        <v>0</v>
      </c>
      <c r="T23" s="55">
        <f t="shared" ca="1" si="64"/>
        <v>0</v>
      </c>
      <c r="U23" s="55">
        <f t="shared" ca="1" si="6"/>
        <v>0</v>
      </c>
      <c r="V23" s="55">
        <f t="shared" ca="1" si="65"/>
        <v>0</v>
      </c>
      <c r="W23" s="55">
        <f t="shared" ca="1" si="7"/>
        <v>0</v>
      </c>
      <c r="X23" s="55">
        <f ca="1">IFERROR(__xludf.DUMMYFUNCTION("IMPORTRANGE(""https://docs.google.com/spreadsheets/d/11923uPwbBZFjjGgGUA6NLw09EwE0CqkOc4q9oUmW1yo/edit?usp=sharing"",""พิจิตร!J370"")"),0)</f>
        <v>0</v>
      </c>
      <c r="Y23" s="55">
        <f ca="1">IFERROR(__xludf.DUMMYFUNCTION("IMPORTRANGE(""https://docs.google.com/spreadsheets/d/11923uPwbBZFjjGgGUA6NLw09EwE0CqkOc4q9oUmW1yo/edit?usp=sharing"",""พิจิตร!J371"")"),0)</f>
        <v>0</v>
      </c>
      <c r="Z23" s="55">
        <f ca="1">IFERROR(__xludf.DUMMYFUNCTION("IMPORTRANGE(""https://docs.google.com/spreadsheets/d/11923uPwbBZFjjGgGUA6NLw09EwE0CqkOc4q9oUmW1yo/edit?usp=sharing"",""พิจิตร!J372"")"),0)</f>
        <v>0</v>
      </c>
      <c r="AA23" s="55">
        <f ca="1">IFERROR(__xludf.DUMMYFUNCTION("IMPORTRANGE(""https://docs.google.com/spreadsheets/d/11923uPwbBZFjjGgGUA6NLw09EwE0CqkOc4q9oUmW1yo/edit?usp=sharing"",""พิจิตร!J373"")"),0)</f>
        <v>0</v>
      </c>
      <c r="AB23" s="55">
        <f ca="1">IFERROR(__xludf.DUMMYFUNCTION("IMPORTRANGE(""https://docs.google.com/spreadsheets/d/11923uPwbBZFjjGgGUA6NLw09EwE0CqkOc4q9oUmW1yo/edit?usp=sharing"",""พิจิตร!J374"")"),0)</f>
        <v>0</v>
      </c>
      <c r="AC23" s="55">
        <f ca="1">IFERROR(__xludf.DUMMYFUNCTION("IMPORTRANGE(""https://docs.google.com/spreadsheets/d/11923uPwbBZFjjGgGUA6NLw09EwE0CqkOc4q9oUmW1yo/edit?usp=sharing"",""พิจิตร!J375"")"),0)</f>
        <v>0</v>
      </c>
      <c r="AD23" s="55">
        <f t="shared" ca="1" si="66"/>
        <v>0</v>
      </c>
      <c r="AE23" s="99">
        <f t="shared" ca="1" si="9"/>
        <v>0</v>
      </c>
      <c r="AF23" s="55">
        <f t="shared" ca="1" si="67"/>
        <v>0</v>
      </c>
      <c r="AG23" s="99">
        <f t="shared" ca="1" si="10"/>
        <v>0</v>
      </c>
      <c r="AH23" s="55">
        <f ca="1">IFERROR(__xludf.DUMMYFUNCTION("IMPORTRANGE(""https://docs.google.com/spreadsheets/d/11923uPwbBZFjjGgGUA6NLw09EwE0CqkOc4q9oUmW1yo/edit?usp=sharing"",""พิจิตร!J378"")"),0)</f>
        <v>0</v>
      </c>
      <c r="AI23" s="55">
        <f ca="1">IFERROR(__xludf.DUMMYFUNCTION("IMPORTRANGE(""https://docs.google.com/spreadsheets/d/11923uPwbBZFjjGgGUA6NLw09EwE0CqkOc4q9oUmW1yo/edit?usp=sharing"",""พิจิตร!J379"")"),0)</f>
        <v>0</v>
      </c>
      <c r="AJ23" s="55">
        <f ca="1">IFERROR(__xludf.DUMMYFUNCTION("IMPORTRANGE(""https://docs.google.com/spreadsheets/d/11923uPwbBZFjjGgGUA6NLw09EwE0CqkOc4q9oUmW1yo/edit?usp=sharing"",""พิจิตร!J380"")"),0)</f>
        <v>0</v>
      </c>
      <c r="AK23" s="55">
        <f ca="1">IFERROR(__xludf.DUMMYFUNCTION("IMPORTRANGE(""https://docs.google.com/spreadsheets/d/11923uPwbBZFjjGgGUA6NLw09EwE0CqkOc4q9oUmW1yo/edit?usp=sharing"",""พิจิตร!J381"")"),0)</f>
        <v>0</v>
      </c>
      <c r="AL23" s="55">
        <f ca="1">IFERROR(__xludf.DUMMYFUNCTION("IMPORTRANGE(""https://docs.google.com/spreadsheets/d/11923uPwbBZFjjGgGUA6NLw09EwE0CqkOc4q9oUmW1yo/edit?usp=sharing"",""พิจิตร!J384"")"),0)</f>
        <v>0</v>
      </c>
      <c r="AM23" s="55">
        <f ca="1">IFERROR(__xludf.DUMMYFUNCTION("IMPORTRANGE(""https://docs.google.com/spreadsheets/d/11923uPwbBZFjjGgGUA6NLw09EwE0CqkOc4q9oUmW1yo/edit?usp=sharing"",""พิจิตร!J385"")"),0)</f>
        <v>0</v>
      </c>
      <c r="AN23" s="55">
        <f ca="1">IFERROR(__xludf.DUMMYFUNCTION("IMPORTRANGE(""https://docs.google.com/spreadsheets/d/11923uPwbBZFjjGgGUA6NLw09EwE0CqkOc4q9oUmW1yo/edit?usp=sharing"",""พิจิตร!J386"")"),0)</f>
        <v>0</v>
      </c>
      <c r="AO23" s="55">
        <f ca="1">IFERROR(__xludf.DUMMYFUNCTION("IMPORTRANGE(""https://docs.google.com/spreadsheets/d/11923uPwbBZFjjGgGUA6NLw09EwE0CqkOc4q9oUmW1yo/edit?usp=sharing"",""พิจิตร!J387"")"),0)</f>
        <v>0</v>
      </c>
      <c r="AP23" s="55">
        <f ca="1">IFERROR(__xludf.DUMMYFUNCTION("IMPORTRANGE(""https://docs.google.com/spreadsheets/d/11923uPwbBZFjjGgGUA6NLw09EwE0CqkOc4q9oUmW1yo/edit?usp=sharing"",""พิจิตร!J388"")"),0)</f>
        <v>0</v>
      </c>
      <c r="AQ23" s="55">
        <f ca="1">IFERROR(__xludf.DUMMYFUNCTION("IMPORTRANGE(""https://docs.google.com/spreadsheets/d/11923uPwbBZFjjGgGUA6NLw09EwE0CqkOc4q9oUmW1yo/edit?usp=sharing"",""พิจิตร!J389"")"),0)</f>
        <v>0</v>
      </c>
      <c r="AR23" s="402">
        <v>69</v>
      </c>
      <c r="AS23" s="402">
        <v>1363</v>
      </c>
      <c r="AT23" s="402">
        <f t="shared" ca="1" si="68"/>
        <v>0</v>
      </c>
      <c r="AU23" s="402">
        <f t="shared" ca="1" si="12"/>
        <v>0</v>
      </c>
      <c r="AV23" s="402">
        <f t="shared" ca="1" si="69"/>
        <v>0</v>
      </c>
      <c r="AW23" s="402">
        <f t="shared" ca="1" si="13"/>
        <v>0</v>
      </c>
      <c r="AX23" s="55">
        <f ca="1">IFERROR(__xludf.DUMMYFUNCTION("IMPORTRANGE(""https://docs.google.com/spreadsheets/d/11923uPwbBZFjjGgGUA6NLw09EwE0CqkOc4q9oUmW1yo/edit?usp=sharing"",""พิจิตร!J395"")"),0)</f>
        <v>0</v>
      </c>
      <c r="AY23" s="55">
        <f ca="1">IFERROR(__xludf.DUMMYFUNCTION("IMPORTRANGE(""https://docs.google.com/spreadsheets/d/11923uPwbBZFjjGgGUA6NLw09EwE0CqkOc4q9oUmW1yo/edit?usp=sharing"",""พิจิตร!J396"")"),0)</f>
        <v>0</v>
      </c>
      <c r="AZ23" s="55">
        <f ca="1">IFERROR(__xludf.DUMMYFUNCTION("IMPORTRANGE(""https://docs.google.com/spreadsheets/d/11923uPwbBZFjjGgGUA6NLw09EwE0CqkOc4q9oUmW1yo/edit?usp=sharing"",""พิจิตร!J397"")"),0)</f>
        <v>0</v>
      </c>
      <c r="BA23" s="55">
        <f ca="1">IFERROR(__xludf.DUMMYFUNCTION("IMPORTRANGE(""https://docs.google.com/spreadsheets/d/11923uPwbBZFjjGgGUA6NLw09EwE0CqkOc4q9oUmW1yo/edit?usp=sharing"",""พิจิตร!J398"")"),0)</f>
        <v>0</v>
      </c>
      <c r="BB23" s="55">
        <f ca="1">IFERROR(__xludf.DUMMYFUNCTION("IMPORTRANGE(""https://docs.google.com/spreadsheets/d/11923uPwbBZFjjGgGUA6NLw09EwE0CqkOc4q9oUmW1yo/edit?usp=sharing"",""พิจิตร!J399"")"),0)</f>
        <v>0</v>
      </c>
      <c r="BC23" s="55">
        <f ca="1">IFERROR(__xludf.DUMMYFUNCTION("IMPORTRANGE(""https://docs.google.com/spreadsheets/d/11923uPwbBZFjjGgGUA6NLw09EwE0CqkOc4q9oUmW1yo/edit?usp=sharing"",""พิจิตร!J400"")"),0)</f>
        <v>0</v>
      </c>
      <c r="BD23" s="55">
        <f ca="1">IFERROR(__xludf.DUMMYFUNCTION("IMPORTRANGE(""https://docs.google.com/spreadsheets/d/11923uPwbBZFjjGgGUA6NLw09EwE0CqkOc4q9oUmW1yo/edit?usp=sharing"",""พิจิตร!J403"")"),0)</f>
        <v>0</v>
      </c>
      <c r="BE23" s="55">
        <f ca="1">IFERROR(__xludf.DUMMYFUNCTION("IMPORTRANGE(""https://docs.google.com/spreadsheets/d/11923uPwbBZFjjGgGUA6NLw09EwE0CqkOc4q9oUmW1yo/edit?usp=sharing"",""พิจิตร!J404"")"),0)</f>
        <v>0</v>
      </c>
      <c r="BF23" s="55">
        <f ca="1">IFERROR(__xludf.DUMMYFUNCTION("IMPORTRANGE(""https://docs.google.com/spreadsheets/d/11923uPwbBZFjjGgGUA6NLw09EwE0CqkOc4q9oUmW1yo/edit?usp=sharing"",""พิจิตร!J405"")"),0)</f>
        <v>0</v>
      </c>
      <c r="BG23" s="55">
        <f ca="1">IFERROR(__xludf.DUMMYFUNCTION("IMPORTRANGE(""https://docs.google.com/spreadsheets/d/11923uPwbBZFjjGgGUA6NLw09EwE0CqkOc4q9oUmW1yo/edit?usp=sharing"",""พิจิตร!J406"")"),0)</f>
        <v>0</v>
      </c>
      <c r="BH23" s="55">
        <f ca="1">IFERROR(__xludf.DUMMYFUNCTION("IMPORTRANGE(""https://docs.google.com/spreadsheets/d/11923uPwbBZFjjGgGUA6NLw09EwE0CqkOc4q9oUmW1yo/edit?usp=sharing"",""พิจิตร!J407"")"),0)</f>
        <v>0</v>
      </c>
      <c r="BI23" s="55">
        <f ca="1">IFERROR(__xludf.DUMMYFUNCTION("IMPORTRANGE(""https://docs.google.com/spreadsheets/d/11923uPwbBZFjjGgGUA6NLw09EwE0CqkOc4q9oUmW1yo/edit?usp=sharing"",""พิจิตร!J408"")"),0)</f>
        <v>0</v>
      </c>
      <c r="BJ23" s="402">
        <v>74168</v>
      </c>
      <c r="BK23" s="402">
        <v>7854</v>
      </c>
      <c r="BL23" s="402">
        <f t="shared" ca="1" si="70"/>
        <v>0</v>
      </c>
      <c r="BM23" s="403">
        <f t="shared" ca="1" si="15"/>
        <v>0</v>
      </c>
      <c r="BN23" s="402">
        <f t="shared" ca="1" si="71"/>
        <v>0</v>
      </c>
      <c r="BO23" s="403">
        <f t="shared" ca="1" si="16"/>
        <v>0</v>
      </c>
      <c r="BP23" s="55">
        <f ca="1">IFERROR(__xludf.DUMMYFUNCTION("IMPORTRANGE(""https://docs.google.com/spreadsheets/d/11923uPwbBZFjjGgGUA6NLw09EwE0CqkOc4q9oUmW1yo/edit?usp=sharing"",""พิจิตร!J412"")"),0)</f>
        <v>0</v>
      </c>
      <c r="BQ23" s="55">
        <f ca="1">IFERROR(__xludf.DUMMYFUNCTION("IMPORTRANGE(""https://docs.google.com/spreadsheets/d/11923uPwbBZFjjGgGUA6NLw09EwE0CqkOc4q9oUmW1yo/edit?usp=sharing"",""พิจิตร!J413"")"),0)</f>
        <v>0</v>
      </c>
      <c r="BR23" s="55">
        <f ca="1">IFERROR(__xludf.DUMMYFUNCTION("IMPORTRANGE(""https://docs.google.com/spreadsheets/d/11923uPwbBZFjjGgGUA6NLw09EwE0CqkOc4q9oUmW1yo/edit?usp=sharing"",""พิจิตร!J414"")"),0)</f>
        <v>0</v>
      </c>
      <c r="BS23" s="55">
        <f ca="1">IFERROR(__xludf.DUMMYFUNCTION("IMPORTRANGE(""https://docs.google.com/spreadsheets/d/11923uPwbBZFjjGgGUA6NLw09EwE0CqkOc4q9oUmW1yo/edit?usp=sharing"",""พิจิตร!J415"")"),0)</f>
        <v>0</v>
      </c>
      <c r="BT23" s="55">
        <f ca="1">IFERROR(__xludf.DUMMYFUNCTION("IMPORTRANGE(""https://docs.google.com/spreadsheets/d/11923uPwbBZFjjGgGUA6NLw09EwE0CqkOc4q9oUmW1yo/edit?usp=sharing"",""พิจิตร!J416"")"),0)</f>
        <v>0</v>
      </c>
      <c r="BU23" s="55">
        <f ca="1">IFERROR(__xludf.DUMMYFUNCTION("IMPORTRANGE(""https://docs.google.com/spreadsheets/d/11923uPwbBZFjjGgGUA6NLw09EwE0CqkOc4q9oUmW1yo/edit?usp=sharing"",""พิจิตร!J417"")"),0)</f>
        <v>0</v>
      </c>
      <c r="BV23" s="402">
        <f t="shared" ca="1" si="72"/>
        <v>0</v>
      </c>
      <c r="BW23" s="403">
        <f t="shared" ca="1" si="18"/>
        <v>0</v>
      </c>
      <c r="BX23" s="402">
        <f t="shared" ca="1" si="73"/>
        <v>0</v>
      </c>
      <c r="BY23" s="403">
        <f t="shared" ca="1" si="19"/>
        <v>0</v>
      </c>
      <c r="BZ23" s="55">
        <f ca="1">IFERROR(__xludf.DUMMYFUNCTION("IMPORTRANGE(""https://docs.google.com/spreadsheets/d/11923uPwbBZFjjGgGUA6NLw09EwE0CqkOc4q9oUmW1yo/edit?usp=sharing"",""พิจิตร!J420"")"),0)</f>
        <v>0</v>
      </c>
      <c r="CA23" s="55">
        <f ca="1">IFERROR(__xludf.DUMMYFUNCTION("IMPORTRANGE(""https://docs.google.com/spreadsheets/d/11923uPwbBZFjjGgGUA6NLw09EwE0CqkOc4q9oUmW1yo/edit?usp=sharing"",""พิจิตร!J421"")"),0)</f>
        <v>0</v>
      </c>
      <c r="CB23" s="55">
        <f ca="1">IFERROR(__xludf.DUMMYFUNCTION("IMPORTRANGE(""https://docs.google.com/spreadsheets/d/11923uPwbBZFjjGgGUA6NLw09EwE0CqkOc4q9oUmW1yo/edit?usp=sharing"",""พิจิตร!J422"")"),0)</f>
        <v>0</v>
      </c>
      <c r="CC23" s="55">
        <f ca="1">IFERROR(__xludf.DUMMYFUNCTION("IMPORTRANGE(""https://docs.google.com/spreadsheets/d/11923uPwbBZFjjGgGUA6NLw09EwE0CqkOc4q9oUmW1yo/edit?usp=sharing"",""พิจิตร!J423"")"),0)</f>
        <v>0</v>
      </c>
      <c r="CD23" s="55">
        <f ca="1">IFERROR(__xludf.DUMMYFUNCTION("IMPORTRANGE(""https://docs.google.com/spreadsheets/d/11923uPwbBZFjjGgGUA6NLw09EwE0CqkOc4q9oUmW1yo/edit?usp=sharing"",""พิจิตร!J424"")"),0)</f>
        <v>0</v>
      </c>
      <c r="CE23" s="422">
        <f ca="1">IFERROR(__xludf.DUMMYFUNCTION("IMPORTRANGE(""https://docs.google.com/spreadsheets/d/11923uPwbBZFjjGgGUA6NLw09EwE0CqkOc4q9oUmW1yo/edit?usp=sharing"",""พิจิตร!J425"")"),0)</f>
        <v>0</v>
      </c>
    </row>
    <row r="24" spans="1:83" ht="24" customHeight="1" x14ac:dyDescent="0.5">
      <c r="A24" s="273">
        <v>9</v>
      </c>
      <c r="B24" s="274" t="s">
        <v>39</v>
      </c>
      <c r="C24" s="400">
        <f t="shared" si="61"/>
        <v>513544.91</v>
      </c>
      <c r="D24" s="55">
        <v>0</v>
      </c>
      <c r="E24" s="401">
        <v>513544.91</v>
      </c>
      <c r="F24" s="99">
        <f ca="1">IFERROR(__xludf.DUMMYFUNCTION("IMPORTRANGE(""https://docs.google.com/spreadsheets/d/11923uPwbBZFjjGgGUA6NLw09EwE0CqkOc4q9oUmW1yo/edit?usp=sharing"",""พิษณุโลก!M352"")"),32180.09)</f>
        <v>32180.09</v>
      </c>
      <c r="G24" s="99">
        <f t="shared" ca="1" si="1"/>
        <v>6.2662659824629561</v>
      </c>
      <c r="H24" s="57">
        <v>60571</v>
      </c>
      <c r="I24" s="57">
        <v>5640</v>
      </c>
      <c r="J24" s="55">
        <f t="shared" ca="1" si="62"/>
        <v>0</v>
      </c>
      <c r="K24" s="99">
        <f t="shared" ca="1" si="3"/>
        <v>0</v>
      </c>
      <c r="L24" s="55">
        <f t="shared" ca="1" si="63"/>
        <v>0</v>
      </c>
      <c r="M24" s="99">
        <f t="shared" ca="1" si="4"/>
        <v>0</v>
      </c>
      <c r="N24" s="55">
        <f ca="1">IFERROR(__xludf.DUMMYFUNCTION("IMPORTRANGE(""https://docs.google.com/spreadsheets/d/11923uPwbBZFjjGgGUA6NLw09EwE0CqkOc4q9oUmW1yo/edit?usp=sharing"",""พิษณุโลก!J362"")"),0)</f>
        <v>0</v>
      </c>
      <c r="O24" s="55">
        <f ca="1">IFERROR(__xludf.DUMMYFUNCTION("IMPORTRANGE(""https://docs.google.com/spreadsheets/d/11923uPwbBZFjjGgGUA6NLw09EwE0CqkOc4q9oUmW1yo/edit?usp=sharing"",""พิษณุโลก!J363"")"),0)</f>
        <v>0</v>
      </c>
      <c r="P24" s="55">
        <f ca="1">IFERROR(__xludf.DUMMYFUNCTION("IMPORTRANGE(""https://docs.google.com/spreadsheets/d/11923uPwbBZFjjGgGUA6NLw09EwE0CqkOc4q9oUmW1yo/edit?usp=sharing"",""พิษณุโลก!J364"")"),0)</f>
        <v>0</v>
      </c>
      <c r="Q24" s="55">
        <f ca="1">IFERROR(__xludf.DUMMYFUNCTION("IMPORTRANGE(""https://docs.google.com/spreadsheets/d/11923uPwbBZFjjGgGUA6NLw09EwE0CqkOc4q9oUmW1yo/edit?usp=sharing"",""พิษณุโลก!J365"")"),0)</f>
        <v>0</v>
      </c>
      <c r="R24" s="55">
        <f ca="1">IFERROR(__xludf.DUMMYFUNCTION("IMPORTRANGE(""https://docs.google.com/spreadsheets/d/11923uPwbBZFjjGgGUA6NLw09EwE0CqkOc4q9oUmW1yo/edit?usp=sharing"",""พิษณุโลก!J366"")"),0)</f>
        <v>0</v>
      </c>
      <c r="S24" s="55">
        <f ca="1">IFERROR(__xludf.DUMMYFUNCTION("IMPORTRANGE(""https://docs.google.com/spreadsheets/d/11923uPwbBZFjjGgGUA6NLw09EwE0CqkOc4q9oUmW1yo/edit?usp=sharing"",""พิษณุโลก!J367"")"),0)</f>
        <v>0</v>
      </c>
      <c r="T24" s="55">
        <f t="shared" ca="1" si="64"/>
        <v>0</v>
      </c>
      <c r="U24" s="55">
        <f t="shared" ca="1" si="6"/>
        <v>0</v>
      </c>
      <c r="V24" s="55">
        <f t="shared" ca="1" si="65"/>
        <v>0</v>
      </c>
      <c r="W24" s="55">
        <f t="shared" ca="1" si="7"/>
        <v>0</v>
      </c>
      <c r="X24" s="55">
        <f ca="1">IFERROR(__xludf.DUMMYFUNCTION("IMPORTRANGE(""https://docs.google.com/spreadsheets/d/11923uPwbBZFjjGgGUA6NLw09EwE0CqkOc4q9oUmW1yo/edit?usp=sharing"",""พิษณุโลก!J370"")"),0)</f>
        <v>0</v>
      </c>
      <c r="Y24" s="55">
        <f ca="1">IFERROR(__xludf.DUMMYFUNCTION("IMPORTRANGE(""https://docs.google.com/spreadsheets/d/11923uPwbBZFjjGgGUA6NLw09EwE0CqkOc4q9oUmW1yo/edit?usp=sharing"",""พิษณุโลก!J371"")"),0)</f>
        <v>0</v>
      </c>
      <c r="Z24" s="55">
        <f ca="1">IFERROR(__xludf.DUMMYFUNCTION("IMPORTRANGE(""https://docs.google.com/spreadsheets/d/11923uPwbBZFjjGgGUA6NLw09EwE0CqkOc4q9oUmW1yo/edit?usp=sharing"",""พิษณุโลก!J372"")"),0)</f>
        <v>0</v>
      </c>
      <c r="AA24" s="55">
        <f ca="1">IFERROR(__xludf.DUMMYFUNCTION("IMPORTRANGE(""https://docs.google.com/spreadsheets/d/11923uPwbBZFjjGgGUA6NLw09EwE0CqkOc4q9oUmW1yo/edit?usp=sharing"",""พิษณุโลก!J373"")"),0)</f>
        <v>0</v>
      </c>
      <c r="AB24" s="55">
        <f ca="1">IFERROR(__xludf.DUMMYFUNCTION("IMPORTRANGE(""https://docs.google.com/spreadsheets/d/11923uPwbBZFjjGgGUA6NLw09EwE0CqkOc4q9oUmW1yo/edit?usp=sharing"",""พิษณุโลก!J374"")"),0)</f>
        <v>0</v>
      </c>
      <c r="AC24" s="55">
        <f ca="1">IFERROR(__xludf.DUMMYFUNCTION("IMPORTRANGE(""https://docs.google.com/spreadsheets/d/11923uPwbBZFjjGgGUA6NLw09EwE0CqkOc4q9oUmW1yo/edit?usp=sharing"",""พิษณุโลก!J375"")"),0)</f>
        <v>0</v>
      </c>
      <c r="AD24" s="55">
        <f t="shared" ca="1" si="66"/>
        <v>0</v>
      </c>
      <c r="AE24" s="99">
        <f t="shared" ca="1" si="9"/>
        <v>0</v>
      </c>
      <c r="AF24" s="55">
        <f t="shared" ca="1" si="67"/>
        <v>0</v>
      </c>
      <c r="AG24" s="99">
        <f t="shared" ca="1" si="10"/>
        <v>0</v>
      </c>
      <c r="AH24" s="55">
        <f ca="1">IFERROR(__xludf.DUMMYFUNCTION("IMPORTRANGE(""https://docs.google.com/spreadsheets/d/11923uPwbBZFjjGgGUA6NLw09EwE0CqkOc4q9oUmW1yo/edit?usp=sharing"",""พิษณุโลก!J378"")"),0)</f>
        <v>0</v>
      </c>
      <c r="AI24" s="55">
        <f ca="1">IFERROR(__xludf.DUMMYFUNCTION("IMPORTRANGE(""https://docs.google.com/spreadsheets/d/11923uPwbBZFjjGgGUA6NLw09EwE0CqkOc4q9oUmW1yo/edit?usp=sharing"",""พิษณุโลก!J379"")"),0)</f>
        <v>0</v>
      </c>
      <c r="AJ24" s="55">
        <f ca="1">IFERROR(__xludf.DUMMYFUNCTION("IMPORTRANGE(""https://docs.google.com/spreadsheets/d/11923uPwbBZFjjGgGUA6NLw09EwE0CqkOc4q9oUmW1yo/edit?usp=sharing"",""พิษณุโลก!J380"")"),0)</f>
        <v>0</v>
      </c>
      <c r="AK24" s="55">
        <f ca="1">IFERROR(__xludf.DUMMYFUNCTION("IMPORTRANGE(""https://docs.google.com/spreadsheets/d/11923uPwbBZFjjGgGUA6NLw09EwE0CqkOc4q9oUmW1yo/edit?usp=sharing"",""พิษณุโลก!J381"")"),0)</f>
        <v>0</v>
      </c>
      <c r="AL24" s="55">
        <f ca="1">IFERROR(__xludf.DUMMYFUNCTION("IMPORTRANGE(""https://docs.google.com/spreadsheets/d/11923uPwbBZFjjGgGUA6NLw09EwE0CqkOc4q9oUmW1yo/edit?usp=sharing"",""พิษณุโลก!J384"")"),0)</f>
        <v>0</v>
      </c>
      <c r="AM24" s="55">
        <f ca="1">IFERROR(__xludf.DUMMYFUNCTION("IMPORTRANGE(""https://docs.google.com/spreadsheets/d/11923uPwbBZFjjGgGUA6NLw09EwE0CqkOc4q9oUmW1yo/edit?usp=sharing"",""พิษณุโลก!J385"")"),0)</f>
        <v>0</v>
      </c>
      <c r="AN24" s="55">
        <f ca="1">IFERROR(__xludf.DUMMYFUNCTION("IMPORTRANGE(""https://docs.google.com/spreadsheets/d/11923uPwbBZFjjGgGUA6NLw09EwE0CqkOc4q9oUmW1yo/edit?usp=sharing"",""พิษณุโลก!J386"")"),0)</f>
        <v>0</v>
      </c>
      <c r="AO24" s="55">
        <f ca="1">IFERROR(__xludf.DUMMYFUNCTION("IMPORTRANGE(""https://docs.google.com/spreadsheets/d/11923uPwbBZFjjGgGUA6NLw09EwE0CqkOc4q9oUmW1yo/edit?usp=sharing"",""พิษณุโลก!J387"")"),0)</f>
        <v>0</v>
      </c>
      <c r="AP24" s="55">
        <f ca="1">IFERROR(__xludf.DUMMYFUNCTION("IMPORTRANGE(""https://docs.google.com/spreadsheets/d/11923uPwbBZFjjGgGUA6NLw09EwE0CqkOc4q9oUmW1yo/edit?usp=sharing"",""พิษณุโลก!J388"")"),0)</f>
        <v>0</v>
      </c>
      <c r="AQ24" s="55">
        <f ca="1">IFERROR(__xludf.DUMMYFUNCTION("IMPORTRANGE(""https://docs.google.com/spreadsheets/d/11923uPwbBZFjjGgGUA6NLw09EwE0CqkOc4q9oUmW1yo/edit?usp=sharing"",""พิษณุโลก!J389"")"),0)</f>
        <v>0</v>
      </c>
      <c r="AR24" s="402">
        <v>99</v>
      </c>
      <c r="AS24" s="402">
        <v>1632</v>
      </c>
      <c r="AT24" s="402">
        <f t="shared" ca="1" si="68"/>
        <v>0</v>
      </c>
      <c r="AU24" s="402">
        <f t="shared" ca="1" si="12"/>
        <v>0</v>
      </c>
      <c r="AV24" s="402">
        <f t="shared" ca="1" si="69"/>
        <v>0</v>
      </c>
      <c r="AW24" s="402">
        <f t="shared" ca="1" si="13"/>
        <v>0</v>
      </c>
      <c r="AX24" s="55">
        <f ca="1">IFERROR(__xludf.DUMMYFUNCTION("IMPORTRANGE(""https://docs.google.com/spreadsheets/d/11923uPwbBZFjjGgGUA6NLw09EwE0CqkOc4q9oUmW1yo/edit?usp=sharing"",""พิษณุโลก!J395"")"),0)</f>
        <v>0</v>
      </c>
      <c r="AY24" s="55">
        <f ca="1">IFERROR(__xludf.DUMMYFUNCTION("IMPORTRANGE(""https://docs.google.com/spreadsheets/d/11923uPwbBZFjjGgGUA6NLw09EwE0CqkOc4q9oUmW1yo/edit?usp=sharing"",""พิษณุโลก!J396"")"),0)</f>
        <v>0</v>
      </c>
      <c r="AZ24" s="55">
        <f ca="1">IFERROR(__xludf.DUMMYFUNCTION("IMPORTRANGE(""https://docs.google.com/spreadsheets/d/11923uPwbBZFjjGgGUA6NLw09EwE0CqkOc4q9oUmW1yo/edit?usp=sharing"",""พิษณุโลก!J397"")"),0)</f>
        <v>0</v>
      </c>
      <c r="BA24" s="55">
        <f ca="1">IFERROR(__xludf.DUMMYFUNCTION("IMPORTRANGE(""https://docs.google.com/spreadsheets/d/11923uPwbBZFjjGgGUA6NLw09EwE0CqkOc4q9oUmW1yo/edit?usp=sharing"",""พิษณุโลก!J398"")"),0)</f>
        <v>0</v>
      </c>
      <c r="BB24" s="55">
        <f ca="1">IFERROR(__xludf.DUMMYFUNCTION("IMPORTRANGE(""https://docs.google.com/spreadsheets/d/11923uPwbBZFjjGgGUA6NLw09EwE0CqkOc4q9oUmW1yo/edit?usp=sharing"",""พิษณุโลก!J399"")"),0)</f>
        <v>0</v>
      </c>
      <c r="BC24" s="55">
        <f ca="1">IFERROR(__xludf.DUMMYFUNCTION("IMPORTRANGE(""https://docs.google.com/spreadsheets/d/11923uPwbBZFjjGgGUA6NLw09EwE0CqkOc4q9oUmW1yo/edit?usp=sharing"",""พิษณุโลก!J400"")"),0)</f>
        <v>0</v>
      </c>
      <c r="BD24" s="55">
        <f ca="1">IFERROR(__xludf.DUMMYFUNCTION("IMPORTRANGE(""https://docs.google.com/spreadsheets/d/11923uPwbBZFjjGgGUA6NLw09EwE0CqkOc4q9oUmW1yo/edit?usp=sharing"",""พิษณุโลก!J403"")"),0)</f>
        <v>0</v>
      </c>
      <c r="BE24" s="55">
        <f ca="1">IFERROR(__xludf.DUMMYFUNCTION("IMPORTRANGE(""https://docs.google.com/spreadsheets/d/11923uPwbBZFjjGgGUA6NLw09EwE0CqkOc4q9oUmW1yo/edit?usp=sharing"",""พิษณุโลก!J404"")"),0)</f>
        <v>0</v>
      </c>
      <c r="BF24" s="55">
        <f ca="1">IFERROR(__xludf.DUMMYFUNCTION("IMPORTRANGE(""https://docs.google.com/spreadsheets/d/11923uPwbBZFjjGgGUA6NLw09EwE0CqkOc4q9oUmW1yo/edit?usp=sharing"",""พิษณุโลก!J405"")"),0)</f>
        <v>0</v>
      </c>
      <c r="BG24" s="55">
        <f ca="1">IFERROR(__xludf.DUMMYFUNCTION("IMPORTRANGE(""https://docs.google.com/spreadsheets/d/11923uPwbBZFjjGgGUA6NLw09EwE0CqkOc4q9oUmW1yo/edit?usp=sharing"",""พิษณุโลก!J406"")"),0)</f>
        <v>0</v>
      </c>
      <c r="BH24" s="55">
        <f ca="1">IFERROR(__xludf.DUMMYFUNCTION("IMPORTRANGE(""https://docs.google.com/spreadsheets/d/11923uPwbBZFjjGgGUA6NLw09EwE0CqkOc4q9oUmW1yo/edit?usp=sharing"",""พิษณุโลก!J407"")"),0)</f>
        <v>0</v>
      </c>
      <c r="BI24" s="55">
        <f ca="1">IFERROR(__xludf.DUMMYFUNCTION("IMPORTRANGE(""https://docs.google.com/spreadsheets/d/11923uPwbBZFjjGgGUA6NLw09EwE0CqkOc4q9oUmW1yo/edit?usp=sharing"",""พิษณุโลก!J408"")"),0)</f>
        <v>0</v>
      </c>
      <c r="BJ24" s="402">
        <v>60571</v>
      </c>
      <c r="BK24" s="402">
        <v>5640</v>
      </c>
      <c r="BL24" s="402">
        <f t="shared" ca="1" si="70"/>
        <v>0</v>
      </c>
      <c r="BM24" s="403">
        <f t="shared" ca="1" si="15"/>
        <v>0</v>
      </c>
      <c r="BN24" s="402">
        <f t="shared" ca="1" si="71"/>
        <v>0</v>
      </c>
      <c r="BO24" s="403">
        <f t="shared" ca="1" si="16"/>
        <v>0</v>
      </c>
      <c r="BP24" s="55">
        <f ca="1">IFERROR(__xludf.DUMMYFUNCTION("IMPORTRANGE(""https://docs.google.com/spreadsheets/d/11923uPwbBZFjjGgGUA6NLw09EwE0CqkOc4q9oUmW1yo/edit?usp=sharing"",""พิษณุโลก!J412"")"),0)</f>
        <v>0</v>
      </c>
      <c r="BQ24" s="55">
        <f ca="1">IFERROR(__xludf.DUMMYFUNCTION("IMPORTRANGE(""https://docs.google.com/spreadsheets/d/11923uPwbBZFjjGgGUA6NLw09EwE0CqkOc4q9oUmW1yo/edit?usp=sharing"",""พิษณุโลก!J413"")"),0)</f>
        <v>0</v>
      </c>
      <c r="BR24" s="55">
        <f ca="1">IFERROR(__xludf.DUMMYFUNCTION("IMPORTRANGE(""https://docs.google.com/spreadsheets/d/11923uPwbBZFjjGgGUA6NLw09EwE0CqkOc4q9oUmW1yo/edit?usp=sharing"",""พิษณุโลก!J414"")"),0)</f>
        <v>0</v>
      </c>
      <c r="BS24" s="55">
        <f ca="1">IFERROR(__xludf.DUMMYFUNCTION("IMPORTRANGE(""https://docs.google.com/spreadsheets/d/11923uPwbBZFjjGgGUA6NLw09EwE0CqkOc4q9oUmW1yo/edit?usp=sharing"",""พิษณุโลก!J415"")"),0)</f>
        <v>0</v>
      </c>
      <c r="BT24" s="55">
        <f ca="1">IFERROR(__xludf.DUMMYFUNCTION("IMPORTRANGE(""https://docs.google.com/spreadsheets/d/11923uPwbBZFjjGgGUA6NLw09EwE0CqkOc4q9oUmW1yo/edit?usp=sharing"",""พิษณุโลก!J416"")"),0)</f>
        <v>0</v>
      </c>
      <c r="BU24" s="55">
        <f ca="1">IFERROR(__xludf.DUMMYFUNCTION("IMPORTRANGE(""https://docs.google.com/spreadsheets/d/11923uPwbBZFjjGgGUA6NLw09EwE0CqkOc4q9oUmW1yo/edit?usp=sharing"",""พิษณุโลก!J417"")"),0)</f>
        <v>0</v>
      </c>
      <c r="BV24" s="402">
        <f t="shared" ca="1" si="72"/>
        <v>0</v>
      </c>
      <c r="BW24" s="403">
        <f t="shared" ca="1" si="18"/>
        <v>0</v>
      </c>
      <c r="BX24" s="402">
        <f t="shared" ca="1" si="73"/>
        <v>0</v>
      </c>
      <c r="BY24" s="403">
        <f t="shared" ca="1" si="19"/>
        <v>0</v>
      </c>
      <c r="BZ24" s="55">
        <f ca="1">IFERROR(__xludf.DUMMYFUNCTION("IMPORTRANGE(""https://docs.google.com/spreadsheets/d/11923uPwbBZFjjGgGUA6NLw09EwE0CqkOc4q9oUmW1yo/edit?usp=sharing"",""พิษณุโลก!J420"")"),0)</f>
        <v>0</v>
      </c>
      <c r="CA24" s="55">
        <f ca="1">IFERROR(__xludf.DUMMYFUNCTION("IMPORTRANGE(""https://docs.google.com/spreadsheets/d/11923uPwbBZFjjGgGUA6NLw09EwE0CqkOc4q9oUmW1yo/edit?usp=sharing"",""พิษณุโลก!J421"")"),0)</f>
        <v>0</v>
      </c>
      <c r="CB24" s="55">
        <f ca="1">IFERROR(__xludf.DUMMYFUNCTION("IMPORTRANGE(""https://docs.google.com/spreadsheets/d/11923uPwbBZFjjGgGUA6NLw09EwE0CqkOc4q9oUmW1yo/edit?usp=sharing"",""พิษณุโลก!J422"")"),0)</f>
        <v>0</v>
      </c>
      <c r="CC24" s="55">
        <f ca="1">IFERROR(__xludf.DUMMYFUNCTION("IMPORTRANGE(""https://docs.google.com/spreadsheets/d/11923uPwbBZFjjGgGUA6NLw09EwE0CqkOc4q9oUmW1yo/edit?usp=sharing"",""พิษณุโลก!J423"")"),0)</f>
        <v>0</v>
      </c>
      <c r="CD24" s="55">
        <f ca="1">IFERROR(__xludf.DUMMYFUNCTION("IMPORTRANGE(""https://docs.google.com/spreadsheets/d/11923uPwbBZFjjGgGUA6NLw09EwE0CqkOc4q9oUmW1yo/edit?usp=sharing"",""พิษณุโลก!J424"")"),0)</f>
        <v>0</v>
      </c>
      <c r="CE24" s="422">
        <f ca="1">IFERROR(__xludf.DUMMYFUNCTION("IMPORTRANGE(""https://docs.google.com/spreadsheets/d/11923uPwbBZFjjGgGUA6NLw09EwE0CqkOc4q9oUmW1yo/edit?usp=sharing"",""พิษณุโลก!J425"")"),0)</f>
        <v>0</v>
      </c>
    </row>
    <row r="25" spans="1:83" ht="24" customHeight="1" x14ac:dyDescent="0.5">
      <c r="A25" s="273">
        <v>10</v>
      </c>
      <c r="B25" s="274" t="s">
        <v>40</v>
      </c>
      <c r="C25" s="400">
        <f t="shared" si="61"/>
        <v>527975.67000000004</v>
      </c>
      <c r="D25" s="55">
        <v>0</v>
      </c>
      <c r="E25" s="401">
        <v>527975.67000000004</v>
      </c>
      <c r="F25" s="99">
        <f ca="1">IFERROR(__xludf.DUMMYFUNCTION("IMPORTRANGE(""https://docs.google.com/spreadsheets/d/11923uPwbBZFjjGgGUA6NLw09EwE0CqkOc4q9oUmW1yo/edit?usp=sharing"",""เพชรบูรณ์!M352"")"),0)</f>
        <v>0</v>
      </c>
      <c r="G25" s="99">
        <f t="shared" ca="1" si="1"/>
        <v>0</v>
      </c>
      <c r="H25" s="57">
        <v>54417</v>
      </c>
      <c r="I25" s="57">
        <v>3219</v>
      </c>
      <c r="J25" s="55">
        <f t="shared" ca="1" si="62"/>
        <v>0</v>
      </c>
      <c r="K25" s="99">
        <f t="shared" ca="1" si="3"/>
        <v>0</v>
      </c>
      <c r="L25" s="55">
        <f t="shared" ca="1" si="63"/>
        <v>0</v>
      </c>
      <c r="M25" s="99">
        <f t="shared" ca="1" si="4"/>
        <v>0</v>
      </c>
      <c r="N25" s="55">
        <f ca="1">IFERROR(__xludf.DUMMYFUNCTION("IMPORTRANGE(""https://docs.google.com/spreadsheets/d/11923uPwbBZFjjGgGUA6NLw09EwE0CqkOc4q9oUmW1yo/edit?usp=sharing"",""เพชรบูรณ์!J362"")"),0)</f>
        <v>0</v>
      </c>
      <c r="O25" s="55">
        <f ca="1">IFERROR(__xludf.DUMMYFUNCTION("IMPORTRANGE(""https://docs.google.com/spreadsheets/d/11923uPwbBZFjjGgGUA6NLw09EwE0CqkOc4q9oUmW1yo/edit?usp=sharing"",""เพชรบูรณ์!J363"")"),0)</f>
        <v>0</v>
      </c>
      <c r="P25" s="55">
        <f ca="1">IFERROR(__xludf.DUMMYFUNCTION("IMPORTRANGE(""https://docs.google.com/spreadsheets/d/11923uPwbBZFjjGgGUA6NLw09EwE0CqkOc4q9oUmW1yo/edit?usp=sharing"",""เพชรบูรณ์!J364"")"),0)</f>
        <v>0</v>
      </c>
      <c r="Q25" s="55">
        <f ca="1">IFERROR(__xludf.DUMMYFUNCTION("IMPORTRANGE(""https://docs.google.com/spreadsheets/d/11923uPwbBZFjjGgGUA6NLw09EwE0CqkOc4q9oUmW1yo/edit?usp=sharing"",""เพชรบูรณ์!J365"")"),0)</f>
        <v>0</v>
      </c>
      <c r="R25" s="55">
        <f ca="1">IFERROR(__xludf.DUMMYFUNCTION("IMPORTRANGE(""https://docs.google.com/spreadsheets/d/11923uPwbBZFjjGgGUA6NLw09EwE0CqkOc4q9oUmW1yo/edit?usp=sharing"",""เพชรบูรณ์!J366"")"),0)</f>
        <v>0</v>
      </c>
      <c r="S25" s="55">
        <f ca="1">IFERROR(__xludf.DUMMYFUNCTION("IMPORTRANGE(""https://docs.google.com/spreadsheets/d/11923uPwbBZFjjGgGUA6NLw09EwE0CqkOc4q9oUmW1yo/edit?usp=sharing"",""เพชรบูรณ์!J367"")"),0)</f>
        <v>0</v>
      </c>
      <c r="T25" s="55">
        <f t="shared" ca="1" si="64"/>
        <v>0</v>
      </c>
      <c r="U25" s="55">
        <f t="shared" ca="1" si="6"/>
        <v>0</v>
      </c>
      <c r="V25" s="55">
        <f t="shared" ca="1" si="65"/>
        <v>0</v>
      </c>
      <c r="W25" s="55">
        <f t="shared" ca="1" si="7"/>
        <v>0</v>
      </c>
      <c r="X25" s="55">
        <f ca="1">IFERROR(__xludf.DUMMYFUNCTION("IMPORTRANGE(""https://docs.google.com/spreadsheets/d/11923uPwbBZFjjGgGUA6NLw09EwE0CqkOc4q9oUmW1yo/edit?usp=sharing"",""เพชรบูรณ์!J370"")"),0)</f>
        <v>0</v>
      </c>
      <c r="Y25" s="55">
        <f ca="1">IFERROR(__xludf.DUMMYFUNCTION("IMPORTRANGE(""https://docs.google.com/spreadsheets/d/11923uPwbBZFjjGgGUA6NLw09EwE0CqkOc4q9oUmW1yo/edit?usp=sharing"",""เพชรบูรณ์!J371"")"),0)</f>
        <v>0</v>
      </c>
      <c r="Z25" s="55">
        <f ca="1">IFERROR(__xludf.DUMMYFUNCTION("IMPORTRANGE(""https://docs.google.com/spreadsheets/d/11923uPwbBZFjjGgGUA6NLw09EwE0CqkOc4q9oUmW1yo/edit?usp=sharing"",""เพชรบูรณ์!J372"")"),0)</f>
        <v>0</v>
      </c>
      <c r="AA25" s="55">
        <f ca="1">IFERROR(__xludf.DUMMYFUNCTION("IMPORTRANGE(""https://docs.google.com/spreadsheets/d/11923uPwbBZFjjGgGUA6NLw09EwE0CqkOc4q9oUmW1yo/edit?usp=sharing"",""เพชรบูรณ์!J373"")"),0)</f>
        <v>0</v>
      </c>
      <c r="AB25" s="55">
        <f ca="1">IFERROR(__xludf.DUMMYFUNCTION("IMPORTRANGE(""https://docs.google.com/spreadsheets/d/11923uPwbBZFjjGgGUA6NLw09EwE0CqkOc4q9oUmW1yo/edit?usp=sharing"",""เพชรบูรณ์!J374"")"),0)</f>
        <v>0</v>
      </c>
      <c r="AC25" s="55">
        <f ca="1">IFERROR(__xludf.DUMMYFUNCTION("IMPORTRANGE(""https://docs.google.com/spreadsheets/d/11923uPwbBZFjjGgGUA6NLw09EwE0CqkOc4q9oUmW1yo/edit?usp=sharing"",""เพชรบูรณ์!J375"")"),0)</f>
        <v>0</v>
      </c>
      <c r="AD25" s="55">
        <f t="shared" ca="1" si="66"/>
        <v>0</v>
      </c>
      <c r="AE25" s="99">
        <f t="shared" ca="1" si="9"/>
        <v>0</v>
      </c>
      <c r="AF25" s="55">
        <f t="shared" ca="1" si="67"/>
        <v>0</v>
      </c>
      <c r="AG25" s="99">
        <f t="shared" ca="1" si="10"/>
        <v>0</v>
      </c>
      <c r="AH25" s="55">
        <f ca="1">IFERROR(__xludf.DUMMYFUNCTION("IMPORTRANGE(""https://docs.google.com/spreadsheets/d/11923uPwbBZFjjGgGUA6NLw09EwE0CqkOc4q9oUmW1yo/edit?usp=sharing"",""เพชรบูรณ์!J378"")"),0)</f>
        <v>0</v>
      </c>
      <c r="AI25" s="55">
        <f ca="1">IFERROR(__xludf.DUMMYFUNCTION("IMPORTRANGE(""https://docs.google.com/spreadsheets/d/11923uPwbBZFjjGgGUA6NLw09EwE0CqkOc4q9oUmW1yo/edit?usp=sharing"",""เพชรบูรณ์!J379"")"),0)</f>
        <v>0</v>
      </c>
      <c r="AJ25" s="55">
        <f ca="1">IFERROR(__xludf.DUMMYFUNCTION("IMPORTRANGE(""https://docs.google.com/spreadsheets/d/11923uPwbBZFjjGgGUA6NLw09EwE0CqkOc4q9oUmW1yo/edit?usp=sharing"",""เพชรบูรณ์!J380"")"),0)</f>
        <v>0</v>
      </c>
      <c r="AK25" s="55">
        <f ca="1">IFERROR(__xludf.DUMMYFUNCTION("IMPORTRANGE(""https://docs.google.com/spreadsheets/d/11923uPwbBZFjjGgGUA6NLw09EwE0CqkOc4q9oUmW1yo/edit?usp=sharing"",""เพชรบูรณ์!J381"")"),0)</f>
        <v>0</v>
      </c>
      <c r="AL25" s="55">
        <f ca="1">IFERROR(__xludf.DUMMYFUNCTION("IMPORTRANGE(""https://docs.google.com/spreadsheets/d/11923uPwbBZFjjGgGUA6NLw09EwE0CqkOc4q9oUmW1yo/edit?usp=sharing"",""เพชรบูรณ์!J384"")"),0)</f>
        <v>0</v>
      </c>
      <c r="AM25" s="55">
        <f ca="1">IFERROR(__xludf.DUMMYFUNCTION("IMPORTRANGE(""https://docs.google.com/spreadsheets/d/11923uPwbBZFjjGgGUA6NLw09EwE0CqkOc4q9oUmW1yo/edit?usp=sharing"",""เพชรบูรณ์!J385"")"),0)</f>
        <v>0</v>
      </c>
      <c r="AN25" s="55">
        <f ca="1">IFERROR(__xludf.DUMMYFUNCTION("IMPORTRANGE(""https://docs.google.com/spreadsheets/d/11923uPwbBZFjjGgGUA6NLw09EwE0CqkOc4q9oUmW1yo/edit?usp=sharing"",""เพชรบูรณ์!J386"")"),0)</f>
        <v>0</v>
      </c>
      <c r="AO25" s="55">
        <f ca="1">IFERROR(__xludf.DUMMYFUNCTION("IMPORTRANGE(""https://docs.google.com/spreadsheets/d/11923uPwbBZFjjGgGUA6NLw09EwE0CqkOc4q9oUmW1yo/edit?usp=sharing"",""เพชรบูรณ์!J387"")"),0)</f>
        <v>0</v>
      </c>
      <c r="AP25" s="55">
        <f ca="1">IFERROR(__xludf.DUMMYFUNCTION("IMPORTRANGE(""https://docs.google.com/spreadsheets/d/11923uPwbBZFjjGgGUA6NLw09EwE0CqkOc4q9oUmW1yo/edit?usp=sharing"",""เพชรบูรณ์!J388"")"),0)</f>
        <v>0</v>
      </c>
      <c r="AQ25" s="55">
        <f ca="1">IFERROR(__xludf.DUMMYFUNCTION("IMPORTRANGE(""https://docs.google.com/spreadsheets/d/11923uPwbBZFjjGgGUA6NLw09EwE0CqkOc4q9oUmW1yo/edit?usp=sharing"",""เพชรบูรณ์!J389"")"),0)</f>
        <v>0</v>
      </c>
      <c r="AR25" s="402">
        <v>647</v>
      </c>
      <c r="AS25" s="402">
        <v>15939</v>
      </c>
      <c r="AT25" s="402">
        <f t="shared" ca="1" si="68"/>
        <v>0</v>
      </c>
      <c r="AU25" s="402">
        <f t="shared" ca="1" si="12"/>
        <v>0</v>
      </c>
      <c r="AV25" s="402">
        <f t="shared" ca="1" si="69"/>
        <v>0</v>
      </c>
      <c r="AW25" s="402">
        <f t="shared" ca="1" si="13"/>
        <v>0</v>
      </c>
      <c r="AX25" s="55">
        <f ca="1">IFERROR(__xludf.DUMMYFUNCTION("IMPORTRANGE(""https://docs.google.com/spreadsheets/d/11923uPwbBZFjjGgGUA6NLw09EwE0CqkOc4q9oUmW1yo/edit?usp=sharing"",""เพชรบูรณ์!J395"")"),0)</f>
        <v>0</v>
      </c>
      <c r="AY25" s="55">
        <f ca="1">IFERROR(__xludf.DUMMYFUNCTION("IMPORTRANGE(""https://docs.google.com/spreadsheets/d/11923uPwbBZFjjGgGUA6NLw09EwE0CqkOc4q9oUmW1yo/edit?usp=sharing"",""เพชรบูรณ์!J396"")"),0)</f>
        <v>0</v>
      </c>
      <c r="AZ25" s="55">
        <f ca="1">IFERROR(__xludf.DUMMYFUNCTION("IMPORTRANGE(""https://docs.google.com/spreadsheets/d/11923uPwbBZFjjGgGUA6NLw09EwE0CqkOc4q9oUmW1yo/edit?usp=sharing"",""เพชรบูรณ์!J397"")"),0)</f>
        <v>0</v>
      </c>
      <c r="BA25" s="55">
        <f ca="1">IFERROR(__xludf.DUMMYFUNCTION("IMPORTRANGE(""https://docs.google.com/spreadsheets/d/11923uPwbBZFjjGgGUA6NLw09EwE0CqkOc4q9oUmW1yo/edit?usp=sharing"",""เพชรบูรณ์!J398"")"),0)</f>
        <v>0</v>
      </c>
      <c r="BB25" s="55">
        <f ca="1">IFERROR(__xludf.DUMMYFUNCTION("IMPORTRANGE(""https://docs.google.com/spreadsheets/d/11923uPwbBZFjjGgGUA6NLw09EwE0CqkOc4q9oUmW1yo/edit?usp=sharing"",""เพชรบูรณ์!J399"")"),0)</f>
        <v>0</v>
      </c>
      <c r="BC25" s="55">
        <f ca="1">IFERROR(__xludf.DUMMYFUNCTION("IMPORTRANGE(""https://docs.google.com/spreadsheets/d/11923uPwbBZFjjGgGUA6NLw09EwE0CqkOc4q9oUmW1yo/edit?usp=sharing"",""เพชรบูรณ์!J400"")"),0)</f>
        <v>0</v>
      </c>
      <c r="BD25" s="55">
        <f ca="1">IFERROR(__xludf.DUMMYFUNCTION("IMPORTRANGE(""https://docs.google.com/spreadsheets/d/11923uPwbBZFjjGgGUA6NLw09EwE0CqkOc4q9oUmW1yo/edit?usp=sharing"",""เพชรบูรณ์!J403"")"),0)</f>
        <v>0</v>
      </c>
      <c r="BE25" s="55">
        <f ca="1">IFERROR(__xludf.DUMMYFUNCTION("IMPORTRANGE(""https://docs.google.com/spreadsheets/d/11923uPwbBZFjjGgGUA6NLw09EwE0CqkOc4q9oUmW1yo/edit?usp=sharing"",""เพชรบูรณ์!J404"")"),0)</f>
        <v>0</v>
      </c>
      <c r="BF25" s="55">
        <f ca="1">IFERROR(__xludf.DUMMYFUNCTION("IMPORTRANGE(""https://docs.google.com/spreadsheets/d/11923uPwbBZFjjGgGUA6NLw09EwE0CqkOc4q9oUmW1yo/edit?usp=sharing"",""เพชรบูรณ์!J405"")"),0)</f>
        <v>0</v>
      </c>
      <c r="BG25" s="55">
        <f ca="1">IFERROR(__xludf.DUMMYFUNCTION("IMPORTRANGE(""https://docs.google.com/spreadsheets/d/11923uPwbBZFjjGgGUA6NLw09EwE0CqkOc4q9oUmW1yo/edit?usp=sharing"",""เพชรบูรณ์!J406"")"),0)</f>
        <v>0</v>
      </c>
      <c r="BH25" s="55">
        <f ca="1">IFERROR(__xludf.DUMMYFUNCTION("IMPORTRANGE(""https://docs.google.com/spreadsheets/d/11923uPwbBZFjjGgGUA6NLw09EwE0CqkOc4q9oUmW1yo/edit?usp=sharing"",""เพชรบูรณ์!J407"")"),0)</f>
        <v>0</v>
      </c>
      <c r="BI25" s="55">
        <f ca="1">IFERROR(__xludf.DUMMYFUNCTION("IMPORTRANGE(""https://docs.google.com/spreadsheets/d/11923uPwbBZFjjGgGUA6NLw09EwE0CqkOc4q9oUmW1yo/edit?usp=sharing"",""เพชรบูรณ์!J408"")"),0)</f>
        <v>0</v>
      </c>
      <c r="BJ25" s="402">
        <v>54417</v>
      </c>
      <c r="BK25" s="402">
        <v>3219</v>
      </c>
      <c r="BL25" s="402">
        <f t="shared" ca="1" si="70"/>
        <v>0</v>
      </c>
      <c r="BM25" s="403">
        <f t="shared" ca="1" si="15"/>
        <v>0</v>
      </c>
      <c r="BN25" s="402">
        <f t="shared" ca="1" si="71"/>
        <v>0</v>
      </c>
      <c r="BO25" s="403">
        <f t="shared" ca="1" si="16"/>
        <v>0</v>
      </c>
      <c r="BP25" s="55">
        <f ca="1">IFERROR(__xludf.DUMMYFUNCTION("IMPORTRANGE(""https://docs.google.com/spreadsheets/d/11923uPwbBZFjjGgGUA6NLw09EwE0CqkOc4q9oUmW1yo/edit?usp=sharing"",""เพชรบูรณ์!J412"")"),0)</f>
        <v>0</v>
      </c>
      <c r="BQ25" s="55">
        <f ca="1">IFERROR(__xludf.DUMMYFUNCTION("IMPORTRANGE(""https://docs.google.com/spreadsheets/d/11923uPwbBZFjjGgGUA6NLw09EwE0CqkOc4q9oUmW1yo/edit?usp=sharing"",""เพชรบูรณ์!J413"")"),0)</f>
        <v>0</v>
      </c>
      <c r="BR25" s="55">
        <f ca="1">IFERROR(__xludf.DUMMYFUNCTION("IMPORTRANGE(""https://docs.google.com/spreadsheets/d/11923uPwbBZFjjGgGUA6NLw09EwE0CqkOc4q9oUmW1yo/edit?usp=sharing"",""เพชรบูรณ์!J414"")"),0)</f>
        <v>0</v>
      </c>
      <c r="BS25" s="55">
        <f ca="1">IFERROR(__xludf.DUMMYFUNCTION("IMPORTRANGE(""https://docs.google.com/spreadsheets/d/11923uPwbBZFjjGgGUA6NLw09EwE0CqkOc4q9oUmW1yo/edit?usp=sharing"",""เพชรบูรณ์!J415"")"),0)</f>
        <v>0</v>
      </c>
      <c r="BT25" s="55">
        <f ca="1">IFERROR(__xludf.DUMMYFUNCTION("IMPORTRANGE(""https://docs.google.com/spreadsheets/d/11923uPwbBZFjjGgGUA6NLw09EwE0CqkOc4q9oUmW1yo/edit?usp=sharing"",""เพชรบูรณ์!J416"")"),0)</f>
        <v>0</v>
      </c>
      <c r="BU25" s="55">
        <f ca="1">IFERROR(__xludf.DUMMYFUNCTION("IMPORTRANGE(""https://docs.google.com/spreadsheets/d/11923uPwbBZFjjGgGUA6NLw09EwE0CqkOc4q9oUmW1yo/edit?usp=sharing"",""เพชรบูรณ์!J417"")"),0)</f>
        <v>0</v>
      </c>
      <c r="BV25" s="402">
        <f t="shared" ca="1" si="72"/>
        <v>0</v>
      </c>
      <c r="BW25" s="403">
        <f t="shared" ca="1" si="18"/>
        <v>0</v>
      </c>
      <c r="BX25" s="402">
        <f t="shared" ca="1" si="73"/>
        <v>0</v>
      </c>
      <c r="BY25" s="403">
        <f t="shared" ca="1" si="19"/>
        <v>0</v>
      </c>
      <c r="BZ25" s="55">
        <f ca="1">IFERROR(__xludf.DUMMYFUNCTION("IMPORTRANGE(""https://docs.google.com/spreadsheets/d/11923uPwbBZFjjGgGUA6NLw09EwE0CqkOc4q9oUmW1yo/edit?usp=sharing"",""เพชรบูรณ์!J420"")"),0)</f>
        <v>0</v>
      </c>
      <c r="CA25" s="55">
        <f ca="1">IFERROR(__xludf.DUMMYFUNCTION("IMPORTRANGE(""https://docs.google.com/spreadsheets/d/11923uPwbBZFjjGgGUA6NLw09EwE0CqkOc4q9oUmW1yo/edit?usp=sharing"",""เพชรบูรณ์!J421"")"),0)</f>
        <v>0</v>
      </c>
      <c r="CB25" s="55">
        <f ca="1">IFERROR(__xludf.DUMMYFUNCTION("IMPORTRANGE(""https://docs.google.com/spreadsheets/d/11923uPwbBZFjjGgGUA6NLw09EwE0CqkOc4q9oUmW1yo/edit?usp=sharing"",""เพชรบูรณ์!J422"")"),0)</f>
        <v>0</v>
      </c>
      <c r="CC25" s="55">
        <f ca="1">IFERROR(__xludf.DUMMYFUNCTION("IMPORTRANGE(""https://docs.google.com/spreadsheets/d/11923uPwbBZFjjGgGUA6NLw09EwE0CqkOc4q9oUmW1yo/edit?usp=sharing"",""เพชรบูรณ์!J423"")"),0)</f>
        <v>0</v>
      </c>
      <c r="CD25" s="55">
        <f ca="1">IFERROR(__xludf.DUMMYFUNCTION("IMPORTRANGE(""https://docs.google.com/spreadsheets/d/11923uPwbBZFjjGgGUA6NLw09EwE0CqkOc4q9oUmW1yo/edit?usp=sharing"",""เพชรบูรณ์!J424"")"),0)</f>
        <v>0</v>
      </c>
      <c r="CE25" s="422">
        <f ca="1">IFERROR(__xludf.DUMMYFUNCTION("IMPORTRANGE(""https://docs.google.com/spreadsheets/d/11923uPwbBZFjjGgGUA6NLw09EwE0CqkOc4q9oUmW1yo/edit?usp=sharing"",""เพชรบูรณ์!J425"")"),0)</f>
        <v>0</v>
      </c>
    </row>
    <row r="26" spans="1:83" ht="24" customHeight="1" x14ac:dyDescent="0.5">
      <c r="A26" s="273">
        <v>11</v>
      </c>
      <c r="B26" s="274" t="s">
        <v>41</v>
      </c>
      <c r="C26" s="400">
        <f t="shared" si="61"/>
        <v>87019.87</v>
      </c>
      <c r="D26" s="55">
        <v>0</v>
      </c>
      <c r="E26" s="401">
        <v>87019.87</v>
      </c>
      <c r="F26" s="99">
        <f ca="1">IFERROR(__xludf.DUMMYFUNCTION("IMPORTRANGE(""https://docs.google.com/spreadsheets/d/11923uPwbBZFjjGgGUA6NLw09EwE0CqkOc4q9oUmW1yo/edit?usp=sharing"",""แพร่!M352"")"),0)</f>
        <v>0</v>
      </c>
      <c r="G26" s="99">
        <f t="shared" ca="1" si="1"/>
        <v>0</v>
      </c>
      <c r="H26" s="57">
        <v>4494</v>
      </c>
      <c r="I26" s="57">
        <v>1189</v>
      </c>
      <c r="J26" s="55">
        <f t="shared" ca="1" si="62"/>
        <v>0</v>
      </c>
      <c r="K26" s="99">
        <f t="shared" ca="1" si="3"/>
        <v>0</v>
      </c>
      <c r="L26" s="55">
        <f t="shared" ca="1" si="63"/>
        <v>0</v>
      </c>
      <c r="M26" s="99">
        <f t="shared" ca="1" si="4"/>
        <v>0</v>
      </c>
      <c r="N26" s="55">
        <f ca="1">IFERROR(__xludf.DUMMYFUNCTION("IMPORTRANGE(""https://docs.google.com/spreadsheets/d/11923uPwbBZFjjGgGUA6NLw09EwE0CqkOc4q9oUmW1yo/edit?usp=sharing"",""แพร่!J362"")"),0)</f>
        <v>0</v>
      </c>
      <c r="O26" s="55">
        <f ca="1">IFERROR(__xludf.DUMMYFUNCTION("IMPORTRANGE(""https://docs.google.com/spreadsheets/d/11923uPwbBZFjjGgGUA6NLw09EwE0CqkOc4q9oUmW1yo/edit?usp=sharing"",""แพร่!J363"")"),0)</f>
        <v>0</v>
      </c>
      <c r="P26" s="55">
        <f ca="1">IFERROR(__xludf.DUMMYFUNCTION("IMPORTRANGE(""https://docs.google.com/spreadsheets/d/11923uPwbBZFjjGgGUA6NLw09EwE0CqkOc4q9oUmW1yo/edit?usp=sharing"",""แพร่!J364"")"),0)</f>
        <v>0</v>
      </c>
      <c r="Q26" s="55">
        <f ca="1">IFERROR(__xludf.DUMMYFUNCTION("IMPORTRANGE(""https://docs.google.com/spreadsheets/d/11923uPwbBZFjjGgGUA6NLw09EwE0CqkOc4q9oUmW1yo/edit?usp=sharing"",""แพร่!J365"")"),0)</f>
        <v>0</v>
      </c>
      <c r="R26" s="55">
        <f ca="1">IFERROR(__xludf.DUMMYFUNCTION("IMPORTRANGE(""https://docs.google.com/spreadsheets/d/11923uPwbBZFjjGgGUA6NLw09EwE0CqkOc4q9oUmW1yo/edit?usp=sharing"",""แพร่!J366"")"),0)</f>
        <v>0</v>
      </c>
      <c r="S26" s="55">
        <f ca="1">IFERROR(__xludf.DUMMYFUNCTION("IMPORTRANGE(""https://docs.google.com/spreadsheets/d/11923uPwbBZFjjGgGUA6NLw09EwE0CqkOc4q9oUmW1yo/edit?usp=sharing"",""แพร่!J367"")"),0)</f>
        <v>0</v>
      </c>
      <c r="T26" s="55">
        <f t="shared" ca="1" si="64"/>
        <v>0</v>
      </c>
      <c r="U26" s="55">
        <f t="shared" ca="1" si="6"/>
        <v>0</v>
      </c>
      <c r="V26" s="55">
        <f t="shared" ca="1" si="65"/>
        <v>0</v>
      </c>
      <c r="W26" s="55">
        <f t="shared" ca="1" si="7"/>
        <v>0</v>
      </c>
      <c r="X26" s="55">
        <f ca="1">IFERROR(__xludf.DUMMYFUNCTION("IMPORTRANGE(""https://docs.google.com/spreadsheets/d/11923uPwbBZFjjGgGUA6NLw09EwE0CqkOc4q9oUmW1yo/edit?usp=sharing"",""แพร่!J370"")"),0)</f>
        <v>0</v>
      </c>
      <c r="Y26" s="55">
        <f ca="1">IFERROR(__xludf.DUMMYFUNCTION("IMPORTRANGE(""https://docs.google.com/spreadsheets/d/11923uPwbBZFjjGgGUA6NLw09EwE0CqkOc4q9oUmW1yo/edit?usp=sharing"",""แพร่!J371"")"),0)</f>
        <v>0</v>
      </c>
      <c r="Z26" s="55">
        <f ca="1">IFERROR(__xludf.DUMMYFUNCTION("IMPORTRANGE(""https://docs.google.com/spreadsheets/d/11923uPwbBZFjjGgGUA6NLw09EwE0CqkOc4q9oUmW1yo/edit?usp=sharing"",""แพร่!J372"")"),0)</f>
        <v>0</v>
      </c>
      <c r="AA26" s="55">
        <f ca="1">IFERROR(__xludf.DUMMYFUNCTION("IMPORTRANGE(""https://docs.google.com/spreadsheets/d/11923uPwbBZFjjGgGUA6NLw09EwE0CqkOc4q9oUmW1yo/edit?usp=sharing"",""แพร่!J373"")"),0)</f>
        <v>0</v>
      </c>
      <c r="AB26" s="55">
        <f ca="1">IFERROR(__xludf.DUMMYFUNCTION("IMPORTRANGE(""https://docs.google.com/spreadsheets/d/11923uPwbBZFjjGgGUA6NLw09EwE0CqkOc4q9oUmW1yo/edit?usp=sharing"",""แพร่!J374"")"),0)</f>
        <v>0</v>
      </c>
      <c r="AC26" s="55">
        <f ca="1">IFERROR(__xludf.DUMMYFUNCTION("IMPORTRANGE(""https://docs.google.com/spreadsheets/d/11923uPwbBZFjjGgGUA6NLw09EwE0CqkOc4q9oUmW1yo/edit?usp=sharing"",""แพร่!J375"")"),0)</f>
        <v>0</v>
      </c>
      <c r="AD26" s="55">
        <f t="shared" ca="1" si="66"/>
        <v>0</v>
      </c>
      <c r="AE26" s="99">
        <f t="shared" ca="1" si="9"/>
        <v>0</v>
      </c>
      <c r="AF26" s="55">
        <f t="shared" ca="1" si="67"/>
        <v>0</v>
      </c>
      <c r="AG26" s="99">
        <f t="shared" ca="1" si="10"/>
        <v>0</v>
      </c>
      <c r="AH26" s="55">
        <f ca="1">IFERROR(__xludf.DUMMYFUNCTION("IMPORTRANGE(""https://docs.google.com/spreadsheets/d/11923uPwbBZFjjGgGUA6NLw09EwE0CqkOc4q9oUmW1yo/edit?usp=sharing"",""แพร่!J378"")"),0)</f>
        <v>0</v>
      </c>
      <c r="AI26" s="55">
        <f ca="1">IFERROR(__xludf.DUMMYFUNCTION("IMPORTRANGE(""https://docs.google.com/spreadsheets/d/11923uPwbBZFjjGgGUA6NLw09EwE0CqkOc4q9oUmW1yo/edit?usp=sharing"",""แพร่!J379"")"),0)</f>
        <v>0</v>
      </c>
      <c r="AJ26" s="55">
        <f ca="1">IFERROR(__xludf.DUMMYFUNCTION("IMPORTRANGE(""https://docs.google.com/spreadsheets/d/11923uPwbBZFjjGgGUA6NLw09EwE0CqkOc4q9oUmW1yo/edit?usp=sharing"",""แพร่!J380"")"),0)</f>
        <v>0</v>
      </c>
      <c r="AK26" s="55">
        <f ca="1">IFERROR(__xludf.DUMMYFUNCTION("IMPORTRANGE(""https://docs.google.com/spreadsheets/d/11923uPwbBZFjjGgGUA6NLw09EwE0CqkOc4q9oUmW1yo/edit?usp=sharing"",""แพร่!J381"")"),0)</f>
        <v>0</v>
      </c>
      <c r="AL26" s="55">
        <f ca="1">IFERROR(__xludf.DUMMYFUNCTION("IMPORTRANGE(""https://docs.google.com/spreadsheets/d/11923uPwbBZFjjGgGUA6NLw09EwE0CqkOc4q9oUmW1yo/edit?usp=sharing"",""แพร่!J384"")"),0)</f>
        <v>0</v>
      </c>
      <c r="AM26" s="55">
        <f ca="1">IFERROR(__xludf.DUMMYFUNCTION("IMPORTRANGE(""https://docs.google.com/spreadsheets/d/11923uPwbBZFjjGgGUA6NLw09EwE0CqkOc4q9oUmW1yo/edit?usp=sharing"",""แพร่!J385"")"),0)</f>
        <v>0</v>
      </c>
      <c r="AN26" s="55">
        <f ca="1">IFERROR(__xludf.DUMMYFUNCTION("IMPORTRANGE(""https://docs.google.com/spreadsheets/d/11923uPwbBZFjjGgGUA6NLw09EwE0CqkOc4q9oUmW1yo/edit?usp=sharing"",""แพร่!J386"")"),0)</f>
        <v>0</v>
      </c>
      <c r="AO26" s="55">
        <f ca="1">IFERROR(__xludf.DUMMYFUNCTION("IMPORTRANGE(""https://docs.google.com/spreadsheets/d/11923uPwbBZFjjGgGUA6NLw09EwE0CqkOc4q9oUmW1yo/edit?usp=sharing"",""แพร่!J387"")"),0)</f>
        <v>0</v>
      </c>
      <c r="AP26" s="55">
        <f ca="1">IFERROR(__xludf.DUMMYFUNCTION("IMPORTRANGE(""https://docs.google.com/spreadsheets/d/11923uPwbBZFjjGgGUA6NLw09EwE0CqkOc4q9oUmW1yo/edit?usp=sharing"",""แพร่!J388"")"),0)</f>
        <v>0</v>
      </c>
      <c r="AQ26" s="55">
        <f ca="1">IFERROR(__xludf.DUMMYFUNCTION("IMPORTRANGE(""https://docs.google.com/spreadsheets/d/11923uPwbBZFjjGgGUA6NLw09EwE0CqkOc4q9oUmW1yo/edit?usp=sharing"",""แพร่!J389"")"),0)</f>
        <v>0</v>
      </c>
      <c r="AR26" s="402">
        <v>32</v>
      </c>
      <c r="AS26" s="402">
        <v>140</v>
      </c>
      <c r="AT26" s="402">
        <f t="shared" ca="1" si="68"/>
        <v>0</v>
      </c>
      <c r="AU26" s="402">
        <f t="shared" ca="1" si="12"/>
        <v>0</v>
      </c>
      <c r="AV26" s="402">
        <f t="shared" ca="1" si="69"/>
        <v>0</v>
      </c>
      <c r="AW26" s="402">
        <f t="shared" ca="1" si="13"/>
        <v>0</v>
      </c>
      <c r="AX26" s="55">
        <f ca="1">IFERROR(__xludf.DUMMYFUNCTION("IMPORTRANGE(""https://docs.google.com/spreadsheets/d/11923uPwbBZFjjGgGUA6NLw09EwE0CqkOc4q9oUmW1yo/edit?usp=sharing"",""แพร่!J395"")"),0)</f>
        <v>0</v>
      </c>
      <c r="AY26" s="55">
        <f ca="1">IFERROR(__xludf.DUMMYFUNCTION("IMPORTRANGE(""https://docs.google.com/spreadsheets/d/11923uPwbBZFjjGgGUA6NLw09EwE0CqkOc4q9oUmW1yo/edit?usp=sharing"",""แพร่!J396"")"),0)</f>
        <v>0</v>
      </c>
      <c r="AZ26" s="55">
        <f ca="1">IFERROR(__xludf.DUMMYFUNCTION("IMPORTRANGE(""https://docs.google.com/spreadsheets/d/11923uPwbBZFjjGgGUA6NLw09EwE0CqkOc4q9oUmW1yo/edit?usp=sharing"",""แพร่!J397"")"),0)</f>
        <v>0</v>
      </c>
      <c r="BA26" s="55">
        <f ca="1">IFERROR(__xludf.DUMMYFUNCTION("IMPORTRANGE(""https://docs.google.com/spreadsheets/d/11923uPwbBZFjjGgGUA6NLw09EwE0CqkOc4q9oUmW1yo/edit?usp=sharing"",""แพร่!J398"")"),0)</f>
        <v>0</v>
      </c>
      <c r="BB26" s="55">
        <f ca="1">IFERROR(__xludf.DUMMYFUNCTION("IMPORTRANGE(""https://docs.google.com/spreadsheets/d/11923uPwbBZFjjGgGUA6NLw09EwE0CqkOc4q9oUmW1yo/edit?usp=sharing"",""แพร่!J399"")"),0)</f>
        <v>0</v>
      </c>
      <c r="BC26" s="55">
        <f ca="1">IFERROR(__xludf.DUMMYFUNCTION("IMPORTRANGE(""https://docs.google.com/spreadsheets/d/11923uPwbBZFjjGgGUA6NLw09EwE0CqkOc4q9oUmW1yo/edit?usp=sharing"",""แพร่!J400"")"),0)</f>
        <v>0</v>
      </c>
      <c r="BD26" s="55">
        <f ca="1">IFERROR(__xludf.DUMMYFUNCTION("IMPORTRANGE(""https://docs.google.com/spreadsheets/d/11923uPwbBZFjjGgGUA6NLw09EwE0CqkOc4q9oUmW1yo/edit?usp=sharing"",""แพร่!J403"")"),0)</f>
        <v>0</v>
      </c>
      <c r="BE26" s="55">
        <f ca="1">IFERROR(__xludf.DUMMYFUNCTION("IMPORTRANGE(""https://docs.google.com/spreadsheets/d/11923uPwbBZFjjGgGUA6NLw09EwE0CqkOc4q9oUmW1yo/edit?usp=sharing"",""แพร่!J404"")"),0)</f>
        <v>0</v>
      </c>
      <c r="BF26" s="55">
        <f ca="1">IFERROR(__xludf.DUMMYFUNCTION("IMPORTRANGE(""https://docs.google.com/spreadsheets/d/11923uPwbBZFjjGgGUA6NLw09EwE0CqkOc4q9oUmW1yo/edit?usp=sharing"",""แพร่!J405"")"),0)</f>
        <v>0</v>
      </c>
      <c r="BG26" s="55">
        <f ca="1">IFERROR(__xludf.DUMMYFUNCTION("IMPORTRANGE(""https://docs.google.com/spreadsheets/d/11923uPwbBZFjjGgGUA6NLw09EwE0CqkOc4q9oUmW1yo/edit?usp=sharing"",""แพร่!J406"")"),0)</f>
        <v>0</v>
      </c>
      <c r="BH26" s="55">
        <f ca="1">IFERROR(__xludf.DUMMYFUNCTION("IMPORTRANGE(""https://docs.google.com/spreadsheets/d/11923uPwbBZFjjGgGUA6NLw09EwE0CqkOc4q9oUmW1yo/edit?usp=sharing"",""แพร่!J407"")"),0)</f>
        <v>0</v>
      </c>
      <c r="BI26" s="55">
        <f ca="1">IFERROR(__xludf.DUMMYFUNCTION("IMPORTRANGE(""https://docs.google.com/spreadsheets/d/11923uPwbBZFjjGgGUA6NLw09EwE0CqkOc4q9oUmW1yo/edit?usp=sharing"",""แพร่!J408"")"),0)</f>
        <v>0</v>
      </c>
      <c r="BJ26" s="402">
        <v>4494</v>
      </c>
      <c r="BK26" s="402">
        <v>1189</v>
      </c>
      <c r="BL26" s="402">
        <f t="shared" ca="1" si="70"/>
        <v>0</v>
      </c>
      <c r="BM26" s="403">
        <f t="shared" ca="1" si="15"/>
        <v>0</v>
      </c>
      <c r="BN26" s="402">
        <f t="shared" ca="1" si="71"/>
        <v>0</v>
      </c>
      <c r="BO26" s="403">
        <f t="shared" ca="1" si="16"/>
        <v>0</v>
      </c>
      <c r="BP26" s="55">
        <f ca="1">IFERROR(__xludf.DUMMYFUNCTION("IMPORTRANGE(""https://docs.google.com/spreadsheets/d/11923uPwbBZFjjGgGUA6NLw09EwE0CqkOc4q9oUmW1yo/edit?usp=sharing"",""แพร่!J412"")"),0)</f>
        <v>0</v>
      </c>
      <c r="BQ26" s="55">
        <f ca="1">IFERROR(__xludf.DUMMYFUNCTION("IMPORTRANGE(""https://docs.google.com/spreadsheets/d/11923uPwbBZFjjGgGUA6NLw09EwE0CqkOc4q9oUmW1yo/edit?usp=sharing"",""แพร่!J413"")"),0)</f>
        <v>0</v>
      </c>
      <c r="BR26" s="55">
        <f ca="1">IFERROR(__xludf.DUMMYFUNCTION("IMPORTRANGE(""https://docs.google.com/spreadsheets/d/11923uPwbBZFjjGgGUA6NLw09EwE0CqkOc4q9oUmW1yo/edit?usp=sharing"",""แพร่!J414"")"),0)</f>
        <v>0</v>
      </c>
      <c r="BS26" s="55">
        <f ca="1">IFERROR(__xludf.DUMMYFUNCTION("IMPORTRANGE(""https://docs.google.com/spreadsheets/d/11923uPwbBZFjjGgGUA6NLw09EwE0CqkOc4q9oUmW1yo/edit?usp=sharing"",""แพร่!J415"")"),0)</f>
        <v>0</v>
      </c>
      <c r="BT26" s="55">
        <f ca="1">IFERROR(__xludf.DUMMYFUNCTION("IMPORTRANGE(""https://docs.google.com/spreadsheets/d/11923uPwbBZFjjGgGUA6NLw09EwE0CqkOc4q9oUmW1yo/edit?usp=sharing"",""แพร่!J416"")"),0)</f>
        <v>0</v>
      </c>
      <c r="BU26" s="55">
        <f ca="1">IFERROR(__xludf.DUMMYFUNCTION("IMPORTRANGE(""https://docs.google.com/spreadsheets/d/11923uPwbBZFjjGgGUA6NLw09EwE0CqkOc4q9oUmW1yo/edit?usp=sharing"",""แพร่!J417"")"),0)</f>
        <v>0</v>
      </c>
      <c r="BV26" s="402">
        <f t="shared" ca="1" si="72"/>
        <v>0</v>
      </c>
      <c r="BW26" s="403">
        <f t="shared" ca="1" si="18"/>
        <v>0</v>
      </c>
      <c r="BX26" s="402">
        <f t="shared" ca="1" si="73"/>
        <v>0</v>
      </c>
      <c r="BY26" s="403">
        <f t="shared" ca="1" si="19"/>
        <v>0</v>
      </c>
      <c r="BZ26" s="55">
        <f ca="1">IFERROR(__xludf.DUMMYFUNCTION("IMPORTRANGE(""https://docs.google.com/spreadsheets/d/11923uPwbBZFjjGgGUA6NLw09EwE0CqkOc4q9oUmW1yo/edit?usp=sharing"",""แพร่!J420"")"),0)</f>
        <v>0</v>
      </c>
      <c r="CA26" s="55">
        <f ca="1">IFERROR(__xludf.DUMMYFUNCTION("IMPORTRANGE(""https://docs.google.com/spreadsheets/d/11923uPwbBZFjjGgGUA6NLw09EwE0CqkOc4q9oUmW1yo/edit?usp=sharing"",""แพร่!J421"")"),0)</f>
        <v>0</v>
      </c>
      <c r="CB26" s="55">
        <f ca="1">IFERROR(__xludf.DUMMYFUNCTION("IMPORTRANGE(""https://docs.google.com/spreadsheets/d/11923uPwbBZFjjGgGUA6NLw09EwE0CqkOc4q9oUmW1yo/edit?usp=sharing"",""แพร่!J422"")"),0)</f>
        <v>0</v>
      </c>
      <c r="CC26" s="55">
        <f ca="1">IFERROR(__xludf.DUMMYFUNCTION("IMPORTRANGE(""https://docs.google.com/spreadsheets/d/11923uPwbBZFjjGgGUA6NLw09EwE0CqkOc4q9oUmW1yo/edit?usp=sharing"",""แพร่!J423"")"),0)</f>
        <v>0</v>
      </c>
      <c r="CD26" s="55">
        <f ca="1">IFERROR(__xludf.DUMMYFUNCTION("IMPORTRANGE(""https://docs.google.com/spreadsheets/d/11923uPwbBZFjjGgGUA6NLw09EwE0CqkOc4q9oUmW1yo/edit?usp=sharing"",""แพร่!J424"")"),0)</f>
        <v>0</v>
      </c>
      <c r="CE26" s="422">
        <f ca="1">IFERROR(__xludf.DUMMYFUNCTION("IMPORTRANGE(""https://docs.google.com/spreadsheets/d/11923uPwbBZFjjGgGUA6NLw09EwE0CqkOc4q9oUmW1yo/edit?usp=sharing"",""แพร่!J425"")"),0)</f>
        <v>0</v>
      </c>
    </row>
    <row r="27" spans="1:83" ht="24" customHeight="1" x14ac:dyDescent="0.5">
      <c r="A27" s="273">
        <v>12</v>
      </c>
      <c r="B27" s="274" t="s">
        <v>42</v>
      </c>
      <c r="C27" s="400">
        <f t="shared" si="61"/>
        <v>96392.75</v>
      </c>
      <c r="D27" s="55">
        <v>0</v>
      </c>
      <c r="E27" s="401">
        <v>96392.75</v>
      </c>
      <c r="F27" s="99">
        <f ca="1">IFERROR(__xludf.DUMMYFUNCTION("IMPORTRANGE(""https://docs.google.com/spreadsheets/d/11923uPwbBZFjjGgGUA6NLw09EwE0CqkOc4q9oUmW1yo/edit?usp=sharing"",""แม่ฮ่องสอน!M352"")"),0)</f>
        <v>0</v>
      </c>
      <c r="G27" s="99">
        <f t="shared" ca="1" si="1"/>
        <v>0</v>
      </c>
      <c r="H27" s="57">
        <v>4118</v>
      </c>
      <c r="I27" s="57">
        <v>1134</v>
      </c>
      <c r="J27" s="55">
        <f t="shared" ca="1" si="62"/>
        <v>0</v>
      </c>
      <c r="K27" s="99">
        <f t="shared" ca="1" si="3"/>
        <v>0</v>
      </c>
      <c r="L27" s="55">
        <f t="shared" ca="1" si="63"/>
        <v>0</v>
      </c>
      <c r="M27" s="99">
        <f t="shared" ca="1" si="4"/>
        <v>0</v>
      </c>
      <c r="N27" s="55">
        <f ca="1">IFERROR(__xludf.DUMMYFUNCTION("IMPORTRANGE(""https://docs.google.com/spreadsheets/d/11923uPwbBZFjjGgGUA6NLw09EwE0CqkOc4q9oUmW1yo/edit?usp=sharing"",""แม่ฮ่องสอน!J362"")"),0)</f>
        <v>0</v>
      </c>
      <c r="O27" s="55">
        <f ca="1">IFERROR(__xludf.DUMMYFUNCTION("IMPORTRANGE(""https://docs.google.com/spreadsheets/d/11923uPwbBZFjjGgGUA6NLw09EwE0CqkOc4q9oUmW1yo/edit?usp=sharing"",""แม่ฮ่องสอน!J363"")"),0)</f>
        <v>0</v>
      </c>
      <c r="P27" s="55">
        <f ca="1">IFERROR(__xludf.DUMMYFUNCTION("IMPORTRANGE(""https://docs.google.com/spreadsheets/d/11923uPwbBZFjjGgGUA6NLw09EwE0CqkOc4q9oUmW1yo/edit?usp=sharing"",""แม่ฮ่องสอน!J364"")"),0)</f>
        <v>0</v>
      </c>
      <c r="Q27" s="55">
        <f ca="1">IFERROR(__xludf.DUMMYFUNCTION("IMPORTRANGE(""https://docs.google.com/spreadsheets/d/11923uPwbBZFjjGgGUA6NLw09EwE0CqkOc4q9oUmW1yo/edit?usp=sharing"",""แม่ฮ่องสอน!J365"")"),0)</f>
        <v>0</v>
      </c>
      <c r="R27" s="55">
        <f ca="1">IFERROR(__xludf.DUMMYFUNCTION("IMPORTRANGE(""https://docs.google.com/spreadsheets/d/11923uPwbBZFjjGgGUA6NLw09EwE0CqkOc4q9oUmW1yo/edit?usp=sharing"",""แม่ฮ่องสอน!J366"")"),0)</f>
        <v>0</v>
      </c>
      <c r="S27" s="55">
        <f ca="1">IFERROR(__xludf.DUMMYFUNCTION("IMPORTRANGE(""https://docs.google.com/spreadsheets/d/11923uPwbBZFjjGgGUA6NLw09EwE0CqkOc4q9oUmW1yo/edit?usp=sharing"",""แม่ฮ่องสอน!J367"")"),0)</f>
        <v>0</v>
      </c>
      <c r="T27" s="55">
        <f t="shared" ca="1" si="64"/>
        <v>0</v>
      </c>
      <c r="U27" s="55">
        <f t="shared" ca="1" si="6"/>
        <v>0</v>
      </c>
      <c r="V27" s="55">
        <f t="shared" ca="1" si="65"/>
        <v>0</v>
      </c>
      <c r="W27" s="55">
        <f t="shared" ca="1" si="7"/>
        <v>0</v>
      </c>
      <c r="X27" s="55">
        <f ca="1">IFERROR(__xludf.DUMMYFUNCTION("IMPORTRANGE(""https://docs.google.com/spreadsheets/d/11923uPwbBZFjjGgGUA6NLw09EwE0CqkOc4q9oUmW1yo/edit?usp=sharing"",""แม่ฮ่องสอน!J370"")"),0)</f>
        <v>0</v>
      </c>
      <c r="Y27" s="55">
        <f ca="1">IFERROR(__xludf.DUMMYFUNCTION("IMPORTRANGE(""https://docs.google.com/spreadsheets/d/11923uPwbBZFjjGgGUA6NLw09EwE0CqkOc4q9oUmW1yo/edit?usp=sharing"",""แม่ฮ่องสอน!J371"")"),0)</f>
        <v>0</v>
      </c>
      <c r="Z27" s="55">
        <f ca="1">IFERROR(__xludf.DUMMYFUNCTION("IMPORTRANGE(""https://docs.google.com/spreadsheets/d/11923uPwbBZFjjGgGUA6NLw09EwE0CqkOc4q9oUmW1yo/edit?usp=sharing"",""แม่ฮ่องสอน!J372"")"),0)</f>
        <v>0</v>
      </c>
      <c r="AA27" s="55">
        <f ca="1">IFERROR(__xludf.DUMMYFUNCTION("IMPORTRANGE(""https://docs.google.com/spreadsheets/d/11923uPwbBZFjjGgGUA6NLw09EwE0CqkOc4q9oUmW1yo/edit?usp=sharing"",""แม่ฮ่องสอน!J373"")"),0)</f>
        <v>0</v>
      </c>
      <c r="AB27" s="55">
        <f ca="1">IFERROR(__xludf.DUMMYFUNCTION("IMPORTRANGE(""https://docs.google.com/spreadsheets/d/11923uPwbBZFjjGgGUA6NLw09EwE0CqkOc4q9oUmW1yo/edit?usp=sharing"",""แม่ฮ่องสอน!J374"")"),0)</f>
        <v>0</v>
      </c>
      <c r="AC27" s="55">
        <f ca="1">IFERROR(__xludf.DUMMYFUNCTION("IMPORTRANGE(""https://docs.google.com/spreadsheets/d/11923uPwbBZFjjGgGUA6NLw09EwE0CqkOc4q9oUmW1yo/edit?usp=sharing"",""แม่ฮ่องสอน!J375"")"),0)</f>
        <v>0</v>
      </c>
      <c r="AD27" s="55">
        <f t="shared" ca="1" si="66"/>
        <v>0</v>
      </c>
      <c r="AE27" s="99">
        <f t="shared" ca="1" si="9"/>
        <v>0</v>
      </c>
      <c r="AF27" s="55">
        <f t="shared" ca="1" si="67"/>
        <v>0</v>
      </c>
      <c r="AG27" s="99">
        <f t="shared" ca="1" si="10"/>
        <v>0</v>
      </c>
      <c r="AH27" s="55">
        <f ca="1">IFERROR(__xludf.DUMMYFUNCTION("IMPORTRANGE(""https://docs.google.com/spreadsheets/d/11923uPwbBZFjjGgGUA6NLw09EwE0CqkOc4q9oUmW1yo/edit?usp=sharing"",""แม่ฮ่องสอน!J378"")"),0)</f>
        <v>0</v>
      </c>
      <c r="AI27" s="55">
        <f ca="1">IFERROR(__xludf.DUMMYFUNCTION("IMPORTRANGE(""https://docs.google.com/spreadsheets/d/11923uPwbBZFjjGgGUA6NLw09EwE0CqkOc4q9oUmW1yo/edit?usp=sharing"",""แม่ฮ่องสอน!J379"")"),0)</f>
        <v>0</v>
      </c>
      <c r="AJ27" s="55">
        <f ca="1">IFERROR(__xludf.DUMMYFUNCTION("IMPORTRANGE(""https://docs.google.com/spreadsheets/d/11923uPwbBZFjjGgGUA6NLw09EwE0CqkOc4q9oUmW1yo/edit?usp=sharing"",""แม่ฮ่องสอน!J380"")"),0)</f>
        <v>0</v>
      </c>
      <c r="AK27" s="55">
        <f ca="1">IFERROR(__xludf.DUMMYFUNCTION("IMPORTRANGE(""https://docs.google.com/spreadsheets/d/11923uPwbBZFjjGgGUA6NLw09EwE0CqkOc4q9oUmW1yo/edit?usp=sharing"",""แม่ฮ่องสอน!J381"")"),0)</f>
        <v>0</v>
      </c>
      <c r="AL27" s="55">
        <f ca="1">IFERROR(__xludf.DUMMYFUNCTION("IMPORTRANGE(""https://docs.google.com/spreadsheets/d/11923uPwbBZFjjGgGUA6NLw09EwE0CqkOc4q9oUmW1yo/edit?usp=sharing"",""แม่ฮ่องสอน!J384"")"),0)</f>
        <v>0</v>
      </c>
      <c r="AM27" s="55">
        <f ca="1">IFERROR(__xludf.DUMMYFUNCTION("IMPORTRANGE(""https://docs.google.com/spreadsheets/d/11923uPwbBZFjjGgGUA6NLw09EwE0CqkOc4q9oUmW1yo/edit?usp=sharing"",""แม่ฮ่องสอน!J385"")"),0)</f>
        <v>0</v>
      </c>
      <c r="AN27" s="55">
        <f ca="1">IFERROR(__xludf.DUMMYFUNCTION("IMPORTRANGE(""https://docs.google.com/spreadsheets/d/11923uPwbBZFjjGgGUA6NLw09EwE0CqkOc4q9oUmW1yo/edit?usp=sharing"",""แม่ฮ่องสอน!J386"")"),0)</f>
        <v>0</v>
      </c>
      <c r="AO27" s="55">
        <f ca="1">IFERROR(__xludf.DUMMYFUNCTION("IMPORTRANGE(""https://docs.google.com/spreadsheets/d/11923uPwbBZFjjGgGUA6NLw09EwE0CqkOc4q9oUmW1yo/edit?usp=sharing"",""แม่ฮ่องสอน!J387"")"),0)</f>
        <v>0</v>
      </c>
      <c r="AP27" s="55">
        <f ca="1">IFERROR(__xludf.DUMMYFUNCTION("IMPORTRANGE(""https://docs.google.com/spreadsheets/d/11923uPwbBZFjjGgGUA6NLw09EwE0CqkOc4q9oUmW1yo/edit?usp=sharing"",""แม่ฮ่องสอน!J388"")"),0)</f>
        <v>0</v>
      </c>
      <c r="AQ27" s="55">
        <f ca="1">IFERROR(__xludf.DUMMYFUNCTION("IMPORTRANGE(""https://docs.google.com/spreadsheets/d/11923uPwbBZFjjGgGUA6NLw09EwE0CqkOc4q9oUmW1yo/edit?usp=sharing"",""แม่ฮ่องสอน!J389"")"),0)</f>
        <v>0</v>
      </c>
      <c r="AR27" s="402">
        <v>7</v>
      </c>
      <c r="AS27" s="402">
        <v>21</v>
      </c>
      <c r="AT27" s="402">
        <f t="shared" ca="1" si="68"/>
        <v>0</v>
      </c>
      <c r="AU27" s="402">
        <f t="shared" ca="1" si="12"/>
        <v>0</v>
      </c>
      <c r="AV27" s="402">
        <f t="shared" ca="1" si="69"/>
        <v>0</v>
      </c>
      <c r="AW27" s="402">
        <f t="shared" ca="1" si="13"/>
        <v>0</v>
      </c>
      <c r="AX27" s="55">
        <f ca="1">IFERROR(__xludf.DUMMYFUNCTION("IMPORTRANGE(""https://docs.google.com/spreadsheets/d/11923uPwbBZFjjGgGUA6NLw09EwE0CqkOc4q9oUmW1yo/edit?usp=sharing"",""แม่ฮ่องสอน!J395"")"),0)</f>
        <v>0</v>
      </c>
      <c r="AY27" s="55">
        <f ca="1">IFERROR(__xludf.DUMMYFUNCTION("IMPORTRANGE(""https://docs.google.com/spreadsheets/d/11923uPwbBZFjjGgGUA6NLw09EwE0CqkOc4q9oUmW1yo/edit?usp=sharing"",""แม่ฮ่องสอน!J396"")"),0)</f>
        <v>0</v>
      </c>
      <c r="AZ27" s="55">
        <f ca="1">IFERROR(__xludf.DUMMYFUNCTION("IMPORTRANGE(""https://docs.google.com/spreadsheets/d/11923uPwbBZFjjGgGUA6NLw09EwE0CqkOc4q9oUmW1yo/edit?usp=sharing"",""แม่ฮ่องสอน!J397"")"),0)</f>
        <v>0</v>
      </c>
      <c r="BA27" s="55">
        <f ca="1">IFERROR(__xludf.DUMMYFUNCTION("IMPORTRANGE(""https://docs.google.com/spreadsheets/d/11923uPwbBZFjjGgGUA6NLw09EwE0CqkOc4q9oUmW1yo/edit?usp=sharing"",""แม่ฮ่องสอน!J398"")"),0)</f>
        <v>0</v>
      </c>
      <c r="BB27" s="55">
        <f ca="1">IFERROR(__xludf.DUMMYFUNCTION("IMPORTRANGE(""https://docs.google.com/spreadsheets/d/11923uPwbBZFjjGgGUA6NLw09EwE0CqkOc4q9oUmW1yo/edit?usp=sharing"",""แม่ฮ่องสอน!J399"")"),0)</f>
        <v>0</v>
      </c>
      <c r="BC27" s="55">
        <f ca="1">IFERROR(__xludf.DUMMYFUNCTION("IMPORTRANGE(""https://docs.google.com/spreadsheets/d/11923uPwbBZFjjGgGUA6NLw09EwE0CqkOc4q9oUmW1yo/edit?usp=sharing"",""แม่ฮ่องสอน!J400"")"),0)</f>
        <v>0</v>
      </c>
      <c r="BD27" s="55">
        <f ca="1">IFERROR(__xludf.DUMMYFUNCTION("IMPORTRANGE(""https://docs.google.com/spreadsheets/d/11923uPwbBZFjjGgGUA6NLw09EwE0CqkOc4q9oUmW1yo/edit?usp=sharing"",""แม่ฮ่องสอน!J403"")"),0)</f>
        <v>0</v>
      </c>
      <c r="BE27" s="55">
        <f ca="1">IFERROR(__xludf.DUMMYFUNCTION("IMPORTRANGE(""https://docs.google.com/spreadsheets/d/11923uPwbBZFjjGgGUA6NLw09EwE0CqkOc4q9oUmW1yo/edit?usp=sharing"",""แม่ฮ่องสอน!J404"")"),0)</f>
        <v>0</v>
      </c>
      <c r="BF27" s="55">
        <f ca="1">IFERROR(__xludf.DUMMYFUNCTION("IMPORTRANGE(""https://docs.google.com/spreadsheets/d/11923uPwbBZFjjGgGUA6NLw09EwE0CqkOc4q9oUmW1yo/edit?usp=sharing"",""แม่ฮ่องสอน!J405"")"),0)</f>
        <v>0</v>
      </c>
      <c r="BG27" s="55">
        <f ca="1">IFERROR(__xludf.DUMMYFUNCTION("IMPORTRANGE(""https://docs.google.com/spreadsheets/d/11923uPwbBZFjjGgGUA6NLw09EwE0CqkOc4q9oUmW1yo/edit?usp=sharing"",""แม่ฮ่องสอน!J406"")"),0)</f>
        <v>0</v>
      </c>
      <c r="BH27" s="55">
        <f ca="1">IFERROR(__xludf.DUMMYFUNCTION("IMPORTRANGE(""https://docs.google.com/spreadsheets/d/11923uPwbBZFjjGgGUA6NLw09EwE0CqkOc4q9oUmW1yo/edit?usp=sharing"",""แม่ฮ่องสอน!J407"")"),0)</f>
        <v>0</v>
      </c>
      <c r="BI27" s="55">
        <f ca="1">IFERROR(__xludf.DUMMYFUNCTION("IMPORTRANGE(""https://docs.google.com/spreadsheets/d/11923uPwbBZFjjGgGUA6NLw09EwE0CqkOc4q9oUmW1yo/edit?usp=sharing"",""แม่ฮ่องสอน!J408"")"),0)</f>
        <v>0</v>
      </c>
      <c r="BJ27" s="402">
        <v>4118</v>
      </c>
      <c r="BK27" s="402">
        <v>1134</v>
      </c>
      <c r="BL27" s="402">
        <f t="shared" ca="1" si="70"/>
        <v>0</v>
      </c>
      <c r="BM27" s="403">
        <f t="shared" ca="1" si="15"/>
        <v>0</v>
      </c>
      <c r="BN27" s="402">
        <f t="shared" ca="1" si="71"/>
        <v>0</v>
      </c>
      <c r="BO27" s="403">
        <f t="shared" ca="1" si="16"/>
        <v>0</v>
      </c>
      <c r="BP27" s="55">
        <f ca="1">IFERROR(__xludf.DUMMYFUNCTION("IMPORTRANGE(""https://docs.google.com/spreadsheets/d/11923uPwbBZFjjGgGUA6NLw09EwE0CqkOc4q9oUmW1yo/edit?usp=sharing"",""แม่ฮ่องสอน!J412"")"),0)</f>
        <v>0</v>
      </c>
      <c r="BQ27" s="55">
        <f ca="1">IFERROR(__xludf.DUMMYFUNCTION("IMPORTRANGE(""https://docs.google.com/spreadsheets/d/11923uPwbBZFjjGgGUA6NLw09EwE0CqkOc4q9oUmW1yo/edit?usp=sharing"",""แม่ฮ่องสอน!J413"")"),0)</f>
        <v>0</v>
      </c>
      <c r="BR27" s="55">
        <f ca="1">IFERROR(__xludf.DUMMYFUNCTION("IMPORTRANGE(""https://docs.google.com/spreadsheets/d/11923uPwbBZFjjGgGUA6NLw09EwE0CqkOc4q9oUmW1yo/edit?usp=sharing"",""แม่ฮ่องสอน!J414"")"),0)</f>
        <v>0</v>
      </c>
      <c r="BS27" s="55">
        <f ca="1">IFERROR(__xludf.DUMMYFUNCTION("IMPORTRANGE(""https://docs.google.com/spreadsheets/d/11923uPwbBZFjjGgGUA6NLw09EwE0CqkOc4q9oUmW1yo/edit?usp=sharing"",""แม่ฮ่องสอน!J415"")"),0)</f>
        <v>0</v>
      </c>
      <c r="BT27" s="55">
        <f ca="1">IFERROR(__xludf.DUMMYFUNCTION("IMPORTRANGE(""https://docs.google.com/spreadsheets/d/11923uPwbBZFjjGgGUA6NLw09EwE0CqkOc4q9oUmW1yo/edit?usp=sharing"",""แม่ฮ่องสอน!J416"")"),0)</f>
        <v>0</v>
      </c>
      <c r="BU27" s="55">
        <f ca="1">IFERROR(__xludf.DUMMYFUNCTION("IMPORTRANGE(""https://docs.google.com/spreadsheets/d/11923uPwbBZFjjGgGUA6NLw09EwE0CqkOc4q9oUmW1yo/edit?usp=sharing"",""แม่ฮ่องสอน!J417"")"),0)</f>
        <v>0</v>
      </c>
      <c r="BV27" s="402">
        <f t="shared" ca="1" si="72"/>
        <v>0</v>
      </c>
      <c r="BW27" s="403">
        <f t="shared" ca="1" si="18"/>
        <v>0</v>
      </c>
      <c r="BX27" s="402">
        <f t="shared" ca="1" si="73"/>
        <v>0</v>
      </c>
      <c r="BY27" s="403">
        <f t="shared" ca="1" si="19"/>
        <v>0</v>
      </c>
      <c r="BZ27" s="55">
        <f ca="1">IFERROR(__xludf.DUMMYFUNCTION("IMPORTRANGE(""https://docs.google.com/spreadsheets/d/11923uPwbBZFjjGgGUA6NLw09EwE0CqkOc4q9oUmW1yo/edit?usp=sharing"",""แม่ฮ่องสอน!J420"")"),0)</f>
        <v>0</v>
      </c>
      <c r="CA27" s="55">
        <f ca="1">IFERROR(__xludf.DUMMYFUNCTION("IMPORTRANGE(""https://docs.google.com/spreadsheets/d/11923uPwbBZFjjGgGUA6NLw09EwE0CqkOc4q9oUmW1yo/edit?usp=sharing"",""แม่ฮ่องสอน!J421"")"),0)</f>
        <v>0</v>
      </c>
      <c r="CB27" s="55">
        <f ca="1">IFERROR(__xludf.DUMMYFUNCTION("IMPORTRANGE(""https://docs.google.com/spreadsheets/d/11923uPwbBZFjjGgGUA6NLw09EwE0CqkOc4q9oUmW1yo/edit?usp=sharing"",""แม่ฮ่องสอน!J422"")"),0)</f>
        <v>0</v>
      </c>
      <c r="CC27" s="55">
        <f ca="1">IFERROR(__xludf.DUMMYFUNCTION("IMPORTRANGE(""https://docs.google.com/spreadsheets/d/11923uPwbBZFjjGgGUA6NLw09EwE0CqkOc4q9oUmW1yo/edit?usp=sharing"",""แม่ฮ่องสอน!J423"")"),0)</f>
        <v>0</v>
      </c>
      <c r="CD27" s="55">
        <f ca="1">IFERROR(__xludf.DUMMYFUNCTION("IMPORTRANGE(""https://docs.google.com/spreadsheets/d/11923uPwbBZFjjGgGUA6NLw09EwE0CqkOc4q9oUmW1yo/edit?usp=sharing"",""แม่ฮ่องสอน!J424"")"),0)</f>
        <v>0</v>
      </c>
      <c r="CE27" s="422">
        <f ca="1">IFERROR(__xludf.DUMMYFUNCTION("IMPORTRANGE(""https://docs.google.com/spreadsheets/d/11923uPwbBZFjjGgGUA6NLw09EwE0CqkOc4q9oUmW1yo/edit?usp=sharing"",""แม่ฮ่องสอน!J425"")"),0)</f>
        <v>0</v>
      </c>
    </row>
    <row r="28" spans="1:83" ht="24" customHeight="1" x14ac:dyDescent="0.5">
      <c r="A28" s="273">
        <v>13</v>
      </c>
      <c r="B28" s="274" t="s">
        <v>43</v>
      </c>
      <c r="C28" s="400">
        <f t="shared" si="61"/>
        <v>615199.5</v>
      </c>
      <c r="D28" s="55">
        <v>0</v>
      </c>
      <c r="E28" s="401">
        <v>615199.5</v>
      </c>
      <c r="F28" s="99">
        <f ca="1">IFERROR(__xludf.DUMMYFUNCTION("IMPORTRANGE(""https://docs.google.com/spreadsheets/d/11923uPwbBZFjjGgGUA6NLw09EwE0CqkOc4q9oUmW1yo/edit?usp=sharing"",""ลำปาง!M352"")"),0)</f>
        <v>0</v>
      </c>
      <c r="G28" s="99">
        <f t="shared" ca="1" si="1"/>
        <v>0</v>
      </c>
      <c r="H28" s="57">
        <v>39762</v>
      </c>
      <c r="I28" s="57">
        <v>10122</v>
      </c>
      <c r="J28" s="55">
        <f t="shared" ca="1" si="62"/>
        <v>0</v>
      </c>
      <c r="K28" s="99">
        <f t="shared" ca="1" si="3"/>
        <v>0</v>
      </c>
      <c r="L28" s="55">
        <f t="shared" ca="1" si="63"/>
        <v>0</v>
      </c>
      <c r="M28" s="99">
        <f t="shared" ca="1" si="4"/>
        <v>0</v>
      </c>
      <c r="N28" s="55">
        <f ca="1">IFERROR(__xludf.DUMMYFUNCTION("IMPORTRANGE(""https://docs.google.com/spreadsheets/d/11923uPwbBZFjjGgGUA6NLw09EwE0CqkOc4q9oUmW1yo/edit?usp=sharing"",""ลำปาง!J362"")"),0)</f>
        <v>0</v>
      </c>
      <c r="O28" s="55">
        <f ca="1">IFERROR(__xludf.DUMMYFUNCTION("IMPORTRANGE(""https://docs.google.com/spreadsheets/d/11923uPwbBZFjjGgGUA6NLw09EwE0CqkOc4q9oUmW1yo/edit?usp=sharing"",""ลำปาง!J363"")"),0)</f>
        <v>0</v>
      </c>
      <c r="P28" s="55">
        <f ca="1">IFERROR(__xludf.DUMMYFUNCTION("IMPORTRANGE(""https://docs.google.com/spreadsheets/d/11923uPwbBZFjjGgGUA6NLw09EwE0CqkOc4q9oUmW1yo/edit?usp=sharing"",""ลำปาง!J364"")"),0)</f>
        <v>0</v>
      </c>
      <c r="Q28" s="55">
        <f ca="1">IFERROR(__xludf.DUMMYFUNCTION("IMPORTRANGE(""https://docs.google.com/spreadsheets/d/11923uPwbBZFjjGgGUA6NLw09EwE0CqkOc4q9oUmW1yo/edit?usp=sharing"",""ลำปาง!J365"")"),0)</f>
        <v>0</v>
      </c>
      <c r="R28" s="55">
        <f ca="1">IFERROR(__xludf.DUMMYFUNCTION("IMPORTRANGE(""https://docs.google.com/spreadsheets/d/11923uPwbBZFjjGgGUA6NLw09EwE0CqkOc4q9oUmW1yo/edit?usp=sharing"",""ลำปาง!J366"")"),0)</f>
        <v>0</v>
      </c>
      <c r="S28" s="55">
        <f ca="1">IFERROR(__xludf.DUMMYFUNCTION("IMPORTRANGE(""https://docs.google.com/spreadsheets/d/11923uPwbBZFjjGgGUA6NLw09EwE0CqkOc4q9oUmW1yo/edit?usp=sharing"",""ลำปาง!J367"")"),0)</f>
        <v>0</v>
      </c>
      <c r="T28" s="55">
        <f t="shared" ca="1" si="64"/>
        <v>0</v>
      </c>
      <c r="U28" s="55">
        <f t="shared" ca="1" si="6"/>
        <v>0</v>
      </c>
      <c r="V28" s="55">
        <f t="shared" ca="1" si="65"/>
        <v>0</v>
      </c>
      <c r="W28" s="55">
        <f t="shared" ca="1" si="7"/>
        <v>0</v>
      </c>
      <c r="X28" s="55">
        <f ca="1">IFERROR(__xludf.DUMMYFUNCTION("IMPORTRANGE(""https://docs.google.com/spreadsheets/d/11923uPwbBZFjjGgGUA6NLw09EwE0CqkOc4q9oUmW1yo/edit?usp=sharing"",""ลำปาง!J370"")"),0)</f>
        <v>0</v>
      </c>
      <c r="Y28" s="55">
        <f ca="1">IFERROR(__xludf.DUMMYFUNCTION("IMPORTRANGE(""https://docs.google.com/spreadsheets/d/11923uPwbBZFjjGgGUA6NLw09EwE0CqkOc4q9oUmW1yo/edit?usp=sharing"",""ลำปาง!J371"")"),0)</f>
        <v>0</v>
      </c>
      <c r="Z28" s="55">
        <f ca="1">IFERROR(__xludf.DUMMYFUNCTION("IMPORTRANGE(""https://docs.google.com/spreadsheets/d/11923uPwbBZFjjGgGUA6NLw09EwE0CqkOc4q9oUmW1yo/edit?usp=sharing"",""ลำปาง!J372"")"),0)</f>
        <v>0</v>
      </c>
      <c r="AA28" s="55">
        <f ca="1">IFERROR(__xludf.DUMMYFUNCTION("IMPORTRANGE(""https://docs.google.com/spreadsheets/d/11923uPwbBZFjjGgGUA6NLw09EwE0CqkOc4q9oUmW1yo/edit?usp=sharing"",""ลำปาง!J373"")"),0)</f>
        <v>0</v>
      </c>
      <c r="AB28" s="55">
        <f ca="1">IFERROR(__xludf.DUMMYFUNCTION("IMPORTRANGE(""https://docs.google.com/spreadsheets/d/11923uPwbBZFjjGgGUA6NLw09EwE0CqkOc4q9oUmW1yo/edit?usp=sharing"",""ลำปาง!J374"")"),0)</f>
        <v>0</v>
      </c>
      <c r="AC28" s="55">
        <f ca="1">IFERROR(__xludf.DUMMYFUNCTION("IMPORTRANGE(""https://docs.google.com/spreadsheets/d/11923uPwbBZFjjGgGUA6NLw09EwE0CqkOc4q9oUmW1yo/edit?usp=sharing"",""ลำปาง!J375"")"),0)</f>
        <v>0</v>
      </c>
      <c r="AD28" s="55">
        <f t="shared" ca="1" si="66"/>
        <v>0</v>
      </c>
      <c r="AE28" s="99">
        <f t="shared" ca="1" si="9"/>
        <v>0</v>
      </c>
      <c r="AF28" s="55">
        <f t="shared" ca="1" si="67"/>
        <v>0</v>
      </c>
      <c r="AG28" s="99">
        <f t="shared" ca="1" si="10"/>
        <v>0</v>
      </c>
      <c r="AH28" s="55">
        <f ca="1">IFERROR(__xludf.DUMMYFUNCTION("IMPORTRANGE(""https://docs.google.com/spreadsheets/d/11923uPwbBZFjjGgGUA6NLw09EwE0CqkOc4q9oUmW1yo/edit?usp=sharing"",""ลำปาง!J378"")"),0)</f>
        <v>0</v>
      </c>
      <c r="AI28" s="55">
        <f ca="1">IFERROR(__xludf.DUMMYFUNCTION("IMPORTRANGE(""https://docs.google.com/spreadsheets/d/11923uPwbBZFjjGgGUA6NLw09EwE0CqkOc4q9oUmW1yo/edit?usp=sharing"",""ลำปาง!J379"")"),0)</f>
        <v>0</v>
      </c>
      <c r="AJ28" s="55">
        <f ca="1">IFERROR(__xludf.DUMMYFUNCTION("IMPORTRANGE(""https://docs.google.com/spreadsheets/d/11923uPwbBZFjjGgGUA6NLw09EwE0CqkOc4q9oUmW1yo/edit?usp=sharing"",""ลำปาง!J380"")"),0)</f>
        <v>0</v>
      </c>
      <c r="AK28" s="55">
        <f ca="1">IFERROR(__xludf.DUMMYFUNCTION("IMPORTRANGE(""https://docs.google.com/spreadsheets/d/11923uPwbBZFjjGgGUA6NLw09EwE0CqkOc4q9oUmW1yo/edit?usp=sharing"",""ลำปาง!J381"")"),0)</f>
        <v>0</v>
      </c>
      <c r="AL28" s="55">
        <f ca="1">IFERROR(__xludf.DUMMYFUNCTION("IMPORTRANGE(""https://docs.google.com/spreadsheets/d/11923uPwbBZFjjGgGUA6NLw09EwE0CqkOc4q9oUmW1yo/edit?usp=sharing"",""ลำปาง!J384"")"),0)</f>
        <v>0</v>
      </c>
      <c r="AM28" s="55">
        <f ca="1">IFERROR(__xludf.DUMMYFUNCTION("IMPORTRANGE(""https://docs.google.com/spreadsheets/d/11923uPwbBZFjjGgGUA6NLw09EwE0CqkOc4q9oUmW1yo/edit?usp=sharing"",""ลำปาง!J385"")"),0)</f>
        <v>0</v>
      </c>
      <c r="AN28" s="55">
        <f ca="1">IFERROR(__xludf.DUMMYFUNCTION("IMPORTRANGE(""https://docs.google.com/spreadsheets/d/11923uPwbBZFjjGgGUA6NLw09EwE0CqkOc4q9oUmW1yo/edit?usp=sharing"",""ลำปาง!J386"")"),0)</f>
        <v>0</v>
      </c>
      <c r="AO28" s="55">
        <f ca="1">IFERROR(__xludf.DUMMYFUNCTION("IMPORTRANGE(""https://docs.google.com/spreadsheets/d/11923uPwbBZFjjGgGUA6NLw09EwE0CqkOc4q9oUmW1yo/edit?usp=sharing"",""ลำปาง!J387"")"),0)</f>
        <v>0</v>
      </c>
      <c r="AP28" s="55">
        <f ca="1">IFERROR(__xludf.DUMMYFUNCTION("IMPORTRANGE(""https://docs.google.com/spreadsheets/d/11923uPwbBZFjjGgGUA6NLw09EwE0CqkOc4q9oUmW1yo/edit?usp=sharing"",""ลำปาง!J388"")"),0)</f>
        <v>0</v>
      </c>
      <c r="AQ28" s="55">
        <f ca="1">IFERROR(__xludf.DUMMYFUNCTION("IMPORTRANGE(""https://docs.google.com/spreadsheets/d/11923uPwbBZFjjGgGUA6NLw09EwE0CqkOc4q9oUmW1yo/edit?usp=sharing"",""ลำปาง!J389"")"),0)</f>
        <v>0</v>
      </c>
      <c r="AR28" s="402">
        <v>354</v>
      </c>
      <c r="AS28" s="402">
        <v>2846</v>
      </c>
      <c r="AT28" s="402">
        <f t="shared" ca="1" si="68"/>
        <v>0</v>
      </c>
      <c r="AU28" s="402">
        <f t="shared" ca="1" si="12"/>
        <v>0</v>
      </c>
      <c r="AV28" s="402">
        <f t="shared" ca="1" si="69"/>
        <v>0</v>
      </c>
      <c r="AW28" s="402">
        <f t="shared" ca="1" si="13"/>
        <v>0</v>
      </c>
      <c r="AX28" s="55">
        <f ca="1">IFERROR(__xludf.DUMMYFUNCTION("IMPORTRANGE(""https://docs.google.com/spreadsheets/d/11923uPwbBZFjjGgGUA6NLw09EwE0CqkOc4q9oUmW1yo/edit?usp=sharing"",""ลำปาง!J395"")"),0)</f>
        <v>0</v>
      </c>
      <c r="AY28" s="55">
        <f ca="1">IFERROR(__xludf.DUMMYFUNCTION("IMPORTRANGE(""https://docs.google.com/spreadsheets/d/11923uPwbBZFjjGgGUA6NLw09EwE0CqkOc4q9oUmW1yo/edit?usp=sharing"",""ลำปาง!J396"")"),0)</f>
        <v>0</v>
      </c>
      <c r="AZ28" s="55">
        <f ca="1">IFERROR(__xludf.DUMMYFUNCTION("IMPORTRANGE(""https://docs.google.com/spreadsheets/d/11923uPwbBZFjjGgGUA6NLw09EwE0CqkOc4q9oUmW1yo/edit?usp=sharing"",""ลำปาง!J397"")"),0)</f>
        <v>0</v>
      </c>
      <c r="BA28" s="55">
        <f ca="1">IFERROR(__xludf.DUMMYFUNCTION("IMPORTRANGE(""https://docs.google.com/spreadsheets/d/11923uPwbBZFjjGgGUA6NLw09EwE0CqkOc4q9oUmW1yo/edit?usp=sharing"",""ลำปาง!J398"")"),0)</f>
        <v>0</v>
      </c>
      <c r="BB28" s="55">
        <f ca="1">IFERROR(__xludf.DUMMYFUNCTION("IMPORTRANGE(""https://docs.google.com/spreadsheets/d/11923uPwbBZFjjGgGUA6NLw09EwE0CqkOc4q9oUmW1yo/edit?usp=sharing"",""ลำปาง!J399"")"),0)</f>
        <v>0</v>
      </c>
      <c r="BC28" s="55">
        <f ca="1">IFERROR(__xludf.DUMMYFUNCTION("IMPORTRANGE(""https://docs.google.com/spreadsheets/d/11923uPwbBZFjjGgGUA6NLw09EwE0CqkOc4q9oUmW1yo/edit?usp=sharing"",""ลำปาง!J400"")"),0)</f>
        <v>0</v>
      </c>
      <c r="BD28" s="55">
        <f ca="1">IFERROR(__xludf.DUMMYFUNCTION("IMPORTRANGE(""https://docs.google.com/spreadsheets/d/11923uPwbBZFjjGgGUA6NLw09EwE0CqkOc4q9oUmW1yo/edit?usp=sharing"",""ลำปาง!J403"")"),0)</f>
        <v>0</v>
      </c>
      <c r="BE28" s="55">
        <f ca="1">IFERROR(__xludf.DUMMYFUNCTION("IMPORTRANGE(""https://docs.google.com/spreadsheets/d/11923uPwbBZFjjGgGUA6NLw09EwE0CqkOc4q9oUmW1yo/edit?usp=sharing"",""ลำปาง!J404"")"),0)</f>
        <v>0</v>
      </c>
      <c r="BF28" s="55">
        <f ca="1">IFERROR(__xludf.DUMMYFUNCTION("IMPORTRANGE(""https://docs.google.com/spreadsheets/d/11923uPwbBZFjjGgGUA6NLw09EwE0CqkOc4q9oUmW1yo/edit?usp=sharing"",""ลำปาง!J405"")"),0)</f>
        <v>0</v>
      </c>
      <c r="BG28" s="55">
        <f ca="1">IFERROR(__xludf.DUMMYFUNCTION("IMPORTRANGE(""https://docs.google.com/spreadsheets/d/11923uPwbBZFjjGgGUA6NLw09EwE0CqkOc4q9oUmW1yo/edit?usp=sharing"",""ลำปาง!J406"")"),0)</f>
        <v>0</v>
      </c>
      <c r="BH28" s="55">
        <f ca="1">IFERROR(__xludf.DUMMYFUNCTION("IMPORTRANGE(""https://docs.google.com/spreadsheets/d/11923uPwbBZFjjGgGUA6NLw09EwE0CqkOc4q9oUmW1yo/edit?usp=sharing"",""ลำปาง!J407"")"),0)</f>
        <v>0</v>
      </c>
      <c r="BI28" s="55">
        <f ca="1">IFERROR(__xludf.DUMMYFUNCTION("IMPORTRANGE(""https://docs.google.com/spreadsheets/d/11923uPwbBZFjjGgGUA6NLw09EwE0CqkOc4q9oUmW1yo/edit?usp=sharing"",""ลำปาง!J408"")"),0)</f>
        <v>0</v>
      </c>
      <c r="BJ28" s="402">
        <v>39762</v>
      </c>
      <c r="BK28" s="402">
        <v>10122</v>
      </c>
      <c r="BL28" s="402">
        <f t="shared" ca="1" si="70"/>
        <v>0</v>
      </c>
      <c r="BM28" s="403">
        <f t="shared" ca="1" si="15"/>
        <v>0</v>
      </c>
      <c r="BN28" s="402">
        <f t="shared" ca="1" si="71"/>
        <v>0</v>
      </c>
      <c r="BO28" s="403">
        <f t="shared" ca="1" si="16"/>
        <v>0</v>
      </c>
      <c r="BP28" s="55">
        <f ca="1">IFERROR(__xludf.DUMMYFUNCTION("IMPORTRANGE(""https://docs.google.com/spreadsheets/d/11923uPwbBZFjjGgGUA6NLw09EwE0CqkOc4q9oUmW1yo/edit?usp=sharing"",""ลำปาง!J412"")"),0)</f>
        <v>0</v>
      </c>
      <c r="BQ28" s="55">
        <f ca="1">IFERROR(__xludf.DUMMYFUNCTION("IMPORTRANGE(""https://docs.google.com/spreadsheets/d/11923uPwbBZFjjGgGUA6NLw09EwE0CqkOc4q9oUmW1yo/edit?usp=sharing"",""ลำปาง!J413"")"),0)</f>
        <v>0</v>
      </c>
      <c r="BR28" s="55">
        <f ca="1">IFERROR(__xludf.DUMMYFUNCTION("IMPORTRANGE(""https://docs.google.com/spreadsheets/d/11923uPwbBZFjjGgGUA6NLw09EwE0CqkOc4q9oUmW1yo/edit?usp=sharing"",""ลำปาง!J414"")"),0)</f>
        <v>0</v>
      </c>
      <c r="BS28" s="55">
        <f ca="1">IFERROR(__xludf.DUMMYFUNCTION("IMPORTRANGE(""https://docs.google.com/spreadsheets/d/11923uPwbBZFjjGgGUA6NLw09EwE0CqkOc4q9oUmW1yo/edit?usp=sharing"",""ลำปาง!J415"")"),0)</f>
        <v>0</v>
      </c>
      <c r="BT28" s="55">
        <f ca="1">IFERROR(__xludf.DUMMYFUNCTION("IMPORTRANGE(""https://docs.google.com/spreadsheets/d/11923uPwbBZFjjGgGUA6NLw09EwE0CqkOc4q9oUmW1yo/edit?usp=sharing"",""ลำปาง!J416"")"),0)</f>
        <v>0</v>
      </c>
      <c r="BU28" s="55">
        <f ca="1">IFERROR(__xludf.DUMMYFUNCTION("IMPORTRANGE(""https://docs.google.com/spreadsheets/d/11923uPwbBZFjjGgGUA6NLw09EwE0CqkOc4q9oUmW1yo/edit?usp=sharing"",""ลำปาง!J417"")"),0)</f>
        <v>0</v>
      </c>
      <c r="BV28" s="402">
        <f t="shared" ca="1" si="72"/>
        <v>0</v>
      </c>
      <c r="BW28" s="403">
        <f t="shared" ca="1" si="18"/>
        <v>0</v>
      </c>
      <c r="BX28" s="402">
        <f t="shared" ca="1" si="73"/>
        <v>0</v>
      </c>
      <c r="BY28" s="403">
        <f t="shared" ca="1" si="19"/>
        <v>0</v>
      </c>
      <c r="BZ28" s="55">
        <f ca="1">IFERROR(__xludf.DUMMYFUNCTION("IMPORTRANGE(""https://docs.google.com/spreadsheets/d/11923uPwbBZFjjGgGUA6NLw09EwE0CqkOc4q9oUmW1yo/edit?usp=sharing"",""ลำปาง!J420"")"),0)</f>
        <v>0</v>
      </c>
      <c r="CA28" s="55">
        <f ca="1">IFERROR(__xludf.DUMMYFUNCTION("IMPORTRANGE(""https://docs.google.com/spreadsheets/d/11923uPwbBZFjjGgGUA6NLw09EwE0CqkOc4q9oUmW1yo/edit?usp=sharing"",""ลำปาง!J421"")"),0)</f>
        <v>0</v>
      </c>
      <c r="CB28" s="55">
        <f ca="1">IFERROR(__xludf.DUMMYFUNCTION("IMPORTRANGE(""https://docs.google.com/spreadsheets/d/11923uPwbBZFjjGgGUA6NLw09EwE0CqkOc4q9oUmW1yo/edit?usp=sharing"",""ลำปาง!J422"")"),0)</f>
        <v>0</v>
      </c>
      <c r="CC28" s="55">
        <f ca="1">IFERROR(__xludf.DUMMYFUNCTION("IMPORTRANGE(""https://docs.google.com/spreadsheets/d/11923uPwbBZFjjGgGUA6NLw09EwE0CqkOc4q9oUmW1yo/edit?usp=sharing"",""ลำปาง!J423"")"),0)</f>
        <v>0</v>
      </c>
      <c r="CD28" s="55">
        <f ca="1">IFERROR(__xludf.DUMMYFUNCTION("IMPORTRANGE(""https://docs.google.com/spreadsheets/d/11923uPwbBZFjjGgGUA6NLw09EwE0CqkOc4q9oUmW1yo/edit?usp=sharing"",""ลำปาง!J424"")"),0)</f>
        <v>0</v>
      </c>
      <c r="CE28" s="422">
        <f ca="1">IFERROR(__xludf.DUMMYFUNCTION("IMPORTRANGE(""https://docs.google.com/spreadsheets/d/11923uPwbBZFjjGgGUA6NLw09EwE0CqkOc4q9oUmW1yo/edit?usp=sharing"",""ลำปาง!J425"")"),0)</f>
        <v>0</v>
      </c>
    </row>
    <row r="29" spans="1:83" ht="24" customHeight="1" x14ac:dyDescent="0.5">
      <c r="A29" s="273">
        <v>14</v>
      </c>
      <c r="B29" s="274" t="s">
        <v>44</v>
      </c>
      <c r="C29" s="400">
        <f t="shared" si="61"/>
        <v>447249.66</v>
      </c>
      <c r="D29" s="55">
        <v>0</v>
      </c>
      <c r="E29" s="401">
        <v>447249.66</v>
      </c>
      <c r="F29" s="99">
        <f ca="1">IFERROR(__xludf.DUMMYFUNCTION("IMPORTRANGE(""https://docs.google.com/spreadsheets/d/11923uPwbBZFjjGgGUA6NLw09EwE0CqkOc4q9oUmW1yo/edit?usp=sharing"",""ลำพูน!M352"")"),0)</f>
        <v>0</v>
      </c>
      <c r="G29" s="99">
        <f t="shared" ca="1" si="1"/>
        <v>0</v>
      </c>
      <c r="H29" s="57">
        <v>38193</v>
      </c>
      <c r="I29" s="57">
        <v>6424</v>
      </c>
      <c r="J29" s="55">
        <f t="shared" ca="1" si="62"/>
        <v>0</v>
      </c>
      <c r="K29" s="99">
        <f t="shared" ca="1" si="3"/>
        <v>0</v>
      </c>
      <c r="L29" s="55">
        <f t="shared" ca="1" si="63"/>
        <v>0</v>
      </c>
      <c r="M29" s="99">
        <f t="shared" ca="1" si="4"/>
        <v>0</v>
      </c>
      <c r="N29" s="55">
        <f ca="1">IFERROR(__xludf.DUMMYFUNCTION("IMPORTRANGE(""https://docs.google.com/spreadsheets/d/11923uPwbBZFjjGgGUA6NLw09EwE0CqkOc4q9oUmW1yo/edit?usp=sharing"",""ลำพูน!J362"")"),0)</f>
        <v>0</v>
      </c>
      <c r="O29" s="55">
        <f ca="1">IFERROR(__xludf.DUMMYFUNCTION("IMPORTRANGE(""https://docs.google.com/spreadsheets/d/11923uPwbBZFjjGgGUA6NLw09EwE0CqkOc4q9oUmW1yo/edit?usp=sharing"",""ลำพูน!J363"")"),0)</f>
        <v>0</v>
      </c>
      <c r="P29" s="55">
        <f ca="1">IFERROR(__xludf.DUMMYFUNCTION("IMPORTRANGE(""https://docs.google.com/spreadsheets/d/11923uPwbBZFjjGgGUA6NLw09EwE0CqkOc4q9oUmW1yo/edit?usp=sharing"",""ลำพูน!J364"")"),0)</f>
        <v>0</v>
      </c>
      <c r="Q29" s="55">
        <f ca="1">IFERROR(__xludf.DUMMYFUNCTION("IMPORTRANGE(""https://docs.google.com/spreadsheets/d/11923uPwbBZFjjGgGUA6NLw09EwE0CqkOc4q9oUmW1yo/edit?usp=sharing"",""ลำพูน!J365"")"),0)</f>
        <v>0</v>
      </c>
      <c r="R29" s="55">
        <f ca="1">IFERROR(__xludf.DUMMYFUNCTION("IMPORTRANGE(""https://docs.google.com/spreadsheets/d/11923uPwbBZFjjGgGUA6NLw09EwE0CqkOc4q9oUmW1yo/edit?usp=sharing"",""ลำพูน!J366"")"),0)</f>
        <v>0</v>
      </c>
      <c r="S29" s="55">
        <f ca="1">IFERROR(__xludf.DUMMYFUNCTION("IMPORTRANGE(""https://docs.google.com/spreadsheets/d/11923uPwbBZFjjGgGUA6NLw09EwE0CqkOc4q9oUmW1yo/edit?usp=sharing"",""ลำพูน!J367"")"),0)</f>
        <v>0</v>
      </c>
      <c r="T29" s="55">
        <f t="shared" ca="1" si="64"/>
        <v>0</v>
      </c>
      <c r="U29" s="55">
        <f t="shared" ca="1" si="6"/>
        <v>0</v>
      </c>
      <c r="V29" s="55">
        <f t="shared" ca="1" si="65"/>
        <v>0</v>
      </c>
      <c r="W29" s="55">
        <f t="shared" ca="1" si="7"/>
        <v>0</v>
      </c>
      <c r="X29" s="55">
        <f ca="1">IFERROR(__xludf.DUMMYFUNCTION("IMPORTRANGE(""https://docs.google.com/spreadsheets/d/11923uPwbBZFjjGgGUA6NLw09EwE0CqkOc4q9oUmW1yo/edit?usp=sharing"",""ลำพูน!J370"")"),0)</f>
        <v>0</v>
      </c>
      <c r="Y29" s="55">
        <f ca="1">IFERROR(__xludf.DUMMYFUNCTION("IMPORTRANGE(""https://docs.google.com/spreadsheets/d/11923uPwbBZFjjGgGUA6NLw09EwE0CqkOc4q9oUmW1yo/edit?usp=sharing"",""ลำพูน!J371"")"),0)</f>
        <v>0</v>
      </c>
      <c r="Z29" s="55">
        <f ca="1">IFERROR(__xludf.DUMMYFUNCTION("IMPORTRANGE(""https://docs.google.com/spreadsheets/d/11923uPwbBZFjjGgGUA6NLw09EwE0CqkOc4q9oUmW1yo/edit?usp=sharing"",""ลำพูน!J372"")"),0)</f>
        <v>0</v>
      </c>
      <c r="AA29" s="55">
        <f ca="1">IFERROR(__xludf.DUMMYFUNCTION("IMPORTRANGE(""https://docs.google.com/spreadsheets/d/11923uPwbBZFjjGgGUA6NLw09EwE0CqkOc4q9oUmW1yo/edit?usp=sharing"",""ลำพูน!J373"")"),0)</f>
        <v>0</v>
      </c>
      <c r="AB29" s="55">
        <f ca="1">IFERROR(__xludf.DUMMYFUNCTION("IMPORTRANGE(""https://docs.google.com/spreadsheets/d/11923uPwbBZFjjGgGUA6NLw09EwE0CqkOc4q9oUmW1yo/edit?usp=sharing"",""ลำพูน!J374"")"),0)</f>
        <v>0</v>
      </c>
      <c r="AC29" s="55">
        <f ca="1">IFERROR(__xludf.DUMMYFUNCTION("IMPORTRANGE(""https://docs.google.com/spreadsheets/d/11923uPwbBZFjjGgGUA6NLw09EwE0CqkOc4q9oUmW1yo/edit?usp=sharing"",""ลำพูน!J375"")"),0)</f>
        <v>0</v>
      </c>
      <c r="AD29" s="55">
        <f t="shared" ca="1" si="66"/>
        <v>0</v>
      </c>
      <c r="AE29" s="99">
        <f t="shared" ca="1" si="9"/>
        <v>0</v>
      </c>
      <c r="AF29" s="55">
        <f t="shared" ca="1" si="67"/>
        <v>0</v>
      </c>
      <c r="AG29" s="99">
        <f t="shared" ca="1" si="10"/>
        <v>0</v>
      </c>
      <c r="AH29" s="55">
        <f ca="1">IFERROR(__xludf.DUMMYFUNCTION("IMPORTRANGE(""https://docs.google.com/spreadsheets/d/11923uPwbBZFjjGgGUA6NLw09EwE0CqkOc4q9oUmW1yo/edit?usp=sharing"",""ลำพูน!J378"")"),0)</f>
        <v>0</v>
      </c>
      <c r="AI29" s="55">
        <f ca="1">IFERROR(__xludf.DUMMYFUNCTION("IMPORTRANGE(""https://docs.google.com/spreadsheets/d/11923uPwbBZFjjGgGUA6NLw09EwE0CqkOc4q9oUmW1yo/edit?usp=sharing"",""ลำพูน!J379"")"),0)</f>
        <v>0</v>
      </c>
      <c r="AJ29" s="55">
        <f ca="1">IFERROR(__xludf.DUMMYFUNCTION("IMPORTRANGE(""https://docs.google.com/spreadsheets/d/11923uPwbBZFjjGgGUA6NLw09EwE0CqkOc4q9oUmW1yo/edit?usp=sharing"",""ลำพูน!J380"")"),0)</f>
        <v>0</v>
      </c>
      <c r="AK29" s="55">
        <f ca="1">IFERROR(__xludf.DUMMYFUNCTION("IMPORTRANGE(""https://docs.google.com/spreadsheets/d/11923uPwbBZFjjGgGUA6NLw09EwE0CqkOc4q9oUmW1yo/edit?usp=sharing"",""ลำพูน!J381"")"),0)</f>
        <v>0</v>
      </c>
      <c r="AL29" s="55">
        <f ca="1">IFERROR(__xludf.DUMMYFUNCTION("IMPORTRANGE(""https://docs.google.com/spreadsheets/d/11923uPwbBZFjjGgGUA6NLw09EwE0CqkOc4q9oUmW1yo/edit?usp=sharing"",""ลำพูน!J384"")"),0)</f>
        <v>0</v>
      </c>
      <c r="AM29" s="55">
        <f ca="1">IFERROR(__xludf.DUMMYFUNCTION("IMPORTRANGE(""https://docs.google.com/spreadsheets/d/11923uPwbBZFjjGgGUA6NLw09EwE0CqkOc4q9oUmW1yo/edit?usp=sharing"",""ลำพูน!J385"")"),0)</f>
        <v>0</v>
      </c>
      <c r="AN29" s="55">
        <f ca="1">IFERROR(__xludf.DUMMYFUNCTION("IMPORTRANGE(""https://docs.google.com/spreadsheets/d/11923uPwbBZFjjGgGUA6NLw09EwE0CqkOc4q9oUmW1yo/edit?usp=sharing"",""ลำพูน!J386"")"),0)</f>
        <v>0</v>
      </c>
      <c r="AO29" s="55">
        <f ca="1">IFERROR(__xludf.DUMMYFUNCTION("IMPORTRANGE(""https://docs.google.com/spreadsheets/d/11923uPwbBZFjjGgGUA6NLw09EwE0CqkOc4q9oUmW1yo/edit?usp=sharing"",""ลำพูน!J387"")"),0)</f>
        <v>0</v>
      </c>
      <c r="AP29" s="55">
        <f ca="1">IFERROR(__xludf.DUMMYFUNCTION("IMPORTRANGE(""https://docs.google.com/spreadsheets/d/11923uPwbBZFjjGgGUA6NLw09EwE0CqkOc4q9oUmW1yo/edit?usp=sharing"",""ลำพูน!J388"")"),0)</f>
        <v>0</v>
      </c>
      <c r="AQ29" s="55">
        <f ca="1">IFERROR(__xludf.DUMMYFUNCTION("IMPORTRANGE(""https://docs.google.com/spreadsheets/d/11923uPwbBZFjjGgGUA6NLw09EwE0CqkOc4q9oUmW1yo/edit?usp=sharing"",""ลำพูน!J389"")"),0)</f>
        <v>0</v>
      </c>
      <c r="AR29" s="402">
        <v>18</v>
      </c>
      <c r="AS29" s="402">
        <v>143</v>
      </c>
      <c r="AT29" s="402">
        <f t="shared" ca="1" si="68"/>
        <v>0</v>
      </c>
      <c r="AU29" s="402">
        <f t="shared" ca="1" si="12"/>
        <v>0</v>
      </c>
      <c r="AV29" s="402">
        <f t="shared" ca="1" si="69"/>
        <v>0</v>
      </c>
      <c r="AW29" s="402">
        <f t="shared" ca="1" si="13"/>
        <v>0</v>
      </c>
      <c r="AX29" s="55">
        <f ca="1">IFERROR(__xludf.DUMMYFUNCTION("IMPORTRANGE(""https://docs.google.com/spreadsheets/d/11923uPwbBZFjjGgGUA6NLw09EwE0CqkOc4q9oUmW1yo/edit?usp=sharing"",""ลำพูน!J395"")"),0)</f>
        <v>0</v>
      </c>
      <c r="AY29" s="55">
        <f ca="1">IFERROR(__xludf.DUMMYFUNCTION("IMPORTRANGE(""https://docs.google.com/spreadsheets/d/11923uPwbBZFjjGgGUA6NLw09EwE0CqkOc4q9oUmW1yo/edit?usp=sharing"",""ลำพูน!J396"")"),0)</f>
        <v>0</v>
      </c>
      <c r="AZ29" s="55">
        <f ca="1">IFERROR(__xludf.DUMMYFUNCTION("IMPORTRANGE(""https://docs.google.com/spreadsheets/d/11923uPwbBZFjjGgGUA6NLw09EwE0CqkOc4q9oUmW1yo/edit?usp=sharing"",""ลำพูน!J397"")"),0)</f>
        <v>0</v>
      </c>
      <c r="BA29" s="55">
        <f ca="1">IFERROR(__xludf.DUMMYFUNCTION("IMPORTRANGE(""https://docs.google.com/spreadsheets/d/11923uPwbBZFjjGgGUA6NLw09EwE0CqkOc4q9oUmW1yo/edit?usp=sharing"",""ลำพูน!J398"")"),0)</f>
        <v>0</v>
      </c>
      <c r="BB29" s="55">
        <f ca="1">IFERROR(__xludf.DUMMYFUNCTION("IMPORTRANGE(""https://docs.google.com/spreadsheets/d/11923uPwbBZFjjGgGUA6NLw09EwE0CqkOc4q9oUmW1yo/edit?usp=sharing"",""ลำพูน!J399"")"),0)</f>
        <v>0</v>
      </c>
      <c r="BC29" s="55">
        <f ca="1">IFERROR(__xludf.DUMMYFUNCTION("IMPORTRANGE(""https://docs.google.com/spreadsheets/d/11923uPwbBZFjjGgGUA6NLw09EwE0CqkOc4q9oUmW1yo/edit?usp=sharing"",""ลำพูน!J400"")"),0)</f>
        <v>0</v>
      </c>
      <c r="BD29" s="55">
        <f ca="1">IFERROR(__xludf.DUMMYFUNCTION("IMPORTRANGE(""https://docs.google.com/spreadsheets/d/11923uPwbBZFjjGgGUA6NLw09EwE0CqkOc4q9oUmW1yo/edit?usp=sharing"",""ลำพูน!J403"")"),0)</f>
        <v>0</v>
      </c>
      <c r="BE29" s="55">
        <f ca="1">IFERROR(__xludf.DUMMYFUNCTION("IMPORTRANGE(""https://docs.google.com/spreadsheets/d/11923uPwbBZFjjGgGUA6NLw09EwE0CqkOc4q9oUmW1yo/edit?usp=sharing"",""ลำพูน!J404"")"),0)</f>
        <v>0</v>
      </c>
      <c r="BF29" s="55">
        <f ca="1">IFERROR(__xludf.DUMMYFUNCTION("IMPORTRANGE(""https://docs.google.com/spreadsheets/d/11923uPwbBZFjjGgGUA6NLw09EwE0CqkOc4q9oUmW1yo/edit?usp=sharing"",""ลำพูน!J405"")"),0)</f>
        <v>0</v>
      </c>
      <c r="BG29" s="55">
        <f ca="1">IFERROR(__xludf.DUMMYFUNCTION("IMPORTRANGE(""https://docs.google.com/spreadsheets/d/11923uPwbBZFjjGgGUA6NLw09EwE0CqkOc4q9oUmW1yo/edit?usp=sharing"",""ลำพูน!J406"")"),0)</f>
        <v>0</v>
      </c>
      <c r="BH29" s="55">
        <f ca="1">IFERROR(__xludf.DUMMYFUNCTION("IMPORTRANGE(""https://docs.google.com/spreadsheets/d/11923uPwbBZFjjGgGUA6NLw09EwE0CqkOc4q9oUmW1yo/edit?usp=sharing"",""ลำพูน!J407"")"),0)</f>
        <v>0</v>
      </c>
      <c r="BI29" s="55">
        <f ca="1">IFERROR(__xludf.DUMMYFUNCTION("IMPORTRANGE(""https://docs.google.com/spreadsheets/d/11923uPwbBZFjjGgGUA6NLw09EwE0CqkOc4q9oUmW1yo/edit?usp=sharing"",""ลำพูน!J408"")"),0)</f>
        <v>0</v>
      </c>
      <c r="BJ29" s="402">
        <v>38193</v>
      </c>
      <c r="BK29" s="402">
        <v>6424</v>
      </c>
      <c r="BL29" s="402">
        <f t="shared" ca="1" si="70"/>
        <v>0</v>
      </c>
      <c r="BM29" s="403">
        <f t="shared" ca="1" si="15"/>
        <v>0</v>
      </c>
      <c r="BN29" s="402">
        <f t="shared" ca="1" si="71"/>
        <v>0</v>
      </c>
      <c r="BO29" s="403">
        <f t="shared" ca="1" si="16"/>
        <v>0</v>
      </c>
      <c r="BP29" s="55">
        <f ca="1">IFERROR(__xludf.DUMMYFUNCTION("IMPORTRANGE(""https://docs.google.com/spreadsheets/d/11923uPwbBZFjjGgGUA6NLw09EwE0CqkOc4q9oUmW1yo/edit?usp=sharing"",""ลำพูน!J412"")"),0)</f>
        <v>0</v>
      </c>
      <c r="BQ29" s="55">
        <f ca="1">IFERROR(__xludf.DUMMYFUNCTION("IMPORTRANGE(""https://docs.google.com/spreadsheets/d/11923uPwbBZFjjGgGUA6NLw09EwE0CqkOc4q9oUmW1yo/edit?usp=sharing"",""ลำพูน!J413"")"),0)</f>
        <v>0</v>
      </c>
      <c r="BR29" s="55">
        <f ca="1">IFERROR(__xludf.DUMMYFUNCTION("IMPORTRANGE(""https://docs.google.com/spreadsheets/d/11923uPwbBZFjjGgGUA6NLw09EwE0CqkOc4q9oUmW1yo/edit?usp=sharing"",""ลำพูน!J414"")"),0)</f>
        <v>0</v>
      </c>
      <c r="BS29" s="55">
        <f ca="1">IFERROR(__xludf.DUMMYFUNCTION("IMPORTRANGE(""https://docs.google.com/spreadsheets/d/11923uPwbBZFjjGgGUA6NLw09EwE0CqkOc4q9oUmW1yo/edit?usp=sharing"",""ลำพูน!J415"")"),0)</f>
        <v>0</v>
      </c>
      <c r="BT29" s="55">
        <f ca="1">IFERROR(__xludf.DUMMYFUNCTION("IMPORTRANGE(""https://docs.google.com/spreadsheets/d/11923uPwbBZFjjGgGUA6NLw09EwE0CqkOc4q9oUmW1yo/edit?usp=sharing"",""ลำพูน!J416"")"),0)</f>
        <v>0</v>
      </c>
      <c r="BU29" s="55">
        <f ca="1">IFERROR(__xludf.DUMMYFUNCTION("IMPORTRANGE(""https://docs.google.com/spreadsheets/d/11923uPwbBZFjjGgGUA6NLw09EwE0CqkOc4q9oUmW1yo/edit?usp=sharing"",""ลำพูน!J417"")"),0)</f>
        <v>0</v>
      </c>
      <c r="BV29" s="402">
        <f t="shared" ca="1" si="72"/>
        <v>0</v>
      </c>
      <c r="BW29" s="403">
        <f t="shared" ca="1" si="18"/>
        <v>0</v>
      </c>
      <c r="BX29" s="402">
        <f t="shared" ca="1" si="73"/>
        <v>0</v>
      </c>
      <c r="BY29" s="403">
        <f t="shared" ca="1" si="19"/>
        <v>0</v>
      </c>
      <c r="BZ29" s="55">
        <f ca="1">IFERROR(__xludf.DUMMYFUNCTION("IMPORTRANGE(""https://docs.google.com/spreadsheets/d/11923uPwbBZFjjGgGUA6NLw09EwE0CqkOc4q9oUmW1yo/edit?usp=sharing"",""ลำพูน!J420"")"),0)</f>
        <v>0</v>
      </c>
      <c r="CA29" s="55">
        <f ca="1">IFERROR(__xludf.DUMMYFUNCTION("IMPORTRANGE(""https://docs.google.com/spreadsheets/d/11923uPwbBZFjjGgGUA6NLw09EwE0CqkOc4q9oUmW1yo/edit?usp=sharing"",""ลำพูน!J421"")"),0)</f>
        <v>0</v>
      </c>
      <c r="CB29" s="55">
        <f ca="1">IFERROR(__xludf.DUMMYFUNCTION("IMPORTRANGE(""https://docs.google.com/spreadsheets/d/11923uPwbBZFjjGgGUA6NLw09EwE0CqkOc4q9oUmW1yo/edit?usp=sharing"",""ลำพูน!J422"")"),0)</f>
        <v>0</v>
      </c>
      <c r="CC29" s="55">
        <f ca="1">IFERROR(__xludf.DUMMYFUNCTION("IMPORTRANGE(""https://docs.google.com/spreadsheets/d/11923uPwbBZFjjGgGUA6NLw09EwE0CqkOc4q9oUmW1yo/edit?usp=sharing"",""ลำพูน!J423"")"),0)</f>
        <v>0</v>
      </c>
      <c r="CD29" s="55">
        <f ca="1">IFERROR(__xludf.DUMMYFUNCTION("IMPORTRANGE(""https://docs.google.com/spreadsheets/d/11923uPwbBZFjjGgGUA6NLw09EwE0CqkOc4q9oUmW1yo/edit?usp=sharing"",""ลำพูน!J424"")"),0)</f>
        <v>0</v>
      </c>
      <c r="CE29" s="422">
        <f ca="1">IFERROR(__xludf.DUMMYFUNCTION("IMPORTRANGE(""https://docs.google.com/spreadsheets/d/11923uPwbBZFjjGgGUA6NLw09EwE0CqkOc4q9oUmW1yo/edit?usp=sharing"",""ลำพูน!J425"")"),0)</f>
        <v>0</v>
      </c>
    </row>
    <row r="30" spans="1:83" ht="24" customHeight="1" x14ac:dyDescent="0.5">
      <c r="A30" s="273">
        <v>15</v>
      </c>
      <c r="B30" s="274" t="s">
        <v>45</v>
      </c>
      <c r="C30" s="400">
        <f t="shared" si="61"/>
        <v>382323</v>
      </c>
      <c r="D30" s="55">
        <v>0</v>
      </c>
      <c r="E30" s="401">
        <v>382323</v>
      </c>
      <c r="F30" s="99">
        <f ca="1">IFERROR(__xludf.DUMMYFUNCTION("IMPORTRANGE(""https://docs.google.com/spreadsheets/d/11923uPwbBZFjjGgGUA6NLw09EwE0CqkOc4q9oUmW1yo/edit?usp=sharing"",""สุโขทัย!M352"")"),0)</f>
        <v>0</v>
      </c>
      <c r="G30" s="99">
        <f t="shared" ca="1" si="1"/>
        <v>0</v>
      </c>
      <c r="H30" s="57">
        <v>33673</v>
      </c>
      <c r="I30" s="57">
        <v>4578</v>
      </c>
      <c r="J30" s="55">
        <f t="shared" ca="1" si="62"/>
        <v>0</v>
      </c>
      <c r="K30" s="99">
        <f t="shared" ca="1" si="3"/>
        <v>0</v>
      </c>
      <c r="L30" s="55">
        <f t="shared" ca="1" si="63"/>
        <v>0</v>
      </c>
      <c r="M30" s="99">
        <f t="shared" ca="1" si="4"/>
        <v>0</v>
      </c>
      <c r="N30" s="55">
        <f ca="1">IFERROR(__xludf.DUMMYFUNCTION("IMPORTRANGE(""https://docs.google.com/spreadsheets/d/11923uPwbBZFjjGgGUA6NLw09EwE0CqkOc4q9oUmW1yo/edit?usp=sharing"",""สุโขทัย!J362"")"),0)</f>
        <v>0</v>
      </c>
      <c r="O30" s="55">
        <f ca="1">IFERROR(__xludf.DUMMYFUNCTION("IMPORTRANGE(""https://docs.google.com/spreadsheets/d/11923uPwbBZFjjGgGUA6NLw09EwE0CqkOc4q9oUmW1yo/edit?usp=sharing"",""สุโขทัย!J363"")"),0)</f>
        <v>0</v>
      </c>
      <c r="P30" s="55">
        <f ca="1">IFERROR(__xludf.DUMMYFUNCTION("IMPORTRANGE(""https://docs.google.com/spreadsheets/d/11923uPwbBZFjjGgGUA6NLw09EwE0CqkOc4q9oUmW1yo/edit?usp=sharing"",""สุโขทัย!J364"")"),0)</f>
        <v>0</v>
      </c>
      <c r="Q30" s="55">
        <f ca="1">IFERROR(__xludf.DUMMYFUNCTION("IMPORTRANGE(""https://docs.google.com/spreadsheets/d/11923uPwbBZFjjGgGUA6NLw09EwE0CqkOc4q9oUmW1yo/edit?usp=sharing"",""สุโขทัย!J365"")"),0)</f>
        <v>0</v>
      </c>
      <c r="R30" s="55">
        <f ca="1">IFERROR(__xludf.DUMMYFUNCTION("IMPORTRANGE(""https://docs.google.com/spreadsheets/d/11923uPwbBZFjjGgGUA6NLw09EwE0CqkOc4q9oUmW1yo/edit?usp=sharing"",""สุโขทัย!J366"")"),0)</f>
        <v>0</v>
      </c>
      <c r="S30" s="55">
        <f ca="1">IFERROR(__xludf.DUMMYFUNCTION("IMPORTRANGE(""https://docs.google.com/spreadsheets/d/11923uPwbBZFjjGgGUA6NLw09EwE0CqkOc4q9oUmW1yo/edit?usp=sharing"",""สุโขทัย!J367"")"),0)</f>
        <v>0</v>
      </c>
      <c r="T30" s="55">
        <f t="shared" ca="1" si="64"/>
        <v>0</v>
      </c>
      <c r="U30" s="55">
        <f t="shared" ca="1" si="6"/>
        <v>0</v>
      </c>
      <c r="V30" s="55">
        <f t="shared" ca="1" si="65"/>
        <v>0</v>
      </c>
      <c r="W30" s="55">
        <f t="shared" ca="1" si="7"/>
        <v>0</v>
      </c>
      <c r="X30" s="55">
        <f ca="1">IFERROR(__xludf.DUMMYFUNCTION("IMPORTRANGE(""https://docs.google.com/spreadsheets/d/11923uPwbBZFjjGgGUA6NLw09EwE0CqkOc4q9oUmW1yo/edit?usp=sharing"",""สุโขทัย!J370"")"),0)</f>
        <v>0</v>
      </c>
      <c r="Y30" s="55">
        <f ca="1">IFERROR(__xludf.DUMMYFUNCTION("IMPORTRANGE(""https://docs.google.com/spreadsheets/d/11923uPwbBZFjjGgGUA6NLw09EwE0CqkOc4q9oUmW1yo/edit?usp=sharing"",""สุโขทัย!J371"")"),0)</f>
        <v>0</v>
      </c>
      <c r="Z30" s="55">
        <f ca="1">IFERROR(__xludf.DUMMYFUNCTION("IMPORTRANGE(""https://docs.google.com/spreadsheets/d/11923uPwbBZFjjGgGUA6NLw09EwE0CqkOc4q9oUmW1yo/edit?usp=sharing"",""สุโขทัย!J372"")"),0)</f>
        <v>0</v>
      </c>
      <c r="AA30" s="55">
        <f ca="1">IFERROR(__xludf.DUMMYFUNCTION("IMPORTRANGE(""https://docs.google.com/spreadsheets/d/11923uPwbBZFjjGgGUA6NLw09EwE0CqkOc4q9oUmW1yo/edit?usp=sharing"",""สุโขทัย!J373"")"),0)</f>
        <v>0</v>
      </c>
      <c r="AB30" s="55">
        <f ca="1">IFERROR(__xludf.DUMMYFUNCTION("IMPORTRANGE(""https://docs.google.com/spreadsheets/d/11923uPwbBZFjjGgGUA6NLw09EwE0CqkOc4q9oUmW1yo/edit?usp=sharing"",""สุโขทัย!J374"")"),0)</f>
        <v>0</v>
      </c>
      <c r="AC30" s="55">
        <f ca="1">IFERROR(__xludf.DUMMYFUNCTION("IMPORTRANGE(""https://docs.google.com/spreadsheets/d/11923uPwbBZFjjGgGUA6NLw09EwE0CqkOc4q9oUmW1yo/edit?usp=sharing"",""สุโขทัย!J375"")"),0)</f>
        <v>0</v>
      </c>
      <c r="AD30" s="55">
        <f t="shared" ca="1" si="66"/>
        <v>0</v>
      </c>
      <c r="AE30" s="99">
        <f t="shared" ca="1" si="9"/>
        <v>0</v>
      </c>
      <c r="AF30" s="55">
        <f t="shared" ca="1" si="67"/>
        <v>0</v>
      </c>
      <c r="AG30" s="99">
        <f t="shared" ca="1" si="10"/>
        <v>0</v>
      </c>
      <c r="AH30" s="55">
        <f ca="1">IFERROR(__xludf.DUMMYFUNCTION("IMPORTRANGE(""https://docs.google.com/spreadsheets/d/11923uPwbBZFjjGgGUA6NLw09EwE0CqkOc4q9oUmW1yo/edit?usp=sharing"",""สุโขทัย!J378"")"),0)</f>
        <v>0</v>
      </c>
      <c r="AI30" s="55">
        <f ca="1">IFERROR(__xludf.DUMMYFUNCTION("IMPORTRANGE(""https://docs.google.com/spreadsheets/d/11923uPwbBZFjjGgGUA6NLw09EwE0CqkOc4q9oUmW1yo/edit?usp=sharing"",""สุโขทัย!J379"")"),0)</f>
        <v>0</v>
      </c>
      <c r="AJ30" s="55">
        <f ca="1">IFERROR(__xludf.DUMMYFUNCTION("IMPORTRANGE(""https://docs.google.com/spreadsheets/d/11923uPwbBZFjjGgGUA6NLw09EwE0CqkOc4q9oUmW1yo/edit?usp=sharing"",""สุโขทัย!J380"")"),0)</f>
        <v>0</v>
      </c>
      <c r="AK30" s="55">
        <f ca="1">IFERROR(__xludf.DUMMYFUNCTION("IMPORTRANGE(""https://docs.google.com/spreadsheets/d/11923uPwbBZFjjGgGUA6NLw09EwE0CqkOc4q9oUmW1yo/edit?usp=sharing"",""สุโขทัย!J381"")"),0)</f>
        <v>0</v>
      </c>
      <c r="AL30" s="55">
        <f ca="1">IFERROR(__xludf.DUMMYFUNCTION("IMPORTRANGE(""https://docs.google.com/spreadsheets/d/11923uPwbBZFjjGgGUA6NLw09EwE0CqkOc4q9oUmW1yo/edit?usp=sharing"",""สุโขทัย!J384"")"),0)</f>
        <v>0</v>
      </c>
      <c r="AM30" s="55">
        <f ca="1">IFERROR(__xludf.DUMMYFUNCTION("IMPORTRANGE(""https://docs.google.com/spreadsheets/d/11923uPwbBZFjjGgGUA6NLw09EwE0CqkOc4q9oUmW1yo/edit?usp=sharing"",""สุโขทัย!J385"")"),0)</f>
        <v>0</v>
      </c>
      <c r="AN30" s="55">
        <f ca="1">IFERROR(__xludf.DUMMYFUNCTION("IMPORTRANGE(""https://docs.google.com/spreadsheets/d/11923uPwbBZFjjGgGUA6NLw09EwE0CqkOc4q9oUmW1yo/edit?usp=sharing"",""สุโขทัย!J386"")"),0)</f>
        <v>0</v>
      </c>
      <c r="AO30" s="55">
        <f ca="1">IFERROR(__xludf.DUMMYFUNCTION("IMPORTRANGE(""https://docs.google.com/spreadsheets/d/11923uPwbBZFjjGgGUA6NLw09EwE0CqkOc4q9oUmW1yo/edit?usp=sharing"",""สุโขทัย!J387"")"),0)</f>
        <v>0</v>
      </c>
      <c r="AP30" s="55">
        <f ca="1">IFERROR(__xludf.DUMMYFUNCTION("IMPORTRANGE(""https://docs.google.com/spreadsheets/d/11923uPwbBZFjjGgGUA6NLw09EwE0CqkOc4q9oUmW1yo/edit?usp=sharing"",""สุโขทัย!J388"")"),0)</f>
        <v>0</v>
      </c>
      <c r="AQ30" s="55">
        <f ca="1">IFERROR(__xludf.DUMMYFUNCTION("IMPORTRANGE(""https://docs.google.com/spreadsheets/d/11923uPwbBZFjjGgGUA6NLw09EwE0CqkOc4q9oUmW1yo/edit?usp=sharing"",""สุโขทัย!J389"")"),0)</f>
        <v>0</v>
      </c>
      <c r="AR30" s="402">
        <v>0</v>
      </c>
      <c r="AS30" s="402">
        <v>0</v>
      </c>
      <c r="AT30" s="402">
        <f t="shared" ca="1" si="68"/>
        <v>0</v>
      </c>
      <c r="AU30" s="402">
        <f t="shared" si="12"/>
        <v>0</v>
      </c>
      <c r="AV30" s="402">
        <f t="shared" ca="1" si="69"/>
        <v>0</v>
      </c>
      <c r="AW30" s="402">
        <f t="shared" si="13"/>
        <v>0</v>
      </c>
      <c r="AX30" s="55">
        <f ca="1">IFERROR(__xludf.DUMMYFUNCTION("IMPORTRANGE(""https://docs.google.com/spreadsheets/d/11923uPwbBZFjjGgGUA6NLw09EwE0CqkOc4q9oUmW1yo/edit?usp=sharing"",""สุโขทัย!J395"")"),0)</f>
        <v>0</v>
      </c>
      <c r="AY30" s="55">
        <f ca="1">IFERROR(__xludf.DUMMYFUNCTION("IMPORTRANGE(""https://docs.google.com/spreadsheets/d/11923uPwbBZFjjGgGUA6NLw09EwE0CqkOc4q9oUmW1yo/edit?usp=sharing"",""สุโขทัย!J396"")"),0)</f>
        <v>0</v>
      </c>
      <c r="AZ30" s="55">
        <f ca="1">IFERROR(__xludf.DUMMYFUNCTION("IMPORTRANGE(""https://docs.google.com/spreadsheets/d/11923uPwbBZFjjGgGUA6NLw09EwE0CqkOc4q9oUmW1yo/edit?usp=sharing"",""สุโขทัย!J397"")"),0)</f>
        <v>0</v>
      </c>
      <c r="BA30" s="55">
        <f ca="1">IFERROR(__xludf.DUMMYFUNCTION("IMPORTRANGE(""https://docs.google.com/spreadsheets/d/11923uPwbBZFjjGgGUA6NLw09EwE0CqkOc4q9oUmW1yo/edit?usp=sharing"",""สุโขทัย!J398"")"),0)</f>
        <v>0</v>
      </c>
      <c r="BB30" s="55">
        <f ca="1">IFERROR(__xludf.DUMMYFUNCTION("IMPORTRANGE(""https://docs.google.com/spreadsheets/d/11923uPwbBZFjjGgGUA6NLw09EwE0CqkOc4q9oUmW1yo/edit?usp=sharing"",""สุโขทัย!J399"")"),0)</f>
        <v>0</v>
      </c>
      <c r="BC30" s="55">
        <f ca="1">IFERROR(__xludf.DUMMYFUNCTION("IMPORTRANGE(""https://docs.google.com/spreadsheets/d/11923uPwbBZFjjGgGUA6NLw09EwE0CqkOc4q9oUmW1yo/edit?usp=sharing"",""สุโขทัย!J400"")"),0)</f>
        <v>0</v>
      </c>
      <c r="BD30" s="55">
        <f ca="1">IFERROR(__xludf.DUMMYFUNCTION("IMPORTRANGE(""https://docs.google.com/spreadsheets/d/11923uPwbBZFjjGgGUA6NLw09EwE0CqkOc4q9oUmW1yo/edit?usp=sharing"",""สุโขทัย!J403"")"),0)</f>
        <v>0</v>
      </c>
      <c r="BE30" s="55">
        <f ca="1">IFERROR(__xludf.DUMMYFUNCTION("IMPORTRANGE(""https://docs.google.com/spreadsheets/d/11923uPwbBZFjjGgGUA6NLw09EwE0CqkOc4q9oUmW1yo/edit?usp=sharing"",""สุโขทัย!J404"")"),0)</f>
        <v>0</v>
      </c>
      <c r="BF30" s="55">
        <f ca="1">IFERROR(__xludf.DUMMYFUNCTION("IMPORTRANGE(""https://docs.google.com/spreadsheets/d/11923uPwbBZFjjGgGUA6NLw09EwE0CqkOc4q9oUmW1yo/edit?usp=sharing"",""สุโขทัย!J405"")"),0)</f>
        <v>0</v>
      </c>
      <c r="BG30" s="55">
        <f ca="1">IFERROR(__xludf.DUMMYFUNCTION("IMPORTRANGE(""https://docs.google.com/spreadsheets/d/11923uPwbBZFjjGgGUA6NLw09EwE0CqkOc4q9oUmW1yo/edit?usp=sharing"",""สุโขทัย!J406"")"),0)</f>
        <v>0</v>
      </c>
      <c r="BH30" s="55">
        <f ca="1">IFERROR(__xludf.DUMMYFUNCTION("IMPORTRANGE(""https://docs.google.com/spreadsheets/d/11923uPwbBZFjjGgGUA6NLw09EwE0CqkOc4q9oUmW1yo/edit?usp=sharing"",""สุโขทัย!J407"")"),0)</f>
        <v>0</v>
      </c>
      <c r="BI30" s="55">
        <f ca="1">IFERROR(__xludf.DUMMYFUNCTION("IMPORTRANGE(""https://docs.google.com/spreadsheets/d/11923uPwbBZFjjGgGUA6NLw09EwE0CqkOc4q9oUmW1yo/edit?usp=sharing"",""สุโขทัย!J408"")"),0)</f>
        <v>0</v>
      </c>
      <c r="BJ30" s="402">
        <v>33673</v>
      </c>
      <c r="BK30" s="402">
        <v>4578</v>
      </c>
      <c r="BL30" s="402">
        <f t="shared" ca="1" si="70"/>
        <v>0</v>
      </c>
      <c r="BM30" s="403">
        <f t="shared" ca="1" si="15"/>
        <v>0</v>
      </c>
      <c r="BN30" s="402">
        <f t="shared" ca="1" si="71"/>
        <v>0</v>
      </c>
      <c r="BO30" s="403">
        <f t="shared" ca="1" si="16"/>
        <v>0</v>
      </c>
      <c r="BP30" s="55">
        <f ca="1">IFERROR(__xludf.DUMMYFUNCTION("IMPORTRANGE(""https://docs.google.com/spreadsheets/d/11923uPwbBZFjjGgGUA6NLw09EwE0CqkOc4q9oUmW1yo/edit?usp=sharing"",""สุโขทัย!J412"")"),0)</f>
        <v>0</v>
      </c>
      <c r="BQ30" s="55">
        <f ca="1">IFERROR(__xludf.DUMMYFUNCTION("IMPORTRANGE(""https://docs.google.com/spreadsheets/d/11923uPwbBZFjjGgGUA6NLw09EwE0CqkOc4q9oUmW1yo/edit?usp=sharing"",""สุโขทัย!J413"")"),0)</f>
        <v>0</v>
      </c>
      <c r="BR30" s="55">
        <f ca="1">IFERROR(__xludf.DUMMYFUNCTION("IMPORTRANGE(""https://docs.google.com/spreadsheets/d/11923uPwbBZFjjGgGUA6NLw09EwE0CqkOc4q9oUmW1yo/edit?usp=sharing"",""สุโขทัย!J414"")"),0)</f>
        <v>0</v>
      </c>
      <c r="BS30" s="55">
        <f ca="1">IFERROR(__xludf.DUMMYFUNCTION("IMPORTRANGE(""https://docs.google.com/spreadsheets/d/11923uPwbBZFjjGgGUA6NLw09EwE0CqkOc4q9oUmW1yo/edit?usp=sharing"",""สุโขทัย!J415"")"),0)</f>
        <v>0</v>
      </c>
      <c r="BT30" s="55">
        <f ca="1">IFERROR(__xludf.DUMMYFUNCTION("IMPORTRANGE(""https://docs.google.com/spreadsheets/d/11923uPwbBZFjjGgGUA6NLw09EwE0CqkOc4q9oUmW1yo/edit?usp=sharing"",""สุโขทัย!J416"")"),0)</f>
        <v>0</v>
      </c>
      <c r="BU30" s="55">
        <f ca="1">IFERROR(__xludf.DUMMYFUNCTION("IMPORTRANGE(""https://docs.google.com/spreadsheets/d/11923uPwbBZFjjGgGUA6NLw09EwE0CqkOc4q9oUmW1yo/edit?usp=sharing"",""สุโขทัย!J417"")"),0)</f>
        <v>0</v>
      </c>
      <c r="BV30" s="402">
        <f t="shared" ca="1" si="72"/>
        <v>0</v>
      </c>
      <c r="BW30" s="403">
        <f t="shared" ca="1" si="18"/>
        <v>0</v>
      </c>
      <c r="BX30" s="402">
        <f t="shared" ca="1" si="73"/>
        <v>0</v>
      </c>
      <c r="BY30" s="403">
        <f t="shared" ca="1" si="19"/>
        <v>0</v>
      </c>
      <c r="BZ30" s="55">
        <f ca="1">IFERROR(__xludf.DUMMYFUNCTION("IMPORTRANGE(""https://docs.google.com/spreadsheets/d/11923uPwbBZFjjGgGUA6NLw09EwE0CqkOc4q9oUmW1yo/edit?usp=sharing"",""สุโขทัย!J420"")"),0)</f>
        <v>0</v>
      </c>
      <c r="CA30" s="55">
        <f ca="1">IFERROR(__xludf.DUMMYFUNCTION("IMPORTRANGE(""https://docs.google.com/spreadsheets/d/11923uPwbBZFjjGgGUA6NLw09EwE0CqkOc4q9oUmW1yo/edit?usp=sharing"",""สุโขทัย!J421"")"),0)</f>
        <v>0</v>
      </c>
      <c r="CB30" s="55">
        <f ca="1">IFERROR(__xludf.DUMMYFUNCTION("IMPORTRANGE(""https://docs.google.com/spreadsheets/d/11923uPwbBZFjjGgGUA6NLw09EwE0CqkOc4q9oUmW1yo/edit?usp=sharing"",""สุโขทัย!J422"")"),0)</f>
        <v>0</v>
      </c>
      <c r="CC30" s="55">
        <f ca="1">IFERROR(__xludf.DUMMYFUNCTION("IMPORTRANGE(""https://docs.google.com/spreadsheets/d/11923uPwbBZFjjGgGUA6NLw09EwE0CqkOc4q9oUmW1yo/edit?usp=sharing"",""สุโขทัย!J423"")"),0)</f>
        <v>0</v>
      </c>
      <c r="CD30" s="55">
        <f ca="1">IFERROR(__xludf.DUMMYFUNCTION("IMPORTRANGE(""https://docs.google.com/spreadsheets/d/11923uPwbBZFjjGgGUA6NLw09EwE0CqkOc4q9oUmW1yo/edit?usp=sharing"",""สุโขทัย!J424"")"),0)</f>
        <v>0</v>
      </c>
      <c r="CE30" s="422">
        <f ca="1">IFERROR(__xludf.DUMMYFUNCTION("IMPORTRANGE(""https://docs.google.com/spreadsheets/d/11923uPwbBZFjjGgGUA6NLw09EwE0CqkOc4q9oUmW1yo/edit?usp=sharing"",""สุโขทัย!J425"")"),0)</f>
        <v>0</v>
      </c>
    </row>
    <row r="31" spans="1:83" ht="24" customHeight="1" x14ac:dyDescent="0.5">
      <c r="A31" s="273">
        <v>16</v>
      </c>
      <c r="B31" s="274" t="s">
        <v>46</v>
      </c>
      <c r="C31" s="400">
        <f t="shared" si="61"/>
        <v>191927.35</v>
      </c>
      <c r="D31" s="55">
        <v>0</v>
      </c>
      <c r="E31" s="401">
        <v>191927.35</v>
      </c>
      <c r="F31" s="99">
        <f ca="1">IFERROR(__xludf.DUMMYFUNCTION("IMPORTRANGE(""https://docs.google.com/spreadsheets/d/11923uPwbBZFjjGgGUA6NLw09EwE0CqkOc4q9oUmW1yo/edit?usp=sharing"",""อุตรดิตถ์!M352"")"),0)</f>
        <v>0</v>
      </c>
      <c r="G31" s="99">
        <f t="shared" ca="1" si="1"/>
        <v>0</v>
      </c>
      <c r="H31" s="57">
        <v>25853</v>
      </c>
      <c r="I31" s="57">
        <v>2764</v>
      </c>
      <c r="J31" s="55">
        <f t="shared" ca="1" si="62"/>
        <v>0</v>
      </c>
      <c r="K31" s="99">
        <f t="shared" ca="1" si="3"/>
        <v>0</v>
      </c>
      <c r="L31" s="55">
        <f t="shared" ca="1" si="63"/>
        <v>0</v>
      </c>
      <c r="M31" s="99">
        <f t="shared" ca="1" si="4"/>
        <v>0</v>
      </c>
      <c r="N31" s="55">
        <f ca="1">IFERROR(__xludf.DUMMYFUNCTION("IMPORTRANGE(""https://docs.google.com/spreadsheets/d/11923uPwbBZFjjGgGUA6NLw09EwE0CqkOc4q9oUmW1yo/edit?usp=sharing"",""อุตรดิตถ์!J362"")"),0)</f>
        <v>0</v>
      </c>
      <c r="O31" s="55">
        <f ca="1">IFERROR(__xludf.DUMMYFUNCTION("IMPORTRANGE(""https://docs.google.com/spreadsheets/d/11923uPwbBZFjjGgGUA6NLw09EwE0CqkOc4q9oUmW1yo/edit?usp=sharing"",""อุตรดิตถ์!J363"")"),0)</f>
        <v>0</v>
      </c>
      <c r="P31" s="55">
        <f ca="1">IFERROR(__xludf.DUMMYFUNCTION("IMPORTRANGE(""https://docs.google.com/spreadsheets/d/11923uPwbBZFjjGgGUA6NLw09EwE0CqkOc4q9oUmW1yo/edit?usp=sharing"",""อุตรดิตถ์!J364"")"),0)</f>
        <v>0</v>
      </c>
      <c r="Q31" s="55">
        <f ca="1">IFERROR(__xludf.DUMMYFUNCTION("IMPORTRANGE(""https://docs.google.com/spreadsheets/d/11923uPwbBZFjjGgGUA6NLw09EwE0CqkOc4q9oUmW1yo/edit?usp=sharing"",""อุตรดิตถ์!J365"")"),0)</f>
        <v>0</v>
      </c>
      <c r="R31" s="55">
        <f ca="1">IFERROR(__xludf.DUMMYFUNCTION("IMPORTRANGE(""https://docs.google.com/spreadsheets/d/11923uPwbBZFjjGgGUA6NLw09EwE0CqkOc4q9oUmW1yo/edit?usp=sharing"",""อุตรดิตถ์!J366"")"),0)</f>
        <v>0</v>
      </c>
      <c r="S31" s="55">
        <f ca="1">IFERROR(__xludf.DUMMYFUNCTION("IMPORTRANGE(""https://docs.google.com/spreadsheets/d/11923uPwbBZFjjGgGUA6NLw09EwE0CqkOc4q9oUmW1yo/edit?usp=sharing"",""อุตรดิตถ์!J367"")"),0)</f>
        <v>0</v>
      </c>
      <c r="T31" s="55">
        <f t="shared" ca="1" si="64"/>
        <v>0</v>
      </c>
      <c r="U31" s="55">
        <f t="shared" ca="1" si="6"/>
        <v>0</v>
      </c>
      <c r="V31" s="55">
        <f t="shared" ca="1" si="65"/>
        <v>0</v>
      </c>
      <c r="W31" s="55">
        <f t="shared" ca="1" si="7"/>
        <v>0</v>
      </c>
      <c r="X31" s="55">
        <f ca="1">IFERROR(__xludf.DUMMYFUNCTION("IMPORTRANGE(""https://docs.google.com/spreadsheets/d/11923uPwbBZFjjGgGUA6NLw09EwE0CqkOc4q9oUmW1yo/edit?usp=sharing"",""อุตรดิตถ์!J370"")"),0)</f>
        <v>0</v>
      </c>
      <c r="Y31" s="55">
        <f ca="1">IFERROR(__xludf.DUMMYFUNCTION("IMPORTRANGE(""https://docs.google.com/spreadsheets/d/11923uPwbBZFjjGgGUA6NLw09EwE0CqkOc4q9oUmW1yo/edit?usp=sharing"",""อุตรดิตถ์!J371"")"),0)</f>
        <v>0</v>
      </c>
      <c r="Z31" s="55">
        <f ca="1">IFERROR(__xludf.DUMMYFUNCTION("IMPORTRANGE(""https://docs.google.com/spreadsheets/d/11923uPwbBZFjjGgGUA6NLw09EwE0CqkOc4q9oUmW1yo/edit?usp=sharing"",""อุตรดิตถ์!J372"")"),0)</f>
        <v>0</v>
      </c>
      <c r="AA31" s="55">
        <f ca="1">IFERROR(__xludf.DUMMYFUNCTION("IMPORTRANGE(""https://docs.google.com/spreadsheets/d/11923uPwbBZFjjGgGUA6NLw09EwE0CqkOc4q9oUmW1yo/edit?usp=sharing"",""อุตรดิตถ์!J373"")"),0)</f>
        <v>0</v>
      </c>
      <c r="AB31" s="55">
        <f ca="1">IFERROR(__xludf.DUMMYFUNCTION("IMPORTRANGE(""https://docs.google.com/spreadsheets/d/11923uPwbBZFjjGgGUA6NLw09EwE0CqkOc4q9oUmW1yo/edit?usp=sharing"",""อุตรดิตถ์!J374"")"),0)</f>
        <v>0</v>
      </c>
      <c r="AC31" s="55">
        <f ca="1">IFERROR(__xludf.DUMMYFUNCTION("IMPORTRANGE(""https://docs.google.com/spreadsheets/d/11923uPwbBZFjjGgGUA6NLw09EwE0CqkOc4q9oUmW1yo/edit?usp=sharing"",""อุตรดิตถ์!J375"")"),0)</f>
        <v>0</v>
      </c>
      <c r="AD31" s="55">
        <f t="shared" ca="1" si="66"/>
        <v>0</v>
      </c>
      <c r="AE31" s="99">
        <f t="shared" ca="1" si="9"/>
        <v>0</v>
      </c>
      <c r="AF31" s="55">
        <f t="shared" ca="1" si="67"/>
        <v>0</v>
      </c>
      <c r="AG31" s="99">
        <f t="shared" ca="1" si="10"/>
        <v>0</v>
      </c>
      <c r="AH31" s="55">
        <f ca="1">IFERROR(__xludf.DUMMYFUNCTION("IMPORTRANGE(""https://docs.google.com/spreadsheets/d/11923uPwbBZFjjGgGUA6NLw09EwE0CqkOc4q9oUmW1yo/edit?usp=sharing"",""อุตรดิตถ์!J378"")"),0)</f>
        <v>0</v>
      </c>
      <c r="AI31" s="55">
        <f ca="1">IFERROR(__xludf.DUMMYFUNCTION("IMPORTRANGE(""https://docs.google.com/spreadsheets/d/11923uPwbBZFjjGgGUA6NLw09EwE0CqkOc4q9oUmW1yo/edit?usp=sharing"",""อุตรดิตถ์!J379"")"),0)</f>
        <v>0</v>
      </c>
      <c r="AJ31" s="55">
        <f ca="1">IFERROR(__xludf.DUMMYFUNCTION("IMPORTRANGE(""https://docs.google.com/spreadsheets/d/11923uPwbBZFjjGgGUA6NLw09EwE0CqkOc4q9oUmW1yo/edit?usp=sharing"",""อุตรดิตถ์!J380"")"),0)</f>
        <v>0</v>
      </c>
      <c r="AK31" s="55">
        <f ca="1">IFERROR(__xludf.DUMMYFUNCTION("IMPORTRANGE(""https://docs.google.com/spreadsheets/d/11923uPwbBZFjjGgGUA6NLw09EwE0CqkOc4q9oUmW1yo/edit?usp=sharing"",""อุตรดิตถ์!J381"")"),0)</f>
        <v>0</v>
      </c>
      <c r="AL31" s="55">
        <f ca="1">IFERROR(__xludf.DUMMYFUNCTION("IMPORTRANGE(""https://docs.google.com/spreadsheets/d/11923uPwbBZFjjGgGUA6NLw09EwE0CqkOc4q9oUmW1yo/edit?usp=sharing"",""อุตรดิตถ์!J384"")"),0)</f>
        <v>0</v>
      </c>
      <c r="AM31" s="55">
        <f ca="1">IFERROR(__xludf.DUMMYFUNCTION("IMPORTRANGE(""https://docs.google.com/spreadsheets/d/11923uPwbBZFjjGgGUA6NLw09EwE0CqkOc4q9oUmW1yo/edit?usp=sharing"",""อุตรดิตถ์!J385"")"),0)</f>
        <v>0</v>
      </c>
      <c r="AN31" s="55">
        <f ca="1">IFERROR(__xludf.DUMMYFUNCTION("IMPORTRANGE(""https://docs.google.com/spreadsheets/d/11923uPwbBZFjjGgGUA6NLw09EwE0CqkOc4q9oUmW1yo/edit?usp=sharing"",""อุตรดิตถ์!J386"")"),0)</f>
        <v>0</v>
      </c>
      <c r="AO31" s="55">
        <f ca="1">IFERROR(__xludf.DUMMYFUNCTION("IMPORTRANGE(""https://docs.google.com/spreadsheets/d/11923uPwbBZFjjGgGUA6NLw09EwE0CqkOc4q9oUmW1yo/edit?usp=sharing"",""อุตรดิตถ์!J387"")"),0)</f>
        <v>0</v>
      </c>
      <c r="AP31" s="55">
        <f ca="1">IFERROR(__xludf.DUMMYFUNCTION("IMPORTRANGE(""https://docs.google.com/spreadsheets/d/11923uPwbBZFjjGgGUA6NLw09EwE0CqkOc4q9oUmW1yo/edit?usp=sharing"",""อุตรดิตถ์!J388"")"),0)</f>
        <v>0</v>
      </c>
      <c r="AQ31" s="55">
        <f ca="1">IFERROR(__xludf.DUMMYFUNCTION("IMPORTRANGE(""https://docs.google.com/spreadsheets/d/11923uPwbBZFjjGgGUA6NLw09EwE0CqkOc4q9oUmW1yo/edit?usp=sharing"",""อุตรดิตถ์!J389"")"),0)</f>
        <v>0</v>
      </c>
      <c r="AR31" s="402">
        <v>8</v>
      </c>
      <c r="AS31" s="402">
        <v>46</v>
      </c>
      <c r="AT31" s="402">
        <f t="shared" ca="1" si="68"/>
        <v>0</v>
      </c>
      <c r="AU31" s="402">
        <f t="shared" ca="1" si="12"/>
        <v>0</v>
      </c>
      <c r="AV31" s="402">
        <f t="shared" ca="1" si="69"/>
        <v>0</v>
      </c>
      <c r="AW31" s="402">
        <f t="shared" ca="1" si="13"/>
        <v>0</v>
      </c>
      <c r="AX31" s="55">
        <f ca="1">IFERROR(__xludf.DUMMYFUNCTION("IMPORTRANGE(""https://docs.google.com/spreadsheets/d/11923uPwbBZFjjGgGUA6NLw09EwE0CqkOc4q9oUmW1yo/edit?usp=sharing"",""อุตรดิตถ์!J395"")"),0)</f>
        <v>0</v>
      </c>
      <c r="AY31" s="55">
        <f ca="1">IFERROR(__xludf.DUMMYFUNCTION("IMPORTRANGE(""https://docs.google.com/spreadsheets/d/11923uPwbBZFjjGgGUA6NLw09EwE0CqkOc4q9oUmW1yo/edit?usp=sharing"",""อุตรดิตถ์!J396"")"),0)</f>
        <v>0</v>
      </c>
      <c r="AZ31" s="55">
        <f ca="1">IFERROR(__xludf.DUMMYFUNCTION("IMPORTRANGE(""https://docs.google.com/spreadsheets/d/11923uPwbBZFjjGgGUA6NLw09EwE0CqkOc4q9oUmW1yo/edit?usp=sharing"",""อุตรดิตถ์!J397"")"),0)</f>
        <v>0</v>
      </c>
      <c r="BA31" s="55">
        <f ca="1">IFERROR(__xludf.DUMMYFUNCTION("IMPORTRANGE(""https://docs.google.com/spreadsheets/d/11923uPwbBZFjjGgGUA6NLw09EwE0CqkOc4q9oUmW1yo/edit?usp=sharing"",""อุตรดิตถ์!J398"")"),0)</f>
        <v>0</v>
      </c>
      <c r="BB31" s="55">
        <f ca="1">IFERROR(__xludf.DUMMYFUNCTION("IMPORTRANGE(""https://docs.google.com/spreadsheets/d/11923uPwbBZFjjGgGUA6NLw09EwE0CqkOc4q9oUmW1yo/edit?usp=sharing"",""อุตรดิตถ์!J399"")"),0)</f>
        <v>0</v>
      </c>
      <c r="BC31" s="55">
        <f ca="1">IFERROR(__xludf.DUMMYFUNCTION("IMPORTRANGE(""https://docs.google.com/spreadsheets/d/11923uPwbBZFjjGgGUA6NLw09EwE0CqkOc4q9oUmW1yo/edit?usp=sharing"",""อุตรดิตถ์!J400"")"),0)</f>
        <v>0</v>
      </c>
      <c r="BD31" s="55">
        <f ca="1">IFERROR(__xludf.DUMMYFUNCTION("IMPORTRANGE(""https://docs.google.com/spreadsheets/d/11923uPwbBZFjjGgGUA6NLw09EwE0CqkOc4q9oUmW1yo/edit?usp=sharing"",""อุตรดิตถ์!J403"")"),0)</f>
        <v>0</v>
      </c>
      <c r="BE31" s="55">
        <f ca="1">IFERROR(__xludf.DUMMYFUNCTION("IMPORTRANGE(""https://docs.google.com/spreadsheets/d/11923uPwbBZFjjGgGUA6NLw09EwE0CqkOc4q9oUmW1yo/edit?usp=sharing"",""อุตรดิตถ์!J404"")"),0)</f>
        <v>0</v>
      </c>
      <c r="BF31" s="55">
        <f ca="1">IFERROR(__xludf.DUMMYFUNCTION("IMPORTRANGE(""https://docs.google.com/spreadsheets/d/11923uPwbBZFjjGgGUA6NLw09EwE0CqkOc4q9oUmW1yo/edit?usp=sharing"",""อุตรดิตถ์!J405"")"),0)</f>
        <v>0</v>
      </c>
      <c r="BG31" s="55">
        <f ca="1">IFERROR(__xludf.DUMMYFUNCTION("IMPORTRANGE(""https://docs.google.com/spreadsheets/d/11923uPwbBZFjjGgGUA6NLw09EwE0CqkOc4q9oUmW1yo/edit?usp=sharing"",""อุตรดิตถ์!J406"")"),0)</f>
        <v>0</v>
      </c>
      <c r="BH31" s="55">
        <f ca="1">IFERROR(__xludf.DUMMYFUNCTION("IMPORTRANGE(""https://docs.google.com/spreadsheets/d/11923uPwbBZFjjGgGUA6NLw09EwE0CqkOc4q9oUmW1yo/edit?usp=sharing"",""อุตรดิตถ์!J407"")"),0)</f>
        <v>0</v>
      </c>
      <c r="BI31" s="55">
        <f ca="1">IFERROR(__xludf.DUMMYFUNCTION("IMPORTRANGE(""https://docs.google.com/spreadsheets/d/11923uPwbBZFjjGgGUA6NLw09EwE0CqkOc4q9oUmW1yo/edit?usp=sharing"",""อุตรดิตถ์!J408"")"),0)</f>
        <v>0</v>
      </c>
      <c r="BJ31" s="402">
        <v>25853</v>
      </c>
      <c r="BK31" s="402">
        <v>2764</v>
      </c>
      <c r="BL31" s="402">
        <f t="shared" ca="1" si="70"/>
        <v>0</v>
      </c>
      <c r="BM31" s="403">
        <f t="shared" ca="1" si="15"/>
        <v>0</v>
      </c>
      <c r="BN31" s="402">
        <f t="shared" ca="1" si="71"/>
        <v>0</v>
      </c>
      <c r="BO31" s="403">
        <f t="shared" ca="1" si="16"/>
        <v>0</v>
      </c>
      <c r="BP31" s="55">
        <f ca="1">IFERROR(__xludf.DUMMYFUNCTION("IMPORTRANGE(""https://docs.google.com/spreadsheets/d/11923uPwbBZFjjGgGUA6NLw09EwE0CqkOc4q9oUmW1yo/edit?usp=sharing"",""อุตรดิตถ์!J412"")"),0)</f>
        <v>0</v>
      </c>
      <c r="BQ31" s="55">
        <f ca="1">IFERROR(__xludf.DUMMYFUNCTION("IMPORTRANGE(""https://docs.google.com/spreadsheets/d/11923uPwbBZFjjGgGUA6NLw09EwE0CqkOc4q9oUmW1yo/edit?usp=sharing"",""อุตรดิตถ์!J413"")"),0)</f>
        <v>0</v>
      </c>
      <c r="BR31" s="55">
        <f ca="1">IFERROR(__xludf.DUMMYFUNCTION("IMPORTRANGE(""https://docs.google.com/spreadsheets/d/11923uPwbBZFjjGgGUA6NLw09EwE0CqkOc4q9oUmW1yo/edit?usp=sharing"",""อุตรดิตถ์!J414"")"),0)</f>
        <v>0</v>
      </c>
      <c r="BS31" s="55">
        <f ca="1">IFERROR(__xludf.DUMMYFUNCTION("IMPORTRANGE(""https://docs.google.com/spreadsheets/d/11923uPwbBZFjjGgGUA6NLw09EwE0CqkOc4q9oUmW1yo/edit?usp=sharing"",""อุตรดิตถ์!J415"")"),0)</f>
        <v>0</v>
      </c>
      <c r="BT31" s="55">
        <f ca="1">IFERROR(__xludf.DUMMYFUNCTION("IMPORTRANGE(""https://docs.google.com/spreadsheets/d/11923uPwbBZFjjGgGUA6NLw09EwE0CqkOc4q9oUmW1yo/edit?usp=sharing"",""อุตรดิตถ์!J416"")"),0)</f>
        <v>0</v>
      </c>
      <c r="BU31" s="55">
        <f ca="1">IFERROR(__xludf.DUMMYFUNCTION("IMPORTRANGE(""https://docs.google.com/spreadsheets/d/11923uPwbBZFjjGgGUA6NLw09EwE0CqkOc4q9oUmW1yo/edit?usp=sharing"",""อุตรดิตถ์!J417"")"),0)</f>
        <v>0</v>
      </c>
      <c r="BV31" s="402">
        <f t="shared" ca="1" si="72"/>
        <v>0</v>
      </c>
      <c r="BW31" s="403">
        <f t="shared" ca="1" si="18"/>
        <v>0</v>
      </c>
      <c r="BX31" s="402">
        <f t="shared" ca="1" si="73"/>
        <v>0</v>
      </c>
      <c r="BY31" s="403">
        <f t="shared" ca="1" si="19"/>
        <v>0</v>
      </c>
      <c r="BZ31" s="55">
        <f ca="1">IFERROR(__xludf.DUMMYFUNCTION("IMPORTRANGE(""https://docs.google.com/spreadsheets/d/11923uPwbBZFjjGgGUA6NLw09EwE0CqkOc4q9oUmW1yo/edit?usp=sharing"",""อุตรดิตถ์!J420"")"),0)</f>
        <v>0</v>
      </c>
      <c r="CA31" s="55">
        <f ca="1">IFERROR(__xludf.DUMMYFUNCTION("IMPORTRANGE(""https://docs.google.com/spreadsheets/d/11923uPwbBZFjjGgGUA6NLw09EwE0CqkOc4q9oUmW1yo/edit?usp=sharing"",""อุตรดิตถ์!J421"")"),0)</f>
        <v>0</v>
      </c>
      <c r="CB31" s="55">
        <f ca="1">IFERROR(__xludf.DUMMYFUNCTION("IMPORTRANGE(""https://docs.google.com/spreadsheets/d/11923uPwbBZFjjGgGUA6NLw09EwE0CqkOc4q9oUmW1yo/edit?usp=sharing"",""อุตรดิตถ์!J422"")"),0)</f>
        <v>0</v>
      </c>
      <c r="CC31" s="55">
        <f ca="1">IFERROR(__xludf.DUMMYFUNCTION("IMPORTRANGE(""https://docs.google.com/spreadsheets/d/11923uPwbBZFjjGgGUA6NLw09EwE0CqkOc4q9oUmW1yo/edit?usp=sharing"",""อุตรดิตถ์!J423"")"),0)</f>
        <v>0</v>
      </c>
      <c r="CD31" s="55">
        <f ca="1">IFERROR(__xludf.DUMMYFUNCTION("IMPORTRANGE(""https://docs.google.com/spreadsheets/d/11923uPwbBZFjjGgGUA6NLw09EwE0CqkOc4q9oUmW1yo/edit?usp=sharing"",""อุตรดิตถ์!J424"")"),0)</f>
        <v>0</v>
      </c>
      <c r="CE31" s="422">
        <f ca="1">IFERROR(__xludf.DUMMYFUNCTION("IMPORTRANGE(""https://docs.google.com/spreadsheets/d/11923uPwbBZFjjGgGUA6NLw09EwE0CqkOc4q9oUmW1yo/edit?usp=sharing"",""อุตรดิตถ์!J425"")"),0)</f>
        <v>0</v>
      </c>
    </row>
    <row r="32" spans="1:83" ht="24" customHeight="1" x14ac:dyDescent="0.5">
      <c r="A32" s="278">
        <v>17</v>
      </c>
      <c r="B32" s="279" t="s">
        <v>47</v>
      </c>
      <c r="C32" s="404">
        <f t="shared" si="61"/>
        <v>296488.07</v>
      </c>
      <c r="D32" s="62">
        <v>0</v>
      </c>
      <c r="E32" s="405">
        <v>296488.07</v>
      </c>
      <c r="F32" s="100">
        <f ca="1">IFERROR(__xludf.DUMMYFUNCTION("IMPORTRANGE(""https://docs.google.com/spreadsheets/d/11923uPwbBZFjjGgGUA6NLw09EwE0CqkOc4q9oUmW1yo/edit?usp=sharing"",""อุทัยธานี!M352"")"),0)</f>
        <v>0</v>
      </c>
      <c r="G32" s="100">
        <f t="shared" ca="1" si="1"/>
        <v>0</v>
      </c>
      <c r="H32" s="64">
        <v>24457</v>
      </c>
      <c r="I32" s="64">
        <v>2670</v>
      </c>
      <c r="J32" s="62">
        <f t="shared" ca="1" si="62"/>
        <v>0</v>
      </c>
      <c r="K32" s="100">
        <f t="shared" ca="1" si="3"/>
        <v>0</v>
      </c>
      <c r="L32" s="62">
        <f t="shared" ca="1" si="63"/>
        <v>0</v>
      </c>
      <c r="M32" s="100">
        <f t="shared" ca="1" si="4"/>
        <v>0</v>
      </c>
      <c r="N32" s="62">
        <f ca="1">IFERROR(__xludf.DUMMYFUNCTION("IMPORTRANGE(""https://docs.google.com/spreadsheets/d/11923uPwbBZFjjGgGUA6NLw09EwE0CqkOc4q9oUmW1yo/edit?usp=sharing"",""อุทัยธานี!J362"")"),0)</f>
        <v>0</v>
      </c>
      <c r="O32" s="62">
        <f ca="1">IFERROR(__xludf.DUMMYFUNCTION("IMPORTRANGE(""https://docs.google.com/spreadsheets/d/11923uPwbBZFjjGgGUA6NLw09EwE0CqkOc4q9oUmW1yo/edit?usp=sharing"",""อุทัยธานี!J363"")"),0)</f>
        <v>0</v>
      </c>
      <c r="P32" s="62">
        <f ca="1">IFERROR(__xludf.DUMMYFUNCTION("IMPORTRANGE(""https://docs.google.com/spreadsheets/d/11923uPwbBZFjjGgGUA6NLw09EwE0CqkOc4q9oUmW1yo/edit?usp=sharing"",""อุทัยธานี!J364"")"),0)</f>
        <v>0</v>
      </c>
      <c r="Q32" s="62">
        <f ca="1">IFERROR(__xludf.DUMMYFUNCTION("IMPORTRANGE(""https://docs.google.com/spreadsheets/d/11923uPwbBZFjjGgGUA6NLw09EwE0CqkOc4q9oUmW1yo/edit?usp=sharing"",""อุทัยธานี!J365"")"),0)</f>
        <v>0</v>
      </c>
      <c r="R32" s="62">
        <f ca="1">IFERROR(__xludf.DUMMYFUNCTION("IMPORTRANGE(""https://docs.google.com/spreadsheets/d/11923uPwbBZFjjGgGUA6NLw09EwE0CqkOc4q9oUmW1yo/edit?usp=sharing"",""อุทัยธานี!J366"")"),0)</f>
        <v>0</v>
      </c>
      <c r="S32" s="62">
        <f ca="1">IFERROR(__xludf.DUMMYFUNCTION("IMPORTRANGE(""https://docs.google.com/spreadsheets/d/11923uPwbBZFjjGgGUA6NLw09EwE0CqkOc4q9oUmW1yo/edit?usp=sharing"",""อุทัยธานี!J367"")"),0)</f>
        <v>0</v>
      </c>
      <c r="T32" s="62">
        <f t="shared" ca="1" si="64"/>
        <v>0</v>
      </c>
      <c r="U32" s="62">
        <f t="shared" ca="1" si="6"/>
        <v>0</v>
      </c>
      <c r="V32" s="62">
        <f t="shared" ca="1" si="65"/>
        <v>0</v>
      </c>
      <c r="W32" s="62">
        <f t="shared" ca="1" si="7"/>
        <v>0</v>
      </c>
      <c r="X32" s="62">
        <f ca="1">IFERROR(__xludf.DUMMYFUNCTION("IMPORTRANGE(""https://docs.google.com/spreadsheets/d/11923uPwbBZFjjGgGUA6NLw09EwE0CqkOc4q9oUmW1yo/edit?usp=sharing"",""อุทัยธานี!J370"")"),0)</f>
        <v>0</v>
      </c>
      <c r="Y32" s="62">
        <f ca="1">IFERROR(__xludf.DUMMYFUNCTION("IMPORTRANGE(""https://docs.google.com/spreadsheets/d/11923uPwbBZFjjGgGUA6NLw09EwE0CqkOc4q9oUmW1yo/edit?usp=sharing"",""อุทัยธานี!J371"")"),0)</f>
        <v>0</v>
      </c>
      <c r="Z32" s="62">
        <f ca="1">IFERROR(__xludf.DUMMYFUNCTION("IMPORTRANGE(""https://docs.google.com/spreadsheets/d/11923uPwbBZFjjGgGUA6NLw09EwE0CqkOc4q9oUmW1yo/edit?usp=sharing"",""อุทัยธานี!J372"")"),0)</f>
        <v>0</v>
      </c>
      <c r="AA32" s="62">
        <f ca="1">IFERROR(__xludf.DUMMYFUNCTION("IMPORTRANGE(""https://docs.google.com/spreadsheets/d/11923uPwbBZFjjGgGUA6NLw09EwE0CqkOc4q9oUmW1yo/edit?usp=sharing"",""อุทัยธานี!J373"")"),0)</f>
        <v>0</v>
      </c>
      <c r="AB32" s="62">
        <f ca="1">IFERROR(__xludf.DUMMYFUNCTION("IMPORTRANGE(""https://docs.google.com/spreadsheets/d/11923uPwbBZFjjGgGUA6NLw09EwE0CqkOc4q9oUmW1yo/edit?usp=sharing"",""อุทัยธานี!J374"")"),0)</f>
        <v>0</v>
      </c>
      <c r="AC32" s="62">
        <f ca="1">IFERROR(__xludf.DUMMYFUNCTION("IMPORTRANGE(""https://docs.google.com/spreadsheets/d/11923uPwbBZFjjGgGUA6NLw09EwE0CqkOc4q9oUmW1yo/edit?usp=sharing"",""อุทัยธานี!J375"")"),0)</f>
        <v>0</v>
      </c>
      <c r="AD32" s="62">
        <f t="shared" ca="1" si="66"/>
        <v>0</v>
      </c>
      <c r="AE32" s="100">
        <f t="shared" ca="1" si="9"/>
        <v>0</v>
      </c>
      <c r="AF32" s="62">
        <f t="shared" ca="1" si="67"/>
        <v>0</v>
      </c>
      <c r="AG32" s="100">
        <f t="shared" ca="1" si="10"/>
        <v>0</v>
      </c>
      <c r="AH32" s="62">
        <f ca="1">IFERROR(__xludf.DUMMYFUNCTION("IMPORTRANGE(""https://docs.google.com/spreadsheets/d/11923uPwbBZFjjGgGUA6NLw09EwE0CqkOc4q9oUmW1yo/edit?usp=sharing"",""อุทัยธานี!J378"")"),0)</f>
        <v>0</v>
      </c>
      <c r="AI32" s="62">
        <f ca="1">IFERROR(__xludf.DUMMYFUNCTION("IMPORTRANGE(""https://docs.google.com/spreadsheets/d/11923uPwbBZFjjGgGUA6NLw09EwE0CqkOc4q9oUmW1yo/edit?usp=sharing"",""อุทัยธานี!J379"")"),0)</f>
        <v>0</v>
      </c>
      <c r="AJ32" s="62">
        <f ca="1">IFERROR(__xludf.DUMMYFUNCTION("IMPORTRANGE(""https://docs.google.com/spreadsheets/d/11923uPwbBZFjjGgGUA6NLw09EwE0CqkOc4q9oUmW1yo/edit?usp=sharing"",""อุทัยธานี!J380"")"),0)</f>
        <v>0</v>
      </c>
      <c r="AK32" s="62">
        <f ca="1">IFERROR(__xludf.DUMMYFUNCTION("IMPORTRANGE(""https://docs.google.com/spreadsheets/d/11923uPwbBZFjjGgGUA6NLw09EwE0CqkOc4q9oUmW1yo/edit?usp=sharing"",""อุทัยธานี!J381"")"),0)</f>
        <v>0</v>
      </c>
      <c r="AL32" s="62">
        <f ca="1">IFERROR(__xludf.DUMMYFUNCTION("IMPORTRANGE(""https://docs.google.com/spreadsheets/d/11923uPwbBZFjjGgGUA6NLw09EwE0CqkOc4q9oUmW1yo/edit?usp=sharing"",""อุทัยธานี!J384"")"),0)</f>
        <v>0</v>
      </c>
      <c r="AM32" s="62">
        <f ca="1">IFERROR(__xludf.DUMMYFUNCTION("IMPORTRANGE(""https://docs.google.com/spreadsheets/d/11923uPwbBZFjjGgGUA6NLw09EwE0CqkOc4q9oUmW1yo/edit?usp=sharing"",""อุทัยธานี!J385"")"),0)</f>
        <v>0</v>
      </c>
      <c r="AN32" s="62">
        <f ca="1">IFERROR(__xludf.DUMMYFUNCTION("IMPORTRANGE(""https://docs.google.com/spreadsheets/d/11923uPwbBZFjjGgGUA6NLw09EwE0CqkOc4q9oUmW1yo/edit?usp=sharing"",""อุทัยธานี!J386"")"),0)</f>
        <v>0</v>
      </c>
      <c r="AO32" s="62">
        <f ca="1">IFERROR(__xludf.DUMMYFUNCTION("IMPORTRANGE(""https://docs.google.com/spreadsheets/d/11923uPwbBZFjjGgGUA6NLw09EwE0CqkOc4q9oUmW1yo/edit?usp=sharing"",""อุทัยธานี!J387"")"),0)</f>
        <v>0</v>
      </c>
      <c r="AP32" s="62">
        <f ca="1">IFERROR(__xludf.DUMMYFUNCTION("IMPORTRANGE(""https://docs.google.com/spreadsheets/d/11923uPwbBZFjjGgGUA6NLw09EwE0CqkOc4q9oUmW1yo/edit?usp=sharing"",""อุทัยธานี!J388"")"),0)</f>
        <v>0</v>
      </c>
      <c r="AQ32" s="62">
        <f ca="1">IFERROR(__xludf.DUMMYFUNCTION("IMPORTRANGE(""https://docs.google.com/spreadsheets/d/11923uPwbBZFjjGgGUA6NLw09EwE0CqkOc4q9oUmW1yo/edit?usp=sharing"",""อุทัยธานี!J389"")"),0)</f>
        <v>0</v>
      </c>
      <c r="AR32" s="406">
        <v>412</v>
      </c>
      <c r="AS32" s="406">
        <v>7373</v>
      </c>
      <c r="AT32" s="406">
        <f t="shared" ca="1" si="68"/>
        <v>0</v>
      </c>
      <c r="AU32" s="406">
        <f t="shared" ca="1" si="12"/>
        <v>0</v>
      </c>
      <c r="AV32" s="406">
        <f t="shared" ca="1" si="69"/>
        <v>0</v>
      </c>
      <c r="AW32" s="406">
        <f t="shared" ca="1" si="13"/>
        <v>0</v>
      </c>
      <c r="AX32" s="62">
        <f ca="1">IFERROR(__xludf.DUMMYFUNCTION("IMPORTRANGE(""https://docs.google.com/spreadsheets/d/11923uPwbBZFjjGgGUA6NLw09EwE0CqkOc4q9oUmW1yo/edit?usp=sharing"",""อุทัยธานี!J395"")"),0)</f>
        <v>0</v>
      </c>
      <c r="AY32" s="62">
        <f ca="1">IFERROR(__xludf.DUMMYFUNCTION("IMPORTRANGE(""https://docs.google.com/spreadsheets/d/11923uPwbBZFjjGgGUA6NLw09EwE0CqkOc4q9oUmW1yo/edit?usp=sharing"",""อุทัยธานี!J396"")"),0)</f>
        <v>0</v>
      </c>
      <c r="AZ32" s="62">
        <f ca="1">IFERROR(__xludf.DUMMYFUNCTION("IMPORTRANGE(""https://docs.google.com/spreadsheets/d/11923uPwbBZFjjGgGUA6NLw09EwE0CqkOc4q9oUmW1yo/edit?usp=sharing"",""อุทัยธานี!J397"")"),0)</f>
        <v>0</v>
      </c>
      <c r="BA32" s="62">
        <f ca="1">IFERROR(__xludf.DUMMYFUNCTION("IMPORTRANGE(""https://docs.google.com/spreadsheets/d/11923uPwbBZFjjGgGUA6NLw09EwE0CqkOc4q9oUmW1yo/edit?usp=sharing"",""อุทัยธานี!J398"")"),0)</f>
        <v>0</v>
      </c>
      <c r="BB32" s="62">
        <f ca="1">IFERROR(__xludf.DUMMYFUNCTION("IMPORTRANGE(""https://docs.google.com/spreadsheets/d/11923uPwbBZFjjGgGUA6NLw09EwE0CqkOc4q9oUmW1yo/edit?usp=sharing"",""อุทัยธานี!J399"")"),0)</f>
        <v>0</v>
      </c>
      <c r="BC32" s="62">
        <f ca="1">IFERROR(__xludf.DUMMYFUNCTION("IMPORTRANGE(""https://docs.google.com/spreadsheets/d/11923uPwbBZFjjGgGUA6NLw09EwE0CqkOc4q9oUmW1yo/edit?usp=sharing"",""อุทัยธานี!J400"")"),0)</f>
        <v>0</v>
      </c>
      <c r="BD32" s="62">
        <f ca="1">IFERROR(__xludf.DUMMYFUNCTION("IMPORTRANGE(""https://docs.google.com/spreadsheets/d/11923uPwbBZFjjGgGUA6NLw09EwE0CqkOc4q9oUmW1yo/edit?usp=sharing"",""อุทัยธานี!J403"")"),0)</f>
        <v>0</v>
      </c>
      <c r="BE32" s="62">
        <f ca="1">IFERROR(__xludf.DUMMYFUNCTION("IMPORTRANGE(""https://docs.google.com/spreadsheets/d/11923uPwbBZFjjGgGUA6NLw09EwE0CqkOc4q9oUmW1yo/edit?usp=sharing"",""อุทัยธานี!J404"")"),0)</f>
        <v>0</v>
      </c>
      <c r="BF32" s="62">
        <f ca="1">IFERROR(__xludf.DUMMYFUNCTION("IMPORTRANGE(""https://docs.google.com/spreadsheets/d/11923uPwbBZFjjGgGUA6NLw09EwE0CqkOc4q9oUmW1yo/edit?usp=sharing"",""อุทัยธานี!J405"")"),0)</f>
        <v>0</v>
      </c>
      <c r="BG32" s="62">
        <f ca="1">IFERROR(__xludf.DUMMYFUNCTION("IMPORTRANGE(""https://docs.google.com/spreadsheets/d/11923uPwbBZFjjGgGUA6NLw09EwE0CqkOc4q9oUmW1yo/edit?usp=sharing"",""อุทัยธานี!J406"")"),0)</f>
        <v>0</v>
      </c>
      <c r="BH32" s="62">
        <f ca="1">IFERROR(__xludf.DUMMYFUNCTION("IMPORTRANGE(""https://docs.google.com/spreadsheets/d/11923uPwbBZFjjGgGUA6NLw09EwE0CqkOc4q9oUmW1yo/edit?usp=sharing"",""อุทัยธานี!J407"")"),0)</f>
        <v>0</v>
      </c>
      <c r="BI32" s="62">
        <f ca="1">IFERROR(__xludf.DUMMYFUNCTION("IMPORTRANGE(""https://docs.google.com/spreadsheets/d/11923uPwbBZFjjGgGUA6NLw09EwE0CqkOc4q9oUmW1yo/edit?usp=sharing"",""อุทัยธานี!J408"")"),0)</f>
        <v>0</v>
      </c>
      <c r="BJ32" s="406">
        <v>24457</v>
      </c>
      <c r="BK32" s="406">
        <v>2670</v>
      </c>
      <c r="BL32" s="406">
        <f t="shared" ca="1" si="70"/>
        <v>0</v>
      </c>
      <c r="BM32" s="407">
        <f t="shared" ca="1" si="15"/>
        <v>0</v>
      </c>
      <c r="BN32" s="406">
        <f t="shared" ca="1" si="71"/>
        <v>0</v>
      </c>
      <c r="BO32" s="407">
        <f t="shared" ca="1" si="16"/>
        <v>0</v>
      </c>
      <c r="BP32" s="62">
        <f ca="1">IFERROR(__xludf.DUMMYFUNCTION("IMPORTRANGE(""https://docs.google.com/spreadsheets/d/11923uPwbBZFjjGgGUA6NLw09EwE0CqkOc4q9oUmW1yo/edit?usp=sharing"",""อุทัยธานี!J412"")"),0)</f>
        <v>0</v>
      </c>
      <c r="BQ32" s="62">
        <f ca="1">IFERROR(__xludf.DUMMYFUNCTION("IMPORTRANGE(""https://docs.google.com/spreadsheets/d/11923uPwbBZFjjGgGUA6NLw09EwE0CqkOc4q9oUmW1yo/edit?usp=sharing"",""อุทัยธานี!J413"")"),0)</f>
        <v>0</v>
      </c>
      <c r="BR32" s="62">
        <f ca="1">IFERROR(__xludf.DUMMYFUNCTION("IMPORTRANGE(""https://docs.google.com/spreadsheets/d/11923uPwbBZFjjGgGUA6NLw09EwE0CqkOc4q9oUmW1yo/edit?usp=sharing"",""อุทัยธานี!J414"")"),0)</f>
        <v>0</v>
      </c>
      <c r="BS32" s="62">
        <f ca="1">IFERROR(__xludf.DUMMYFUNCTION("IMPORTRANGE(""https://docs.google.com/spreadsheets/d/11923uPwbBZFjjGgGUA6NLw09EwE0CqkOc4q9oUmW1yo/edit?usp=sharing"",""อุทัยธานี!J415"")"),0)</f>
        <v>0</v>
      </c>
      <c r="BT32" s="62">
        <f ca="1">IFERROR(__xludf.DUMMYFUNCTION("IMPORTRANGE(""https://docs.google.com/spreadsheets/d/11923uPwbBZFjjGgGUA6NLw09EwE0CqkOc4q9oUmW1yo/edit?usp=sharing"",""อุทัยธานี!J416"")"),0)</f>
        <v>0</v>
      </c>
      <c r="BU32" s="62">
        <f ca="1">IFERROR(__xludf.DUMMYFUNCTION("IMPORTRANGE(""https://docs.google.com/spreadsheets/d/11923uPwbBZFjjGgGUA6NLw09EwE0CqkOc4q9oUmW1yo/edit?usp=sharing"",""อุทัยธานี!J417"")"),0)</f>
        <v>0</v>
      </c>
      <c r="BV32" s="406">
        <f t="shared" ca="1" si="72"/>
        <v>0</v>
      </c>
      <c r="BW32" s="407">
        <f t="shared" ca="1" si="18"/>
        <v>0</v>
      </c>
      <c r="BX32" s="406">
        <f t="shared" ca="1" si="73"/>
        <v>0</v>
      </c>
      <c r="BY32" s="407">
        <f t="shared" ca="1" si="19"/>
        <v>0</v>
      </c>
      <c r="BZ32" s="62">
        <f ca="1">IFERROR(__xludf.DUMMYFUNCTION("IMPORTRANGE(""https://docs.google.com/spreadsheets/d/11923uPwbBZFjjGgGUA6NLw09EwE0CqkOc4q9oUmW1yo/edit?usp=sharing"",""อุทัยธานี!J420"")"),0)</f>
        <v>0</v>
      </c>
      <c r="CA32" s="62">
        <f ca="1">IFERROR(__xludf.DUMMYFUNCTION("IMPORTRANGE(""https://docs.google.com/spreadsheets/d/11923uPwbBZFjjGgGUA6NLw09EwE0CqkOc4q9oUmW1yo/edit?usp=sharing"",""อุทัยธานี!J421"")"),0)</f>
        <v>0</v>
      </c>
      <c r="CB32" s="62">
        <f ca="1">IFERROR(__xludf.DUMMYFUNCTION("IMPORTRANGE(""https://docs.google.com/spreadsheets/d/11923uPwbBZFjjGgGUA6NLw09EwE0CqkOc4q9oUmW1yo/edit?usp=sharing"",""อุทัยธานี!J422"")"),0)</f>
        <v>0</v>
      </c>
      <c r="CC32" s="62">
        <f ca="1">IFERROR(__xludf.DUMMYFUNCTION("IMPORTRANGE(""https://docs.google.com/spreadsheets/d/11923uPwbBZFjjGgGUA6NLw09EwE0CqkOc4q9oUmW1yo/edit?usp=sharing"",""อุทัยธานี!J423"")"),0)</f>
        <v>0</v>
      </c>
      <c r="CD32" s="62">
        <f ca="1">IFERROR(__xludf.DUMMYFUNCTION("IMPORTRANGE(""https://docs.google.com/spreadsheets/d/11923uPwbBZFjjGgGUA6NLw09EwE0CqkOc4q9oUmW1yo/edit?usp=sharing"",""อุทัยธานี!J424"")"),0)</f>
        <v>0</v>
      </c>
      <c r="CE32" s="424">
        <f ca="1">IFERROR(__xludf.DUMMYFUNCTION("IMPORTRANGE(""https://docs.google.com/spreadsheets/d/11923uPwbBZFjjGgGUA6NLw09EwE0CqkOc4q9oUmW1yo/edit?usp=sharing"",""อุทัยธานี!J425"")"),0)</f>
        <v>0</v>
      </c>
    </row>
    <row r="33" spans="1:83" ht="24" customHeight="1" x14ac:dyDescent="0.5">
      <c r="A33" s="778" t="s">
        <v>48</v>
      </c>
      <c r="B33" s="569"/>
      <c r="C33" s="394">
        <f t="shared" ref="C33:F33" si="74">SUM(C34:C53)</f>
        <v>10836168.469999997</v>
      </c>
      <c r="D33" s="66">
        <f t="shared" si="74"/>
        <v>0</v>
      </c>
      <c r="E33" s="395">
        <f t="shared" si="74"/>
        <v>10836168.469999997</v>
      </c>
      <c r="F33" s="101">
        <f t="shared" ca="1" si="74"/>
        <v>73143.3</v>
      </c>
      <c r="G33" s="101">
        <f t="shared" ca="1" si="1"/>
        <v>0.67499227427570641</v>
      </c>
      <c r="H33" s="66">
        <f t="shared" ref="H33:J33" si="75">SUM(H34:H53)</f>
        <v>808886</v>
      </c>
      <c r="I33" s="66">
        <f t="shared" si="75"/>
        <v>102872</v>
      </c>
      <c r="J33" s="66">
        <f t="shared" ca="1" si="75"/>
        <v>0</v>
      </c>
      <c r="K33" s="101">
        <f t="shared" ca="1" si="3"/>
        <v>0</v>
      </c>
      <c r="L33" s="66">
        <f ca="1">SUM(L34:L53)</f>
        <v>0</v>
      </c>
      <c r="M33" s="101">
        <f t="shared" ca="1" si="4"/>
        <v>0</v>
      </c>
      <c r="N33" s="66">
        <f t="shared" ref="N33:T33" ca="1" si="76">SUM(N34:N53)</f>
        <v>0</v>
      </c>
      <c r="O33" s="66">
        <f t="shared" ca="1" si="76"/>
        <v>0</v>
      </c>
      <c r="P33" s="66">
        <f t="shared" ca="1" si="76"/>
        <v>0</v>
      </c>
      <c r="Q33" s="66">
        <f t="shared" ca="1" si="76"/>
        <v>0</v>
      </c>
      <c r="R33" s="66">
        <f t="shared" ca="1" si="76"/>
        <v>0</v>
      </c>
      <c r="S33" s="66">
        <f t="shared" ca="1" si="76"/>
        <v>0</v>
      </c>
      <c r="T33" s="66">
        <f t="shared" ca="1" si="76"/>
        <v>0</v>
      </c>
      <c r="U33" s="66">
        <f t="shared" ca="1" si="6"/>
        <v>0</v>
      </c>
      <c r="V33" s="66">
        <f ca="1">SUM(V34:V53)</f>
        <v>0</v>
      </c>
      <c r="W33" s="66">
        <f t="shared" ca="1" si="7"/>
        <v>0</v>
      </c>
      <c r="X33" s="66">
        <f t="shared" ref="X33:AD33" ca="1" si="77">SUM(X34:X53)</f>
        <v>0</v>
      </c>
      <c r="Y33" s="66">
        <f t="shared" ca="1" si="77"/>
        <v>0</v>
      </c>
      <c r="Z33" s="66">
        <f t="shared" ca="1" si="77"/>
        <v>0</v>
      </c>
      <c r="AA33" s="66">
        <f t="shared" ca="1" si="77"/>
        <v>0</v>
      </c>
      <c r="AB33" s="66">
        <f t="shared" ca="1" si="77"/>
        <v>0</v>
      </c>
      <c r="AC33" s="66">
        <f t="shared" ca="1" si="77"/>
        <v>0</v>
      </c>
      <c r="AD33" s="66">
        <f t="shared" ca="1" si="77"/>
        <v>0</v>
      </c>
      <c r="AE33" s="101">
        <f t="shared" ca="1" si="9"/>
        <v>0</v>
      </c>
      <c r="AF33" s="66">
        <f ca="1">SUM(AF34:AF53)</f>
        <v>0</v>
      </c>
      <c r="AG33" s="101">
        <f t="shared" ca="1" si="10"/>
        <v>0</v>
      </c>
      <c r="AH33" s="66">
        <f t="shared" ref="AH33:AT33" ca="1" si="78">SUM(AH34:AH53)</f>
        <v>0</v>
      </c>
      <c r="AI33" s="66">
        <f t="shared" ca="1" si="78"/>
        <v>0</v>
      </c>
      <c r="AJ33" s="66">
        <f t="shared" ca="1" si="78"/>
        <v>0</v>
      </c>
      <c r="AK33" s="66">
        <f t="shared" ca="1" si="78"/>
        <v>0</v>
      </c>
      <c r="AL33" s="66">
        <f t="shared" ca="1" si="78"/>
        <v>0</v>
      </c>
      <c r="AM33" s="66">
        <f t="shared" ca="1" si="78"/>
        <v>0</v>
      </c>
      <c r="AN33" s="66">
        <f t="shared" ca="1" si="78"/>
        <v>0</v>
      </c>
      <c r="AO33" s="66">
        <f t="shared" ca="1" si="78"/>
        <v>0</v>
      </c>
      <c r="AP33" s="66">
        <f t="shared" ca="1" si="78"/>
        <v>0</v>
      </c>
      <c r="AQ33" s="66">
        <f t="shared" ca="1" si="78"/>
        <v>0</v>
      </c>
      <c r="AR33" s="66">
        <f t="shared" si="78"/>
        <v>9379</v>
      </c>
      <c r="AS33" s="66">
        <f t="shared" si="78"/>
        <v>88137</v>
      </c>
      <c r="AT33" s="66">
        <f t="shared" ca="1" si="78"/>
        <v>0</v>
      </c>
      <c r="AU33" s="66">
        <f t="shared" ca="1" si="12"/>
        <v>0</v>
      </c>
      <c r="AV33" s="66">
        <f ca="1">SUM(AV34:AV53)</f>
        <v>0</v>
      </c>
      <c r="AW33" s="66">
        <f t="shared" ca="1" si="13"/>
        <v>0</v>
      </c>
      <c r="AX33" s="66">
        <f t="shared" ref="AX33:BL33" ca="1" si="79">SUM(AX34:AX53)</f>
        <v>0</v>
      </c>
      <c r="AY33" s="66">
        <f t="shared" ca="1" si="79"/>
        <v>0</v>
      </c>
      <c r="AZ33" s="66">
        <f t="shared" ca="1" si="79"/>
        <v>0</v>
      </c>
      <c r="BA33" s="66">
        <f t="shared" ca="1" si="79"/>
        <v>0</v>
      </c>
      <c r="BB33" s="66">
        <f t="shared" ca="1" si="79"/>
        <v>0</v>
      </c>
      <c r="BC33" s="66">
        <f t="shared" ca="1" si="79"/>
        <v>0</v>
      </c>
      <c r="BD33" s="66">
        <f t="shared" ca="1" si="79"/>
        <v>0</v>
      </c>
      <c r="BE33" s="66">
        <f t="shared" ca="1" si="79"/>
        <v>0</v>
      </c>
      <c r="BF33" s="66">
        <f t="shared" ca="1" si="79"/>
        <v>0</v>
      </c>
      <c r="BG33" s="66">
        <f t="shared" ca="1" si="79"/>
        <v>0</v>
      </c>
      <c r="BH33" s="66">
        <f t="shared" ca="1" si="79"/>
        <v>0</v>
      </c>
      <c r="BI33" s="66">
        <f t="shared" ca="1" si="79"/>
        <v>0</v>
      </c>
      <c r="BJ33" s="66">
        <f t="shared" si="79"/>
        <v>808886</v>
      </c>
      <c r="BK33" s="66">
        <f t="shared" si="79"/>
        <v>102872</v>
      </c>
      <c r="BL33" s="66">
        <f t="shared" ca="1" si="79"/>
        <v>0</v>
      </c>
      <c r="BM33" s="101">
        <f t="shared" ca="1" si="15"/>
        <v>0</v>
      </c>
      <c r="BN33" s="66">
        <f ca="1">SUM(BN34:BN53)</f>
        <v>0</v>
      </c>
      <c r="BO33" s="101">
        <f t="shared" ca="1" si="16"/>
        <v>0</v>
      </c>
      <c r="BP33" s="66">
        <f t="shared" ref="BP33:BW33" ca="1" si="80">SUM(BP34:BP53)</f>
        <v>0</v>
      </c>
      <c r="BQ33" s="66">
        <f t="shared" ca="1" si="80"/>
        <v>0</v>
      </c>
      <c r="BR33" s="66">
        <f t="shared" ca="1" si="80"/>
        <v>0</v>
      </c>
      <c r="BS33" s="66">
        <f t="shared" ca="1" si="80"/>
        <v>0</v>
      </c>
      <c r="BT33" s="66">
        <f t="shared" ca="1" si="80"/>
        <v>0</v>
      </c>
      <c r="BU33" s="66">
        <f t="shared" ca="1" si="80"/>
        <v>0</v>
      </c>
      <c r="BV33" s="66">
        <f t="shared" ca="1" si="80"/>
        <v>0</v>
      </c>
      <c r="BW33" s="101">
        <f t="shared" ca="1" si="80"/>
        <v>0</v>
      </c>
      <c r="BX33" s="66"/>
      <c r="BY33" s="101"/>
      <c r="BZ33" s="66">
        <f t="shared" ref="BZ33:CE33" ca="1" si="81">SUM(BZ34:BZ53)</f>
        <v>0</v>
      </c>
      <c r="CA33" s="66">
        <f t="shared" ca="1" si="81"/>
        <v>0</v>
      </c>
      <c r="CB33" s="66">
        <f t="shared" ca="1" si="81"/>
        <v>0</v>
      </c>
      <c r="CC33" s="66">
        <f t="shared" ca="1" si="81"/>
        <v>0</v>
      </c>
      <c r="CD33" s="66">
        <f t="shared" ca="1" si="81"/>
        <v>0</v>
      </c>
      <c r="CE33" s="414">
        <f t="shared" ca="1" si="81"/>
        <v>0</v>
      </c>
    </row>
    <row r="34" spans="1:83" ht="24" customHeight="1" x14ac:dyDescent="0.5">
      <c r="A34" s="268">
        <v>1</v>
      </c>
      <c r="B34" s="269" t="s">
        <v>49</v>
      </c>
      <c r="C34" s="396">
        <f t="shared" ref="C34:C53" si="82">+D34+E34</f>
        <v>211609.7</v>
      </c>
      <c r="D34" s="48">
        <v>0</v>
      </c>
      <c r="E34" s="397">
        <v>211609.7</v>
      </c>
      <c r="F34" s="98">
        <f ca="1">IFERROR(__xludf.DUMMYFUNCTION("IMPORTRANGE(""https://docs.google.com/spreadsheets/d/1XL5vhW3sbDhbH9Cz0tuDiY8C3ctxq1tqvaCgkFb8cCA/edit?usp=sharing"",""กาฬสินธุ์!M352"")"),0)</f>
        <v>0</v>
      </c>
      <c r="G34" s="98">
        <f t="shared" ca="1" si="1"/>
        <v>0</v>
      </c>
      <c r="H34" s="49">
        <v>25653</v>
      </c>
      <c r="I34" s="49">
        <v>3211</v>
      </c>
      <c r="J34" s="48">
        <f t="shared" ref="J34:J53" ca="1" si="83">SUM(N34,P34,R34)</f>
        <v>0</v>
      </c>
      <c r="K34" s="98">
        <f t="shared" ca="1" si="3"/>
        <v>0</v>
      </c>
      <c r="L34" s="48">
        <f t="shared" ref="L34:L53" ca="1" si="84">SUM(O34,Q34,S34)</f>
        <v>0</v>
      </c>
      <c r="M34" s="98">
        <f t="shared" ca="1" si="4"/>
        <v>0</v>
      </c>
      <c r="N34" s="48">
        <f ca="1">IFERROR(__xludf.DUMMYFUNCTION("IMPORTRANGE(""https://docs.google.com/spreadsheets/d/1XL5vhW3sbDhbH9Cz0tuDiY8C3ctxq1tqvaCgkFb8cCA/edit?usp=sharing"",""กาฬสินธุ์!J362"")"),0)</f>
        <v>0</v>
      </c>
      <c r="O34" s="48">
        <f ca="1">IFERROR(__xludf.DUMMYFUNCTION("IMPORTRANGE(""https://docs.google.com/spreadsheets/d/1XL5vhW3sbDhbH9Cz0tuDiY8C3ctxq1tqvaCgkFb8cCA/edit?usp=sharing"",""กาฬสินธุ์!J363"")"),0)</f>
        <v>0</v>
      </c>
      <c r="P34" s="48">
        <f ca="1">IFERROR(__xludf.DUMMYFUNCTION("IMPORTRANGE(""https://docs.google.com/spreadsheets/d/1XL5vhW3sbDhbH9Cz0tuDiY8C3ctxq1tqvaCgkFb8cCA/edit?usp=sharing"",""กาฬสินธุ์!J364"")"),0)</f>
        <v>0</v>
      </c>
      <c r="Q34" s="48">
        <f ca="1">IFERROR(__xludf.DUMMYFUNCTION("IMPORTRANGE(""https://docs.google.com/spreadsheets/d/1XL5vhW3sbDhbH9Cz0tuDiY8C3ctxq1tqvaCgkFb8cCA/edit?usp=sharing"",""กาฬสินธุ์!J365"")"),0)</f>
        <v>0</v>
      </c>
      <c r="R34" s="48">
        <f ca="1">IFERROR(__xludf.DUMMYFUNCTION("IMPORTRANGE(""https://docs.google.com/spreadsheets/d/1XL5vhW3sbDhbH9Cz0tuDiY8C3ctxq1tqvaCgkFb8cCA/edit?usp=sharing"",""กาฬสินธุ์!J366"")"),0)</f>
        <v>0</v>
      </c>
      <c r="S34" s="48">
        <f ca="1">IFERROR(__xludf.DUMMYFUNCTION("IMPORTRANGE(""https://docs.google.com/spreadsheets/d/1XL5vhW3sbDhbH9Cz0tuDiY8C3ctxq1tqvaCgkFb8cCA/edit?usp=sharing"",""กาฬสินธุ์!J367"")"),0)</f>
        <v>0</v>
      </c>
      <c r="T34" s="48">
        <f t="shared" ref="T34:T53" ca="1" si="85">SUM(X34,Z34,AB34)</f>
        <v>0</v>
      </c>
      <c r="U34" s="48">
        <f t="shared" ca="1" si="6"/>
        <v>0</v>
      </c>
      <c r="V34" s="48">
        <f t="shared" ref="V34:V53" ca="1" si="86">SUM(Y34,AA34,AC34)</f>
        <v>0</v>
      </c>
      <c r="W34" s="48">
        <f t="shared" ca="1" si="7"/>
        <v>0</v>
      </c>
      <c r="X34" s="48">
        <f ca="1">IFERROR(__xludf.DUMMYFUNCTION("IMPORTRANGE(""https://docs.google.com/spreadsheets/d/1XL5vhW3sbDhbH9Cz0tuDiY8C3ctxq1tqvaCgkFb8cCA/edit?usp=sharing"",""กาฬสินธุ์!J370"")"),0)</f>
        <v>0</v>
      </c>
      <c r="Y34" s="48">
        <f ca="1">IFERROR(__xludf.DUMMYFUNCTION("IMPORTRANGE(""https://docs.google.com/spreadsheets/d/1XL5vhW3sbDhbH9Cz0tuDiY8C3ctxq1tqvaCgkFb8cCA/edit?usp=sharing"",""กาฬสินธุ์!J371"")"),0)</f>
        <v>0</v>
      </c>
      <c r="Z34" s="48">
        <f ca="1">IFERROR(__xludf.DUMMYFUNCTION("IMPORTRANGE(""https://docs.google.com/spreadsheets/d/1XL5vhW3sbDhbH9Cz0tuDiY8C3ctxq1tqvaCgkFb8cCA/edit?usp=sharing"",""กาฬสินธุ์!J372"")"),0)</f>
        <v>0</v>
      </c>
      <c r="AA34" s="48">
        <f ca="1">IFERROR(__xludf.DUMMYFUNCTION("IMPORTRANGE(""https://docs.google.com/spreadsheets/d/1XL5vhW3sbDhbH9Cz0tuDiY8C3ctxq1tqvaCgkFb8cCA/edit?usp=sharing"",""กาฬสินธุ์!J373"")"),0)</f>
        <v>0</v>
      </c>
      <c r="AB34" s="48">
        <f ca="1">IFERROR(__xludf.DUMMYFUNCTION("IMPORTRANGE(""https://docs.google.com/spreadsheets/d/1XL5vhW3sbDhbH9Cz0tuDiY8C3ctxq1tqvaCgkFb8cCA/edit?usp=sharing"",""กาฬสินธุ์!J374"")"),0)</f>
        <v>0</v>
      </c>
      <c r="AC34" s="48">
        <f ca="1">IFERROR(__xludf.DUMMYFUNCTION("IMPORTRANGE(""https://docs.google.com/spreadsheets/d/1XL5vhW3sbDhbH9Cz0tuDiY8C3ctxq1tqvaCgkFb8cCA/edit?usp=sharing"",""กาฬสินธุ์!J375"")"),0)</f>
        <v>0</v>
      </c>
      <c r="AD34" s="48">
        <f t="shared" ref="AD34:AD53" ca="1" si="87">SUM(AH34,AJ34,AL34,AN34,AP34)</f>
        <v>0</v>
      </c>
      <c r="AE34" s="98">
        <f t="shared" ca="1" si="9"/>
        <v>0</v>
      </c>
      <c r="AF34" s="48">
        <f t="shared" ref="AF34:AF53" ca="1" si="88">SUM(AI34,AK34,AM34,AO34,AQ34)</f>
        <v>0</v>
      </c>
      <c r="AG34" s="98">
        <f t="shared" ca="1" si="10"/>
        <v>0</v>
      </c>
      <c r="AH34" s="48">
        <f ca="1">IFERROR(__xludf.DUMMYFUNCTION("IMPORTRANGE(""https://docs.google.com/spreadsheets/d/1XL5vhW3sbDhbH9Cz0tuDiY8C3ctxq1tqvaCgkFb8cCA/edit?usp=sharing"",""กาฬสินธุ์!J378"")"),0)</f>
        <v>0</v>
      </c>
      <c r="AI34" s="48">
        <f ca="1">IFERROR(__xludf.DUMMYFUNCTION("IMPORTRANGE(""https://docs.google.com/spreadsheets/d/1XL5vhW3sbDhbH9Cz0tuDiY8C3ctxq1tqvaCgkFb8cCA/edit?usp=sharing"",""กาฬสินธุ์!J379"")"),0)</f>
        <v>0</v>
      </c>
      <c r="AJ34" s="48">
        <f ca="1">IFERROR(__xludf.DUMMYFUNCTION("IMPORTRANGE(""https://docs.google.com/spreadsheets/d/1XL5vhW3sbDhbH9Cz0tuDiY8C3ctxq1tqvaCgkFb8cCA/edit?usp=sharing"",""กาฬสินธุ์!J380"")"),0)</f>
        <v>0</v>
      </c>
      <c r="AK34" s="48">
        <f ca="1">IFERROR(__xludf.DUMMYFUNCTION("IMPORTRANGE(""https://docs.google.com/spreadsheets/d/1XL5vhW3sbDhbH9Cz0tuDiY8C3ctxq1tqvaCgkFb8cCA/edit?usp=sharing"",""กาฬสินธุ์!J381"")"),0)</f>
        <v>0</v>
      </c>
      <c r="AL34" s="48">
        <f ca="1">IFERROR(__xludf.DUMMYFUNCTION("IMPORTRANGE(""https://docs.google.com/spreadsheets/d/1XL5vhW3sbDhbH9Cz0tuDiY8C3ctxq1tqvaCgkFb8cCA/edit?usp=sharing"",""กาฬสินธุ์!J384"")"),0)</f>
        <v>0</v>
      </c>
      <c r="AM34" s="48">
        <f ca="1">IFERROR(__xludf.DUMMYFUNCTION("IMPORTRANGE(""https://docs.google.com/spreadsheets/d/1XL5vhW3sbDhbH9Cz0tuDiY8C3ctxq1tqvaCgkFb8cCA/edit?usp=sharing"",""กาฬสินธุ์!J385"")"),0)</f>
        <v>0</v>
      </c>
      <c r="AN34" s="48">
        <f ca="1">IFERROR(__xludf.DUMMYFUNCTION("IMPORTRANGE(""https://docs.google.com/spreadsheets/d/1XL5vhW3sbDhbH9Cz0tuDiY8C3ctxq1tqvaCgkFb8cCA/edit?usp=sharing"",""กาฬสินธุ์!J386"")"),0)</f>
        <v>0</v>
      </c>
      <c r="AO34" s="48">
        <f ca="1">IFERROR(__xludf.DUMMYFUNCTION("IMPORTRANGE(""https://docs.google.com/spreadsheets/d/1XL5vhW3sbDhbH9Cz0tuDiY8C3ctxq1tqvaCgkFb8cCA/edit?usp=sharing"",""กาฬสินธุ์!J387"")"),0)</f>
        <v>0</v>
      </c>
      <c r="AP34" s="48">
        <f ca="1">IFERROR(__xludf.DUMMYFUNCTION("IMPORTRANGE(""https://docs.google.com/spreadsheets/d/1XL5vhW3sbDhbH9Cz0tuDiY8C3ctxq1tqvaCgkFb8cCA/edit?usp=sharing"",""กาฬสินธุ์!J388"")"),0)</f>
        <v>0</v>
      </c>
      <c r="AQ34" s="48">
        <f ca="1">IFERROR(__xludf.DUMMYFUNCTION("IMPORTRANGE(""https://docs.google.com/spreadsheets/d/1XL5vhW3sbDhbH9Cz0tuDiY8C3ctxq1tqvaCgkFb8cCA/edit?usp=sharing"",""กาฬสินธุ์!J389"")"),0)</f>
        <v>0</v>
      </c>
      <c r="AR34" s="398">
        <v>0</v>
      </c>
      <c r="AS34" s="398">
        <v>0</v>
      </c>
      <c r="AT34" s="398">
        <f t="shared" ref="AT34:AT53" ca="1" si="89">SUM(AX34,AZ34,BB34,BD34,BF34,BH34)</f>
        <v>0</v>
      </c>
      <c r="AU34" s="398">
        <f t="shared" si="12"/>
        <v>0</v>
      </c>
      <c r="AV34" s="398">
        <f t="shared" ref="AV34:AV53" ca="1" si="90">SUM(AY34,BA34,BC34,BE34,BG34,BI34)</f>
        <v>0</v>
      </c>
      <c r="AW34" s="398">
        <f t="shared" si="13"/>
        <v>0</v>
      </c>
      <c r="AX34" s="48">
        <f ca="1">IFERROR(__xludf.DUMMYFUNCTION("IMPORTRANGE(""https://docs.google.com/spreadsheets/d/1XL5vhW3sbDhbH9Cz0tuDiY8C3ctxq1tqvaCgkFb8cCA/edit?usp=sharing"",""กาฬสินธุ์!J395"")"),0)</f>
        <v>0</v>
      </c>
      <c r="AY34" s="48">
        <f ca="1">IFERROR(__xludf.DUMMYFUNCTION("IMPORTRANGE(""https://docs.google.com/spreadsheets/d/1XL5vhW3sbDhbH9Cz0tuDiY8C3ctxq1tqvaCgkFb8cCA/edit?usp=sharing"",""กาฬสินธุ์!J396"")"),0)</f>
        <v>0</v>
      </c>
      <c r="AZ34" s="48">
        <f ca="1">IFERROR(__xludf.DUMMYFUNCTION("IMPORTRANGE(""https://docs.google.com/spreadsheets/d/1XL5vhW3sbDhbH9Cz0tuDiY8C3ctxq1tqvaCgkFb8cCA/edit?usp=sharing"",""กาฬสินธุ์!J397"")"),0)</f>
        <v>0</v>
      </c>
      <c r="BA34" s="48">
        <f ca="1">IFERROR(__xludf.DUMMYFUNCTION("IMPORTRANGE(""https://docs.google.com/spreadsheets/d/1XL5vhW3sbDhbH9Cz0tuDiY8C3ctxq1tqvaCgkFb8cCA/edit?usp=sharing"",""กาฬสินธุ์!J398"")"),0)</f>
        <v>0</v>
      </c>
      <c r="BB34" s="48">
        <f ca="1">IFERROR(__xludf.DUMMYFUNCTION("IMPORTRANGE(""https://docs.google.com/spreadsheets/d/1XL5vhW3sbDhbH9Cz0tuDiY8C3ctxq1tqvaCgkFb8cCA/edit?usp=sharing"",""กาฬสินธุ์!J399"")"),0)</f>
        <v>0</v>
      </c>
      <c r="BC34" s="48">
        <f ca="1">IFERROR(__xludf.DUMMYFUNCTION("IMPORTRANGE(""https://docs.google.com/spreadsheets/d/1XL5vhW3sbDhbH9Cz0tuDiY8C3ctxq1tqvaCgkFb8cCA/edit?usp=sharing"",""กาฬสินธุ์!J400"")"),0)</f>
        <v>0</v>
      </c>
      <c r="BD34" s="48">
        <f ca="1">IFERROR(__xludf.DUMMYFUNCTION("IMPORTRANGE(""https://docs.google.com/spreadsheets/d/1XL5vhW3sbDhbH9Cz0tuDiY8C3ctxq1tqvaCgkFb8cCA/edit?usp=sharing"",""กาฬสินธุ์!J403"")"),0)</f>
        <v>0</v>
      </c>
      <c r="BE34" s="48">
        <f ca="1">IFERROR(__xludf.DUMMYFUNCTION("IMPORTRANGE(""https://docs.google.com/spreadsheets/d/1XL5vhW3sbDhbH9Cz0tuDiY8C3ctxq1tqvaCgkFb8cCA/edit?usp=sharing"",""กาฬสินธุ์!J404"")"),0)</f>
        <v>0</v>
      </c>
      <c r="BF34" s="48">
        <f ca="1">IFERROR(__xludf.DUMMYFUNCTION("IMPORTRANGE(""https://docs.google.com/spreadsheets/d/1XL5vhW3sbDhbH9Cz0tuDiY8C3ctxq1tqvaCgkFb8cCA/edit?usp=sharing"",""กาฬสินธุ์!J405"")"),0)</f>
        <v>0</v>
      </c>
      <c r="BG34" s="48">
        <f ca="1">IFERROR(__xludf.DUMMYFUNCTION("IMPORTRANGE(""https://docs.google.com/spreadsheets/d/1XL5vhW3sbDhbH9Cz0tuDiY8C3ctxq1tqvaCgkFb8cCA/edit?usp=sharing"",""กาฬสินธุ์!J406"")"),0)</f>
        <v>0</v>
      </c>
      <c r="BH34" s="48">
        <f ca="1">IFERROR(__xludf.DUMMYFUNCTION("IMPORTRANGE(""https://docs.google.com/spreadsheets/d/1XL5vhW3sbDhbH9Cz0tuDiY8C3ctxq1tqvaCgkFb8cCA/edit?usp=sharing"",""กาฬสินธุ์!J407"")"),0)</f>
        <v>0</v>
      </c>
      <c r="BI34" s="48">
        <f ca="1">IFERROR(__xludf.DUMMYFUNCTION("IMPORTRANGE(""https://docs.google.com/spreadsheets/d/1XL5vhW3sbDhbH9Cz0tuDiY8C3ctxq1tqvaCgkFb8cCA/edit?usp=sharing"",""กาฬสินธุ์!J408"")"),0)</f>
        <v>0</v>
      </c>
      <c r="BJ34" s="398">
        <v>25653</v>
      </c>
      <c r="BK34" s="398">
        <v>3211</v>
      </c>
      <c r="BL34" s="398">
        <f t="shared" ref="BL34:BL53" ca="1" si="91">SUM(BP34,BR34)</f>
        <v>0</v>
      </c>
      <c r="BM34" s="399">
        <f t="shared" ca="1" si="15"/>
        <v>0</v>
      </c>
      <c r="BN34" s="398">
        <f t="shared" ref="BN34:BN53" ca="1" si="92">SUM(BQ34,BS34)</f>
        <v>0</v>
      </c>
      <c r="BO34" s="399">
        <f t="shared" ca="1" si="16"/>
        <v>0</v>
      </c>
      <c r="BP34" s="48">
        <f ca="1">IFERROR(__xludf.DUMMYFUNCTION("IMPORTRANGE(""https://docs.google.com/spreadsheets/d/1XL5vhW3sbDhbH9Cz0tuDiY8C3ctxq1tqvaCgkFb8cCA/edit?usp=sharing"",""กาฬสินธุ์!J412"")"),0)</f>
        <v>0</v>
      </c>
      <c r="BQ34" s="48">
        <f ca="1">IFERROR(__xludf.DUMMYFUNCTION("IMPORTRANGE(""https://docs.google.com/spreadsheets/d/1XL5vhW3sbDhbH9Cz0tuDiY8C3ctxq1tqvaCgkFb8cCA/edit?usp=sharing"",""กาฬสินธุ์!J413"")"),0)</f>
        <v>0</v>
      </c>
      <c r="BR34" s="48">
        <f ca="1">IFERROR(__xludf.DUMMYFUNCTION("IMPORTRANGE(""https://docs.google.com/spreadsheets/d/1XL5vhW3sbDhbH9Cz0tuDiY8C3ctxq1tqvaCgkFb8cCA/edit?usp=sharing"",""กาฬสินธุ์!J414"")"),0)</f>
        <v>0</v>
      </c>
      <c r="BS34" s="48">
        <f ca="1">IFERROR(__xludf.DUMMYFUNCTION("IMPORTRANGE(""https://docs.google.com/spreadsheets/d/1XL5vhW3sbDhbH9Cz0tuDiY8C3ctxq1tqvaCgkFb8cCA/edit?usp=sharing"",""กาฬสินธุ์!J415"")"),0)</f>
        <v>0</v>
      </c>
      <c r="BT34" s="48">
        <f ca="1">IFERROR(__xludf.DUMMYFUNCTION("IMPORTRANGE(""https://docs.google.com/spreadsheets/d/1XL5vhW3sbDhbH9Cz0tuDiY8C3ctxq1tqvaCgkFb8cCA/edit?usp=sharing"",""กาฬสินธุ์!J416"")"),0)</f>
        <v>0</v>
      </c>
      <c r="BU34" s="48">
        <f ca="1">IFERROR(__xludf.DUMMYFUNCTION("IMPORTRANGE(""https://docs.google.com/spreadsheets/d/1XL5vhW3sbDhbH9Cz0tuDiY8C3ctxq1tqvaCgkFb8cCA/edit?usp=sharing"",""กาฬสินธุ์!J417"")"),0)</f>
        <v>0</v>
      </c>
      <c r="BV34" s="398">
        <f t="shared" ref="BV34:BV53" ca="1" si="93">SUM(BZ34,CB34,CD34)</f>
        <v>0</v>
      </c>
      <c r="BW34" s="399">
        <f t="shared" ref="BW34:BW53" ca="1" si="94">IF(BT34&gt;0,BV34*100/BT34,0)</f>
        <v>0</v>
      </c>
      <c r="BX34" s="398">
        <f t="shared" ref="BX34:BX53" ca="1" si="95">SUM(CA34,CC34,CE34)</f>
        <v>0</v>
      </c>
      <c r="BY34" s="399">
        <f t="shared" ref="BY34:BY53" ca="1" si="96">IF(BU34&gt;0,BX34*100/BU34,0)</f>
        <v>0</v>
      </c>
      <c r="BZ34" s="48">
        <f ca="1">IFERROR(__xludf.DUMMYFUNCTION("IMPORTRANGE(""https://docs.google.com/spreadsheets/d/1XL5vhW3sbDhbH9Cz0tuDiY8C3ctxq1tqvaCgkFb8cCA/edit?usp=sharing"",""กาฬสินธุ์!J420"")"),0)</f>
        <v>0</v>
      </c>
      <c r="CA34" s="48">
        <f ca="1">IFERROR(__xludf.DUMMYFUNCTION("IMPORTRANGE(""https://docs.google.com/spreadsheets/d/1XL5vhW3sbDhbH9Cz0tuDiY8C3ctxq1tqvaCgkFb8cCA/edit?usp=sharing"",""กาฬสินธุ์!J421"")"),0)</f>
        <v>0</v>
      </c>
      <c r="CB34" s="48">
        <f ca="1">IFERROR(__xludf.DUMMYFUNCTION("IMPORTRANGE(""https://docs.google.com/spreadsheets/d/1XL5vhW3sbDhbH9Cz0tuDiY8C3ctxq1tqvaCgkFb8cCA/edit?usp=sharing"",""กาฬสินธุ์!J422"")"),0)</f>
        <v>0</v>
      </c>
      <c r="CC34" s="48">
        <f ca="1">IFERROR(__xludf.DUMMYFUNCTION("IMPORTRANGE(""https://docs.google.com/spreadsheets/d/1XL5vhW3sbDhbH9Cz0tuDiY8C3ctxq1tqvaCgkFb8cCA/edit?usp=sharing"",""กาฬสินธุ์!J423"")"),0)</f>
        <v>0</v>
      </c>
      <c r="CD34" s="48">
        <f ca="1">IFERROR(__xludf.DUMMYFUNCTION("IMPORTRANGE(""https://docs.google.com/spreadsheets/d/1XL5vhW3sbDhbH9Cz0tuDiY8C3ctxq1tqvaCgkFb8cCA/edit?usp=sharing"",""กาฬสินธุ์!J424"")"),0)</f>
        <v>0</v>
      </c>
      <c r="CE34" s="420">
        <f ca="1">IFERROR(__xludf.DUMMYFUNCTION("IMPORTRANGE(""https://docs.google.com/spreadsheets/d/1XL5vhW3sbDhbH9Cz0tuDiY8C3ctxq1tqvaCgkFb8cCA/edit?usp=sharing"",""กาฬสินธุ์!J425"")"),0)</f>
        <v>0</v>
      </c>
    </row>
    <row r="35" spans="1:83" ht="24" customHeight="1" x14ac:dyDescent="0.5">
      <c r="A35" s="273">
        <v>2</v>
      </c>
      <c r="B35" s="274" t="s">
        <v>50</v>
      </c>
      <c r="C35" s="400">
        <f t="shared" si="82"/>
        <v>597051.44999999995</v>
      </c>
      <c r="D35" s="55">
        <v>0</v>
      </c>
      <c r="E35" s="401">
        <v>597051.44999999995</v>
      </c>
      <c r="F35" s="99">
        <f ca="1">IFERROR(__xludf.DUMMYFUNCTION("IMPORTRANGE(""https://docs.google.com/spreadsheets/d/1XL5vhW3sbDhbH9Cz0tuDiY8C3ctxq1tqvaCgkFb8cCA/edit?usp=sharing"",""ขอนแก่น!M352"")"),0)</f>
        <v>0</v>
      </c>
      <c r="G35" s="99">
        <f t="shared" ca="1" si="1"/>
        <v>0</v>
      </c>
      <c r="H35" s="57">
        <v>59181</v>
      </c>
      <c r="I35" s="57">
        <v>6562</v>
      </c>
      <c r="J35" s="55">
        <f t="shared" ca="1" si="83"/>
        <v>0</v>
      </c>
      <c r="K35" s="99">
        <f t="shared" ca="1" si="3"/>
        <v>0</v>
      </c>
      <c r="L35" s="55">
        <f t="shared" ca="1" si="84"/>
        <v>0</v>
      </c>
      <c r="M35" s="99">
        <f t="shared" ca="1" si="4"/>
        <v>0</v>
      </c>
      <c r="N35" s="55">
        <f ca="1">IFERROR(__xludf.DUMMYFUNCTION("IMPORTRANGE(""https://docs.google.com/spreadsheets/d/1XL5vhW3sbDhbH9Cz0tuDiY8C3ctxq1tqvaCgkFb8cCA/edit?usp=sharing"",""ขอนแก่น!J362"")"),0)</f>
        <v>0</v>
      </c>
      <c r="O35" s="55">
        <f ca="1">IFERROR(__xludf.DUMMYFUNCTION("IMPORTRANGE(""https://docs.google.com/spreadsheets/d/1XL5vhW3sbDhbH9Cz0tuDiY8C3ctxq1tqvaCgkFb8cCA/edit?usp=sharing"",""ขอนแก่น!J363"")"),0)</f>
        <v>0</v>
      </c>
      <c r="P35" s="55">
        <f ca="1">IFERROR(__xludf.DUMMYFUNCTION("IMPORTRANGE(""https://docs.google.com/spreadsheets/d/1XL5vhW3sbDhbH9Cz0tuDiY8C3ctxq1tqvaCgkFb8cCA/edit?usp=sharing"",""ขอนแก่น!J364"")"),0)</f>
        <v>0</v>
      </c>
      <c r="Q35" s="55">
        <f ca="1">IFERROR(__xludf.DUMMYFUNCTION("IMPORTRANGE(""https://docs.google.com/spreadsheets/d/1XL5vhW3sbDhbH9Cz0tuDiY8C3ctxq1tqvaCgkFb8cCA/edit?usp=sharing"",""ขอนแก่น!J365"")"),0)</f>
        <v>0</v>
      </c>
      <c r="R35" s="55">
        <f ca="1">IFERROR(__xludf.DUMMYFUNCTION("IMPORTRANGE(""https://docs.google.com/spreadsheets/d/1XL5vhW3sbDhbH9Cz0tuDiY8C3ctxq1tqvaCgkFb8cCA/edit?usp=sharing"",""ขอนแก่น!J366"")"),0)</f>
        <v>0</v>
      </c>
      <c r="S35" s="55">
        <f ca="1">IFERROR(__xludf.DUMMYFUNCTION("IMPORTRANGE(""https://docs.google.com/spreadsheets/d/1XL5vhW3sbDhbH9Cz0tuDiY8C3ctxq1tqvaCgkFb8cCA/edit?usp=sharing"",""ขอนแก่น!J367"")"),0)</f>
        <v>0</v>
      </c>
      <c r="T35" s="55">
        <f t="shared" ca="1" si="85"/>
        <v>0</v>
      </c>
      <c r="U35" s="55">
        <f t="shared" ca="1" si="6"/>
        <v>0</v>
      </c>
      <c r="V35" s="55">
        <f t="shared" ca="1" si="86"/>
        <v>0</v>
      </c>
      <c r="W35" s="55">
        <f t="shared" ca="1" si="7"/>
        <v>0</v>
      </c>
      <c r="X35" s="55">
        <f ca="1">IFERROR(__xludf.DUMMYFUNCTION("IMPORTRANGE(""https://docs.google.com/spreadsheets/d/1XL5vhW3sbDhbH9Cz0tuDiY8C3ctxq1tqvaCgkFb8cCA/edit?usp=sharing"",""ขอนแก่น!J370"")"),0)</f>
        <v>0</v>
      </c>
      <c r="Y35" s="55">
        <f ca="1">IFERROR(__xludf.DUMMYFUNCTION("IMPORTRANGE(""https://docs.google.com/spreadsheets/d/1XL5vhW3sbDhbH9Cz0tuDiY8C3ctxq1tqvaCgkFb8cCA/edit?usp=sharing"",""ขอนแก่น!J371"")"),0)</f>
        <v>0</v>
      </c>
      <c r="Z35" s="55">
        <f ca="1">IFERROR(__xludf.DUMMYFUNCTION("IMPORTRANGE(""https://docs.google.com/spreadsheets/d/1XL5vhW3sbDhbH9Cz0tuDiY8C3ctxq1tqvaCgkFb8cCA/edit?usp=sharing"",""ขอนแก่น!J372"")"),0)</f>
        <v>0</v>
      </c>
      <c r="AA35" s="55">
        <f ca="1">IFERROR(__xludf.DUMMYFUNCTION("IMPORTRANGE(""https://docs.google.com/spreadsheets/d/1XL5vhW3sbDhbH9Cz0tuDiY8C3ctxq1tqvaCgkFb8cCA/edit?usp=sharing"",""ขอนแก่น!J373"")"),0)</f>
        <v>0</v>
      </c>
      <c r="AB35" s="55">
        <f ca="1">IFERROR(__xludf.DUMMYFUNCTION("IMPORTRANGE(""https://docs.google.com/spreadsheets/d/1XL5vhW3sbDhbH9Cz0tuDiY8C3ctxq1tqvaCgkFb8cCA/edit?usp=sharing"",""ขอนแก่น!J374"")"),0)</f>
        <v>0</v>
      </c>
      <c r="AC35" s="55">
        <f ca="1">IFERROR(__xludf.DUMMYFUNCTION("IMPORTRANGE(""https://docs.google.com/spreadsheets/d/1XL5vhW3sbDhbH9Cz0tuDiY8C3ctxq1tqvaCgkFb8cCA/edit?usp=sharing"",""ขอนแก่น!J375"")"),0)</f>
        <v>0</v>
      </c>
      <c r="AD35" s="55">
        <f t="shared" ca="1" si="87"/>
        <v>0</v>
      </c>
      <c r="AE35" s="99">
        <f t="shared" ca="1" si="9"/>
        <v>0</v>
      </c>
      <c r="AF35" s="55">
        <f t="shared" ca="1" si="88"/>
        <v>0</v>
      </c>
      <c r="AG35" s="99">
        <f t="shared" ca="1" si="10"/>
        <v>0</v>
      </c>
      <c r="AH35" s="55">
        <f ca="1">IFERROR(__xludf.DUMMYFUNCTION("IMPORTRANGE(""https://docs.google.com/spreadsheets/d/1XL5vhW3sbDhbH9Cz0tuDiY8C3ctxq1tqvaCgkFb8cCA/edit?usp=sharing"",""ขอนแก่น!J378"")"),0)</f>
        <v>0</v>
      </c>
      <c r="AI35" s="55">
        <f ca="1">IFERROR(__xludf.DUMMYFUNCTION("IMPORTRANGE(""https://docs.google.com/spreadsheets/d/1XL5vhW3sbDhbH9Cz0tuDiY8C3ctxq1tqvaCgkFb8cCA/edit?usp=sharing"",""ขอนแก่น!J379"")"),0)</f>
        <v>0</v>
      </c>
      <c r="AJ35" s="55">
        <f ca="1">IFERROR(__xludf.DUMMYFUNCTION("IMPORTRANGE(""https://docs.google.com/spreadsheets/d/1XL5vhW3sbDhbH9Cz0tuDiY8C3ctxq1tqvaCgkFb8cCA/edit?usp=sharing"",""ขอนแก่น!J380"")"),0)</f>
        <v>0</v>
      </c>
      <c r="AK35" s="55">
        <f ca="1">IFERROR(__xludf.DUMMYFUNCTION("IMPORTRANGE(""https://docs.google.com/spreadsheets/d/1XL5vhW3sbDhbH9Cz0tuDiY8C3ctxq1tqvaCgkFb8cCA/edit?usp=sharing"",""ขอนแก่น!J381"")"),0)</f>
        <v>0</v>
      </c>
      <c r="AL35" s="55">
        <f ca="1">IFERROR(__xludf.DUMMYFUNCTION("IMPORTRANGE(""https://docs.google.com/spreadsheets/d/1XL5vhW3sbDhbH9Cz0tuDiY8C3ctxq1tqvaCgkFb8cCA/edit?usp=sharing"",""ขอนแก่น!J384"")"),0)</f>
        <v>0</v>
      </c>
      <c r="AM35" s="55">
        <f ca="1">IFERROR(__xludf.DUMMYFUNCTION("IMPORTRANGE(""https://docs.google.com/spreadsheets/d/1XL5vhW3sbDhbH9Cz0tuDiY8C3ctxq1tqvaCgkFb8cCA/edit?usp=sharing"",""ขอนแก่น!J385"")"),0)</f>
        <v>0</v>
      </c>
      <c r="AN35" s="55">
        <f ca="1">IFERROR(__xludf.DUMMYFUNCTION("IMPORTRANGE(""https://docs.google.com/spreadsheets/d/1XL5vhW3sbDhbH9Cz0tuDiY8C3ctxq1tqvaCgkFb8cCA/edit?usp=sharing"",""ขอนแก่น!J386"")"),0)</f>
        <v>0</v>
      </c>
      <c r="AO35" s="55">
        <f ca="1">IFERROR(__xludf.DUMMYFUNCTION("IMPORTRANGE(""https://docs.google.com/spreadsheets/d/1XL5vhW3sbDhbH9Cz0tuDiY8C3ctxq1tqvaCgkFb8cCA/edit?usp=sharing"",""ขอนแก่น!J387"")"),0)</f>
        <v>0</v>
      </c>
      <c r="AP35" s="55">
        <f ca="1">IFERROR(__xludf.DUMMYFUNCTION("IMPORTRANGE(""https://docs.google.com/spreadsheets/d/1XL5vhW3sbDhbH9Cz0tuDiY8C3ctxq1tqvaCgkFb8cCA/edit?usp=sharing"",""ขอนแก่น!J388"")"),0)</f>
        <v>0</v>
      </c>
      <c r="AQ35" s="55">
        <f ca="1">IFERROR(__xludf.DUMMYFUNCTION("IMPORTRANGE(""https://docs.google.com/spreadsheets/d/1XL5vhW3sbDhbH9Cz0tuDiY8C3ctxq1tqvaCgkFb8cCA/edit?usp=sharing"",""ขอนแก่น!J389"")"),0)</f>
        <v>0</v>
      </c>
      <c r="AR35" s="402">
        <v>32</v>
      </c>
      <c r="AS35" s="402">
        <v>349</v>
      </c>
      <c r="AT35" s="402">
        <f t="shared" ca="1" si="89"/>
        <v>0</v>
      </c>
      <c r="AU35" s="402">
        <f t="shared" ca="1" si="12"/>
        <v>0</v>
      </c>
      <c r="AV35" s="402">
        <f t="shared" ca="1" si="90"/>
        <v>0</v>
      </c>
      <c r="AW35" s="402">
        <f t="shared" ca="1" si="13"/>
        <v>0</v>
      </c>
      <c r="AX35" s="55">
        <f ca="1">IFERROR(__xludf.DUMMYFUNCTION("IMPORTRANGE(""https://docs.google.com/spreadsheets/d/1XL5vhW3sbDhbH9Cz0tuDiY8C3ctxq1tqvaCgkFb8cCA/edit?usp=sharing"",""ขอนแก่น!J395"")"),0)</f>
        <v>0</v>
      </c>
      <c r="AY35" s="55">
        <f ca="1">IFERROR(__xludf.DUMMYFUNCTION("IMPORTRANGE(""https://docs.google.com/spreadsheets/d/1XL5vhW3sbDhbH9Cz0tuDiY8C3ctxq1tqvaCgkFb8cCA/edit?usp=sharing"",""ขอนแก่น!J396"")"),0)</f>
        <v>0</v>
      </c>
      <c r="AZ35" s="55">
        <f ca="1">IFERROR(__xludf.DUMMYFUNCTION("IMPORTRANGE(""https://docs.google.com/spreadsheets/d/1XL5vhW3sbDhbH9Cz0tuDiY8C3ctxq1tqvaCgkFb8cCA/edit?usp=sharing"",""ขอนแก่น!J397"")"),0)</f>
        <v>0</v>
      </c>
      <c r="BA35" s="55">
        <f ca="1">IFERROR(__xludf.DUMMYFUNCTION("IMPORTRANGE(""https://docs.google.com/spreadsheets/d/1XL5vhW3sbDhbH9Cz0tuDiY8C3ctxq1tqvaCgkFb8cCA/edit?usp=sharing"",""ขอนแก่น!J398"")"),0)</f>
        <v>0</v>
      </c>
      <c r="BB35" s="55">
        <f ca="1">IFERROR(__xludf.DUMMYFUNCTION("IMPORTRANGE(""https://docs.google.com/spreadsheets/d/1XL5vhW3sbDhbH9Cz0tuDiY8C3ctxq1tqvaCgkFb8cCA/edit?usp=sharing"",""ขอนแก่น!J399"")"),0)</f>
        <v>0</v>
      </c>
      <c r="BC35" s="55">
        <f ca="1">IFERROR(__xludf.DUMMYFUNCTION("IMPORTRANGE(""https://docs.google.com/spreadsheets/d/1XL5vhW3sbDhbH9Cz0tuDiY8C3ctxq1tqvaCgkFb8cCA/edit?usp=sharing"",""ขอนแก่น!J400"")"),0)</f>
        <v>0</v>
      </c>
      <c r="BD35" s="55">
        <f ca="1">IFERROR(__xludf.DUMMYFUNCTION("IMPORTRANGE(""https://docs.google.com/spreadsheets/d/1XL5vhW3sbDhbH9Cz0tuDiY8C3ctxq1tqvaCgkFb8cCA/edit?usp=sharing"",""ขอนแก่น!J403"")"),0)</f>
        <v>0</v>
      </c>
      <c r="BE35" s="55">
        <f ca="1">IFERROR(__xludf.DUMMYFUNCTION("IMPORTRANGE(""https://docs.google.com/spreadsheets/d/1XL5vhW3sbDhbH9Cz0tuDiY8C3ctxq1tqvaCgkFb8cCA/edit?usp=sharing"",""ขอนแก่น!J404"")"),0)</f>
        <v>0</v>
      </c>
      <c r="BF35" s="55">
        <f ca="1">IFERROR(__xludf.DUMMYFUNCTION("IMPORTRANGE(""https://docs.google.com/spreadsheets/d/1XL5vhW3sbDhbH9Cz0tuDiY8C3ctxq1tqvaCgkFb8cCA/edit?usp=sharing"",""ขอนแก่น!J405"")"),0)</f>
        <v>0</v>
      </c>
      <c r="BG35" s="55">
        <f ca="1">IFERROR(__xludf.DUMMYFUNCTION("IMPORTRANGE(""https://docs.google.com/spreadsheets/d/1XL5vhW3sbDhbH9Cz0tuDiY8C3ctxq1tqvaCgkFb8cCA/edit?usp=sharing"",""ขอนแก่น!J406"")"),0)</f>
        <v>0</v>
      </c>
      <c r="BH35" s="55">
        <f ca="1">IFERROR(__xludf.DUMMYFUNCTION("IMPORTRANGE(""https://docs.google.com/spreadsheets/d/1XL5vhW3sbDhbH9Cz0tuDiY8C3ctxq1tqvaCgkFb8cCA/edit?usp=sharing"",""ขอนแก่น!J407"")"),0)</f>
        <v>0</v>
      </c>
      <c r="BI35" s="55">
        <f ca="1">IFERROR(__xludf.DUMMYFUNCTION("IMPORTRANGE(""https://docs.google.com/spreadsheets/d/1XL5vhW3sbDhbH9Cz0tuDiY8C3ctxq1tqvaCgkFb8cCA/edit?usp=sharing"",""ขอนแก่น!J408"")"),0)</f>
        <v>0</v>
      </c>
      <c r="BJ35" s="402">
        <v>59181</v>
      </c>
      <c r="BK35" s="402">
        <v>6562</v>
      </c>
      <c r="BL35" s="402">
        <f t="shared" ca="1" si="91"/>
        <v>0</v>
      </c>
      <c r="BM35" s="403">
        <f t="shared" ca="1" si="15"/>
        <v>0</v>
      </c>
      <c r="BN35" s="402">
        <f t="shared" ca="1" si="92"/>
        <v>0</v>
      </c>
      <c r="BO35" s="403">
        <f t="shared" ca="1" si="16"/>
        <v>0</v>
      </c>
      <c r="BP35" s="55">
        <f ca="1">IFERROR(__xludf.DUMMYFUNCTION("IMPORTRANGE(""https://docs.google.com/spreadsheets/d/1XL5vhW3sbDhbH9Cz0tuDiY8C3ctxq1tqvaCgkFb8cCA/edit?usp=sharing"",""ขอนแก่น!J412"")"),0)</f>
        <v>0</v>
      </c>
      <c r="BQ35" s="55">
        <f ca="1">IFERROR(__xludf.DUMMYFUNCTION("IMPORTRANGE(""https://docs.google.com/spreadsheets/d/1XL5vhW3sbDhbH9Cz0tuDiY8C3ctxq1tqvaCgkFb8cCA/edit?usp=sharing"",""ขอนแก่น!J413"")"),0)</f>
        <v>0</v>
      </c>
      <c r="BR35" s="55">
        <f ca="1">IFERROR(__xludf.DUMMYFUNCTION("IMPORTRANGE(""https://docs.google.com/spreadsheets/d/1XL5vhW3sbDhbH9Cz0tuDiY8C3ctxq1tqvaCgkFb8cCA/edit?usp=sharing"",""ขอนแก่น!J414"")"),0)</f>
        <v>0</v>
      </c>
      <c r="BS35" s="55">
        <f ca="1">IFERROR(__xludf.DUMMYFUNCTION("IMPORTRANGE(""https://docs.google.com/spreadsheets/d/1XL5vhW3sbDhbH9Cz0tuDiY8C3ctxq1tqvaCgkFb8cCA/edit?usp=sharing"",""ขอนแก่น!J415"")"),0)</f>
        <v>0</v>
      </c>
      <c r="BT35" s="55">
        <f ca="1">IFERROR(__xludf.DUMMYFUNCTION("IMPORTRANGE(""https://docs.google.com/spreadsheets/d/1XL5vhW3sbDhbH9Cz0tuDiY8C3ctxq1tqvaCgkFb8cCA/edit?usp=sharing"",""ขอนแก่น!J416"")"),0)</f>
        <v>0</v>
      </c>
      <c r="BU35" s="55">
        <f ca="1">IFERROR(__xludf.DUMMYFUNCTION("IMPORTRANGE(""https://docs.google.com/spreadsheets/d/1XL5vhW3sbDhbH9Cz0tuDiY8C3ctxq1tqvaCgkFb8cCA/edit?usp=sharing"",""ขอนแก่น!J417"")"),0)</f>
        <v>0</v>
      </c>
      <c r="BV35" s="402">
        <f t="shared" ca="1" si="93"/>
        <v>0</v>
      </c>
      <c r="BW35" s="403">
        <f t="shared" ca="1" si="94"/>
        <v>0</v>
      </c>
      <c r="BX35" s="402">
        <f t="shared" ca="1" si="95"/>
        <v>0</v>
      </c>
      <c r="BY35" s="403">
        <f t="shared" ca="1" si="96"/>
        <v>0</v>
      </c>
      <c r="BZ35" s="55">
        <f ca="1">IFERROR(__xludf.DUMMYFUNCTION("IMPORTRANGE(""https://docs.google.com/spreadsheets/d/1XL5vhW3sbDhbH9Cz0tuDiY8C3ctxq1tqvaCgkFb8cCA/edit?usp=sharing"",""ขอนแก่น!J420"")"),0)</f>
        <v>0</v>
      </c>
      <c r="CA35" s="55">
        <f ca="1">IFERROR(__xludf.DUMMYFUNCTION("IMPORTRANGE(""https://docs.google.com/spreadsheets/d/1XL5vhW3sbDhbH9Cz0tuDiY8C3ctxq1tqvaCgkFb8cCA/edit?usp=sharing"",""ขอนแก่น!J421"")"),0)</f>
        <v>0</v>
      </c>
      <c r="CB35" s="55">
        <f ca="1">IFERROR(__xludf.DUMMYFUNCTION("IMPORTRANGE(""https://docs.google.com/spreadsheets/d/1XL5vhW3sbDhbH9Cz0tuDiY8C3ctxq1tqvaCgkFb8cCA/edit?usp=sharing"",""ขอนแก่น!J422"")"),0)</f>
        <v>0</v>
      </c>
      <c r="CC35" s="55">
        <f ca="1">IFERROR(__xludf.DUMMYFUNCTION("IMPORTRANGE(""https://docs.google.com/spreadsheets/d/1XL5vhW3sbDhbH9Cz0tuDiY8C3ctxq1tqvaCgkFb8cCA/edit?usp=sharing"",""ขอนแก่น!J423"")"),0)</f>
        <v>0</v>
      </c>
      <c r="CD35" s="55">
        <f ca="1">IFERROR(__xludf.DUMMYFUNCTION("IMPORTRANGE(""https://docs.google.com/spreadsheets/d/1XL5vhW3sbDhbH9Cz0tuDiY8C3ctxq1tqvaCgkFb8cCA/edit?usp=sharing"",""ขอนแก่น!J424"")"),0)</f>
        <v>0</v>
      </c>
      <c r="CE35" s="422">
        <f ca="1">IFERROR(__xludf.DUMMYFUNCTION("IMPORTRANGE(""https://docs.google.com/spreadsheets/d/1XL5vhW3sbDhbH9Cz0tuDiY8C3ctxq1tqvaCgkFb8cCA/edit?usp=sharing"",""ขอนแก่น!J425"")"),0)</f>
        <v>0</v>
      </c>
    </row>
    <row r="36" spans="1:83" ht="24" customHeight="1" x14ac:dyDescent="0.5">
      <c r="A36" s="273">
        <v>3</v>
      </c>
      <c r="B36" s="274" t="s">
        <v>51</v>
      </c>
      <c r="C36" s="400">
        <f t="shared" si="82"/>
        <v>613202.81999999995</v>
      </c>
      <c r="D36" s="55">
        <v>0</v>
      </c>
      <c r="E36" s="401">
        <v>613202.81999999995</v>
      </c>
      <c r="F36" s="99">
        <f ca="1">IFERROR(__xludf.DUMMYFUNCTION("IMPORTRANGE(""https://docs.google.com/spreadsheets/d/1XL5vhW3sbDhbH9Cz0tuDiY8C3ctxq1tqvaCgkFb8cCA/edit?usp=sharing"",""ชัยภูมิ!M352"")"),0)</f>
        <v>0</v>
      </c>
      <c r="G36" s="99">
        <f t="shared" ca="1" si="1"/>
        <v>0</v>
      </c>
      <c r="H36" s="57">
        <v>57198</v>
      </c>
      <c r="I36" s="57">
        <v>6678</v>
      </c>
      <c r="J36" s="55">
        <f t="shared" ca="1" si="83"/>
        <v>0</v>
      </c>
      <c r="K36" s="99">
        <f t="shared" ca="1" si="3"/>
        <v>0</v>
      </c>
      <c r="L36" s="55">
        <f t="shared" ca="1" si="84"/>
        <v>0</v>
      </c>
      <c r="M36" s="99">
        <f t="shared" ca="1" si="4"/>
        <v>0</v>
      </c>
      <c r="N36" s="55">
        <f ca="1">IFERROR(__xludf.DUMMYFUNCTION("IMPORTRANGE(""https://docs.google.com/spreadsheets/d/1XL5vhW3sbDhbH9Cz0tuDiY8C3ctxq1tqvaCgkFb8cCA/edit?usp=sharing"",""ชัยภูมิ!J362"")"),0)</f>
        <v>0</v>
      </c>
      <c r="O36" s="55">
        <f ca="1">IFERROR(__xludf.DUMMYFUNCTION("IMPORTRANGE(""https://docs.google.com/spreadsheets/d/1XL5vhW3sbDhbH9Cz0tuDiY8C3ctxq1tqvaCgkFb8cCA/edit?usp=sharing"",""ชัยภูมิ!J363"")"),0)</f>
        <v>0</v>
      </c>
      <c r="P36" s="55">
        <f ca="1">IFERROR(__xludf.DUMMYFUNCTION("IMPORTRANGE(""https://docs.google.com/spreadsheets/d/1XL5vhW3sbDhbH9Cz0tuDiY8C3ctxq1tqvaCgkFb8cCA/edit?usp=sharing"",""ชัยภูมิ!J364"")"),0)</f>
        <v>0</v>
      </c>
      <c r="Q36" s="55">
        <f ca="1">IFERROR(__xludf.DUMMYFUNCTION("IMPORTRANGE(""https://docs.google.com/spreadsheets/d/1XL5vhW3sbDhbH9Cz0tuDiY8C3ctxq1tqvaCgkFb8cCA/edit?usp=sharing"",""ชัยภูมิ!J365"")"),0)</f>
        <v>0</v>
      </c>
      <c r="R36" s="55">
        <f ca="1">IFERROR(__xludf.DUMMYFUNCTION("IMPORTRANGE(""https://docs.google.com/spreadsheets/d/1XL5vhW3sbDhbH9Cz0tuDiY8C3ctxq1tqvaCgkFb8cCA/edit?usp=sharing"",""ชัยภูมิ!J366"")"),0)</f>
        <v>0</v>
      </c>
      <c r="S36" s="55">
        <f ca="1">IFERROR(__xludf.DUMMYFUNCTION("IMPORTRANGE(""https://docs.google.com/spreadsheets/d/1XL5vhW3sbDhbH9Cz0tuDiY8C3ctxq1tqvaCgkFb8cCA/edit?usp=sharing"",""ชัยภูมิ!J367"")"),0)</f>
        <v>0</v>
      </c>
      <c r="T36" s="55">
        <f t="shared" ca="1" si="85"/>
        <v>0</v>
      </c>
      <c r="U36" s="55">
        <f t="shared" ca="1" si="6"/>
        <v>0</v>
      </c>
      <c r="V36" s="55">
        <f t="shared" ca="1" si="86"/>
        <v>0</v>
      </c>
      <c r="W36" s="55">
        <f t="shared" ca="1" si="7"/>
        <v>0</v>
      </c>
      <c r="X36" s="55">
        <f ca="1">IFERROR(__xludf.DUMMYFUNCTION("IMPORTRANGE(""https://docs.google.com/spreadsheets/d/1XL5vhW3sbDhbH9Cz0tuDiY8C3ctxq1tqvaCgkFb8cCA/edit?usp=sharing"",""ชัยภูมิ!J370"")"),0)</f>
        <v>0</v>
      </c>
      <c r="Y36" s="55">
        <f ca="1">IFERROR(__xludf.DUMMYFUNCTION("IMPORTRANGE(""https://docs.google.com/spreadsheets/d/1XL5vhW3sbDhbH9Cz0tuDiY8C3ctxq1tqvaCgkFb8cCA/edit?usp=sharing"",""ชัยภูมิ!J371"")"),0)</f>
        <v>0</v>
      </c>
      <c r="Z36" s="55">
        <f ca="1">IFERROR(__xludf.DUMMYFUNCTION("IMPORTRANGE(""https://docs.google.com/spreadsheets/d/1XL5vhW3sbDhbH9Cz0tuDiY8C3ctxq1tqvaCgkFb8cCA/edit?usp=sharing"",""ชัยภูมิ!J372"")"),0)</f>
        <v>0</v>
      </c>
      <c r="AA36" s="55">
        <f ca="1">IFERROR(__xludf.DUMMYFUNCTION("IMPORTRANGE(""https://docs.google.com/spreadsheets/d/1XL5vhW3sbDhbH9Cz0tuDiY8C3ctxq1tqvaCgkFb8cCA/edit?usp=sharing"",""ชัยภูมิ!J373"")"),0)</f>
        <v>0</v>
      </c>
      <c r="AB36" s="55">
        <f ca="1">IFERROR(__xludf.DUMMYFUNCTION("IMPORTRANGE(""https://docs.google.com/spreadsheets/d/1XL5vhW3sbDhbH9Cz0tuDiY8C3ctxq1tqvaCgkFb8cCA/edit?usp=sharing"",""ชัยภูมิ!J374"")"),0)</f>
        <v>0</v>
      </c>
      <c r="AC36" s="55">
        <f ca="1">IFERROR(__xludf.DUMMYFUNCTION("IMPORTRANGE(""https://docs.google.com/spreadsheets/d/1XL5vhW3sbDhbH9Cz0tuDiY8C3ctxq1tqvaCgkFb8cCA/edit?usp=sharing"",""ชัยภูมิ!J375"")"),0)</f>
        <v>0</v>
      </c>
      <c r="AD36" s="55">
        <f t="shared" ca="1" si="87"/>
        <v>0</v>
      </c>
      <c r="AE36" s="99">
        <f t="shared" ca="1" si="9"/>
        <v>0</v>
      </c>
      <c r="AF36" s="55">
        <f t="shared" ca="1" si="88"/>
        <v>0</v>
      </c>
      <c r="AG36" s="99">
        <f t="shared" ca="1" si="10"/>
        <v>0</v>
      </c>
      <c r="AH36" s="55">
        <f ca="1">IFERROR(__xludf.DUMMYFUNCTION("IMPORTRANGE(""https://docs.google.com/spreadsheets/d/1XL5vhW3sbDhbH9Cz0tuDiY8C3ctxq1tqvaCgkFb8cCA/edit?usp=sharing"",""ชัยภูมิ!J378"")"),0)</f>
        <v>0</v>
      </c>
      <c r="AI36" s="55">
        <f ca="1">IFERROR(__xludf.DUMMYFUNCTION("IMPORTRANGE(""https://docs.google.com/spreadsheets/d/1XL5vhW3sbDhbH9Cz0tuDiY8C3ctxq1tqvaCgkFb8cCA/edit?usp=sharing"",""ชัยภูมิ!J379"")"),0)</f>
        <v>0</v>
      </c>
      <c r="AJ36" s="55">
        <f ca="1">IFERROR(__xludf.DUMMYFUNCTION("IMPORTRANGE(""https://docs.google.com/spreadsheets/d/1XL5vhW3sbDhbH9Cz0tuDiY8C3ctxq1tqvaCgkFb8cCA/edit?usp=sharing"",""ชัยภูมิ!J380"")"),0)</f>
        <v>0</v>
      </c>
      <c r="AK36" s="55">
        <f ca="1">IFERROR(__xludf.DUMMYFUNCTION("IMPORTRANGE(""https://docs.google.com/spreadsheets/d/1XL5vhW3sbDhbH9Cz0tuDiY8C3ctxq1tqvaCgkFb8cCA/edit?usp=sharing"",""ชัยภูมิ!J381"")"),0)</f>
        <v>0</v>
      </c>
      <c r="AL36" s="55">
        <f ca="1">IFERROR(__xludf.DUMMYFUNCTION("IMPORTRANGE(""https://docs.google.com/spreadsheets/d/1XL5vhW3sbDhbH9Cz0tuDiY8C3ctxq1tqvaCgkFb8cCA/edit?usp=sharing"",""ชัยภูมิ!J384"")"),0)</f>
        <v>0</v>
      </c>
      <c r="AM36" s="55">
        <f ca="1">IFERROR(__xludf.DUMMYFUNCTION("IMPORTRANGE(""https://docs.google.com/spreadsheets/d/1XL5vhW3sbDhbH9Cz0tuDiY8C3ctxq1tqvaCgkFb8cCA/edit?usp=sharing"",""ชัยภูมิ!J385"")"),0)</f>
        <v>0</v>
      </c>
      <c r="AN36" s="55">
        <f ca="1">IFERROR(__xludf.DUMMYFUNCTION("IMPORTRANGE(""https://docs.google.com/spreadsheets/d/1XL5vhW3sbDhbH9Cz0tuDiY8C3ctxq1tqvaCgkFb8cCA/edit?usp=sharing"",""ชัยภูมิ!J386"")"),0)</f>
        <v>0</v>
      </c>
      <c r="AO36" s="55">
        <f ca="1">IFERROR(__xludf.DUMMYFUNCTION("IMPORTRANGE(""https://docs.google.com/spreadsheets/d/1XL5vhW3sbDhbH9Cz0tuDiY8C3ctxq1tqvaCgkFb8cCA/edit?usp=sharing"",""ชัยภูมิ!J387"")"),0)</f>
        <v>0</v>
      </c>
      <c r="AP36" s="55">
        <f ca="1">IFERROR(__xludf.DUMMYFUNCTION("IMPORTRANGE(""https://docs.google.com/spreadsheets/d/1XL5vhW3sbDhbH9Cz0tuDiY8C3ctxq1tqvaCgkFb8cCA/edit?usp=sharing"",""ชัยภูมิ!J388"")"),0)</f>
        <v>0</v>
      </c>
      <c r="AQ36" s="55">
        <f ca="1">IFERROR(__xludf.DUMMYFUNCTION("IMPORTRANGE(""https://docs.google.com/spreadsheets/d/1XL5vhW3sbDhbH9Cz0tuDiY8C3ctxq1tqvaCgkFb8cCA/edit?usp=sharing"",""ชัยภูมิ!J389"")"),0)</f>
        <v>0</v>
      </c>
      <c r="AR36" s="402">
        <v>161</v>
      </c>
      <c r="AS36" s="402">
        <v>1130</v>
      </c>
      <c r="AT36" s="402">
        <f t="shared" ca="1" si="89"/>
        <v>0</v>
      </c>
      <c r="AU36" s="402">
        <f t="shared" ca="1" si="12"/>
        <v>0</v>
      </c>
      <c r="AV36" s="402">
        <f t="shared" ca="1" si="90"/>
        <v>0</v>
      </c>
      <c r="AW36" s="402">
        <f t="shared" ca="1" si="13"/>
        <v>0</v>
      </c>
      <c r="AX36" s="55">
        <f ca="1">IFERROR(__xludf.DUMMYFUNCTION("IMPORTRANGE(""https://docs.google.com/spreadsheets/d/1XL5vhW3sbDhbH9Cz0tuDiY8C3ctxq1tqvaCgkFb8cCA/edit?usp=sharing"",""ชัยภูมิ!J395"")"),0)</f>
        <v>0</v>
      </c>
      <c r="AY36" s="55">
        <f ca="1">IFERROR(__xludf.DUMMYFUNCTION("IMPORTRANGE(""https://docs.google.com/spreadsheets/d/1XL5vhW3sbDhbH9Cz0tuDiY8C3ctxq1tqvaCgkFb8cCA/edit?usp=sharing"",""ชัยภูมิ!J396"")"),0)</f>
        <v>0</v>
      </c>
      <c r="AZ36" s="55">
        <f ca="1">IFERROR(__xludf.DUMMYFUNCTION("IMPORTRANGE(""https://docs.google.com/spreadsheets/d/1XL5vhW3sbDhbH9Cz0tuDiY8C3ctxq1tqvaCgkFb8cCA/edit?usp=sharing"",""ชัยภูมิ!J397"")"),0)</f>
        <v>0</v>
      </c>
      <c r="BA36" s="55">
        <f ca="1">IFERROR(__xludf.DUMMYFUNCTION("IMPORTRANGE(""https://docs.google.com/spreadsheets/d/1XL5vhW3sbDhbH9Cz0tuDiY8C3ctxq1tqvaCgkFb8cCA/edit?usp=sharing"",""ชัยภูมิ!J398"")"),0)</f>
        <v>0</v>
      </c>
      <c r="BB36" s="55">
        <f ca="1">IFERROR(__xludf.DUMMYFUNCTION("IMPORTRANGE(""https://docs.google.com/spreadsheets/d/1XL5vhW3sbDhbH9Cz0tuDiY8C3ctxq1tqvaCgkFb8cCA/edit?usp=sharing"",""ชัยภูมิ!J399"")"),0)</f>
        <v>0</v>
      </c>
      <c r="BC36" s="55">
        <f ca="1">IFERROR(__xludf.DUMMYFUNCTION("IMPORTRANGE(""https://docs.google.com/spreadsheets/d/1XL5vhW3sbDhbH9Cz0tuDiY8C3ctxq1tqvaCgkFb8cCA/edit?usp=sharing"",""ชัยภูมิ!J400"")"),0)</f>
        <v>0</v>
      </c>
      <c r="BD36" s="55">
        <f ca="1">IFERROR(__xludf.DUMMYFUNCTION("IMPORTRANGE(""https://docs.google.com/spreadsheets/d/1XL5vhW3sbDhbH9Cz0tuDiY8C3ctxq1tqvaCgkFb8cCA/edit?usp=sharing"",""ชัยภูมิ!J403"")"),0)</f>
        <v>0</v>
      </c>
      <c r="BE36" s="55">
        <f ca="1">IFERROR(__xludf.DUMMYFUNCTION("IMPORTRANGE(""https://docs.google.com/spreadsheets/d/1XL5vhW3sbDhbH9Cz0tuDiY8C3ctxq1tqvaCgkFb8cCA/edit?usp=sharing"",""ชัยภูมิ!J404"")"),0)</f>
        <v>0</v>
      </c>
      <c r="BF36" s="55">
        <f ca="1">IFERROR(__xludf.DUMMYFUNCTION("IMPORTRANGE(""https://docs.google.com/spreadsheets/d/1XL5vhW3sbDhbH9Cz0tuDiY8C3ctxq1tqvaCgkFb8cCA/edit?usp=sharing"",""ชัยภูมิ!J405"")"),0)</f>
        <v>0</v>
      </c>
      <c r="BG36" s="55">
        <f ca="1">IFERROR(__xludf.DUMMYFUNCTION("IMPORTRANGE(""https://docs.google.com/spreadsheets/d/1XL5vhW3sbDhbH9Cz0tuDiY8C3ctxq1tqvaCgkFb8cCA/edit?usp=sharing"",""ชัยภูมิ!J406"")"),0)</f>
        <v>0</v>
      </c>
      <c r="BH36" s="55">
        <f ca="1">IFERROR(__xludf.DUMMYFUNCTION("IMPORTRANGE(""https://docs.google.com/spreadsheets/d/1XL5vhW3sbDhbH9Cz0tuDiY8C3ctxq1tqvaCgkFb8cCA/edit?usp=sharing"",""ชัยภูมิ!J407"")"),0)</f>
        <v>0</v>
      </c>
      <c r="BI36" s="55">
        <f ca="1">IFERROR(__xludf.DUMMYFUNCTION("IMPORTRANGE(""https://docs.google.com/spreadsheets/d/1XL5vhW3sbDhbH9Cz0tuDiY8C3ctxq1tqvaCgkFb8cCA/edit?usp=sharing"",""ชัยภูมิ!J408"")"),0)</f>
        <v>0</v>
      </c>
      <c r="BJ36" s="402">
        <v>57198</v>
      </c>
      <c r="BK36" s="402">
        <v>6678</v>
      </c>
      <c r="BL36" s="402">
        <f t="shared" ca="1" si="91"/>
        <v>0</v>
      </c>
      <c r="BM36" s="403">
        <f t="shared" ca="1" si="15"/>
        <v>0</v>
      </c>
      <c r="BN36" s="402">
        <f t="shared" ca="1" si="92"/>
        <v>0</v>
      </c>
      <c r="BO36" s="403">
        <f t="shared" ca="1" si="16"/>
        <v>0</v>
      </c>
      <c r="BP36" s="55">
        <f ca="1">IFERROR(__xludf.DUMMYFUNCTION("IMPORTRANGE(""https://docs.google.com/spreadsheets/d/1XL5vhW3sbDhbH9Cz0tuDiY8C3ctxq1tqvaCgkFb8cCA/edit?usp=sharing"",""ชัยภูมิ!J412"")"),0)</f>
        <v>0</v>
      </c>
      <c r="BQ36" s="55">
        <f ca="1">IFERROR(__xludf.DUMMYFUNCTION("IMPORTRANGE(""https://docs.google.com/spreadsheets/d/1XL5vhW3sbDhbH9Cz0tuDiY8C3ctxq1tqvaCgkFb8cCA/edit?usp=sharing"",""ชัยภูมิ!J413"")"),0)</f>
        <v>0</v>
      </c>
      <c r="BR36" s="55">
        <f ca="1">IFERROR(__xludf.DUMMYFUNCTION("IMPORTRANGE(""https://docs.google.com/spreadsheets/d/1XL5vhW3sbDhbH9Cz0tuDiY8C3ctxq1tqvaCgkFb8cCA/edit?usp=sharing"",""ชัยภูมิ!J414"")"),0)</f>
        <v>0</v>
      </c>
      <c r="BS36" s="55">
        <f ca="1">IFERROR(__xludf.DUMMYFUNCTION("IMPORTRANGE(""https://docs.google.com/spreadsheets/d/1XL5vhW3sbDhbH9Cz0tuDiY8C3ctxq1tqvaCgkFb8cCA/edit?usp=sharing"",""ชัยภูมิ!J415"")"),0)</f>
        <v>0</v>
      </c>
      <c r="BT36" s="55">
        <f ca="1">IFERROR(__xludf.DUMMYFUNCTION("IMPORTRANGE(""https://docs.google.com/spreadsheets/d/1XL5vhW3sbDhbH9Cz0tuDiY8C3ctxq1tqvaCgkFb8cCA/edit?usp=sharing"",""ชัยภูมิ!J416"")"),0)</f>
        <v>0</v>
      </c>
      <c r="BU36" s="55">
        <f ca="1">IFERROR(__xludf.DUMMYFUNCTION("IMPORTRANGE(""https://docs.google.com/spreadsheets/d/1XL5vhW3sbDhbH9Cz0tuDiY8C3ctxq1tqvaCgkFb8cCA/edit?usp=sharing"",""ชัยภูมิ!J417"")"),0)</f>
        <v>0</v>
      </c>
      <c r="BV36" s="402">
        <f t="shared" ca="1" si="93"/>
        <v>0</v>
      </c>
      <c r="BW36" s="403">
        <f t="shared" ca="1" si="94"/>
        <v>0</v>
      </c>
      <c r="BX36" s="402">
        <f t="shared" ca="1" si="95"/>
        <v>0</v>
      </c>
      <c r="BY36" s="403">
        <f t="shared" ca="1" si="96"/>
        <v>0</v>
      </c>
      <c r="BZ36" s="55">
        <f ca="1">IFERROR(__xludf.DUMMYFUNCTION("IMPORTRANGE(""https://docs.google.com/spreadsheets/d/1XL5vhW3sbDhbH9Cz0tuDiY8C3ctxq1tqvaCgkFb8cCA/edit?usp=sharing"",""ชัยภูมิ!J420"")"),0)</f>
        <v>0</v>
      </c>
      <c r="CA36" s="55">
        <f ca="1">IFERROR(__xludf.DUMMYFUNCTION("IMPORTRANGE(""https://docs.google.com/spreadsheets/d/1XL5vhW3sbDhbH9Cz0tuDiY8C3ctxq1tqvaCgkFb8cCA/edit?usp=sharing"",""ชัยภูมิ!J421"")"),0)</f>
        <v>0</v>
      </c>
      <c r="CB36" s="55">
        <f ca="1">IFERROR(__xludf.DUMMYFUNCTION("IMPORTRANGE(""https://docs.google.com/spreadsheets/d/1XL5vhW3sbDhbH9Cz0tuDiY8C3ctxq1tqvaCgkFb8cCA/edit?usp=sharing"",""ชัยภูมิ!J422"")"),0)</f>
        <v>0</v>
      </c>
      <c r="CC36" s="55">
        <f ca="1">IFERROR(__xludf.DUMMYFUNCTION("IMPORTRANGE(""https://docs.google.com/spreadsheets/d/1XL5vhW3sbDhbH9Cz0tuDiY8C3ctxq1tqvaCgkFb8cCA/edit?usp=sharing"",""ชัยภูมิ!J423"")"),0)</f>
        <v>0</v>
      </c>
      <c r="CD36" s="55">
        <f ca="1">IFERROR(__xludf.DUMMYFUNCTION("IMPORTRANGE(""https://docs.google.com/spreadsheets/d/1XL5vhW3sbDhbH9Cz0tuDiY8C3ctxq1tqvaCgkFb8cCA/edit?usp=sharing"",""ชัยภูมิ!J424"")"),0)</f>
        <v>0</v>
      </c>
      <c r="CE36" s="422">
        <f ca="1">IFERROR(__xludf.DUMMYFUNCTION("IMPORTRANGE(""https://docs.google.com/spreadsheets/d/1XL5vhW3sbDhbH9Cz0tuDiY8C3ctxq1tqvaCgkFb8cCA/edit?usp=sharing"",""ชัยภูมิ!J425"")"),0)</f>
        <v>0</v>
      </c>
    </row>
    <row r="37" spans="1:83" ht="24" customHeight="1" x14ac:dyDescent="0.5">
      <c r="A37" s="273">
        <v>4</v>
      </c>
      <c r="B37" s="274" t="s">
        <v>52</v>
      </c>
      <c r="C37" s="400">
        <f t="shared" si="82"/>
        <v>273699.17</v>
      </c>
      <c r="D37" s="55">
        <v>0</v>
      </c>
      <c r="E37" s="401">
        <v>273699.17</v>
      </c>
      <c r="F37" s="99">
        <f ca="1">IFERROR(__xludf.DUMMYFUNCTION("IMPORTRANGE(""https://docs.google.com/spreadsheets/d/1XL5vhW3sbDhbH9Cz0tuDiY8C3ctxq1tqvaCgkFb8cCA/edit?usp=sharing"",""นครพนม!M352"")"),0)</f>
        <v>0</v>
      </c>
      <c r="G37" s="99">
        <f t="shared" ca="1" si="1"/>
        <v>0</v>
      </c>
      <c r="H37" s="57">
        <v>28610</v>
      </c>
      <c r="I37" s="57">
        <v>2630</v>
      </c>
      <c r="J37" s="55">
        <f t="shared" ca="1" si="83"/>
        <v>0</v>
      </c>
      <c r="K37" s="99">
        <f t="shared" ca="1" si="3"/>
        <v>0</v>
      </c>
      <c r="L37" s="55">
        <f t="shared" ca="1" si="84"/>
        <v>0</v>
      </c>
      <c r="M37" s="99">
        <f t="shared" ca="1" si="4"/>
        <v>0</v>
      </c>
      <c r="N37" s="55">
        <f ca="1">IFERROR(__xludf.DUMMYFUNCTION("IMPORTRANGE(""https://docs.google.com/spreadsheets/d/1XL5vhW3sbDhbH9Cz0tuDiY8C3ctxq1tqvaCgkFb8cCA/edit?usp=sharing"",""นครพนม!J362"")"),0)</f>
        <v>0</v>
      </c>
      <c r="O37" s="55">
        <f ca="1">IFERROR(__xludf.DUMMYFUNCTION("IMPORTRANGE(""https://docs.google.com/spreadsheets/d/1XL5vhW3sbDhbH9Cz0tuDiY8C3ctxq1tqvaCgkFb8cCA/edit?usp=sharing"",""นครพนม!J363"")"),0)</f>
        <v>0</v>
      </c>
      <c r="P37" s="55">
        <f ca="1">IFERROR(__xludf.DUMMYFUNCTION("IMPORTRANGE(""https://docs.google.com/spreadsheets/d/1XL5vhW3sbDhbH9Cz0tuDiY8C3ctxq1tqvaCgkFb8cCA/edit?usp=sharing"",""นครพนม!J364"")"),0)</f>
        <v>0</v>
      </c>
      <c r="Q37" s="55">
        <f ca="1">IFERROR(__xludf.DUMMYFUNCTION("IMPORTRANGE(""https://docs.google.com/spreadsheets/d/1XL5vhW3sbDhbH9Cz0tuDiY8C3ctxq1tqvaCgkFb8cCA/edit?usp=sharing"",""นครพนม!J365"")"),0)</f>
        <v>0</v>
      </c>
      <c r="R37" s="55">
        <f ca="1">IFERROR(__xludf.DUMMYFUNCTION("IMPORTRANGE(""https://docs.google.com/spreadsheets/d/1XL5vhW3sbDhbH9Cz0tuDiY8C3ctxq1tqvaCgkFb8cCA/edit?usp=sharing"",""นครพนม!J366"")"),0)</f>
        <v>0</v>
      </c>
      <c r="S37" s="55">
        <f ca="1">IFERROR(__xludf.DUMMYFUNCTION("IMPORTRANGE(""https://docs.google.com/spreadsheets/d/1XL5vhW3sbDhbH9Cz0tuDiY8C3ctxq1tqvaCgkFb8cCA/edit?usp=sharing"",""นครพนม!J367"")"),0)</f>
        <v>0</v>
      </c>
      <c r="T37" s="55">
        <f t="shared" ca="1" si="85"/>
        <v>0</v>
      </c>
      <c r="U37" s="55">
        <f t="shared" ca="1" si="6"/>
        <v>0</v>
      </c>
      <c r="V37" s="55">
        <f t="shared" ca="1" si="86"/>
        <v>0</v>
      </c>
      <c r="W37" s="55">
        <f t="shared" ca="1" si="7"/>
        <v>0</v>
      </c>
      <c r="X37" s="55">
        <f ca="1">IFERROR(__xludf.DUMMYFUNCTION("IMPORTRANGE(""https://docs.google.com/spreadsheets/d/1XL5vhW3sbDhbH9Cz0tuDiY8C3ctxq1tqvaCgkFb8cCA/edit?usp=sharing"",""นครพนม!J370"")"),0)</f>
        <v>0</v>
      </c>
      <c r="Y37" s="55">
        <f ca="1">IFERROR(__xludf.DUMMYFUNCTION("IMPORTRANGE(""https://docs.google.com/spreadsheets/d/1XL5vhW3sbDhbH9Cz0tuDiY8C3ctxq1tqvaCgkFb8cCA/edit?usp=sharing"",""นครพนม!J371"")"),0)</f>
        <v>0</v>
      </c>
      <c r="Z37" s="55">
        <f ca="1">IFERROR(__xludf.DUMMYFUNCTION("IMPORTRANGE(""https://docs.google.com/spreadsheets/d/1XL5vhW3sbDhbH9Cz0tuDiY8C3ctxq1tqvaCgkFb8cCA/edit?usp=sharing"",""นครพนม!J372"")"),0)</f>
        <v>0</v>
      </c>
      <c r="AA37" s="55">
        <f ca="1">IFERROR(__xludf.DUMMYFUNCTION("IMPORTRANGE(""https://docs.google.com/spreadsheets/d/1XL5vhW3sbDhbH9Cz0tuDiY8C3ctxq1tqvaCgkFb8cCA/edit?usp=sharing"",""นครพนม!J373"")"),0)</f>
        <v>0</v>
      </c>
      <c r="AB37" s="55">
        <f ca="1">IFERROR(__xludf.DUMMYFUNCTION("IMPORTRANGE(""https://docs.google.com/spreadsheets/d/1XL5vhW3sbDhbH9Cz0tuDiY8C3ctxq1tqvaCgkFb8cCA/edit?usp=sharing"",""นครพนม!J374"")"),0)</f>
        <v>0</v>
      </c>
      <c r="AC37" s="55">
        <f ca="1">IFERROR(__xludf.DUMMYFUNCTION("IMPORTRANGE(""https://docs.google.com/spreadsheets/d/1XL5vhW3sbDhbH9Cz0tuDiY8C3ctxq1tqvaCgkFb8cCA/edit?usp=sharing"",""นครพนม!J375"")"),0)</f>
        <v>0</v>
      </c>
      <c r="AD37" s="55">
        <f t="shared" ca="1" si="87"/>
        <v>0</v>
      </c>
      <c r="AE37" s="99">
        <f t="shared" ca="1" si="9"/>
        <v>0</v>
      </c>
      <c r="AF37" s="55">
        <f t="shared" ca="1" si="88"/>
        <v>0</v>
      </c>
      <c r="AG37" s="99">
        <f t="shared" ca="1" si="10"/>
        <v>0</v>
      </c>
      <c r="AH37" s="55">
        <f ca="1">IFERROR(__xludf.DUMMYFUNCTION("IMPORTRANGE(""https://docs.google.com/spreadsheets/d/1XL5vhW3sbDhbH9Cz0tuDiY8C3ctxq1tqvaCgkFb8cCA/edit?usp=sharing"",""นครพนม!J378"")"),0)</f>
        <v>0</v>
      </c>
      <c r="AI37" s="55">
        <f ca="1">IFERROR(__xludf.DUMMYFUNCTION("IMPORTRANGE(""https://docs.google.com/spreadsheets/d/1XL5vhW3sbDhbH9Cz0tuDiY8C3ctxq1tqvaCgkFb8cCA/edit?usp=sharing"",""นครพนม!J379"")"),0)</f>
        <v>0</v>
      </c>
      <c r="AJ37" s="55">
        <f ca="1">IFERROR(__xludf.DUMMYFUNCTION("IMPORTRANGE(""https://docs.google.com/spreadsheets/d/1XL5vhW3sbDhbH9Cz0tuDiY8C3ctxq1tqvaCgkFb8cCA/edit?usp=sharing"",""นครพนม!J380"")"),0)</f>
        <v>0</v>
      </c>
      <c r="AK37" s="55">
        <f ca="1">IFERROR(__xludf.DUMMYFUNCTION("IMPORTRANGE(""https://docs.google.com/spreadsheets/d/1XL5vhW3sbDhbH9Cz0tuDiY8C3ctxq1tqvaCgkFb8cCA/edit?usp=sharing"",""นครพนม!J381"")"),0)</f>
        <v>0</v>
      </c>
      <c r="AL37" s="55">
        <f ca="1">IFERROR(__xludf.DUMMYFUNCTION("IMPORTRANGE(""https://docs.google.com/spreadsheets/d/1XL5vhW3sbDhbH9Cz0tuDiY8C3ctxq1tqvaCgkFb8cCA/edit?usp=sharing"",""นครพนม!J384"")"),0)</f>
        <v>0</v>
      </c>
      <c r="AM37" s="55">
        <f ca="1">IFERROR(__xludf.DUMMYFUNCTION("IMPORTRANGE(""https://docs.google.com/spreadsheets/d/1XL5vhW3sbDhbH9Cz0tuDiY8C3ctxq1tqvaCgkFb8cCA/edit?usp=sharing"",""นครพนม!J385"")"),0)</f>
        <v>0</v>
      </c>
      <c r="AN37" s="55">
        <f ca="1">IFERROR(__xludf.DUMMYFUNCTION("IMPORTRANGE(""https://docs.google.com/spreadsheets/d/1XL5vhW3sbDhbH9Cz0tuDiY8C3ctxq1tqvaCgkFb8cCA/edit?usp=sharing"",""นครพนม!J386"")"),0)</f>
        <v>0</v>
      </c>
      <c r="AO37" s="55">
        <f ca="1">IFERROR(__xludf.DUMMYFUNCTION("IMPORTRANGE(""https://docs.google.com/spreadsheets/d/1XL5vhW3sbDhbH9Cz0tuDiY8C3ctxq1tqvaCgkFb8cCA/edit?usp=sharing"",""นครพนม!J387"")"),0)</f>
        <v>0</v>
      </c>
      <c r="AP37" s="55">
        <f ca="1">IFERROR(__xludf.DUMMYFUNCTION("IMPORTRANGE(""https://docs.google.com/spreadsheets/d/1XL5vhW3sbDhbH9Cz0tuDiY8C3ctxq1tqvaCgkFb8cCA/edit?usp=sharing"",""นครพนม!J388"")"),0)</f>
        <v>0</v>
      </c>
      <c r="AQ37" s="55">
        <f ca="1">IFERROR(__xludf.DUMMYFUNCTION("IMPORTRANGE(""https://docs.google.com/spreadsheets/d/1XL5vhW3sbDhbH9Cz0tuDiY8C3ctxq1tqvaCgkFb8cCA/edit?usp=sharing"",""นครพนม!J389"")"),0)</f>
        <v>0</v>
      </c>
      <c r="AR37" s="402">
        <v>268</v>
      </c>
      <c r="AS37" s="402">
        <v>2079</v>
      </c>
      <c r="AT37" s="402">
        <f t="shared" ca="1" si="89"/>
        <v>0</v>
      </c>
      <c r="AU37" s="402">
        <f t="shared" ca="1" si="12"/>
        <v>0</v>
      </c>
      <c r="AV37" s="402">
        <f t="shared" ca="1" si="90"/>
        <v>0</v>
      </c>
      <c r="AW37" s="402">
        <f t="shared" ca="1" si="13"/>
        <v>0</v>
      </c>
      <c r="AX37" s="55">
        <f ca="1">IFERROR(__xludf.DUMMYFUNCTION("IMPORTRANGE(""https://docs.google.com/spreadsheets/d/1XL5vhW3sbDhbH9Cz0tuDiY8C3ctxq1tqvaCgkFb8cCA/edit?usp=sharing"",""นครพนม!J395"")"),0)</f>
        <v>0</v>
      </c>
      <c r="AY37" s="55">
        <f ca="1">IFERROR(__xludf.DUMMYFUNCTION("IMPORTRANGE(""https://docs.google.com/spreadsheets/d/1XL5vhW3sbDhbH9Cz0tuDiY8C3ctxq1tqvaCgkFb8cCA/edit?usp=sharing"",""นครพนม!J396"")"),0)</f>
        <v>0</v>
      </c>
      <c r="AZ37" s="55">
        <f ca="1">IFERROR(__xludf.DUMMYFUNCTION("IMPORTRANGE(""https://docs.google.com/spreadsheets/d/1XL5vhW3sbDhbH9Cz0tuDiY8C3ctxq1tqvaCgkFb8cCA/edit?usp=sharing"",""นครพนม!J397"")"),0)</f>
        <v>0</v>
      </c>
      <c r="BA37" s="55">
        <f ca="1">IFERROR(__xludf.DUMMYFUNCTION("IMPORTRANGE(""https://docs.google.com/spreadsheets/d/1XL5vhW3sbDhbH9Cz0tuDiY8C3ctxq1tqvaCgkFb8cCA/edit?usp=sharing"",""นครพนม!J398"")"),0)</f>
        <v>0</v>
      </c>
      <c r="BB37" s="55">
        <f ca="1">IFERROR(__xludf.DUMMYFUNCTION("IMPORTRANGE(""https://docs.google.com/spreadsheets/d/1XL5vhW3sbDhbH9Cz0tuDiY8C3ctxq1tqvaCgkFb8cCA/edit?usp=sharing"",""นครพนม!J399"")"),0)</f>
        <v>0</v>
      </c>
      <c r="BC37" s="55">
        <f ca="1">IFERROR(__xludf.DUMMYFUNCTION("IMPORTRANGE(""https://docs.google.com/spreadsheets/d/1XL5vhW3sbDhbH9Cz0tuDiY8C3ctxq1tqvaCgkFb8cCA/edit?usp=sharing"",""นครพนม!J400"")"),0)</f>
        <v>0</v>
      </c>
      <c r="BD37" s="55">
        <f ca="1">IFERROR(__xludf.DUMMYFUNCTION("IMPORTRANGE(""https://docs.google.com/spreadsheets/d/1XL5vhW3sbDhbH9Cz0tuDiY8C3ctxq1tqvaCgkFb8cCA/edit?usp=sharing"",""นครพนม!J403"")"),0)</f>
        <v>0</v>
      </c>
      <c r="BE37" s="55">
        <f ca="1">IFERROR(__xludf.DUMMYFUNCTION("IMPORTRANGE(""https://docs.google.com/spreadsheets/d/1XL5vhW3sbDhbH9Cz0tuDiY8C3ctxq1tqvaCgkFb8cCA/edit?usp=sharing"",""นครพนม!J404"")"),0)</f>
        <v>0</v>
      </c>
      <c r="BF37" s="55">
        <f ca="1">IFERROR(__xludf.DUMMYFUNCTION("IMPORTRANGE(""https://docs.google.com/spreadsheets/d/1XL5vhW3sbDhbH9Cz0tuDiY8C3ctxq1tqvaCgkFb8cCA/edit?usp=sharing"",""นครพนม!J405"")"),0)</f>
        <v>0</v>
      </c>
      <c r="BG37" s="55">
        <f ca="1">IFERROR(__xludf.DUMMYFUNCTION("IMPORTRANGE(""https://docs.google.com/spreadsheets/d/1XL5vhW3sbDhbH9Cz0tuDiY8C3ctxq1tqvaCgkFb8cCA/edit?usp=sharing"",""นครพนม!J406"")"),0)</f>
        <v>0</v>
      </c>
      <c r="BH37" s="55">
        <f ca="1">IFERROR(__xludf.DUMMYFUNCTION("IMPORTRANGE(""https://docs.google.com/spreadsheets/d/1XL5vhW3sbDhbH9Cz0tuDiY8C3ctxq1tqvaCgkFb8cCA/edit?usp=sharing"",""นครพนม!J407"")"),0)</f>
        <v>0</v>
      </c>
      <c r="BI37" s="55">
        <f ca="1">IFERROR(__xludf.DUMMYFUNCTION("IMPORTRANGE(""https://docs.google.com/spreadsheets/d/1XL5vhW3sbDhbH9Cz0tuDiY8C3ctxq1tqvaCgkFb8cCA/edit?usp=sharing"",""นครพนม!J408"")"),0)</f>
        <v>0</v>
      </c>
      <c r="BJ37" s="402">
        <v>28610</v>
      </c>
      <c r="BK37" s="402">
        <v>2630</v>
      </c>
      <c r="BL37" s="402">
        <f t="shared" ca="1" si="91"/>
        <v>0</v>
      </c>
      <c r="BM37" s="403">
        <f t="shared" ca="1" si="15"/>
        <v>0</v>
      </c>
      <c r="BN37" s="402">
        <f t="shared" ca="1" si="92"/>
        <v>0</v>
      </c>
      <c r="BO37" s="403">
        <f t="shared" ca="1" si="16"/>
        <v>0</v>
      </c>
      <c r="BP37" s="55">
        <f ca="1">IFERROR(__xludf.DUMMYFUNCTION("IMPORTRANGE(""https://docs.google.com/spreadsheets/d/1XL5vhW3sbDhbH9Cz0tuDiY8C3ctxq1tqvaCgkFb8cCA/edit?usp=sharing"",""นครพนม!J412"")"),0)</f>
        <v>0</v>
      </c>
      <c r="BQ37" s="55">
        <f ca="1">IFERROR(__xludf.DUMMYFUNCTION("IMPORTRANGE(""https://docs.google.com/spreadsheets/d/1XL5vhW3sbDhbH9Cz0tuDiY8C3ctxq1tqvaCgkFb8cCA/edit?usp=sharing"",""นครพนม!J413"")"),0)</f>
        <v>0</v>
      </c>
      <c r="BR37" s="55">
        <f ca="1">IFERROR(__xludf.DUMMYFUNCTION("IMPORTRANGE(""https://docs.google.com/spreadsheets/d/1XL5vhW3sbDhbH9Cz0tuDiY8C3ctxq1tqvaCgkFb8cCA/edit?usp=sharing"",""นครพนม!J414"")"),0)</f>
        <v>0</v>
      </c>
      <c r="BS37" s="55">
        <f ca="1">IFERROR(__xludf.DUMMYFUNCTION("IMPORTRANGE(""https://docs.google.com/spreadsheets/d/1XL5vhW3sbDhbH9Cz0tuDiY8C3ctxq1tqvaCgkFb8cCA/edit?usp=sharing"",""นครพนม!J415"")"),0)</f>
        <v>0</v>
      </c>
      <c r="BT37" s="55">
        <f ca="1">IFERROR(__xludf.DUMMYFUNCTION("IMPORTRANGE(""https://docs.google.com/spreadsheets/d/1XL5vhW3sbDhbH9Cz0tuDiY8C3ctxq1tqvaCgkFb8cCA/edit?usp=sharing"",""นครพนม!J416"")"),0)</f>
        <v>0</v>
      </c>
      <c r="BU37" s="55">
        <f ca="1">IFERROR(__xludf.DUMMYFUNCTION("IMPORTRANGE(""https://docs.google.com/spreadsheets/d/1XL5vhW3sbDhbH9Cz0tuDiY8C3ctxq1tqvaCgkFb8cCA/edit?usp=sharing"",""นครพนม!J417"")"),0)</f>
        <v>0</v>
      </c>
      <c r="BV37" s="402">
        <f t="shared" ca="1" si="93"/>
        <v>0</v>
      </c>
      <c r="BW37" s="403">
        <f t="shared" ca="1" si="94"/>
        <v>0</v>
      </c>
      <c r="BX37" s="402">
        <f t="shared" ca="1" si="95"/>
        <v>0</v>
      </c>
      <c r="BY37" s="403">
        <f t="shared" ca="1" si="96"/>
        <v>0</v>
      </c>
      <c r="BZ37" s="55">
        <f ca="1">IFERROR(__xludf.DUMMYFUNCTION("IMPORTRANGE(""https://docs.google.com/spreadsheets/d/1XL5vhW3sbDhbH9Cz0tuDiY8C3ctxq1tqvaCgkFb8cCA/edit?usp=sharing"",""นครพนม!J420"")"),0)</f>
        <v>0</v>
      </c>
      <c r="CA37" s="55">
        <f ca="1">IFERROR(__xludf.DUMMYFUNCTION("IMPORTRANGE(""https://docs.google.com/spreadsheets/d/1XL5vhW3sbDhbH9Cz0tuDiY8C3ctxq1tqvaCgkFb8cCA/edit?usp=sharing"",""นครพนม!J421"")"),0)</f>
        <v>0</v>
      </c>
      <c r="CB37" s="55">
        <f ca="1">IFERROR(__xludf.DUMMYFUNCTION("IMPORTRANGE(""https://docs.google.com/spreadsheets/d/1XL5vhW3sbDhbH9Cz0tuDiY8C3ctxq1tqvaCgkFb8cCA/edit?usp=sharing"",""นครพนม!J422"")"),0)</f>
        <v>0</v>
      </c>
      <c r="CC37" s="55">
        <f ca="1">IFERROR(__xludf.DUMMYFUNCTION("IMPORTRANGE(""https://docs.google.com/spreadsheets/d/1XL5vhW3sbDhbH9Cz0tuDiY8C3ctxq1tqvaCgkFb8cCA/edit?usp=sharing"",""นครพนม!J423"")"),0)</f>
        <v>0</v>
      </c>
      <c r="CD37" s="55">
        <f ca="1">IFERROR(__xludf.DUMMYFUNCTION("IMPORTRANGE(""https://docs.google.com/spreadsheets/d/1XL5vhW3sbDhbH9Cz0tuDiY8C3ctxq1tqvaCgkFb8cCA/edit?usp=sharing"",""นครพนม!J424"")"),0)</f>
        <v>0</v>
      </c>
      <c r="CE37" s="422">
        <f ca="1">IFERROR(__xludf.DUMMYFUNCTION("IMPORTRANGE(""https://docs.google.com/spreadsheets/d/1XL5vhW3sbDhbH9Cz0tuDiY8C3ctxq1tqvaCgkFb8cCA/edit?usp=sharing"",""นครพนม!J425"")"),0)</f>
        <v>0</v>
      </c>
    </row>
    <row r="38" spans="1:83" ht="24" customHeight="1" x14ac:dyDescent="0.5">
      <c r="A38" s="273">
        <v>5</v>
      </c>
      <c r="B38" s="274" t="s">
        <v>53</v>
      </c>
      <c r="C38" s="400">
        <f t="shared" si="82"/>
        <v>607341.28</v>
      </c>
      <c r="D38" s="55">
        <v>0</v>
      </c>
      <c r="E38" s="401">
        <v>607341.28</v>
      </c>
      <c r="F38" s="99">
        <f ca="1">IFERROR(__xludf.DUMMYFUNCTION("IMPORTRANGE(""https://docs.google.com/spreadsheets/d/1XL5vhW3sbDhbH9Cz0tuDiY8C3ctxq1tqvaCgkFb8cCA/edit?usp=sharing"",""นครราชสีมา!M352"")"),0)</f>
        <v>0</v>
      </c>
      <c r="G38" s="99">
        <f t="shared" ca="1" si="1"/>
        <v>0</v>
      </c>
      <c r="H38" s="57">
        <v>55907</v>
      </c>
      <c r="I38" s="57">
        <v>6719</v>
      </c>
      <c r="J38" s="55">
        <f t="shared" ca="1" si="83"/>
        <v>0</v>
      </c>
      <c r="K38" s="99">
        <f t="shared" ca="1" si="3"/>
        <v>0</v>
      </c>
      <c r="L38" s="55">
        <f t="shared" ca="1" si="84"/>
        <v>0</v>
      </c>
      <c r="M38" s="99">
        <f t="shared" ca="1" si="4"/>
        <v>0</v>
      </c>
      <c r="N38" s="55">
        <f ca="1">IFERROR(__xludf.DUMMYFUNCTION("IMPORTRANGE(""https://docs.google.com/spreadsheets/d/1XL5vhW3sbDhbH9Cz0tuDiY8C3ctxq1tqvaCgkFb8cCA/edit?usp=sharing"",""นครราชสีมา!J362"")"),0)</f>
        <v>0</v>
      </c>
      <c r="O38" s="55">
        <f ca="1">IFERROR(__xludf.DUMMYFUNCTION("IMPORTRANGE(""https://docs.google.com/spreadsheets/d/1XL5vhW3sbDhbH9Cz0tuDiY8C3ctxq1tqvaCgkFb8cCA/edit?usp=sharing"",""นครราชสีมา!J363"")"),0)</f>
        <v>0</v>
      </c>
      <c r="P38" s="55">
        <f ca="1">IFERROR(__xludf.DUMMYFUNCTION("IMPORTRANGE(""https://docs.google.com/spreadsheets/d/1XL5vhW3sbDhbH9Cz0tuDiY8C3ctxq1tqvaCgkFb8cCA/edit?usp=sharing"",""นครราชสีมา!J364"")"),0)</f>
        <v>0</v>
      </c>
      <c r="Q38" s="55">
        <f ca="1">IFERROR(__xludf.DUMMYFUNCTION("IMPORTRANGE(""https://docs.google.com/spreadsheets/d/1XL5vhW3sbDhbH9Cz0tuDiY8C3ctxq1tqvaCgkFb8cCA/edit?usp=sharing"",""นครราชสีมา!J365"")"),0)</f>
        <v>0</v>
      </c>
      <c r="R38" s="55">
        <f ca="1">IFERROR(__xludf.DUMMYFUNCTION("IMPORTRANGE(""https://docs.google.com/spreadsheets/d/1XL5vhW3sbDhbH9Cz0tuDiY8C3ctxq1tqvaCgkFb8cCA/edit?usp=sharing"",""นครราชสีมา!J366"")"),0)</f>
        <v>0</v>
      </c>
      <c r="S38" s="55">
        <f ca="1">IFERROR(__xludf.DUMMYFUNCTION("IMPORTRANGE(""https://docs.google.com/spreadsheets/d/1XL5vhW3sbDhbH9Cz0tuDiY8C3ctxq1tqvaCgkFb8cCA/edit?usp=sharing"",""นครราชสีมา!J367"")"),0)</f>
        <v>0</v>
      </c>
      <c r="T38" s="55">
        <f t="shared" ca="1" si="85"/>
        <v>0</v>
      </c>
      <c r="U38" s="55">
        <f t="shared" ca="1" si="6"/>
        <v>0</v>
      </c>
      <c r="V38" s="55">
        <f t="shared" ca="1" si="86"/>
        <v>0</v>
      </c>
      <c r="W38" s="55">
        <f t="shared" ca="1" si="7"/>
        <v>0</v>
      </c>
      <c r="X38" s="55">
        <f ca="1">IFERROR(__xludf.DUMMYFUNCTION("IMPORTRANGE(""https://docs.google.com/spreadsheets/d/1XL5vhW3sbDhbH9Cz0tuDiY8C3ctxq1tqvaCgkFb8cCA/edit?usp=sharing"",""นครราชสีมา!J370"")"),0)</f>
        <v>0</v>
      </c>
      <c r="Y38" s="55">
        <f ca="1">IFERROR(__xludf.DUMMYFUNCTION("IMPORTRANGE(""https://docs.google.com/spreadsheets/d/1XL5vhW3sbDhbH9Cz0tuDiY8C3ctxq1tqvaCgkFb8cCA/edit?usp=sharing"",""นครราชสีมา!J371"")"),0)</f>
        <v>0</v>
      </c>
      <c r="Z38" s="55">
        <f ca="1">IFERROR(__xludf.DUMMYFUNCTION("IMPORTRANGE(""https://docs.google.com/spreadsheets/d/1XL5vhW3sbDhbH9Cz0tuDiY8C3ctxq1tqvaCgkFb8cCA/edit?usp=sharing"",""นครราชสีมา!J372"")"),0)</f>
        <v>0</v>
      </c>
      <c r="AA38" s="55">
        <f ca="1">IFERROR(__xludf.DUMMYFUNCTION("IMPORTRANGE(""https://docs.google.com/spreadsheets/d/1XL5vhW3sbDhbH9Cz0tuDiY8C3ctxq1tqvaCgkFb8cCA/edit?usp=sharing"",""นครราชสีมา!J373"")"),0)</f>
        <v>0</v>
      </c>
      <c r="AB38" s="55">
        <f ca="1">IFERROR(__xludf.DUMMYFUNCTION("IMPORTRANGE(""https://docs.google.com/spreadsheets/d/1XL5vhW3sbDhbH9Cz0tuDiY8C3ctxq1tqvaCgkFb8cCA/edit?usp=sharing"",""นครราชสีมา!J374"")"),0)</f>
        <v>0</v>
      </c>
      <c r="AC38" s="55">
        <f ca="1">IFERROR(__xludf.DUMMYFUNCTION("IMPORTRANGE(""https://docs.google.com/spreadsheets/d/1XL5vhW3sbDhbH9Cz0tuDiY8C3ctxq1tqvaCgkFb8cCA/edit?usp=sharing"",""นครราชสีมา!J375"")"),0)</f>
        <v>0</v>
      </c>
      <c r="AD38" s="55">
        <f t="shared" ca="1" si="87"/>
        <v>0</v>
      </c>
      <c r="AE38" s="99">
        <f t="shared" ca="1" si="9"/>
        <v>0</v>
      </c>
      <c r="AF38" s="55">
        <f t="shared" ca="1" si="88"/>
        <v>0</v>
      </c>
      <c r="AG38" s="99">
        <f t="shared" ca="1" si="10"/>
        <v>0</v>
      </c>
      <c r="AH38" s="55">
        <f ca="1">IFERROR(__xludf.DUMMYFUNCTION("IMPORTRANGE(""https://docs.google.com/spreadsheets/d/1XL5vhW3sbDhbH9Cz0tuDiY8C3ctxq1tqvaCgkFb8cCA/edit?usp=sharing"",""นครราชสีมา!J378"")"),0)</f>
        <v>0</v>
      </c>
      <c r="AI38" s="55">
        <f ca="1">IFERROR(__xludf.DUMMYFUNCTION("IMPORTRANGE(""https://docs.google.com/spreadsheets/d/1XL5vhW3sbDhbH9Cz0tuDiY8C3ctxq1tqvaCgkFb8cCA/edit?usp=sharing"",""นครราชสีมา!J379"")"),0)</f>
        <v>0</v>
      </c>
      <c r="AJ38" s="55">
        <f ca="1">IFERROR(__xludf.DUMMYFUNCTION("IMPORTRANGE(""https://docs.google.com/spreadsheets/d/1XL5vhW3sbDhbH9Cz0tuDiY8C3ctxq1tqvaCgkFb8cCA/edit?usp=sharing"",""นครราชสีมา!J380"")"),0)</f>
        <v>0</v>
      </c>
      <c r="AK38" s="55">
        <f ca="1">IFERROR(__xludf.DUMMYFUNCTION("IMPORTRANGE(""https://docs.google.com/spreadsheets/d/1XL5vhW3sbDhbH9Cz0tuDiY8C3ctxq1tqvaCgkFb8cCA/edit?usp=sharing"",""นครราชสีมา!J381"")"),0)</f>
        <v>0</v>
      </c>
      <c r="AL38" s="55">
        <f ca="1">IFERROR(__xludf.DUMMYFUNCTION("IMPORTRANGE(""https://docs.google.com/spreadsheets/d/1XL5vhW3sbDhbH9Cz0tuDiY8C3ctxq1tqvaCgkFb8cCA/edit?usp=sharing"",""นครราชสีมา!J384"")"),0)</f>
        <v>0</v>
      </c>
      <c r="AM38" s="55">
        <f ca="1">IFERROR(__xludf.DUMMYFUNCTION("IMPORTRANGE(""https://docs.google.com/spreadsheets/d/1XL5vhW3sbDhbH9Cz0tuDiY8C3ctxq1tqvaCgkFb8cCA/edit?usp=sharing"",""นครราชสีมา!J385"")"),0)</f>
        <v>0</v>
      </c>
      <c r="AN38" s="55">
        <f ca="1">IFERROR(__xludf.DUMMYFUNCTION("IMPORTRANGE(""https://docs.google.com/spreadsheets/d/1XL5vhW3sbDhbH9Cz0tuDiY8C3ctxq1tqvaCgkFb8cCA/edit?usp=sharing"",""นครราชสีมา!J386"")"),0)</f>
        <v>0</v>
      </c>
      <c r="AO38" s="55">
        <f ca="1">IFERROR(__xludf.DUMMYFUNCTION("IMPORTRANGE(""https://docs.google.com/spreadsheets/d/1XL5vhW3sbDhbH9Cz0tuDiY8C3ctxq1tqvaCgkFb8cCA/edit?usp=sharing"",""นครราชสีมา!J387"")"),0)</f>
        <v>0</v>
      </c>
      <c r="AP38" s="55">
        <f ca="1">IFERROR(__xludf.DUMMYFUNCTION("IMPORTRANGE(""https://docs.google.com/spreadsheets/d/1XL5vhW3sbDhbH9Cz0tuDiY8C3ctxq1tqvaCgkFb8cCA/edit?usp=sharing"",""นครราชสีมา!J388"")"),0)</f>
        <v>0</v>
      </c>
      <c r="AQ38" s="55">
        <f ca="1">IFERROR(__xludf.DUMMYFUNCTION("IMPORTRANGE(""https://docs.google.com/spreadsheets/d/1XL5vhW3sbDhbH9Cz0tuDiY8C3ctxq1tqvaCgkFb8cCA/edit?usp=sharing"",""นครราชสีมา!J389"")"),0)</f>
        <v>0</v>
      </c>
      <c r="AR38" s="402">
        <v>0</v>
      </c>
      <c r="AS38" s="402">
        <v>0</v>
      </c>
      <c r="AT38" s="402">
        <f t="shared" ca="1" si="89"/>
        <v>0</v>
      </c>
      <c r="AU38" s="402">
        <f t="shared" si="12"/>
        <v>0</v>
      </c>
      <c r="AV38" s="402">
        <f t="shared" ca="1" si="90"/>
        <v>0</v>
      </c>
      <c r="AW38" s="402">
        <f t="shared" si="13"/>
        <v>0</v>
      </c>
      <c r="AX38" s="55">
        <f ca="1">IFERROR(__xludf.DUMMYFUNCTION("IMPORTRANGE(""https://docs.google.com/spreadsheets/d/1XL5vhW3sbDhbH9Cz0tuDiY8C3ctxq1tqvaCgkFb8cCA/edit?usp=sharing"",""นครราชสีมา!J395"")"),0)</f>
        <v>0</v>
      </c>
      <c r="AY38" s="55">
        <f ca="1">IFERROR(__xludf.DUMMYFUNCTION("IMPORTRANGE(""https://docs.google.com/spreadsheets/d/1XL5vhW3sbDhbH9Cz0tuDiY8C3ctxq1tqvaCgkFb8cCA/edit?usp=sharing"",""นครราชสีมา!J396"")"),0)</f>
        <v>0</v>
      </c>
      <c r="AZ38" s="55">
        <f ca="1">IFERROR(__xludf.DUMMYFUNCTION("IMPORTRANGE(""https://docs.google.com/spreadsheets/d/1XL5vhW3sbDhbH9Cz0tuDiY8C3ctxq1tqvaCgkFb8cCA/edit?usp=sharing"",""นครราชสีมา!J397"")"),0)</f>
        <v>0</v>
      </c>
      <c r="BA38" s="55">
        <f ca="1">IFERROR(__xludf.DUMMYFUNCTION("IMPORTRANGE(""https://docs.google.com/spreadsheets/d/1XL5vhW3sbDhbH9Cz0tuDiY8C3ctxq1tqvaCgkFb8cCA/edit?usp=sharing"",""นครราชสีมา!J398"")"),0)</f>
        <v>0</v>
      </c>
      <c r="BB38" s="55">
        <f ca="1">IFERROR(__xludf.DUMMYFUNCTION("IMPORTRANGE(""https://docs.google.com/spreadsheets/d/1XL5vhW3sbDhbH9Cz0tuDiY8C3ctxq1tqvaCgkFb8cCA/edit?usp=sharing"",""นครราชสีมา!J399"")"),0)</f>
        <v>0</v>
      </c>
      <c r="BC38" s="55">
        <f ca="1">IFERROR(__xludf.DUMMYFUNCTION("IMPORTRANGE(""https://docs.google.com/spreadsheets/d/1XL5vhW3sbDhbH9Cz0tuDiY8C3ctxq1tqvaCgkFb8cCA/edit?usp=sharing"",""นครราชสีมา!J400"")"),0)</f>
        <v>0</v>
      </c>
      <c r="BD38" s="55">
        <f ca="1">IFERROR(__xludf.DUMMYFUNCTION("IMPORTRANGE(""https://docs.google.com/spreadsheets/d/1XL5vhW3sbDhbH9Cz0tuDiY8C3ctxq1tqvaCgkFb8cCA/edit?usp=sharing"",""นครราชสีมา!J403"")"),0)</f>
        <v>0</v>
      </c>
      <c r="BE38" s="55">
        <f ca="1">IFERROR(__xludf.DUMMYFUNCTION("IMPORTRANGE(""https://docs.google.com/spreadsheets/d/1XL5vhW3sbDhbH9Cz0tuDiY8C3ctxq1tqvaCgkFb8cCA/edit?usp=sharing"",""นครราชสีมา!J404"")"),0)</f>
        <v>0</v>
      </c>
      <c r="BF38" s="55">
        <f ca="1">IFERROR(__xludf.DUMMYFUNCTION("IMPORTRANGE(""https://docs.google.com/spreadsheets/d/1XL5vhW3sbDhbH9Cz0tuDiY8C3ctxq1tqvaCgkFb8cCA/edit?usp=sharing"",""นครราชสีมา!J405"")"),0)</f>
        <v>0</v>
      </c>
      <c r="BG38" s="55">
        <f ca="1">IFERROR(__xludf.DUMMYFUNCTION("IMPORTRANGE(""https://docs.google.com/spreadsheets/d/1XL5vhW3sbDhbH9Cz0tuDiY8C3ctxq1tqvaCgkFb8cCA/edit?usp=sharing"",""นครราชสีมา!J406"")"),0)</f>
        <v>0</v>
      </c>
      <c r="BH38" s="55">
        <f ca="1">IFERROR(__xludf.DUMMYFUNCTION("IMPORTRANGE(""https://docs.google.com/spreadsheets/d/1XL5vhW3sbDhbH9Cz0tuDiY8C3ctxq1tqvaCgkFb8cCA/edit?usp=sharing"",""นครราชสีมา!J407"")"),0)</f>
        <v>0</v>
      </c>
      <c r="BI38" s="55">
        <f ca="1">IFERROR(__xludf.DUMMYFUNCTION("IMPORTRANGE(""https://docs.google.com/spreadsheets/d/1XL5vhW3sbDhbH9Cz0tuDiY8C3ctxq1tqvaCgkFb8cCA/edit?usp=sharing"",""นครราชสีมา!J408"")"),0)</f>
        <v>0</v>
      </c>
      <c r="BJ38" s="402">
        <v>55907</v>
      </c>
      <c r="BK38" s="402">
        <v>6719</v>
      </c>
      <c r="BL38" s="402">
        <f t="shared" ca="1" si="91"/>
        <v>0</v>
      </c>
      <c r="BM38" s="403">
        <f t="shared" ca="1" si="15"/>
        <v>0</v>
      </c>
      <c r="BN38" s="402">
        <f t="shared" ca="1" si="92"/>
        <v>0</v>
      </c>
      <c r="BO38" s="403">
        <f t="shared" ca="1" si="16"/>
        <v>0</v>
      </c>
      <c r="BP38" s="55">
        <f ca="1">IFERROR(__xludf.DUMMYFUNCTION("IMPORTRANGE(""https://docs.google.com/spreadsheets/d/1XL5vhW3sbDhbH9Cz0tuDiY8C3ctxq1tqvaCgkFb8cCA/edit?usp=sharing"",""นครราชสีมา!J412"")"),0)</f>
        <v>0</v>
      </c>
      <c r="BQ38" s="55">
        <f ca="1">IFERROR(__xludf.DUMMYFUNCTION("IMPORTRANGE(""https://docs.google.com/spreadsheets/d/1XL5vhW3sbDhbH9Cz0tuDiY8C3ctxq1tqvaCgkFb8cCA/edit?usp=sharing"",""นครราชสีมา!J413"")"),0)</f>
        <v>0</v>
      </c>
      <c r="BR38" s="55">
        <f ca="1">IFERROR(__xludf.DUMMYFUNCTION("IMPORTRANGE(""https://docs.google.com/spreadsheets/d/1XL5vhW3sbDhbH9Cz0tuDiY8C3ctxq1tqvaCgkFb8cCA/edit?usp=sharing"",""นครราชสีมา!J414"")"),0)</f>
        <v>0</v>
      </c>
      <c r="BS38" s="55">
        <f ca="1">IFERROR(__xludf.DUMMYFUNCTION("IMPORTRANGE(""https://docs.google.com/spreadsheets/d/1XL5vhW3sbDhbH9Cz0tuDiY8C3ctxq1tqvaCgkFb8cCA/edit?usp=sharing"",""นครราชสีมา!J415"")"),0)</f>
        <v>0</v>
      </c>
      <c r="BT38" s="55">
        <f ca="1">IFERROR(__xludf.DUMMYFUNCTION("IMPORTRANGE(""https://docs.google.com/spreadsheets/d/1XL5vhW3sbDhbH9Cz0tuDiY8C3ctxq1tqvaCgkFb8cCA/edit?usp=sharing"",""นครราชสีมา!J416"")"),0)</f>
        <v>0</v>
      </c>
      <c r="BU38" s="55">
        <f ca="1">IFERROR(__xludf.DUMMYFUNCTION("IMPORTRANGE(""https://docs.google.com/spreadsheets/d/1XL5vhW3sbDhbH9Cz0tuDiY8C3ctxq1tqvaCgkFb8cCA/edit?usp=sharing"",""นครราชสีมา!J417"")"),0)</f>
        <v>0</v>
      </c>
      <c r="BV38" s="402">
        <f t="shared" ca="1" si="93"/>
        <v>0</v>
      </c>
      <c r="BW38" s="403">
        <f t="shared" ca="1" si="94"/>
        <v>0</v>
      </c>
      <c r="BX38" s="402">
        <f t="shared" ca="1" si="95"/>
        <v>0</v>
      </c>
      <c r="BY38" s="403">
        <f t="shared" ca="1" si="96"/>
        <v>0</v>
      </c>
      <c r="BZ38" s="55">
        <f ca="1">IFERROR(__xludf.DUMMYFUNCTION("IMPORTRANGE(""https://docs.google.com/spreadsheets/d/1XL5vhW3sbDhbH9Cz0tuDiY8C3ctxq1tqvaCgkFb8cCA/edit?usp=sharing"",""นครราชสีมา!J420"")"),0)</f>
        <v>0</v>
      </c>
      <c r="CA38" s="55">
        <f ca="1">IFERROR(__xludf.DUMMYFUNCTION("IMPORTRANGE(""https://docs.google.com/spreadsheets/d/1XL5vhW3sbDhbH9Cz0tuDiY8C3ctxq1tqvaCgkFb8cCA/edit?usp=sharing"",""นครราชสีมา!J421"")"),0)</f>
        <v>0</v>
      </c>
      <c r="CB38" s="55">
        <f ca="1">IFERROR(__xludf.DUMMYFUNCTION("IMPORTRANGE(""https://docs.google.com/spreadsheets/d/1XL5vhW3sbDhbH9Cz0tuDiY8C3ctxq1tqvaCgkFb8cCA/edit?usp=sharing"",""นครราชสีมา!J422"")"),0)</f>
        <v>0</v>
      </c>
      <c r="CC38" s="55">
        <f ca="1">IFERROR(__xludf.DUMMYFUNCTION("IMPORTRANGE(""https://docs.google.com/spreadsheets/d/1XL5vhW3sbDhbH9Cz0tuDiY8C3ctxq1tqvaCgkFb8cCA/edit?usp=sharing"",""นครราชสีมา!J423"")"),0)</f>
        <v>0</v>
      </c>
      <c r="CD38" s="55">
        <f ca="1">IFERROR(__xludf.DUMMYFUNCTION("IMPORTRANGE(""https://docs.google.com/spreadsheets/d/1XL5vhW3sbDhbH9Cz0tuDiY8C3ctxq1tqvaCgkFb8cCA/edit?usp=sharing"",""นครราชสีมา!J424"")"),0)</f>
        <v>0</v>
      </c>
      <c r="CE38" s="422">
        <f ca="1">IFERROR(__xludf.DUMMYFUNCTION("IMPORTRANGE(""https://docs.google.com/spreadsheets/d/1XL5vhW3sbDhbH9Cz0tuDiY8C3ctxq1tqvaCgkFb8cCA/edit?usp=sharing"",""นครราชสีมา!J425"")"),0)</f>
        <v>0</v>
      </c>
    </row>
    <row r="39" spans="1:83" ht="24" customHeight="1" x14ac:dyDescent="0.5">
      <c r="A39" s="273">
        <v>6</v>
      </c>
      <c r="B39" s="274" t="s">
        <v>54</v>
      </c>
      <c r="C39" s="400">
        <f t="shared" si="82"/>
        <v>381844.73</v>
      </c>
      <c r="D39" s="55">
        <v>0</v>
      </c>
      <c r="E39" s="401">
        <v>381844.73</v>
      </c>
      <c r="F39" s="99">
        <f ca="1">IFERROR(__xludf.DUMMYFUNCTION("IMPORTRANGE(""https://docs.google.com/spreadsheets/d/1XL5vhW3sbDhbH9Cz0tuDiY8C3ctxq1tqvaCgkFb8cCA/edit?usp=sharing"",""บึงกาฬ!M352"")"),0)</f>
        <v>0</v>
      </c>
      <c r="G39" s="99">
        <f t="shared" ca="1" si="1"/>
        <v>0</v>
      </c>
      <c r="H39" s="57">
        <v>37568</v>
      </c>
      <c r="I39" s="57">
        <v>2619</v>
      </c>
      <c r="J39" s="55">
        <f t="shared" ca="1" si="83"/>
        <v>0</v>
      </c>
      <c r="K39" s="99">
        <f t="shared" ca="1" si="3"/>
        <v>0</v>
      </c>
      <c r="L39" s="55">
        <f t="shared" ca="1" si="84"/>
        <v>0</v>
      </c>
      <c r="M39" s="99">
        <f t="shared" ca="1" si="4"/>
        <v>0</v>
      </c>
      <c r="N39" s="55">
        <f ca="1">IFERROR(__xludf.DUMMYFUNCTION("IMPORTRANGE(""https://docs.google.com/spreadsheets/d/1XL5vhW3sbDhbH9Cz0tuDiY8C3ctxq1tqvaCgkFb8cCA/edit?usp=sharing"",""บึงกาฬ!J362"")"),0)</f>
        <v>0</v>
      </c>
      <c r="O39" s="55">
        <f ca="1">IFERROR(__xludf.DUMMYFUNCTION("IMPORTRANGE(""https://docs.google.com/spreadsheets/d/1XL5vhW3sbDhbH9Cz0tuDiY8C3ctxq1tqvaCgkFb8cCA/edit?usp=sharing"",""บึงกาฬ!J363"")"),0)</f>
        <v>0</v>
      </c>
      <c r="P39" s="55">
        <f ca="1">IFERROR(__xludf.DUMMYFUNCTION("IMPORTRANGE(""https://docs.google.com/spreadsheets/d/1XL5vhW3sbDhbH9Cz0tuDiY8C3ctxq1tqvaCgkFb8cCA/edit?usp=sharing"",""บึงกาฬ!J364"")"),0)</f>
        <v>0</v>
      </c>
      <c r="Q39" s="55">
        <f ca="1">IFERROR(__xludf.DUMMYFUNCTION("IMPORTRANGE(""https://docs.google.com/spreadsheets/d/1XL5vhW3sbDhbH9Cz0tuDiY8C3ctxq1tqvaCgkFb8cCA/edit?usp=sharing"",""บึงกาฬ!J365"")"),0)</f>
        <v>0</v>
      </c>
      <c r="R39" s="55">
        <f ca="1">IFERROR(__xludf.DUMMYFUNCTION("IMPORTRANGE(""https://docs.google.com/spreadsheets/d/1XL5vhW3sbDhbH9Cz0tuDiY8C3ctxq1tqvaCgkFb8cCA/edit?usp=sharing"",""บึงกาฬ!J366"")"),0)</f>
        <v>0</v>
      </c>
      <c r="S39" s="55">
        <f ca="1">IFERROR(__xludf.DUMMYFUNCTION("IMPORTRANGE(""https://docs.google.com/spreadsheets/d/1XL5vhW3sbDhbH9Cz0tuDiY8C3ctxq1tqvaCgkFb8cCA/edit?usp=sharing"",""บึงกาฬ!J367"")"),0)</f>
        <v>0</v>
      </c>
      <c r="T39" s="55">
        <f t="shared" ca="1" si="85"/>
        <v>0</v>
      </c>
      <c r="U39" s="55">
        <f t="shared" ca="1" si="6"/>
        <v>0</v>
      </c>
      <c r="V39" s="55">
        <f t="shared" ca="1" si="86"/>
        <v>0</v>
      </c>
      <c r="W39" s="55">
        <f t="shared" ca="1" si="7"/>
        <v>0</v>
      </c>
      <c r="X39" s="55">
        <f ca="1">IFERROR(__xludf.DUMMYFUNCTION("IMPORTRANGE(""https://docs.google.com/spreadsheets/d/1XL5vhW3sbDhbH9Cz0tuDiY8C3ctxq1tqvaCgkFb8cCA/edit?usp=sharing"",""บึงกาฬ!J370"")"),0)</f>
        <v>0</v>
      </c>
      <c r="Y39" s="55">
        <f ca="1">IFERROR(__xludf.DUMMYFUNCTION("IMPORTRANGE(""https://docs.google.com/spreadsheets/d/1XL5vhW3sbDhbH9Cz0tuDiY8C3ctxq1tqvaCgkFb8cCA/edit?usp=sharing"",""บึงกาฬ!J371"")"),0)</f>
        <v>0</v>
      </c>
      <c r="Z39" s="55">
        <f ca="1">IFERROR(__xludf.DUMMYFUNCTION("IMPORTRANGE(""https://docs.google.com/spreadsheets/d/1XL5vhW3sbDhbH9Cz0tuDiY8C3ctxq1tqvaCgkFb8cCA/edit?usp=sharing"",""บึงกาฬ!J372"")"),0)</f>
        <v>0</v>
      </c>
      <c r="AA39" s="55">
        <f ca="1">IFERROR(__xludf.DUMMYFUNCTION("IMPORTRANGE(""https://docs.google.com/spreadsheets/d/1XL5vhW3sbDhbH9Cz0tuDiY8C3ctxq1tqvaCgkFb8cCA/edit?usp=sharing"",""บึงกาฬ!J373"")"),0)</f>
        <v>0</v>
      </c>
      <c r="AB39" s="55">
        <f ca="1">IFERROR(__xludf.DUMMYFUNCTION("IMPORTRANGE(""https://docs.google.com/spreadsheets/d/1XL5vhW3sbDhbH9Cz0tuDiY8C3ctxq1tqvaCgkFb8cCA/edit?usp=sharing"",""บึงกาฬ!J374"")"),0)</f>
        <v>0</v>
      </c>
      <c r="AC39" s="55">
        <f ca="1">IFERROR(__xludf.DUMMYFUNCTION("IMPORTRANGE(""https://docs.google.com/spreadsheets/d/1XL5vhW3sbDhbH9Cz0tuDiY8C3ctxq1tqvaCgkFb8cCA/edit?usp=sharing"",""บึงกาฬ!J375"")"),0)</f>
        <v>0</v>
      </c>
      <c r="AD39" s="55">
        <f t="shared" ca="1" si="87"/>
        <v>0</v>
      </c>
      <c r="AE39" s="99">
        <f t="shared" ca="1" si="9"/>
        <v>0</v>
      </c>
      <c r="AF39" s="55">
        <f t="shared" ca="1" si="88"/>
        <v>0</v>
      </c>
      <c r="AG39" s="99">
        <f t="shared" ca="1" si="10"/>
        <v>0</v>
      </c>
      <c r="AH39" s="55">
        <f ca="1">IFERROR(__xludf.DUMMYFUNCTION("IMPORTRANGE(""https://docs.google.com/spreadsheets/d/1XL5vhW3sbDhbH9Cz0tuDiY8C3ctxq1tqvaCgkFb8cCA/edit?usp=sharing"",""บึงกาฬ!J378"")"),0)</f>
        <v>0</v>
      </c>
      <c r="AI39" s="55">
        <f ca="1">IFERROR(__xludf.DUMMYFUNCTION("IMPORTRANGE(""https://docs.google.com/spreadsheets/d/1XL5vhW3sbDhbH9Cz0tuDiY8C3ctxq1tqvaCgkFb8cCA/edit?usp=sharing"",""บึงกาฬ!J379"")"),0)</f>
        <v>0</v>
      </c>
      <c r="AJ39" s="55">
        <f ca="1">IFERROR(__xludf.DUMMYFUNCTION("IMPORTRANGE(""https://docs.google.com/spreadsheets/d/1XL5vhW3sbDhbH9Cz0tuDiY8C3ctxq1tqvaCgkFb8cCA/edit?usp=sharing"",""บึงกาฬ!J380"")"),0)</f>
        <v>0</v>
      </c>
      <c r="AK39" s="55">
        <f ca="1">IFERROR(__xludf.DUMMYFUNCTION("IMPORTRANGE(""https://docs.google.com/spreadsheets/d/1XL5vhW3sbDhbH9Cz0tuDiY8C3ctxq1tqvaCgkFb8cCA/edit?usp=sharing"",""บึงกาฬ!J381"")"),0)</f>
        <v>0</v>
      </c>
      <c r="AL39" s="55">
        <f ca="1">IFERROR(__xludf.DUMMYFUNCTION("IMPORTRANGE(""https://docs.google.com/spreadsheets/d/1XL5vhW3sbDhbH9Cz0tuDiY8C3ctxq1tqvaCgkFb8cCA/edit?usp=sharing"",""บึงกาฬ!J384"")"),0)</f>
        <v>0</v>
      </c>
      <c r="AM39" s="55">
        <f ca="1">IFERROR(__xludf.DUMMYFUNCTION("IMPORTRANGE(""https://docs.google.com/spreadsheets/d/1XL5vhW3sbDhbH9Cz0tuDiY8C3ctxq1tqvaCgkFb8cCA/edit?usp=sharing"",""บึงกาฬ!J385"")"),0)</f>
        <v>0</v>
      </c>
      <c r="AN39" s="55">
        <f ca="1">IFERROR(__xludf.DUMMYFUNCTION("IMPORTRANGE(""https://docs.google.com/spreadsheets/d/1XL5vhW3sbDhbH9Cz0tuDiY8C3ctxq1tqvaCgkFb8cCA/edit?usp=sharing"",""บึงกาฬ!J386"")"),0)</f>
        <v>0</v>
      </c>
      <c r="AO39" s="55">
        <f ca="1">IFERROR(__xludf.DUMMYFUNCTION("IMPORTRANGE(""https://docs.google.com/spreadsheets/d/1XL5vhW3sbDhbH9Cz0tuDiY8C3ctxq1tqvaCgkFb8cCA/edit?usp=sharing"",""บึงกาฬ!J387"")"),0)</f>
        <v>0</v>
      </c>
      <c r="AP39" s="55">
        <f ca="1">IFERROR(__xludf.DUMMYFUNCTION("IMPORTRANGE(""https://docs.google.com/spreadsheets/d/1XL5vhW3sbDhbH9Cz0tuDiY8C3ctxq1tqvaCgkFb8cCA/edit?usp=sharing"",""บึงกาฬ!J388"")"),0)</f>
        <v>0</v>
      </c>
      <c r="AQ39" s="55">
        <f ca="1">IFERROR(__xludf.DUMMYFUNCTION("IMPORTRANGE(""https://docs.google.com/spreadsheets/d/1XL5vhW3sbDhbH9Cz0tuDiY8C3ctxq1tqvaCgkFb8cCA/edit?usp=sharing"",""บึงกาฬ!J389"")"),0)</f>
        <v>0</v>
      </c>
      <c r="AR39" s="402">
        <v>504</v>
      </c>
      <c r="AS39" s="402">
        <v>7102</v>
      </c>
      <c r="AT39" s="402">
        <f t="shared" ca="1" si="89"/>
        <v>0</v>
      </c>
      <c r="AU39" s="402">
        <f t="shared" ca="1" si="12"/>
        <v>0</v>
      </c>
      <c r="AV39" s="402">
        <f t="shared" ca="1" si="90"/>
        <v>0</v>
      </c>
      <c r="AW39" s="402">
        <f t="shared" ca="1" si="13"/>
        <v>0</v>
      </c>
      <c r="AX39" s="55">
        <f ca="1">IFERROR(__xludf.DUMMYFUNCTION("IMPORTRANGE(""https://docs.google.com/spreadsheets/d/1XL5vhW3sbDhbH9Cz0tuDiY8C3ctxq1tqvaCgkFb8cCA/edit?usp=sharing"",""บึงกาฬ!J395"")"),0)</f>
        <v>0</v>
      </c>
      <c r="AY39" s="55">
        <f ca="1">IFERROR(__xludf.DUMMYFUNCTION("IMPORTRANGE(""https://docs.google.com/spreadsheets/d/1XL5vhW3sbDhbH9Cz0tuDiY8C3ctxq1tqvaCgkFb8cCA/edit?usp=sharing"",""บึงกาฬ!J396"")"),0)</f>
        <v>0</v>
      </c>
      <c r="AZ39" s="55">
        <f ca="1">IFERROR(__xludf.DUMMYFUNCTION("IMPORTRANGE(""https://docs.google.com/spreadsheets/d/1XL5vhW3sbDhbH9Cz0tuDiY8C3ctxq1tqvaCgkFb8cCA/edit?usp=sharing"",""บึงกาฬ!J397"")"),0)</f>
        <v>0</v>
      </c>
      <c r="BA39" s="55">
        <f ca="1">IFERROR(__xludf.DUMMYFUNCTION("IMPORTRANGE(""https://docs.google.com/spreadsheets/d/1XL5vhW3sbDhbH9Cz0tuDiY8C3ctxq1tqvaCgkFb8cCA/edit?usp=sharing"",""บึงกาฬ!J398"")"),0)</f>
        <v>0</v>
      </c>
      <c r="BB39" s="55">
        <f ca="1">IFERROR(__xludf.DUMMYFUNCTION("IMPORTRANGE(""https://docs.google.com/spreadsheets/d/1XL5vhW3sbDhbH9Cz0tuDiY8C3ctxq1tqvaCgkFb8cCA/edit?usp=sharing"",""บึงกาฬ!J399"")"),0)</f>
        <v>0</v>
      </c>
      <c r="BC39" s="55">
        <f ca="1">IFERROR(__xludf.DUMMYFUNCTION("IMPORTRANGE(""https://docs.google.com/spreadsheets/d/1XL5vhW3sbDhbH9Cz0tuDiY8C3ctxq1tqvaCgkFb8cCA/edit?usp=sharing"",""บึงกาฬ!J400"")"),0)</f>
        <v>0</v>
      </c>
      <c r="BD39" s="55">
        <f ca="1">IFERROR(__xludf.DUMMYFUNCTION("IMPORTRANGE(""https://docs.google.com/spreadsheets/d/1XL5vhW3sbDhbH9Cz0tuDiY8C3ctxq1tqvaCgkFb8cCA/edit?usp=sharing"",""บึงกาฬ!J403"")"),0)</f>
        <v>0</v>
      </c>
      <c r="BE39" s="55">
        <f ca="1">IFERROR(__xludf.DUMMYFUNCTION("IMPORTRANGE(""https://docs.google.com/spreadsheets/d/1XL5vhW3sbDhbH9Cz0tuDiY8C3ctxq1tqvaCgkFb8cCA/edit?usp=sharing"",""บึงกาฬ!J404"")"),0)</f>
        <v>0</v>
      </c>
      <c r="BF39" s="55">
        <f ca="1">IFERROR(__xludf.DUMMYFUNCTION("IMPORTRANGE(""https://docs.google.com/spreadsheets/d/1XL5vhW3sbDhbH9Cz0tuDiY8C3ctxq1tqvaCgkFb8cCA/edit?usp=sharing"",""บึงกาฬ!J405"")"),0)</f>
        <v>0</v>
      </c>
      <c r="BG39" s="55">
        <f ca="1">IFERROR(__xludf.DUMMYFUNCTION("IMPORTRANGE(""https://docs.google.com/spreadsheets/d/1XL5vhW3sbDhbH9Cz0tuDiY8C3ctxq1tqvaCgkFb8cCA/edit?usp=sharing"",""บึงกาฬ!J406"")"),0)</f>
        <v>0</v>
      </c>
      <c r="BH39" s="55">
        <f ca="1">IFERROR(__xludf.DUMMYFUNCTION("IMPORTRANGE(""https://docs.google.com/spreadsheets/d/1XL5vhW3sbDhbH9Cz0tuDiY8C3ctxq1tqvaCgkFb8cCA/edit?usp=sharing"",""บึงกาฬ!J407"")"),0)</f>
        <v>0</v>
      </c>
      <c r="BI39" s="55">
        <f ca="1">IFERROR(__xludf.DUMMYFUNCTION("IMPORTRANGE(""https://docs.google.com/spreadsheets/d/1XL5vhW3sbDhbH9Cz0tuDiY8C3ctxq1tqvaCgkFb8cCA/edit?usp=sharing"",""บึงกาฬ!J408"")"),0)</f>
        <v>0</v>
      </c>
      <c r="BJ39" s="402">
        <v>37568</v>
      </c>
      <c r="BK39" s="402">
        <v>2619</v>
      </c>
      <c r="BL39" s="402">
        <f t="shared" ca="1" si="91"/>
        <v>0</v>
      </c>
      <c r="BM39" s="403">
        <f t="shared" ca="1" si="15"/>
        <v>0</v>
      </c>
      <c r="BN39" s="402">
        <f t="shared" ca="1" si="92"/>
        <v>0</v>
      </c>
      <c r="BO39" s="403">
        <f t="shared" ca="1" si="16"/>
        <v>0</v>
      </c>
      <c r="BP39" s="55">
        <f ca="1">IFERROR(__xludf.DUMMYFUNCTION("IMPORTRANGE(""https://docs.google.com/spreadsheets/d/1XL5vhW3sbDhbH9Cz0tuDiY8C3ctxq1tqvaCgkFb8cCA/edit?usp=sharing"",""บึงกาฬ!J412"")"),0)</f>
        <v>0</v>
      </c>
      <c r="BQ39" s="55">
        <f ca="1">IFERROR(__xludf.DUMMYFUNCTION("IMPORTRANGE(""https://docs.google.com/spreadsheets/d/1XL5vhW3sbDhbH9Cz0tuDiY8C3ctxq1tqvaCgkFb8cCA/edit?usp=sharing"",""บึงกาฬ!J413"")"),0)</f>
        <v>0</v>
      </c>
      <c r="BR39" s="55">
        <f ca="1">IFERROR(__xludf.DUMMYFUNCTION("IMPORTRANGE(""https://docs.google.com/spreadsheets/d/1XL5vhW3sbDhbH9Cz0tuDiY8C3ctxq1tqvaCgkFb8cCA/edit?usp=sharing"",""บึงกาฬ!J414"")"),0)</f>
        <v>0</v>
      </c>
      <c r="BS39" s="55">
        <f ca="1">IFERROR(__xludf.DUMMYFUNCTION("IMPORTRANGE(""https://docs.google.com/spreadsheets/d/1XL5vhW3sbDhbH9Cz0tuDiY8C3ctxq1tqvaCgkFb8cCA/edit?usp=sharing"",""บึงกาฬ!J415"")"),0)</f>
        <v>0</v>
      </c>
      <c r="BT39" s="55">
        <f ca="1">IFERROR(__xludf.DUMMYFUNCTION("IMPORTRANGE(""https://docs.google.com/spreadsheets/d/1XL5vhW3sbDhbH9Cz0tuDiY8C3ctxq1tqvaCgkFb8cCA/edit?usp=sharing"",""บึงกาฬ!J416"")"),0)</f>
        <v>0</v>
      </c>
      <c r="BU39" s="55">
        <f ca="1">IFERROR(__xludf.DUMMYFUNCTION("IMPORTRANGE(""https://docs.google.com/spreadsheets/d/1XL5vhW3sbDhbH9Cz0tuDiY8C3ctxq1tqvaCgkFb8cCA/edit?usp=sharing"",""บึงกาฬ!J417"")"),0)</f>
        <v>0</v>
      </c>
      <c r="BV39" s="402">
        <f t="shared" ca="1" si="93"/>
        <v>0</v>
      </c>
      <c r="BW39" s="403">
        <f t="shared" ca="1" si="94"/>
        <v>0</v>
      </c>
      <c r="BX39" s="402">
        <f t="shared" ca="1" si="95"/>
        <v>0</v>
      </c>
      <c r="BY39" s="403">
        <f t="shared" ca="1" si="96"/>
        <v>0</v>
      </c>
      <c r="BZ39" s="55">
        <f ca="1">IFERROR(__xludf.DUMMYFUNCTION("IMPORTRANGE(""https://docs.google.com/spreadsheets/d/1XL5vhW3sbDhbH9Cz0tuDiY8C3ctxq1tqvaCgkFb8cCA/edit?usp=sharing"",""บึงกาฬ!J420"")"),0)</f>
        <v>0</v>
      </c>
      <c r="CA39" s="55">
        <f ca="1">IFERROR(__xludf.DUMMYFUNCTION("IMPORTRANGE(""https://docs.google.com/spreadsheets/d/1XL5vhW3sbDhbH9Cz0tuDiY8C3ctxq1tqvaCgkFb8cCA/edit?usp=sharing"",""บึงกาฬ!J421"")"),0)</f>
        <v>0</v>
      </c>
      <c r="CB39" s="55">
        <f ca="1">IFERROR(__xludf.DUMMYFUNCTION("IMPORTRANGE(""https://docs.google.com/spreadsheets/d/1XL5vhW3sbDhbH9Cz0tuDiY8C3ctxq1tqvaCgkFb8cCA/edit?usp=sharing"",""บึงกาฬ!J422"")"),0)</f>
        <v>0</v>
      </c>
      <c r="CC39" s="55">
        <f ca="1">IFERROR(__xludf.DUMMYFUNCTION("IMPORTRANGE(""https://docs.google.com/spreadsheets/d/1XL5vhW3sbDhbH9Cz0tuDiY8C3ctxq1tqvaCgkFb8cCA/edit?usp=sharing"",""บึงกาฬ!J423"")"),0)</f>
        <v>0</v>
      </c>
      <c r="CD39" s="55">
        <f ca="1">IFERROR(__xludf.DUMMYFUNCTION("IMPORTRANGE(""https://docs.google.com/spreadsheets/d/1XL5vhW3sbDhbH9Cz0tuDiY8C3ctxq1tqvaCgkFb8cCA/edit?usp=sharing"",""บึงกาฬ!J424"")"),0)</f>
        <v>0</v>
      </c>
      <c r="CE39" s="422">
        <f ca="1">IFERROR(__xludf.DUMMYFUNCTION("IMPORTRANGE(""https://docs.google.com/spreadsheets/d/1XL5vhW3sbDhbH9Cz0tuDiY8C3ctxq1tqvaCgkFb8cCA/edit?usp=sharing"",""บึงกาฬ!J425"")"),0)</f>
        <v>0</v>
      </c>
    </row>
    <row r="40" spans="1:83" ht="24" customHeight="1" x14ac:dyDescent="0.5">
      <c r="A40" s="273">
        <v>7</v>
      </c>
      <c r="B40" s="274" t="s">
        <v>55</v>
      </c>
      <c r="C40" s="400">
        <f t="shared" si="82"/>
        <v>1347896.71</v>
      </c>
      <c r="D40" s="55">
        <v>0</v>
      </c>
      <c r="E40" s="401">
        <v>1347896.71</v>
      </c>
      <c r="F40" s="99">
        <f ca="1">IFERROR(__xludf.DUMMYFUNCTION("IMPORTRANGE(""https://docs.google.com/spreadsheets/d/1XL5vhW3sbDhbH9Cz0tuDiY8C3ctxq1tqvaCgkFb8cCA/edit?usp=sharing"",""บุรีรัมย์!M352"")"),11699.98)</f>
        <v>11699.98</v>
      </c>
      <c r="G40" s="99">
        <f t="shared" ca="1" si="1"/>
        <v>0.86801755009847903</v>
      </c>
      <c r="H40" s="57">
        <v>30569</v>
      </c>
      <c r="I40" s="57">
        <v>5104</v>
      </c>
      <c r="J40" s="55">
        <f t="shared" ca="1" si="83"/>
        <v>0</v>
      </c>
      <c r="K40" s="99">
        <f t="shared" ca="1" si="3"/>
        <v>0</v>
      </c>
      <c r="L40" s="55">
        <f t="shared" ca="1" si="84"/>
        <v>0</v>
      </c>
      <c r="M40" s="99">
        <f t="shared" ca="1" si="4"/>
        <v>0</v>
      </c>
      <c r="N40" s="55">
        <f ca="1">IFERROR(__xludf.DUMMYFUNCTION("IMPORTRANGE(""https://docs.google.com/spreadsheets/d/1XL5vhW3sbDhbH9Cz0tuDiY8C3ctxq1tqvaCgkFb8cCA/edit?usp=sharing"",""บุรีรัมย์!J362"")"),0)</f>
        <v>0</v>
      </c>
      <c r="O40" s="55">
        <f ca="1">IFERROR(__xludf.DUMMYFUNCTION("IMPORTRANGE(""https://docs.google.com/spreadsheets/d/1XL5vhW3sbDhbH9Cz0tuDiY8C3ctxq1tqvaCgkFb8cCA/edit?usp=sharing"",""บุรีรัมย์!J363"")"),0)</f>
        <v>0</v>
      </c>
      <c r="P40" s="55">
        <f ca="1">IFERROR(__xludf.DUMMYFUNCTION("IMPORTRANGE(""https://docs.google.com/spreadsheets/d/1XL5vhW3sbDhbH9Cz0tuDiY8C3ctxq1tqvaCgkFb8cCA/edit?usp=sharing"",""บุรีรัมย์!J364"")"),0)</f>
        <v>0</v>
      </c>
      <c r="Q40" s="55">
        <f ca="1">IFERROR(__xludf.DUMMYFUNCTION("IMPORTRANGE(""https://docs.google.com/spreadsheets/d/1XL5vhW3sbDhbH9Cz0tuDiY8C3ctxq1tqvaCgkFb8cCA/edit?usp=sharing"",""บุรีรัมย์!J365"")"),0)</f>
        <v>0</v>
      </c>
      <c r="R40" s="55">
        <f ca="1">IFERROR(__xludf.DUMMYFUNCTION("IMPORTRANGE(""https://docs.google.com/spreadsheets/d/1XL5vhW3sbDhbH9Cz0tuDiY8C3ctxq1tqvaCgkFb8cCA/edit?usp=sharing"",""บุรีรัมย์!J366"")"),0)</f>
        <v>0</v>
      </c>
      <c r="S40" s="55">
        <f ca="1">IFERROR(__xludf.DUMMYFUNCTION("IMPORTRANGE(""https://docs.google.com/spreadsheets/d/1XL5vhW3sbDhbH9Cz0tuDiY8C3ctxq1tqvaCgkFb8cCA/edit?usp=sharing"",""บุรีรัมย์!J367"")"),0)</f>
        <v>0</v>
      </c>
      <c r="T40" s="55">
        <f t="shared" ca="1" si="85"/>
        <v>0</v>
      </c>
      <c r="U40" s="55">
        <f t="shared" ca="1" si="6"/>
        <v>0</v>
      </c>
      <c r="V40" s="55">
        <f t="shared" ca="1" si="86"/>
        <v>0</v>
      </c>
      <c r="W40" s="55">
        <f t="shared" ca="1" si="7"/>
        <v>0</v>
      </c>
      <c r="X40" s="55">
        <f ca="1">IFERROR(__xludf.DUMMYFUNCTION("IMPORTRANGE(""https://docs.google.com/spreadsheets/d/1XL5vhW3sbDhbH9Cz0tuDiY8C3ctxq1tqvaCgkFb8cCA/edit?usp=sharing"",""บุรีรัมย์!J370"")"),0)</f>
        <v>0</v>
      </c>
      <c r="Y40" s="55">
        <f ca="1">IFERROR(__xludf.DUMMYFUNCTION("IMPORTRANGE(""https://docs.google.com/spreadsheets/d/1XL5vhW3sbDhbH9Cz0tuDiY8C3ctxq1tqvaCgkFb8cCA/edit?usp=sharing"",""บุรีรัมย์!J371"")"),0)</f>
        <v>0</v>
      </c>
      <c r="Z40" s="55">
        <f ca="1">IFERROR(__xludf.DUMMYFUNCTION("IMPORTRANGE(""https://docs.google.com/spreadsheets/d/1XL5vhW3sbDhbH9Cz0tuDiY8C3ctxq1tqvaCgkFb8cCA/edit?usp=sharing"",""บุรีรัมย์!J372"")"),0)</f>
        <v>0</v>
      </c>
      <c r="AA40" s="55">
        <f ca="1">IFERROR(__xludf.DUMMYFUNCTION("IMPORTRANGE(""https://docs.google.com/spreadsheets/d/1XL5vhW3sbDhbH9Cz0tuDiY8C3ctxq1tqvaCgkFb8cCA/edit?usp=sharing"",""บุรีรัมย์!J373"")"),0)</f>
        <v>0</v>
      </c>
      <c r="AB40" s="55">
        <f ca="1">IFERROR(__xludf.DUMMYFUNCTION("IMPORTRANGE(""https://docs.google.com/spreadsheets/d/1XL5vhW3sbDhbH9Cz0tuDiY8C3ctxq1tqvaCgkFb8cCA/edit?usp=sharing"",""บุรีรัมย์!J374"")"),0)</f>
        <v>0</v>
      </c>
      <c r="AC40" s="55">
        <f ca="1">IFERROR(__xludf.DUMMYFUNCTION("IMPORTRANGE(""https://docs.google.com/spreadsheets/d/1XL5vhW3sbDhbH9Cz0tuDiY8C3ctxq1tqvaCgkFb8cCA/edit?usp=sharing"",""บุรีรัมย์!J375"")"),0)</f>
        <v>0</v>
      </c>
      <c r="AD40" s="55">
        <f t="shared" ca="1" si="87"/>
        <v>0</v>
      </c>
      <c r="AE40" s="99">
        <f t="shared" ca="1" si="9"/>
        <v>0</v>
      </c>
      <c r="AF40" s="55">
        <f t="shared" ca="1" si="88"/>
        <v>0</v>
      </c>
      <c r="AG40" s="99">
        <f t="shared" ca="1" si="10"/>
        <v>0</v>
      </c>
      <c r="AH40" s="55">
        <f ca="1">IFERROR(__xludf.DUMMYFUNCTION("IMPORTRANGE(""https://docs.google.com/spreadsheets/d/1XL5vhW3sbDhbH9Cz0tuDiY8C3ctxq1tqvaCgkFb8cCA/edit?usp=sharing"",""บุรีรัมย์!J378"")"),0)</f>
        <v>0</v>
      </c>
      <c r="AI40" s="55">
        <f ca="1">IFERROR(__xludf.DUMMYFUNCTION("IMPORTRANGE(""https://docs.google.com/spreadsheets/d/1XL5vhW3sbDhbH9Cz0tuDiY8C3ctxq1tqvaCgkFb8cCA/edit?usp=sharing"",""บุรีรัมย์!J379"")"),0)</f>
        <v>0</v>
      </c>
      <c r="AJ40" s="55">
        <f ca="1">IFERROR(__xludf.DUMMYFUNCTION("IMPORTRANGE(""https://docs.google.com/spreadsheets/d/1XL5vhW3sbDhbH9Cz0tuDiY8C3ctxq1tqvaCgkFb8cCA/edit?usp=sharing"",""บุรีรัมย์!J380"")"),0)</f>
        <v>0</v>
      </c>
      <c r="AK40" s="55">
        <f ca="1">IFERROR(__xludf.DUMMYFUNCTION("IMPORTRANGE(""https://docs.google.com/spreadsheets/d/1XL5vhW3sbDhbH9Cz0tuDiY8C3ctxq1tqvaCgkFb8cCA/edit?usp=sharing"",""บุรีรัมย์!J381"")"),0)</f>
        <v>0</v>
      </c>
      <c r="AL40" s="55">
        <f ca="1">IFERROR(__xludf.DUMMYFUNCTION("IMPORTRANGE(""https://docs.google.com/spreadsheets/d/1XL5vhW3sbDhbH9Cz0tuDiY8C3ctxq1tqvaCgkFb8cCA/edit?usp=sharing"",""บุรีรัมย์!J384"")"),0)</f>
        <v>0</v>
      </c>
      <c r="AM40" s="55">
        <f ca="1">IFERROR(__xludf.DUMMYFUNCTION("IMPORTRANGE(""https://docs.google.com/spreadsheets/d/1XL5vhW3sbDhbH9Cz0tuDiY8C3ctxq1tqvaCgkFb8cCA/edit?usp=sharing"",""บุรีรัมย์!J385"")"),0)</f>
        <v>0</v>
      </c>
      <c r="AN40" s="55">
        <f ca="1">IFERROR(__xludf.DUMMYFUNCTION("IMPORTRANGE(""https://docs.google.com/spreadsheets/d/1XL5vhW3sbDhbH9Cz0tuDiY8C3ctxq1tqvaCgkFb8cCA/edit?usp=sharing"",""บุรีรัมย์!J386"")"),0)</f>
        <v>0</v>
      </c>
      <c r="AO40" s="55">
        <f ca="1">IFERROR(__xludf.DUMMYFUNCTION("IMPORTRANGE(""https://docs.google.com/spreadsheets/d/1XL5vhW3sbDhbH9Cz0tuDiY8C3ctxq1tqvaCgkFb8cCA/edit?usp=sharing"",""บุรีรัมย์!J387"")"),0)</f>
        <v>0</v>
      </c>
      <c r="AP40" s="55">
        <f ca="1">IFERROR(__xludf.DUMMYFUNCTION("IMPORTRANGE(""https://docs.google.com/spreadsheets/d/1XL5vhW3sbDhbH9Cz0tuDiY8C3ctxq1tqvaCgkFb8cCA/edit?usp=sharing"",""บุรีรัมย์!J388"")"),0)</f>
        <v>0</v>
      </c>
      <c r="AQ40" s="55">
        <f ca="1">IFERROR(__xludf.DUMMYFUNCTION("IMPORTRANGE(""https://docs.google.com/spreadsheets/d/1XL5vhW3sbDhbH9Cz0tuDiY8C3ctxq1tqvaCgkFb8cCA/edit?usp=sharing"",""บุรีรัมย์!J389"")"),0)</f>
        <v>0</v>
      </c>
      <c r="AR40" s="402">
        <v>3024</v>
      </c>
      <c r="AS40" s="402">
        <v>29544</v>
      </c>
      <c r="AT40" s="402">
        <f t="shared" ca="1" si="89"/>
        <v>0</v>
      </c>
      <c r="AU40" s="402">
        <f t="shared" ca="1" si="12"/>
        <v>0</v>
      </c>
      <c r="AV40" s="402">
        <f t="shared" ca="1" si="90"/>
        <v>0</v>
      </c>
      <c r="AW40" s="402">
        <f t="shared" ca="1" si="13"/>
        <v>0</v>
      </c>
      <c r="AX40" s="55">
        <f ca="1">IFERROR(__xludf.DUMMYFUNCTION("IMPORTRANGE(""https://docs.google.com/spreadsheets/d/1XL5vhW3sbDhbH9Cz0tuDiY8C3ctxq1tqvaCgkFb8cCA/edit?usp=sharing"",""บุรีรัมย์!J395"")"),0)</f>
        <v>0</v>
      </c>
      <c r="AY40" s="55">
        <f ca="1">IFERROR(__xludf.DUMMYFUNCTION("IMPORTRANGE(""https://docs.google.com/spreadsheets/d/1XL5vhW3sbDhbH9Cz0tuDiY8C3ctxq1tqvaCgkFb8cCA/edit?usp=sharing"",""บุรีรัมย์!J396"")"),0)</f>
        <v>0</v>
      </c>
      <c r="AZ40" s="55">
        <f ca="1">IFERROR(__xludf.DUMMYFUNCTION("IMPORTRANGE(""https://docs.google.com/spreadsheets/d/1XL5vhW3sbDhbH9Cz0tuDiY8C3ctxq1tqvaCgkFb8cCA/edit?usp=sharing"",""บุรีรัมย์!J397"")"),0)</f>
        <v>0</v>
      </c>
      <c r="BA40" s="55">
        <f ca="1">IFERROR(__xludf.DUMMYFUNCTION("IMPORTRANGE(""https://docs.google.com/spreadsheets/d/1XL5vhW3sbDhbH9Cz0tuDiY8C3ctxq1tqvaCgkFb8cCA/edit?usp=sharing"",""บุรีรัมย์!J398"")"),0)</f>
        <v>0</v>
      </c>
      <c r="BB40" s="55">
        <f ca="1">IFERROR(__xludf.DUMMYFUNCTION("IMPORTRANGE(""https://docs.google.com/spreadsheets/d/1XL5vhW3sbDhbH9Cz0tuDiY8C3ctxq1tqvaCgkFb8cCA/edit?usp=sharing"",""บุรีรัมย์!J399"")"),0)</f>
        <v>0</v>
      </c>
      <c r="BC40" s="55">
        <f ca="1">IFERROR(__xludf.DUMMYFUNCTION("IMPORTRANGE(""https://docs.google.com/spreadsheets/d/1XL5vhW3sbDhbH9Cz0tuDiY8C3ctxq1tqvaCgkFb8cCA/edit?usp=sharing"",""บุรีรัมย์!J400"")"),0)</f>
        <v>0</v>
      </c>
      <c r="BD40" s="55">
        <f ca="1">IFERROR(__xludf.DUMMYFUNCTION("IMPORTRANGE(""https://docs.google.com/spreadsheets/d/1XL5vhW3sbDhbH9Cz0tuDiY8C3ctxq1tqvaCgkFb8cCA/edit?usp=sharing"",""บุรีรัมย์!J403"")"),0)</f>
        <v>0</v>
      </c>
      <c r="BE40" s="55">
        <f ca="1">IFERROR(__xludf.DUMMYFUNCTION("IMPORTRANGE(""https://docs.google.com/spreadsheets/d/1XL5vhW3sbDhbH9Cz0tuDiY8C3ctxq1tqvaCgkFb8cCA/edit?usp=sharing"",""บุรีรัมย์!J404"")"),0)</f>
        <v>0</v>
      </c>
      <c r="BF40" s="55">
        <f ca="1">IFERROR(__xludf.DUMMYFUNCTION("IMPORTRANGE(""https://docs.google.com/spreadsheets/d/1XL5vhW3sbDhbH9Cz0tuDiY8C3ctxq1tqvaCgkFb8cCA/edit?usp=sharing"",""บุรีรัมย์!J405"")"),0)</f>
        <v>0</v>
      </c>
      <c r="BG40" s="55">
        <f ca="1">IFERROR(__xludf.DUMMYFUNCTION("IMPORTRANGE(""https://docs.google.com/spreadsheets/d/1XL5vhW3sbDhbH9Cz0tuDiY8C3ctxq1tqvaCgkFb8cCA/edit?usp=sharing"",""บุรีรัมย์!J406"")"),0)</f>
        <v>0</v>
      </c>
      <c r="BH40" s="55">
        <f ca="1">IFERROR(__xludf.DUMMYFUNCTION("IMPORTRANGE(""https://docs.google.com/spreadsheets/d/1XL5vhW3sbDhbH9Cz0tuDiY8C3ctxq1tqvaCgkFb8cCA/edit?usp=sharing"",""บุรีรัมย์!J407"")"),0)</f>
        <v>0</v>
      </c>
      <c r="BI40" s="55">
        <f ca="1">IFERROR(__xludf.DUMMYFUNCTION("IMPORTRANGE(""https://docs.google.com/spreadsheets/d/1XL5vhW3sbDhbH9Cz0tuDiY8C3ctxq1tqvaCgkFb8cCA/edit?usp=sharing"",""บุรีรัมย์!J408"")"),0)</f>
        <v>0</v>
      </c>
      <c r="BJ40" s="402">
        <v>30569</v>
      </c>
      <c r="BK40" s="402">
        <v>5104</v>
      </c>
      <c r="BL40" s="402">
        <f t="shared" ca="1" si="91"/>
        <v>0</v>
      </c>
      <c r="BM40" s="403">
        <f t="shared" ca="1" si="15"/>
        <v>0</v>
      </c>
      <c r="BN40" s="402">
        <f t="shared" ca="1" si="92"/>
        <v>0</v>
      </c>
      <c r="BO40" s="403">
        <f t="shared" ca="1" si="16"/>
        <v>0</v>
      </c>
      <c r="BP40" s="55">
        <f ca="1">IFERROR(__xludf.DUMMYFUNCTION("IMPORTRANGE(""https://docs.google.com/spreadsheets/d/1XL5vhW3sbDhbH9Cz0tuDiY8C3ctxq1tqvaCgkFb8cCA/edit?usp=sharing"",""บุรีรัมย์!J412"")"),0)</f>
        <v>0</v>
      </c>
      <c r="BQ40" s="55">
        <f ca="1">IFERROR(__xludf.DUMMYFUNCTION("IMPORTRANGE(""https://docs.google.com/spreadsheets/d/1XL5vhW3sbDhbH9Cz0tuDiY8C3ctxq1tqvaCgkFb8cCA/edit?usp=sharing"",""บุรีรัมย์!J413"")"),0)</f>
        <v>0</v>
      </c>
      <c r="BR40" s="55">
        <f ca="1">IFERROR(__xludf.DUMMYFUNCTION("IMPORTRANGE(""https://docs.google.com/spreadsheets/d/1XL5vhW3sbDhbH9Cz0tuDiY8C3ctxq1tqvaCgkFb8cCA/edit?usp=sharing"",""บุรีรัมย์!J414"")"),0)</f>
        <v>0</v>
      </c>
      <c r="BS40" s="55">
        <f ca="1">IFERROR(__xludf.DUMMYFUNCTION("IMPORTRANGE(""https://docs.google.com/spreadsheets/d/1XL5vhW3sbDhbH9Cz0tuDiY8C3ctxq1tqvaCgkFb8cCA/edit?usp=sharing"",""บุรีรัมย์!J415"")"),0)</f>
        <v>0</v>
      </c>
      <c r="BT40" s="55">
        <f ca="1">IFERROR(__xludf.DUMMYFUNCTION("IMPORTRANGE(""https://docs.google.com/spreadsheets/d/1XL5vhW3sbDhbH9Cz0tuDiY8C3ctxq1tqvaCgkFb8cCA/edit?usp=sharing"",""บุรีรัมย์!J416"")"),0)</f>
        <v>0</v>
      </c>
      <c r="BU40" s="55">
        <f ca="1">IFERROR(__xludf.DUMMYFUNCTION("IMPORTRANGE(""https://docs.google.com/spreadsheets/d/1XL5vhW3sbDhbH9Cz0tuDiY8C3ctxq1tqvaCgkFb8cCA/edit?usp=sharing"",""บุรีรัมย์!J417"")"),0)</f>
        <v>0</v>
      </c>
      <c r="BV40" s="402">
        <f t="shared" ca="1" si="93"/>
        <v>0</v>
      </c>
      <c r="BW40" s="403">
        <f t="shared" ca="1" si="94"/>
        <v>0</v>
      </c>
      <c r="BX40" s="402">
        <f t="shared" ca="1" si="95"/>
        <v>0</v>
      </c>
      <c r="BY40" s="403">
        <f t="shared" ca="1" si="96"/>
        <v>0</v>
      </c>
      <c r="BZ40" s="55">
        <f ca="1">IFERROR(__xludf.DUMMYFUNCTION("IMPORTRANGE(""https://docs.google.com/spreadsheets/d/1XL5vhW3sbDhbH9Cz0tuDiY8C3ctxq1tqvaCgkFb8cCA/edit?usp=sharing"",""บุรีรัมย์!J420"")"),0)</f>
        <v>0</v>
      </c>
      <c r="CA40" s="55">
        <f ca="1">IFERROR(__xludf.DUMMYFUNCTION("IMPORTRANGE(""https://docs.google.com/spreadsheets/d/1XL5vhW3sbDhbH9Cz0tuDiY8C3ctxq1tqvaCgkFb8cCA/edit?usp=sharing"",""บุรีรัมย์!J421"")"),0)</f>
        <v>0</v>
      </c>
      <c r="CB40" s="55">
        <f ca="1">IFERROR(__xludf.DUMMYFUNCTION("IMPORTRANGE(""https://docs.google.com/spreadsheets/d/1XL5vhW3sbDhbH9Cz0tuDiY8C3ctxq1tqvaCgkFb8cCA/edit?usp=sharing"",""บุรีรัมย์!J422"")"),0)</f>
        <v>0</v>
      </c>
      <c r="CC40" s="55">
        <f ca="1">IFERROR(__xludf.DUMMYFUNCTION("IMPORTRANGE(""https://docs.google.com/spreadsheets/d/1XL5vhW3sbDhbH9Cz0tuDiY8C3ctxq1tqvaCgkFb8cCA/edit?usp=sharing"",""บุรีรัมย์!J423"")"),0)</f>
        <v>0</v>
      </c>
      <c r="CD40" s="55">
        <f ca="1">IFERROR(__xludf.DUMMYFUNCTION("IMPORTRANGE(""https://docs.google.com/spreadsheets/d/1XL5vhW3sbDhbH9Cz0tuDiY8C3ctxq1tqvaCgkFb8cCA/edit?usp=sharing"",""บุรีรัมย์!J424"")"),0)</f>
        <v>0</v>
      </c>
      <c r="CE40" s="422">
        <f ca="1">IFERROR(__xludf.DUMMYFUNCTION("IMPORTRANGE(""https://docs.google.com/spreadsheets/d/1XL5vhW3sbDhbH9Cz0tuDiY8C3ctxq1tqvaCgkFb8cCA/edit?usp=sharing"",""บุรีรัมย์!J425"")"),0)</f>
        <v>0</v>
      </c>
    </row>
    <row r="41" spans="1:83" ht="24" customHeight="1" x14ac:dyDescent="0.5">
      <c r="A41" s="273">
        <v>8</v>
      </c>
      <c r="B41" s="274" t="s">
        <v>56</v>
      </c>
      <c r="C41" s="400">
        <f t="shared" si="82"/>
        <v>209636.5</v>
      </c>
      <c r="D41" s="55">
        <v>0</v>
      </c>
      <c r="E41" s="401">
        <v>209636.5</v>
      </c>
      <c r="F41" s="99">
        <f ca="1">IFERROR(__xludf.DUMMYFUNCTION("IMPORTRANGE(""https://docs.google.com/spreadsheets/d/1XL5vhW3sbDhbH9Cz0tuDiY8C3ctxq1tqvaCgkFb8cCA/edit?usp=sharing"",""มหาสารคาม!M352"")"),0)</f>
        <v>0</v>
      </c>
      <c r="G41" s="99">
        <f t="shared" ca="1" si="1"/>
        <v>0</v>
      </c>
      <c r="H41" s="57">
        <v>23588</v>
      </c>
      <c r="I41" s="57">
        <v>3166</v>
      </c>
      <c r="J41" s="55">
        <f t="shared" ca="1" si="83"/>
        <v>0</v>
      </c>
      <c r="K41" s="99">
        <f t="shared" ca="1" si="3"/>
        <v>0</v>
      </c>
      <c r="L41" s="55">
        <f t="shared" ca="1" si="84"/>
        <v>0</v>
      </c>
      <c r="M41" s="99">
        <f t="shared" ca="1" si="4"/>
        <v>0</v>
      </c>
      <c r="N41" s="55">
        <f ca="1">IFERROR(__xludf.DUMMYFUNCTION("IMPORTRANGE(""https://docs.google.com/spreadsheets/d/1XL5vhW3sbDhbH9Cz0tuDiY8C3ctxq1tqvaCgkFb8cCA/edit?usp=sharing"",""มหาสารคาม!J362"")"),0)</f>
        <v>0</v>
      </c>
      <c r="O41" s="55">
        <f ca="1">IFERROR(__xludf.DUMMYFUNCTION("IMPORTRANGE(""https://docs.google.com/spreadsheets/d/1XL5vhW3sbDhbH9Cz0tuDiY8C3ctxq1tqvaCgkFb8cCA/edit?usp=sharing"",""มหาสารคาม!J363"")"),0)</f>
        <v>0</v>
      </c>
      <c r="P41" s="55">
        <f ca="1">IFERROR(__xludf.DUMMYFUNCTION("IMPORTRANGE(""https://docs.google.com/spreadsheets/d/1XL5vhW3sbDhbH9Cz0tuDiY8C3ctxq1tqvaCgkFb8cCA/edit?usp=sharing"",""มหาสารคาม!J364"")"),0)</f>
        <v>0</v>
      </c>
      <c r="Q41" s="55">
        <f ca="1">IFERROR(__xludf.DUMMYFUNCTION("IMPORTRANGE(""https://docs.google.com/spreadsheets/d/1XL5vhW3sbDhbH9Cz0tuDiY8C3ctxq1tqvaCgkFb8cCA/edit?usp=sharing"",""มหาสารคาม!J365"")"),0)</f>
        <v>0</v>
      </c>
      <c r="R41" s="55">
        <f ca="1">IFERROR(__xludf.DUMMYFUNCTION("IMPORTRANGE(""https://docs.google.com/spreadsheets/d/1XL5vhW3sbDhbH9Cz0tuDiY8C3ctxq1tqvaCgkFb8cCA/edit?usp=sharing"",""มหาสารคาม!J366"")"),0)</f>
        <v>0</v>
      </c>
      <c r="S41" s="55">
        <f ca="1">IFERROR(__xludf.DUMMYFUNCTION("IMPORTRANGE(""https://docs.google.com/spreadsheets/d/1XL5vhW3sbDhbH9Cz0tuDiY8C3ctxq1tqvaCgkFb8cCA/edit?usp=sharing"",""มหาสารคาม!J367"")"),0)</f>
        <v>0</v>
      </c>
      <c r="T41" s="55">
        <f t="shared" ca="1" si="85"/>
        <v>0</v>
      </c>
      <c r="U41" s="55">
        <f t="shared" ca="1" si="6"/>
        <v>0</v>
      </c>
      <c r="V41" s="55">
        <f t="shared" ca="1" si="86"/>
        <v>0</v>
      </c>
      <c r="W41" s="55">
        <f t="shared" ca="1" si="7"/>
        <v>0</v>
      </c>
      <c r="X41" s="55">
        <f ca="1">IFERROR(__xludf.DUMMYFUNCTION("IMPORTRANGE(""https://docs.google.com/spreadsheets/d/1XL5vhW3sbDhbH9Cz0tuDiY8C3ctxq1tqvaCgkFb8cCA/edit?usp=sharing"",""มหาสารคาม!J370"")"),0)</f>
        <v>0</v>
      </c>
      <c r="Y41" s="55">
        <f ca="1">IFERROR(__xludf.DUMMYFUNCTION("IMPORTRANGE(""https://docs.google.com/spreadsheets/d/1XL5vhW3sbDhbH9Cz0tuDiY8C3ctxq1tqvaCgkFb8cCA/edit?usp=sharing"",""มหาสารคาม!J371"")"),0)</f>
        <v>0</v>
      </c>
      <c r="Z41" s="55">
        <f ca="1">IFERROR(__xludf.DUMMYFUNCTION("IMPORTRANGE(""https://docs.google.com/spreadsheets/d/1XL5vhW3sbDhbH9Cz0tuDiY8C3ctxq1tqvaCgkFb8cCA/edit?usp=sharing"",""มหาสารคาม!J372"")"),0)</f>
        <v>0</v>
      </c>
      <c r="AA41" s="55">
        <f ca="1">IFERROR(__xludf.DUMMYFUNCTION("IMPORTRANGE(""https://docs.google.com/spreadsheets/d/1XL5vhW3sbDhbH9Cz0tuDiY8C3ctxq1tqvaCgkFb8cCA/edit?usp=sharing"",""มหาสารคาม!J373"")"),0)</f>
        <v>0</v>
      </c>
      <c r="AB41" s="55">
        <f ca="1">IFERROR(__xludf.DUMMYFUNCTION("IMPORTRANGE(""https://docs.google.com/spreadsheets/d/1XL5vhW3sbDhbH9Cz0tuDiY8C3ctxq1tqvaCgkFb8cCA/edit?usp=sharing"",""มหาสารคาม!J374"")"),0)</f>
        <v>0</v>
      </c>
      <c r="AC41" s="55">
        <f ca="1">IFERROR(__xludf.DUMMYFUNCTION("IMPORTRANGE(""https://docs.google.com/spreadsheets/d/1XL5vhW3sbDhbH9Cz0tuDiY8C3ctxq1tqvaCgkFb8cCA/edit?usp=sharing"",""มหาสารคาม!J375"")"),0)</f>
        <v>0</v>
      </c>
      <c r="AD41" s="55">
        <f t="shared" ca="1" si="87"/>
        <v>0</v>
      </c>
      <c r="AE41" s="99">
        <f t="shared" ca="1" si="9"/>
        <v>0</v>
      </c>
      <c r="AF41" s="55">
        <f t="shared" ca="1" si="88"/>
        <v>0</v>
      </c>
      <c r="AG41" s="99">
        <f t="shared" ca="1" si="10"/>
        <v>0</v>
      </c>
      <c r="AH41" s="55">
        <f ca="1">IFERROR(__xludf.DUMMYFUNCTION("IMPORTRANGE(""https://docs.google.com/spreadsheets/d/1XL5vhW3sbDhbH9Cz0tuDiY8C3ctxq1tqvaCgkFb8cCA/edit?usp=sharing"",""มหาสารคาม!J378"")"),0)</f>
        <v>0</v>
      </c>
      <c r="AI41" s="55">
        <f ca="1">IFERROR(__xludf.DUMMYFUNCTION("IMPORTRANGE(""https://docs.google.com/spreadsheets/d/1XL5vhW3sbDhbH9Cz0tuDiY8C3ctxq1tqvaCgkFb8cCA/edit?usp=sharing"",""มหาสารคาม!J379"")"),0)</f>
        <v>0</v>
      </c>
      <c r="AJ41" s="55">
        <f ca="1">IFERROR(__xludf.DUMMYFUNCTION("IMPORTRANGE(""https://docs.google.com/spreadsheets/d/1XL5vhW3sbDhbH9Cz0tuDiY8C3ctxq1tqvaCgkFb8cCA/edit?usp=sharing"",""มหาสารคาม!J380"")"),0)</f>
        <v>0</v>
      </c>
      <c r="AK41" s="55">
        <f ca="1">IFERROR(__xludf.DUMMYFUNCTION("IMPORTRANGE(""https://docs.google.com/spreadsheets/d/1XL5vhW3sbDhbH9Cz0tuDiY8C3ctxq1tqvaCgkFb8cCA/edit?usp=sharing"",""มหาสารคาม!J381"")"),0)</f>
        <v>0</v>
      </c>
      <c r="AL41" s="55">
        <f ca="1">IFERROR(__xludf.DUMMYFUNCTION("IMPORTRANGE(""https://docs.google.com/spreadsheets/d/1XL5vhW3sbDhbH9Cz0tuDiY8C3ctxq1tqvaCgkFb8cCA/edit?usp=sharing"",""มหาสารคาม!J384"")"),0)</f>
        <v>0</v>
      </c>
      <c r="AM41" s="55">
        <f ca="1">IFERROR(__xludf.DUMMYFUNCTION("IMPORTRANGE(""https://docs.google.com/spreadsheets/d/1XL5vhW3sbDhbH9Cz0tuDiY8C3ctxq1tqvaCgkFb8cCA/edit?usp=sharing"",""มหาสารคาม!J385"")"),0)</f>
        <v>0</v>
      </c>
      <c r="AN41" s="55">
        <f ca="1">IFERROR(__xludf.DUMMYFUNCTION("IMPORTRANGE(""https://docs.google.com/spreadsheets/d/1XL5vhW3sbDhbH9Cz0tuDiY8C3ctxq1tqvaCgkFb8cCA/edit?usp=sharing"",""มหาสารคาม!J386"")"),0)</f>
        <v>0</v>
      </c>
      <c r="AO41" s="55">
        <f ca="1">IFERROR(__xludf.DUMMYFUNCTION("IMPORTRANGE(""https://docs.google.com/spreadsheets/d/1XL5vhW3sbDhbH9Cz0tuDiY8C3ctxq1tqvaCgkFb8cCA/edit?usp=sharing"",""มหาสารคาม!J387"")"),0)</f>
        <v>0</v>
      </c>
      <c r="AP41" s="55">
        <f ca="1">IFERROR(__xludf.DUMMYFUNCTION("IMPORTRANGE(""https://docs.google.com/spreadsheets/d/1XL5vhW3sbDhbH9Cz0tuDiY8C3ctxq1tqvaCgkFb8cCA/edit?usp=sharing"",""มหาสารคาม!J388"")"),0)</f>
        <v>0</v>
      </c>
      <c r="AQ41" s="55">
        <f ca="1">IFERROR(__xludf.DUMMYFUNCTION("IMPORTRANGE(""https://docs.google.com/spreadsheets/d/1XL5vhW3sbDhbH9Cz0tuDiY8C3ctxq1tqvaCgkFb8cCA/edit?usp=sharing"",""มหาสารคาม!J389"")"),0)</f>
        <v>0</v>
      </c>
      <c r="AR41" s="402">
        <v>36</v>
      </c>
      <c r="AS41" s="402">
        <v>408</v>
      </c>
      <c r="AT41" s="402">
        <f t="shared" ca="1" si="89"/>
        <v>0</v>
      </c>
      <c r="AU41" s="402">
        <f t="shared" ca="1" si="12"/>
        <v>0</v>
      </c>
      <c r="AV41" s="402">
        <f t="shared" ca="1" si="90"/>
        <v>0</v>
      </c>
      <c r="AW41" s="402">
        <f t="shared" ca="1" si="13"/>
        <v>0</v>
      </c>
      <c r="AX41" s="55">
        <f ca="1">IFERROR(__xludf.DUMMYFUNCTION("IMPORTRANGE(""https://docs.google.com/spreadsheets/d/1XL5vhW3sbDhbH9Cz0tuDiY8C3ctxq1tqvaCgkFb8cCA/edit?usp=sharing"",""มหาสารคาม!J395"")"),0)</f>
        <v>0</v>
      </c>
      <c r="AY41" s="55">
        <f ca="1">IFERROR(__xludf.DUMMYFUNCTION("IMPORTRANGE(""https://docs.google.com/spreadsheets/d/1XL5vhW3sbDhbH9Cz0tuDiY8C3ctxq1tqvaCgkFb8cCA/edit?usp=sharing"",""มหาสารคาม!J396"")"),0)</f>
        <v>0</v>
      </c>
      <c r="AZ41" s="55">
        <f ca="1">IFERROR(__xludf.DUMMYFUNCTION("IMPORTRANGE(""https://docs.google.com/spreadsheets/d/1XL5vhW3sbDhbH9Cz0tuDiY8C3ctxq1tqvaCgkFb8cCA/edit?usp=sharing"",""มหาสารคาม!J397"")"),0)</f>
        <v>0</v>
      </c>
      <c r="BA41" s="55">
        <f ca="1">IFERROR(__xludf.DUMMYFUNCTION("IMPORTRANGE(""https://docs.google.com/spreadsheets/d/1XL5vhW3sbDhbH9Cz0tuDiY8C3ctxq1tqvaCgkFb8cCA/edit?usp=sharing"",""มหาสารคาม!J398"")"),0)</f>
        <v>0</v>
      </c>
      <c r="BB41" s="55">
        <f ca="1">IFERROR(__xludf.DUMMYFUNCTION("IMPORTRANGE(""https://docs.google.com/spreadsheets/d/1XL5vhW3sbDhbH9Cz0tuDiY8C3ctxq1tqvaCgkFb8cCA/edit?usp=sharing"",""มหาสารคาม!J399"")"),0)</f>
        <v>0</v>
      </c>
      <c r="BC41" s="55">
        <f ca="1">IFERROR(__xludf.DUMMYFUNCTION("IMPORTRANGE(""https://docs.google.com/spreadsheets/d/1XL5vhW3sbDhbH9Cz0tuDiY8C3ctxq1tqvaCgkFb8cCA/edit?usp=sharing"",""มหาสารคาม!J400"")"),0)</f>
        <v>0</v>
      </c>
      <c r="BD41" s="55">
        <f ca="1">IFERROR(__xludf.DUMMYFUNCTION("IMPORTRANGE(""https://docs.google.com/spreadsheets/d/1XL5vhW3sbDhbH9Cz0tuDiY8C3ctxq1tqvaCgkFb8cCA/edit?usp=sharing"",""มหาสารคาม!J403"")"),0)</f>
        <v>0</v>
      </c>
      <c r="BE41" s="55">
        <f ca="1">IFERROR(__xludf.DUMMYFUNCTION("IMPORTRANGE(""https://docs.google.com/spreadsheets/d/1XL5vhW3sbDhbH9Cz0tuDiY8C3ctxq1tqvaCgkFb8cCA/edit?usp=sharing"",""มหาสารคาม!J404"")"),0)</f>
        <v>0</v>
      </c>
      <c r="BF41" s="55">
        <f ca="1">IFERROR(__xludf.DUMMYFUNCTION("IMPORTRANGE(""https://docs.google.com/spreadsheets/d/1XL5vhW3sbDhbH9Cz0tuDiY8C3ctxq1tqvaCgkFb8cCA/edit?usp=sharing"",""มหาสารคาม!J405"")"),0)</f>
        <v>0</v>
      </c>
      <c r="BG41" s="55">
        <f ca="1">IFERROR(__xludf.DUMMYFUNCTION("IMPORTRANGE(""https://docs.google.com/spreadsheets/d/1XL5vhW3sbDhbH9Cz0tuDiY8C3ctxq1tqvaCgkFb8cCA/edit?usp=sharing"",""มหาสารคาม!J406"")"),0)</f>
        <v>0</v>
      </c>
      <c r="BH41" s="55">
        <f ca="1">IFERROR(__xludf.DUMMYFUNCTION("IMPORTRANGE(""https://docs.google.com/spreadsheets/d/1XL5vhW3sbDhbH9Cz0tuDiY8C3ctxq1tqvaCgkFb8cCA/edit?usp=sharing"",""มหาสารคาม!J407"")"),0)</f>
        <v>0</v>
      </c>
      <c r="BI41" s="55">
        <f ca="1">IFERROR(__xludf.DUMMYFUNCTION("IMPORTRANGE(""https://docs.google.com/spreadsheets/d/1XL5vhW3sbDhbH9Cz0tuDiY8C3ctxq1tqvaCgkFb8cCA/edit?usp=sharing"",""มหาสารคาม!J408"")"),0)</f>
        <v>0</v>
      </c>
      <c r="BJ41" s="402">
        <v>23588</v>
      </c>
      <c r="BK41" s="402">
        <v>3166</v>
      </c>
      <c r="BL41" s="402">
        <f t="shared" ca="1" si="91"/>
        <v>0</v>
      </c>
      <c r="BM41" s="403">
        <f t="shared" ca="1" si="15"/>
        <v>0</v>
      </c>
      <c r="BN41" s="402">
        <f t="shared" ca="1" si="92"/>
        <v>0</v>
      </c>
      <c r="BO41" s="403">
        <f t="shared" ca="1" si="16"/>
        <v>0</v>
      </c>
      <c r="BP41" s="55">
        <f ca="1">IFERROR(__xludf.DUMMYFUNCTION("IMPORTRANGE(""https://docs.google.com/spreadsheets/d/1XL5vhW3sbDhbH9Cz0tuDiY8C3ctxq1tqvaCgkFb8cCA/edit?usp=sharing"",""มหาสารคาม!J412"")"),0)</f>
        <v>0</v>
      </c>
      <c r="BQ41" s="55">
        <f ca="1">IFERROR(__xludf.DUMMYFUNCTION("IMPORTRANGE(""https://docs.google.com/spreadsheets/d/1XL5vhW3sbDhbH9Cz0tuDiY8C3ctxq1tqvaCgkFb8cCA/edit?usp=sharing"",""มหาสารคาม!J413"")"),0)</f>
        <v>0</v>
      </c>
      <c r="BR41" s="55">
        <f ca="1">IFERROR(__xludf.DUMMYFUNCTION("IMPORTRANGE(""https://docs.google.com/spreadsheets/d/1XL5vhW3sbDhbH9Cz0tuDiY8C3ctxq1tqvaCgkFb8cCA/edit?usp=sharing"",""มหาสารคาม!J414"")"),0)</f>
        <v>0</v>
      </c>
      <c r="BS41" s="55">
        <f ca="1">IFERROR(__xludf.DUMMYFUNCTION("IMPORTRANGE(""https://docs.google.com/spreadsheets/d/1XL5vhW3sbDhbH9Cz0tuDiY8C3ctxq1tqvaCgkFb8cCA/edit?usp=sharing"",""มหาสารคาม!J415"")"),0)</f>
        <v>0</v>
      </c>
      <c r="BT41" s="55">
        <f ca="1">IFERROR(__xludf.DUMMYFUNCTION("IMPORTRANGE(""https://docs.google.com/spreadsheets/d/1XL5vhW3sbDhbH9Cz0tuDiY8C3ctxq1tqvaCgkFb8cCA/edit?usp=sharing"",""มหาสารคาม!J416"")"),0)</f>
        <v>0</v>
      </c>
      <c r="BU41" s="55">
        <f ca="1">IFERROR(__xludf.DUMMYFUNCTION("IMPORTRANGE(""https://docs.google.com/spreadsheets/d/1XL5vhW3sbDhbH9Cz0tuDiY8C3ctxq1tqvaCgkFb8cCA/edit?usp=sharing"",""มหาสารคาม!J417"")"),0)</f>
        <v>0</v>
      </c>
      <c r="BV41" s="402">
        <f t="shared" ca="1" si="93"/>
        <v>0</v>
      </c>
      <c r="BW41" s="403">
        <f t="shared" ca="1" si="94"/>
        <v>0</v>
      </c>
      <c r="BX41" s="402">
        <f t="shared" ca="1" si="95"/>
        <v>0</v>
      </c>
      <c r="BY41" s="403">
        <f t="shared" ca="1" si="96"/>
        <v>0</v>
      </c>
      <c r="BZ41" s="55">
        <f ca="1">IFERROR(__xludf.DUMMYFUNCTION("IMPORTRANGE(""https://docs.google.com/spreadsheets/d/1XL5vhW3sbDhbH9Cz0tuDiY8C3ctxq1tqvaCgkFb8cCA/edit?usp=sharing"",""มหาสารคาม!J420"")"),0)</f>
        <v>0</v>
      </c>
      <c r="CA41" s="55">
        <f ca="1">IFERROR(__xludf.DUMMYFUNCTION("IMPORTRANGE(""https://docs.google.com/spreadsheets/d/1XL5vhW3sbDhbH9Cz0tuDiY8C3ctxq1tqvaCgkFb8cCA/edit?usp=sharing"",""มหาสารคาม!J421"")"),0)</f>
        <v>0</v>
      </c>
      <c r="CB41" s="55">
        <f ca="1">IFERROR(__xludf.DUMMYFUNCTION("IMPORTRANGE(""https://docs.google.com/spreadsheets/d/1XL5vhW3sbDhbH9Cz0tuDiY8C3ctxq1tqvaCgkFb8cCA/edit?usp=sharing"",""มหาสารคาม!J422"")"),0)</f>
        <v>0</v>
      </c>
      <c r="CC41" s="55">
        <f ca="1">IFERROR(__xludf.DUMMYFUNCTION("IMPORTRANGE(""https://docs.google.com/spreadsheets/d/1XL5vhW3sbDhbH9Cz0tuDiY8C3ctxq1tqvaCgkFb8cCA/edit?usp=sharing"",""มหาสารคาม!J423"")"),0)</f>
        <v>0</v>
      </c>
      <c r="CD41" s="55">
        <f ca="1">IFERROR(__xludf.DUMMYFUNCTION("IMPORTRANGE(""https://docs.google.com/spreadsheets/d/1XL5vhW3sbDhbH9Cz0tuDiY8C3ctxq1tqvaCgkFb8cCA/edit?usp=sharing"",""มหาสารคาม!J424"")"),0)</f>
        <v>0</v>
      </c>
      <c r="CE41" s="422">
        <f ca="1">IFERROR(__xludf.DUMMYFUNCTION("IMPORTRANGE(""https://docs.google.com/spreadsheets/d/1XL5vhW3sbDhbH9Cz0tuDiY8C3ctxq1tqvaCgkFb8cCA/edit?usp=sharing"",""มหาสารคาม!J425"")"),0)</f>
        <v>0</v>
      </c>
    </row>
    <row r="42" spans="1:83" ht="24" customHeight="1" x14ac:dyDescent="0.5">
      <c r="A42" s="273">
        <v>9</v>
      </c>
      <c r="B42" s="274" t="s">
        <v>57</v>
      </c>
      <c r="C42" s="400">
        <f t="shared" si="82"/>
        <v>447718</v>
      </c>
      <c r="D42" s="55">
        <v>0</v>
      </c>
      <c r="E42" s="401">
        <v>447718</v>
      </c>
      <c r="F42" s="99">
        <f ca="1">IFERROR(__xludf.DUMMYFUNCTION("IMPORTRANGE(""https://docs.google.com/spreadsheets/d/1XL5vhW3sbDhbH9Cz0tuDiY8C3ctxq1tqvaCgkFb8cCA/edit?usp=sharing"",""มุกดาหาร!M352"")"),0)</f>
        <v>0</v>
      </c>
      <c r="G42" s="99">
        <f t="shared" ca="1" si="1"/>
        <v>0</v>
      </c>
      <c r="H42" s="57">
        <v>36508</v>
      </c>
      <c r="I42" s="57">
        <v>4715</v>
      </c>
      <c r="J42" s="55">
        <f t="shared" ca="1" si="83"/>
        <v>0</v>
      </c>
      <c r="K42" s="99">
        <f t="shared" ca="1" si="3"/>
        <v>0</v>
      </c>
      <c r="L42" s="55">
        <f t="shared" ca="1" si="84"/>
        <v>0</v>
      </c>
      <c r="M42" s="99">
        <f t="shared" ca="1" si="4"/>
        <v>0</v>
      </c>
      <c r="N42" s="55">
        <f ca="1">IFERROR(__xludf.DUMMYFUNCTION("IMPORTRANGE(""https://docs.google.com/spreadsheets/d/1XL5vhW3sbDhbH9Cz0tuDiY8C3ctxq1tqvaCgkFb8cCA/edit?usp=sharing"",""มุกดาหาร!J362"")"),0)</f>
        <v>0</v>
      </c>
      <c r="O42" s="55">
        <f ca="1">IFERROR(__xludf.DUMMYFUNCTION("IMPORTRANGE(""https://docs.google.com/spreadsheets/d/1XL5vhW3sbDhbH9Cz0tuDiY8C3ctxq1tqvaCgkFb8cCA/edit?usp=sharing"",""มุกดาหาร!J363"")"),0)</f>
        <v>0</v>
      </c>
      <c r="P42" s="55">
        <f ca="1">IFERROR(__xludf.DUMMYFUNCTION("IMPORTRANGE(""https://docs.google.com/spreadsheets/d/1XL5vhW3sbDhbH9Cz0tuDiY8C3ctxq1tqvaCgkFb8cCA/edit?usp=sharing"",""มุกดาหาร!J364"")"),0)</f>
        <v>0</v>
      </c>
      <c r="Q42" s="55">
        <f ca="1">IFERROR(__xludf.DUMMYFUNCTION("IMPORTRANGE(""https://docs.google.com/spreadsheets/d/1XL5vhW3sbDhbH9Cz0tuDiY8C3ctxq1tqvaCgkFb8cCA/edit?usp=sharing"",""มุกดาหาร!J365"")"),0)</f>
        <v>0</v>
      </c>
      <c r="R42" s="55">
        <f ca="1">IFERROR(__xludf.DUMMYFUNCTION("IMPORTRANGE(""https://docs.google.com/spreadsheets/d/1XL5vhW3sbDhbH9Cz0tuDiY8C3ctxq1tqvaCgkFb8cCA/edit?usp=sharing"",""มุกดาหาร!J366"")"),0)</f>
        <v>0</v>
      </c>
      <c r="S42" s="55">
        <f ca="1">IFERROR(__xludf.DUMMYFUNCTION("IMPORTRANGE(""https://docs.google.com/spreadsheets/d/1XL5vhW3sbDhbH9Cz0tuDiY8C3ctxq1tqvaCgkFb8cCA/edit?usp=sharing"",""มุกดาหาร!J367"")"),0)</f>
        <v>0</v>
      </c>
      <c r="T42" s="55">
        <f t="shared" ca="1" si="85"/>
        <v>0</v>
      </c>
      <c r="U42" s="55">
        <f t="shared" ca="1" si="6"/>
        <v>0</v>
      </c>
      <c r="V42" s="55">
        <f t="shared" ca="1" si="86"/>
        <v>0</v>
      </c>
      <c r="W42" s="55">
        <f t="shared" ca="1" si="7"/>
        <v>0</v>
      </c>
      <c r="X42" s="55">
        <f ca="1">IFERROR(__xludf.DUMMYFUNCTION("IMPORTRANGE(""https://docs.google.com/spreadsheets/d/1XL5vhW3sbDhbH9Cz0tuDiY8C3ctxq1tqvaCgkFb8cCA/edit?usp=sharing"",""มุกดาหาร!J370"")"),0)</f>
        <v>0</v>
      </c>
      <c r="Y42" s="55">
        <f ca="1">IFERROR(__xludf.DUMMYFUNCTION("IMPORTRANGE(""https://docs.google.com/spreadsheets/d/1XL5vhW3sbDhbH9Cz0tuDiY8C3ctxq1tqvaCgkFb8cCA/edit?usp=sharing"",""มุกดาหาร!J371"")"),0)</f>
        <v>0</v>
      </c>
      <c r="Z42" s="55">
        <f ca="1">IFERROR(__xludf.DUMMYFUNCTION("IMPORTRANGE(""https://docs.google.com/spreadsheets/d/1XL5vhW3sbDhbH9Cz0tuDiY8C3ctxq1tqvaCgkFb8cCA/edit?usp=sharing"",""มุกดาหาร!J372"")"),0)</f>
        <v>0</v>
      </c>
      <c r="AA42" s="55">
        <f ca="1">IFERROR(__xludf.DUMMYFUNCTION("IMPORTRANGE(""https://docs.google.com/spreadsheets/d/1XL5vhW3sbDhbH9Cz0tuDiY8C3ctxq1tqvaCgkFb8cCA/edit?usp=sharing"",""มุกดาหาร!J373"")"),0)</f>
        <v>0</v>
      </c>
      <c r="AB42" s="55">
        <f ca="1">IFERROR(__xludf.DUMMYFUNCTION("IMPORTRANGE(""https://docs.google.com/spreadsheets/d/1XL5vhW3sbDhbH9Cz0tuDiY8C3ctxq1tqvaCgkFb8cCA/edit?usp=sharing"",""มุกดาหาร!J374"")"),0)</f>
        <v>0</v>
      </c>
      <c r="AC42" s="55">
        <f ca="1">IFERROR(__xludf.DUMMYFUNCTION("IMPORTRANGE(""https://docs.google.com/spreadsheets/d/1XL5vhW3sbDhbH9Cz0tuDiY8C3ctxq1tqvaCgkFb8cCA/edit?usp=sharing"",""มุกดาหาร!J375"")"),0)</f>
        <v>0</v>
      </c>
      <c r="AD42" s="55">
        <f t="shared" ca="1" si="87"/>
        <v>0</v>
      </c>
      <c r="AE42" s="99">
        <f t="shared" ca="1" si="9"/>
        <v>0</v>
      </c>
      <c r="AF42" s="55">
        <f t="shared" ca="1" si="88"/>
        <v>0</v>
      </c>
      <c r="AG42" s="99">
        <f t="shared" ca="1" si="10"/>
        <v>0</v>
      </c>
      <c r="AH42" s="55">
        <f ca="1">IFERROR(__xludf.DUMMYFUNCTION("IMPORTRANGE(""https://docs.google.com/spreadsheets/d/1XL5vhW3sbDhbH9Cz0tuDiY8C3ctxq1tqvaCgkFb8cCA/edit?usp=sharing"",""มุกดาหาร!J378"")"),0)</f>
        <v>0</v>
      </c>
      <c r="AI42" s="55">
        <f ca="1">IFERROR(__xludf.DUMMYFUNCTION("IMPORTRANGE(""https://docs.google.com/spreadsheets/d/1XL5vhW3sbDhbH9Cz0tuDiY8C3ctxq1tqvaCgkFb8cCA/edit?usp=sharing"",""มุกดาหาร!J379"")"),0)</f>
        <v>0</v>
      </c>
      <c r="AJ42" s="55">
        <f ca="1">IFERROR(__xludf.DUMMYFUNCTION("IMPORTRANGE(""https://docs.google.com/spreadsheets/d/1XL5vhW3sbDhbH9Cz0tuDiY8C3ctxq1tqvaCgkFb8cCA/edit?usp=sharing"",""มุกดาหาร!J380"")"),0)</f>
        <v>0</v>
      </c>
      <c r="AK42" s="55">
        <f ca="1">IFERROR(__xludf.DUMMYFUNCTION("IMPORTRANGE(""https://docs.google.com/spreadsheets/d/1XL5vhW3sbDhbH9Cz0tuDiY8C3ctxq1tqvaCgkFb8cCA/edit?usp=sharing"",""มุกดาหาร!J381"")"),0)</f>
        <v>0</v>
      </c>
      <c r="AL42" s="55">
        <f ca="1">IFERROR(__xludf.DUMMYFUNCTION("IMPORTRANGE(""https://docs.google.com/spreadsheets/d/1XL5vhW3sbDhbH9Cz0tuDiY8C3ctxq1tqvaCgkFb8cCA/edit?usp=sharing"",""มุกดาหาร!J384"")"),0)</f>
        <v>0</v>
      </c>
      <c r="AM42" s="55">
        <f ca="1">IFERROR(__xludf.DUMMYFUNCTION("IMPORTRANGE(""https://docs.google.com/spreadsheets/d/1XL5vhW3sbDhbH9Cz0tuDiY8C3ctxq1tqvaCgkFb8cCA/edit?usp=sharing"",""มุกดาหาร!J385"")"),0)</f>
        <v>0</v>
      </c>
      <c r="AN42" s="55">
        <f ca="1">IFERROR(__xludf.DUMMYFUNCTION("IMPORTRANGE(""https://docs.google.com/spreadsheets/d/1XL5vhW3sbDhbH9Cz0tuDiY8C3ctxq1tqvaCgkFb8cCA/edit?usp=sharing"",""มุกดาหาร!J386"")"),0)</f>
        <v>0</v>
      </c>
      <c r="AO42" s="55">
        <f ca="1">IFERROR(__xludf.DUMMYFUNCTION("IMPORTRANGE(""https://docs.google.com/spreadsheets/d/1XL5vhW3sbDhbH9Cz0tuDiY8C3ctxq1tqvaCgkFb8cCA/edit?usp=sharing"",""มุกดาหาร!J387"")"),0)</f>
        <v>0</v>
      </c>
      <c r="AP42" s="55">
        <f ca="1">IFERROR(__xludf.DUMMYFUNCTION("IMPORTRANGE(""https://docs.google.com/spreadsheets/d/1XL5vhW3sbDhbH9Cz0tuDiY8C3ctxq1tqvaCgkFb8cCA/edit?usp=sharing"",""มุกดาหาร!J388"")"),0)</f>
        <v>0</v>
      </c>
      <c r="AQ42" s="55">
        <f ca="1">IFERROR(__xludf.DUMMYFUNCTION("IMPORTRANGE(""https://docs.google.com/spreadsheets/d/1XL5vhW3sbDhbH9Cz0tuDiY8C3ctxq1tqvaCgkFb8cCA/edit?usp=sharing"",""มุกดาหาร!J389"")"),0)</f>
        <v>0</v>
      </c>
      <c r="AR42" s="402">
        <v>203</v>
      </c>
      <c r="AS42" s="402">
        <v>2487</v>
      </c>
      <c r="AT42" s="402">
        <f t="shared" ca="1" si="89"/>
        <v>0</v>
      </c>
      <c r="AU42" s="402">
        <f t="shared" ca="1" si="12"/>
        <v>0</v>
      </c>
      <c r="AV42" s="402">
        <f t="shared" ca="1" si="90"/>
        <v>0</v>
      </c>
      <c r="AW42" s="402">
        <f t="shared" ca="1" si="13"/>
        <v>0</v>
      </c>
      <c r="AX42" s="55">
        <f ca="1">IFERROR(__xludf.DUMMYFUNCTION("IMPORTRANGE(""https://docs.google.com/spreadsheets/d/1XL5vhW3sbDhbH9Cz0tuDiY8C3ctxq1tqvaCgkFb8cCA/edit?usp=sharing"",""มุกดาหาร!J395"")"),0)</f>
        <v>0</v>
      </c>
      <c r="AY42" s="55">
        <f ca="1">IFERROR(__xludf.DUMMYFUNCTION("IMPORTRANGE(""https://docs.google.com/spreadsheets/d/1XL5vhW3sbDhbH9Cz0tuDiY8C3ctxq1tqvaCgkFb8cCA/edit?usp=sharing"",""มุกดาหาร!J396"")"),0)</f>
        <v>0</v>
      </c>
      <c r="AZ42" s="55">
        <f ca="1">IFERROR(__xludf.DUMMYFUNCTION("IMPORTRANGE(""https://docs.google.com/spreadsheets/d/1XL5vhW3sbDhbH9Cz0tuDiY8C3ctxq1tqvaCgkFb8cCA/edit?usp=sharing"",""มุกดาหาร!J397"")"),0)</f>
        <v>0</v>
      </c>
      <c r="BA42" s="55">
        <f ca="1">IFERROR(__xludf.DUMMYFUNCTION("IMPORTRANGE(""https://docs.google.com/spreadsheets/d/1XL5vhW3sbDhbH9Cz0tuDiY8C3ctxq1tqvaCgkFb8cCA/edit?usp=sharing"",""มุกดาหาร!J398"")"),0)</f>
        <v>0</v>
      </c>
      <c r="BB42" s="55">
        <f ca="1">IFERROR(__xludf.DUMMYFUNCTION("IMPORTRANGE(""https://docs.google.com/spreadsheets/d/1XL5vhW3sbDhbH9Cz0tuDiY8C3ctxq1tqvaCgkFb8cCA/edit?usp=sharing"",""มุกดาหาร!J399"")"),0)</f>
        <v>0</v>
      </c>
      <c r="BC42" s="55">
        <f ca="1">IFERROR(__xludf.DUMMYFUNCTION("IMPORTRANGE(""https://docs.google.com/spreadsheets/d/1XL5vhW3sbDhbH9Cz0tuDiY8C3ctxq1tqvaCgkFb8cCA/edit?usp=sharing"",""มุกดาหาร!J400"")"),0)</f>
        <v>0</v>
      </c>
      <c r="BD42" s="55">
        <f ca="1">IFERROR(__xludf.DUMMYFUNCTION("IMPORTRANGE(""https://docs.google.com/spreadsheets/d/1XL5vhW3sbDhbH9Cz0tuDiY8C3ctxq1tqvaCgkFb8cCA/edit?usp=sharing"",""มุกดาหาร!J403"")"),0)</f>
        <v>0</v>
      </c>
      <c r="BE42" s="55">
        <f ca="1">IFERROR(__xludf.DUMMYFUNCTION("IMPORTRANGE(""https://docs.google.com/spreadsheets/d/1XL5vhW3sbDhbH9Cz0tuDiY8C3ctxq1tqvaCgkFb8cCA/edit?usp=sharing"",""มุกดาหาร!J404"")"),0)</f>
        <v>0</v>
      </c>
      <c r="BF42" s="55">
        <f ca="1">IFERROR(__xludf.DUMMYFUNCTION("IMPORTRANGE(""https://docs.google.com/spreadsheets/d/1XL5vhW3sbDhbH9Cz0tuDiY8C3ctxq1tqvaCgkFb8cCA/edit?usp=sharing"",""มุกดาหาร!J405"")"),0)</f>
        <v>0</v>
      </c>
      <c r="BG42" s="55">
        <f ca="1">IFERROR(__xludf.DUMMYFUNCTION("IMPORTRANGE(""https://docs.google.com/spreadsheets/d/1XL5vhW3sbDhbH9Cz0tuDiY8C3ctxq1tqvaCgkFb8cCA/edit?usp=sharing"",""มุกดาหาร!J406"")"),0)</f>
        <v>0</v>
      </c>
      <c r="BH42" s="55">
        <f ca="1">IFERROR(__xludf.DUMMYFUNCTION("IMPORTRANGE(""https://docs.google.com/spreadsheets/d/1XL5vhW3sbDhbH9Cz0tuDiY8C3ctxq1tqvaCgkFb8cCA/edit?usp=sharing"",""มุกดาหาร!J407"")"),0)</f>
        <v>0</v>
      </c>
      <c r="BI42" s="55">
        <f ca="1">IFERROR(__xludf.DUMMYFUNCTION("IMPORTRANGE(""https://docs.google.com/spreadsheets/d/1XL5vhW3sbDhbH9Cz0tuDiY8C3ctxq1tqvaCgkFb8cCA/edit?usp=sharing"",""มุกดาหาร!J408"")"),0)</f>
        <v>0</v>
      </c>
      <c r="BJ42" s="402">
        <v>36508</v>
      </c>
      <c r="BK42" s="402">
        <v>4715</v>
      </c>
      <c r="BL42" s="402">
        <f t="shared" ca="1" si="91"/>
        <v>0</v>
      </c>
      <c r="BM42" s="403">
        <f t="shared" ca="1" si="15"/>
        <v>0</v>
      </c>
      <c r="BN42" s="402">
        <f t="shared" ca="1" si="92"/>
        <v>0</v>
      </c>
      <c r="BO42" s="403">
        <f t="shared" ca="1" si="16"/>
        <v>0</v>
      </c>
      <c r="BP42" s="55">
        <f ca="1">IFERROR(__xludf.DUMMYFUNCTION("IMPORTRANGE(""https://docs.google.com/spreadsheets/d/1XL5vhW3sbDhbH9Cz0tuDiY8C3ctxq1tqvaCgkFb8cCA/edit?usp=sharing"",""มุกดาหาร!J412"")"),0)</f>
        <v>0</v>
      </c>
      <c r="BQ42" s="55">
        <f ca="1">IFERROR(__xludf.DUMMYFUNCTION("IMPORTRANGE(""https://docs.google.com/spreadsheets/d/1XL5vhW3sbDhbH9Cz0tuDiY8C3ctxq1tqvaCgkFb8cCA/edit?usp=sharing"",""มุกดาหาร!J413"")"),0)</f>
        <v>0</v>
      </c>
      <c r="BR42" s="55">
        <f ca="1">IFERROR(__xludf.DUMMYFUNCTION("IMPORTRANGE(""https://docs.google.com/spreadsheets/d/1XL5vhW3sbDhbH9Cz0tuDiY8C3ctxq1tqvaCgkFb8cCA/edit?usp=sharing"",""มุกดาหาร!J414"")"),0)</f>
        <v>0</v>
      </c>
      <c r="BS42" s="55">
        <f ca="1">IFERROR(__xludf.DUMMYFUNCTION("IMPORTRANGE(""https://docs.google.com/spreadsheets/d/1XL5vhW3sbDhbH9Cz0tuDiY8C3ctxq1tqvaCgkFb8cCA/edit?usp=sharing"",""มุกดาหาร!J415"")"),0)</f>
        <v>0</v>
      </c>
      <c r="BT42" s="55">
        <f ca="1">IFERROR(__xludf.DUMMYFUNCTION("IMPORTRANGE(""https://docs.google.com/spreadsheets/d/1XL5vhW3sbDhbH9Cz0tuDiY8C3ctxq1tqvaCgkFb8cCA/edit?usp=sharing"",""มุกดาหาร!J416"")"),0)</f>
        <v>0</v>
      </c>
      <c r="BU42" s="55">
        <f ca="1">IFERROR(__xludf.DUMMYFUNCTION("IMPORTRANGE(""https://docs.google.com/spreadsheets/d/1XL5vhW3sbDhbH9Cz0tuDiY8C3ctxq1tqvaCgkFb8cCA/edit?usp=sharing"",""มุกดาหาร!J417"")"),0)</f>
        <v>0</v>
      </c>
      <c r="BV42" s="402">
        <f t="shared" ca="1" si="93"/>
        <v>0</v>
      </c>
      <c r="BW42" s="403">
        <f t="shared" ca="1" si="94"/>
        <v>0</v>
      </c>
      <c r="BX42" s="402">
        <f t="shared" ca="1" si="95"/>
        <v>0</v>
      </c>
      <c r="BY42" s="403">
        <f t="shared" ca="1" si="96"/>
        <v>0</v>
      </c>
      <c r="BZ42" s="55">
        <f ca="1">IFERROR(__xludf.DUMMYFUNCTION("IMPORTRANGE(""https://docs.google.com/spreadsheets/d/1XL5vhW3sbDhbH9Cz0tuDiY8C3ctxq1tqvaCgkFb8cCA/edit?usp=sharing"",""มุกดาหาร!J420"")"),0)</f>
        <v>0</v>
      </c>
      <c r="CA42" s="55">
        <f ca="1">IFERROR(__xludf.DUMMYFUNCTION("IMPORTRANGE(""https://docs.google.com/spreadsheets/d/1XL5vhW3sbDhbH9Cz0tuDiY8C3ctxq1tqvaCgkFb8cCA/edit?usp=sharing"",""มุกดาหาร!J421"")"),0)</f>
        <v>0</v>
      </c>
      <c r="CB42" s="55">
        <f ca="1">IFERROR(__xludf.DUMMYFUNCTION("IMPORTRANGE(""https://docs.google.com/spreadsheets/d/1XL5vhW3sbDhbH9Cz0tuDiY8C3ctxq1tqvaCgkFb8cCA/edit?usp=sharing"",""มุกดาหาร!J422"")"),0)</f>
        <v>0</v>
      </c>
      <c r="CC42" s="55">
        <f ca="1">IFERROR(__xludf.DUMMYFUNCTION("IMPORTRANGE(""https://docs.google.com/spreadsheets/d/1XL5vhW3sbDhbH9Cz0tuDiY8C3ctxq1tqvaCgkFb8cCA/edit?usp=sharing"",""มุกดาหาร!J423"")"),0)</f>
        <v>0</v>
      </c>
      <c r="CD42" s="55">
        <f ca="1">IFERROR(__xludf.DUMMYFUNCTION("IMPORTRANGE(""https://docs.google.com/spreadsheets/d/1XL5vhW3sbDhbH9Cz0tuDiY8C3ctxq1tqvaCgkFb8cCA/edit?usp=sharing"",""มุกดาหาร!J424"")"),0)</f>
        <v>0</v>
      </c>
      <c r="CE42" s="422">
        <f ca="1">IFERROR(__xludf.DUMMYFUNCTION("IMPORTRANGE(""https://docs.google.com/spreadsheets/d/1XL5vhW3sbDhbH9Cz0tuDiY8C3ctxq1tqvaCgkFb8cCA/edit?usp=sharing"",""มุกดาหาร!J425"")"),0)</f>
        <v>0</v>
      </c>
    </row>
    <row r="43" spans="1:83" ht="24" customHeight="1" x14ac:dyDescent="0.5">
      <c r="A43" s="273">
        <v>10</v>
      </c>
      <c r="B43" s="274" t="s">
        <v>58</v>
      </c>
      <c r="C43" s="400">
        <f t="shared" si="82"/>
        <v>452062.69</v>
      </c>
      <c r="D43" s="55">
        <v>0</v>
      </c>
      <c r="E43" s="401">
        <v>452062.69</v>
      </c>
      <c r="F43" s="99">
        <f ca="1">IFERROR(__xludf.DUMMYFUNCTION("IMPORTRANGE(""https://docs.google.com/spreadsheets/d/1XL5vhW3sbDhbH9Cz0tuDiY8C3ctxq1tqvaCgkFb8cCA/edit?usp=sharing"",""ยโสธร!M352"")"),9900)</f>
        <v>9900</v>
      </c>
      <c r="G43" s="99">
        <f t="shared" ca="1" si="1"/>
        <v>2.1899617506589628</v>
      </c>
      <c r="H43" s="57">
        <v>44306</v>
      </c>
      <c r="I43" s="57">
        <v>4858</v>
      </c>
      <c r="J43" s="55">
        <f t="shared" ca="1" si="83"/>
        <v>0</v>
      </c>
      <c r="K43" s="99">
        <f t="shared" ca="1" si="3"/>
        <v>0</v>
      </c>
      <c r="L43" s="55">
        <f t="shared" ca="1" si="84"/>
        <v>0</v>
      </c>
      <c r="M43" s="99">
        <f t="shared" ca="1" si="4"/>
        <v>0</v>
      </c>
      <c r="N43" s="55">
        <f ca="1">IFERROR(__xludf.DUMMYFUNCTION("IMPORTRANGE(""https://docs.google.com/spreadsheets/d/1XL5vhW3sbDhbH9Cz0tuDiY8C3ctxq1tqvaCgkFb8cCA/edit?usp=sharing"",""ยโสธร!J362"")"),0)</f>
        <v>0</v>
      </c>
      <c r="O43" s="55">
        <f ca="1">IFERROR(__xludf.DUMMYFUNCTION("IMPORTRANGE(""https://docs.google.com/spreadsheets/d/1XL5vhW3sbDhbH9Cz0tuDiY8C3ctxq1tqvaCgkFb8cCA/edit?usp=sharing"",""ยโสธร!J363"")"),0)</f>
        <v>0</v>
      </c>
      <c r="P43" s="55">
        <f ca="1">IFERROR(__xludf.DUMMYFUNCTION("IMPORTRANGE(""https://docs.google.com/spreadsheets/d/1XL5vhW3sbDhbH9Cz0tuDiY8C3ctxq1tqvaCgkFb8cCA/edit?usp=sharing"",""ยโสธร!J364"")"),0)</f>
        <v>0</v>
      </c>
      <c r="Q43" s="55">
        <f ca="1">IFERROR(__xludf.DUMMYFUNCTION("IMPORTRANGE(""https://docs.google.com/spreadsheets/d/1XL5vhW3sbDhbH9Cz0tuDiY8C3ctxq1tqvaCgkFb8cCA/edit?usp=sharing"",""ยโสธร!J365"")"),0)</f>
        <v>0</v>
      </c>
      <c r="R43" s="55">
        <f ca="1">IFERROR(__xludf.DUMMYFUNCTION("IMPORTRANGE(""https://docs.google.com/spreadsheets/d/1XL5vhW3sbDhbH9Cz0tuDiY8C3ctxq1tqvaCgkFb8cCA/edit?usp=sharing"",""ยโสธร!J366"")"),0)</f>
        <v>0</v>
      </c>
      <c r="S43" s="55">
        <f ca="1">IFERROR(__xludf.DUMMYFUNCTION("IMPORTRANGE(""https://docs.google.com/spreadsheets/d/1XL5vhW3sbDhbH9Cz0tuDiY8C3ctxq1tqvaCgkFb8cCA/edit?usp=sharing"",""ยโสธร!J367"")"),0)</f>
        <v>0</v>
      </c>
      <c r="T43" s="55">
        <f t="shared" ca="1" si="85"/>
        <v>0</v>
      </c>
      <c r="U43" s="55">
        <f t="shared" ca="1" si="6"/>
        <v>0</v>
      </c>
      <c r="V43" s="55">
        <f t="shared" ca="1" si="86"/>
        <v>0</v>
      </c>
      <c r="W43" s="55">
        <f t="shared" ca="1" si="7"/>
        <v>0</v>
      </c>
      <c r="X43" s="55">
        <f ca="1">IFERROR(__xludf.DUMMYFUNCTION("IMPORTRANGE(""https://docs.google.com/spreadsheets/d/1XL5vhW3sbDhbH9Cz0tuDiY8C3ctxq1tqvaCgkFb8cCA/edit?usp=sharing"",""ยโสธร!J370"")"),0)</f>
        <v>0</v>
      </c>
      <c r="Y43" s="55">
        <f ca="1">IFERROR(__xludf.DUMMYFUNCTION("IMPORTRANGE(""https://docs.google.com/spreadsheets/d/1XL5vhW3sbDhbH9Cz0tuDiY8C3ctxq1tqvaCgkFb8cCA/edit?usp=sharing"",""ยโสธร!J371"")"),0)</f>
        <v>0</v>
      </c>
      <c r="Z43" s="55">
        <f ca="1">IFERROR(__xludf.DUMMYFUNCTION("IMPORTRANGE(""https://docs.google.com/spreadsheets/d/1XL5vhW3sbDhbH9Cz0tuDiY8C3ctxq1tqvaCgkFb8cCA/edit?usp=sharing"",""ยโสธร!J372"")"),0)</f>
        <v>0</v>
      </c>
      <c r="AA43" s="55">
        <f ca="1">IFERROR(__xludf.DUMMYFUNCTION("IMPORTRANGE(""https://docs.google.com/spreadsheets/d/1XL5vhW3sbDhbH9Cz0tuDiY8C3ctxq1tqvaCgkFb8cCA/edit?usp=sharing"",""ยโสธร!J373"")"),0)</f>
        <v>0</v>
      </c>
      <c r="AB43" s="55">
        <f ca="1">IFERROR(__xludf.DUMMYFUNCTION("IMPORTRANGE(""https://docs.google.com/spreadsheets/d/1XL5vhW3sbDhbH9Cz0tuDiY8C3ctxq1tqvaCgkFb8cCA/edit?usp=sharing"",""ยโสธร!J374"")"),0)</f>
        <v>0</v>
      </c>
      <c r="AC43" s="55">
        <f ca="1">IFERROR(__xludf.DUMMYFUNCTION("IMPORTRANGE(""https://docs.google.com/spreadsheets/d/1XL5vhW3sbDhbH9Cz0tuDiY8C3ctxq1tqvaCgkFb8cCA/edit?usp=sharing"",""ยโสธร!J375"")"),0)</f>
        <v>0</v>
      </c>
      <c r="AD43" s="55">
        <f t="shared" ca="1" si="87"/>
        <v>0</v>
      </c>
      <c r="AE43" s="99">
        <f t="shared" ca="1" si="9"/>
        <v>0</v>
      </c>
      <c r="AF43" s="55">
        <f t="shared" ca="1" si="88"/>
        <v>0</v>
      </c>
      <c r="AG43" s="99">
        <f t="shared" ca="1" si="10"/>
        <v>0</v>
      </c>
      <c r="AH43" s="55">
        <f ca="1">IFERROR(__xludf.DUMMYFUNCTION("IMPORTRANGE(""https://docs.google.com/spreadsheets/d/1XL5vhW3sbDhbH9Cz0tuDiY8C3ctxq1tqvaCgkFb8cCA/edit?usp=sharing"",""ยโสธร!J378"")"),0)</f>
        <v>0</v>
      </c>
      <c r="AI43" s="55">
        <f ca="1">IFERROR(__xludf.DUMMYFUNCTION("IMPORTRANGE(""https://docs.google.com/spreadsheets/d/1XL5vhW3sbDhbH9Cz0tuDiY8C3ctxq1tqvaCgkFb8cCA/edit?usp=sharing"",""ยโสธร!J379"")"),0)</f>
        <v>0</v>
      </c>
      <c r="AJ43" s="55">
        <f ca="1">IFERROR(__xludf.DUMMYFUNCTION("IMPORTRANGE(""https://docs.google.com/spreadsheets/d/1XL5vhW3sbDhbH9Cz0tuDiY8C3ctxq1tqvaCgkFb8cCA/edit?usp=sharing"",""ยโสธร!J380"")"),0)</f>
        <v>0</v>
      </c>
      <c r="AK43" s="55">
        <f ca="1">IFERROR(__xludf.DUMMYFUNCTION("IMPORTRANGE(""https://docs.google.com/spreadsheets/d/1XL5vhW3sbDhbH9Cz0tuDiY8C3ctxq1tqvaCgkFb8cCA/edit?usp=sharing"",""ยโสธร!J381"")"),0)</f>
        <v>0</v>
      </c>
      <c r="AL43" s="55">
        <f ca="1">IFERROR(__xludf.DUMMYFUNCTION("IMPORTRANGE(""https://docs.google.com/spreadsheets/d/1XL5vhW3sbDhbH9Cz0tuDiY8C3ctxq1tqvaCgkFb8cCA/edit?usp=sharing"",""ยโสธร!J384"")"),0)</f>
        <v>0</v>
      </c>
      <c r="AM43" s="55">
        <f ca="1">IFERROR(__xludf.DUMMYFUNCTION("IMPORTRANGE(""https://docs.google.com/spreadsheets/d/1XL5vhW3sbDhbH9Cz0tuDiY8C3ctxq1tqvaCgkFb8cCA/edit?usp=sharing"",""ยโสธร!J385"")"),0)</f>
        <v>0</v>
      </c>
      <c r="AN43" s="55">
        <f ca="1">IFERROR(__xludf.DUMMYFUNCTION("IMPORTRANGE(""https://docs.google.com/spreadsheets/d/1XL5vhW3sbDhbH9Cz0tuDiY8C3ctxq1tqvaCgkFb8cCA/edit?usp=sharing"",""ยโสธร!J386"")"),0)</f>
        <v>0</v>
      </c>
      <c r="AO43" s="55">
        <f ca="1">IFERROR(__xludf.DUMMYFUNCTION("IMPORTRANGE(""https://docs.google.com/spreadsheets/d/1XL5vhW3sbDhbH9Cz0tuDiY8C3ctxq1tqvaCgkFb8cCA/edit?usp=sharing"",""ยโสธร!J387"")"),0)</f>
        <v>0</v>
      </c>
      <c r="AP43" s="55">
        <f ca="1">IFERROR(__xludf.DUMMYFUNCTION("IMPORTRANGE(""https://docs.google.com/spreadsheets/d/1XL5vhW3sbDhbH9Cz0tuDiY8C3ctxq1tqvaCgkFb8cCA/edit?usp=sharing"",""ยโสธร!J388"")"),0)</f>
        <v>0</v>
      </c>
      <c r="AQ43" s="55">
        <f ca="1">IFERROR(__xludf.DUMMYFUNCTION("IMPORTRANGE(""https://docs.google.com/spreadsheets/d/1XL5vhW3sbDhbH9Cz0tuDiY8C3ctxq1tqvaCgkFb8cCA/edit?usp=sharing"",""ยโสธร!J389"")"),0)</f>
        <v>0</v>
      </c>
      <c r="AR43" s="402">
        <v>106</v>
      </c>
      <c r="AS43" s="402">
        <v>1309</v>
      </c>
      <c r="AT43" s="402">
        <f t="shared" ca="1" si="89"/>
        <v>0</v>
      </c>
      <c r="AU43" s="402">
        <f t="shared" ca="1" si="12"/>
        <v>0</v>
      </c>
      <c r="AV43" s="402">
        <f t="shared" ca="1" si="90"/>
        <v>0</v>
      </c>
      <c r="AW43" s="402">
        <f t="shared" ca="1" si="13"/>
        <v>0</v>
      </c>
      <c r="AX43" s="55">
        <f ca="1">IFERROR(__xludf.DUMMYFUNCTION("IMPORTRANGE(""https://docs.google.com/spreadsheets/d/1XL5vhW3sbDhbH9Cz0tuDiY8C3ctxq1tqvaCgkFb8cCA/edit?usp=sharing"",""ยโสธร!J395"")"),0)</f>
        <v>0</v>
      </c>
      <c r="AY43" s="55">
        <f ca="1">IFERROR(__xludf.DUMMYFUNCTION("IMPORTRANGE(""https://docs.google.com/spreadsheets/d/1XL5vhW3sbDhbH9Cz0tuDiY8C3ctxq1tqvaCgkFb8cCA/edit?usp=sharing"",""ยโสธร!J396"")"),0)</f>
        <v>0</v>
      </c>
      <c r="AZ43" s="55">
        <f ca="1">IFERROR(__xludf.DUMMYFUNCTION("IMPORTRANGE(""https://docs.google.com/spreadsheets/d/1XL5vhW3sbDhbH9Cz0tuDiY8C3ctxq1tqvaCgkFb8cCA/edit?usp=sharing"",""ยโสธร!J397"")"),0)</f>
        <v>0</v>
      </c>
      <c r="BA43" s="55">
        <f ca="1">IFERROR(__xludf.DUMMYFUNCTION("IMPORTRANGE(""https://docs.google.com/spreadsheets/d/1XL5vhW3sbDhbH9Cz0tuDiY8C3ctxq1tqvaCgkFb8cCA/edit?usp=sharing"",""ยโสธร!J398"")"),0)</f>
        <v>0</v>
      </c>
      <c r="BB43" s="55">
        <f ca="1">IFERROR(__xludf.DUMMYFUNCTION("IMPORTRANGE(""https://docs.google.com/spreadsheets/d/1XL5vhW3sbDhbH9Cz0tuDiY8C3ctxq1tqvaCgkFb8cCA/edit?usp=sharing"",""ยโสธร!J399"")"),0)</f>
        <v>0</v>
      </c>
      <c r="BC43" s="55">
        <f ca="1">IFERROR(__xludf.DUMMYFUNCTION("IMPORTRANGE(""https://docs.google.com/spreadsheets/d/1XL5vhW3sbDhbH9Cz0tuDiY8C3ctxq1tqvaCgkFb8cCA/edit?usp=sharing"",""ยโสธร!J400"")"),0)</f>
        <v>0</v>
      </c>
      <c r="BD43" s="55">
        <f ca="1">IFERROR(__xludf.DUMMYFUNCTION("IMPORTRANGE(""https://docs.google.com/spreadsheets/d/1XL5vhW3sbDhbH9Cz0tuDiY8C3ctxq1tqvaCgkFb8cCA/edit?usp=sharing"",""ยโสธร!J403"")"),0)</f>
        <v>0</v>
      </c>
      <c r="BE43" s="55">
        <f ca="1">IFERROR(__xludf.DUMMYFUNCTION("IMPORTRANGE(""https://docs.google.com/spreadsheets/d/1XL5vhW3sbDhbH9Cz0tuDiY8C3ctxq1tqvaCgkFb8cCA/edit?usp=sharing"",""ยโสธร!J404"")"),0)</f>
        <v>0</v>
      </c>
      <c r="BF43" s="55">
        <f ca="1">IFERROR(__xludf.DUMMYFUNCTION("IMPORTRANGE(""https://docs.google.com/spreadsheets/d/1XL5vhW3sbDhbH9Cz0tuDiY8C3ctxq1tqvaCgkFb8cCA/edit?usp=sharing"",""ยโสธร!J405"")"),0)</f>
        <v>0</v>
      </c>
      <c r="BG43" s="55">
        <f ca="1">IFERROR(__xludf.DUMMYFUNCTION("IMPORTRANGE(""https://docs.google.com/spreadsheets/d/1XL5vhW3sbDhbH9Cz0tuDiY8C3ctxq1tqvaCgkFb8cCA/edit?usp=sharing"",""ยโสธร!J406"")"),0)</f>
        <v>0</v>
      </c>
      <c r="BH43" s="55">
        <f ca="1">IFERROR(__xludf.DUMMYFUNCTION("IMPORTRANGE(""https://docs.google.com/spreadsheets/d/1XL5vhW3sbDhbH9Cz0tuDiY8C3ctxq1tqvaCgkFb8cCA/edit?usp=sharing"",""ยโสธร!J407"")"),0)</f>
        <v>0</v>
      </c>
      <c r="BI43" s="55">
        <f ca="1">IFERROR(__xludf.DUMMYFUNCTION("IMPORTRANGE(""https://docs.google.com/spreadsheets/d/1XL5vhW3sbDhbH9Cz0tuDiY8C3ctxq1tqvaCgkFb8cCA/edit?usp=sharing"",""ยโสธร!J408"")"),0)</f>
        <v>0</v>
      </c>
      <c r="BJ43" s="402">
        <v>44306</v>
      </c>
      <c r="BK43" s="402">
        <v>4858</v>
      </c>
      <c r="BL43" s="402">
        <f t="shared" ca="1" si="91"/>
        <v>0</v>
      </c>
      <c r="BM43" s="403">
        <f t="shared" ca="1" si="15"/>
        <v>0</v>
      </c>
      <c r="BN43" s="402">
        <f t="shared" ca="1" si="92"/>
        <v>0</v>
      </c>
      <c r="BO43" s="403">
        <f t="shared" ca="1" si="16"/>
        <v>0</v>
      </c>
      <c r="BP43" s="55">
        <f ca="1">IFERROR(__xludf.DUMMYFUNCTION("IMPORTRANGE(""https://docs.google.com/spreadsheets/d/1XL5vhW3sbDhbH9Cz0tuDiY8C3ctxq1tqvaCgkFb8cCA/edit?usp=sharing"",""ยโสธร!J412"")"),0)</f>
        <v>0</v>
      </c>
      <c r="BQ43" s="55">
        <f ca="1">IFERROR(__xludf.DUMMYFUNCTION("IMPORTRANGE(""https://docs.google.com/spreadsheets/d/1XL5vhW3sbDhbH9Cz0tuDiY8C3ctxq1tqvaCgkFb8cCA/edit?usp=sharing"",""ยโสธร!J413"")"),0)</f>
        <v>0</v>
      </c>
      <c r="BR43" s="55">
        <f ca="1">IFERROR(__xludf.DUMMYFUNCTION("IMPORTRANGE(""https://docs.google.com/spreadsheets/d/1XL5vhW3sbDhbH9Cz0tuDiY8C3ctxq1tqvaCgkFb8cCA/edit?usp=sharing"",""ยโสธร!J414"")"),0)</f>
        <v>0</v>
      </c>
      <c r="BS43" s="55">
        <f ca="1">IFERROR(__xludf.DUMMYFUNCTION("IMPORTRANGE(""https://docs.google.com/spreadsheets/d/1XL5vhW3sbDhbH9Cz0tuDiY8C3ctxq1tqvaCgkFb8cCA/edit?usp=sharing"",""ยโสธร!J415"")"),0)</f>
        <v>0</v>
      </c>
      <c r="BT43" s="55">
        <f ca="1">IFERROR(__xludf.DUMMYFUNCTION("IMPORTRANGE(""https://docs.google.com/spreadsheets/d/1XL5vhW3sbDhbH9Cz0tuDiY8C3ctxq1tqvaCgkFb8cCA/edit?usp=sharing"",""ยโสธร!J416"")"),0)</f>
        <v>0</v>
      </c>
      <c r="BU43" s="55">
        <f ca="1">IFERROR(__xludf.DUMMYFUNCTION("IMPORTRANGE(""https://docs.google.com/spreadsheets/d/1XL5vhW3sbDhbH9Cz0tuDiY8C3ctxq1tqvaCgkFb8cCA/edit?usp=sharing"",""ยโสธร!J417"")"),0)</f>
        <v>0</v>
      </c>
      <c r="BV43" s="402">
        <f t="shared" ca="1" si="93"/>
        <v>0</v>
      </c>
      <c r="BW43" s="403">
        <f t="shared" ca="1" si="94"/>
        <v>0</v>
      </c>
      <c r="BX43" s="402">
        <f t="shared" ca="1" si="95"/>
        <v>0</v>
      </c>
      <c r="BY43" s="403">
        <f t="shared" ca="1" si="96"/>
        <v>0</v>
      </c>
      <c r="BZ43" s="55">
        <f ca="1">IFERROR(__xludf.DUMMYFUNCTION("IMPORTRANGE(""https://docs.google.com/spreadsheets/d/1XL5vhW3sbDhbH9Cz0tuDiY8C3ctxq1tqvaCgkFb8cCA/edit?usp=sharing"",""ยโสธร!J420"")"),0)</f>
        <v>0</v>
      </c>
      <c r="CA43" s="55">
        <f ca="1">IFERROR(__xludf.DUMMYFUNCTION("IMPORTRANGE(""https://docs.google.com/spreadsheets/d/1XL5vhW3sbDhbH9Cz0tuDiY8C3ctxq1tqvaCgkFb8cCA/edit?usp=sharing"",""ยโสธร!J421"")"),0)</f>
        <v>0</v>
      </c>
      <c r="CB43" s="55">
        <f ca="1">IFERROR(__xludf.DUMMYFUNCTION("IMPORTRANGE(""https://docs.google.com/spreadsheets/d/1XL5vhW3sbDhbH9Cz0tuDiY8C3ctxq1tqvaCgkFb8cCA/edit?usp=sharing"",""ยโสธร!J422"")"),0)</f>
        <v>0</v>
      </c>
      <c r="CC43" s="55">
        <f ca="1">IFERROR(__xludf.DUMMYFUNCTION("IMPORTRANGE(""https://docs.google.com/spreadsheets/d/1XL5vhW3sbDhbH9Cz0tuDiY8C3ctxq1tqvaCgkFb8cCA/edit?usp=sharing"",""ยโสธร!J423"")"),0)</f>
        <v>0</v>
      </c>
      <c r="CD43" s="55">
        <f ca="1">IFERROR(__xludf.DUMMYFUNCTION("IMPORTRANGE(""https://docs.google.com/spreadsheets/d/1XL5vhW3sbDhbH9Cz0tuDiY8C3ctxq1tqvaCgkFb8cCA/edit?usp=sharing"",""ยโสธร!J424"")"),0)</f>
        <v>0</v>
      </c>
      <c r="CE43" s="422">
        <f ca="1">IFERROR(__xludf.DUMMYFUNCTION("IMPORTRANGE(""https://docs.google.com/spreadsheets/d/1XL5vhW3sbDhbH9Cz0tuDiY8C3ctxq1tqvaCgkFb8cCA/edit?usp=sharing"",""ยโสธร!J425"")"),0)</f>
        <v>0</v>
      </c>
    </row>
    <row r="44" spans="1:83" ht="24" customHeight="1" x14ac:dyDescent="0.5">
      <c r="A44" s="273">
        <v>11</v>
      </c>
      <c r="B44" s="274" t="s">
        <v>59</v>
      </c>
      <c r="C44" s="400">
        <f t="shared" si="82"/>
        <v>467053.48</v>
      </c>
      <c r="D44" s="55">
        <v>0</v>
      </c>
      <c r="E44" s="401">
        <v>467053.48</v>
      </c>
      <c r="F44" s="99">
        <f ca="1">IFERROR(__xludf.DUMMYFUNCTION("IMPORTRANGE(""https://docs.google.com/spreadsheets/d/1XL5vhW3sbDhbH9Cz0tuDiY8C3ctxq1tqvaCgkFb8cCA/edit?usp=sharing"",""ร้อยเอ็ด!M352"")"),0)</f>
        <v>0</v>
      </c>
      <c r="G44" s="99">
        <f t="shared" ca="1" si="1"/>
        <v>0</v>
      </c>
      <c r="H44" s="57">
        <v>47667</v>
      </c>
      <c r="I44" s="57">
        <v>5144</v>
      </c>
      <c r="J44" s="55">
        <f t="shared" ca="1" si="83"/>
        <v>0</v>
      </c>
      <c r="K44" s="99">
        <f t="shared" ca="1" si="3"/>
        <v>0</v>
      </c>
      <c r="L44" s="55">
        <f t="shared" ca="1" si="84"/>
        <v>0</v>
      </c>
      <c r="M44" s="99">
        <f t="shared" ca="1" si="4"/>
        <v>0</v>
      </c>
      <c r="N44" s="55">
        <f ca="1">IFERROR(__xludf.DUMMYFUNCTION("IMPORTRANGE(""https://docs.google.com/spreadsheets/d/1XL5vhW3sbDhbH9Cz0tuDiY8C3ctxq1tqvaCgkFb8cCA/edit?usp=sharing"",""ร้อยเอ็ด!J362"")"),0)</f>
        <v>0</v>
      </c>
      <c r="O44" s="55">
        <f ca="1">IFERROR(__xludf.DUMMYFUNCTION("IMPORTRANGE(""https://docs.google.com/spreadsheets/d/1XL5vhW3sbDhbH9Cz0tuDiY8C3ctxq1tqvaCgkFb8cCA/edit?usp=sharing"",""ร้อยเอ็ด!J363"")"),0)</f>
        <v>0</v>
      </c>
      <c r="P44" s="55">
        <f ca="1">IFERROR(__xludf.DUMMYFUNCTION("IMPORTRANGE(""https://docs.google.com/spreadsheets/d/1XL5vhW3sbDhbH9Cz0tuDiY8C3ctxq1tqvaCgkFb8cCA/edit?usp=sharing"",""ร้อยเอ็ด!J364"")"),0)</f>
        <v>0</v>
      </c>
      <c r="Q44" s="55">
        <f ca="1">IFERROR(__xludf.DUMMYFUNCTION("IMPORTRANGE(""https://docs.google.com/spreadsheets/d/1XL5vhW3sbDhbH9Cz0tuDiY8C3ctxq1tqvaCgkFb8cCA/edit?usp=sharing"",""ร้อยเอ็ด!J365"")"),0)</f>
        <v>0</v>
      </c>
      <c r="R44" s="55">
        <f ca="1">IFERROR(__xludf.DUMMYFUNCTION("IMPORTRANGE(""https://docs.google.com/spreadsheets/d/1XL5vhW3sbDhbH9Cz0tuDiY8C3ctxq1tqvaCgkFb8cCA/edit?usp=sharing"",""ร้อยเอ็ด!J366"")"),0)</f>
        <v>0</v>
      </c>
      <c r="S44" s="55">
        <f ca="1">IFERROR(__xludf.DUMMYFUNCTION("IMPORTRANGE(""https://docs.google.com/spreadsheets/d/1XL5vhW3sbDhbH9Cz0tuDiY8C3ctxq1tqvaCgkFb8cCA/edit?usp=sharing"",""ร้อยเอ็ด!J367"")"),0)</f>
        <v>0</v>
      </c>
      <c r="T44" s="55">
        <f t="shared" ca="1" si="85"/>
        <v>0</v>
      </c>
      <c r="U44" s="55">
        <f t="shared" ca="1" si="6"/>
        <v>0</v>
      </c>
      <c r="V44" s="55">
        <f t="shared" ca="1" si="86"/>
        <v>0</v>
      </c>
      <c r="W44" s="55">
        <f t="shared" ca="1" si="7"/>
        <v>0</v>
      </c>
      <c r="X44" s="55">
        <f ca="1">IFERROR(__xludf.DUMMYFUNCTION("IMPORTRANGE(""https://docs.google.com/spreadsheets/d/1XL5vhW3sbDhbH9Cz0tuDiY8C3ctxq1tqvaCgkFb8cCA/edit?usp=sharing"",""ร้อยเอ็ด!J370"")"),0)</f>
        <v>0</v>
      </c>
      <c r="Y44" s="55">
        <f ca="1">IFERROR(__xludf.DUMMYFUNCTION("IMPORTRANGE(""https://docs.google.com/spreadsheets/d/1XL5vhW3sbDhbH9Cz0tuDiY8C3ctxq1tqvaCgkFb8cCA/edit?usp=sharing"",""ร้อยเอ็ด!J371"")"),0)</f>
        <v>0</v>
      </c>
      <c r="Z44" s="55">
        <f ca="1">IFERROR(__xludf.DUMMYFUNCTION("IMPORTRANGE(""https://docs.google.com/spreadsheets/d/1XL5vhW3sbDhbH9Cz0tuDiY8C3ctxq1tqvaCgkFb8cCA/edit?usp=sharing"",""ร้อยเอ็ด!J372"")"),0)</f>
        <v>0</v>
      </c>
      <c r="AA44" s="55">
        <f ca="1">IFERROR(__xludf.DUMMYFUNCTION("IMPORTRANGE(""https://docs.google.com/spreadsheets/d/1XL5vhW3sbDhbH9Cz0tuDiY8C3ctxq1tqvaCgkFb8cCA/edit?usp=sharing"",""ร้อยเอ็ด!J373"")"),0)</f>
        <v>0</v>
      </c>
      <c r="AB44" s="55">
        <f ca="1">IFERROR(__xludf.DUMMYFUNCTION("IMPORTRANGE(""https://docs.google.com/spreadsheets/d/1XL5vhW3sbDhbH9Cz0tuDiY8C3ctxq1tqvaCgkFb8cCA/edit?usp=sharing"",""ร้อยเอ็ด!J374"")"),0)</f>
        <v>0</v>
      </c>
      <c r="AC44" s="55">
        <f ca="1">IFERROR(__xludf.DUMMYFUNCTION("IMPORTRANGE(""https://docs.google.com/spreadsheets/d/1XL5vhW3sbDhbH9Cz0tuDiY8C3ctxq1tqvaCgkFb8cCA/edit?usp=sharing"",""ร้อยเอ็ด!J375"")"),0)</f>
        <v>0</v>
      </c>
      <c r="AD44" s="55">
        <f t="shared" ca="1" si="87"/>
        <v>0</v>
      </c>
      <c r="AE44" s="99">
        <f t="shared" ca="1" si="9"/>
        <v>0</v>
      </c>
      <c r="AF44" s="55">
        <f t="shared" ca="1" si="88"/>
        <v>0</v>
      </c>
      <c r="AG44" s="99">
        <f t="shared" ca="1" si="10"/>
        <v>0</v>
      </c>
      <c r="AH44" s="55">
        <f ca="1">IFERROR(__xludf.DUMMYFUNCTION("IMPORTRANGE(""https://docs.google.com/spreadsheets/d/1XL5vhW3sbDhbH9Cz0tuDiY8C3ctxq1tqvaCgkFb8cCA/edit?usp=sharing"",""ร้อยเอ็ด!J378"")"),0)</f>
        <v>0</v>
      </c>
      <c r="AI44" s="55">
        <f ca="1">IFERROR(__xludf.DUMMYFUNCTION("IMPORTRANGE(""https://docs.google.com/spreadsheets/d/1XL5vhW3sbDhbH9Cz0tuDiY8C3ctxq1tqvaCgkFb8cCA/edit?usp=sharing"",""ร้อยเอ็ด!J379"")"),0)</f>
        <v>0</v>
      </c>
      <c r="AJ44" s="55">
        <f ca="1">IFERROR(__xludf.DUMMYFUNCTION("IMPORTRANGE(""https://docs.google.com/spreadsheets/d/1XL5vhW3sbDhbH9Cz0tuDiY8C3ctxq1tqvaCgkFb8cCA/edit?usp=sharing"",""ร้อยเอ็ด!J380"")"),0)</f>
        <v>0</v>
      </c>
      <c r="AK44" s="55">
        <f ca="1">IFERROR(__xludf.DUMMYFUNCTION("IMPORTRANGE(""https://docs.google.com/spreadsheets/d/1XL5vhW3sbDhbH9Cz0tuDiY8C3ctxq1tqvaCgkFb8cCA/edit?usp=sharing"",""ร้อยเอ็ด!J381"")"),0)</f>
        <v>0</v>
      </c>
      <c r="AL44" s="55">
        <f ca="1">IFERROR(__xludf.DUMMYFUNCTION("IMPORTRANGE(""https://docs.google.com/spreadsheets/d/1XL5vhW3sbDhbH9Cz0tuDiY8C3ctxq1tqvaCgkFb8cCA/edit?usp=sharing"",""ร้อยเอ็ด!J384"")"),0)</f>
        <v>0</v>
      </c>
      <c r="AM44" s="55">
        <f ca="1">IFERROR(__xludf.DUMMYFUNCTION("IMPORTRANGE(""https://docs.google.com/spreadsheets/d/1XL5vhW3sbDhbH9Cz0tuDiY8C3ctxq1tqvaCgkFb8cCA/edit?usp=sharing"",""ร้อยเอ็ด!J385"")"),0)</f>
        <v>0</v>
      </c>
      <c r="AN44" s="55">
        <f ca="1">IFERROR(__xludf.DUMMYFUNCTION("IMPORTRANGE(""https://docs.google.com/spreadsheets/d/1XL5vhW3sbDhbH9Cz0tuDiY8C3ctxq1tqvaCgkFb8cCA/edit?usp=sharing"",""ร้อยเอ็ด!J386"")"),0)</f>
        <v>0</v>
      </c>
      <c r="AO44" s="55">
        <f ca="1">IFERROR(__xludf.DUMMYFUNCTION("IMPORTRANGE(""https://docs.google.com/spreadsheets/d/1XL5vhW3sbDhbH9Cz0tuDiY8C3ctxq1tqvaCgkFb8cCA/edit?usp=sharing"",""ร้อยเอ็ด!J387"")"),0)</f>
        <v>0</v>
      </c>
      <c r="AP44" s="55">
        <f ca="1">IFERROR(__xludf.DUMMYFUNCTION("IMPORTRANGE(""https://docs.google.com/spreadsheets/d/1XL5vhW3sbDhbH9Cz0tuDiY8C3ctxq1tqvaCgkFb8cCA/edit?usp=sharing"",""ร้อยเอ็ด!J388"")"),0)</f>
        <v>0</v>
      </c>
      <c r="AQ44" s="55">
        <f ca="1">IFERROR(__xludf.DUMMYFUNCTION("IMPORTRANGE(""https://docs.google.com/spreadsheets/d/1XL5vhW3sbDhbH9Cz0tuDiY8C3ctxq1tqvaCgkFb8cCA/edit?usp=sharing"",""ร้อยเอ็ด!J389"")"),0)</f>
        <v>0</v>
      </c>
      <c r="AR44" s="402">
        <v>99</v>
      </c>
      <c r="AS44" s="402">
        <v>914</v>
      </c>
      <c r="AT44" s="402">
        <f t="shared" ca="1" si="89"/>
        <v>0</v>
      </c>
      <c r="AU44" s="402">
        <f t="shared" ca="1" si="12"/>
        <v>0</v>
      </c>
      <c r="AV44" s="402">
        <f t="shared" ca="1" si="90"/>
        <v>0</v>
      </c>
      <c r="AW44" s="402">
        <f t="shared" ca="1" si="13"/>
        <v>0</v>
      </c>
      <c r="AX44" s="55">
        <f ca="1">IFERROR(__xludf.DUMMYFUNCTION("IMPORTRANGE(""https://docs.google.com/spreadsheets/d/1XL5vhW3sbDhbH9Cz0tuDiY8C3ctxq1tqvaCgkFb8cCA/edit?usp=sharing"",""ร้อยเอ็ด!J395"")"),0)</f>
        <v>0</v>
      </c>
      <c r="AY44" s="55">
        <f ca="1">IFERROR(__xludf.DUMMYFUNCTION("IMPORTRANGE(""https://docs.google.com/spreadsheets/d/1XL5vhW3sbDhbH9Cz0tuDiY8C3ctxq1tqvaCgkFb8cCA/edit?usp=sharing"",""ร้อยเอ็ด!J396"")"),0)</f>
        <v>0</v>
      </c>
      <c r="AZ44" s="55">
        <f ca="1">IFERROR(__xludf.DUMMYFUNCTION("IMPORTRANGE(""https://docs.google.com/spreadsheets/d/1XL5vhW3sbDhbH9Cz0tuDiY8C3ctxq1tqvaCgkFb8cCA/edit?usp=sharing"",""ร้อยเอ็ด!J397"")"),0)</f>
        <v>0</v>
      </c>
      <c r="BA44" s="55">
        <f ca="1">IFERROR(__xludf.DUMMYFUNCTION("IMPORTRANGE(""https://docs.google.com/spreadsheets/d/1XL5vhW3sbDhbH9Cz0tuDiY8C3ctxq1tqvaCgkFb8cCA/edit?usp=sharing"",""ร้อยเอ็ด!J398"")"),0)</f>
        <v>0</v>
      </c>
      <c r="BB44" s="55">
        <f ca="1">IFERROR(__xludf.DUMMYFUNCTION("IMPORTRANGE(""https://docs.google.com/spreadsheets/d/1XL5vhW3sbDhbH9Cz0tuDiY8C3ctxq1tqvaCgkFb8cCA/edit?usp=sharing"",""ร้อยเอ็ด!J399"")"),0)</f>
        <v>0</v>
      </c>
      <c r="BC44" s="55">
        <f ca="1">IFERROR(__xludf.DUMMYFUNCTION("IMPORTRANGE(""https://docs.google.com/spreadsheets/d/1XL5vhW3sbDhbH9Cz0tuDiY8C3ctxq1tqvaCgkFb8cCA/edit?usp=sharing"",""ร้อยเอ็ด!J400"")"),0)</f>
        <v>0</v>
      </c>
      <c r="BD44" s="55">
        <f ca="1">IFERROR(__xludf.DUMMYFUNCTION("IMPORTRANGE(""https://docs.google.com/spreadsheets/d/1XL5vhW3sbDhbH9Cz0tuDiY8C3ctxq1tqvaCgkFb8cCA/edit?usp=sharing"",""ร้อยเอ็ด!J403"")"),0)</f>
        <v>0</v>
      </c>
      <c r="BE44" s="55">
        <f ca="1">IFERROR(__xludf.DUMMYFUNCTION("IMPORTRANGE(""https://docs.google.com/spreadsheets/d/1XL5vhW3sbDhbH9Cz0tuDiY8C3ctxq1tqvaCgkFb8cCA/edit?usp=sharing"",""ร้อยเอ็ด!J404"")"),0)</f>
        <v>0</v>
      </c>
      <c r="BF44" s="55">
        <f ca="1">IFERROR(__xludf.DUMMYFUNCTION("IMPORTRANGE(""https://docs.google.com/spreadsheets/d/1XL5vhW3sbDhbH9Cz0tuDiY8C3ctxq1tqvaCgkFb8cCA/edit?usp=sharing"",""ร้อยเอ็ด!J405"")"),0)</f>
        <v>0</v>
      </c>
      <c r="BG44" s="55">
        <f ca="1">IFERROR(__xludf.DUMMYFUNCTION("IMPORTRANGE(""https://docs.google.com/spreadsheets/d/1XL5vhW3sbDhbH9Cz0tuDiY8C3ctxq1tqvaCgkFb8cCA/edit?usp=sharing"",""ร้อยเอ็ด!J406"")"),0)</f>
        <v>0</v>
      </c>
      <c r="BH44" s="55">
        <f ca="1">IFERROR(__xludf.DUMMYFUNCTION("IMPORTRANGE(""https://docs.google.com/spreadsheets/d/1XL5vhW3sbDhbH9Cz0tuDiY8C3ctxq1tqvaCgkFb8cCA/edit?usp=sharing"",""ร้อยเอ็ด!J407"")"),0)</f>
        <v>0</v>
      </c>
      <c r="BI44" s="55">
        <f ca="1">IFERROR(__xludf.DUMMYFUNCTION("IMPORTRANGE(""https://docs.google.com/spreadsheets/d/1XL5vhW3sbDhbH9Cz0tuDiY8C3ctxq1tqvaCgkFb8cCA/edit?usp=sharing"",""ร้อยเอ็ด!J408"")"),0)</f>
        <v>0</v>
      </c>
      <c r="BJ44" s="402">
        <v>47667</v>
      </c>
      <c r="BK44" s="402">
        <v>5144</v>
      </c>
      <c r="BL44" s="402">
        <f t="shared" ca="1" si="91"/>
        <v>0</v>
      </c>
      <c r="BM44" s="403">
        <f t="shared" ca="1" si="15"/>
        <v>0</v>
      </c>
      <c r="BN44" s="402">
        <f t="shared" ca="1" si="92"/>
        <v>0</v>
      </c>
      <c r="BO44" s="403">
        <f t="shared" ca="1" si="16"/>
        <v>0</v>
      </c>
      <c r="BP44" s="55">
        <f ca="1">IFERROR(__xludf.DUMMYFUNCTION("IMPORTRANGE(""https://docs.google.com/spreadsheets/d/1XL5vhW3sbDhbH9Cz0tuDiY8C3ctxq1tqvaCgkFb8cCA/edit?usp=sharing"",""ร้อยเอ็ด!J412"")"),0)</f>
        <v>0</v>
      </c>
      <c r="BQ44" s="55">
        <f ca="1">IFERROR(__xludf.DUMMYFUNCTION("IMPORTRANGE(""https://docs.google.com/spreadsheets/d/1XL5vhW3sbDhbH9Cz0tuDiY8C3ctxq1tqvaCgkFb8cCA/edit?usp=sharing"",""ร้อยเอ็ด!J413"")"),0)</f>
        <v>0</v>
      </c>
      <c r="BR44" s="55">
        <f ca="1">IFERROR(__xludf.DUMMYFUNCTION("IMPORTRANGE(""https://docs.google.com/spreadsheets/d/1XL5vhW3sbDhbH9Cz0tuDiY8C3ctxq1tqvaCgkFb8cCA/edit?usp=sharing"",""ร้อยเอ็ด!J414"")"),0)</f>
        <v>0</v>
      </c>
      <c r="BS44" s="55">
        <f ca="1">IFERROR(__xludf.DUMMYFUNCTION("IMPORTRANGE(""https://docs.google.com/spreadsheets/d/1XL5vhW3sbDhbH9Cz0tuDiY8C3ctxq1tqvaCgkFb8cCA/edit?usp=sharing"",""ร้อยเอ็ด!J415"")"),0)</f>
        <v>0</v>
      </c>
      <c r="BT44" s="55">
        <f ca="1">IFERROR(__xludf.DUMMYFUNCTION("IMPORTRANGE(""https://docs.google.com/spreadsheets/d/1XL5vhW3sbDhbH9Cz0tuDiY8C3ctxq1tqvaCgkFb8cCA/edit?usp=sharing"",""ร้อยเอ็ด!J416"")"),0)</f>
        <v>0</v>
      </c>
      <c r="BU44" s="55">
        <f ca="1">IFERROR(__xludf.DUMMYFUNCTION("IMPORTRANGE(""https://docs.google.com/spreadsheets/d/1XL5vhW3sbDhbH9Cz0tuDiY8C3ctxq1tqvaCgkFb8cCA/edit?usp=sharing"",""ร้อยเอ็ด!J417"")"),0)</f>
        <v>0</v>
      </c>
      <c r="BV44" s="402">
        <f t="shared" ca="1" si="93"/>
        <v>0</v>
      </c>
      <c r="BW44" s="403">
        <f t="shared" ca="1" si="94"/>
        <v>0</v>
      </c>
      <c r="BX44" s="402">
        <f t="shared" ca="1" si="95"/>
        <v>0</v>
      </c>
      <c r="BY44" s="403">
        <f t="shared" ca="1" si="96"/>
        <v>0</v>
      </c>
      <c r="BZ44" s="55">
        <f ca="1">IFERROR(__xludf.DUMMYFUNCTION("IMPORTRANGE(""https://docs.google.com/spreadsheets/d/1XL5vhW3sbDhbH9Cz0tuDiY8C3ctxq1tqvaCgkFb8cCA/edit?usp=sharing"",""ร้อยเอ็ด!J420"")"),0)</f>
        <v>0</v>
      </c>
      <c r="CA44" s="55">
        <f ca="1">IFERROR(__xludf.DUMMYFUNCTION("IMPORTRANGE(""https://docs.google.com/spreadsheets/d/1XL5vhW3sbDhbH9Cz0tuDiY8C3ctxq1tqvaCgkFb8cCA/edit?usp=sharing"",""ร้อยเอ็ด!J421"")"),0)</f>
        <v>0</v>
      </c>
      <c r="CB44" s="55">
        <f ca="1">IFERROR(__xludf.DUMMYFUNCTION("IMPORTRANGE(""https://docs.google.com/spreadsheets/d/1XL5vhW3sbDhbH9Cz0tuDiY8C3ctxq1tqvaCgkFb8cCA/edit?usp=sharing"",""ร้อยเอ็ด!J422"")"),0)</f>
        <v>0</v>
      </c>
      <c r="CC44" s="55">
        <f ca="1">IFERROR(__xludf.DUMMYFUNCTION("IMPORTRANGE(""https://docs.google.com/spreadsheets/d/1XL5vhW3sbDhbH9Cz0tuDiY8C3ctxq1tqvaCgkFb8cCA/edit?usp=sharing"",""ร้อยเอ็ด!J423"")"),0)</f>
        <v>0</v>
      </c>
      <c r="CD44" s="55">
        <f ca="1">IFERROR(__xludf.DUMMYFUNCTION("IMPORTRANGE(""https://docs.google.com/spreadsheets/d/1XL5vhW3sbDhbH9Cz0tuDiY8C3ctxq1tqvaCgkFb8cCA/edit?usp=sharing"",""ร้อยเอ็ด!J424"")"),0)</f>
        <v>0</v>
      </c>
      <c r="CE44" s="422">
        <f ca="1">IFERROR(__xludf.DUMMYFUNCTION("IMPORTRANGE(""https://docs.google.com/spreadsheets/d/1XL5vhW3sbDhbH9Cz0tuDiY8C3ctxq1tqvaCgkFb8cCA/edit?usp=sharing"",""ร้อยเอ็ด!J425"")"),0)</f>
        <v>0</v>
      </c>
    </row>
    <row r="45" spans="1:83" ht="24" customHeight="1" x14ac:dyDescent="0.5">
      <c r="A45" s="273">
        <v>12</v>
      </c>
      <c r="B45" s="274" t="s">
        <v>60</v>
      </c>
      <c r="C45" s="400">
        <f t="shared" si="82"/>
        <v>489836</v>
      </c>
      <c r="D45" s="55">
        <v>0</v>
      </c>
      <c r="E45" s="401">
        <v>489836</v>
      </c>
      <c r="F45" s="99">
        <f ca="1">IFERROR(__xludf.DUMMYFUNCTION("IMPORTRANGE(""https://docs.google.com/spreadsheets/d/1XL5vhW3sbDhbH9Cz0tuDiY8C3ctxq1tqvaCgkFb8cCA/edit?usp=sharing"",""เลย!M352"")"),10276)</f>
        <v>10276</v>
      </c>
      <c r="G45" s="99">
        <f t="shared" ca="1" si="1"/>
        <v>2.0978449930180711</v>
      </c>
      <c r="H45" s="57">
        <v>54567</v>
      </c>
      <c r="I45" s="57">
        <v>5802</v>
      </c>
      <c r="J45" s="55">
        <f t="shared" ca="1" si="83"/>
        <v>0</v>
      </c>
      <c r="K45" s="99">
        <f t="shared" ca="1" si="3"/>
        <v>0</v>
      </c>
      <c r="L45" s="55">
        <f t="shared" ca="1" si="84"/>
        <v>0</v>
      </c>
      <c r="M45" s="99">
        <f t="shared" ca="1" si="4"/>
        <v>0</v>
      </c>
      <c r="N45" s="55">
        <f ca="1">IFERROR(__xludf.DUMMYFUNCTION("IMPORTRANGE(""https://docs.google.com/spreadsheets/d/1XL5vhW3sbDhbH9Cz0tuDiY8C3ctxq1tqvaCgkFb8cCA/edit?usp=sharing"",""เลย!J362"")"),0)</f>
        <v>0</v>
      </c>
      <c r="O45" s="55">
        <f ca="1">IFERROR(__xludf.DUMMYFUNCTION("IMPORTRANGE(""https://docs.google.com/spreadsheets/d/1XL5vhW3sbDhbH9Cz0tuDiY8C3ctxq1tqvaCgkFb8cCA/edit?usp=sharing"",""เลย!J363"")"),0)</f>
        <v>0</v>
      </c>
      <c r="P45" s="55">
        <f ca="1">IFERROR(__xludf.DUMMYFUNCTION("IMPORTRANGE(""https://docs.google.com/spreadsheets/d/1XL5vhW3sbDhbH9Cz0tuDiY8C3ctxq1tqvaCgkFb8cCA/edit?usp=sharing"",""เลย!J364"")"),0)</f>
        <v>0</v>
      </c>
      <c r="Q45" s="55">
        <f ca="1">IFERROR(__xludf.DUMMYFUNCTION("IMPORTRANGE(""https://docs.google.com/spreadsheets/d/1XL5vhW3sbDhbH9Cz0tuDiY8C3ctxq1tqvaCgkFb8cCA/edit?usp=sharing"",""เลย!J365"")"),0)</f>
        <v>0</v>
      </c>
      <c r="R45" s="55">
        <f ca="1">IFERROR(__xludf.DUMMYFUNCTION("IMPORTRANGE(""https://docs.google.com/spreadsheets/d/1XL5vhW3sbDhbH9Cz0tuDiY8C3ctxq1tqvaCgkFb8cCA/edit?usp=sharing"",""เลย!J366"")"),0)</f>
        <v>0</v>
      </c>
      <c r="S45" s="55">
        <f ca="1">IFERROR(__xludf.DUMMYFUNCTION("IMPORTRANGE(""https://docs.google.com/spreadsheets/d/1XL5vhW3sbDhbH9Cz0tuDiY8C3ctxq1tqvaCgkFb8cCA/edit?usp=sharing"",""เลย!J367"")"),0)</f>
        <v>0</v>
      </c>
      <c r="T45" s="55">
        <f t="shared" ca="1" si="85"/>
        <v>0</v>
      </c>
      <c r="U45" s="55">
        <f t="shared" ca="1" si="6"/>
        <v>0</v>
      </c>
      <c r="V45" s="55">
        <f t="shared" ca="1" si="86"/>
        <v>0</v>
      </c>
      <c r="W45" s="55">
        <f t="shared" ca="1" si="7"/>
        <v>0</v>
      </c>
      <c r="X45" s="55">
        <f ca="1">IFERROR(__xludf.DUMMYFUNCTION("IMPORTRANGE(""https://docs.google.com/spreadsheets/d/1XL5vhW3sbDhbH9Cz0tuDiY8C3ctxq1tqvaCgkFb8cCA/edit?usp=sharing"",""เลย!J370"")"),0)</f>
        <v>0</v>
      </c>
      <c r="Y45" s="55">
        <f ca="1">IFERROR(__xludf.DUMMYFUNCTION("IMPORTRANGE(""https://docs.google.com/spreadsheets/d/1XL5vhW3sbDhbH9Cz0tuDiY8C3ctxq1tqvaCgkFb8cCA/edit?usp=sharing"",""เลย!J371"")"),0)</f>
        <v>0</v>
      </c>
      <c r="Z45" s="55">
        <f ca="1">IFERROR(__xludf.DUMMYFUNCTION("IMPORTRANGE(""https://docs.google.com/spreadsheets/d/1XL5vhW3sbDhbH9Cz0tuDiY8C3ctxq1tqvaCgkFb8cCA/edit?usp=sharing"",""เลย!J372"")"),0)</f>
        <v>0</v>
      </c>
      <c r="AA45" s="55">
        <f ca="1">IFERROR(__xludf.DUMMYFUNCTION("IMPORTRANGE(""https://docs.google.com/spreadsheets/d/1XL5vhW3sbDhbH9Cz0tuDiY8C3ctxq1tqvaCgkFb8cCA/edit?usp=sharing"",""เลย!J373"")"),0)</f>
        <v>0</v>
      </c>
      <c r="AB45" s="55">
        <f ca="1">IFERROR(__xludf.DUMMYFUNCTION("IMPORTRANGE(""https://docs.google.com/spreadsheets/d/1XL5vhW3sbDhbH9Cz0tuDiY8C3ctxq1tqvaCgkFb8cCA/edit?usp=sharing"",""เลย!J374"")"),0)</f>
        <v>0</v>
      </c>
      <c r="AC45" s="55">
        <f ca="1">IFERROR(__xludf.DUMMYFUNCTION("IMPORTRANGE(""https://docs.google.com/spreadsheets/d/1XL5vhW3sbDhbH9Cz0tuDiY8C3ctxq1tqvaCgkFb8cCA/edit?usp=sharing"",""เลย!J375"")"),0)</f>
        <v>0</v>
      </c>
      <c r="AD45" s="55">
        <f t="shared" ca="1" si="87"/>
        <v>0</v>
      </c>
      <c r="AE45" s="99">
        <f t="shared" ca="1" si="9"/>
        <v>0</v>
      </c>
      <c r="AF45" s="55">
        <f t="shared" ca="1" si="88"/>
        <v>0</v>
      </c>
      <c r="AG45" s="99">
        <f t="shared" ca="1" si="10"/>
        <v>0</v>
      </c>
      <c r="AH45" s="55">
        <f ca="1">IFERROR(__xludf.DUMMYFUNCTION("IMPORTRANGE(""https://docs.google.com/spreadsheets/d/1XL5vhW3sbDhbH9Cz0tuDiY8C3ctxq1tqvaCgkFb8cCA/edit?usp=sharing"",""เลย!J378"")"),0)</f>
        <v>0</v>
      </c>
      <c r="AI45" s="55">
        <f ca="1">IFERROR(__xludf.DUMMYFUNCTION("IMPORTRANGE(""https://docs.google.com/spreadsheets/d/1XL5vhW3sbDhbH9Cz0tuDiY8C3ctxq1tqvaCgkFb8cCA/edit?usp=sharing"",""เลย!J379"")"),0)</f>
        <v>0</v>
      </c>
      <c r="AJ45" s="55">
        <f ca="1">IFERROR(__xludf.DUMMYFUNCTION("IMPORTRANGE(""https://docs.google.com/spreadsheets/d/1XL5vhW3sbDhbH9Cz0tuDiY8C3ctxq1tqvaCgkFb8cCA/edit?usp=sharing"",""เลย!J380"")"),0)</f>
        <v>0</v>
      </c>
      <c r="AK45" s="55">
        <f ca="1">IFERROR(__xludf.DUMMYFUNCTION("IMPORTRANGE(""https://docs.google.com/spreadsheets/d/1XL5vhW3sbDhbH9Cz0tuDiY8C3ctxq1tqvaCgkFb8cCA/edit?usp=sharing"",""เลย!J381"")"),0)</f>
        <v>0</v>
      </c>
      <c r="AL45" s="55">
        <f ca="1">IFERROR(__xludf.DUMMYFUNCTION("IMPORTRANGE(""https://docs.google.com/spreadsheets/d/1XL5vhW3sbDhbH9Cz0tuDiY8C3ctxq1tqvaCgkFb8cCA/edit?usp=sharing"",""เลย!J384"")"),0)</f>
        <v>0</v>
      </c>
      <c r="AM45" s="55">
        <f ca="1">IFERROR(__xludf.DUMMYFUNCTION("IMPORTRANGE(""https://docs.google.com/spreadsheets/d/1XL5vhW3sbDhbH9Cz0tuDiY8C3ctxq1tqvaCgkFb8cCA/edit?usp=sharing"",""เลย!J385"")"),0)</f>
        <v>0</v>
      </c>
      <c r="AN45" s="55">
        <f ca="1">IFERROR(__xludf.DUMMYFUNCTION("IMPORTRANGE(""https://docs.google.com/spreadsheets/d/1XL5vhW3sbDhbH9Cz0tuDiY8C3ctxq1tqvaCgkFb8cCA/edit?usp=sharing"",""เลย!J386"")"),0)</f>
        <v>0</v>
      </c>
      <c r="AO45" s="55">
        <f ca="1">IFERROR(__xludf.DUMMYFUNCTION("IMPORTRANGE(""https://docs.google.com/spreadsheets/d/1XL5vhW3sbDhbH9Cz0tuDiY8C3ctxq1tqvaCgkFb8cCA/edit?usp=sharing"",""เลย!J387"")"),0)</f>
        <v>0</v>
      </c>
      <c r="AP45" s="55">
        <f ca="1">IFERROR(__xludf.DUMMYFUNCTION("IMPORTRANGE(""https://docs.google.com/spreadsheets/d/1XL5vhW3sbDhbH9Cz0tuDiY8C3ctxq1tqvaCgkFb8cCA/edit?usp=sharing"",""เลย!J388"")"),0)</f>
        <v>0</v>
      </c>
      <c r="AQ45" s="55">
        <f ca="1">IFERROR(__xludf.DUMMYFUNCTION("IMPORTRANGE(""https://docs.google.com/spreadsheets/d/1XL5vhW3sbDhbH9Cz0tuDiY8C3ctxq1tqvaCgkFb8cCA/edit?usp=sharing"",""เลย!J389"")"),0)</f>
        <v>0</v>
      </c>
      <c r="AR45" s="402">
        <v>0</v>
      </c>
      <c r="AS45" s="402">
        <v>0</v>
      </c>
      <c r="AT45" s="402">
        <f t="shared" ca="1" si="89"/>
        <v>0</v>
      </c>
      <c r="AU45" s="402">
        <f t="shared" si="12"/>
        <v>0</v>
      </c>
      <c r="AV45" s="402">
        <f t="shared" ca="1" si="90"/>
        <v>0</v>
      </c>
      <c r="AW45" s="402">
        <f t="shared" si="13"/>
        <v>0</v>
      </c>
      <c r="AX45" s="55">
        <f ca="1">IFERROR(__xludf.DUMMYFUNCTION("IMPORTRANGE(""https://docs.google.com/spreadsheets/d/1XL5vhW3sbDhbH9Cz0tuDiY8C3ctxq1tqvaCgkFb8cCA/edit?usp=sharing"",""เลย!J395"")"),0)</f>
        <v>0</v>
      </c>
      <c r="AY45" s="55">
        <f ca="1">IFERROR(__xludf.DUMMYFUNCTION("IMPORTRANGE(""https://docs.google.com/spreadsheets/d/1XL5vhW3sbDhbH9Cz0tuDiY8C3ctxq1tqvaCgkFb8cCA/edit?usp=sharing"",""เลย!J396"")"),0)</f>
        <v>0</v>
      </c>
      <c r="AZ45" s="55">
        <f ca="1">IFERROR(__xludf.DUMMYFUNCTION("IMPORTRANGE(""https://docs.google.com/spreadsheets/d/1XL5vhW3sbDhbH9Cz0tuDiY8C3ctxq1tqvaCgkFb8cCA/edit?usp=sharing"",""เลย!J397"")"),0)</f>
        <v>0</v>
      </c>
      <c r="BA45" s="55">
        <f ca="1">IFERROR(__xludf.DUMMYFUNCTION("IMPORTRANGE(""https://docs.google.com/spreadsheets/d/1XL5vhW3sbDhbH9Cz0tuDiY8C3ctxq1tqvaCgkFb8cCA/edit?usp=sharing"",""เลย!J398"")"),0)</f>
        <v>0</v>
      </c>
      <c r="BB45" s="55">
        <f ca="1">IFERROR(__xludf.DUMMYFUNCTION("IMPORTRANGE(""https://docs.google.com/spreadsheets/d/1XL5vhW3sbDhbH9Cz0tuDiY8C3ctxq1tqvaCgkFb8cCA/edit?usp=sharing"",""เลย!J399"")"),0)</f>
        <v>0</v>
      </c>
      <c r="BC45" s="55">
        <f ca="1">IFERROR(__xludf.DUMMYFUNCTION("IMPORTRANGE(""https://docs.google.com/spreadsheets/d/1XL5vhW3sbDhbH9Cz0tuDiY8C3ctxq1tqvaCgkFb8cCA/edit?usp=sharing"",""เลย!J400"")"),0)</f>
        <v>0</v>
      </c>
      <c r="BD45" s="55">
        <f ca="1">IFERROR(__xludf.DUMMYFUNCTION("IMPORTRANGE(""https://docs.google.com/spreadsheets/d/1XL5vhW3sbDhbH9Cz0tuDiY8C3ctxq1tqvaCgkFb8cCA/edit?usp=sharing"",""เลย!J403"")"),0)</f>
        <v>0</v>
      </c>
      <c r="BE45" s="55">
        <f ca="1">IFERROR(__xludf.DUMMYFUNCTION("IMPORTRANGE(""https://docs.google.com/spreadsheets/d/1XL5vhW3sbDhbH9Cz0tuDiY8C3ctxq1tqvaCgkFb8cCA/edit?usp=sharing"",""เลย!J404"")"),0)</f>
        <v>0</v>
      </c>
      <c r="BF45" s="55">
        <f ca="1">IFERROR(__xludf.DUMMYFUNCTION("IMPORTRANGE(""https://docs.google.com/spreadsheets/d/1XL5vhW3sbDhbH9Cz0tuDiY8C3ctxq1tqvaCgkFb8cCA/edit?usp=sharing"",""เลย!J405"")"),0)</f>
        <v>0</v>
      </c>
      <c r="BG45" s="55">
        <f ca="1">IFERROR(__xludf.DUMMYFUNCTION("IMPORTRANGE(""https://docs.google.com/spreadsheets/d/1XL5vhW3sbDhbH9Cz0tuDiY8C3ctxq1tqvaCgkFb8cCA/edit?usp=sharing"",""เลย!J406"")"),0)</f>
        <v>0</v>
      </c>
      <c r="BH45" s="55">
        <f ca="1">IFERROR(__xludf.DUMMYFUNCTION("IMPORTRANGE(""https://docs.google.com/spreadsheets/d/1XL5vhW3sbDhbH9Cz0tuDiY8C3ctxq1tqvaCgkFb8cCA/edit?usp=sharing"",""เลย!J407"")"),0)</f>
        <v>0</v>
      </c>
      <c r="BI45" s="55">
        <f ca="1">IFERROR(__xludf.DUMMYFUNCTION("IMPORTRANGE(""https://docs.google.com/spreadsheets/d/1XL5vhW3sbDhbH9Cz0tuDiY8C3ctxq1tqvaCgkFb8cCA/edit?usp=sharing"",""เลย!J408"")"),0)</f>
        <v>0</v>
      </c>
      <c r="BJ45" s="402">
        <v>54567</v>
      </c>
      <c r="BK45" s="402">
        <v>5802</v>
      </c>
      <c r="BL45" s="402">
        <f t="shared" ca="1" si="91"/>
        <v>0</v>
      </c>
      <c r="BM45" s="403">
        <f t="shared" ca="1" si="15"/>
        <v>0</v>
      </c>
      <c r="BN45" s="402">
        <f t="shared" ca="1" si="92"/>
        <v>0</v>
      </c>
      <c r="BO45" s="403">
        <f t="shared" ca="1" si="16"/>
        <v>0</v>
      </c>
      <c r="BP45" s="55">
        <f ca="1">IFERROR(__xludf.DUMMYFUNCTION("IMPORTRANGE(""https://docs.google.com/spreadsheets/d/1XL5vhW3sbDhbH9Cz0tuDiY8C3ctxq1tqvaCgkFb8cCA/edit?usp=sharing"",""เลย!J412"")"),0)</f>
        <v>0</v>
      </c>
      <c r="BQ45" s="55">
        <f ca="1">IFERROR(__xludf.DUMMYFUNCTION("IMPORTRANGE(""https://docs.google.com/spreadsheets/d/1XL5vhW3sbDhbH9Cz0tuDiY8C3ctxq1tqvaCgkFb8cCA/edit?usp=sharing"",""เลย!J413"")"),0)</f>
        <v>0</v>
      </c>
      <c r="BR45" s="55">
        <f ca="1">IFERROR(__xludf.DUMMYFUNCTION("IMPORTRANGE(""https://docs.google.com/spreadsheets/d/1XL5vhW3sbDhbH9Cz0tuDiY8C3ctxq1tqvaCgkFb8cCA/edit?usp=sharing"",""เลย!J414"")"),0)</f>
        <v>0</v>
      </c>
      <c r="BS45" s="55">
        <f ca="1">IFERROR(__xludf.DUMMYFUNCTION("IMPORTRANGE(""https://docs.google.com/spreadsheets/d/1XL5vhW3sbDhbH9Cz0tuDiY8C3ctxq1tqvaCgkFb8cCA/edit?usp=sharing"",""เลย!J415"")"),0)</f>
        <v>0</v>
      </c>
      <c r="BT45" s="55">
        <f ca="1">IFERROR(__xludf.DUMMYFUNCTION("IMPORTRANGE(""https://docs.google.com/spreadsheets/d/1XL5vhW3sbDhbH9Cz0tuDiY8C3ctxq1tqvaCgkFb8cCA/edit?usp=sharing"",""เลย!J416"")"),0)</f>
        <v>0</v>
      </c>
      <c r="BU45" s="55">
        <f ca="1">IFERROR(__xludf.DUMMYFUNCTION("IMPORTRANGE(""https://docs.google.com/spreadsheets/d/1XL5vhW3sbDhbH9Cz0tuDiY8C3ctxq1tqvaCgkFb8cCA/edit?usp=sharing"",""เลย!J417"")"),0)</f>
        <v>0</v>
      </c>
      <c r="BV45" s="402">
        <f t="shared" ca="1" si="93"/>
        <v>0</v>
      </c>
      <c r="BW45" s="403">
        <f t="shared" ca="1" si="94"/>
        <v>0</v>
      </c>
      <c r="BX45" s="402">
        <f t="shared" ca="1" si="95"/>
        <v>0</v>
      </c>
      <c r="BY45" s="403">
        <f t="shared" ca="1" si="96"/>
        <v>0</v>
      </c>
      <c r="BZ45" s="55">
        <f ca="1">IFERROR(__xludf.DUMMYFUNCTION("IMPORTRANGE(""https://docs.google.com/spreadsheets/d/1XL5vhW3sbDhbH9Cz0tuDiY8C3ctxq1tqvaCgkFb8cCA/edit?usp=sharing"",""เลย!J420"")"),0)</f>
        <v>0</v>
      </c>
      <c r="CA45" s="55">
        <f ca="1">IFERROR(__xludf.DUMMYFUNCTION("IMPORTRANGE(""https://docs.google.com/spreadsheets/d/1XL5vhW3sbDhbH9Cz0tuDiY8C3ctxq1tqvaCgkFb8cCA/edit?usp=sharing"",""เลย!J421"")"),0)</f>
        <v>0</v>
      </c>
      <c r="CB45" s="55">
        <f ca="1">IFERROR(__xludf.DUMMYFUNCTION("IMPORTRANGE(""https://docs.google.com/spreadsheets/d/1XL5vhW3sbDhbH9Cz0tuDiY8C3ctxq1tqvaCgkFb8cCA/edit?usp=sharing"",""เลย!J422"")"),0)</f>
        <v>0</v>
      </c>
      <c r="CC45" s="55">
        <f ca="1">IFERROR(__xludf.DUMMYFUNCTION("IMPORTRANGE(""https://docs.google.com/spreadsheets/d/1XL5vhW3sbDhbH9Cz0tuDiY8C3ctxq1tqvaCgkFb8cCA/edit?usp=sharing"",""เลย!J423"")"),0)</f>
        <v>0</v>
      </c>
      <c r="CD45" s="55">
        <f ca="1">IFERROR(__xludf.DUMMYFUNCTION("IMPORTRANGE(""https://docs.google.com/spreadsheets/d/1XL5vhW3sbDhbH9Cz0tuDiY8C3ctxq1tqvaCgkFb8cCA/edit?usp=sharing"",""เลย!J424"")"),0)</f>
        <v>0</v>
      </c>
      <c r="CE45" s="422">
        <f ca="1">IFERROR(__xludf.DUMMYFUNCTION("IMPORTRANGE(""https://docs.google.com/spreadsheets/d/1XL5vhW3sbDhbH9Cz0tuDiY8C3ctxq1tqvaCgkFb8cCA/edit?usp=sharing"",""เลย!J425"")"),0)</f>
        <v>0</v>
      </c>
    </row>
    <row r="46" spans="1:83" ht="24" customHeight="1" x14ac:dyDescent="0.5">
      <c r="A46" s="273">
        <v>13</v>
      </c>
      <c r="B46" s="274" t="s">
        <v>61</v>
      </c>
      <c r="C46" s="400">
        <f t="shared" si="82"/>
        <v>853421.1</v>
      </c>
      <c r="D46" s="55">
        <v>0</v>
      </c>
      <c r="E46" s="401">
        <v>853421.1</v>
      </c>
      <c r="F46" s="99">
        <f ca="1">IFERROR(__xludf.DUMMYFUNCTION("IMPORTRANGE(""https://docs.google.com/spreadsheets/d/1XL5vhW3sbDhbH9Cz0tuDiY8C3ctxq1tqvaCgkFb8cCA/edit?usp=sharing"",""ศรีสะเกษ!M352"")"),0)</f>
        <v>0</v>
      </c>
      <c r="G46" s="99">
        <f t="shared" ca="1" si="1"/>
        <v>0</v>
      </c>
      <c r="H46" s="57">
        <v>46205</v>
      </c>
      <c r="I46" s="57">
        <v>11134</v>
      </c>
      <c r="J46" s="55">
        <f t="shared" ca="1" si="83"/>
        <v>0</v>
      </c>
      <c r="K46" s="99">
        <f t="shared" ca="1" si="3"/>
        <v>0</v>
      </c>
      <c r="L46" s="55">
        <f t="shared" ca="1" si="84"/>
        <v>0</v>
      </c>
      <c r="M46" s="99">
        <f t="shared" ca="1" si="4"/>
        <v>0</v>
      </c>
      <c r="N46" s="55">
        <f ca="1">IFERROR(__xludf.DUMMYFUNCTION("IMPORTRANGE(""https://docs.google.com/spreadsheets/d/1XL5vhW3sbDhbH9Cz0tuDiY8C3ctxq1tqvaCgkFb8cCA/edit?usp=sharing"",""ศรีสะเกษ!J362"")"),0)</f>
        <v>0</v>
      </c>
      <c r="O46" s="55">
        <f ca="1">IFERROR(__xludf.DUMMYFUNCTION("IMPORTRANGE(""https://docs.google.com/spreadsheets/d/1XL5vhW3sbDhbH9Cz0tuDiY8C3ctxq1tqvaCgkFb8cCA/edit?usp=sharing"",""ศรีสะเกษ!J363"")"),0)</f>
        <v>0</v>
      </c>
      <c r="P46" s="55">
        <f ca="1">IFERROR(__xludf.DUMMYFUNCTION("IMPORTRANGE(""https://docs.google.com/spreadsheets/d/1XL5vhW3sbDhbH9Cz0tuDiY8C3ctxq1tqvaCgkFb8cCA/edit?usp=sharing"",""ศรีสะเกษ!J364"")"),0)</f>
        <v>0</v>
      </c>
      <c r="Q46" s="55">
        <f ca="1">IFERROR(__xludf.DUMMYFUNCTION("IMPORTRANGE(""https://docs.google.com/spreadsheets/d/1XL5vhW3sbDhbH9Cz0tuDiY8C3ctxq1tqvaCgkFb8cCA/edit?usp=sharing"",""ศรีสะเกษ!J365"")"),0)</f>
        <v>0</v>
      </c>
      <c r="R46" s="55">
        <f ca="1">IFERROR(__xludf.DUMMYFUNCTION("IMPORTRANGE(""https://docs.google.com/spreadsheets/d/1XL5vhW3sbDhbH9Cz0tuDiY8C3ctxq1tqvaCgkFb8cCA/edit?usp=sharing"",""ศรีสะเกษ!J366"")"),0)</f>
        <v>0</v>
      </c>
      <c r="S46" s="55">
        <f ca="1">IFERROR(__xludf.DUMMYFUNCTION("IMPORTRANGE(""https://docs.google.com/spreadsheets/d/1XL5vhW3sbDhbH9Cz0tuDiY8C3ctxq1tqvaCgkFb8cCA/edit?usp=sharing"",""ศรีสะเกษ!J367"")"),0)</f>
        <v>0</v>
      </c>
      <c r="T46" s="55">
        <f t="shared" ca="1" si="85"/>
        <v>0</v>
      </c>
      <c r="U46" s="55">
        <f t="shared" ca="1" si="6"/>
        <v>0</v>
      </c>
      <c r="V46" s="55">
        <f t="shared" ca="1" si="86"/>
        <v>0</v>
      </c>
      <c r="W46" s="55">
        <f t="shared" ca="1" si="7"/>
        <v>0</v>
      </c>
      <c r="X46" s="55">
        <f ca="1">IFERROR(__xludf.DUMMYFUNCTION("IMPORTRANGE(""https://docs.google.com/spreadsheets/d/1XL5vhW3sbDhbH9Cz0tuDiY8C3ctxq1tqvaCgkFb8cCA/edit?usp=sharing"",""ศรีสะเกษ!J370"")"),0)</f>
        <v>0</v>
      </c>
      <c r="Y46" s="55">
        <f ca="1">IFERROR(__xludf.DUMMYFUNCTION("IMPORTRANGE(""https://docs.google.com/spreadsheets/d/1XL5vhW3sbDhbH9Cz0tuDiY8C3ctxq1tqvaCgkFb8cCA/edit?usp=sharing"",""ศรีสะเกษ!J371"")"),0)</f>
        <v>0</v>
      </c>
      <c r="Z46" s="55">
        <f ca="1">IFERROR(__xludf.DUMMYFUNCTION("IMPORTRANGE(""https://docs.google.com/spreadsheets/d/1XL5vhW3sbDhbH9Cz0tuDiY8C3ctxq1tqvaCgkFb8cCA/edit?usp=sharing"",""ศรีสะเกษ!J372"")"),0)</f>
        <v>0</v>
      </c>
      <c r="AA46" s="55">
        <f ca="1">IFERROR(__xludf.DUMMYFUNCTION("IMPORTRANGE(""https://docs.google.com/spreadsheets/d/1XL5vhW3sbDhbH9Cz0tuDiY8C3ctxq1tqvaCgkFb8cCA/edit?usp=sharing"",""ศรีสะเกษ!J373"")"),0)</f>
        <v>0</v>
      </c>
      <c r="AB46" s="55">
        <f ca="1">IFERROR(__xludf.DUMMYFUNCTION("IMPORTRANGE(""https://docs.google.com/spreadsheets/d/1XL5vhW3sbDhbH9Cz0tuDiY8C3ctxq1tqvaCgkFb8cCA/edit?usp=sharing"",""ศรีสะเกษ!J374"")"),0)</f>
        <v>0</v>
      </c>
      <c r="AC46" s="55">
        <f ca="1">IFERROR(__xludf.DUMMYFUNCTION("IMPORTRANGE(""https://docs.google.com/spreadsheets/d/1XL5vhW3sbDhbH9Cz0tuDiY8C3ctxq1tqvaCgkFb8cCA/edit?usp=sharing"",""ศรีสะเกษ!J375"")"),0)</f>
        <v>0</v>
      </c>
      <c r="AD46" s="55">
        <f t="shared" ca="1" si="87"/>
        <v>0</v>
      </c>
      <c r="AE46" s="99">
        <f t="shared" ca="1" si="9"/>
        <v>0</v>
      </c>
      <c r="AF46" s="55">
        <f t="shared" ca="1" si="88"/>
        <v>0</v>
      </c>
      <c r="AG46" s="99">
        <f t="shared" ca="1" si="10"/>
        <v>0</v>
      </c>
      <c r="AH46" s="55">
        <f ca="1">IFERROR(__xludf.DUMMYFUNCTION("IMPORTRANGE(""https://docs.google.com/spreadsheets/d/1XL5vhW3sbDhbH9Cz0tuDiY8C3ctxq1tqvaCgkFb8cCA/edit?usp=sharing"",""ศรีสะเกษ!J378"")"),0)</f>
        <v>0</v>
      </c>
      <c r="AI46" s="55">
        <f ca="1">IFERROR(__xludf.DUMMYFUNCTION("IMPORTRANGE(""https://docs.google.com/spreadsheets/d/1XL5vhW3sbDhbH9Cz0tuDiY8C3ctxq1tqvaCgkFb8cCA/edit?usp=sharing"",""ศรีสะเกษ!J379"")"),0)</f>
        <v>0</v>
      </c>
      <c r="AJ46" s="55">
        <f ca="1">IFERROR(__xludf.DUMMYFUNCTION("IMPORTRANGE(""https://docs.google.com/spreadsheets/d/1XL5vhW3sbDhbH9Cz0tuDiY8C3ctxq1tqvaCgkFb8cCA/edit?usp=sharing"",""ศรีสะเกษ!J380"")"),0)</f>
        <v>0</v>
      </c>
      <c r="AK46" s="55">
        <f ca="1">IFERROR(__xludf.DUMMYFUNCTION("IMPORTRANGE(""https://docs.google.com/spreadsheets/d/1XL5vhW3sbDhbH9Cz0tuDiY8C3ctxq1tqvaCgkFb8cCA/edit?usp=sharing"",""ศรีสะเกษ!J381"")"),0)</f>
        <v>0</v>
      </c>
      <c r="AL46" s="55">
        <f ca="1">IFERROR(__xludf.DUMMYFUNCTION("IMPORTRANGE(""https://docs.google.com/spreadsheets/d/1XL5vhW3sbDhbH9Cz0tuDiY8C3ctxq1tqvaCgkFb8cCA/edit?usp=sharing"",""ศรีสะเกษ!J384"")"),0)</f>
        <v>0</v>
      </c>
      <c r="AM46" s="55">
        <f ca="1">IFERROR(__xludf.DUMMYFUNCTION("IMPORTRANGE(""https://docs.google.com/spreadsheets/d/1XL5vhW3sbDhbH9Cz0tuDiY8C3ctxq1tqvaCgkFb8cCA/edit?usp=sharing"",""ศรีสะเกษ!J385"")"),0)</f>
        <v>0</v>
      </c>
      <c r="AN46" s="55">
        <f ca="1">IFERROR(__xludf.DUMMYFUNCTION("IMPORTRANGE(""https://docs.google.com/spreadsheets/d/1XL5vhW3sbDhbH9Cz0tuDiY8C3ctxq1tqvaCgkFb8cCA/edit?usp=sharing"",""ศรีสะเกษ!J386"")"),0)</f>
        <v>0</v>
      </c>
      <c r="AO46" s="55">
        <f ca="1">IFERROR(__xludf.DUMMYFUNCTION("IMPORTRANGE(""https://docs.google.com/spreadsheets/d/1XL5vhW3sbDhbH9Cz0tuDiY8C3ctxq1tqvaCgkFb8cCA/edit?usp=sharing"",""ศรีสะเกษ!J387"")"),0)</f>
        <v>0</v>
      </c>
      <c r="AP46" s="55">
        <f ca="1">IFERROR(__xludf.DUMMYFUNCTION("IMPORTRANGE(""https://docs.google.com/spreadsheets/d/1XL5vhW3sbDhbH9Cz0tuDiY8C3ctxq1tqvaCgkFb8cCA/edit?usp=sharing"",""ศรีสะเกษ!J388"")"),0)</f>
        <v>0</v>
      </c>
      <c r="AQ46" s="55">
        <f ca="1">IFERROR(__xludf.DUMMYFUNCTION("IMPORTRANGE(""https://docs.google.com/spreadsheets/d/1XL5vhW3sbDhbH9Cz0tuDiY8C3ctxq1tqvaCgkFb8cCA/edit?usp=sharing"",""ศรีสะเกษ!J389"")"),0)</f>
        <v>0</v>
      </c>
      <c r="AR46" s="402">
        <v>751</v>
      </c>
      <c r="AS46" s="402">
        <v>3493</v>
      </c>
      <c r="AT46" s="402">
        <f t="shared" ca="1" si="89"/>
        <v>0</v>
      </c>
      <c r="AU46" s="402">
        <f t="shared" ca="1" si="12"/>
        <v>0</v>
      </c>
      <c r="AV46" s="402">
        <f t="shared" ca="1" si="90"/>
        <v>0</v>
      </c>
      <c r="AW46" s="402">
        <f t="shared" ca="1" si="13"/>
        <v>0</v>
      </c>
      <c r="AX46" s="55">
        <f ca="1">IFERROR(__xludf.DUMMYFUNCTION("IMPORTRANGE(""https://docs.google.com/spreadsheets/d/1XL5vhW3sbDhbH9Cz0tuDiY8C3ctxq1tqvaCgkFb8cCA/edit?usp=sharing"",""ศรีสะเกษ!J395"")"),0)</f>
        <v>0</v>
      </c>
      <c r="AY46" s="55">
        <f ca="1">IFERROR(__xludf.DUMMYFUNCTION("IMPORTRANGE(""https://docs.google.com/spreadsheets/d/1XL5vhW3sbDhbH9Cz0tuDiY8C3ctxq1tqvaCgkFb8cCA/edit?usp=sharing"",""ศรีสะเกษ!J396"")"),0)</f>
        <v>0</v>
      </c>
      <c r="AZ46" s="55">
        <f ca="1">IFERROR(__xludf.DUMMYFUNCTION("IMPORTRANGE(""https://docs.google.com/spreadsheets/d/1XL5vhW3sbDhbH9Cz0tuDiY8C3ctxq1tqvaCgkFb8cCA/edit?usp=sharing"",""ศรีสะเกษ!J397"")"),0)</f>
        <v>0</v>
      </c>
      <c r="BA46" s="55">
        <f ca="1">IFERROR(__xludf.DUMMYFUNCTION("IMPORTRANGE(""https://docs.google.com/spreadsheets/d/1XL5vhW3sbDhbH9Cz0tuDiY8C3ctxq1tqvaCgkFb8cCA/edit?usp=sharing"",""ศรีสะเกษ!J398"")"),0)</f>
        <v>0</v>
      </c>
      <c r="BB46" s="55">
        <f ca="1">IFERROR(__xludf.DUMMYFUNCTION("IMPORTRANGE(""https://docs.google.com/spreadsheets/d/1XL5vhW3sbDhbH9Cz0tuDiY8C3ctxq1tqvaCgkFb8cCA/edit?usp=sharing"",""ศรีสะเกษ!J399"")"),0)</f>
        <v>0</v>
      </c>
      <c r="BC46" s="55">
        <f ca="1">IFERROR(__xludf.DUMMYFUNCTION("IMPORTRANGE(""https://docs.google.com/spreadsheets/d/1XL5vhW3sbDhbH9Cz0tuDiY8C3ctxq1tqvaCgkFb8cCA/edit?usp=sharing"",""ศรีสะเกษ!J400"")"),0)</f>
        <v>0</v>
      </c>
      <c r="BD46" s="55">
        <f ca="1">IFERROR(__xludf.DUMMYFUNCTION("IMPORTRANGE(""https://docs.google.com/spreadsheets/d/1XL5vhW3sbDhbH9Cz0tuDiY8C3ctxq1tqvaCgkFb8cCA/edit?usp=sharing"",""ศรีสะเกษ!J403"")"),0)</f>
        <v>0</v>
      </c>
      <c r="BE46" s="55">
        <f ca="1">IFERROR(__xludf.DUMMYFUNCTION("IMPORTRANGE(""https://docs.google.com/spreadsheets/d/1XL5vhW3sbDhbH9Cz0tuDiY8C3ctxq1tqvaCgkFb8cCA/edit?usp=sharing"",""ศรีสะเกษ!J404"")"),0)</f>
        <v>0</v>
      </c>
      <c r="BF46" s="55">
        <f ca="1">IFERROR(__xludf.DUMMYFUNCTION("IMPORTRANGE(""https://docs.google.com/spreadsheets/d/1XL5vhW3sbDhbH9Cz0tuDiY8C3ctxq1tqvaCgkFb8cCA/edit?usp=sharing"",""ศรีสะเกษ!J405"")"),0)</f>
        <v>0</v>
      </c>
      <c r="BG46" s="55">
        <f ca="1">IFERROR(__xludf.DUMMYFUNCTION("IMPORTRANGE(""https://docs.google.com/spreadsheets/d/1XL5vhW3sbDhbH9Cz0tuDiY8C3ctxq1tqvaCgkFb8cCA/edit?usp=sharing"",""ศรีสะเกษ!J406"")"),0)</f>
        <v>0</v>
      </c>
      <c r="BH46" s="55">
        <f ca="1">IFERROR(__xludf.DUMMYFUNCTION("IMPORTRANGE(""https://docs.google.com/spreadsheets/d/1XL5vhW3sbDhbH9Cz0tuDiY8C3ctxq1tqvaCgkFb8cCA/edit?usp=sharing"",""ศรีสะเกษ!J407"")"),0)</f>
        <v>0</v>
      </c>
      <c r="BI46" s="55">
        <f ca="1">IFERROR(__xludf.DUMMYFUNCTION("IMPORTRANGE(""https://docs.google.com/spreadsheets/d/1XL5vhW3sbDhbH9Cz0tuDiY8C3ctxq1tqvaCgkFb8cCA/edit?usp=sharing"",""ศรีสะเกษ!J408"")"),0)</f>
        <v>0</v>
      </c>
      <c r="BJ46" s="402">
        <v>46205</v>
      </c>
      <c r="BK46" s="402">
        <v>11134</v>
      </c>
      <c r="BL46" s="402">
        <f t="shared" ca="1" si="91"/>
        <v>0</v>
      </c>
      <c r="BM46" s="403">
        <f t="shared" ca="1" si="15"/>
        <v>0</v>
      </c>
      <c r="BN46" s="402">
        <f t="shared" ca="1" si="92"/>
        <v>0</v>
      </c>
      <c r="BO46" s="403">
        <f t="shared" ca="1" si="16"/>
        <v>0</v>
      </c>
      <c r="BP46" s="55">
        <f ca="1">IFERROR(__xludf.DUMMYFUNCTION("IMPORTRANGE(""https://docs.google.com/spreadsheets/d/1XL5vhW3sbDhbH9Cz0tuDiY8C3ctxq1tqvaCgkFb8cCA/edit?usp=sharing"",""ศรีสะเกษ!J412"")"),0)</f>
        <v>0</v>
      </c>
      <c r="BQ46" s="55">
        <f ca="1">IFERROR(__xludf.DUMMYFUNCTION("IMPORTRANGE(""https://docs.google.com/spreadsheets/d/1XL5vhW3sbDhbH9Cz0tuDiY8C3ctxq1tqvaCgkFb8cCA/edit?usp=sharing"",""ศรีสะเกษ!J413"")"),0)</f>
        <v>0</v>
      </c>
      <c r="BR46" s="55">
        <f ca="1">IFERROR(__xludf.DUMMYFUNCTION("IMPORTRANGE(""https://docs.google.com/spreadsheets/d/1XL5vhW3sbDhbH9Cz0tuDiY8C3ctxq1tqvaCgkFb8cCA/edit?usp=sharing"",""ศรีสะเกษ!J414"")"),0)</f>
        <v>0</v>
      </c>
      <c r="BS46" s="55">
        <f ca="1">IFERROR(__xludf.DUMMYFUNCTION("IMPORTRANGE(""https://docs.google.com/spreadsheets/d/1XL5vhW3sbDhbH9Cz0tuDiY8C3ctxq1tqvaCgkFb8cCA/edit?usp=sharing"",""ศรีสะเกษ!J415"")"),0)</f>
        <v>0</v>
      </c>
      <c r="BT46" s="55">
        <f ca="1">IFERROR(__xludf.DUMMYFUNCTION("IMPORTRANGE(""https://docs.google.com/spreadsheets/d/1XL5vhW3sbDhbH9Cz0tuDiY8C3ctxq1tqvaCgkFb8cCA/edit?usp=sharing"",""ศรีสะเกษ!J416"")"),0)</f>
        <v>0</v>
      </c>
      <c r="BU46" s="55">
        <f ca="1">IFERROR(__xludf.DUMMYFUNCTION("IMPORTRANGE(""https://docs.google.com/spreadsheets/d/1XL5vhW3sbDhbH9Cz0tuDiY8C3ctxq1tqvaCgkFb8cCA/edit?usp=sharing"",""ศรีสะเกษ!J417"")"),0)</f>
        <v>0</v>
      </c>
      <c r="BV46" s="402">
        <f t="shared" ca="1" si="93"/>
        <v>0</v>
      </c>
      <c r="BW46" s="403">
        <f t="shared" ca="1" si="94"/>
        <v>0</v>
      </c>
      <c r="BX46" s="402">
        <f t="shared" ca="1" si="95"/>
        <v>0</v>
      </c>
      <c r="BY46" s="403">
        <f t="shared" ca="1" si="96"/>
        <v>0</v>
      </c>
      <c r="BZ46" s="55">
        <f ca="1">IFERROR(__xludf.DUMMYFUNCTION("IMPORTRANGE(""https://docs.google.com/spreadsheets/d/1XL5vhW3sbDhbH9Cz0tuDiY8C3ctxq1tqvaCgkFb8cCA/edit?usp=sharing"",""ศรีสะเกษ!J420"")"),0)</f>
        <v>0</v>
      </c>
      <c r="CA46" s="55">
        <f ca="1">IFERROR(__xludf.DUMMYFUNCTION("IMPORTRANGE(""https://docs.google.com/spreadsheets/d/1XL5vhW3sbDhbH9Cz0tuDiY8C3ctxq1tqvaCgkFb8cCA/edit?usp=sharing"",""ศรีสะเกษ!J421"")"),0)</f>
        <v>0</v>
      </c>
      <c r="CB46" s="55">
        <f ca="1">IFERROR(__xludf.DUMMYFUNCTION("IMPORTRANGE(""https://docs.google.com/spreadsheets/d/1XL5vhW3sbDhbH9Cz0tuDiY8C3ctxq1tqvaCgkFb8cCA/edit?usp=sharing"",""ศรีสะเกษ!J422"")"),0)</f>
        <v>0</v>
      </c>
      <c r="CC46" s="55">
        <f ca="1">IFERROR(__xludf.DUMMYFUNCTION("IMPORTRANGE(""https://docs.google.com/spreadsheets/d/1XL5vhW3sbDhbH9Cz0tuDiY8C3ctxq1tqvaCgkFb8cCA/edit?usp=sharing"",""ศรีสะเกษ!J423"")"),0)</f>
        <v>0</v>
      </c>
      <c r="CD46" s="55">
        <f ca="1">IFERROR(__xludf.DUMMYFUNCTION("IMPORTRANGE(""https://docs.google.com/spreadsheets/d/1XL5vhW3sbDhbH9Cz0tuDiY8C3ctxq1tqvaCgkFb8cCA/edit?usp=sharing"",""ศรีสะเกษ!J424"")"),0)</f>
        <v>0</v>
      </c>
      <c r="CE46" s="422">
        <f ca="1">IFERROR(__xludf.DUMMYFUNCTION("IMPORTRANGE(""https://docs.google.com/spreadsheets/d/1XL5vhW3sbDhbH9Cz0tuDiY8C3ctxq1tqvaCgkFb8cCA/edit?usp=sharing"",""ศรีสะเกษ!J425"")"),0)</f>
        <v>0</v>
      </c>
    </row>
    <row r="47" spans="1:83" ht="24" customHeight="1" x14ac:dyDescent="0.5">
      <c r="A47" s="273">
        <v>14</v>
      </c>
      <c r="B47" s="274" t="s">
        <v>62</v>
      </c>
      <c r="C47" s="400">
        <f t="shared" si="82"/>
        <v>585768.1</v>
      </c>
      <c r="D47" s="55">
        <v>0</v>
      </c>
      <c r="E47" s="401">
        <v>585768.1</v>
      </c>
      <c r="F47" s="99">
        <f ca="1">IFERROR(__xludf.DUMMYFUNCTION("IMPORTRANGE(""https://docs.google.com/spreadsheets/d/1XL5vhW3sbDhbH9Cz0tuDiY8C3ctxq1tqvaCgkFb8cCA/edit?usp=sharing"",""สกลนคร!M352"")"),6032.26)</f>
        <v>6032.26</v>
      </c>
      <c r="G47" s="99">
        <f t="shared" ca="1" si="1"/>
        <v>1.0298034324504868</v>
      </c>
      <c r="H47" s="57">
        <v>43589</v>
      </c>
      <c r="I47" s="57">
        <v>5754</v>
      </c>
      <c r="J47" s="55">
        <f t="shared" ca="1" si="83"/>
        <v>0</v>
      </c>
      <c r="K47" s="99">
        <f t="shared" ca="1" si="3"/>
        <v>0</v>
      </c>
      <c r="L47" s="55">
        <f t="shared" ca="1" si="84"/>
        <v>0</v>
      </c>
      <c r="M47" s="99">
        <f t="shared" ca="1" si="4"/>
        <v>0</v>
      </c>
      <c r="N47" s="55">
        <f ca="1">IFERROR(__xludf.DUMMYFUNCTION("IMPORTRANGE(""https://docs.google.com/spreadsheets/d/1XL5vhW3sbDhbH9Cz0tuDiY8C3ctxq1tqvaCgkFb8cCA/edit?usp=sharing"",""สกลนคร!J362"")"),0)</f>
        <v>0</v>
      </c>
      <c r="O47" s="55">
        <f ca="1">IFERROR(__xludf.DUMMYFUNCTION("IMPORTRANGE(""https://docs.google.com/spreadsheets/d/1XL5vhW3sbDhbH9Cz0tuDiY8C3ctxq1tqvaCgkFb8cCA/edit?usp=sharing"",""สกลนคร!J363"")"),0)</f>
        <v>0</v>
      </c>
      <c r="P47" s="55">
        <f ca="1">IFERROR(__xludf.DUMMYFUNCTION("IMPORTRANGE(""https://docs.google.com/spreadsheets/d/1XL5vhW3sbDhbH9Cz0tuDiY8C3ctxq1tqvaCgkFb8cCA/edit?usp=sharing"",""สกลนคร!J364"")"),0)</f>
        <v>0</v>
      </c>
      <c r="Q47" s="55">
        <f ca="1">IFERROR(__xludf.DUMMYFUNCTION("IMPORTRANGE(""https://docs.google.com/spreadsheets/d/1XL5vhW3sbDhbH9Cz0tuDiY8C3ctxq1tqvaCgkFb8cCA/edit?usp=sharing"",""สกลนคร!J365"")"),0)</f>
        <v>0</v>
      </c>
      <c r="R47" s="55">
        <f ca="1">IFERROR(__xludf.DUMMYFUNCTION("IMPORTRANGE(""https://docs.google.com/spreadsheets/d/1XL5vhW3sbDhbH9Cz0tuDiY8C3ctxq1tqvaCgkFb8cCA/edit?usp=sharing"",""สกลนคร!J366"")"),0)</f>
        <v>0</v>
      </c>
      <c r="S47" s="55">
        <f ca="1">IFERROR(__xludf.DUMMYFUNCTION("IMPORTRANGE(""https://docs.google.com/spreadsheets/d/1XL5vhW3sbDhbH9Cz0tuDiY8C3ctxq1tqvaCgkFb8cCA/edit?usp=sharing"",""สกลนคร!J367"")"),0)</f>
        <v>0</v>
      </c>
      <c r="T47" s="55">
        <f t="shared" ca="1" si="85"/>
        <v>0</v>
      </c>
      <c r="U47" s="55">
        <f t="shared" ca="1" si="6"/>
        <v>0</v>
      </c>
      <c r="V47" s="55">
        <f t="shared" ca="1" si="86"/>
        <v>0</v>
      </c>
      <c r="W47" s="55">
        <f t="shared" ca="1" si="7"/>
        <v>0</v>
      </c>
      <c r="X47" s="55">
        <f ca="1">IFERROR(__xludf.DUMMYFUNCTION("IMPORTRANGE(""https://docs.google.com/spreadsheets/d/1XL5vhW3sbDhbH9Cz0tuDiY8C3ctxq1tqvaCgkFb8cCA/edit?usp=sharing"",""สกลนคร!J370"")"),0)</f>
        <v>0</v>
      </c>
      <c r="Y47" s="55">
        <f ca="1">IFERROR(__xludf.DUMMYFUNCTION("IMPORTRANGE(""https://docs.google.com/spreadsheets/d/1XL5vhW3sbDhbH9Cz0tuDiY8C3ctxq1tqvaCgkFb8cCA/edit?usp=sharing"",""สกลนคร!J371"")"),0)</f>
        <v>0</v>
      </c>
      <c r="Z47" s="55">
        <f ca="1">IFERROR(__xludf.DUMMYFUNCTION("IMPORTRANGE(""https://docs.google.com/spreadsheets/d/1XL5vhW3sbDhbH9Cz0tuDiY8C3ctxq1tqvaCgkFb8cCA/edit?usp=sharing"",""สกลนคร!J372"")"),0)</f>
        <v>0</v>
      </c>
      <c r="AA47" s="55">
        <f ca="1">IFERROR(__xludf.DUMMYFUNCTION("IMPORTRANGE(""https://docs.google.com/spreadsheets/d/1XL5vhW3sbDhbH9Cz0tuDiY8C3ctxq1tqvaCgkFb8cCA/edit?usp=sharing"",""สกลนคร!J373"")"),0)</f>
        <v>0</v>
      </c>
      <c r="AB47" s="55">
        <f ca="1">IFERROR(__xludf.DUMMYFUNCTION("IMPORTRANGE(""https://docs.google.com/spreadsheets/d/1XL5vhW3sbDhbH9Cz0tuDiY8C3ctxq1tqvaCgkFb8cCA/edit?usp=sharing"",""สกลนคร!J374"")"),0)</f>
        <v>0</v>
      </c>
      <c r="AC47" s="55">
        <f ca="1">IFERROR(__xludf.DUMMYFUNCTION("IMPORTRANGE(""https://docs.google.com/spreadsheets/d/1XL5vhW3sbDhbH9Cz0tuDiY8C3ctxq1tqvaCgkFb8cCA/edit?usp=sharing"",""สกลนคร!J375"")"),0)</f>
        <v>0</v>
      </c>
      <c r="AD47" s="55">
        <f t="shared" ca="1" si="87"/>
        <v>0</v>
      </c>
      <c r="AE47" s="99">
        <f t="shared" ca="1" si="9"/>
        <v>0</v>
      </c>
      <c r="AF47" s="55">
        <f t="shared" ca="1" si="88"/>
        <v>0</v>
      </c>
      <c r="AG47" s="99">
        <f t="shared" ca="1" si="10"/>
        <v>0</v>
      </c>
      <c r="AH47" s="55">
        <f ca="1">IFERROR(__xludf.DUMMYFUNCTION("IMPORTRANGE(""https://docs.google.com/spreadsheets/d/1XL5vhW3sbDhbH9Cz0tuDiY8C3ctxq1tqvaCgkFb8cCA/edit?usp=sharing"",""สกลนคร!J378"")"),0)</f>
        <v>0</v>
      </c>
      <c r="AI47" s="55">
        <f ca="1">IFERROR(__xludf.DUMMYFUNCTION("IMPORTRANGE(""https://docs.google.com/spreadsheets/d/1XL5vhW3sbDhbH9Cz0tuDiY8C3ctxq1tqvaCgkFb8cCA/edit?usp=sharing"",""สกลนคร!J379"")"),0)</f>
        <v>0</v>
      </c>
      <c r="AJ47" s="55">
        <f ca="1">IFERROR(__xludf.DUMMYFUNCTION("IMPORTRANGE(""https://docs.google.com/spreadsheets/d/1XL5vhW3sbDhbH9Cz0tuDiY8C3ctxq1tqvaCgkFb8cCA/edit?usp=sharing"",""สกลนคร!J380"")"),0)</f>
        <v>0</v>
      </c>
      <c r="AK47" s="55">
        <f ca="1">IFERROR(__xludf.DUMMYFUNCTION("IMPORTRANGE(""https://docs.google.com/spreadsheets/d/1XL5vhW3sbDhbH9Cz0tuDiY8C3ctxq1tqvaCgkFb8cCA/edit?usp=sharing"",""สกลนคร!J381"")"),0)</f>
        <v>0</v>
      </c>
      <c r="AL47" s="55">
        <f ca="1">IFERROR(__xludf.DUMMYFUNCTION("IMPORTRANGE(""https://docs.google.com/spreadsheets/d/1XL5vhW3sbDhbH9Cz0tuDiY8C3ctxq1tqvaCgkFb8cCA/edit?usp=sharing"",""สกลนคร!J384"")"),0)</f>
        <v>0</v>
      </c>
      <c r="AM47" s="55">
        <f ca="1">IFERROR(__xludf.DUMMYFUNCTION("IMPORTRANGE(""https://docs.google.com/spreadsheets/d/1XL5vhW3sbDhbH9Cz0tuDiY8C3ctxq1tqvaCgkFb8cCA/edit?usp=sharing"",""สกลนคร!J385"")"),0)</f>
        <v>0</v>
      </c>
      <c r="AN47" s="55">
        <f ca="1">IFERROR(__xludf.DUMMYFUNCTION("IMPORTRANGE(""https://docs.google.com/spreadsheets/d/1XL5vhW3sbDhbH9Cz0tuDiY8C3ctxq1tqvaCgkFb8cCA/edit?usp=sharing"",""สกลนคร!J386"")"),0)</f>
        <v>0</v>
      </c>
      <c r="AO47" s="55">
        <f ca="1">IFERROR(__xludf.DUMMYFUNCTION("IMPORTRANGE(""https://docs.google.com/spreadsheets/d/1XL5vhW3sbDhbH9Cz0tuDiY8C3ctxq1tqvaCgkFb8cCA/edit?usp=sharing"",""สกลนคร!J387"")"),0)</f>
        <v>0</v>
      </c>
      <c r="AP47" s="55">
        <f ca="1">IFERROR(__xludf.DUMMYFUNCTION("IMPORTRANGE(""https://docs.google.com/spreadsheets/d/1XL5vhW3sbDhbH9Cz0tuDiY8C3ctxq1tqvaCgkFb8cCA/edit?usp=sharing"",""สกลนคร!J388"")"),0)</f>
        <v>0</v>
      </c>
      <c r="AQ47" s="55">
        <f ca="1">IFERROR(__xludf.DUMMYFUNCTION("IMPORTRANGE(""https://docs.google.com/spreadsheets/d/1XL5vhW3sbDhbH9Cz0tuDiY8C3ctxq1tqvaCgkFb8cCA/edit?usp=sharing"",""สกลนคร!J389"")"),0)</f>
        <v>0</v>
      </c>
      <c r="AR47" s="402">
        <v>456</v>
      </c>
      <c r="AS47" s="402">
        <v>4190</v>
      </c>
      <c r="AT47" s="402">
        <f t="shared" ca="1" si="89"/>
        <v>0</v>
      </c>
      <c r="AU47" s="402">
        <f t="shared" ca="1" si="12"/>
        <v>0</v>
      </c>
      <c r="AV47" s="402">
        <f t="shared" ca="1" si="90"/>
        <v>0</v>
      </c>
      <c r="AW47" s="402">
        <f t="shared" ca="1" si="13"/>
        <v>0</v>
      </c>
      <c r="AX47" s="55">
        <f ca="1">IFERROR(__xludf.DUMMYFUNCTION("IMPORTRANGE(""https://docs.google.com/spreadsheets/d/1XL5vhW3sbDhbH9Cz0tuDiY8C3ctxq1tqvaCgkFb8cCA/edit?usp=sharing"",""สกลนคร!J395"")"),0)</f>
        <v>0</v>
      </c>
      <c r="AY47" s="55">
        <f ca="1">IFERROR(__xludf.DUMMYFUNCTION("IMPORTRANGE(""https://docs.google.com/spreadsheets/d/1XL5vhW3sbDhbH9Cz0tuDiY8C3ctxq1tqvaCgkFb8cCA/edit?usp=sharing"",""สกลนคร!J396"")"),0)</f>
        <v>0</v>
      </c>
      <c r="AZ47" s="55">
        <f ca="1">IFERROR(__xludf.DUMMYFUNCTION("IMPORTRANGE(""https://docs.google.com/spreadsheets/d/1XL5vhW3sbDhbH9Cz0tuDiY8C3ctxq1tqvaCgkFb8cCA/edit?usp=sharing"",""สกลนคร!J397"")"),0)</f>
        <v>0</v>
      </c>
      <c r="BA47" s="55">
        <f ca="1">IFERROR(__xludf.DUMMYFUNCTION("IMPORTRANGE(""https://docs.google.com/spreadsheets/d/1XL5vhW3sbDhbH9Cz0tuDiY8C3ctxq1tqvaCgkFb8cCA/edit?usp=sharing"",""สกลนคร!J398"")"),0)</f>
        <v>0</v>
      </c>
      <c r="BB47" s="55">
        <f ca="1">IFERROR(__xludf.DUMMYFUNCTION("IMPORTRANGE(""https://docs.google.com/spreadsheets/d/1XL5vhW3sbDhbH9Cz0tuDiY8C3ctxq1tqvaCgkFb8cCA/edit?usp=sharing"",""สกลนคร!J399"")"),0)</f>
        <v>0</v>
      </c>
      <c r="BC47" s="55">
        <f ca="1">IFERROR(__xludf.DUMMYFUNCTION("IMPORTRANGE(""https://docs.google.com/spreadsheets/d/1XL5vhW3sbDhbH9Cz0tuDiY8C3ctxq1tqvaCgkFb8cCA/edit?usp=sharing"",""สกลนคร!J400"")"),0)</f>
        <v>0</v>
      </c>
      <c r="BD47" s="55">
        <f ca="1">IFERROR(__xludf.DUMMYFUNCTION("IMPORTRANGE(""https://docs.google.com/spreadsheets/d/1XL5vhW3sbDhbH9Cz0tuDiY8C3ctxq1tqvaCgkFb8cCA/edit?usp=sharing"",""สกลนคร!J403"")"),0)</f>
        <v>0</v>
      </c>
      <c r="BE47" s="55">
        <f ca="1">IFERROR(__xludf.DUMMYFUNCTION("IMPORTRANGE(""https://docs.google.com/spreadsheets/d/1XL5vhW3sbDhbH9Cz0tuDiY8C3ctxq1tqvaCgkFb8cCA/edit?usp=sharing"",""สกลนคร!J404"")"),0)</f>
        <v>0</v>
      </c>
      <c r="BF47" s="55">
        <f ca="1">IFERROR(__xludf.DUMMYFUNCTION("IMPORTRANGE(""https://docs.google.com/spreadsheets/d/1XL5vhW3sbDhbH9Cz0tuDiY8C3ctxq1tqvaCgkFb8cCA/edit?usp=sharing"",""สกลนคร!J405"")"),0)</f>
        <v>0</v>
      </c>
      <c r="BG47" s="55">
        <f ca="1">IFERROR(__xludf.DUMMYFUNCTION("IMPORTRANGE(""https://docs.google.com/spreadsheets/d/1XL5vhW3sbDhbH9Cz0tuDiY8C3ctxq1tqvaCgkFb8cCA/edit?usp=sharing"",""สกลนคร!J406"")"),0)</f>
        <v>0</v>
      </c>
      <c r="BH47" s="55">
        <f ca="1">IFERROR(__xludf.DUMMYFUNCTION("IMPORTRANGE(""https://docs.google.com/spreadsheets/d/1XL5vhW3sbDhbH9Cz0tuDiY8C3ctxq1tqvaCgkFb8cCA/edit?usp=sharing"",""สกลนคร!J407"")"),0)</f>
        <v>0</v>
      </c>
      <c r="BI47" s="55">
        <f ca="1">IFERROR(__xludf.DUMMYFUNCTION("IMPORTRANGE(""https://docs.google.com/spreadsheets/d/1XL5vhW3sbDhbH9Cz0tuDiY8C3ctxq1tqvaCgkFb8cCA/edit?usp=sharing"",""สกลนคร!J408"")"),0)</f>
        <v>0</v>
      </c>
      <c r="BJ47" s="402">
        <v>43589</v>
      </c>
      <c r="BK47" s="402">
        <v>5754</v>
      </c>
      <c r="BL47" s="402">
        <f t="shared" ca="1" si="91"/>
        <v>0</v>
      </c>
      <c r="BM47" s="403">
        <f t="shared" ca="1" si="15"/>
        <v>0</v>
      </c>
      <c r="BN47" s="402">
        <f t="shared" ca="1" si="92"/>
        <v>0</v>
      </c>
      <c r="BO47" s="403">
        <f t="shared" ca="1" si="16"/>
        <v>0</v>
      </c>
      <c r="BP47" s="55">
        <f ca="1">IFERROR(__xludf.DUMMYFUNCTION("IMPORTRANGE(""https://docs.google.com/spreadsheets/d/1XL5vhW3sbDhbH9Cz0tuDiY8C3ctxq1tqvaCgkFb8cCA/edit?usp=sharing"",""สกลนคร!J412"")"),0)</f>
        <v>0</v>
      </c>
      <c r="BQ47" s="55">
        <f ca="1">IFERROR(__xludf.DUMMYFUNCTION("IMPORTRANGE(""https://docs.google.com/spreadsheets/d/1XL5vhW3sbDhbH9Cz0tuDiY8C3ctxq1tqvaCgkFb8cCA/edit?usp=sharing"",""สกลนคร!J413"")"),0)</f>
        <v>0</v>
      </c>
      <c r="BR47" s="55">
        <f ca="1">IFERROR(__xludf.DUMMYFUNCTION("IMPORTRANGE(""https://docs.google.com/spreadsheets/d/1XL5vhW3sbDhbH9Cz0tuDiY8C3ctxq1tqvaCgkFb8cCA/edit?usp=sharing"",""สกลนคร!J414"")"),0)</f>
        <v>0</v>
      </c>
      <c r="BS47" s="55">
        <f ca="1">IFERROR(__xludf.DUMMYFUNCTION("IMPORTRANGE(""https://docs.google.com/spreadsheets/d/1XL5vhW3sbDhbH9Cz0tuDiY8C3ctxq1tqvaCgkFb8cCA/edit?usp=sharing"",""สกลนคร!J415"")"),0)</f>
        <v>0</v>
      </c>
      <c r="BT47" s="55">
        <f ca="1">IFERROR(__xludf.DUMMYFUNCTION("IMPORTRANGE(""https://docs.google.com/spreadsheets/d/1XL5vhW3sbDhbH9Cz0tuDiY8C3ctxq1tqvaCgkFb8cCA/edit?usp=sharing"",""สกลนคร!J416"")"),0)</f>
        <v>0</v>
      </c>
      <c r="BU47" s="55">
        <f ca="1">IFERROR(__xludf.DUMMYFUNCTION("IMPORTRANGE(""https://docs.google.com/spreadsheets/d/1XL5vhW3sbDhbH9Cz0tuDiY8C3ctxq1tqvaCgkFb8cCA/edit?usp=sharing"",""สกลนคร!J417"")"),0)</f>
        <v>0</v>
      </c>
      <c r="BV47" s="402">
        <f t="shared" ca="1" si="93"/>
        <v>0</v>
      </c>
      <c r="BW47" s="403">
        <f t="shared" ca="1" si="94"/>
        <v>0</v>
      </c>
      <c r="BX47" s="402">
        <f t="shared" ca="1" si="95"/>
        <v>0</v>
      </c>
      <c r="BY47" s="403">
        <f t="shared" ca="1" si="96"/>
        <v>0</v>
      </c>
      <c r="BZ47" s="55">
        <f ca="1">IFERROR(__xludf.DUMMYFUNCTION("IMPORTRANGE(""https://docs.google.com/spreadsheets/d/1XL5vhW3sbDhbH9Cz0tuDiY8C3ctxq1tqvaCgkFb8cCA/edit?usp=sharing"",""สกลนคร!J420"")"),0)</f>
        <v>0</v>
      </c>
      <c r="CA47" s="55">
        <f ca="1">IFERROR(__xludf.DUMMYFUNCTION("IMPORTRANGE(""https://docs.google.com/spreadsheets/d/1XL5vhW3sbDhbH9Cz0tuDiY8C3ctxq1tqvaCgkFb8cCA/edit?usp=sharing"",""สกลนคร!J421"")"),0)</f>
        <v>0</v>
      </c>
      <c r="CB47" s="55">
        <f ca="1">IFERROR(__xludf.DUMMYFUNCTION("IMPORTRANGE(""https://docs.google.com/spreadsheets/d/1XL5vhW3sbDhbH9Cz0tuDiY8C3ctxq1tqvaCgkFb8cCA/edit?usp=sharing"",""สกลนคร!J422"")"),0)</f>
        <v>0</v>
      </c>
      <c r="CC47" s="55">
        <f ca="1">IFERROR(__xludf.DUMMYFUNCTION("IMPORTRANGE(""https://docs.google.com/spreadsheets/d/1XL5vhW3sbDhbH9Cz0tuDiY8C3ctxq1tqvaCgkFb8cCA/edit?usp=sharing"",""สกลนคร!J423"")"),0)</f>
        <v>0</v>
      </c>
      <c r="CD47" s="55">
        <f ca="1">IFERROR(__xludf.DUMMYFUNCTION("IMPORTRANGE(""https://docs.google.com/spreadsheets/d/1XL5vhW3sbDhbH9Cz0tuDiY8C3ctxq1tqvaCgkFb8cCA/edit?usp=sharing"",""สกลนคร!J424"")"),0)</f>
        <v>0</v>
      </c>
      <c r="CE47" s="422">
        <f ca="1">IFERROR(__xludf.DUMMYFUNCTION("IMPORTRANGE(""https://docs.google.com/spreadsheets/d/1XL5vhW3sbDhbH9Cz0tuDiY8C3ctxq1tqvaCgkFb8cCA/edit?usp=sharing"",""สกลนคร!J425"")"),0)</f>
        <v>0</v>
      </c>
    </row>
    <row r="48" spans="1:83" ht="24" customHeight="1" x14ac:dyDescent="0.5">
      <c r="A48" s="273">
        <v>15</v>
      </c>
      <c r="B48" s="274" t="s">
        <v>63</v>
      </c>
      <c r="C48" s="400">
        <f t="shared" si="82"/>
        <v>699660.84</v>
      </c>
      <c r="D48" s="55">
        <v>0</v>
      </c>
      <c r="E48" s="401">
        <v>699660.84</v>
      </c>
      <c r="F48" s="99">
        <f ca="1">IFERROR(__xludf.DUMMYFUNCTION("IMPORTRANGE(""https://docs.google.com/spreadsheets/d/1XL5vhW3sbDhbH9Cz0tuDiY8C3ctxq1tqvaCgkFb8cCA/edit?usp=sharing"",""สุรินทร์!M352"")"),0)</f>
        <v>0</v>
      </c>
      <c r="G48" s="99">
        <f t="shared" ca="1" si="1"/>
        <v>0</v>
      </c>
      <c r="H48" s="57">
        <v>42284</v>
      </c>
      <c r="I48" s="57">
        <v>6353</v>
      </c>
      <c r="J48" s="55">
        <f t="shared" ca="1" si="83"/>
        <v>0</v>
      </c>
      <c r="K48" s="99">
        <f t="shared" ca="1" si="3"/>
        <v>0</v>
      </c>
      <c r="L48" s="55">
        <f t="shared" ca="1" si="84"/>
        <v>0</v>
      </c>
      <c r="M48" s="99">
        <f t="shared" ca="1" si="4"/>
        <v>0</v>
      </c>
      <c r="N48" s="55">
        <f ca="1">IFERROR(__xludf.DUMMYFUNCTION("IMPORTRANGE(""https://docs.google.com/spreadsheets/d/1XL5vhW3sbDhbH9Cz0tuDiY8C3ctxq1tqvaCgkFb8cCA/edit?usp=sharing"",""สุรินทร์!J362"")"),0)</f>
        <v>0</v>
      </c>
      <c r="O48" s="55">
        <f ca="1">IFERROR(__xludf.DUMMYFUNCTION("IMPORTRANGE(""https://docs.google.com/spreadsheets/d/1XL5vhW3sbDhbH9Cz0tuDiY8C3ctxq1tqvaCgkFb8cCA/edit?usp=sharing"",""สุรินทร์!J363"")"),0)</f>
        <v>0</v>
      </c>
      <c r="P48" s="55">
        <f ca="1">IFERROR(__xludf.DUMMYFUNCTION("IMPORTRANGE(""https://docs.google.com/spreadsheets/d/1XL5vhW3sbDhbH9Cz0tuDiY8C3ctxq1tqvaCgkFb8cCA/edit?usp=sharing"",""สุรินทร์!J364"")"),0)</f>
        <v>0</v>
      </c>
      <c r="Q48" s="55">
        <f ca="1">IFERROR(__xludf.DUMMYFUNCTION("IMPORTRANGE(""https://docs.google.com/spreadsheets/d/1XL5vhW3sbDhbH9Cz0tuDiY8C3ctxq1tqvaCgkFb8cCA/edit?usp=sharing"",""สุรินทร์!J365"")"),0)</f>
        <v>0</v>
      </c>
      <c r="R48" s="55">
        <f ca="1">IFERROR(__xludf.DUMMYFUNCTION("IMPORTRANGE(""https://docs.google.com/spreadsheets/d/1XL5vhW3sbDhbH9Cz0tuDiY8C3ctxq1tqvaCgkFb8cCA/edit?usp=sharing"",""สุรินทร์!J366"")"),0)</f>
        <v>0</v>
      </c>
      <c r="S48" s="55">
        <f ca="1">IFERROR(__xludf.DUMMYFUNCTION("IMPORTRANGE(""https://docs.google.com/spreadsheets/d/1XL5vhW3sbDhbH9Cz0tuDiY8C3ctxq1tqvaCgkFb8cCA/edit?usp=sharing"",""สุรินทร์!J367"")"),0)</f>
        <v>0</v>
      </c>
      <c r="T48" s="55">
        <f t="shared" ca="1" si="85"/>
        <v>0</v>
      </c>
      <c r="U48" s="55">
        <f t="shared" ca="1" si="6"/>
        <v>0</v>
      </c>
      <c r="V48" s="55">
        <f t="shared" ca="1" si="86"/>
        <v>0</v>
      </c>
      <c r="W48" s="55">
        <f t="shared" ca="1" si="7"/>
        <v>0</v>
      </c>
      <c r="X48" s="55">
        <f ca="1">IFERROR(__xludf.DUMMYFUNCTION("IMPORTRANGE(""https://docs.google.com/spreadsheets/d/1XL5vhW3sbDhbH9Cz0tuDiY8C3ctxq1tqvaCgkFb8cCA/edit?usp=sharing"",""สุรินทร์!J370"")"),0)</f>
        <v>0</v>
      </c>
      <c r="Y48" s="55">
        <f ca="1">IFERROR(__xludf.DUMMYFUNCTION("IMPORTRANGE(""https://docs.google.com/spreadsheets/d/1XL5vhW3sbDhbH9Cz0tuDiY8C3ctxq1tqvaCgkFb8cCA/edit?usp=sharing"",""สุรินทร์!J371"")"),0)</f>
        <v>0</v>
      </c>
      <c r="Z48" s="55">
        <f ca="1">IFERROR(__xludf.DUMMYFUNCTION("IMPORTRANGE(""https://docs.google.com/spreadsheets/d/1XL5vhW3sbDhbH9Cz0tuDiY8C3ctxq1tqvaCgkFb8cCA/edit?usp=sharing"",""สุรินทร์!J372"")"),0)</f>
        <v>0</v>
      </c>
      <c r="AA48" s="55">
        <f ca="1">IFERROR(__xludf.DUMMYFUNCTION("IMPORTRANGE(""https://docs.google.com/spreadsheets/d/1XL5vhW3sbDhbH9Cz0tuDiY8C3ctxq1tqvaCgkFb8cCA/edit?usp=sharing"",""สุรินทร์!J373"")"),0)</f>
        <v>0</v>
      </c>
      <c r="AB48" s="55">
        <f ca="1">IFERROR(__xludf.DUMMYFUNCTION("IMPORTRANGE(""https://docs.google.com/spreadsheets/d/1XL5vhW3sbDhbH9Cz0tuDiY8C3ctxq1tqvaCgkFb8cCA/edit?usp=sharing"",""สุรินทร์!J374"")"),0)</f>
        <v>0</v>
      </c>
      <c r="AC48" s="55">
        <f ca="1">IFERROR(__xludf.DUMMYFUNCTION("IMPORTRANGE(""https://docs.google.com/spreadsheets/d/1XL5vhW3sbDhbH9Cz0tuDiY8C3ctxq1tqvaCgkFb8cCA/edit?usp=sharing"",""สุรินทร์!J375"")"),0)</f>
        <v>0</v>
      </c>
      <c r="AD48" s="55">
        <f t="shared" ca="1" si="87"/>
        <v>0</v>
      </c>
      <c r="AE48" s="99">
        <f t="shared" ca="1" si="9"/>
        <v>0</v>
      </c>
      <c r="AF48" s="55">
        <f t="shared" ca="1" si="88"/>
        <v>0</v>
      </c>
      <c r="AG48" s="99">
        <f t="shared" ca="1" si="10"/>
        <v>0</v>
      </c>
      <c r="AH48" s="55">
        <f ca="1">IFERROR(__xludf.DUMMYFUNCTION("IMPORTRANGE(""https://docs.google.com/spreadsheets/d/1XL5vhW3sbDhbH9Cz0tuDiY8C3ctxq1tqvaCgkFb8cCA/edit?usp=sharing"",""สุรินทร์!J378"")"),0)</f>
        <v>0</v>
      </c>
      <c r="AI48" s="55">
        <f ca="1">IFERROR(__xludf.DUMMYFUNCTION("IMPORTRANGE(""https://docs.google.com/spreadsheets/d/1XL5vhW3sbDhbH9Cz0tuDiY8C3ctxq1tqvaCgkFb8cCA/edit?usp=sharing"",""สุรินทร์!J379"")"),0)</f>
        <v>0</v>
      </c>
      <c r="AJ48" s="55">
        <f ca="1">IFERROR(__xludf.DUMMYFUNCTION("IMPORTRANGE(""https://docs.google.com/spreadsheets/d/1XL5vhW3sbDhbH9Cz0tuDiY8C3ctxq1tqvaCgkFb8cCA/edit?usp=sharing"",""สุรินทร์!J380"")"),0)</f>
        <v>0</v>
      </c>
      <c r="AK48" s="55">
        <f ca="1">IFERROR(__xludf.DUMMYFUNCTION("IMPORTRANGE(""https://docs.google.com/spreadsheets/d/1XL5vhW3sbDhbH9Cz0tuDiY8C3ctxq1tqvaCgkFb8cCA/edit?usp=sharing"",""สุรินทร์!J381"")"),0)</f>
        <v>0</v>
      </c>
      <c r="AL48" s="55">
        <f ca="1">IFERROR(__xludf.DUMMYFUNCTION("IMPORTRANGE(""https://docs.google.com/spreadsheets/d/1XL5vhW3sbDhbH9Cz0tuDiY8C3ctxq1tqvaCgkFb8cCA/edit?usp=sharing"",""สุรินทร์!J384"")"),0)</f>
        <v>0</v>
      </c>
      <c r="AM48" s="55">
        <f ca="1">IFERROR(__xludf.DUMMYFUNCTION("IMPORTRANGE(""https://docs.google.com/spreadsheets/d/1XL5vhW3sbDhbH9Cz0tuDiY8C3ctxq1tqvaCgkFb8cCA/edit?usp=sharing"",""สุรินทร์!J385"")"),0)</f>
        <v>0</v>
      </c>
      <c r="AN48" s="55">
        <f ca="1">IFERROR(__xludf.DUMMYFUNCTION("IMPORTRANGE(""https://docs.google.com/spreadsheets/d/1XL5vhW3sbDhbH9Cz0tuDiY8C3ctxq1tqvaCgkFb8cCA/edit?usp=sharing"",""สุรินทร์!J386"")"),0)</f>
        <v>0</v>
      </c>
      <c r="AO48" s="55">
        <f ca="1">IFERROR(__xludf.DUMMYFUNCTION("IMPORTRANGE(""https://docs.google.com/spreadsheets/d/1XL5vhW3sbDhbH9Cz0tuDiY8C3ctxq1tqvaCgkFb8cCA/edit?usp=sharing"",""สุรินทร์!J387"")"),0)</f>
        <v>0</v>
      </c>
      <c r="AP48" s="55">
        <f ca="1">IFERROR(__xludf.DUMMYFUNCTION("IMPORTRANGE(""https://docs.google.com/spreadsheets/d/1XL5vhW3sbDhbH9Cz0tuDiY8C3ctxq1tqvaCgkFb8cCA/edit?usp=sharing"",""สุรินทร์!J388"")"),0)</f>
        <v>0</v>
      </c>
      <c r="AQ48" s="55">
        <f ca="1">IFERROR(__xludf.DUMMYFUNCTION("IMPORTRANGE(""https://docs.google.com/spreadsheets/d/1XL5vhW3sbDhbH9Cz0tuDiY8C3ctxq1tqvaCgkFb8cCA/edit?usp=sharing"",""สุรินทร์!J389"")"),0)</f>
        <v>0</v>
      </c>
      <c r="AR48" s="402">
        <v>647</v>
      </c>
      <c r="AS48" s="402">
        <v>3206</v>
      </c>
      <c r="AT48" s="402">
        <f t="shared" ca="1" si="89"/>
        <v>0</v>
      </c>
      <c r="AU48" s="402">
        <f t="shared" ca="1" si="12"/>
        <v>0</v>
      </c>
      <c r="AV48" s="402">
        <f t="shared" ca="1" si="90"/>
        <v>0</v>
      </c>
      <c r="AW48" s="402">
        <f t="shared" ca="1" si="13"/>
        <v>0</v>
      </c>
      <c r="AX48" s="55">
        <f ca="1">IFERROR(__xludf.DUMMYFUNCTION("IMPORTRANGE(""https://docs.google.com/spreadsheets/d/1XL5vhW3sbDhbH9Cz0tuDiY8C3ctxq1tqvaCgkFb8cCA/edit?usp=sharing"",""สุรินทร์!J395"")"),0)</f>
        <v>0</v>
      </c>
      <c r="AY48" s="55">
        <f ca="1">IFERROR(__xludf.DUMMYFUNCTION("IMPORTRANGE(""https://docs.google.com/spreadsheets/d/1XL5vhW3sbDhbH9Cz0tuDiY8C3ctxq1tqvaCgkFb8cCA/edit?usp=sharing"",""สุรินทร์!J396"")"),0)</f>
        <v>0</v>
      </c>
      <c r="AZ48" s="55">
        <f ca="1">IFERROR(__xludf.DUMMYFUNCTION("IMPORTRANGE(""https://docs.google.com/spreadsheets/d/1XL5vhW3sbDhbH9Cz0tuDiY8C3ctxq1tqvaCgkFb8cCA/edit?usp=sharing"",""สุรินทร์!J397"")"),0)</f>
        <v>0</v>
      </c>
      <c r="BA48" s="55">
        <f ca="1">IFERROR(__xludf.DUMMYFUNCTION("IMPORTRANGE(""https://docs.google.com/spreadsheets/d/1XL5vhW3sbDhbH9Cz0tuDiY8C3ctxq1tqvaCgkFb8cCA/edit?usp=sharing"",""สุรินทร์!J398"")"),0)</f>
        <v>0</v>
      </c>
      <c r="BB48" s="55">
        <f ca="1">IFERROR(__xludf.DUMMYFUNCTION("IMPORTRANGE(""https://docs.google.com/spreadsheets/d/1XL5vhW3sbDhbH9Cz0tuDiY8C3ctxq1tqvaCgkFb8cCA/edit?usp=sharing"",""สุรินทร์!J399"")"),0)</f>
        <v>0</v>
      </c>
      <c r="BC48" s="55">
        <f ca="1">IFERROR(__xludf.DUMMYFUNCTION("IMPORTRANGE(""https://docs.google.com/spreadsheets/d/1XL5vhW3sbDhbH9Cz0tuDiY8C3ctxq1tqvaCgkFb8cCA/edit?usp=sharing"",""สุรินทร์!J400"")"),0)</f>
        <v>0</v>
      </c>
      <c r="BD48" s="55">
        <f ca="1">IFERROR(__xludf.DUMMYFUNCTION("IMPORTRANGE(""https://docs.google.com/spreadsheets/d/1XL5vhW3sbDhbH9Cz0tuDiY8C3ctxq1tqvaCgkFb8cCA/edit?usp=sharing"",""สุรินทร์!J403"")"),0)</f>
        <v>0</v>
      </c>
      <c r="BE48" s="55">
        <f ca="1">IFERROR(__xludf.DUMMYFUNCTION("IMPORTRANGE(""https://docs.google.com/spreadsheets/d/1XL5vhW3sbDhbH9Cz0tuDiY8C3ctxq1tqvaCgkFb8cCA/edit?usp=sharing"",""สุรินทร์!J404"")"),0)</f>
        <v>0</v>
      </c>
      <c r="BF48" s="55">
        <f ca="1">IFERROR(__xludf.DUMMYFUNCTION("IMPORTRANGE(""https://docs.google.com/spreadsheets/d/1XL5vhW3sbDhbH9Cz0tuDiY8C3ctxq1tqvaCgkFb8cCA/edit?usp=sharing"",""สุรินทร์!J405"")"),0)</f>
        <v>0</v>
      </c>
      <c r="BG48" s="55">
        <f ca="1">IFERROR(__xludf.DUMMYFUNCTION("IMPORTRANGE(""https://docs.google.com/spreadsheets/d/1XL5vhW3sbDhbH9Cz0tuDiY8C3ctxq1tqvaCgkFb8cCA/edit?usp=sharing"",""สุรินทร์!J406"")"),0)</f>
        <v>0</v>
      </c>
      <c r="BH48" s="55">
        <f ca="1">IFERROR(__xludf.DUMMYFUNCTION("IMPORTRANGE(""https://docs.google.com/spreadsheets/d/1XL5vhW3sbDhbH9Cz0tuDiY8C3ctxq1tqvaCgkFb8cCA/edit?usp=sharing"",""สุรินทร์!J407"")"),0)</f>
        <v>0</v>
      </c>
      <c r="BI48" s="55">
        <f ca="1">IFERROR(__xludf.DUMMYFUNCTION("IMPORTRANGE(""https://docs.google.com/spreadsheets/d/1XL5vhW3sbDhbH9Cz0tuDiY8C3ctxq1tqvaCgkFb8cCA/edit?usp=sharing"",""สุรินทร์!J408"")"),0)</f>
        <v>0</v>
      </c>
      <c r="BJ48" s="402">
        <v>42284</v>
      </c>
      <c r="BK48" s="402">
        <v>6353</v>
      </c>
      <c r="BL48" s="402">
        <f t="shared" ca="1" si="91"/>
        <v>0</v>
      </c>
      <c r="BM48" s="403">
        <f t="shared" ca="1" si="15"/>
        <v>0</v>
      </c>
      <c r="BN48" s="402">
        <f t="shared" ca="1" si="92"/>
        <v>0</v>
      </c>
      <c r="BO48" s="403">
        <f t="shared" ca="1" si="16"/>
        <v>0</v>
      </c>
      <c r="BP48" s="55">
        <f ca="1">IFERROR(__xludf.DUMMYFUNCTION("IMPORTRANGE(""https://docs.google.com/spreadsheets/d/1XL5vhW3sbDhbH9Cz0tuDiY8C3ctxq1tqvaCgkFb8cCA/edit?usp=sharing"",""สุรินทร์!J412"")"),0)</f>
        <v>0</v>
      </c>
      <c r="BQ48" s="55">
        <f ca="1">IFERROR(__xludf.DUMMYFUNCTION("IMPORTRANGE(""https://docs.google.com/spreadsheets/d/1XL5vhW3sbDhbH9Cz0tuDiY8C3ctxq1tqvaCgkFb8cCA/edit?usp=sharing"",""สุรินทร์!J413"")"),0)</f>
        <v>0</v>
      </c>
      <c r="BR48" s="55">
        <f ca="1">IFERROR(__xludf.DUMMYFUNCTION("IMPORTRANGE(""https://docs.google.com/spreadsheets/d/1XL5vhW3sbDhbH9Cz0tuDiY8C3ctxq1tqvaCgkFb8cCA/edit?usp=sharing"",""สุรินทร์!J414"")"),0)</f>
        <v>0</v>
      </c>
      <c r="BS48" s="55">
        <f ca="1">IFERROR(__xludf.DUMMYFUNCTION("IMPORTRANGE(""https://docs.google.com/spreadsheets/d/1XL5vhW3sbDhbH9Cz0tuDiY8C3ctxq1tqvaCgkFb8cCA/edit?usp=sharing"",""สุรินทร์!J415"")"),0)</f>
        <v>0</v>
      </c>
      <c r="BT48" s="55">
        <f ca="1">IFERROR(__xludf.DUMMYFUNCTION("IMPORTRANGE(""https://docs.google.com/spreadsheets/d/1XL5vhW3sbDhbH9Cz0tuDiY8C3ctxq1tqvaCgkFb8cCA/edit?usp=sharing"",""สุรินทร์!J416"")"),0)</f>
        <v>0</v>
      </c>
      <c r="BU48" s="55">
        <f ca="1">IFERROR(__xludf.DUMMYFUNCTION("IMPORTRANGE(""https://docs.google.com/spreadsheets/d/1XL5vhW3sbDhbH9Cz0tuDiY8C3ctxq1tqvaCgkFb8cCA/edit?usp=sharing"",""สุรินทร์!J417"")"),0)</f>
        <v>0</v>
      </c>
      <c r="BV48" s="402">
        <f t="shared" ca="1" si="93"/>
        <v>0</v>
      </c>
      <c r="BW48" s="403">
        <f t="shared" ca="1" si="94"/>
        <v>0</v>
      </c>
      <c r="BX48" s="402">
        <f t="shared" ca="1" si="95"/>
        <v>0</v>
      </c>
      <c r="BY48" s="403">
        <f t="shared" ca="1" si="96"/>
        <v>0</v>
      </c>
      <c r="BZ48" s="55">
        <f ca="1">IFERROR(__xludf.DUMMYFUNCTION("IMPORTRANGE(""https://docs.google.com/spreadsheets/d/1XL5vhW3sbDhbH9Cz0tuDiY8C3ctxq1tqvaCgkFb8cCA/edit?usp=sharing"",""สุรินทร์!J420"")"),0)</f>
        <v>0</v>
      </c>
      <c r="CA48" s="55">
        <f ca="1">IFERROR(__xludf.DUMMYFUNCTION("IMPORTRANGE(""https://docs.google.com/spreadsheets/d/1XL5vhW3sbDhbH9Cz0tuDiY8C3ctxq1tqvaCgkFb8cCA/edit?usp=sharing"",""สุรินทร์!J421"")"),0)</f>
        <v>0</v>
      </c>
      <c r="CB48" s="55">
        <f ca="1">IFERROR(__xludf.DUMMYFUNCTION("IMPORTRANGE(""https://docs.google.com/spreadsheets/d/1XL5vhW3sbDhbH9Cz0tuDiY8C3ctxq1tqvaCgkFb8cCA/edit?usp=sharing"",""สุรินทร์!J422"")"),0)</f>
        <v>0</v>
      </c>
      <c r="CC48" s="55">
        <f ca="1">IFERROR(__xludf.DUMMYFUNCTION("IMPORTRANGE(""https://docs.google.com/spreadsheets/d/1XL5vhW3sbDhbH9Cz0tuDiY8C3ctxq1tqvaCgkFb8cCA/edit?usp=sharing"",""สุรินทร์!J423"")"),0)</f>
        <v>0</v>
      </c>
      <c r="CD48" s="55">
        <f ca="1">IFERROR(__xludf.DUMMYFUNCTION("IMPORTRANGE(""https://docs.google.com/spreadsheets/d/1XL5vhW3sbDhbH9Cz0tuDiY8C3ctxq1tqvaCgkFb8cCA/edit?usp=sharing"",""สุรินทร์!J424"")"),0)</f>
        <v>0</v>
      </c>
      <c r="CE48" s="422">
        <f ca="1">IFERROR(__xludf.DUMMYFUNCTION("IMPORTRANGE(""https://docs.google.com/spreadsheets/d/1XL5vhW3sbDhbH9Cz0tuDiY8C3ctxq1tqvaCgkFb8cCA/edit?usp=sharing"",""สุรินทร์!J425"")"),0)</f>
        <v>0</v>
      </c>
    </row>
    <row r="49" spans="1:83" ht="24" customHeight="1" x14ac:dyDescent="0.5">
      <c r="A49" s="273">
        <v>16</v>
      </c>
      <c r="B49" s="274" t="s">
        <v>64</v>
      </c>
      <c r="C49" s="400">
        <f t="shared" si="82"/>
        <v>861860.26</v>
      </c>
      <c r="D49" s="55">
        <v>0</v>
      </c>
      <c r="E49" s="401">
        <v>861860.26</v>
      </c>
      <c r="F49" s="99">
        <f ca="1">IFERROR(__xludf.DUMMYFUNCTION("IMPORTRANGE(""https://docs.google.com/spreadsheets/d/1XL5vhW3sbDhbH9Cz0tuDiY8C3ctxq1tqvaCgkFb8cCA/edit?usp=sharing"",""หนองคาย!M352"")"),0)</f>
        <v>0</v>
      </c>
      <c r="G49" s="99">
        <f t="shared" ca="1" si="1"/>
        <v>0</v>
      </c>
      <c r="H49" s="57">
        <v>50182</v>
      </c>
      <c r="I49" s="57">
        <v>6542</v>
      </c>
      <c r="J49" s="55">
        <f t="shared" ca="1" si="83"/>
        <v>0</v>
      </c>
      <c r="K49" s="99">
        <f t="shared" ca="1" si="3"/>
        <v>0</v>
      </c>
      <c r="L49" s="55">
        <f t="shared" ca="1" si="84"/>
        <v>0</v>
      </c>
      <c r="M49" s="99">
        <f t="shared" ca="1" si="4"/>
        <v>0</v>
      </c>
      <c r="N49" s="55">
        <f ca="1">IFERROR(__xludf.DUMMYFUNCTION("IMPORTRANGE(""https://docs.google.com/spreadsheets/d/1XL5vhW3sbDhbH9Cz0tuDiY8C3ctxq1tqvaCgkFb8cCA/edit?usp=sharing"",""หนองคาย!J362"")"),0)</f>
        <v>0</v>
      </c>
      <c r="O49" s="55">
        <f ca="1">IFERROR(__xludf.DUMMYFUNCTION("IMPORTRANGE(""https://docs.google.com/spreadsheets/d/1XL5vhW3sbDhbH9Cz0tuDiY8C3ctxq1tqvaCgkFb8cCA/edit?usp=sharing"",""หนองคาย!J363"")"),0)</f>
        <v>0</v>
      </c>
      <c r="P49" s="55">
        <f ca="1">IFERROR(__xludf.DUMMYFUNCTION("IMPORTRANGE(""https://docs.google.com/spreadsheets/d/1XL5vhW3sbDhbH9Cz0tuDiY8C3ctxq1tqvaCgkFb8cCA/edit?usp=sharing"",""หนองคาย!J364"")"),0)</f>
        <v>0</v>
      </c>
      <c r="Q49" s="55">
        <f ca="1">IFERROR(__xludf.DUMMYFUNCTION("IMPORTRANGE(""https://docs.google.com/spreadsheets/d/1XL5vhW3sbDhbH9Cz0tuDiY8C3ctxq1tqvaCgkFb8cCA/edit?usp=sharing"",""หนองคาย!J365"")"),0)</f>
        <v>0</v>
      </c>
      <c r="R49" s="55">
        <f ca="1">IFERROR(__xludf.DUMMYFUNCTION("IMPORTRANGE(""https://docs.google.com/spreadsheets/d/1XL5vhW3sbDhbH9Cz0tuDiY8C3ctxq1tqvaCgkFb8cCA/edit?usp=sharing"",""หนองคาย!J366"")"),0)</f>
        <v>0</v>
      </c>
      <c r="S49" s="55">
        <f ca="1">IFERROR(__xludf.DUMMYFUNCTION("IMPORTRANGE(""https://docs.google.com/spreadsheets/d/1XL5vhW3sbDhbH9Cz0tuDiY8C3ctxq1tqvaCgkFb8cCA/edit?usp=sharing"",""หนองคาย!J367"")"),0)</f>
        <v>0</v>
      </c>
      <c r="T49" s="55">
        <f t="shared" ca="1" si="85"/>
        <v>0</v>
      </c>
      <c r="U49" s="55">
        <f t="shared" ca="1" si="6"/>
        <v>0</v>
      </c>
      <c r="V49" s="55">
        <f t="shared" ca="1" si="86"/>
        <v>0</v>
      </c>
      <c r="W49" s="55">
        <f t="shared" ca="1" si="7"/>
        <v>0</v>
      </c>
      <c r="X49" s="55">
        <f ca="1">IFERROR(__xludf.DUMMYFUNCTION("IMPORTRANGE(""https://docs.google.com/spreadsheets/d/1XL5vhW3sbDhbH9Cz0tuDiY8C3ctxq1tqvaCgkFb8cCA/edit?usp=sharing"",""หนองคาย!J370"")"),0)</f>
        <v>0</v>
      </c>
      <c r="Y49" s="55">
        <f ca="1">IFERROR(__xludf.DUMMYFUNCTION("IMPORTRANGE(""https://docs.google.com/spreadsheets/d/1XL5vhW3sbDhbH9Cz0tuDiY8C3ctxq1tqvaCgkFb8cCA/edit?usp=sharing"",""หนองคาย!J371"")"),0)</f>
        <v>0</v>
      </c>
      <c r="Z49" s="55">
        <f ca="1">IFERROR(__xludf.DUMMYFUNCTION("IMPORTRANGE(""https://docs.google.com/spreadsheets/d/1XL5vhW3sbDhbH9Cz0tuDiY8C3ctxq1tqvaCgkFb8cCA/edit?usp=sharing"",""หนองคาย!J372"")"),0)</f>
        <v>0</v>
      </c>
      <c r="AA49" s="55">
        <f ca="1">IFERROR(__xludf.DUMMYFUNCTION("IMPORTRANGE(""https://docs.google.com/spreadsheets/d/1XL5vhW3sbDhbH9Cz0tuDiY8C3ctxq1tqvaCgkFb8cCA/edit?usp=sharing"",""หนองคาย!J373"")"),0)</f>
        <v>0</v>
      </c>
      <c r="AB49" s="55">
        <f ca="1">IFERROR(__xludf.DUMMYFUNCTION("IMPORTRANGE(""https://docs.google.com/spreadsheets/d/1XL5vhW3sbDhbH9Cz0tuDiY8C3ctxq1tqvaCgkFb8cCA/edit?usp=sharing"",""หนองคาย!J374"")"),0)</f>
        <v>0</v>
      </c>
      <c r="AC49" s="55">
        <f ca="1">IFERROR(__xludf.DUMMYFUNCTION("IMPORTRANGE(""https://docs.google.com/spreadsheets/d/1XL5vhW3sbDhbH9Cz0tuDiY8C3ctxq1tqvaCgkFb8cCA/edit?usp=sharing"",""หนองคาย!J375"")"),0)</f>
        <v>0</v>
      </c>
      <c r="AD49" s="55">
        <f t="shared" ca="1" si="87"/>
        <v>0</v>
      </c>
      <c r="AE49" s="99">
        <f t="shared" ca="1" si="9"/>
        <v>0</v>
      </c>
      <c r="AF49" s="55">
        <f t="shared" ca="1" si="88"/>
        <v>0</v>
      </c>
      <c r="AG49" s="99">
        <f t="shared" ca="1" si="10"/>
        <v>0</v>
      </c>
      <c r="AH49" s="55">
        <f ca="1">IFERROR(__xludf.DUMMYFUNCTION("IMPORTRANGE(""https://docs.google.com/spreadsheets/d/1XL5vhW3sbDhbH9Cz0tuDiY8C3ctxq1tqvaCgkFb8cCA/edit?usp=sharing"",""หนองคาย!J378"")"),0)</f>
        <v>0</v>
      </c>
      <c r="AI49" s="55">
        <f ca="1">IFERROR(__xludf.DUMMYFUNCTION("IMPORTRANGE(""https://docs.google.com/spreadsheets/d/1XL5vhW3sbDhbH9Cz0tuDiY8C3ctxq1tqvaCgkFb8cCA/edit?usp=sharing"",""หนองคาย!J379"")"),0)</f>
        <v>0</v>
      </c>
      <c r="AJ49" s="55">
        <f ca="1">IFERROR(__xludf.DUMMYFUNCTION("IMPORTRANGE(""https://docs.google.com/spreadsheets/d/1XL5vhW3sbDhbH9Cz0tuDiY8C3ctxq1tqvaCgkFb8cCA/edit?usp=sharing"",""หนองคาย!J380"")"),0)</f>
        <v>0</v>
      </c>
      <c r="AK49" s="55">
        <f ca="1">IFERROR(__xludf.DUMMYFUNCTION("IMPORTRANGE(""https://docs.google.com/spreadsheets/d/1XL5vhW3sbDhbH9Cz0tuDiY8C3ctxq1tqvaCgkFb8cCA/edit?usp=sharing"",""หนองคาย!J381"")"),0)</f>
        <v>0</v>
      </c>
      <c r="AL49" s="55">
        <f ca="1">IFERROR(__xludf.DUMMYFUNCTION("IMPORTRANGE(""https://docs.google.com/spreadsheets/d/1XL5vhW3sbDhbH9Cz0tuDiY8C3ctxq1tqvaCgkFb8cCA/edit?usp=sharing"",""หนองคาย!J384"")"),0)</f>
        <v>0</v>
      </c>
      <c r="AM49" s="55">
        <f ca="1">IFERROR(__xludf.DUMMYFUNCTION("IMPORTRANGE(""https://docs.google.com/spreadsheets/d/1XL5vhW3sbDhbH9Cz0tuDiY8C3ctxq1tqvaCgkFb8cCA/edit?usp=sharing"",""หนองคาย!J385"")"),0)</f>
        <v>0</v>
      </c>
      <c r="AN49" s="55">
        <f ca="1">IFERROR(__xludf.DUMMYFUNCTION("IMPORTRANGE(""https://docs.google.com/spreadsheets/d/1XL5vhW3sbDhbH9Cz0tuDiY8C3ctxq1tqvaCgkFb8cCA/edit?usp=sharing"",""หนองคาย!J386"")"),0)</f>
        <v>0</v>
      </c>
      <c r="AO49" s="55">
        <f ca="1">IFERROR(__xludf.DUMMYFUNCTION("IMPORTRANGE(""https://docs.google.com/spreadsheets/d/1XL5vhW3sbDhbH9Cz0tuDiY8C3ctxq1tqvaCgkFb8cCA/edit?usp=sharing"",""หนองคาย!J387"")"),0)</f>
        <v>0</v>
      </c>
      <c r="AP49" s="55">
        <f ca="1">IFERROR(__xludf.DUMMYFUNCTION("IMPORTRANGE(""https://docs.google.com/spreadsheets/d/1XL5vhW3sbDhbH9Cz0tuDiY8C3ctxq1tqvaCgkFb8cCA/edit?usp=sharing"",""หนองคาย!J388"")"),0)</f>
        <v>0</v>
      </c>
      <c r="AQ49" s="55">
        <f ca="1">IFERROR(__xludf.DUMMYFUNCTION("IMPORTRANGE(""https://docs.google.com/spreadsheets/d/1XL5vhW3sbDhbH9Cz0tuDiY8C3ctxq1tqvaCgkFb8cCA/edit?usp=sharing"",""หนองคาย!J389"")"),0)</f>
        <v>0</v>
      </c>
      <c r="AR49" s="402">
        <v>1188</v>
      </c>
      <c r="AS49" s="402">
        <v>14080</v>
      </c>
      <c r="AT49" s="402">
        <f t="shared" ca="1" si="89"/>
        <v>0</v>
      </c>
      <c r="AU49" s="402">
        <f t="shared" ca="1" si="12"/>
        <v>0</v>
      </c>
      <c r="AV49" s="402">
        <f t="shared" ca="1" si="90"/>
        <v>0</v>
      </c>
      <c r="AW49" s="402">
        <f t="shared" ca="1" si="13"/>
        <v>0</v>
      </c>
      <c r="AX49" s="55">
        <f ca="1">IFERROR(__xludf.DUMMYFUNCTION("IMPORTRANGE(""https://docs.google.com/spreadsheets/d/1XL5vhW3sbDhbH9Cz0tuDiY8C3ctxq1tqvaCgkFb8cCA/edit?usp=sharing"",""หนองคาย!J395"")"),0)</f>
        <v>0</v>
      </c>
      <c r="AY49" s="55">
        <f ca="1">IFERROR(__xludf.DUMMYFUNCTION("IMPORTRANGE(""https://docs.google.com/spreadsheets/d/1XL5vhW3sbDhbH9Cz0tuDiY8C3ctxq1tqvaCgkFb8cCA/edit?usp=sharing"",""หนองคาย!J396"")"),0)</f>
        <v>0</v>
      </c>
      <c r="AZ49" s="55">
        <f ca="1">IFERROR(__xludf.DUMMYFUNCTION("IMPORTRANGE(""https://docs.google.com/spreadsheets/d/1XL5vhW3sbDhbH9Cz0tuDiY8C3ctxq1tqvaCgkFb8cCA/edit?usp=sharing"",""หนองคาย!J397"")"),0)</f>
        <v>0</v>
      </c>
      <c r="BA49" s="55">
        <f ca="1">IFERROR(__xludf.DUMMYFUNCTION("IMPORTRANGE(""https://docs.google.com/spreadsheets/d/1XL5vhW3sbDhbH9Cz0tuDiY8C3ctxq1tqvaCgkFb8cCA/edit?usp=sharing"",""หนองคาย!J398"")"),0)</f>
        <v>0</v>
      </c>
      <c r="BB49" s="55">
        <f ca="1">IFERROR(__xludf.DUMMYFUNCTION("IMPORTRANGE(""https://docs.google.com/spreadsheets/d/1XL5vhW3sbDhbH9Cz0tuDiY8C3ctxq1tqvaCgkFb8cCA/edit?usp=sharing"",""หนองคาย!J399"")"),0)</f>
        <v>0</v>
      </c>
      <c r="BC49" s="55">
        <f ca="1">IFERROR(__xludf.DUMMYFUNCTION("IMPORTRANGE(""https://docs.google.com/spreadsheets/d/1XL5vhW3sbDhbH9Cz0tuDiY8C3ctxq1tqvaCgkFb8cCA/edit?usp=sharing"",""หนองคาย!J400"")"),0)</f>
        <v>0</v>
      </c>
      <c r="BD49" s="55">
        <f ca="1">IFERROR(__xludf.DUMMYFUNCTION("IMPORTRANGE(""https://docs.google.com/spreadsheets/d/1XL5vhW3sbDhbH9Cz0tuDiY8C3ctxq1tqvaCgkFb8cCA/edit?usp=sharing"",""หนองคาย!J403"")"),0)</f>
        <v>0</v>
      </c>
      <c r="BE49" s="55">
        <f ca="1">IFERROR(__xludf.DUMMYFUNCTION("IMPORTRANGE(""https://docs.google.com/spreadsheets/d/1XL5vhW3sbDhbH9Cz0tuDiY8C3ctxq1tqvaCgkFb8cCA/edit?usp=sharing"",""หนองคาย!J404"")"),0)</f>
        <v>0</v>
      </c>
      <c r="BF49" s="55">
        <f ca="1">IFERROR(__xludf.DUMMYFUNCTION("IMPORTRANGE(""https://docs.google.com/spreadsheets/d/1XL5vhW3sbDhbH9Cz0tuDiY8C3ctxq1tqvaCgkFb8cCA/edit?usp=sharing"",""หนองคาย!J405"")"),0)</f>
        <v>0</v>
      </c>
      <c r="BG49" s="55">
        <f ca="1">IFERROR(__xludf.DUMMYFUNCTION("IMPORTRANGE(""https://docs.google.com/spreadsheets/d/1XL5vhW3sbDhbH9Cz0tuDiY8C3ctxq1tqvaCgkFb8cCA/edit?usp=sharing"",""หนองคาย!J406"")"),0)</f>
        <v>0</v>
      </c>
      <c r="BH49" s="55">
        <f ca="1">IFERROR(__xludf.DUMMYFUNCTION("IMPORTRANGE(""https://docs.google.com/spreadsheets/d/1XL5vhW3sbDhbH9Cz0tuDiY8C3ctxq1tqvaCgkFb8cCA/edit?usp=sharing"",""หนองคาย!J407"")"),0)</f>
        <v>0</v>
      </c>
      <c r="BI49" s="55">
        <f ca="1">IFERROR(__xludf.DUMMYFUNCTION("IMPORTRANGE(""https://docs.google.com/spreadsheets/d/1XL5vhW3sbDhbH9Cz0tuDiY8C3ctxq1tqvaCgkFb8cCA/edit?usp=sharing"",""หนองคาย!J408"")"),0)</f>
        <v>0</v>
      </c>
      <c r="BJ49" s="402">
        <v>50182</v>
      </c>
      <c r="BK49" s="402">
        <v>6542</v>
      </c>
      <c r="BL49" s="402">
        <f t="shared" ca="1" si="91"/>
        <v>0</v>
      </c>
      <c r="BM49" s="403">
        <f t="shared" ca="1" si="15"/>
        <v>0</v>
      </c>
      <c r="BN49" s="402">
        <f t="shared" ca="1" si="92"/>
        <v>0</v>
      </c>
      <c r="BO49" s="403">
        <f t="shared" ca="1" si="16"/>
        <v>0</v>
      </c>
      <c r="BP49" s="55">
        <f ca="1">IFERROR(__xludf.DUMMYFUNCTION("IMPORTRANGE(""https://docs.google.com/spreadsheets/d/1XL5vhW3sbDhbH9Cz0tuDiY8C3ctxq1tqvaCgkFb8cCA/edit?usp=sharing"",""หนองคาย!J412"")"),0)</f>
        <v>0</v>
      </c>
      <c r="BQ49" s="55">
        <f ca="1">IFERROR(__xludf.DUMMYFUNCTION("IMPORTRANGE(""https://docs.google.com/spreadsheets/d/1XL5vhW3sbDhbH9Cz0tuDiY8C3ctxq1tqvaCgkFb8cCA/edit?usp=sharing"",""หนองคาย!J413"")"),0)</f>
        <v>0</v>
      </c>
      <c r="BR49" s="55">
        <f ca="1">IFERROR(__xludf.DUMMYFUNCTION("IMPORTRANGE(""https://docs.google.com/spreadsheets/d/1XL5vhW3sbDhbH9Cz0tuDiY8C3ctxq1tqvaCgkFb8cCA/edit?usp=sharing"",""หนองคาย!J414"")"),0)</f>
        <v>0</v>
      </c>
      <c r="BS49" s="55">
        <f ca="1">IFERROR(__xludf.DUMMYFUNCTION("IMPORTRANGE(""https://docs.google.com/spreadsheets/d/1XL5vhW3sbDhbH9Cz0tuDiY8C3ctxq1tqvaCgkFb8cCA/edit?usp=sharing"",""หนองคาย!J415"")"),0)</f>
        <v>0</v>
      </c>
      <c r="BT49" s="55">
        <f ca="1">IFERROR(__xludf.DUMMYFUNCTION("IMPORTRANGE(""https://docs.google.com/spreadsheets/d/1XL5vhW3sbDhbH9Cz0tuDiY8C3ctxq1tqvaCgkFb8cCA/edit?usp=sharing"",""หนองคาย!J416"")"),0)</f>
        <v>0</v>
      </c>
      <c r="BU49" s="55">
        <f ca="1">IFERROR(__xludf.DUMMYFUNCTION("IMPORTRANGE(""https://docs.google.com/spreadsheets/d/1XL5vhW3sbDhbH9Cz0tuDiY8C3ctxq1tqvaCgkFb8cCA/edit?usp=sharing"",""หนองคาย!J417"")"),0)</f>
        <v>0</v>
      </c>
      <c r="BV49" s="402">
        <f t="shared" ca="1" si="93"/>
        <v>0</v>
      </c>
      <c r="BW49" s="403">
        <f t="shared" ca="1" si="94"/>
        <v>0</v>
      </c>
      <c r="BX49" s="402">
        <f t="shared" ca="1" si="95"/>
        <v>0</v>
      </c>
      <c r="BY49" s="403">
        <f t="shared" ca="1" si="96"/>
        <v>0</v>
      </c>
      <c r="BZ49" s="55">
        <f ca="1">IFERROR(__xludf.DUMMYFUNCTION("IMPORTRANGE(""https://docs.google.com/spreadsheets/d/1XL5vhW3sbDhbH9Cz0tuDiY8C3ctxq1tqvaCgkFb8cCA/edit?usp=sharing"",""หนองคาย!J420"")"),0)</f>
        <v>0</v>
      </c>
      <c r="CA49" s="55">
        <f ca="1">IFERROR(__xludf.DUMMYFUNCTION("IMPORTRANGE(""https://docs.google.com/spreadsheets/d/1XL5vhW3sbDhbH9Cz0tuDiY8C3ctxq1tqvaCgkFb8cCA/edit?usp=sharing"",""หนองคาย!J421"")"),0)</f>
        <v>0</v>
      </c>
      <c r="CB49" s="55">
        <f ca="1">IFERROR(__xludf.DUMMYFUNCTION("IMPORTRANGE(""https://docs.google.com/spreadsheets/d/1XL5vhW3sbDhbH9Cz0tuDiY8C3ctxq1tqvaCgkFb8cCA/edit?usp=sharing"",""หนองคาย!J422"")"),0)</f>
        <v>0</v>
      </c>
      <c r="CC49" s="55">
        <f ca="1">IFERROR(__xludf.DUMMYFUNCTION("IMPORTRANGE(""https://docs.google.com/spreadsheets/d/1XL5vhW3sbDhbH9Cz0tuDiY8C3ctxq1tqvaCgkFb8cCA/edit?usp=sharing"",""หนองคาย!J423"")"),0)</f>
        <v>0</v>
      </c>
      <c r="CD49" s="55">
        <f ca="1">IFERROR(__xludf.DUMMYFUNCTION("IMPORTRANGE(""https://docs.google.com/spreadsheets/d/1XL5vhW3sbDhbH9Cz0tuDiY8C3ctxq1tqvaCgkFb8cCA/edit?usp=sharing"",""หนองคาย!J424"")"),0)</f>
        <v>0</v>
      </c>
      <c r="CE49" s="422">
        <f ca="1">IFERROR(__xludf.DUMMYFUNCTION("IMPORTRANGE(""https://docs.google.com/spreadsheets/d/1XL5vhW3sbDhbH9Cz0tuDiY8C3ctxq1tqvaCgkFb8cCA/edit?usp=sharing"",""หนองคาย!J425"")"),0)</f>
        <v>0</v>
      </c>
    </row>
    <row r="50" spans="1:83" ht="24" customHeight="1" x14ac:dyDescent="0.5">
      <c r="A50" s="273">
        <v>17</v>
      </c>
      <c r="B50" s="274" t="s">
        <v>65</v>
      </c>
      <c r="C50" s="400">
        <f t="shared" si="82"/>
        <v>733096.16</v>
      </c>
      <c r="D50" s="55">
        <v>0</v>
      </c>
      <c r="E50" s="401">
        <v>733096.16</v>
      </c>
      <c r="F50" s="99">
        <f ca="1">IFERROR(__xludf.DUMMYFUNCTION("IMPORTRANGE(""https://docs.google.com/spreadsheets/d/1XL5vhW3sbDhbH9Cz0tuDiY8C3ctxq1tqvaCgkFb8cCA/edit?usp=sharing"",""หนองบัวลำภู!M352"")"),25300.06)</f>
        <v>25300.06</v>
      </c>
      <c r="G50" s="99">
        <f t="shared" ca="1" si="1"/>
        <v>3.4511243381768635</v>
      </c>
      <c r="H50" s="57">
        <v>41052</v>
      </c>
      <c r="I50" s="57">
        <v>4224</v>
      </c>
      <c r="J50" s="55">
        <f t="shared" ca="1" si="83"/>
        <v>0</v>
      </c>
      <c r="K50" s="99">
        <f t="shared" ca="1" si="3"/>
        <v>0</v>
      </c>
      <c r="L50" s="55">
        <f t="shared" ca="1" si="84"/>
        <v>0</v>
      </c>
      <c r="M50" s="99">
        <f t="shared" ca="1" si="4"/>
        <v>0</v>
      </c>
      <c r="N50" s="55">
        <f ca="1">IFERROR(__xludf.DUMMYFUNCTION("IMPORTRANGE(""https://docs.google.com/spreadsheets/d/1XL5vhW3sbDhbH9Cz0tuDiY8C3ctxq1tqvaCgkFb8cCA/edit?usp=sharing"",""หนองบัวลำภู!J362"")"),0)</f>
        <v>0</v>
      </c>
      <c r="O50" s="55">
        <f ca="1">IFERROR(__xludf.DUMMYFUNCTION("IMPORTRANGE(""https://docs.google.com/spreadsheets/d/1XL5vhW3sbDhbH9Cz0tuDiY8C3ctxq1tqvaCgkFb8cCA/edit?usp=sharing"",""หนองบัวลำภู!J363"")"),0)</f>
        <v>0</v>
      </c>
      <c r="P50" s="55">
        <f ca="1">IFERROR(__xludf.DUMMYFUNCTION("IMPORTRANGE(""https://docs.google.com/spreadsheets/d/1XL5vhW3sbDhbH9Cz0tuDiY8C3ctxq1tqvaCgkFb8cCA/edit?usp=sharing"",""หนองบัวลำภู!J364"")"),0)</f>
        <v>0</v>
      </c>
      <c r="Q50" s="55">
        <f ca="1">IFERROR(__xludf.DUMMYFUNCTION("IMPORTRANGE(""https://docs.google.com/spreadsheets/d/1XL5vhW3sbDhbH9Cz0tuDiY8C3ctxq1tqvaCgkFb8cCA/edit?usp=sharing"",""หนองบัวลำภู!J365"")"),0)</f>
        <v>0</v>
      </c>
      <c r="R50" s="55">
        <f ca="1">IFERROR(__xludf.DUMMYFUNCTION("IMPORTRANGE(""https://docs.google.com/spreadsheets/d/1XL5vhW3sbDhbH9Cz0tuDiY8C3ctxq1tqvaCgkFb8cCA/edit?usp=sharing"",""หนองบัวลำภู!J366"")"),0)</f>
        <v>0</v>
      </c>
      <c r="S50" s="55">
        <f ca="1">IFERROR(__xludf.DUMMYFUNCTION("IMPORTRANGE(""https://docs.google.com/spreadsheets/d/1XL5vhW3sbDhbH9Cz0tuDiY8C3ctxq1tqvaCgkFb8cCA/edit?usp=sharing"",""หนองบัวลำภู!J367"")"),0)</f>
        <v>0</v>
      </c>
      <c r="T50" s="55">
        <f t="shared" ca="1" si="85"/>
        <v>0</v>
      </c>
      <c r="U50" s="55">
        <f t="shared" ca="1" si="6"/>
        <v>0</v>
      </c>
      <c r="V50" s="55">
        <f t="shared" ca="1" si="86"/>
        <v>0</v>
      </c>
      <c r="W50" s="55">
        <f t="shared" ca="1" si="7"/>
        <v>0</v>
      </c>
      <c r="X50" s="55">
        <f ca="1">IFERROR(__xludf.DUMMYFUNCTION("IMPORTRANGE(""https://docs.google.com/spreadsheets/d/1XL5vhW3sbDhbH9Cz0tuDiY8C3ctxq1tqvaCgkFb8cCA/edit?usp=sharing"",""หนองบัวลำภู!J370"")"),0)</f>
        <v>0</v>
      </c>
      <c r="Y50" s="55">
        <f ca="1">IFERROR(__xludf.DUMMYFUNCTION("IMPORTRANGE(""https://docs.google.com/spreadsheets/d/1XL5vhW3sbDhbH9Cz0tuDiY8C3ctxq1tqvaCgkFb8cCA/edit?usp=sharing"",""หนองบัวลำภู!J371"")"),0)</f>
        <v>0</v>
      </c>
      <c r="Z50" s="55">
        <f ca="1">IFERROR(__xludf.DUMMYFUNCTION("IMPORTRANGE(""https://docs.google.com/spreadsheets/d/1XL5vhW3sbDhbH9Cz0tuDiY8C3ctxq1tqvaCgkFb8cCA/edit?usp=sharing"",""หนองบัวลำภู!J372"")"),0)</f>
        <v>0</v>
      </c>
      <c r="AA50" s="55">
        <f ca="1">IFERROR(__xludf.DUMMYFUNCTION("IMPORTRANGE(""https://docs.google.com/spreadsheets/d/1XL5vhW3sbDhbH9Cz0tuDiY8C3ctxq1tqvaCgkFb8cCA/edit?usp=sharing"",""หนองบัวลำภู!J373"")"),0)</f>
        <v>0</v>
      </c>
      <c r="AB50" s="55">
        <f ca="1">IFERROR(__xludf.DUMMYFUNCTION("IMPORTRANGE(""https://docs.google.com/spreadsheets/d/1XL5vhW3sbDhbH9Cz0tuDiY8C3ctxq1tqvaCgkFb8cCA/edit?usp=sharing"",""หนองบัวลำภู!J374"")"),0)</f>
        <v>0</v>
      </c>
      <c r="AC50" s="55">
        <f ca="1">IFERROR(__xludf.DUMMYFUNCTION("IMPORTRANGE(""https://docs.google.com/spreadsheets/d/1XL5vhW3sbDhbH9Cz0tuDiY8C3ctxq1tqvaCgkFb8cCA/edit?usp=sharing"",""หนองบัวลำภู!J375"")"),0)</f>
        <v>0</v>
      </c>
      <c r="AD50" s="55">
        <f t="shared" ca="1" si="87"/>
        <v>0</v>
      </c>
      <c r="AE50" s="99">
        <f t="shared" ca="1" si="9"/>
        <v>0</v>
      </c>
      <c r="AF50" s="55">
        <f t="shared" ca="1" si="88"/>
        <v>0</v>
      </c>
      <c r="AG50" s="99">
        <f t="shared" ca="1" si="10"/>
        <v>0</v>
      </c>
      <c r="AH50" s="55">
        <f ca="1">IFERROR(__xludf.DUMMYFUNCTION("IMPORTRANGE(""https://docs.google.com/spreadsheets/d/1XL5vhW3sbDhbH9Cz0tuDiY8C3ctxq1tqvaCgkFb8cCA/edit?usp=sharing"",""หนองบัวลำภู!J378"")"),0)</f>
        <v>0</v>
      </c>
      <c r="AI50" s="55">
        <f ca="1">IFERROR(__xludf.DUMMYFUNCTION("IMPORTRANGE(""https://docs.google.com/spreadsheets/d/1XL5vhW3sbDhbH9Cz0tuDiY8C3ctxq1tqvaCgkFb8cCA/edit?usp=sharing"",""หนองบัวลำภู!J379"")"),0)</f>
        <v>0</v>
      </c>
      <c r="AJ50" s="55">
        <f ca="1">IFERROR(__xludf.DUMMYFUNCTION("IMPORTRANGE(""https://docs.google.com/spreadsheets/d/1XL5vhW3sbDhbH9Cz0tuDiY8C3ctxq1tqvaCgkFb8cCA/edit?usp=sharing"",""หนองบัวลำภู!J380"")"),0)</f>
        <v>0</v>
      </c>
      <c r="AK50" s="55">
        <f ca="1">IFERROR(__xludf.DUMMYFUNCTION("IMPORTRANGE(""https://docs.google.com/spreadsheets/d/1XL5vhW3sbDhbH9Cz0tuDiY8C3ctxq1tqvaCgkFb8cCA/edit?usp=sharing"",""หนองบัวลำภู!J381"")"),0)</f>
        <v>0</v>
      </c>
      <c r="AL50" s="55">
        <f ca="1">IFERROR(__xludf.DUMMYFUNCTION("IMPORTRANGE(""https://docs.google.com/spreadsheets/d/1XL5vhW3sbDhbH9Cz0tuDiY8C3ctxq1tqvaCgkFb8cCA/edit?usp=sharing"",""หนองบัวลำภู!J384"")"),0)</f>
        <v>0</v>
      </c>
      <c r="AM50" s="55">
        <f ca="1">IFERROR(__xludf.DUMMYFUNCTION("IMPORTRANGE(""https://docs.google.com/spreadsheets/d/1XL5vhW3sbDhbH9Cz0tuDiY8C3ctxq1tqvaCgkFb8cCA/edit?usp=sharing"",""หนองบัวลำภู!J385"")"),0)</f>
        <v>0</v>
      </c>
      <c r="AN50" s="55">
        <f ca="1">IFERROR(__xludf.DUMMYFUNCTION("IMPORTRANGE(""https://docs.google.com/spreadsheets/d/1XL5vhW3sbDhbH9Cz0tuDiY8C3ctxq1tqvaCgkFb8cCA/edit?usp=sharing"",""หนองบัวลำภู!J386"")"),0)</f>
        <v>0</v>
      </c>
      <c r="AO50" s="55">
        <f ca="1">IFERROR(__xludf.DUMMYFUNCTION("IMPORTRANGE(""https://docs.google.com/spreadsheets/d/1XL5vhW3sbDhbH9Cz0tuDiY8C3ctxq1tqvaCgkFb8cCA/edit?usp=sharing"",""หนองบัวลำภู!J387"")"),0)</f>
        <v>0</v>
      </c>
      <c r="AP50" s="55">
        <f ca="1">IFERROR(__xludf.DUMMYFUNCTION("IMPORTRANGE(""https://docs.google.com/spreadsheets/d/1XL5vhW3sbDhbH9Cz0tuDiY8C3ctxq1tqvaCgkFb8cCA/edit?usp=sharing"",""หนองบัวลำภู!J388"")"),0)</f>
        <v>0</v>
      </c>
      <c r="AQ50" s="55">
        <f ca="1">IFERROR(__xludf.DUMMYFUNCTION("IMPORTRANGE(""https://docs.google.com/spreadsheets/d/1XL5vhW3sbDhbH9Cz0tuDiY8C3ctxq1tqvaCgkFb8cCA/edit?usp=sharing"",""หนองบัวลำภู!J389"")"),0)</f>
        <v>0</v>
      </c>
      <c r="AR50" s="402">
        <v>1059</v>
      </c>
      <c r="AS50" s="402">
        <v>10070</v>
      </c>
      <c r="AT50" s="402">
        <f t="shared" ca="1" si="89"/>
        <v>0</v>
      </c>
      <c r="AU50" s="402">
        <f t="shared" ca="1" si="12"/>
        <v>0</v>
      </c>
      <c r="AV50" s="402">
        <f t="shared" ca="1" si="90"/>
        <v>0</v>
      </c>
      <c r="AW50" s="402">
        <f t="shared" ca="1" si="13"/>
        <v>0</v>
      </c>
      <c r="AX50" s="55">
        <f ca="1">IFERROR(__xludf.DUMMYFUNCTION("IMPORTRANGE(""https://docs.google.com/spreadsheets/d/1XL5vhW3sbDhbH9Cz0tuDiY8C3ctxq1tqvaCgkFb8cCA/edit?usp=sharing"",""หนองบัวลำภู!J395"")"),0)</f>
        <v>0</v>
      </c>
      <c r="AY50" s="55">
        <f ca="1">IFERROR(__xludf.DUMMYFUNCTION("IMPORTRANGE(""https://docs.google.com/spreadsheets/d/1XL5vhW3sbDhbH9Cz0tuDiY8C3ctxq1tqvaCgkFb8cCA/edit?usp=sharing"",""หนองบัวลำภู!J396"")"),0)</f>
        <v>0</v>
      </c>
      <c r="AZ50" s="55">
        <f ca="1">IFERROR(__xludf.DUMMYFUNCTION("IMPORTRANGE(""https://docs.google.com/spreadsheets/d/1XL5vhW3sbDhbH9Cz0tuDiY8C3ctxq1tqvaCgkFb8cCA/edit?usp=sharing"",""หนองบัวลำภู!J397"")"),0)</f>
        <v>0</v>
      </c>
      <c r="BA50" s="55">
        <f ca="1">IFERROR(__xludf.DUMMYFUNCTION("IMPORTRANGE(""https://docs.google.com/spreadsheets/d/1XL5vhW3sbDhbH9Cz0tuDiY8C3ctxq1tqvaCgkFb8cCA/edit?usp=sharing"",""หนองบัวลำภู!J398"")"),0)</f>
        <v>0</v>
      </c>
      <c r="BB50" s="55">
        <f ca="1">IFERROR(__xludf.DUMMYFUNCTION("IMPORTRANGE(""https://docs.google.com/spreadsheets/d/1XL5vhW3sbDhbH9Cz0tuDiY8C3ctxq1tqvaCgkFb8cCA/edit?usp=sharing"",""หนองบัวลำภู!J399"")"),0)</f>
        <v>0</v>
      </c>
      <c r="BC50" s="55">
        <f ca="1">IFERROR(__xludf.DUMMYFUNCTION("IMPORTRANGE(""https://docs.google.com/spreadsheets/d/1XL5vhW3sbDhbH9Cz0tuDiY8C3ctxq1tqvaCgkFb8cCA/edit?usp=sharing"",""หนองบัวลำภู!J400"")"),0)</f>
        <v>0</v>
      </c>
      <c r="BD50" s="55">
        <f ca="1">IFERROR(__xludf.DUMMYFUNCTION("IMPORTRANGE(""https://docs.google.com/spreadsheets/d/1XL5vhW3sbDhbH9Cz0tuDiY8C3ctxq1tqvaCgkFb8cCA/edit?usp=sharing"",""หนองบัวลำภู!J403"")"),0)</f>
        <v>0</v>
      </c>
      <c r="BE50" s="55">
        <f ca="1">IFERROR(__xludf.DUMMYFUNCTION("IMPORTRANGE(""https://docs.google.com/spreadsheets/d/1XL5vhW3sbDhbH9Cz0tuDiY8C3ctxq1tqvaCgkFb8cCA/edit?usp=sharing"",""หนองบัวลำภู!J404"")"),0)</f>
        <v>0</v>
      </c>
      <c r="BF50" s="55">
        <f ca="1">IFERROR(__xludf.DUMMYFUNCTION("IMPORTRANGE(""https://docs.google.com/spreadsheets/d/1XL5vhW3sbDhbH9Cz0tuDiY8C3ctxq1tqvaCgkFb8cCA/edit?usp=sharing"",""หนองบัวลำภู!J405"")"),0)</f>
        <v>0</v>
      </c>
      <c r="BG50" s="55">
        <f ca="1">IFERROR(__xludf.DUMMYFUNCTION("IMPORTRANGE(""https://docs.google.com/spreadsheets/d/1XL5vhW3sbDhbH9Cz0tuDiY8C3ctxq1tqvaCgkFb8cCA/edit?usp=sharing"",""หนองบัวลำภู!J406"")"),0)</f>
        <v>0</v>
      </c>
      <c r="BH50" s="55">
        <f ca="1">IFERROR(__xludf.DUMMYFUNCTION("IMPORTRANGE(""https://docs.google.com/spreadsheets/d/1XL5vhW3sbDhbH9Cz0tuDiY8C3ctxq1tqvaCgkFb8cCA/edit?usp=sharing"",""หนองบัวลำภู!J407"")"),0)</f>
        <v>0</v>
      </c>
      <c r="BI50" s="55">
        <f ca="1">IFERROR(__xludf.DUMMYFUNCTION("IMPORTRANGE(""https://docs.google.com/spreadsheets/d/1XL5vhW3sbDhbH9Cz0tuDiY8C3ctxq1tqvaCgkFb8cCA/edit?usp=sharing"",""หนองบัวลำภู!J408"")"),0)</f>
        <v>0</v>
      </c>
      <c r="BJ50" s="402">
        <v>41052</v>
      </c>
      <c r="BK50" s="402">
        <v>4224</v>
      </c>
      <c r="BL50" s="402">
        <f t="shared" ca="1" si="91"/>
        <v>0</v>
      </c>
      <c r="BM50" s="403">
        <f t="shared" ca="1" si="15"/>
        <v>0</v>
      </c>
      <c r="BN50" s="402">
        <f t="shared" ca="1" si="92"/>
        <v>0</v>
      </c>
      <c r="BO50" s="403">
        <f t="shared" ca="1" si="16"/>
        <v>0</v>
      </c>
      <c r="BP50" s="55">
        <f ca="1">IFERROR(__xludf.DUMMYFUNCTION("IMPORTRANGE(""https://docs.google.com/spreadsheets/d/1XL5vhW3sbDhbH9Cz0tuDiY8C3ctxq1tqvaCgkFb8cCA/edit?usp=sharing"",""หนองบัวลำภู!J412"")"),0)</f>
        <v>0</v>
      </c>
      <c r="BQ50" s="55">
        <f ca="1">IFERROR(__xludf.DUMMYFUNCTION("IMPORTRANGE(""https://docs.google.com/spreadsheets/d/1XL5vhW3sbDhbH9Cz0tuDiY8C3ctxq1tqvaCgkFb8cCA/edit?usp=sharing"",""หนองบัวลำภู!J413"")"),0)</f>
        <v>0</v>
      </c>
      <c r="BR50" s="55">
        <f ca="1">IFERROR(__xludf.DUMMYFUNCTION("IMPORTRANGE(""https://docs.google.com/spreadsheets/d/1XL5vhW3sbDhbH9Cz0tuDiY8C3ctxq1tqvaCgkFb8cCA/edit?usp=sharing"",""หนองบัวลำภู!J414"")"),0)</f>
        <v>0</v>
      </c>
      <c r="BS50" s="55">
        <f ca="1">IFERROR(__xludf.DUMMYFUNCTION("IMPORTRANGE(""https://docs.google.com/spreadsheets/d/1XL5vhW3sbDhbH9Cz0tuDiY8C3ctxq1tqvaCgkFb8cCA/edit?usp=sharing"",""หนองบัวลำภู!J415"")"),0)</f>
        <v>0</v>
      </c>
      <c r="BT50" s="55">
        <f ca="1">IFERROR(__xludf.DUMMYFUNCTION("IMPORTRANGE(""https://docs.google.com/spreadsheets/d/1XL5vhW3sbDhbH9Cz0tuDiY8C3ctxq1tqvaCgkFb8cCA/edit?usp=sharing"",""หนองบัวลำภู!J416"")"),0)</f>
        <v>0</v>
      </c>
      <c r="BU50" s="55">
        <f ca="1">IFERROR(__xludf.DUMMYFUNCTION("IMPORTRANGE(""https://docs.google.com/spreadsheets/d/1XL5vhW3sbDhbH9Cz0tuDiY8C3ctxq1tqvaCgkFb8cCA/edit?usp=sharing"",""หนองบัวลำภู!J417"")"),0)</f>
        <v>0</v>
      </c>
      <c r="BV50" s="402">
        <f t="shared" ca="1" si="93"/>
        <v>0</v>
      </c>
      <c r="BW50" s="403">
        <f t="shared" ca="1" si="94"/>
        <v>0</v>
      </c>
      <c r="BX50" s="402">
        <f t="shared" ca="1" si="95"/>
        <v>0</v>
      </c>
      <c r="BY50" s="403">
        <f t="shared" ca="1" si="96"/>
        <v>0</v>
      </c>
      <c r="BZ50" s="55">
        <f ca="1">IFERROR(__xludf.DUMMYFUNCTION("IMPORTRANGE(""https://docs.google.com/spreadsheets/d/1XL5vhW3sbDhbH9Cz0tuDiY8C3ctxq1tqvaCgkFb8cCA/edit?usp=sharing"",""หนองบัวลำภู!J420"")"),0)</f>
        <v>0</v>
      </c>
      <c r="CA50" s="55">
        <f ca="1">IFERROR(__xludf.DUMMYFUNCTION("IMPORTRANGE(""https://docs.google.com/spreadsheets/d/1XL5vhW3sbDhbH9Cz0tuDiY8C3ctxq1tqvaCgkFb8cCA/edit?usp=sharing"",""หนองบัวลำภู!J421"")"),0)</f>
        <v>0</v>
      </c>
      <c r="CB50" s="55">
        <f ca="1">IFERROR(__xludf.DUMMYFUNCTION("IMPORTRANGE(""https://docs.google.com/spreadsheets/d/1XL5vhW3sbDhbH9Cz0tuDiY8C3ctxq1tqvaCgkFb8cCA/edit?usp=sharing"",""หนองบัวลำภู!J422"")"),0)</f>
        <v>0</v>
      </c>
      <c r="CC50" s="55">
        <f ca="1">IFERROR(__xludf.DUMMYFUNCTION("IMPORTRANGE(""https://docs.google.com/spreadsheets/d/1XL5vhW3sbDhbH9Cz0tuDiY8C3ctxq1tqvaCgkFb8cCA/edit?usp=sharing"",""หนองบัวลำภู!J423"")"),0)</f>
        <v>0</v>
      </c>
      <c r="CD50" s="55">
        <f ca="1">IFERROR(__xludf.DUMMYFUNCTION("IMPORTRANGE(""https://docs.google.com/spreadsheets/d/1XL5vhW3sbDhbH9Cz0tuDiY8C3ctxq1tqvaCgkFb8cCA/edit?usp=sharing"",""หนองบัวลำภู!J424"")"),0)</f>
        <v>0</v>
      </c>
      <c r="CE50" s="422">
        <f ca="1">IFERROR(__xludf.DUMMYFUNCTION("IMPORTRANGE(""https://docs.google.com/spreadsheets/d/1XL5vhW3sbDhbH9Cz0tuDiY8C3ctxq1tqvaCgkFb8cCA/edit?usp=sharing"",""หนองบัวลำภู!J425"")"),0)</f>
        <v>0</v>
      </c>
    </row>
    <row r="51" spans="1:83" ht="24" customHeight="1" x14ac:dyDescent="0.5">
      <c r="A51" s="273">
        <v>18</v>
      </c>
      <c r="B51" s="274" t="s">
        <v>66</v>
      </c>
      <c r="C51" s="400">
        <f t="shared" si="82"/>
        <v>173484.2</v>
      </c>
      <c r="D51" s="55">
        <v>0</v>
      </c>
      <c r="E51" s="401">
        <v>173484.2</v>
      </c>
      <c r="F51" s="99">
        <f ca="1">IFERROR(__xludf.DUMMYFUNCTION("IMPORTRANGE(""https://docs.google.com/spreadsheets/d/1XL5vhW3sbDhbH9Cz0tuDiY8C3ctxq1tqvaCgkFb8cCA/edit?usp=sharing"",""อำนาจเจริญ!M352"")"),0)</f>
        <v>0</v>
      </c>
      <c r="G51" s="99">
        <f t="shared" ca="1" si="1"/>
        <v>0</v>
      </c>
      <c r="H51" s="57">
        <v>11861</v>
      </c>
      <c r="I51" s="57">
        <v>3403</v>
      </c>
      <c r="J51" s="55">
        <f t="shared" ca="1" si="83"/>
        <v>0</v>
      </c>
      <c r="K51" s="99">
        <f t="shared" ca="1" si="3"/>
        <v>0</v>
      </c>
      <c r="L51" s="55">
        <f t="shared" ca="1" si="84"/>
        <v>0</v>
      </c>
      <c r="M51" s="99">
        <f t="shared" ca="1" si="4"/>
        <v>0</v>
      </c>
      <c r="N51" s="55">
        <f ca="1">IFERROR(__xludf.DUMMYFUNCTION("IMPORTRANGE(""https://docs.google.com/spreadsheets/d/1XL5vhW3sbDhbH9Cz0tuDiY8C3ctxq1tqvaCgkFb8cCA/edit?usp=sharing"",""อำนาจเจริญ!J362"")"),0)</f>
        <v>0</v>
      </c>
      <c r="O51" s="55">
        <f ca="1">IFERROR(__xludf.DUMMYFUNCTION("IMPORTRANGE(""https://docs.google.com/spreadsheets/d/1XL5vhW3sbDhbH9Cz0tuDiY8C3ctxq1tqvaCgkFb8cCA/edit?usp=sharing"",""อำนาจเจริญ!J363"")"),0)</f>
        <v>0</v>
      </c>
      <c r="P51" s="55">
        <f ca="1">IFERROR(__xludf.DUMMYFUNCTION("IMPORTRANGE(""https://docs.google.com/spreadsheets/d/1XL5vhW3sbDhbH9Cz0tuDiY8C3ctxq1tqvaCgkFb8cCA/edit?usp=sharing"",""อำนาจเจริญ!J364"")"),0)</f>
        <v>0</v>
      </c>
      <c r="Q51" s="55">
        <f ca="1">IFERROR(__xludf.DUMMYFUNCTION("IMPORTRANGE(""https://docs.google.com/spreadsheets/d/1XL5vhW3sbDhbH9Cz0tuDiY8C3ctxq1tqvaCgkFb8cCA/edit?usp=sharing"",""อำนาจเจริญ!J365"")"),0)</f>
        <v>0</v>
      </c>
      <c r="R51" s="55">
        <f ca="1">IFERROR(__xludf.DUMMYFUNCTION("IMPORTRANGE(""https://docs.google.com/spreadsheets/d/1XL5vhW3sbDhbH9Cz0tuDiY8C3ctxq1tqvaCgkFb8cCA/edit?usp=sharing"",""อำนาจเจริญ!J366"")"),0)</f>
        <v>0</v>
      </c>
      <c r="S51" s="55">
        <f ca="1">IFERROR(__xludf.DUMMYFUNCTION("IMPORTRANGE(""https://docs.google.com/spreadsheets/d/1XL5vhW3sbDhbH9Cz0tuDiY8C3ctxq1tqvaCgkFb8cCA/edit?usp=sharing"",""อำนาจเจริญ!J367"")"),0)</f>
        <v>0</v>
      </c>
      <c r="T51" s="55">
        <f t="shared" ca="1" si="85"/>
        <v>0</v>
      </c>
      <c r="U51" s="55">
        <f t="shared" ca="1" si="6"/>
        <v>0</v>
      </c>
      <c r="V51" s="55">
        <f t="shared" ca="1" si="86"/>
        <v>0</v>
      </c>
      <c r="W51" s="55">
        <f t="shared" ca="1" si="7"/>
        <v>0</v>
      </c>
      <c r="X51" s="55">
        <f ca="1">IFERROR(__xludf.DUMMYFUNCTION("IMPORTRANGE(""https://docs.google.com/spreadsheets/d/1XL5vhW3sbDhbH9Cz0tuDiY8C3ctxq1tqvaCgkFb8cCA/edit?usp=sharing"",""อำนาจเจริญ!J370"")"),0)</f>
        <v>0</v>
      </c>
      <c r="Y51" s="55">
        <f ca="1">IFERROR(__xludf.DUMMYFUNCTION("IMPORTRANGE(""https://docs.google.com/spreadsheets/d/1XL5vhW3sbDhbH9Cz0tuDiY8C3ctxq1tqvaCgkFb8cCA/edit?usp=sharing"",""อำนาจเจริญ!J371"")"),0)</f>
        <v>0</v>
      </c>
      <c r="Z51" s="55">
        <f ca="1">IFERROR(__xludf.DUMMYFUNCTION("IMPORTRANGE(""https://docs.google.com/spreadsheets/d/1XL5vhW3sbDhbH9Cz0tuDiY8C3ctxq1tqvaCgkFb8cCA/edit?usp=sharing"",""อำนาจเจริญ!J372"")"),0)</f>
        <v>0</v>
      </c>
      <c r="AA51" s="55">
        <f ca="1">IFERROR(__xludf.DUMMYFUNCTION("IMPORTRANGE(""https://docs.google.com/spreadsheets/d/1XL5vhW3sbDhbH9Cz0tuDiY8C3ctxq1tqvaCgkFb8cCA/edit?usp=sharing"",""อำนาจเจริญ!J373"")"),0)</f>
        <v>0</v>
      </c>
      <c r="AB51" s="55">
        <f ca="1">IFERROR(__xludf.DUMMYFUNCTION("IMPORTRANGE(""https://docs.google.com/spreadsheets/d/1XL5vhW3sbDhbH9Cz0tuDiY8C3ctxq1tqvaCgkFb8cCA/edit?usp=sharing"",""อำนาจเจริญ!J374"")"),0)</f>
        <v>0</v>
      </c>
      <c r="AC51" s="55">
        <f ca="1">IFERROR(__xludf.DUMMYFUNCTION("IMPORTRANGE(""https://docs.google.com/spreadsheets/d/1XL5vhW3sbDhbH9Cz0tuDiY8C3ctxq1tqvaCgkFb8cCA/edit?usp=sharing"",""อำนาจเจริญ!J375"")"),0)</f>
        <v>0</v>
      </c>
      <c r="AD51" s="55">
        <f t="shared" ca="1" si="87"/>
        <v>0</v>
      </c>
      <c r="AE51" s="99">
        <f t="shared" ca="1" si="9"/>
        <v>0</v>
      </c>
      <c r="AF51" s="55">
        <f t="shared" ca="1" si="88"/>
        <v>0</v>
      </c>
      <c r="AG51" s="99">
        <f t="shared" ca="1" si="10"/>
        <v>0</v>
      </c>
      <c r="AH51" s="55">
        <f ca="1">IFERROR(__xludf.DUMMYFUNCTION("IMPORTRANGE(""https://docs.google.com/spreadsheets/d/1XL5vhW3sbDhbH9Cz0tuDiY8C3ctxq1tqvaCgkFb8cCA/edit?usp=sharing"",""อำนาจเจริญ!J378"")"),0)</f>
        <v>0</v>
      </c>
      <c r="AI51" s="55">
        <f ca="1">IFERROR(__xludf.DUMMYFUNCTION("IMPORTRANGE(""https://docs.google.com/spreadsheets/d/1XL5vhW3sbDhbH9Cz0tuDiY8C3ctxq1tqvaCgkFb8cCA/edit?usp=sharing"",""อำนาจเจริญ!J379"")"),0)</f>
        <v>0</v>
      </c>
      <c r="AJ51" s="55">
        <f ca="1">IFERROR(__xludf.DUMMYFUNCTION("IMPORTRANGE(""https://docs.google.com/spreadsheets/d/1XL5vhW3sbDhbH9Cz0tuDiY8C3ctxq1tqvaCgkFb8cCA/edit?usp=sharing"",""อำนาจเจริญ!J380"")"),0)</f>
        <v>0</v>
      </c>
      <c r="AK51" s="55">
        <f ca="1">IFERROR(__xludf.DUMMYFUNCTION("IMPORTRANGE(""https://docs.google.com/spreadsheets/d/1XL5vhW3sbDhbH9Cz0tuDiY8C3ctxq1tqvaCgkFb8cCA/edit?usp=sharing"",""อำนาจเจริญ!J381"")"),0)</f>
        <v>0</v>
      </c>
      <c r="AL51" s="55">
        <f ca="1">IFERROR(__xludf.DUMMYFUNCTION("IMPORTRANGE(""https://docs.google.com/spreadsheets/d/1XL5vhW3sbDhbH9Cz0tuDiY8C3ctxq1tqvaCgkFb8cCA/edit?usp=sharing"",""อำนาจเจริญ!J384"")"),0)</f>
        <v>0</v>
      </c>
      <c r="AM51" s="55">
        <f ca="1">IFERROR(__xludf.DUMMYFUNCTION("IMPORTRANGE(""https://docs.google.com/spreadsheets/d/1XL5vhW3sbDhbH9Cz0tuDiY8C3ctxq1tqvaCgkFb8cCA/edit?usp=sharing"",""อำนาจเจริญ!J385"")"),0)</f>
        <v>0</v>
      </c>
      <c r="AN51" s="55">
        <f ca="1">IFERROR(__xludf.DUMMYFUNCTION("IMPORTRANGE(""https://docs.google.com/spreadsheets/d/1XL5vhW3sbDhbH9Cz0tuDiY8C3ctxq1tqvaCgkFb8cCA/edit?usp=sharing"",""อำนาจเจริญ!J386"")"),0)</f>
        <v>0</v>
      </c>
      <c r="AO51" s="55">
        <f ca="1">IFERROR(__xludf.DUMMYFUNCTION("IMPORTRANGE(""https://docs.google.com/spreadsheets/d/1XL5vhW3sbDhbH9Cz0tuDiY8C3ctxq1tqvaCgkFb8cCA/edit?usp=sharing"",""อำนาจเจริญ!J387"")"),0)</f>
        <v>0</v>
      </c>
      <c r="AP51" s="55">
        <f ca="1">IFERROR(__xludf.DUMMYFUNCTION("IMPORTRANGE(""https://docs.google.com/spreadsheets/d/1XL5vhW3sbDhbH9Cz0tuDiY8C3ctxq1tqvaCgkFb8cCA/edit?usp=sharing"",""อำนาจเจริญ!J388"")"),0)</f>
        <v>0</v>
      </c>
      <c r="AQ51" s="55">
        <f ca="1">IFERROR(__xludf.DUMMYFUNCTION("IMPORTRANGE(""https://docs.google.com/spreadsheets/d/1XL5vhW3sbDhbH9Cz0tuDiY8C3ctxq1tqvaCgkFb8cCA/edit?usp=sharing"",""อำนาจเจริญ!J389"")"),0)</f>
        <v>0</v>
      </c>
      <c r="AR51" s="402">
        <v>120</v>
      </c>
      <c r="AS51" s="402">
        <v>1404</v>
      </c>
      <c r="AT51" s="402">
        <f t="shared" ca="1" si="89"/>
        <v>0</v>
      </c>
      <c r="AU51" s="402">
        <f t="shared" ca="1" si="12"/>
        <v>0</v>
      </c>
      <c r="AV51" s="402">
        <f t="shared" ca="1" si="90"/>
        <v>0</v>
      </c>
      <c r="AW51" s="402">
        <f t="shared" ca="1" si="13"/>
        <v>0</v>
      </c>
      <c r="AX51" s="55">
        <f ca="1">IFERROR(__xludf.DUMMYFUNCTION("IMPORTRANGE(""https://docs.google.com/spreadsheets/d/1XL5vhW3sbDhbH9Cz0tuDiY8C3ctxq1tqvaCgkFb8cCA/edit?usp=sharing"",""อำนาจเจริญ!J395"")"),0)</f>
        <v>0</v>
      </c>
      <c r="AY51" s="55">
        <f ca="1">IFERROR(__xludf.DUMMYFUNCTION("IMPORTRANGE(""https://docs.google.com/spreadsheets/d/1XL5vhW3sbDhbH9Cz0tuDiY8C3ctxq1tqvaCgkFb8cCA/edit?usp=sharing"",""อำนาจเจริญ!J396"")"),0)</f>
        <v>0</v>
      </c>
      <c r="AZ51" s="55">
        <f ca="1">IFERROR(__xludf.DUMMYFUNCTION("IMPORTRANGE(""https://docs.google.com/spreadsheets/d/1XL5vhW3sbDhbH9Cz0tuDiY8C3ctxq1tqvaCgkFb8cCA/edit?usp=sharing"",""อำนาจเจริญ!J397"")"),0)</f>
        <v>0</v>
      </c>
      <c r="BA51" s="55">
        <f ca="1">IFERROR(__xludf.DUMMYFUNCTION("IMPORTRANGE(""https://docs.google.com/spreadsheets/d/1XL5vhW3sbDhbH9Cz0tuDiY8C3ctxq1tqvaCgkFb8cCA/edit?usp=sharing"",""อำนาจเจริญ!J398"")"),0)</f>
        <v>0</v>
      </c>
      <c r="BB51" s="55">
        <f ca="1">IFERROR(__xludf.DUMMYFUNCTION("IMPORTRANGE(""https://docs.google.com/spreadsheets/d/1XL5vhW3sbDhbH9Cz0tuDiY8C3ctxq1tqvaCgkFb8cCA/edit?usp=sharing"",""อำนาจเจริญ!J399"")"),0)</f>
        <v>0</v>
      </c>
      <c r="BC51" s="55">
        <f ca="1">IFERROR(__xludf.DUMMYFUNCTION("IMPORTRANGE(""https://docs.google.com/spreadsheets/d/1XL5vhW3sbDhbH9Cz0tuDiY8C3ctxq1tqvaCgkFb8cCA/edit?usp=sharing"",""อำนาจเจริญ!J400"")"),0)</f>
        <v>0</v>
      </c>
      <c r="BD51" s="55">
        <f ca="1">IFERROR(__xludf.DUMMYFUNCTION("IMPORTRANGE(""https://docs.google.com/spreadsheets/d/1XL5vhW3sbDhbH9Cz0tuDiY8C3ctxq1tqvaCgkFb8cCA/edit?usp=sharing"",""อำนาจเจริญ!J403"")"),0)</f>
        <v>0</v>
      </c>
      <c r="BE51" s="55">
        <f ca="1">IFERROR(__xludf.DUMMYFUNCTION("IMPORTRANGE(""https://docs.google.com/spreadsheets/d/1XL5vhW3sbDhbH9Cz0tuDiY8C3ctxq1tqvaCgkFb8cCA/edit?usp=sharing"",""อำนาจเจริญ!J404"")"),0)</f>
        <v>0</v>
      </c>
      <c r="BF51" s="55">
        <f ca="1">IFERROR(__xludf.DUMMYFUNCTION("IMPORTRANGE(""https://docs.google.com/spreadsheets/d/1XL5vhW3sbDhbH9Cz0tuDiY8C3ctxq1tqvaCgkFb8cCA/edit?usp=sharing"",""อำนาจเจริญ!J405"")"),0)</f>
        <v>0</v>
      </c>
      <c r="BG51" s="55">
        <f ca="1">IFERROR(__xludf.DUMMYFUNCTION("IMPORTRANGE(""https://docs.google.com/spreadsheets/d/1XL5vhW3sbDhbH9Cz0tuDiY8C3ctxq1tqvaCgkFb8cCA/edit?usp=sharing"",""อำนาจเจริญ!J406"")"),0)</f>
        <v>0</v>
      </c>
      <c r="BH51" s="55">
        <f ca="1">IFERROR(__xludf.DUMMYFUNCTION("IMPORTRANGE(""https://docs.google.com/spreadsheets/d/1XL5vhW3sbDhbH9Cz0tuDiY8C3ctxq1tqvaCgkFb8cCA/edit?usp=sharing"",""อำนาจเจริญ!J407"")"),0)</f>
        <v>0</v>
      </c>
      <c r="BI51" s="55">
        <f ca="1">IFERROR(__xludf.DUMMYFUNCTION("IMPORTRANGE(""https://docs.google.com/spreadsheets/d/1XL5vhW3sbDhbH9Cz0tuDiY8C3ctxq1tqvaCgkFb8cCA/edit?usp=sharing"",""อำนาจเจริญ!J408"")"),0)</f>
        <v>0</v>
      </c>
      <c r="BJ51" s="402">
        <v>11861</v>
      </c>
      <c r="BK51" s="402">
        <v>3403</v>
      </c>
      <c r="BL51" s="402">
        <f t="shared" ca="1" si="91"/>
        <v>0</v>
      </c>
      <c r="BM51" s="403">
        <f t="shared" ca="1" si="15"/>
        <v>0</v>
      </c>
      <c r="BN51" s="402">
        <f t="shared" ca="1" si="92"/>
        <v>0</v>
      </c>
      <c r="BO51" s="403">
        <f t="shared" ca="1" si="16"/>
        <v>0</v>
      </c>
      <c r="BP51" s="55">
        <f ca="1">IFERROR(__xludf.DUMMYFUNCTION("IMPORTRANGE(""https://docs.google.com/spreadsheets/d/1XL5vhW3sbDhbH9Cz0tuDiY8C3ctxq1tqvaCgkFb8cCA/edit?usp=sharing"",""อำนาจเจริญ!J412"")"),0)</f>
        <v>0</v>
      </c>
      <c r="BQ51" s="55">
        <f ca="1">IFERROR(__xludf.DUMMYFUNCTION("IMPORTRANGE(""https://docs.google.com/spreadsheets/d/1XL5vhW3sbDhbH9Cz0tuDiY8C3ctxq1tqvaCgkFb8cCA/edit?usp=sharing"",""อำนาจเจริญ!J413"")"),0)</f>
        <v>0</v>
      </c>
      <c r="BR51" s="55">
        <f ca="1">IFERROR(__xludf.DUMMYFUNCTION("IMPORTRANGE(""https://docs.google.com/spreadsheets/d/1XL5vhW3sbDhbH9Cz0tuDiY8C3ctxq1tqvaCgkFb8cCA/edit?usp=sharing"",""อำนาจเจริญ!J414"")"),0)</f>
        <v>0</v>
      </c>
      <c r="BS51" s="55">
        <f ca="1">IFERROR(__xludf.DUMMYFUNCTION("IMPORTRANGE(""https://docs.google.com/spreadsheets/d/1XL5vhW3sbDhbH9Cz0tuDiY8C3ctxq1tqvaCgkFb8cCA/edit?usp=sharing"",""อำนาจเจริญ!J415"")"),0)</f>
        <v>0</v>
      </c>
      <c r="BT51" s="55">
        <f ca="1">IFERROR(__xludf.DUMMYFUNCTION("IMPORTRANGE(""https://docs.google.com/spreadsheets/d/1XL5vhW3sbDhbH9Cz0tuDiY8C3ctxq1tqvaCgkFb8cCA/edit?usp=sharing"",""อำนาจเจริญ!J416"")"),0)</f>
        <v>0</v>
      </c>
      <c r="BU51" s="55">
        <f ca="1">IFERROR(__xludf.DUMMYFUNCTION("IMPORTRANGE(""https://docs.google.com/spreadsheets/d/1XL5vhW3sbDhbH9Cz0tuDiY8C3ctxq1tqvaCgkFb8cCA/edit?usp=sharing"",""อำนาจเจริญ!J417"")"),0)</f>
        <v>0</v>
      </c>
      <c r="BV51" s="402">
        <f t="shared" ca="1" si="93"/>
        <v>0</v>
      </c>
      <c r="BW51" s="403">
        <f t="shared" ca="1" si="94"/>
        <v>0</v>
      </c>
      <c r="BX51" s="402">
        <f t="shared" ca="1" si="95"/>
        <v>0</v>
      </c>
      <c r="BY51" s="403">
        <f t="shared" ca="1" si="96"/>
        <v>0</v>
      </c>
      <c r="BZ51" s="55">
        <f ca="1">IFERROR(__xludf.DUMMYFUNCTION("IMPORTRANGE(""https://docs.google.com/spreadsheets/d/1XL5vhW3sbDhbH9Cz0tuDiY8C3ctxq1tqvaCgkFb8cCA/edit?usp=sharing"",""อำนาจเจริญ!J420"")"),0)</f>
        <v>0</v>
      </c>
      <c r="CA51" s="55">
        <f ca="1">IFERROR(__xludf.DUMMYFUNCTION("IMPORTRANGE(""https://docs.google.com/spreadsheets/d/1XL5vhW3sbDhbH9Cz0tuDiY8C3ctxq1tqvaCgkFb8cCA/edit?usp=sharing"",""อำนาจเจริญ!J421"")"),0)</f>
        <v>0</v>
      </c>
      <c r="CB51" s="55">
        <f ca="1">IFERROR(__xludf.DUMMYFUNCTION("IMPORTRANGE(""https://docs.google.com/spreadsheets/d/1XL5vhW3sbDhbH9Cz0tuDiY8C3ctxq1tqvaCgkFb8cCA/edit?usp=sharing"",""อำนาจเจริญ!J422"")"),0)</f>
        <v>0</v>
      </c>
      <c r="CC51" s="55">
        <f ca="1">IFERROR(__xludf.DUMMYFUNCTION("IMPORTRANGE(""https://docs.google.com/spreadsheets/d/1XL5vhW3sbDhbH9Cz0tuDiY8C3ctxq1tqvaCgkFb8cCA/edit?usp=sharing"",""อำนาจเจริญ!J423"")"),0)</f>
        <v>0</v>
      </c>
      <c r="CD51" s="55">
        <f ca="1">IFERROR(__xludf.DUMMYFUNCTION("IMPORTRANGE(""https://docs.google.com/spreadsheets/d/1XL5vhW3sbDhbH9Cz0tuDiY8C3ctxq1tqvaCgkFb8cCA/edit?usp=sharing"",""อำนาจเจริญ!J424"")"),0)</f>
        <v>0</v>
      </c>
      <c r="CE51" s="422">
        <f ca="1">IFERROR(__xludf.DUMMYFUNCTION("IMPORTRANGE(""https://docs.google.com/spreadsheets/d/1XL5vhW3sbDhbH9Cz0tuDiY8C3ctxq1tqvaCgkFb8cCA/edit?usp=sharing"",""อำนาจเจริญ!J425"")"),0)</f>
        <v>0</v>
      </c>
    </row>
    <row r="52" spans="1:83" ht="24" customHeight="1" x14ac:dyDescent="0.5">
      <c r="A52" s="273">
        <v>19</v>
      </c>
      <c r="B52" s="274" t="s">
        <v>67</v>
      </c>
      <c r="C52" s="400">
        <f t="shared" si="82"/>
        <v>310550.68</v>
      </c>
      <c r="D52" s="55">
        <v>0</v>
      </c>
      <c r="E52" s="401">
        <v>310550.68</v>
      </c>
      <c r="F52" s="99">
        <f ca="1">IFERROR(__xludf.DUMMYFUNCTION("IMPORTRANGE(""https://docs.google.com/spreadsheets/d/1XL5vhW3sbDhbH9Cz0tuDiY8C3ctxq1tqvaCgkFb8cCA/edit?usp=sharing"",""อุดรธานี!M352"")"),0)</f>
        <v>0</v>
      </c>
      <c r="G52" s="99">
        <f t="shared" ca="1" si="1"/>
        <v>0</v>
      </c>
      <c r="H52" s="57">
        <v>30344</v>
      </c>
      <c r="I52" s="57">
        <v>2438</v>
      </c>
      <c r="J52" s="55">
        <f t="shared" ca="1" si="83"/>
        <v>0</v>
      </c>
      <c r="K52" s="99">
        <f t="shared" ca="1" si="3"/>
        <v>0</v>
      </c>
      <c r="L52" s="55">
        <f t="shared" ca="1" si="84"/>
        <v>0</v>
      </c>
      <c r="M52" s="99">
        <f t="shared" ca="1" si="4"/>
        <v>0</v>
      </c>
      <c r="N52" s="55">
        <f ca="1">IFERROR(__xludf.DUMMYFUNCTION("IMPORTRANGE(""https://docs.google.com/spreadsheets/d/1XL5vhW3sbDhbH9Cz0tuDiY8C3ctxq1tqvaCgkFb8cCA/edit?usp=sharing"",""อุดรธานี!J362"")"),0)</f>
        <v>0</v>
      </c>
      <c r="O52" s="55">
        <f ca="1">IFERROR(__xludf.DUMMYFUNCTION("IMPORTRANGE(""https://docs.google.com/spreadsheets/d/1XL5vhW3sbDhbH9Cz0tuDiY8C3ctxq1tqvaCgkFb8cCA/edit?usp=sharing"",""อุดรธานี!J363"")"),0)</f>
        <v>0</v>
      </c>
      <c r="P52" s="55">
        <f ca="1">IFERROR(__xludf.DUMMYFUNCTION("IMPORTRANGE(""https://docs.google.com/spreadsheets/d/1XL5vhW3sbDhbH9Cz0tuDiY8C3ctxq1tqvaCgkFb8cCA/edit?usp=sharing"",""อุดรธานี!J364"")"),0)</f>
        <v>0</v>
      </c>
      <c r="Q52" s="55">
        <f ca="1">IFERROR(__xludf.DUMMYFUNCTION("IMPORTRANGE(""https://docs.google.com/spreadsheets/d/1XL5vhW3sbDhbH9Cz0tuDiY8C3ctxq1tqvaCgkFb8cCA/edit?usp=sharing"",""อุดรธานี!J365"")"),0)</f>
        <v>0</v>
      </c>
      <c r="R52" s="55">
        <f ca="1">IFERROR(__xludf.DUMMYFUNCTION("IMPORTRANGE(""https://docs.google.com/spreadsheets/d/1XL5vhW3sbDhbH9Cz0tuDiY8C3ctxq1tqvaCgkFb8cCA/edit?usp=sharing"",""อุดรธานี!J366"")"),0)</f>
        <v>0</v>
      </c>
      <c r="S52" s="55">
        <f ca="1">IFERROR(__xludf.DUMMYFUNCTION("IMPORTRANGE(""https://docs.google.com/spreadsheets/d/1XL5vhW3sbDhbH9Cz0tuDiY8C3ctxq1tqvaCgkFb8cCA/edit?usp=sharing"",""อุดรธานี!J367"")"),0)</f>
        <v>0</v>
      </c>
      <c r="T52" s="55">
        <f t="shared" ca="1" si="85"/>
        <v>0</v>
      </c>
      <c r="U52" s="55">
        <f t="shared" ca="1" si="6"/>
        <v>0</v>
      </c>
      <c r="V52" s="55">
        <f t="shared" ca="1" si="86"/>
        <v>0</v>
      </c>
      <c r="W52" s="55">
        <f t="shared" ca="1" si="7"/>
        <v>0</v>
      </c>
      <c r="X52" s="55">
        <f ca="1">IFERROR(__xludf.DUMMYFUNCTION("IMPORTRANGE(""https://docs.google.com/spreadsheets/d/1XL5vhW3sbDhbH9Cz0tuDiY8C3ctxq1tqvaCgkFb8cCA/edit?usp=sharing"",""อุดรธานี!J370"")"),0)</f>
        <v>0</v>
      </c>
      <c r="Y52" s="55">
        <f ca="1">IFERROR(__xludf.DUMMYFUNCTION("IMPORTRANGE(""https://docs.google.com/spreadsheets/d/1XL5vhW3sbDhbH9Cz0tuDiY8C3ctxq1tqvaCgkFb8cCA/edit?usp=sharing"",""อุดรธานี!J371"")"),0)</f>
        <v>0</v>
      </c>
      <c r="Z52" s="55">
        <f ca="1">IFERROR(__xludf.DUMMYFUNCTION("IMPORTRANGE(""https://docs.google.com/spreadsheets/d/1XL5vhW3sbDhbH9Cz0tuDiY8C3ctxq1tqvaCgkFb8cCA/edit?usp=sharing"",""อุดรธานี!J372"")"),0)</f>
        <v>0</v>
      </c>
      <c r="AA52" s="55">
        <f ca="1">IFERROR(__xludf.DUMMYFUNCTION("IMPORTRANGE(""https://docs.google.com/spreadsheets/d/1XL5vhW3sbDhbH9Cz0tuDiY8C3ctxq1tqvaCgkFb8cCA/edit?usp=sharing"",""อุดรธานี!J373"")"),0)</f>
        <v>0</v>
      </c>
      <c r="AB52" s="55">
        <f ca="1">IFERROR(__xludf.DUMMYFUNCTION("IMPORTRANGE(""https://docs.google.com/spreadsheets/d/1XL5vhW3sbDhbH9Cz0tuDiY8C3ctxq1tqvaCgkFb8cCA/edit?usp=sharing"",""อุดรธานี!J374"")"),0)</f>
        <v>0</v>
      </c>
      <c r="AC52" s="55">
        <f ca="1">IFERROR(__xludf.DUMMYFUNCTION("IMPORTRANGE(""https://docs.google.com/spreadsheets/d/1XL5vhW3sbDhbH9Cz0tuDiY8C3ctxq1tqvaCgkFb8cCA/edit?usp=sharing"",""อุดรธานี!J375"")"),0)</f>
        <v>0</v>
      </c>
      <c r="AD52" s="55">
        <f t="shared" ca="1" si="87"/>
        <v>0</v>
      </c>
      <c r="AE52" s="99">
        <f t="shared" ca="1" si="9"/>
        <v>0</v>
      </c>
      <c r="AF52" s="55">
        <f t="shared" ca="1" si="88"/>
        <v>0</v>
      </c>
      <c r="AG52" s="99">
        <f t="shared" ca="1" si="10"/>
        <v>0</v>
      </c>
      <c r="AH52" s="55">
        <f ca="1">IFERROR(__xludf.DUMMYFUNCTION("IMPORTRANGE(""https://docs.google.com/spreadsheets/d/1XL5vhW3sbDhbH9Cz0tuDiY8C3ctxq1tqvaCgkFb8cCA/edit?usp=sharing"",""อุดรธานี!J378"")"),0)</f>
        <v>0</v>
      </c>
      <c r="AI52" s="55">
        <f ca="1">IFERROR(__xludf.DUMMYFUNCTION("IMPORTRANGE(""https://docs.google.com/spreadsheets/d/1XL5vhW3sbDhbH9Cz0tuDiY8C3ctxq1tqvaCgkFb8cCA/edit?usp=sharing"",""อุดรธานี!J379"")"),0)</f>
        <v>0</v>
      </c>
      <c r="AJ52" s="55">
        <f ca="1">IFERROR(__xludf.DUMMYFUNCTION("IMPORTRANGE(""https://docs.google.com/spreadsheets/d/1XL5vhW3sbDhbH9Cz0tuDiY8C3ctxq1tqvaCgkFb8cCA/edit?usp=sharing"",""อุดรธานี!J380"")"),0)</f>
        <v>0</v>
      </c>
      <c r="AK52" s="55">
        <f ca="1">IFERROR(__xludf.DUMMYFUNCTION("IMPORTRANGE(""https://docs.google.com/spreadsheets/d/1XL5vhW3sbDhbH9Cz0tuDiY8C3ctxq1tqvaCgkFb8cCA/edit?usp=sharing"",""อุดรธานี!J381"")"),0)</f>
        <v>0</v>
      </c>
      <c r="AL52" s="55">
        <f ca="1">IFERROR(__xludf.DUMMYFUNCTION("IMPORTRANGE(""https://docs.google.com/spreadsheets/d/1XL5vhW3sbDhbH9Cz0tuDiY8C3ctxq1tqvaCgkFb8cCA/edit?usp=sharing"",""อุดรธานี!J384"")"),0)</f>
        <v>0</v>
      </c>
      <c r="AM52" s="55">
        <f ca="1">IFERROR(__xludf.DUMMYFUNCTION("IMPORTRANGE(""https://docs.google.com/spreadsheets/d/1XL5vhW3sbDhbH9Cz0tuDiY8C3ctxq1tqvaCgkFb8cCA/edit?usp=sharing"",""อุดรธานี!J385"")"),0)</f>
        <v>0</v>
      </c>
      <c r="AN52" s="55">
        <f ca="1">IFERROR(__xludf.DUMMYFUNCTION("IMPORTRANGE(""https://docs.google.com/spreadsheets/d/1XL5vhW3sbDhbH9Cz0tuDiY8C3ctxq1tqvaCgkFb8cCA/edit?usp=sharing"",""อุดรธานี!J386"")"),0)</f>
        <v>0</v>
      </c>
      <c r="AO52" s="55">
        <f ca="1">IFERROR(__xludf.DUMMYFUNCTION("IMPORTRANGE(""https://docs.google.com/spreadsheets/d/1XL5vhW3sbDhbH9Cz0tuDiY8C3ctxq1tqvaCgkFb8cCA/edit?usp=sharing"",""อุดรธานี!J387"")"),0)</f>
        <v>0</v>
      </c>
      <c r="AP52" s="55">
        <f ca="1">IFERROR(__xludf.DUMMYFUNCTION("IMPORTRANGE(""https://docs.google.com/spreadsheets/d/1XL5vhW3sbDhbH9Cz0tuDiY8C3ctxq1tqvaCgkFb8cCA/edit?usp=sharing"",""อุดรธานี!J388"")"),0)</f>
        <v>0</v>
      </c>
      <c r="AQ52" s="55">
        <f ca="1">IFERROR(__xludf.DUMMYFUNCTION("IMPORTRANGE(""https://docs.google.com/spreadsheets/d/1XL5vhW3sbDhbH9Cz0tuDiY8C3ctxq1tqvaCgkFb8cCA/edit?usp=sharing"",""อุดรธานี!J389"")"),0)</f>
        <v>0</v>
      </c>
      <c r="AR52" s="402">
        <v>350</v>
      </c>
      <c r="AS52" s="402">
        <v>4197</v>
      </c>
      <c r="AT52" s="402">
        <f t="shared" ca="1" si="89"/>
        <v>0</v>
      </c>
      <c r="AU52" s="402">
        <f t="shared" ca="1" si="12"/>
        <v>0</v>
      </c>
      <c r="AV52" s="402">
        <f t="shared" ca="1" si="90"/>
        <v>0</v>
      </c>
      <c r="AW52" s="402">
        <f t="shared" ca="1" si="13"/>
        <v>0</v>
      </c>
      <c r="AX52" s="55">
        <f ca="1">IFERROR(__xludf.DUMMYFUNCTION("IMPORTRANGE(""https://docs.google.com/spreadsheets/d/1XL5vhW3sbDhbH9Cz0tuDiY8C3ctxq1tqvaCgkFb8cCA/edit?usp=sharing"",""อุดรธานี!J395"")"),0)</f>
        <v>0</v>
      </c>
      <c r="AY52" s="55">
        <f ca="1">IFERROR(__xludf.DUMMYFUNCTION("IMPORTRANGE(""https://docs.google.com/spreadsheets/d/1XL5vhW3sbDhbH9Cz0tuDiY8C3ctxq1tqvaCgkFb8cCA/edit?usp=sharing"",""อุดรธานี!J396"")"),0)</f>
        <v>0</v>
      </c>
      <c r="AZ52" s="55">
        <f ca="1">IFERROR(__xludf.DUMMYFUNCTION("IMPORTRANGE(""https://docs.google.com/spreadsheets/d/1XL5vhW3sbDhbH9Cz0tuDiY8C3ctxq1tqvaCgkFb8cCA/edit?usp=sharing"",""อุดรธานี!J397"")"),0)</f>
        <v>0</v>
      </c>
      <c r="BA52" s="55">
        <f ca="1">IFERROR(__xludf.DUMMYFUNCTION("IMPORTRANGE(""https://docs.google.com/spreadsheets/d/1XL5vhW3sbDhbH9Cz0tuDiY8C3ctxq1tqvaCgkFb8cCA/edit?usp=sharing"",""อุดรธานี!J398"")"),0)</f>
        <v>0</v>
      </c>
      <c r="BB52" s="55">
        <f ca="1">IFERROR(__xludf.DUMMYFUNCTION("IMPORTRANGE(""https://docs.google.com/spreadsheets/d/1XL5vhW3sbDhbH9Cz0tuDiY8C3ctxq1tqvaCgkFb8cCA/edit?usp=sharing"",""อุดรธานี!J399"")"),0)</f>
        <v>0</v>
      </c>
      <c r="BC52" s="55">
        <f ca="1">IFERROR(__xludf.DUMMYFUNCTION("IMPORTRANGE(""https://docs.google.com/spreadsheets/d/1XL5vhW3sbDhbH9Cz0tuDiY8C3ctxq1tqvaCgkFb8cCA/edit?usp=sharing"",""อุดรธานี!J400"")"),0)</f>
        <v>0</v>
      </c>
      <c r="BD52" s="55">
        <f ca="1">IFERROR(__xludf.DUMMYFUNCTION("IMPORTRANGE(""https://docs.google.com/spreadsheets/d/1XL5vhW3sbDhbH9Cz0tuDiY8C3ctxq1tqvaCgkFb8cCA/edit?usp=sharing"",""อุดรธานี!J403"")"),0)</f>
        <v>0</v>
      </c>
      <c r="BE52" s="55">
        <f ca="1">IFERROR(__xludf.DUMMYFUNCTION("IMPORTRANGE(""https://docs.google.com/spreadsheets/d/1XL5vhW3sbDhbH9Cz0tuDiY8C3ctxq1tqvaCgkFb8cCA/edit?usp=sharing"",""อุดรธานี!J404"")"),0)</f>
        <v>0</v>
      </c>
      <c r="BF52" s="55">
        <f ca="1">IFERROR(__xludf.DUMMYFUNCTION("IMPORTRANGE(""https://docs.google.com/spreadsheets/d/1XL5vhW3sbDhbH9Cz0tuDiY8C3ctxq1tqvaCgkFb8cCA/edit?usp=sharing"",""อุดรธานี!J405"")"),0)</f>
        <v>0</v>
      </c>
      <c r="BG52" s="55">
        <f ca="1">IFERROR(__xludf.DUMMYFUNCTION("IMPORTRANGE(""https://docs.google.com/spreadsheets/d/1XL5vhW3sbDhbH9Cz0tuDiY8C3ctxq1tqvaCgkFb8cCA/edit?usp=sharing"",""อุดรธานี!J406"")"),0)</f>
        <v>0</v>
      </c>
      <c r="BH52" s="55">
        <f ca="1">IFERROR(__xludf.DUMMYFUNCTION("IMPORTRANGE(""https://docs.google.com/spreadsheets/d/1XL5vhW3sbDhbH9Cz0tuDiY8C3ctxq1tqvaCgkFb8cCA/edit?usp=sharing"",""อุดรธานี!J407"")"),0)</f>
        <v>0</v>
      </c>
      <c r="BI52" s="55">
        <f ca="1">IFERROR(__xludf.DUMMYFUNCTION("IMPORTRANGE(""https://docs.google.com/spreadsheets/d/1XL5vhW3sbDhbH9Cz0tuDiY8C3ctxq1tqvaCgkFb8cCA/edit?usp=sharing"",""อุดรธานี!J408"")"),0)</f>
        <v>0</v>
      </c>
      <c r="BJ52" s="402">
        <v>30344</v>
      </c>
      <c r="BK52" s="402">
        <v>2438</v>
      </c>
      <c r="BL52" s="402">
        <f t="shared" ca="1" si="91"/>
        <v>0</v>
      </c>
      <c r="BM52" s="403">
        <f t="shared" ca="1" si="15"/>
        <v>0</v>
      </c>
      <c r="BN52" s="402">
        <f t="shared" ca="1" si="92"/>
        <v>0</v>
      </c>
      <c r="BO52" s="403">
        <f t="shared" ca="1" si="16"/>
        <v>0</v>
      </c>
      <c r="BP52" s="55">
        <f ca="1">IFERROR(__xludf.DUMMYFUNCTION("IMPORTRANGE(""https://docs.google.com/spreadsheets/d/1XL5vhW3sbDhbH9Cz0tuDiY8C3ctxq1tqvaCgkFb8cCA/edit?usp=sharing"",""อุดรธานี!J412"")"),0)</f>
        <v>0</v>
      </c>
      <c r="BQ52" s="55">
        <f ca="1">IFERROR(__xludf.DUMMYFUNCTION("IMPORTRANGE(""https://docs.google.com/spreadsheets/d/1XL5vhW3sbDhbH9Cz0tuDiY8C3ctxq1tqvaCgkFb8cCA/edit?usp=sharing"",""อุดรธานี!J413"")"),0)</f>
        <v>0</v>
      </c>
      <c r="BR52" s="55">
        <f ca="1">IFERROR(__xludf.DUMMYFUNCTION("IMPORTRANGE(""https://docs.google.com/spreadsheets/d/1XL5vhW3sbDhbH9Cz0tuDiY8C3ctxq1tqvaCgkFb8cCA/edit?usp=sharing"",""อุดรธานี!J414"")"),0)</f>
        <v>0</v>
      </c>
      <c r="BS52" s="55">
        <f ca="1">IFERROR(__xludf.DUMMYFUNCTION("IMPORTRANGE(""https://docs.google.com/spreadsheets/d/1XL5vhW3sbDhbH9Cz0tuDiY8C3ctxq1tqvaCgkFb8cCA/edit?usp=sharing"",""อุดรธานี!J415"")"),0)</f>
        <v>0</v>
      </c>
      <c r="BT52" s="55">
        <f ca="1">IFERROR(__xludf.DUMMYFUNCTION("IMPORTRANGE(""https://docs.google.com/spreadsheets/d/1XL5vhW3sbDhbH9Cz0tuDiY8C3ctxq1tqvaCgkFb8cCA/edit?usp=sharing"",""อุดรธานี!J416"")"),0)</f>
        <v>0</v>
      </c>
      <c r="BU52" s="55">
        <f ca="1">IFERROR(__xludf.DUMMYFUNCTION("IMPORTRANGE(""https://docs.google.com/spreadsheets/d/1XL5vhW3sbDhbH9Cz0tuDiY8C3ctxq1tqvaCgkFb8cCA/edit?usp=sharing"",""อุดรธานี!J417"")"),0)</f>
        <v>0</v>
      </c>
      <c r="BV52" s="402">
        <f t="shared" ca="1" si="93"/>
        <v>0</v>
      </c>
      <c r="BW52" s="403">
        <f t="shared" ca="1" si="94"/>
        <v>0</v>
      </c>
      <c r="BX52" s="402">
        <f t="shared" ca="1" si="95"/>
        <v>0</v>
      </c>
      <c r="BY52" s="403">
        <f t="shared" ca="1" si="96"/>
        <v>0</v>
      </c>
      <c r="BZ52" s="55">
        <f ca="1">IFERROR(__xludf.DUMMYFUNCTION("IMPORTRANGE(""https://docs.google.com/spreadsheets/d/1XL5vhW3sbDhbH9Cz0tuDiY8C3ctxq1tqvaCgkFb8cCA/edit?usp=sharing"",""อุดรธานี!J420"")"),0)</f>
        <v>0</v>
      </c>
      <c r="CA52" s="55">
        <f ca="1">IFERROR(__xludf.DUMMYFUNCTION("IMPORTRANGE(""https://docs.google.com/spreadsheets/d/1XL5vhW3sbDhbH9Cz0tuDiY8C3ctxq1tqvaCgkFb8cCA/edit?usp=sharing"",""อุดรธานี!J421"")"),0)</f>
        <v>0</v>
      </c>
      <c r="CB52" s="55">
        <f ca="1">IFERROR(__xludf.DUMMYFUNCTION("IMPORTRANGE(""https://docs.google.com/spreadsheets/d/1XL5vhW3sbDhbH9Cz0tuDiY8C3ctxq1tqvaCgkFb8cCA/edit?usp=sharing"",""อุดรธานี!J422"")"),0)</f>
        <v>0</v>
      </c>
      <c r="CC52" s="55">
        <f ca="1">IFERROR(__xludf.DUMMYFUNCTION("IMPORTRANGE(""https://docs.google.com/spreadsheets/d/1XL5vhW3sbDhbH9Cz0tuDiY8C3ctxq1tqvaCgkFb8cCA/edit?usp=sharing"",""อุดรธานี!J423"")"),0)</f>
        <v>0</v>
      </c>
      <c r="CD52" s="55">
        <f ca="1">IFERROR(__xludf.DUMMYFUNCTION("IMPORTRANGE(""https://docs.google.com/spreadsheets/d/1XL5vhW3sbDhbH9Cz0tuDiY8C3ctxq1tqvaCgkFb8cCA/edit?usp=sharing"",""อุดรธานี!J424"")"),0)</f>
        <v>0</v>
      </c>
      <c r="CE52" s="422">
        <f ca="1">IFERROR(__xludf.DUMMYFUNCTION("IMPORTRANGE(""https://docs.google.com/spreadsheets/d/1XL5vhW3sbDhbH9Cz0tuDiY8C3ctxq1tqvaCgkFb8cCA/edit?usp=sharing"",""อุดรธานี!J425"")"),0)</f>
        <v>0</v>
      </c>
    </row>
    <row r="53" spans="1:83" ht="24" customHeight="1" x14ac:dyDescent="0.5">
      <c r="A53" s="278">
        <v>20</v>
      </c>
      <c r="B53" s="279" t="s">
        <v>68</v>
      </c>
      <c r="C53" s="404">
        <f t="shared" si="82"/>
        <v>519374.6</v>
      </c>
      <c r="D53" s="62">
        <v>0</v>
      </c>
      <c r="E53" s="405">
        <v>519374.6</v>
      </c>
      <c r="F53" s="100">
        <f ca="1">IFERROR(__xludf.DUMMYFUNCTION("IMPORTRANGE(""https://docs.google.com/spreadsheets/d/1XL5vhW3sbDhbH9Cz0tuDiY8C3ctxq1tqvaCgkFb8cCA/edit?usp=sharing"",""อุบลราชธานี!M352"")"),9935)</f>
        <v>9935</v>
      </c>
      <c r="G53" s="100">
        <f t="shared" ca="1" si="1"/>
        <v>1.9128775261631972</v>
      </c>
      <c r="H53" s="64">
        <v>42047</v>
      </c>
      <c r="I53" s="64">
        <v>5816</v>
      </c>
      <c r="J53" s="62">
        <f t="shared" ca="1" si="83"/>
        <v>0</v>
      </c>
      <c r="K53" s="100">
        <f t="shared" ca="1" si="3"/>
        <v>0</v>
      </c>
      <c r="L53" s="62">
        <f t="shared" ca="1" si="84"/>
        <v>0</v>
      </c>
      <c r="M53" s="100">
        <f t="shared" ca="1" si="4"/>
        <v>0</v>
      </c>
      <c r="N53" s="62">
        <f ca="1">IFERROR(__xludf.DUMMYFUNCTION("IMPORTRANGE(""https://docs.google.com/spreadsheets/d/1XL5vhW3sbDhbH9Cz0tuDiY8C3ctxq1tqvaCgkFb8cCA/edit?usp=sharing"",""อุบลราชธานี!J362"")"),0)</f>
        <v>0</v>
      </c>
      <c r="O53" s="62">
        <f ca="1">IFERROR(__xludf.DUMMYFUNCTION("IMPORTRANGE(""https://docs.google.com/spreadsheets/d/1XL5vhW3sbDhbH9Cz0tuDiY8C3ctxq1tqvaCgkFb8cCA/edit?usp=sharing"",""อุบลราชธานี!J363"")"),0)</f>
        <v>0</v>
      </c>
      <c r="P53" s="62">
        <f ca="1">IFERROR(__xludf.DUMMYFUNCTION("IMPORTRANGE(""https://docs.google.com/spreadsheets/d/1XL5vhW3sbDhbH9Cz0tuDiY8C3ctxq1tqvaCgkFb8cCA/edit?usp=sharing"",""อุบลราชธานี!J364"")"),0)</f>
        <v>0</v>
      </c>
      <c r="Q53" s="62">
        <f ca="1">IFERROR(__xludf.DUMMYFUNCTION("IMPORTRANGE(""https://docs.google.com/spreadsheets/d/1XL5vhW3sbDhbH9Cz0tuDiY8C3ctxq1tqvaCgkFb8cCA/edit?usp=sharing"",""อุบลราชธานี!J365"")"),0)</f>
        <v>0</v>
      </c>
      <c r="R53" s="62">
        <f ca="1">IFERROR(__xludf.DUMMYFUNCTION("IMPORTRANGE(""https://docs.google.com/spreadsheets/d/1XL5vhW3sbDhbH9Cz0tuDiY8C3ctxq1tqvaCgkFb8cCA/edit?usp=sharing"",""อุบลราชธานี!J366"")"),0)</f>
        <v>0</v>
      </c>
      <c r="S53" s="62">
        <f ca="1">IFERROR(__xludf.DUMMYFUNCTION("IMPORTRANGE(""https://docs.google.com/spreadsheets/d/1XL5vhW3sbDhbH9Cz0tuDiY8C3ctxq1tqvaCgkFb8cCA/edit?usp=sharing"",""อุบลราชธานี!J367"")"),0)</f>
        <v>0</v>
      </c>
      <c r="T53" s="62">
        <f t="shared" ca="1" si="85"/>
        <v>0</v>
      </c>
      <c r="U53" s="62">
        <f t="shared" ca="1" si="6"/>
        <v>0</v>
      </c>
      <c r="V53" s="62">
        <f t="shared" ca="1" si="86"/>
        <v>0</v>
      </c>
      <c r="W53" s="62">
        <f t="shared" ca="1" si="7"/>
        <v>0</v>
      </c>
      <c r="X53" s="62">
        <f ca="1">IFERROR(__xludf.DUMMYFUNCTION("IMPORTRANGE(""https://docs.google.com/spreadsheets/d/1XL5vhW3sbDhbH9Cz0tuDiY8C3ctxq1tqvaCgkFb8cCA/edit?usp=sharing"",""อุบลราชธานี!J370"")"),0)</f>
        <v>0</v>
      </c>
      <c r="Y53" s="62">
        <f ca="1">IFERROR(__xludf.DUMMYFUNCTION("IMPORTRANGE(""https://docs.google.com/spreadsheets/d/1XL5vhW3sbDhbH9Cz0tuDiY8C3ctxq1tqvaCgkFb8cCA/edit?usp=sharing"",""อุบลราชธานี!J371"")"),0)</f>
        <v>0</v>
      </c>
      <c r="Z53" s="62">
        <f ca="1">IFERROR(__xludf.DUMMYFUNCTION("IMPORTRANGE(""https://docs.google.com/spreadsheets/d/1XL5vhW3sbDhbH9Cz0tuDiY8C3ctxq1tqvaCgkFb8cCA/edit?usp=sharing"",""อุบลราชธานี!J372"")"),0)</f>
        <v>0</v>
      </c>
      <c r="AA53" s="62">
        <f ca="1">IFERROR(__xludf.DUMMYFUNCTION("IMPORTRANGE(""https://docs.google.com/spreadsheets/d/1XL5vhW3sbDhbH9Cz0tuDiY8C3ctxq1tqvaCgkFb8cCA/edit?usp=sharing"",""อุบลราชธานี!J373"")"),0)</f>
        <v>0</v>
      </c>
      <c r="AB53" s="62">
        <f ca="1">IFERROR(__xludf.DUMMYFUNCTION("IMPORTRANGE(""https://docs.google.com/spreadsheets/d/1XL5vhW3sbDhbH9Cz0tuDiY8C3ctxq1tqvaCgkFb8cCA/edit?usp=sharing"",""อุบลราชธานี!J374"")"),0)</f>
        <v>0</v>
      </c>
      <c r="AC53" s="62">
        <f ca="1">IFERROR(__xludf.DUMMYFUNCTION("IMPORTRANGE(""https://docs.google.com/spreadsheets/d/1XL5vhW3sbDhbH9Cz0tuDiY8C3ctxq1tqvaCgkFb8cCA/edit?usp=sharing"",""อุบลราชธานี!J375"")"),0)</f>
        <v>0</v>
      </c>
      <c r="AD53" s="62">
        <f t="shared" ca="1" si="87"/>
        <v>0</v>
      </c>
      <c r="AE53" s="100">
        <f t="shared" ca="1" si="9"/>
        <v>0</v>
      </c>
      <c r="AF53" s="62">
        <f t="shared" ca="1" si="88"/>
        <v>0</v>
      </c>
      <c r="AG53" s="100">
        <f t="shared" ca="1" si="10"/>
        <v>0</v>
      </c>
      <c r="AH53" s="62">
        <f ca="1">IFERROR(__xludf.DUMMYFUNCTION("IMPORTRANGE(""https://docs.google.com/spreadsheets/d/1XL5vhW3sbDhbH9Cz0tuDiY8C3ctxq1tqvaCgkFb8cCA/edit?usp=sharing"",""อุบลราชธานี!J378"")"),0)</f>
        <v>0</v>
      </c>
      <c r="AI53" s="62">
        <f ca="1">IFERROR(__xludf.DUMMYFUNCTION("IMPORTRANGE(""https://docs.google.com/spreadsheets/d/1XL5vhW3sbDhbH9Cz0tuDiY8C3ctxq1tqvaCgkFb8cCA/edit?usp=sharing"",""อุบลราชธานี!J379"")"),0)</f>
        <v>0</v>
      </c>
      <c r="AJ53" s="62">
        <f ca="1">IFERROR(__xludf.DUMMYFUNCTION("IMPORTRANGE(""https://docs.google.com/spreadsheets/d/1XL5vhW3sbDhbH9Cz0tuDiY8C3ctxq1tqvaCgkFb8cCA/edit?usp=sharing"",""อุบลราชธานี!J380"")"),0)</f>
        <v>0</v>
      </c>
      <c r="AK53" s="62">
        <f ca="1">IFERROR(__xludf.DUMMYFUNCTION("IMPORTRANGE(""https://docs.google.com/spreadsheets/d/1XL5vhW3sbDhbH9Cz0tuDiY8C3ctxq1tqvaCgkFb8cCA/edit?usp=sharing"",""อุบลราชธานี!J381"")"),0)</f>
        <v>0</v>
      </c>
      <c r="AL53" s="62">
        <f ca="1">IFERROR(__xludf.DUMMYFUNCTION("IMPORTRANGE(""https://docs.google.com/spreadsheets/d/1XL5vhW3sbDhbH9Cz0tuDiY8C3ctxq1tqvaCgkFb8cCA/edit?usp=sharing"",""อุบลราชธานี!J384"")"),0)</f>
        <v>0</v>
      </c>
      <c r="AM53" s="62">
        <f ca="1">IFERROR(__xludf.DUMMYFUNCTION("IMPORTRANGE(""https://docs.google.com/spreadsheets/d/1XL5vhW3sbDhbH9Cz0tuDiY8C3ctxq1tqvaCgkFb8cCA/edit?usp=sharing"",""อุบลราชธานี!J385"")"),0)</f>
        <v>0</v>
      </c>
      <c r="AN53" s="62">
        <f ca="1">IFERROR(__xludf.DUMMYFUNCTION("IMPORTRANGE(""https://docs.google.com/spreadsheets/d/1XL5vhW3sbDhbH9Cz0tuDiY8C3ctxq1tqvaCgkFb8cCA/edit?usp=sharing"",""อุบลราชธานี!J386"")"),0)</f>
        <v>0</v>
      </c>
      <c r="AO53" s="62">
        <f ca="1">IFERROR(__xludf.DUMMYFUNCTION("IMPORTRANGE(""https://docs.google.com/spreadsheets/d/1XL5vhW3sbDhbH9Cz0tuDiY8C3ctxq1tqvaCgkFb8cCA/edit?usp=sharing"",""อุบลราชธานี!J387"")"),0)</f>
        <v>0</v>
      </c>
      <c r="AP53" s="62">
        <f ca="1">IFERROR(__xludf.DUMMYFUNCTION("IMPORTRANGE(""https://docs.google.com/spreadsheets/d/1XL5vhW3sbDhbH9Cz0tuDiY8C3ctxq1tqvaCgkFb8cCA/edit?usp=sharing"",""อุบลราชธานี!J388"")"),0)</f>
        <v>0</v>
      </c>
      <c r="AQ53" s="62">
        <f ca="1">IFERROR(__xludf.DUMMYFUNCTION("IMPORTRANGE(""https://docs.google.com/spreadsheets/d/1XL5vhW3sbDhbH9Cz0tuDiY8C3ctxq1tqvaCgkFb8cCA/edit?usp=sharing"",""อุบลราชธานี!J389"")"),0)</f>
        <v>0</v>
      </c>
      <c r="AR53" s="406">
        <v>375</v>
      </c>
      <c r="AS53" s="406">
        <v>2175</v>
      </c>
      <c r="AT53" s="406">
        <f t="shared" ca="1" si="89"/>
        <v>0</v>
      </c>
      <c r="AU53" s="406">
        <f t="shared" ca="1" si="12"/>
        <v>0</v>
      </c>
      <c r="AV53" s="406">
        <f t="shared" ca="1" si="90"/>
        <v>0</v>
      </c>
      <c r="AW53" s="406">
        <f t="shared" ca="1" si="13"/>
        <v>0</v>
      </c>
      <c r="AX53" s="62">
        <f ca="1">IFERROR(__xludf.DUMMYFUNCTION("IMPORTRANGE(""https://docs.google.com/spreadsheets/d/1XL5vhW3sbDhbH9Cz0tuDiY8C3ctxq1tqvaCgkFb8cCA/edit?usp=sharing"",""อุบลราชธานี!J395"")"),0)</f>
        <v>0</v>
      </c>
      <c r="AY53" s="62">
        <f ca="1">IFERROR(__xludf.DUMMYFUNCTION("IMPORTRANGE(""https://docs.google.com/spreadsheets/d/1XL5vhW3sbDhbH9Cz0tuDiY8C3ctxq1tqvaCgkFb8cCA/edit?usp=sharing"",""อุบลราชธานี!J396"")"),0)</f>
        <v>0</v>
      </c>
      <c r="AZ53" s="62">
        <f ca="1">IFERROR(__xludf.DUMMYFUNCTION("IMPORTRANGE(""https://docs.google.com/spreadsheets/d/1XL5vhW3sbDhbH9Cz0tuDiY8C3ctxq1tqvaCgkFb8cCA/edit?usp=sharing"",""อุบลราชธานี!J397"")"),0)</f>
        <v>0</v>
      </c>
      <c r="BA53" s="62">
        <f ca="1">IFERROR(__xludf.DUMMYFUNCTION("IMPORTRANGE(""https://docs.google.com/spreadsheets/d/1XL5vhW3sbDhbH9Cz0tuDiY8C3ctxq1tqvaCgkFb8cCA/edit?usp=sharing"",""อุบลราชธานี!J398"")"),0)</f>
        <v>0</v>
      </c>
      <c r="BB53" s="62">
        <f ca="1">IFERROR(__xludf.DUMMYFUNCTION("IMPORTRANGE(""https://docs.google.com/spreadsheets/d/1XL5vhW3sbDhbH9Cz0tuDiY8C3ctxq1tqvaCgkFb8cCA/edit?usp=sharing"",""อุบลราชธานี!J399"")"),0)</f>
        <v>0</v>
      </c>
      <c r="BC53" s="62">
        <f ca="1">IFERROR(__xludf.DUMMYFUNCTION("IMPORTRANGE(""https://docs.google.com/spreadsheets/d/1XL5vhW3sbDhbH9Cz0tuDiY8C3ctxq1tqvaCgkFb8cCA/edit?usp=sharing"",""อุบลราชธานี!J400"")"),0)</f>
        <v>0</v>
      </c>
      <c r="BD53" s="62">
        <f ca="1">IFERROR(__xludf.DUMMYFUNCTION("IMPORTRANGE(""https://docs.google.com/spreadsheets/d/1XL5vhW3sbDhbH9Cz0tuDiY8C3ctxq1tqvaCgkFb8cCA/edit?usp=sharing"",""อุบลราชธานี!J403"")"),0)</f>
        <v>0</v>
      </c>
      <c r="BE53" s="62">
        <f ca="1">IFERROR(__xludf.DUMMYFUNCTION("IMPORTRANGE(""https://docs.google.com/spreadsheets/d/1XL5vhW3sbDhbH9Cz0tuDiY8C3ctxq1tqvaCgkFb8cCA/edit?usp=sharing"",""อุบลราชธานี!J404"")"),0)</f>
        <v>0</v>
      </c>
      <c r="BF53" s="62">
        <f ca="1">IFERROR(__xludf.DUMMYFUNCTION("IMPORTRANGE(""https://docs.google.com/spreadsheets/d/1XL5vhW3sbDhbH9Cz0tuDiY8C3ctxq1tqvaCgkFb8cCA/edit?usp=sharing"",""อุบลราชธานี!J405"")"),0)</f>
        <v>0</v>
      </c>
      <c r="BG53" s="62">
        <f ca="1">IFERROR(__xludf.DUMMYFUNCTION("IMPORTRANGE(""https://docs.google.com/spreadsheets/d/1XL5vhW3sbDhbH9Cz0tuDiY8C3ctxq1tqvaCgkFb8cCA/edit?usp=sharing"",""อุบลราชธานี!J406"")"),0)</f>
        <v>0</v>
      </c>
      <c r="BH53" s="62">
        <f ca="1">IFERROR(__xludf.DUMMYFUNCTION("IMPORTRANGE(""https://docs.google.com/spreadsheets/d/1XL5vhW3sbDhbH9Cz0tuDiY8C3ctxq1tqvaCgkFb8cCA/edit?usp=sharing"",""อุบลราชธานี!J407"")"),0)</f>
        <v>0</v>
      </c>
      <c r="BI53" s="62">
        <f ca="1">IFERROR(__xludf.DUMMYFUNCTION("IMPORTRANGE(""https://docs.google.com/spreadsheets/d/1XL5vhW3sbDhbH9Cz0tuDiY8C3ctxq1tqvaCgkFb8cCA/edit?usp=sharing"",""อุบลราชธานี!J408"")"),0)</f>
        <v>0</v>
      </c>
      <c r="BJ53" s="406">
        <v>42047</v>
      </c>
      <c r="BK53" s="406">
        <v>5816</v>
      </c>
      <c r="BL53" s="406">
        <f t="shared" ca="1" si="91"/>
        <v>0</v>
      </c>
      <c r="BM53" s="407">
        <f t="shared" ca="1" si="15"/>
        <v>0</v>
      </c>
      <c r="BN53" s="406">
        <f t="shared" ca="1" si="92"/>
        <v>0</v>
      </c>
      <c r="BO53" s="407">
        <f t="shared" ca="1" si="16"/>
        <v>0</v>
      </c>
      <c r="BP53" s="62">
        <f ca="1">IFERROR(__xludf.DUMMYFUNCTION("IMPORTRANGE(""https://docs.google.com/spreadsheets/d/1XL5vhW3sbDhbH9Cz0tuDiY8C3ctxq1tqvaCgkFb8cCA/edit?usp=sharing"",""อุบลราชธานี!J412"")"),0)</f>
        <v>0</v>
      </c>
      <c r="BQ53" s="62">
        <f ca="1">IFERROR(__xludf.DUMMYFUNCTION("IMPORTRANGE(""https://docs.google.com/spreadsheets/d/1XL5vhW3sbDhbH9Cz0tuDiY8C3ctxq1tqvaCgkFb8cCA/edit?usp=sharing"",""อุบลราชธานี!J413"")"),0)</f>
        <v>0</v>
      </c>
      <c r="BR53" s="62">
        <f ca="1">IFERROR(__xludf.DUMMYFUNCTION("IMPORTRANGE(""https://docs.google.com/spreadsheets/d/1XL5vhW3sbDhbH9Cz0tuDiY8C3ctxq1tqvaCgkFb8cCA/edit?usp=sharing"",""อุบลราชธานี!J414"")"),0)</f>
        <v>0</v>
      </c>
      <c r="BS53" s="62">
        <f ca="1">IFERROR(__xludf.DUMMYFUNCTION("IMPORTRANGE(""https://docs.google.com/spreadsheets/d/1XL5vhW3sbDhbH9Cz0tuDiY8C3ctxq1tqvaCgkFb8cCA/edit?usp=sharing"",""อุบลราชธานี!J415"")"),0)</f>
        <v>0</v>
      </c>
      <c r="BT53" s="62">
        <f ca="1">IFERROR(__xludf.DUMMYFUNCTION("IMPORTRANGE(""https://docs.google.com/spreadsheets/d/1XL5vhW3sbDhbH9Cz0tuDiY8C3ctxq1tqvaCgkFb8cCA/edit?usp=sharing"",""อุบลราชธานี!J416"")"),0)</f>
        <v>0</v>
      </c>
      <c r="BU53" s="62">
        <f ca="1">IFERROR(__xludf.DUMMYFUNCTION("IMPORTRANGE(""https://docs.google.com/spreadsheets/d/1XL5vhW3sbDhbH9Cz0tuDiY8C3ctxq1tqvaCgkFb8cCA/edit?usp=sharing"",""อุบลราชธานี!J417"")"),0)</f>
        <v>0</v>
      </c>
      <c r="BV53" s="406">
        <f t="shared" ca="1" si="93"/>
        <v>0</v>
      </c>
      <c r="BW53" s="407">
        <f t="shared" ca="1" si="94"/>
        <v>0</v>
      </c>
      <c r="BX53" s="406">
        <f t="shared" ca="1" si="95"/>
        <v>0</v>
      </c>
      <c r="BY53" s="407">
        <f t="shared" ca="1" si="96"/>
        <v>0</v>
      </c>
      <c r="BZ53" s="62">
        <f ca="1">IFERROR(__xludf.DUMMYFUNCTION("IMPORTRANGE(""https://docs.google.com/spreadsheets/d/1XL5vhW3sbDhbH9Cz0tuDiY8C3ctxq1tqvaCgkFb8cCA/edit?usp=sharing"",""อุบลราชธานี!J420"")"),0)</f>
        <v>0</v>
      </c>
      <c r="CA53" s="62">
        <f ca="1">IFERROR(__xludf.DUMMYFUNCTION("IMPORTRANGE(""https://docs.google.com/spreadsheets/d/1XL5vhW3sbDhbH9Cz0tuDiY8C3ctxq1tqvaCgkFb8cCA/edit?usp=sharing"",""อุบลราชธานี!J421"")"),0)</f>
        <v>0</v>
      </c>
      <c r="CB53" s="62">
        <f ca="1">IFERROR(__xludf.DUMMYFUNCTION("IMPORTRANGE(""https://docs.google.com/spreadsheets/d/1XL5vhW3sbDhbH9Cz0tuDiY8C3ctxq1tqvaCgkFb8cCA/edit?usp=sharing"",""อุบลราชธานี!J422"")"),0)</f>
        <v>0</v>
      </c>
      <c r="CC53" s="62">
        <f ca="1">IFERROR(__xludf.DUMMYFUNCTION("IMPORTRANGE(""https://docs.google.com/spreadsheets/d/1XL5vhW3sbDhbH9Cz0tuDiY8C3ctxq1tqvaCgkFb8cCA/edit?usp=sharing"",""อุบลราชธานี!J423"")"),0)</f>
        <v>0</v>
      </c>
      <c r="CD53" s="62">
        <f ca="1">IFERROR(__xludf.DUMMYFUNCTION("IMPORTRANGE(""https://docs.google.com/spreadsheets/d/1XL5vhW3sbDhbH9Cz0tuDiY8C3ctxq1tqvaCgkFb8cCA/edit?usp=sharing"",""อุบลราชธานี!J424"")"),0)</f>
        <v>0</v>
      </c>
      <c r="CE53" s="424">
        <f ca="1">IFERROR(__xludf.DUMMYFUNCTION("IMPORTRANGE(""https://docs.google.com/spreadsheets/d/1XL5vhW3sbDhbH9Cz0tuDiY8C3ctxq1tqvaCgkFb8cCA/edit?usp=sharing"",""อุบลราชธานี!J425"")"),0)</f>
        <v>0</v>
      </c>
    </row>
    <row r="54" spans="1:83" ht="24" customHeight="1" x14ac:dyDescent="0.5">
      <c r="A54" s="779" t="s">
        <v>69</v>
      </c>
      <c r="B54" s="569"/>
      <c r="C54" s="394">
        <f t="shared" ref="C54:F54" si="97">SUM(C55:C75)</f>
        <v>5513964.7300000004</v>
      </c>
      <c r="D54" s="66">
        <f t="shared" si="97"/>
        <v>0</v>
      </c>
      <c r="E54" s="395">
        <f t="shared" si="97"/>
        <v>5513964.7300000004</v>
      </c>
      <c r="F54" s="101">
        <f t="shared" ca="1" si="97"/>
        <v>10838.73</v>
      </c>
      <c r="G54" s="101">
        <f t="shared" ca="1" si="1"/>
        <v>0.1965687219765731</v>
      </c>
      <c r="H54" s="66">
        <f t="shared" ref="H54:J54" si="98">SUM(H55:H75)</f>
        <v>537650</v>
      </c>
      <c r="I54" s="66">
        <f t="shared" si="98"/>
        <v>45637</v>
      </c>
      <c r="J54" s="66">
        <f t="shared" ca="1" si="98"/>
        <v>0</v>
      </c>
      <c r="K54" s="101">
        <f t="shared" ca="1" si="3"/>
        <v>0</v>
      </c>
      <c r="L54" s="66">
        <f ca="1">SUM(L55:L75)</f>
        <v>0</v>
      </c>
      <c r="M54" s="101">
        <f t="shared" ca="1" si="4"/>
        <v>0</v>
      </c>
      <c r="N54" s="66">
        <f t="shared" ref="N54:T54" ca="1" si="99">SUM(N55:N75)</f>
        <v>0</v>
      </c>
      <c r="O54" s="66">
        <f t="shared" ca="1" si="99"/>
        <v>0</v>
      </c>
      <c r="P54" s="66">
        <f t="shared" ca="1" si="99"/>
        <v>0</v>
      </c>
      <c r="Q54" s="66">
        <f t="shared" ca="1" si="99"/>
        <v>0</v>
      </c>
      <c r="R54" s="66">
        <f t="shared" ca="1" si="99"/>
        <v>0</v>
      </c>
      <c r="S54" s="66">
        <f t="shared" ca="1" si="99"/>
        <v>0</v>
      </c>
      <c r="T54" s="66">
        <f t="shared" ca="1" si="99"/>
        <v>0</v>
      </c>
      <c r="U54" s="66">
        <f t="shared" ca="1" si="6"/>
        <v>0</v>
      </c>
      <c r="V54" s="66">
        <f ca="1">SUM(V55:V75)</f>
        <v>0</v>
      </c>
      <c r="W54" s="66">
        <f t="shared" ca="1" si="7"/>
        <v>0</v>
      </c>
      <c r="X54" s="66">
        <f t="shared" ref="X54:AD54" ca="1" si="100">SUM(X55:X75)</f>
        <v>0</v>
      </c>
      <c r="Y54" s="66">
        <f t="shared" ca="1" si="100"/>
        <v>0</v>
      </c>
      <c r="Z54" s="66">
        <f t="shared" ca="1" si="100"/>
        <v>0</v>
      </c>
      <c r="AA54" s="66">
        <f t="shared" ca="1" si="100"/>
        <v>0</v>
      </c>
      <c r="AB54" s="66">
        <f t="shared" ca="1" si="100"/>
        <v>0</v>
      </c>
      <c r="AC54" s="66">
        <f t="shared" ca="1" si="100"/>
        <v>0</v>
      </c>
      <c r="AD54" s="66">
        <f t="shared" ca="1" si="100"/>
        <v>0</v>
      </c>
      <c r="AE54" s="101">
        <f t="shared" ca="1" si="9"/>
        <v>0</v>
      </c>
      <c r="AF54" s="66">
        <f ca="1">SUM(AF55:AF75)</f>
        <v>0</v>
      </c>
      <c r="AG54" s="101">
        <f t="shared" ca="1" si="10"/>
        <v>0</v>
      </c>
      <c r="AH54" s="66">
        <f t="shared" ref="AH54:AT54" ca="1" si="101">SUM(AH55:AH75)</f>
        <v>0</v>
      </c>
      <c r="AI54" s="66">
        <f t="shared" ca="1" si="101"/>
        <v>0</v>
      </c>
      <c r="AJ54" s="66">
        <f t="shared" ca="1" si="101"/>
        <v>0</v>
      </c>
      <c r="AK54" s="66">
        <f t="shared" ca="1" si="101"/>
        <v>0</v>
      </c>
      <c r="AL54" s="66">
        <f t="shared" ca="1" si="101"/>
        <v>0</v>
      </c>
      <c r="AM54" s="66">
        <f t="shared" ca="1" si="101"/>
        <v>0</v>
      </c>
      <c r="AN54" s="66">
        <f t="shared" ca="1" si="101"/>
        <v>0</v>
      </c>
      <c r="AO54" s="66">
        <f t="shared" ca="1" si="101"/>
        <v>0</v>
      </c>
      <c r="AP54" s="66">
        <f t="shared" ca="1" si="101"/>
        <v>0</v>
      </c>
      <c r="AQ54" s="66">
        <f t="shared" ca="1" si="101"/>
        <v>0</v>
      </c>
      <c r="AR54" s="66">
        <f t="shared" si="101"/>
        <v>3650</v>
      </c>
      <c r="AS54" s="66">
        <f t="shared" si="101"/>
        <v>59971</v>
      </c>
      <c r="AT54" s="66">
        <f t="shared" ca="1" si="101"/>
        <v>201</v>
      </c>
      <c r="AU54" s="66">
        <f t="shared" ca="1" si="12"/>
        <v>5.506849315068493</v>
      </c>
      <c r="AV54" s="66">
        <f ca="1">SUM(AV55:AV75)</f>
        <v>12</v>
      </c>
      <c r="AW54" s="66">
        <f t="shared" ca="1" si="13"/>
        <v>2.000967134114822E-2</v>
      </c>
      <c r="AX54" s="66">
        <f t="shared" ref="AX54:BL54" ca="1" si="102">SUM(AX55:AX75)</f>
        <v>201</v>
      </c>
      <c r="AY54" s="66">
        <f t="shared" ca="1" si="102"/>
        <v>12</v>
      </c>
      <c r="AZ54" s="66">
        <f t="shared" ca="1" si="102"/>
        <v>0</v>
      </c>
      <c r="BA54" s="66">
        <f t="shared" ca="1" si="102"/>
        <v>0</v>
      </c>
      <c r="BB54" s="66">
        <f t="shared" ca="1" si="102"/>
        <v>0</v>
      </c>
      <c r="BC54" s="66">
        <f t="shared" ca="1" si="102"/>
        <v>0</v>
      </c>
      <c r="BD54" s="66">
        <f t="shared" ca="1" si="102"/>
        <v>0</v>
      </c>
      <c r="BE54" s="66">
        <f t="shared" ca="1" si="102"/>
        <v>0</v>
      </c>
      <c r="BF54" s="66">
        <f t="shared" ca="1" si="102"/>
        <v>0</v>
      </c>
      <c r="BG54" s="66">
        <f t="shared" ca="1" si="102"/>
        <v>0</v>
      </c>
      <c r="BH54" s="66">
        <f t="shared" ca="1" si="102"/>
        <v>0</v>
      </c>
      <c r="BI54" s="66">
        <f t="shared" ca="1" si="102"/>
        <v>0</v>
      </c>
      <c r="BJ54" s="66">
        <f t="shared" si="102"/>
        <v>537650</v>
      </c>
      <c r="BK54" s="66">
        <f t="shared" si="102"/>
        <v>45637</v>
      </c>
      <c r="BL54" s="66">
        <f t="shared" ca="1" si="102"/>
        <v>0</v>
      </c>
      <c r="BM54" s="101">
        <f t="shared" ca="1" si="15"/>
        <v>0</v>
      </c>
      <c r="BN54" s="66">
        <f ca="1">SUM(BN55:BN75)</f>
        <v>0</v>
      </c>
      <c r="BO54" s="101">
        <f t="shared" ca="1" si="16"/>
        <v>0</v>
      </c>
      <c r="BP54" s="66">
        <f t="shared" ref="BP54:BW54" ca="1" si="103">SUM(BP55:BP75)</f>
        <v>0</v>
      </c>
      <c r="BQ54" s="66">
        <f t="shared" ca="1" si="103"/>
        <v>0</v>
      </c>
      <c r="BR54" s="66">
        <f t="shared" ca="1" si="103"/>
        <v>0</v>
      </c>
      <c r="BS54" s="66">
        <f t="shared" ca="1" si="103"/>
        <v>0</v>
      </c>
      <c r="BT54" s="66">
        <f t="shared" ca="1" si="103"/>
        <v>0</v>
      </c>
      <c r="BU54" s="66">
        <f t="shared" ca="1" si="103"/>
        <v>0</v>
      </c>
      <c r="BV54" s="66">
        <f t="shared" ca="1" si="103"/>
        <v>0</v>
      </c>
      <c r="BW54" s="101">
        <f t="shared" ca="1" si="103"/>
        <v>0</v>
      </c>
      <c r="BX54" s="66"/>
      <c r="BY54" s="101"/>
      <c r="BZ54" s="66">
        <f t="shared" ref="BZ54:CE54" ca="1" si="104">SUM(BZ55:BZ75)</f>
        <v>0</v>
      </c>
      <c r="CA54" s="66">
        <f t="shared" ca="1" si="104"/>
        <v>0</v>
      </c>
      <c r="CB54" s="66">
        <f t="shared" ca="1" si="104"/>
        <v>0</v>
      </c>
      <c r="CC54" s="66">
        <f t="shared" ca="1" si="104"/>
        <v>0</v>
      </c>
      <c r="CD54" s="66">
        <f t="shared" ca="1" si="104"/>
        <v>0</v>
      </c>
      <c r="CE54" s="414">
        <f t="shared" ca="1" si="104"/>
        <v>0</v>
      </c>
    </row>
    <row r="55" spans="1:83" ht="24" customHeight="1" x14ac:dyDescent="0.5">
      <c r="A55" s="268">
        <v>1</v>
      </c>
      <c r="B55" s="269" t="s">
        <v>70</v>
      </c>
      <c r="C55" s="396">
        <f t="shared" ref="C55:C75" si="105">+D55+E55</f>
        <v>1031428.1</v>
      </c>
      <c r="D55" s="48">
        <v>0</v>
      </c>
      <c r="E55" s="397">
        <v>1031428.1</v>
      </c>
      <c r="F55" s="98">
        <f ca="1">IFERROR(__xludf.DUMMYFUNCTION("IMPORTRANGE(""https://docs.google.com/spreadsheets/d/1SX6NBoVAgQJ6U1MVXOaj8PK2l7WJ3RER9xtqwdhxkhw/edit?usp=sharing"",""กาญจนบุรี!M352"")"),0)</f>
        <v>0</v>
      </c>
      <c r="G55" s="98">
        <f t="shared" ca="1" si="1"/>
        <v>0</v>
      </c>
      <c r="H55" s="49">
        <v>180799</v>
      </c>
      <c r="I55" s="49">
        <v>13419</v>
      </c>
      <c r="J55" s="48">
        <f t="shared" ref="J55:J75" ca="1" si="106">SUM(N55,P55,R55)</f>
        <v>0</v>
      </c>
      <c r="K55" s="98">
        <f t="shared" ca="1" si="3"/>
        <v>0</v>
      </c>
      <c r="L55" s="48">
        <f t="shared" ref="L55:L75" ca="1" si="107">SUM(O55,Q55,S55)</f>
        <v>0</v>
      </c>
      <c r="M55" s="98">
        <f t="shared" ca="1" si="4"/>
        <v>0</v>
      </c>
      <c r="N55" s="48">
        <f ca="1">IFERROR(__xludf.DUMMYFUNCTION("IMPORTRANGE(""https://docs.google.com/spreadsheets/d/1SX6NBoVAgQJ6U1MVXOaj8PK2l7WJ3RER9xtqwdhxkhw/edit?usp=sharing"",""กาญจนบุรี!J362"")"),0)</f>
        <v>0</v>
      </c>
      <c r="O55" s="48">
        <f ca="1">IFERROR(__xludf.DUMMYFUNCTION("IMPORTRANGE(""https://docs.google.com/spreadsheets/d/1SX6NBoVAgQJ6U1MVXOaj8PK2l7WJ3RER9xtqwdhxkhw/edit?usp=sharing"",""กาญจนบุรี!J363"")"),0)</f>
        <v>0</v>
      </c>
      <c r="P55" s="48">
        <f ca="1">IFERROR(__xludf.DUMMYFUNCTION("IMPORTRANGE(""https://docs.google.com/spreadsheets/d/1SX6NBoVAgQJ6U1MVXOaj8PK2l7WJ3RER9xtqwdhxkhw/edit?usp=sharing"",""กาญจนบุรี!J364"")"),0)</f>
        <v>0</v>
      </c>
      <c r="Q55" s="48">
        <f ca="1">IFERROR(__xludf.DUMMYFUNCTION("IMPORTRANGE(""https://docs.google.com/spreadsheets/d/1SX6NBoVAgQJ6U1MVXOaj8PK2l7WJ3RER9xtqwdhxkhw/edit?usp=sharing"",""กาญจนบุรี!J365"")"),0)</f>
        <v>0</v>
      </c>
      <c r="R55" s="48">
        <f ca="1">IFERROR(__xludf.DUMMYFUNCTION("IMPORTRANGE(""https://docs.google.com/spreadsheets/d/1SX6NBoVAgQJ6U1MVXOaj8PK2l7WJ3RER9xtqwdhxkhw/edit?usp=sharing"",""กาญจนบุรี!J366"")"),0)</f>
        <v>0</v>
      </c>
      <c r="S55" s="48">
        <f ca="1">IFERROR(__xludf.DUMMYFUNCTION("IMPORTRANGE(""https://docs.google.com/spreadsheets/d/1SX6NBoVAgQJ6U1MVXOaj8PK2l7WJ3RER9xtqwdhxkhw/edit?usp=sharing"",""กาญจนบุรี!J367"")"),0)</f>
        <v>0</v>
      </c>
      <c r="T55" s="48">
        <f t="shared" ref="T55:T75" ca="1" si="108">SUM(X55,Z55,AB55)</f>
        <v>0</v>
      </c>
      <c r="U55" s="48">
        <f t="shared" ca="1" si="6"/>
        <v>0</v>
      </c>
      <c r="V55" s="48">
        <f t="shared" ref="V55:V75" ca="1" si="109">SUM(Y55,AA55,AC55)</f>
        <v>0</v>
      </c>
      <c r="W55" s="48">
        <f t="shared" ca="1" si="7"/>
        <v>0</v>
      </c>
      <c r="X55" s="48">
        <f ca="1">IFERROR(__xludf.DUMMYFUNCTION("IMPORTRANGE(""https://docs.google.com/spreadsheets/d/1SX6NBoVAgQJ6U1MVXOaj8PK2l7WJ3RER9xtqwdhxkhw/edit?usp=sharing"",""กาญจนบุรี!J370"")"),0)</f>
        <v>0</v>
      </c>
      <c r="Y55" s="48">
        <f ca="1">IFERROR(__xludf.DUMMYFUNCTION("IMPORTRANGE(""https://docs.google.com/spreadsheets/d/1SX6NBoVAgQJ6U1MVXOaj8PK2l7WJ3RER9xtqwdhxkhw/edit?usp=sharing"",""กาญจนบุรี!J371"")"),0)</f>
        <v>0</v>
      </c>
      <c r="Z55" s="48">
        <f ca="1">IFERROR(__xludf.DUMMYFUNCTION("IMPORTRANGE(""https://docs.google.com/spreadsheets/d/1SX6NBoVAgQJ6U1MVXOaj8PK2l7WJ3RER9xtqwdhxkhw/edit?usp=sharing"",""กาญจนบุรี!J372"")"),0)</f>
        <v>0</v>
      </c>
      <c r="AA55" s="48">
        <f ca="1">IFERROR(__xludf.DUMMYFUNCTION("IMPORTRANGE(""https://docs.google.com/spreadsheets/d/1SX6NBoVAgQJ6U1MVXOaj8PK2l7WJ3RER9xtqwdhxkhw/edit?usp=sharing"",""กาญจนบุรี!J373"")"),0)</f>
        <v>0</v>
      </c>
      <c r="AB55" s="48">
        <f ca="1">IFERROR(__xludf.DUMMYFUNCTION("IMPORTRANGE(""https://docs.google.com/spreadsheets/d/1SX6NBoVAgQJ6U1MVXOaj8PK2l7WJ3RER9xtqwdhxkhw/edit?usp=sharing"",""กาญจนบุรี!J374"")"),0)</f>
        <v>0</v>
      </c>
      <c r="AC55" s="48">
        <f ca="1">IFERROR(__xludf.DUMMYFUNCTION("IMPORTRANGE(""https://docs.google.com/spreadsheets/d/1SX6NBoVAgQJ6U1MVXOaj8PK2l7WJ3RER9xtqwdhxkhw/edit?usp=sharing"",""กาญจนบุรี!J375"")"),0)</f>
        <v>0</v>
      </c>
      <c r="AD55" s="48">
        <f t="shared" ref="AD55:AD75" ca="1" si="110">SUM(AH55,AJ55,AL55,AN55,AP55)</f>
        <v>0</v>
      </c>
      <c r="AE55" s="98">
        <f t="shared" ca="1" si="9"/>
        <v>0</v>
      </c>
      <c r="AF55" s="48">
        <f t="shared" ref="AF55:AF75" ca="1" si="111">SUM(AI55,AK55,AM55,AO55,AQ55)</f>
        <v>0</v>
      </c>
      <c r="AG55" s="98">
        <f t="shared" ca="1" si="10"/>
        <v>0</v>
      </c>
      <c r="AH55" s="48">
        <f ca="1">IFERROR(__xludf.DUMMYFUNCTION("IMPORTRANGE(""https://docs.google.com/spreadsheets/d/1SX6NBoVAgQJ6U1MVXOaj8PK2l7WJ3RER9xtqwdhxkhw/edit?usp=sharing"",""กาญจนบุรี!J378"")"),0)</f>
        <v>0</v>
      </c>
      <c r="AI55" s="48">
        <f ca="1">IFERROR(__xludf.DUMMYFUNCTION("IMPORTRANGE(""https://docs.google.com/spreadsheets/d/1SX6NBoVAgQJ6U1MVXOaj8PK2l7WJ3RER9xtqwdhxkhw/edit?usp=sharing"",""กาญจนบุรี!J379"")"),0)</f>
        <v>0</v>
      </c>
      <c r="AJ55" s="48">
        <f ca="1">IFERROR(__xludf.DUMMYFUNCTION("IMPORTRANGE(""https://docs.google.com/spreadsheets/d/1SX6NBoVAgQJ6U1MVXOaj8PK2l7WJ3RER9xtqwdhxkhw/edit?usp=sharing"",""กาญจนบุรี!J380"")"),0)</f>
        <v>0</v>
      </c>
      <c r="AK55" s="48">
        <f ca="1">IFERROR(__xludf.DUMMYFUNCTION("IMPORTRANGE(""https://docs.google.com/spreadsheets/d/1SX6NBoVAgQJ6U1MVXOaj8PK2l7WJ3RER9xtqwdhxkhw/edit?usp=sharing"",""กาญจนบุรี!J381"")"),0)</f>
        <v>0</v>
      </c>
      <c r="AL55" s="48">
        <f ca="1">IFERROR(__xludf.DUMMYFUNCTION("IMPORTRANGE(""https://docs.google.com/spreadsheets/d/1SX6NBoVAgQJ6U1MVXOaj8PK2l7WJ3RER9xtqwdhxkhw/edit?usp=sharing"",""กาญจนบุรี!J384"")"),0)</f>
        <v>0</v>
      </c>
      <c r="AM55" s="48">
        <f ca="1">IFERROR(__xludf.DUMMYFUNCTION("IMPORTRANGE(""https://docs.google.com/spreadsheets/d/1SX6NBoVAgQJ6U1MVXOaj8PK2l7WJ3RER9xtqwdhxkhw/edit?usp=sharing"",""กาญจนบุรี!J385"")"),0)</f>
        <v>0</v>
      </c>
      <c r="AN55" s="48">
        <f ca="1">IFERROR(__xludf.DUMMYFUNCTION("IMPORTRANGE(""https://docs.google.com/spreadsheets/d/1SX6NBoVAgQJ6U1MVXOaj8PK2l7WJ3RER9xtqwdhxkhw/edit?usp=sharing"",""กาญจนบุรี!J386"")"),0)</f>
        <v>0</v>
      </c>
      <c r="AO55" s="48">
        <f ca="1">IFERROR(__xludf.DUMMYFUNCTION("IMPORTRANGE(""https://docs.google.com/spreadsheets/d/1SX6NBoVAgQJ6U1MVXOaj8PK2l7WJ3RER9xtqwdhxkhw/edit?usp=sharing"",""กาญจนบุรี!J387"")"),0)</f>
        <v>0</v>
      </c>
      <c r="AP55" s="48">
        <f ca="1">IFERROR(__xludf.DUMMYFUNCTION("IMPORTRANGE(""https://docs.google.com/spreadsheets/d/1SX6NBoVAgQJ6U1MVXOaj8PK2l7WJ3RER9xtqwdhxkhw/edit?usp=sharing"",""กาญจนบุรี!J388"")"),0)</f>
        <v>0</v>
      </c>
      <c r="AQ55" s="48">
        <f ca="1">IFERROR(__xludf.DUMMYFUNCTION("IMPORTRANGE(""https://docs.google.com/spreadsheets/d/1SX6NBoVAgQJ6U1MVXOaj8PK2l7WJ3RER9xtqwdhxkhw/edit?usp=sharing"",""กาญจนบุรี!J389"")"),0)</f>
        <v>0</v>
      </c>
      <c r="AR55" s="398">
        <v>0</v>
      </c>
      <c r="AS55" s="398">
        <v>0</v>
      </c>
      <c r="AT55" s="398">
        <f t="shared" ref="AT55:AT75" ca="1" si="112">SUM(AX55,AZ55,BB55,BD55,BF55,BH55)</f>
        <v>0</v>
      </c>
      <c r="AU55" s="398">
        <f t="shared" si="12"/>
        <v>0</v>
      </c>
      <c r="AV55" s="398">
        <f t="shared" ref="AV55:AV75" ca="1" si="113">SUM(AY55,BA55,BC55,BE55,BG55,BI55)</f>
        <v>0</v>
      </c>
      <c r="AW55" s="398">
        <f t="shared" si="13"/>
        <v>0</v>
      </c>
      <c r="AX55" s="48">
        <f ca="1">IFERROR(__xludf.DUMMYFUNCTION("IMPORTRANGE(""https://docs.google.com/spreadsheets/d/1SX6NBoVAgQJ6U1MVXOaj8PK2l7WJ3RER9xtqwdhxkhw/edit?usp=sharing"",""กาญจนบุรี!J395"")"),0)</f>
        <v>0</v>
      </c>
      <c r="AY55" s="48">
        <f ca="1">IFERROR(__xludf.DUMMYFUNCTION("IMPORTRANGE(""https://docs.google.com/spreadsheets/d/1SX6NBoVAgQJ6U1MVXOaj8PK2l7WJ3RER9xtqwdhxkhw/edit?usp=sharing"",""กาญจนบุรี!J396"")"),0)</f>
        <v>0</v>
      </c>
      <c r="AZ55" s="48">
        <f ca="1">IFERROR(__xludf.DUMMYFUNCTION("IMPORTRANGE(""https://docs.google.com/spreadsheets/d/1SX6NBoVAgQJ6U1MVXOaj8PK2l7WJ3RER9xtqwdhxkhw/edit?usp=sharing"",""กาญจนบุรี!J397"")"),0)</f>
        <v>0</v>
      </c>
      <c r="BA55" s="48">
        <f ca="1">IFERROR(__xludf.DUMMYFUNCTION("IMPORTRANGE(""https://docs.google.com/spreadsheets/d/1SX6NBoVAgQJ6U1MVXOaj8PK2l7WJ3RER9xtqwdhxkhw/edit?usp=sharing"",""กาญจนบุรี!J398"")"),0)</f>
        <v>0</v>
      </c>
      <c r="BB55" s="48">
        <f ca="1">IFERROR(__xludf.DUMMYFUNCTION("IMPORTRANGE(""https://docs.google.com/spreadsheets/d/1SX6NBoVAgQJ6U1MVXOaj8PK2l7WJ3RER9xtqwdhxkhw/edit?usp=sharing"",""กาญจนบุรี!J399"")"),0)</f>
        <v>0</v>
      </c>
      <c r="BC55" s="48">
        <f ca="1">IFERROR(__xludf.DUMMYFUNCTION("IMPORTRANGE(""https://docs.google.com/spreadsheets/d/1SX6NBoVAgQJ6U1MVXOaj8PK2l7WJ3RER9xtqwdhxkhw/edit?usp=sharing"",""กาญจนบุรี!J400"")"),0)</f>
        <v>0</v>
      </c>
      <c r="BD55" s="48">
        <f ca="1">IFERROR(__xludf.DUMMYFUNCTION("IMPORTRANGE(""https://docs.google.com/spreadsheets/d/1SX6NBoVAgQJ6U1MVXOaj8PK2l7WJ3RER9xtqwdhxkhw/edit?usp=sharing"",""กาญจนบุรี!J403"")"),0)</f>
        <v>0</v>
      </c>
      <c r="BE55" s="48">
        <f ca="1">IFERROR(__xludf.DUMMYFUNCTION("IMPORTRANGE(""https://docs.google.com/spreadsheets/d/1SX6NBoVAgQJ6U1MVXOaj8PK2l7WJ3RER9xtqwdhxkhw/edit?usp=sharing"",""กาญจนบุรี!J404"")"),0)</f>
        <v>0</v>
      </c>
      <c r="BF55" s="48">
        <f ca="1">IFERROR(__xludf.DUMMYFUNCTION("IMPORTRANGE(""https://docs.google.com/spreadsheets/d/1SX6NBoVAgQJ6U1MVXOaj8PK2l7WJ3RER9xtqwdhxkhw/edit?usp=sharing"",""กาญจนบุรี!J405"")"),0)</f>
        <v>0</v>
      </c>
      <c r="BG55" s="48">
        <f ca="1">IFERROR(__xludf.DUMMYFUNCTION("IMPORTRANGE(""https://docs.google.com/spreadsheets/d/1SX6NBoVAgQJ6U1MVXOaj8PK2l7WJ3RER9xtqwdhxkhw/edit?usp=sharing"",""กาญจนบุรี!J406"")"),0)</f>
        <v>0</v>
      </c>
      <c r="BH55" s="48">
        <f ca="1">IFERROR(__xludf.DUMMYFUNCTION("IMPORTRANGE(""https://docs.google.com/spreadsheets/d/1SX6NBoVAgQJ6U1MVXOaj8PK2l7WJ3RER9xtqwdhxkhw/edit?usp=sharing"",""กาญจนบุรี!J407"")"),0)</f>
        <v>0</v>
      </c>
      <c r="BI55" s="48">
        <f ca="1">IFERROR(__xludf.DUMMYFUNCTION("IMPORTRANGE(""https://docs.google.com/spreadsheets/d/1SX6NBoVAgQJ6U1MVXOaj8PK2l7WJ3RER9xtqwdhxkhw/edit?usp=sharing"",""กาญจนบุรี!J408"")"),0)</f>
        <v>0</v>
      </c>
      <c r="BJ55" s="398">
        <v>180799</v>
      </c>
      <c r="BK55" s="398">
        <v>13419</v>
      </c>
      <c r="BL55" s="398">
        <f t="shared" ref="BL55:BL75" ca="1" si="114">SUM(BP55,BR55)</f>
        <v>0</v>
      </c>
      <c r="BM55" s="399">
        <f t="shared" ca="1" si="15"/>
        <v>0</v>
      </c>
      <c r="BN55" s="398">
        <f t="shared" ref="BN55:BN75" ca="1" si="115">SUM(BQ55,BS55)</f>
        <v>0</v>
      </c>
      <c r="BO55" s="399">
        <f t="shared" ca="1" si="16"/>
        <v>0</v>
      </c>
      <c r="BP55" s="48">
        <f ca="1">IFERROR(__xludf.DUMMYFUNCTION("IMPORTRANGE(""https://docs.google.com/spreadsheets/d/1SX6NBoVAgQJ6U1MVXOaj8PK2l7WJ3RER9xtqwdhxkhw/edit?usp=sharing"",""กาญจนบุรี!J412"")"),0)</f>
        <v>0</v>
      </c>
      <c r="BQ55" s="48">
        <f ca="1">IFERROR(__xludf.DUMMYFUNCTION("IMPORTRANGE(""https://docs.google.com/spreadsheets/d/1SX6NBoVAgQJ6U1MVXOaj8PK2l7WJ3RER9xtqwdhxkhw/edit?usp=sharing"",""กาญจนบุรี!J413"")"),0)</f>
        <v>0</v>
      </c>
      <c r="BR55" s="48">
        <f ca="1">IFERROR(__xludf.DUMMYFUNCTION("IMPORTRANGE(""https://docs.google.com/spreadsheets/d/1SX6NBoVAgQJ6U1MVXOaj8PK2l7WJ3RER9xtqwdhxkhw/edit?usp=sharing"",""กาญจนบุรี!J414"")"),0)</f>
        <v>0</v>
      </c>
      <c r="BS55" s="48">
        <f ca="1">IFERROR(__xludf.DUMMYFUNCTION("IMPORTRANGE(""https://docs.google.com/spreadsheets/d/1SX6NBoVAgQJ6U1MVXOaj8PK2l7WJ3RER9xtqwdhxkhw/edit?usp=sharing"",""กาญจนบุรี!J415"")"),0)</f>
        <v>0</v>
      </c>
      <c r="BT55" s="48">
        <f ca="1">IFERROR(__xludf.DUMMYFUNCTION("IMPORTRANGE(""https://docs.google.com/spreadsheets/d/1SX6NBoVAgQJ6U1MVXOaj8PK2l7WJ3RER9xtqwdhxkhw/edit?usp=sharing"",""กาญจนบุรี!J416"")"),0)</f>
        <v>0</v>
      </c>
      <c r="BU55" s="48">
        <f ca="1">IFERROR(__xludf.DUMMYFUNCTION("IMPORTRANGE(""https://docs.google.com/spreadsheets/d/1SX6NBoVAgQJ6U1MVXOaj8PK2l7WJ3RER9xtqwdhxkhw/edit?usp=sharing"",""กาญจนบุรี!J417"")"),0)</f>
        <v>0</v>
      </c>
      <c r="BV55" s="398">
        <f t="shared" ref="BV55:BV75" ca="1" si="116">SUM(BZ55,CB55,CD55)</f>
        <v>0</v>
      </c>
      <c r="BW55" s="399">
        <f t="shared" ref="BW55:BW75" ca="1" si="117">IF(BT55&gt;0,BV55*100/BT55,0)</f>
        <v>0</v>
      </c>
      <c r="BX55" s="398">
        <f t="shared" ref="BX55:BX75" ca="1" si="118">SUM(CA55,CC55,CE55)</f>
        <v>0</v>
      </c>
      <c r="BY55" s="399">
        <f t="shared" ref="BY55:BY75" ca="1" si="119">IF(BU55&gt;0,BX55*100/BU55,0)</f>
        <v>0</v>
      </c>
      <c r="BZ55" s="48">
        <f ca="1">IFERROR(__xludf.DUMMYFUNCTION("IMPORTRANGE(""https://docs.google.com/spreadsheets/d/1SX6NBoVAgQJ6U1MVXOaj8PK2l7WJ3RER9xtqwdhxkhw/edit?usp=sharing"",""กาญจนบุรี!J420"")"),0)</f>
        <v>0</v>
      </c>
      <c r="CA55" s="48">
        <f ca="1">IFERROR(__xludf.DUMMYFUNCTION("IMPORTRANGE(""https://docs.google.com/spreadsheets/d/1SX6NBoVAgQJ6U1MVXOaj8PK2l7WJ3RER9xtqwdhxkhw/edit?usp=sharing"",""กาญจนบุรี!J421"")"),0)</f>
        <v>0</v>
      </c>
      <c r="CB55" s="48">
        <f ca="1">IFERROR(__xludf.DUMMYFUNCTION("IMPORTRANGE(""https://docs.google.com/spreadsheets/d/1SX6NBoVAgQJ6U1MVXOaj8PK2l7WJ3RER9xtqwdhxkhw/edit?usp=sharing"",""กาญจนบุรี!J422"")"),0)</f>
        <v>0</v>
      </c>
      <c r="CC55" s="48">
        <f ca="1">IFERROR(__xludf.DUMMYFUNCTION("IMPORTRANGE(""https://docs.google.com/spreadsheets/d/1SX6NBoVAgQJ6U1MVXOaj8PK2l7WJ3RER9xtqwdhxkhw/edit?usp=sharing"",""กาญจนบุรี!J423"")"),0)</f>
        <v>0</v>
      </c>
      <c r="CD55" s="48">
        <f ca="1">IFERROR(__xludf.DUMMYFUNCTION("IMPORTRANGE(""https://docs.google.com/spreadsheets/d/1SX6NBoVAgQJ6U1MVXOaj8PK2l7WJ3RER9xtqwdhxkhw/edit?usp=sharing"",""กาญจนบุรี!J424"")"),0)</f>
        <v>0</v>
      </c>
      <c r="CE55" s="420">
        <f ca="1">IFERROR(__xludf.DUMMYFUNCTION("IMPORTRANGE(""https://docs.google.com/spreadsheets/d/1SX6NBoVAgQJ6U1MVXOaj8PK2l7WJ3RER9xtqwdhxkhw/edit?usp=sharing"",""กาญจนบุรี!J425"")"),0)</f>
        <v>0</v>
      </c>
    </row>
    <row r="56" spans="1:83" ht="24" customHeight="1" x14ac:dyDescent="0.5">
      <c r="A56" s="273">
        <v>2</v>
      </c>
      <c r="B56" s="274" t="s">
        <v>71</v>
      </c>
      <c r="C56" s="400">
        <f t="shared" si="105"/>
        <v>162553.01999999999</v>
      </c>
      <c r="D56" s="55">
        <v>0</v>
      </c>
      <c r="E56" s="401">
        <v>162553.01999999999</v>
      </c>
      <c r="F56" s="99">
        <f ca="1">IFERROR(__xludf.DUMMYFUNCTION("IMPORTRANGE(""https://docs.google.com/spreadsheets/d/1SX6NBoVAgQJ6U1MVXOaj8PK2l7WJ3RER9xtqwdhxkhw/edit?usp=sharing"",""จันทบุรี!M352"")"),0)</f>
        <v>0</v>
      </c>
      <c r="G56" s="99">
        <f t="shared" ca="1" si="1"/>
        <v>0</v>
      </c>
      <c r="H56" s="57">
        <v>17519</v>
      </c>
      <c r="I56" s="57">
        <v>1421</v>
      </c>
      <c r="J56" s="55">
        <f t="shared" ca="1" si="106"/>
        <v>0</v>
      </c>
      <c r="K56" s="99">
        <f t="shared" ca="1" si="3"/>
        <v>0</v>
      </c>
      <c r="L56" s="55">
        <f t="shared" ca="1" si="107"/>
        <v>0</v>
      </c>
      <c r="M56" s="99">
        <f t="shared" ca="1" si="4"/>
        <v>0</v>
      </c>
      <c r="N56" s="55">
        <f ca="1">IFERROR(__xludf.DUMMYFUNCTION("IMPORTRANGE(""https://docs.google.com/spreadsheets/d/1SX6NBoVAgQJ6U1MVXOaj8PK2l7WJ3RER9xtqwdhxkhw/edit?usp=sharing"",""จันทบุรี!J362"")"),0)</f>
        <v>0</v>
      </c>
      <c r="O56" s="55">
        <f ca="1">IFERROR(__xludf.DUMMYFUNCTION("IMPORTRANGE(""https://docs.google.com/spreadsheets/d/1SX6NBoVAgQJ6U1MVXOaj8PK2l7WJ3RER9xtqwdhxkhw/edit?usp=sharing"",""จันทบุรี!J363"")"),0)</f>
        <v>0</v>
      </c>
      <c r="P56" s="55">
        <f ca="1">IFERROR(__xludf.DUMMYFUNCTION("IMPORTRANGE(""https://docs.google.com/spreadsheets/d/1SX6NBoVAgQJ6U1MVXOaj8PK2l7WJ3RER9xtqwdhxkhw/edit?usp=sharing"",""จันทบุรี!J364"")"),0)</f>
        <v>0</v>
      </c>
      <c r="Q56" s="55">
        <f ca="1">IFERROR(__xludf.DUMMYFUNCTION("IMPORTRANGE(""https://docs.google.com/spreadsheets/d/1SX6NBoVAgQJ6U1MVXOaj8PK2l7WJ3RER9xtqwdhxkhw/edit?usp=sharing"",""จันทบุรี!J365"")"),0)</f>
        <v>0</v>
      </c>
      <c r="R56" s="55">
        <f ca="1">IFERROR(__xludf.DUMMYFUNCTION("IMPORTRANGE(""https://docs.google.com/spreadsheets/d/1SX6NBoVAgQJ6U1MVXOaj8PK2l7WJ3RER9xtqwdhxkhw/edit?usp=sharing"",""จันทบุรี!J366"")"),0)</f>
        <v>0</v>
      </c>
      <c r="S56" s="55">
        <f ca="1">IFERROR(__xludf.DUMMYFUNCTION("IMPORTRANGE(""https://docs.google.com/spreadsheets/d/1SX6NBoVAgQJ6U1MVXOaj8PK2l7WJ3RER9xtqwdhxkhw/edit?usp=sharing"",""จันทบุรี!J367"")"),0)</f>
        <v>0</v>
      </c>
      <c r="T56" s="55">
        <f t="shared" ca="1" si="108"/>
        <v>0</v>
      </c>
      <c r="U56" s="55">
        <f t="shared" ca="1" si="6"/>
        <v>0</v>
      </c>
      <c r="V56" s="55">
        <f t="shared" ca="1" si="109"/>
        <v>0</v>
      </c>
      <c r="W56" s="55">
        <f t="shared" ca="1" si="7"/>
        <v>0</v>
      </c>
      <c r="X56" s="55">
        <f ca="1">IFERROR(__xludf.DUMMYFUNCTION("IMPORTRANGE(""https://docs.google.com/spreadsheets/d/1SX6NBoVAgQJ6U1MVXOaj8PK2l7WJ3RER9xtqwdhxkhw/edit?usp=sharing"",""จันทบุรี!J370"")"),0)</f>
        <v>0</v>
      </c>
      <c r="Y56" s="55">
        <f ca="1">IFERROR(__xludf.DUMMYFUNCTION("IMPORTRANGE(""https://docs.google.com/spreadsheets/d/1SX6NBoVAgQJ6U1MVXOaj8PK2l7WJ3RER9xtqwdhxkhw/edit?usp=sharing"",""จันทบุรี!J371"")"),0)</f>
        <v>0</v>
      </c>
      <c r="Z56" s="55">
        <f ca="1">IFERROR(__xludf.DUMMYFUNCTION("IMPORTRANGE(""https://docs.google.com/spreadsheets/d/1SX6NBoVAgQJ6U1MVXOaj8PK2l7WJ3RER9xtqwdhxkhw/edit?usp=sharing"",""จันทบุรี!J372"")"),0)</f>
        <v>0</v>
      </c>
      <c r="AA56" s="55">
        <f ca="1">IFERROR(__xludf.DUMMYFUNCTION("IMPORTRANGE(""https://docs.google.com/spreadsheets/d/1SX6NBoVAgQJ6U1MVXOaj8PK2l7WJ3RER9xtqwdhxkhw/edit?usp=sharing"",""จันทบุรี!J373"")"),0)</f>
        <v>0</v>
      </c>
      <c r="AB56" s="55">
        <f ca="1">IFERROR(__xludf.DUMMYFUNCTION("IMPORTRANGE(""https://docs.google.com/spreadsheets/d/1SX6NBoVAgQJ6U1MVXOaj8PK2l7WJ3RER9xtqwdhxkhw/edit?usp=sharing"",""จันทบุรี!J374"")"),0)</f>
        <v>0</v>
      </c>
      <c r="AC56" s="55">
        <f ca="1">IFERROR(__xludf.DUMMYFUNCTION("IMPORTRANGE(""https://docs.google.com/spreadsheets/d/1SX6NBoVAgQJ6U1MVXOaj8PK2l7WJ3RER9xtqwdhxkhw/edit?usp=sharing"",""จันทบุรี!J375"")"),0)</f>
        <v>0</v>
      </c>
      <c r="AD56" s="55">
        <f t="shared" ca="1" si="110"/>
        <v>0</v>
      </c>
      <c r="AE56" s="99">
        <f t="shared" ca="1" si="9"/>
        <v>0</v>
      </c>
      <c r="AF56" s="55">
        <f t="shared" ca="1" si="111"/>
        <v>0</v>
      </c>
      <c r="AG56" s="99">
        <f t="shared" ca="1" si="10"/>
        <v>0</v>
      </c>
      <c r="AH56" s="55">
        <f ca="1">IFERROR(__xludf.DUMMYFUNCTION("IMPORTRANGE(""https://docs.google.com/spreadsheets/d/1SX6NBoVAgQJ6U1MVXOaj8PK2l7WJ3RER9xtqwdhxkhw/edit?usp=sharing"",""จันทบุรี!J378"")"),0)</f>
        <v>0</v>
      </c>
      <c r="AI56" s="55">
        <f ca="1">IFERROR(__xludf.DUMMYFUNCTION("IMPORTRANGE(""https://docs.google.com/spreadsheets/d/1SX6NBoVAgQJ6U1MVXOaj8PK2l7WJ3RER9xtqwdhxkhw/edit?usp=sharing"",""จันทบุรี!J379"")"),0)</f>
        <v>0</v>
      </c>
      <c r="AJ56" s="55">
        <f ca="1">IFERROR(__xludf.DUMMYFUNCTION("IMPORTRANGE(""https://docs.google.com/spreadsheets/d/1SX6NBoVAgQJ6U1MVXOaj8PK2l7WJ3RER9xtqwdhxkhw/edit?usp=sharing"",""จันทบุรี!J380"")"),0)</f>
        <v>0</v>
      </c>
      <c r="AK56" s="55">
        <f ca="1">IFERROR(__xludf.DUMMYFUNCTION("IMPORTRANGE(""https://docs.google.com/spreadsheets/d/1SX6NBoVAgQJ6U1MVXOaj8PK2l7WJ3RER9xtqwdhxkhw/edit?usp=sharing"",""จันทบุรี!J381"")"),0)</f>
        <v>0</v>
      </c>
      <c r="AL56" s="55">
        <f ca="1">IFERROR(__xludf.DUMMYFUNCTION("IMPORTRANGE(""https://docs.google.com/spreadsheets/d/1SX6NBoVAgQJ6U1MVXOaj8PK2l7WJ3RER9xtqwdhxkhw/edit?usp=sharing"",""จันทบุรี!J384"")"),0)</f>
        <v>0</v>
      </c>
      <c r="AM56" s="55">
        <f ca="1">IFERROR(__xludf.DUMMYFUNCTION("IMPORTRANGE(""https://docs.google.com/spreadsheets/d/1SX6NBoVAgQJ6U1MVXOaj8PK2l7WJ3RER9xtqwdhxkhw/edit?usp=sharing"",""จันทบุรี!J385"")"),0)</f>
        <v>0</v>
      </c>
      <c r="AN56" s="55">
        <f ca="1">IFERROR(__xludf.DUMMYFUNCTION("IMPORTRANGE(""https://docs.google.com/spreadsheets/d/1SX6NBoVAgQJ6U1MVXOaj8PK2l7WJ3RER9xtqwdhxkhw/edit?usp=sharing"",""จันทบุรี!J386"")"),0)</f>
        <v>0</v>
      </c>
      <c r="AO56" s="55">
        <f ca="1">IFERROR(__xludf.DUMMYFUNCTION("IMPORTRANGE(""https://docs.google.com/spreadsheets/d/1SX6NBoVAgQJ6U1MVXOaj8PK2l7WJ3RER9xtqwdhxkhw/edit?usp=sharing"",""จันทบุรี!J387"")"),0)</f>
        <v>0</v>
      </c>
      <c r="AP56" s="55">
        <f ca="1">IFERROR(__xludf.DUMMYFUNCTION("IMPORTRANGE(""https://docs.google.com/spreadsheets/d/1SX6NBoVAgQJ6U1MVXOaj8PK2l7WJ3RER9xtqwdhxkhw/edit?usp=sharing"",""จันทบุรี!J388"")"),0)</f>
        <v>0</v>
      </c>
      <c r="AQ56" s="55">
        <f ca="1">IFERROR(__xludf.DUMMYFUNCTION("IMPORTRANGE(""https://docs.google.com/spreadsheets/d/1SX6NBoVAgQJ6U1MVXOaj8PK2l7WJ3RER9xtqwdhxkhw/edit?usp=sharing"",""จันทบุรี!J389"")"),0)</f>
        <v>0</v>
      </c>
      <c r="AR56" s="402">
        <v>73</v>
      </c>
      <c r="AS56" s="402">
        <v>784</v>
      </c>
      <c r="AT56" s="402">
        <f t="shared" ca="1" si="112"/>
        <v>0</v>
      </c>
      <c r="AU56" s="402">
        <f t="shared" ca="1" si="12"/>
        <v>0</v>
      </c>
      <c r="AV56" s="402">
        <f t="shared" ca="1" si="113"/>
        <v>0</v>
      </c>
      <c r="AW56" s="402">
        <f t="shared" ca="1" si="13"/>
        <v>0</v>
      </c>
      <c r="AX56" s="55">
        <f ca="1">IFERROR(__xludf.DUMMYFUNCTION("IMPORTRANGE(""https://docs.google.com/spreadsheets/d/1SX6NBoVAgQJ6U1MVXOaj8PK2l7WJ3RER9xtqwdhxkhw/edit?usp=sharing"",""จันทบุรี!J395"")"),0)</f>
        <v>0</v>
      </c>
      <c r="AY56" s="55">
        <f ca="1">IFERROR(__xludf.DUMMYFUNCTION("IMPORTRANGE(""https://docs.google.com/spreadsheets/d/1SX6NBoVAgQJ6U1MVXOaj8PK2l7WJ3RER9xtqwdhxkhw/edit?usp=sharing"",""จันทบุรี!J396"")"),0)</f>
        <v>0</v>
      </c>
      <c r="AZ56" s="55">
        <f ca="1">IFERROR(__xludf.DUMMYFUNCTION("IMPORTRANGE(""https://docs.google.com/spreadsheets/d/1SX6NBoVAgQJ6U1MVXOaj8PK2l7WJ3RER9xtqwdhxkhw/edit?usp=sharing"",""จันทบุรี!J397"")"),0)</f>
        <v>0</v>
      </c>
      <c r="BA56" s="55">
        <f ca="1">IFERROR(__xludf.DUMMYFUNCTION("IMPORTRANGE(""https://docs.google.com/spreadsheets/d/1SX6NBoVAgQJ6U1MVXOaj8PK2l7WJ3RER9xtqwdhxkhw/edit?usp=sharing"",""จันทบุรี!J398"")"),0)</f>
        <v>0</v>
      </c>
      <c r="BB56" s="55">
        <f ca="1">IFERROR(__xludf.DUMMYFUNCTION("IMPORTRANGE(""https://docs.google.com/spreadsheets/d/1SX6NBoVAgQJ6U1MVXOaj8PK2l7WJ3RER9xtqwdhxkhw/edit?usp=sharing"",""จันทบุรี!J399"")"),0)</f>
        <v>0</v>
      </c>
      <c r="BC56" s="55">
        <f ca="1">IFERROR(__xludf.DUMMYFUNCTION("IMPORTRANGE(""https://docs.google.com/spreadsheets/d/1SX6NBoVAgQJ6U1MVXOaj8PK2l7WJ3RER9xtqwdhxkhw/edit?usp=sharing"",""จันทบุรี!J400"")"),0)</f>
        <v>0</v>
      </c>
      <c r="BD56" s="55">
        <f ca="1">IFERROR(__xludf.DUMMYFUNCTION("IMPORTRANGE(""https://docs.google.com/spreadsheets/d/1SX6NBoVAgQJ6U1MVXOaj8PK2l7WJ3RER9xtqwdhxkhw/edit?usp=sharing"",""จันทบุรี!J403"")"),0)</f>
        <v>0</v>
      </c>
      <c r="BE56" s="55">
        <f ca="1">IFERROR(__xludf.DUMMYFUNCTION("IMPORTRANGE(""https://docs.google.com/spreadsheets/d/1SX6NBoVAgQJ6U1MVXOaj8PK2l7WJ3RER9xtqwdhxkhw/edit?usp=sharing"",""จันทบุรี!J404"")"),0)</f>
        <v>0</v>
      </c>
      <c r="BF56" s="55">
        <f ca="1">IFERROR(__xludf.DUMMYFUNCTION("IMPORTRANGE(""https://docs.google.com/spreadsheets/d/1SX6NBoVAgQJ6U1MVXOaj8PK2l7WJ3RER9xtqwdhxkhw/edit?usp=sharing"",""จันทบุรี!J405"")"),0)</f>
        <v>0</v>
      </c>
      <c r="BG56" s="55">
        <f ca="1">IFERROR(__xludf.DUMMYFUNCTION("IMPORTRANGE(""https://docs.google.com/spreadsheets/d/1SX6NBoVAgQJ6U1MVXOaj8PK2l7WJ3RER9xtqwdhxkhw/edit?usp=sharing"",""จันทบุรี!J406"")"),0)</f>
        <v>0</v>
      </c>
      <c r="BH56" s="55">
        <f ca="1">IFERROR(__xludf.DUMMYFUNCTION("IMPORTRANGE(""https://docs.google.com/spreadsheets/d/1SX6NBoVAgQJ6U1MVXOaj8PK2l7WJ3RER9xtqwdhxkhw/edit?usp=sharing"",""จันทบุรี!J407"")"),0)</f>
        <v>0</v>
      </c>
      <c r="BI56" s="55">
        <f ca="1">IFERROR(__xludf.DUMMYFUNCTION("IMPORTRANGE(""https://docs.google.com/spreadsheets/d/1SX6NBoVAgQJ6U1MVXOaj8PK2l7WJ3RER9xtqwdhxkhw/edit?usp=sharing"",""จันทบุรี!J408"")"),0)</f>
        <v>0</v>
      </c>
      <c r="BJ56" s="402">
        <v>17519</v>
      </c>
      <c r="BK56" s="402">
        <v>1421</v>
      </c>
      <c r="BL56" s="402">
        <f t="shared" ca="1" si="114"/>
        <v>0</v>
      </c>
      <c r="BM56" s="403">
        <f t="shared" ca="1" si="15"/>
        <v>0</v>
      </c>
      <c r="BN56" s="402">
        <f t="shared" ca="1" si="115"/>
        <v>0</v>
      </c>
      <c r="BO56" s="403">
        <f t="shared" ca="1" si="16"/>
        <v>0</v>
      </c>
      <c r="BP56" s="55">
        <f ca="1">IFERROR(__xludf.DUMMYFUNCTION("IMPORTRANGE(""https://docs.google.com/spreadsheets/d/1SX6NBoVAgQJ6U1MVXOaj8PK2l7WJ3RER9xtqwdhxkhw/edit?usp=sharing"",""จันทบุรี!J412"")"),0)</f>
        <v>0</v>
      </c>
      <c r="BQ56" s="55">
        <f ca="1">IFERROR(__xludf.DUMMYFUNCTION("IMPORTRANGE(""https://docs.google.com/spreadsheets/d/1SX6NBoVAgQJ6U1MVXOaj8PK2l7WJ3RER9xtqwdhxkhw/edit?usp=sharing"",""จันทบุรี!J413"")"),0)</f>
        <v>0</v>
      </c>
      <c r="BR56" s="55">
        <f ca="1">IFERROR(__xludf.DUMMYFUNCTION("IMPORTRANGE(""https://docs.google.com/spreadsheets/d/1SX6NBoVAgQJ6U1MVXOaj8PK2l7WJ3RER9xtqwdhxkhw/edit?usp=sharing"",""จันทบุรี!J414"")"),0)</f>
        <v>0</v>
      </c>
      <c r="BS56" s="55">
        <f ca="1">IFERROR(__xludf.DUMMYFUNCTION("IMPORTRANGE(""https://docs.google.com/spreadsheets/d/1SX6NBoVAgQJ6U1MVXOaj8PK2l7WJ3RER9xtqwdhxkhw/edit?usp=sharing"",""จันทบุรี!J415"")"),0)</f>
        <v>0</v>
      </c>
      <c r="BT56" s="55">
        <f ca="1">IFERROR(__xludf.DUMMYFUNCTION("IMPORTRANGE(""https://docs.google.com/spreadsheets/d/1SX6NBoVAgQJ6U1MVXOaj8PK2l7WJ3RER9xtqwdhxkhw/edit?usp=sharing"",""จันทบุรี!J416"")"),0)</f>
        <v>0</v>
      </c>
      <c r="BU56" s="55">
        <f ca="1">IFERROR(__xludf.DUMMYFUNCTION("IMPORTRANGE(""https://docs.google.com/spreadsheets/d/1SX6NBoVAgQJ6U1MVXOaj8PK2l7WJ3RER9xtqwdhxkhw/edit?usp=sharing"",""จันทบุรี!J417"")"),0)</f>
        <v>0</v>
      </c>
      <c r="BV56" s="402">
        <f t="shared" ca="1" si="116"/>
        <v>0</v>
      </c>
      <c r="BW56" s="403">
        <f t="shared" ca="1" si="117"/>
        <v>0</v>
      </c>
      <c r="BX56" s="402">
        <f t="shared" ca="1" si="118"/>
        <v>0</v>
      </c>
      <c r="BY56" s="403">
        <f t="shared" ca="1" si="119"/>
        <v>0</v>
      </c>
      <c r="BZ56" s="55">
        <f ca="1">IFERROR(__xludf.DUMMYFUNCTION("IMPORTRANGE(""https://docs.google.com/spreadsheets/d/1SX6NBoVAgQJ6U1MVXOaj8PK2l7WJ3RER9xtqwdhxkhw/edit?usp=sharing"",""จันทบุรี!J420"")"),0)</f>
        <v>0</v>
      </c>
      <c r="CA56" s="55">
        <f ca="1">IFERROR(__xludf.DUMMYFUNCTION("IMPORTRANGE(""https://docs.google.com/spreadsheets/d/1SX6NBoVAgQJ6U1MVXOaj8PK2l7WJ3RER9xtqwdhxkhw/edit?usp=sharing"",""จันทบุรี!J421"")"),0)</f>
        <v>0</v>
      </c>
      <c r="CB56" s="55">
        <f ca="1">IFERROR(__xludf.DUMMYFUNCTION("IMPORTRANGE(""https://docs.google.com/spreadsheets/d/1SX6NBoVAgQJ6U1MVXOaj8PK2l7WJ3RER9xtqwdhxkhw/edit?usp=sharing"",""จันทบุรี!J422"")"),0)</f>
        <v>0</v>
      </c>
      <c r="CC56" s="55">
        <f ca="1">IFERROR(__xludf.DUMMYFUNCTION("IMPORTRANGE(""https://docs.google.com/spreadsheets/d/1SX6NBoVAgQJ6U1MVXOaj8PK2l7WJ3RER9xtqwdhxkhw/edit?usp=sharing"",""จันทบุรี!J423"")"),0)</f>
        <v>0</v>
      </c>
      <c r="CD56" s="55">
        <f ca="1">IFERROR(__xludf.DUMMYFUNCTION("IMPORTRANGE(""https://docs.google.com/spreadsheets/d/1SX6NBoVAgQJ6U1MVXOaj8PK2l7WJ3RER9xtqwdhxkhw/edit?usp=sharing"",""จันทบุรี!J424"")"),0)</f>
        <v>0</v>
      </c>
      <c r="CE56" s="422">
        <f ca="1">IFERROR(__xludf.DUMMYFUNCTION("IMPORTRANGE(""https://docs.google.com/spreadsheets/d/1SX6NBoVAgQJ6U1MVXOaj8PK2l7WJ3RER9xtqwdhxkhw/edit?usp=sharing"",""จันทบุรี!J425"")"),0)</f>
        <v>0</v>
      </c>
    </row>
    <row r="57" spans="1:83" ht="24" customHeight="1" x14ac:dyDescent="0.5">
      <c r="A57" s="273">
        <v>3</v>
      </c>
      <c r="B57" s="274" t="s">
        <v>72</v>
      </c>
      <c r="C57" s="400">
        <f t="shared" si="105"/>
        <v>369379.3</v>
      </c>
      <c r="D57" s="55">
        <v>0</v>
      </c>
      <c r="E57" s="401">
        <v>369379.3</v>
      </c>
      <c r="F57" s="99">
        <f ca="1">IFERROR(__xludf.DUMMYFUNCTION("IMPORTRANGE(""https://docs.google.com/spreadsheets/d/1SX6NBoVAgQJ6U1MVXOaj8PK2l7WJ3RER9xtqwdhxkhw/edit?usp=sharing"",""ฉะเชิงเทรา!M352"")"),0)</f>
        <v>0</v>
      </c>
      <c r="G57" s="99">
        <f t="shared" ca="1" si="1"/>
        <v>0</v>
      </c>
      <c r="H57" s="57">
        <v>24191</v>
      </c>
      <c r="I57" s="57">
        <v>2367</v>
      </c>
      <c r="J57" s="55">
        <f t="shared" ca="1" si="106"/>
        <v>0</v>
      </c>
      <c r="K57" s="99">
        <f t="shared" ca="1" si="3"/>
        <v>0</v>
      </c>
      <c r="L57" s="55">
        <f t="shared" ca="1" si="107"/>
        <v>0</v>
      </c>
      <c r="M57" s="99">
        <f t="shared" ca="1" si="4"/>
        <v>0</v>
      </c>
      <c r="N57" s="55">
        <f ca="1">IFERROR(__xludf.DUMMYFUNCTION("IMPORTRANGE(""https://docs.google.com/spreadsheets/d/1SX6NBoVAgQJ6U1MVXOaj8PK2l7WJ3RER9xtqwdhxkhw/edit?usp=sharing"",""ฉะเชิงเทรา!J362"")"),0)</f>
        <v>0</v>
      </c>
      <c r="O57" s="55">
        <f ca="1">IFERROR(__xludf.DUMMYFUNCTION("IMPORTRANGE(""https://docs.google.com/spreadsheets/d/1SX6NBoVAgQJ6U1MVXOaj8PK2l7WJ3RER9xtqwdhxkhw/edit?usp=sharing"",""ฉะเชิงเทรา!J363"")"),0)</f>
        <v>0</v>
      </c>
      <c r="P57" s="55">
        <f ca="1">IFERROR(__xludf.DUMMYFUNCTION("IMPORTRANGE(""https://docs.google.com/spreadsheets/d/1SX6NBoVAgQJ6U1MVXOaj8PK2l7WJ3RER9xtqwdhxkhw/edit?usp=sharing"",""ฉะเชิงเทรา!J364"")"),0)</f>
        <v>0</v>
      </c>
      <c r="Q57" s="55">
        <f ca="1">IFERROR(__xludf.DUMMYFUNCTION("IMPORTRANGE(""https://docs.google.com/spreadsheets/d/1SX6NBoVAgQJ6U1MVXOaj8PK2l7WJ3RER9xtqwdhxkhw/edit?usp=sharing"",""ฉะเชิงเทรา!J365"")"),0)</f>
        <v>0</v>
      </c>
      <c r="R57" s="55">
        <f ca="1">IFERROR(__xludf.DUMMYFUNCTION("IMPORTRANGE(""https://docs.google.com/spreadsheets/d/1SX6NBoVAgQJ6U1MVXOaj8PK2l7WJ3RER9xtqwdhxkhw/edit?usp=sharing"",""ฉะเชิงเทรา!J366"")"),0)</f>
        <v>0</v>
      </c>
      <c r="S57" s="55">
        <f ca="1">IFERROR(__xludf.DUMMYFUNCTION("IMPORTRANGE(""https://docs.google.com/spreadsheets/d/1SX6NBoVAgQJ6U1MVXOaj8PK2l7WJ3RER9xtqwdhxkhw/edit?usp=sharing"",""ฉะเชิงเทรา!J367"")"),0)</f>
        <v>0</v>
      </c>
      <c r="T57" s="55">
        <f t="shared" ca="1" si="108"/>
        <v>0</v>
      </c>
      <c r="U57" s="55">
        <f t="shared" ca="1" si="6"/>
        <v>0</v>
      </c>
      <c r="V57" s="55">
        <f t="shared" ca="1" si="109"/>
        <v>0</v>
      </c>
      <c r="W57" s="55">
        <f t="shared" ca="1" si="7"/>
        <v>0</v>
      </c>
      <c r="X57" s="55">
        <f ca="1">IFERROR(__xludf.DUMMYFUNCTION("IMPORTRANGE(""https://docs.google.com/spreadsheets/d/1SX6NBoVAgQJ6U1MVXOaj8PK2l7WJ3RER9xtqwdhxkhw/edit?usp=sharing"",""ฉะเชิงเทรา!J370"")"),0)</f>
        <v>0</v>
      </c>
      <c r="Y57" s="55">
        <f ca="1">IFERROR(__xludf.DUMMYFUNCTION("IMPORTRANGE(""https://docs.google.com/spreadsheets/d/1SX6NBoVAgQJ6U1MVXOaj8PK2l7WJ3RER9xtqwdhxkhw/edit?usp=sharing"",""ฉะเชิงเทรา!J371"")"),0)</f>
        <v>0</v>
      </c>
      <c r="Z57" s="55">
        <f ca="1">IFERROR(__xludf.DUMMYFUNCTION("IMPORTRANGE(""https://docs.google.com/spreadsheets/d/1SX6NBoVAgQJ6U1MVXOaj8PK2l7WJ3RER9xtqwdhxkhw/edit?usp=sharing"",""ฉะเชิงเทรา!J372"")"),0)</f>
        <v>0</v>
      </c>
      <c r="AA57" s="55">
        <f ca="1">IFERROR(__xludf.DUMMYFUNCTION("IMPORTRANGE(""https://docs.google.com/spreadsheets/d/1SX6NBoVAgQJ6U1MVXOaj8PK2l7WJ3RER9xtqwdhxkhw/edit?usp=sharing"",""ฉะเชิงเทรา!J373"")"),0)</f>
        <v>0</v>
      </c>
      <c r="AB57" s="55">
        <f ca="1">IFERROR(__xludf.DUMMYFUNCTION("IMPORTRANGE(""https://docs.google.com/spreadsheets/d/1SX6NBoVAgQJ6U1MVXOaj8PK2l7WJ3RER9xtqwdhxkhw/edit?usp=sharing"",""ฉะเชิงเทรา!J374"")"),0)</f>
        <v>0</v>
      </c>
      <c r="AC57" s="55">
        <f ca="1">IFERROR(__xludf.DUMMYFUNCTION("IMPORTRANGE(""https://docs.google.com/spreadsheets/d/1SX6NBoVAgQJ6U1MVXOaj8PK2l7WJ3RER9xtqwdhxkhw/edit?usp=sharing"",""ฉะเชิงเทรา!J375"")"),0)</f>
        <v>0</v>
      </c>
      <c r="AD57" s="55">
        <f t="shared" ca="1" si="110"/>
        <v>0</v>
      </c>
      <c r="AE57" s="99">
        <f t="shared" ca="1" si="9"/>
        <v>0</v>
      </c>
      <c r="AF57" s="55">
        <f t="shared" ca="1" si="111"/>
        <v>0</v>
      </c>
      <c r="AG57" s="99">
        <f t="shared" ca="1" si="10"/>
        <v>0</v>
      </c>
      <c r="AH57" s="55">
        <f ca="1">IFERROR(__xludf.DUMMYFUNCTION("IMPORTRANGE(""https://docs.google.com/spreadsheets/d/1SX6NBoVAgQJ6U1MVXOaj8PK2l7WJ3RER9xtqwdhxkhw/edit?usp=sharing"",""ฉะเชิงเทรา!J378"")"),0)</f>
        <v>0</v>
      </c>
      <c r="AI57" s="55">
        <f ca="1">IFERROR(__xludf.DUMMYFUNCTION("IMPORTRANGE(""https://docs.google.com/spreadsheets/d/1SX6NBoVAgQJ6U1MVXOaj8PK2l7WJ3RER9xtqwdhxkhw/edit?usp=sharing"",""ฉะเชิงเทรา!J379"")"),0)</f>
        <v>0</v>
      </c>
      <c r="AJ57" s="55">
        <f ca="1">IFERROR(__xludf.DUMMYFUNCTION("IMPORTRANGE(""https://docs.google.com/spreadsheets/d/1SX6NBoVAgQJ6U1MVXOaj8PK2l7WJ3RER9xtqwdhxkhw/edit?usp=sharing"",""ฉะเชิงเทรา!J380"")"),0)</f>
        <v>0</v>
      </c>
      <c r="AK57" s="55">
        <f ca="1">IFERROR(__xludf.DUMMYFUNCTION("IMPORTRANGE(""https://docs.google.com/spreadsheets/d/1SX6NBoVAgQJ6U1MVXOaj8PK2l7WJ3RER9xtqwdhxkhw/edit?usp=sharing"",""ฉะเชิงเทรา!J381"")"),0)</f>
        <v>0</v>
      </c>
      <c r="AL57" s="55">
        <f ca="1">IFERROR(__xludf.DUMMYFUNCTION("IMPORTRANGE(""https://docs.google.com/spreadsheets/d/1SX6NBoVAgQJ6U1MVXOaj8PK2l7WJ3RER9xtqwdhxkhw/edit?usp=sharing"",""ฉะเชิงเทรา!J384"")"),0)</f>
        <v>0</v>
      </c>
      <c r="AM57" s="55">
        <f ca="1">IFERROR(__xludf.DUMMYFUNCTION("IMPORTRANGE(""https://docs.google.com/spreadsheets/d/1SX6NBoVAgQJ6U1MVXOaj8PK2l7WJ3RER9xtqwdhxkhw/edit?usp=sharing"",""ฉะเชิงเทรา!J385"")"),0)</f>
        <v>0</v>
      </c>
      <c r="AN57" s="55">
        <f ca="1">IFERROR(__xludf.DUMMYFUNCTION("IMPORTRANGE(""https://docs.google.com/spreadsheets/d/1SX6NBoVAgQJ6U1MVXOaj8PK2l7WJ3RER9xtqwdhxkhw/edit?usp=sharing"",""ฉะเชิงเทรา!J386"")"),0)</f>
        <v>0</v>
      </c>
      <c r="AO57" s="55">
        <f ca="1">IFERROR(__xludf.DUMMYFUNCTION("IMPORTRANGE(""https://docs.google.com/spreadsheets/d/1SX6NBoVAgQJ6U1MVXOaj8PK2l7WJ3RER9xtqwdhxkhw/edit?usp=sharing"",""ฉะเชิงเทรา!J387"")"),0)</f>
        <v>0</v>
      </c>
      <c r="AP57" s="55">
        <f ca="1">IFERROR(__xludf.DUMMYFUNCTION("IMPORTRANGE(""https://docs.google.com/spreadsheets/d/1SX6NBoVAgQJ6U1MVXOaj8PK2l7WJ3RER9xtqwdhxkhw/edit?usp=sharing"",""ฉะเชิงเทรา!J388"")"),0)</f>
        <v>0</v>
      </c>
      <c r="AQ57" s="55">
        <f ca="1">IFERROR(__xludf.DUMMYFUNCTION("IMPORTRANGE(""https://docs.google.com/spreadsheets/d/1SX6NBoVAgQJ6U1MVXOaj8PK2l7WJ3RER9xtqwdhxkhw/edit?usp=sharing"",""ฉะเชิงเทรา!J389"")"),0)</f>
        <v>0</v>
      </c>
      <c r="AR57" s="402">
        <v>120</v>
      </c>
      <c r="AS57" s="402">
        <v>1333</v>
      </c>
      <c r="AT57" s="402">
        <f t="shared" ca="1" si="112"/>
        <v>0</v>
      </c>
      <c r="AU57" s="402">
        <f t="shared" ca="1" si="12"/>
        <v>0</v>
      </c>
      <c r="AV57" s="402">
        <f t="shared" ca="1" si="113"/>
        <v>0</v>
      </c>
      <c r="AW57" s="402">
        <f t="shared" ca="1" si="13"/>
        <v>0</v>
      </c>
      <c r="AX57" s="55">
        <f ca="1">IFERROR(__xludf.DUMMYFUNCTION("IMPORTRANGE(""https://docs.google.com/spreadsheets/d/1SX6NBoVAgQJ6U1MVXOaj8PK2l7WJ3RER9xtqwdhxkhw/edit?usp=sharing"",""ฉะเชิงเทรา!J395"")"),0)</f>
        <v>0</v>
      </c>
      <c r="AY57" s="55">
        <f ca="1">IFERROR(__xludf.DUMMYFUNCTION("IMPORTRANGE(""https://docs.google.com/spreadsheets/d/1SX6NBoVAgQJ6U1MVXOaj8PK2l7WJ3RER9xtqwdhxkhw/edit?usp=sharing"",""ฉะเชิงเทรา!J396"")"),0)</f>
        <v>0</v>
      </c>
      <c r="AZ57" s="55">
        <f ca="1">IFERROR(__xludf.DUMMYFUNCTION("IMPORTRANGE(""https://docs.google.com/spreadsheets/d/1SX6NBoVAgQJ6U1MVXOaj8PK2l7WJ3RER9xtqwdhxkhw/edit?usp=sharing"",""ฉะเชิงเทรา!J397"")"),0)</f>
        <v>0</v>
      </c>
      <c r="BA57" s="55">
        <f ca="1">IFERROR(__xludf.DUMMYFUNCTION("IMPORTRANGE(""https://docs.google.com/spreadsheets/d/1SX6NBoVAgQJ6U1MVXOaj8PK2l7WJ3RER9xtqwdhxkhw/edit?usp=sharing"",""ฉะเชิงเทรา!J398"")"),0)</f>
        <v>0</v>
      </c>
      <c r="BB57" s="55">
        <f ca="1">IFERROR(__xludf.DUMMYFUNCTION("IMPORTRANGE(""https://docs.google.com/spreadsheets/d/1SX6NBoVAgQJ6U1MVXOaj8PK2l7WJ3RER9xtqwdhxkhw/edit?usp=sharing"",""ฉะเชิงเทรา!J399"")"),0)</f>
        <v>0</v>
      </c>
      <c r="BC57" s="55">
        <f ca="1">IFERROR(__xludf.DUMMYFUNCTION("IMPORTRANGE(""https://docs.google.com/spreadsheets/d/1SX6NBoVAgQJ6U1MVXOaj8PK2l7WJ3RER9xtqwdhxkhw/edit?usp=sharing"",""ฉะเชิงเทรา!J400"")"),0)</f>
        <v>0</v>
      </c>
      <c r="BD57" s="55">
        <f ca="1">IFERROR(__xludf.DUMMYFUNCTION("IMPORTRANGE(""https://docs.google.com/spreadsheets/d/1SX6NBoVAgQJ6U1MVXOaj8PK2l7WJ3RER9xtqwdhxkhw/edit?usp=sharing"",""ฉะเชิงเทรา!J403"")"),0)</f>
        <v>0</v>
      </c>
      <c r="BE57" s="55">
        <f ca="1">IFERROR(__xludf.DUMMYFUNCTION("IMPORTRANGE(""https://docs.google.com/spreadsheets/d/1SX6NBoVAgQJ6U1MVXOaj8PK2l7WJ3RER9xtqwdhxkhw/edit?usp=sharing"",""ฉะเชิงเทรา!J404"")"),0)</f>
        <v>0</v>
      </c>
      <c r="BF57" s="55">
        <f ca="1">IFERROR(__xludf.DUMMYFUNCTION("IMPORTRANGE(""https://docs.google.com/spreadsheets/d/1SX6NBoVAgQJ6U1MVXOaj8PK2l7WJ3RER9xtqwdhxkhw/edit?usp=sharing"",""ฉะเชิงเทรา!J405"")"),0)</f>
        <v>0</v>
      </c>
      <c r="BG57" s="55">
        <f ca="1">IFERROR(__xludf.DUMMYFUNCTION("IMPORTRANGE(""https://docs.google.com/spreadsheets/d/1SX6NBoVAgQJ6U1MVXOaj8PK2l7WJ3RER9xtqwdhxkhw/edit?usp=sharing"",""ฉะเชิงเทรา!J406"")"),0)</f>
        <v>0</v>
      </c>
      <c r="BH57" s="55">
        <f ca="1">IFERROR(__xludf.DUMMYFUNCTION("IMPORTRANGE(""https://docs.google.com/spreadsheets/d/1SX6NBoVAgQJ6U1MVXOaj8PK2l7WJ3RER9xtqwdhxkhw/edit?usp=sharing"",""ฉะเชิงเทรา!J407"")"),0)</f>
        <v>0</v>
      </c>
      <c r="BI57" s="55">
        <f ca="1">IFERROR(__xludf.DUMMYFUNCTION("IMPORTRANGE(""https://docs.google.com/spreadsheets/d/1SX6NBoVAgQJ6U1MVXOaj8PK2l7WJ3RER9xtqwdhxkhw/edit?usp=sharing"",""ฉะเชิงเทรา!J408"")"),0)</f>
        <v>0</v>
      </c>
      <c r="BJ57" s="402">
        <v>24191</v>
      </c>
      <c r="BK57" s="402">
        <v>2367</v>
      </c>
      <c r="BL57" s="402">
        <f t="shared" ca="1" si="114"/>
        <v>0</v>
      </c>
      <c r="BM57" s="403">
        <f t="shared" ca="1" si="15"/>
        <v>0</v>
      </c>
      <c r="BN57" s="402">
        <f t="shared" ca="1" si="115"/>
        <v>0</v>
      </c>
      <c r="BO57" s="403">
        <f t="shared" ca="1" si="16"/>
        <v>0</v>
      </c>
      <c r="BP57" s="55">
        <f ca="1">IFERROR(__xludf.DUMMYFUNCTION("IMPORTRANGE(""https://docs.google.com/spreadsheets/d/1SX6NBoVAgQJ6U1MVXOaj8PK2l7WJ3RER9xtqwdhxkhw/edit?usp=sharing"",""ฉะเชิงเทรา!J412"")"),0)</f>
        <v>0</v>
      </c>
      <c r="BQ57" s="55">
        <f ca="1">IFERROR(__xludf.DUMMYFUNCTION("IMPORTRANGE(""https://docs.google.com/spreadsheets/d/1SX6NBoVAgQJ6U1MVXOaj8PK2l7WJ3RER9xtqwdhxkhw/edit?usp=sharing"",""ฉะเชิงเทรา!J413"")"),0)</f>
        <v>0</v>
      </c>
      <c r="BR57" s="55">
        <f ca="1">IFERROR(__xludf.DUMMYFUNCTION("IMPORTRANGE(""https://docs.google.com/spreadsheets/d/1SX6NBoVAgQJ6U1MVXOaj8PK2l7WJ3RER9xtqwdhxkhw/edit?usp=sharing"",""ฉะเชิงเทรา!J414"")"),0)</f>
        <v>0</v>
      </c>
      <c r="BS57" s="55">
        <f ca="1">IFERROR(__xludf.DUMMYFUNCTION("IMPORTRANGE(""https://docs.google.com/spreadsheets/d/1SX6NBoVAgQJ6U1MVXOaj8PK2l7WJ3RER9xtqwdhxkhw/edit?usp=sharing"",""ฉะเชิงเทรา!J415"")"),0)</f>
        <v>0</v>
      </c>
      <c r="BT57" s="55">
        <f ca="1">IFERROR(__xludf.DUMMYFUNCTION("IMPORTRANGE(""https://docs.google.com/spreadsheets/d/1SX6NBoVAgQJ6U1MVXOaj8PK2l7WJ3RER9xtqwdhxkhw/edit?usp=sharing"",""ฉะเชิงเทรา!J416"")"),0)</f>
        <v>0</v>
      </c>
      <c r="BU57" s="55">
        <f ca="1">IFERROR(__xludf.DUMMYFUNCTION("IMPORTRANGE(""https://docs.google.com/spreadsheets/d/1SX6NBoVAgQJ6U1MVXOaj8PK2l7WJ3RER9xtqwdhxkhw/edit?usp=sharing"",""ฉะเชิงเทรา!J417"")"),0)</f>
        <v>0</v>
      </c>
      <c r="BV57" s="402">
        <f t="shared" ca="1" si="116"/>
        <v>0</v>
      </c>
      <c r="BW57" s="403">
        <f t="shared" ca="1" si="117"/>
        <v>0</v>
      </c>
      <c r="BX57" s="402">
        <f t="shared" ca="1" si="118"/>
        <v>0</v>
      </c>
      <c r="BY57" s="403">
        <f t="shared" ca="1" si="119"/>
        <v>0</v>
      </c>
      <c r="BZ57" s="55">
        <f ca="1">IFERROR(__xludf.DUMMYFUNCTION("IMPORTRANGE(""https://docs.google.com/spreadsheets/d/1SX6NBoVAgQJ6U1MVXOaj8PK2l7WJ3RER9xtqwdhxkhw/edit?usp=sharing"",""ฉะเชิงเทรา!J420"")"),0)</f>
        <v>0</v>
      </c>
      <c r="CA57" s="55">
        <f ca="1">IFERROR(__xludf.DUMMYFUNCTION("IMPORTRANGE(""https://docs.google.com/spreadsheets/d/1SX6NBoVAgQJ6U1MVXOaj8PK2l7WJ3RER9xtqwdhxkhw/edit?usp=sharing"",""ฉะเชิงเทรา!J421"")"),0)</f>
        <v>0</v>
      </c>
      <c r="CB57" s="55">
        <f ca="1">IFERROR(__xludf.DUMMYFUNCTION("IMPORTRANGE(""https://docs.google.com/spreadsheets/d/1SX6NBoVAgQJ6U1MVXOaj8PK2l7WJ3RER9xtqwdhxkhw/edit?usp=sharing"",""ฉะเชิงเทรา!J422"")"),0)</f>
        <v>0</v>
      </c>
      <c r="CC57" s="55">
        <f ca="1">IFERROR(__xludf.DUMMYFUNCTION("IMPORTRANGE(""https://docs.google.com/spreadsheets/d/1SX6NBoVAgQJ6U1MVXOaj8PK2l7WJ3RER9xtqwdhxkhw/edit?usp=sharing"",""ฉะเชิงเทรา!J423"")"),0)</f>
        <v>0</v>
      </c>
      <c r="CD57" s="55">
        <f ca="1">IFERROR(__xludf.DUMMYFUNCTION("IMPORTRANGE(""https://docs.google.com/spreadsheets/d/1SX6NBoVAgQJ6U1MVXOaj8PK2l7WJ3RER9xtqwdhxkhw/edit?usp=sharing"",""ฉะเชิงเทรา!J424"")"),0)</f>
        <v>0</v>
      </c>
      <c r="CE57" s="422">
        <f ca="1">IFERROR(__xludf.DUMMYFUNCTION("IMPORTRANGE(""https://docs.google.com/spreadsheets/d/1SX6NBoVAgQJ6U1MVXOaj8PK2l7WJ3RER9xtqwdhxkhw/edit?usp=sharing"",""ฉะเชิงเทรา!J425"")"),0)</f>
        <v>0</v>
      </c>
    </row>
    <row r="58" spans="1:83" ht="24" customHeight="1" x14ac:dyDescent="0.5">
      <c r="A58" s="273">
        <v>4</v>
      </c>
      <c r="B58" s="274" t="s">
        <v>73</v>
      </c>
      <c r="C58" s="400">
        <f t="shared" si="105"/>
        <v>577044.5</v>
      </c>
      <c r="D58" s="55">
        <v>0</v>
      </c>
      <c r="E58" s="401">
        <v>577044.5</v>
      </c>
      <c r="F58" s="99">
        <f ca="1">IFERROR(__xludf.DUMMYFUNCTION("IMPORTRANGE(""https://docs.google.com/spreadsheets/d/1SX6NBoVAgQJ6U1MVXOaj8PK2l7WJ3RER9xtqwdhxkhw/edit?usp=sharing"",""ชลบุรี!M352"")"),0)</f>
        <v>0</v>
      </c>
      <c r="G58" s="99">
        <f t="shared" ca="1" si="1"/>
        <v>0</v>
      </c>
      <c r="H58" s="57">
        <v>69028</v>
      </c>
      <c r="I58" s="57">
        <v>5288</v>
      </c>
      <c r="J58" s="55">
        <f t="shared" ca="1" si="106"/>
        <v>0</v>
      </c>
      <c r="K58" s="99">
        <f t="shared" ca="1" si="3"/>
        <v>0</v>
      </c>
      <c r="L58" s="55">
        <f t="shared" ca="1" si="107"/>
        <v>0</v>
      </c>
      <c r="M58" s="99">
        <f t="shared" ca="1" si="4"/>
        <v>0</v>
      </c>
      <c r="N58" s="55">
        <f ca="1">IFERROR(__xludf.DUMMYFUNCTION("IMPORTRANGE(""https://docs.google.com/spreadsheets/d/1SX6NBoVAgQJ6U1MVXOaj8PK2l7WJ3RER9xtqwdhxkhw/edit?usp=sharing"",""ชลบุรี!J362"")"),0)</f>
        <v>0</v>
      </c>
      <c r="O58" s="55">
        <f ca="1">IFERROR(__xludf.DUMMYFUNCTION("IMPORTRANGE(""https://docs.google.com/spreadsheets/d/1SX6NBoVAgQJ6U1MVXOaj8PK2l7WJ3RER9xtqwdhxkhw/edit?usp=sharing"",""ชลบุรี!J363"")"),0)</f>
        <v>0</v>
      </c>
      <c r="P58" s="55">
        <f ca="1">IFERROR(__xludf.DUMMYFUNCTION("IMPORTRANGE(""https://docs.google.com/spreadsheets/d/1SX6NBoVAgQJ6U1MVXOaj8PK2l7WJ3RER9xtqwdhxkhw/edit?usp=sharing"",""ชลบุรี!J364"")"),0)</f>
        <v>0</v>
      </c>
      <c r="Q58" s="55">
        <f ca="1">IFERROR(__xludf.DUMMYFUNCTION("IMPORTRANGE(""https://docs.google.com/spreadsheets/d/1SX6NBoVAgQJ6U1MVXOaj8PK2l7WJ3RER9xtqwdhxkhw/edit?usp=sharing"",""ชลบุรี!J365"")"),0)</f>
        <v>0</v>
      </c>
      <c r="R58" s="55">
        <f ca="1">IFERROR(__xludf.DUMMYFUNCTION("IMPORTRANGE(""https://docs.google.com/spreadsheets/d/1SX6NBoVAgQJ6U1MVXOaj8PK2l7WJ3RER9xtqwdhxkhw/edit?usp=sharing"",""ชลบุรี!J366"")"),0)</f>
        <v>0</v>
      </c>
      <c r="S58" s="55">
        <f ca="1">IFERROR(__xludf.DUMMYFUNCTION("IMPORTRANGE(""https://docs.google.com/spreadsheets/d/1SX6NBoVAgQJ6U1MVXOaj8PK2l7WJ3RER9xtqwdhxkhw/edit?usp=sharing"",""ชลบุรี!J367"")"),0)</f>
        <v>0</v>
      </c>
      <c r="T58" s="55">
        <f t="shared" ca="1" si="108"/>
        <v>0</v>
      </c>
      <c r="U58" s="55">
        <f t="shared" ca="1" si="6"/>
        <v>0</v>
      </c>
      <c r="V58" s="55">
        <f t="shared" ca="1" si="109"/>
        <v>0</v>
      </c>
      <c r="W58" s="55">
        <f t="shared" ca="1" si="7"/>
        <v>0</v>
      </c>
      <c r="X58" s="55">
        <f ca="1">IFERROR(__xludf.DUMMYFUNCTION("IMPORTRANGE(""https://docs.google.com/spreadsheets/d/1SX6NBoVAgQJ6U1MVXOaj8PK2l7WJ3RER9xtqwdhxkhw/edit?usp=sharing"",""ชลบุรี!J370"")"),0)</f>
        <v>0</v>
      </c>
      <c r="Y58" s="55">
        <f ca="1">IFERROR(__xludf.DUMMYFUNCTION("IMPORTRANGE(""https://docs.google.com/spreadsheets/d/1SX6NBoVAgQJ6U1MVXOaj8PK2l7WJ3RER9xtqwdhxkhw/edit?usp=sharing"",""ชลบุรี!J371"")"),0)</f>
        <v>0</v>
      </c>
      <c r="Z58" s="55">
        <f ca="1">IFERROR(__xludf.DUMMYFUNCTION("IMPORTRANGE(""https://docs.google.com/spreadsheets/d/1SX6NBoVAgQJ6U1MVXOaj8PK2l7WJ3RER9xtqwdhxkhw/edit?usp=sharing"",""ชลบุรี!J372"")"),0)</f>
        <v>0</v>
      </c>
      <c r="AA58" s="55">
        <f ca="1">IFERROR(__xludf.DUMMYFUNCTION("IMPORTRANGE(""https://docs.google.com/spreadsheets/d/1SX6NBoVAgQJ6U1MVXOaj8PK2l7WJ3RER9xtqwdhxkhw/edit?usp=sharing"",""ชลบุรี!J373"")"),0)</f>
        <v>0</v>
      </c>
      <c r="AB58" s="55">
        <f ca="1">IFERROR(__xludf.DUMMYFUNCTION("IMPORTRANGE(""https://docs.google.com/spreadsheets/d/1SX6NBoVAgQJ6U1MVXOaj8PK2l7WJ3RER9xtqwdhxkhw/edit?usp=sharing"",""ชลบุรี!J374"")"),0)</f>
        <v>0</v>
      </c>
      <c r="AC58" s="55">
        <f ca="1">IFERROR(__xludf.DUMMYFUNCTION("IMPORTRANGE(""https://docs.google.com/spreadsheets/d/1SX6NBoVAgQJ6U1MVXOaj8PK2l7WJ3RER9xtqwdhxkhw/edit?usp=sharing"",""ชลบุรี!J375"")"),0)</f>
        <v>0</v>
      </c>
      <c r="AD58" s="55">
        <f t="shared" ca="1" si="110"/>
        <v>0</v>
      </c>
      <c r="AE58" s="99">
        <f t="shared" ca="1" si="9"/>
        <v>0</v>
      </c>
      <c r="AF58" s="55">
        <f t="shared" ca="1" si="111"/>
        <v>0</v>
      </c>
      <c r="AG58" s="99">
        <f t="shared" ca="1" si="10"/>
        <v>0</v>
      </c>
      <c r="AH58" s="55">
        <f ca="1">IFERROR(__xludf.DUMMYFUNCTION("IMPORTRANGE(""https://docs.google.com/spreadsheets/d/1SX6NBoVAgQJ6U1MVXOaj8PK2l7WJ3RER9xtqwdhxkhw/edit?usp=sharing"",""ชลบุรี!J378"")"),0)</f>
        <v>0</v>
      </c>
      <c r="AI58" s="55">
        <f ca="1">IFERROR(__xludf.DUMMYFUNCTION("IMPORTRANGE(""https://docs.google.com/spreadsheets/d/1SX6NBoVAgQJ6U1MVXOaj8PK2l7WJ3RER9xtqwdhxkhw/edit?usp=sharing"",""ชลบุรี!J379"")"),0)</f>
        <v>0</v>
      </c>
      <c r="AJ58" s="55">
        <f ca="1">IFERROR(__xludf.DUMMYFUNCTION("IMPORTRANGE(""https://docs.google.com/spreadsheets/d/1SX6NBoVAgQJ6U1MVXOaj8PK2l7WJ3RER9xtqwdhxkhw/edit?usp=sharing"",""ชลบุรี!J380"")"),0)</f>
        <v>0</v>
      </c>
      <c r="AK58" s="55">
        <f ca="1">IFERROR(__xludf.DUMMYFUNCTION("IMPORTRANGE(""https://docs.google.com/spreadsheets/d/1SX6NBoVAgQJ6U1MVXOaj8PK2l7WJ3RER9xtqwdhxkhw/edit?usp=sharing"",""ชลบุรี!J381"")"),0)</f>
        <v>0</v>
      </c>
      <c r="AL58" s="55">
        <f ca="1">IFERROR(__xludf.DUMMYFUNCTION("IMPORTRANGE(""https://docs.google.com/spreadsheets/d/1SX6NBoVAgQJ6U1MVXOaj8PK2l7WJ3RER9xtqwdhxkhw/edit?usp=sharing"",""ชลบุรี!J384"")"),0)</f>
        <v>0</v>
      </c>
      <c r="AM58" s="55">
        <f ca="1">IFERROR(__xludf.DUMMYFUNCTION("IMPORTRANGE(""https://docs.google.com/spreadsheets/d/1SX6NBoVAgQJ6U1MVXOaj8PK2l7WJ3RER9xtqwdhxkhw/edit?usp=sharing"",""ชลบุรี!J385"")"),0)</f>
        <v>0</v>
      </c>
      <c r="AN58" s="55">
        <f ca="1">IFERROR(__xludf.DUMMYFUNCTION("IMPORTRANGE(""https://docs.google.com/spreadsheets/d/1SX6NBoVAgQJ6U1MVXOaj8PK2l7WJ3RER9xtqwdhxkhw/edit?usp=sharing"",""ชลบุรี!J386"")"),0)</f>
        <v>0</v>
      </c>
      <c r="AO58" s="55">
        <f ca="1">IFERROR(__xludf.DUMMYFUNCTION("IMPORTRANGE(""https://docs.google.com/spreadsheets/d/1SX6NBoVAgQJ6U1MVXOaj8PK2l7WJ3RER9xtqwdhxkhw/edit?usp=sharing"",""ชลบุรี!J387"")"),0)</f>
        <v>0</v>
      </c>
      <c r="AP58" s="55">
        <f ca="1">IFERROR(__xludf.DUMMYFUNCTION("IMPORTRANGE(""https://docs.google.com/spreadsheets/d/1SX6NBoVAgQJ6U1MVXOaj8PK2l7WJ3RER9xtqwdhxkhw/edit?usp=sharing"",""ชลบุรี!J388"")"),0)</f>
        <v>0</v>
      </c>
      <c r="AQ58" s="55">
        <f ca="1">IFERROR(__xludf.DUMMYFUNCTION("IMPORTRANGE(""https://docs.google.com/spreadsheets/d/1SX6NBoVAgQJ6U1MVXOaj8PK2l7WJ3RER9xtqwdhxkhw/edit?usp=sharing"",""ชลบุรี!J389"")"),0)</f>
        <v>0</v>
      </c>
      <c r="AR58" s="402">
        <v>178</v>
      </c>
      <c r="AS58" s="402">
        <v>3158</v>
      </c>
      <c r="AT58" s="402">
        <f t="shared" ca="1" si="112"/>
        <v>0</v>
      </c>
      <c r="AU58" s="402">
        <f t="shared" ca="1" si="12"/>
        <v>0</v>
      </c>
      <c r="AV58" s="402">
        <f t="shared" ca="1" si="113"/>
        <v>0</v>
      </c>
      <c r="AW58" s="402">
        <f t="shared" ca="1" si="13"/>
        <v>0</v>
      </c>
      <c r="AX58" s="55">
        <f ca="1">IFERROR(__xludf.DUMMYFUNCTION("IMPORTRANGE(""https://docs.google.com/spreadsheets/d/1SX6NBoVAgQJ6U1MVXOaj8PK2l7WJ3RER9xtqwdhxkhw/edit?usp=sharing"",""ชลบุรี!J395"")"),0)</f>
        <v>0</v>
      </c>
      <c r="AY58" s="55">
        <f ca="1">IFERROR(__xludf.DUMMYFUNCTION("IMPORTRANGE(""https://docs.google.com/spreadsheets/d/1SX6NBoVAgQJ6U1MVXOaj8PK2l7WJ3RER9xtqwdhxkhw/edit?usp=sharing"",""ชลบุรี!J396"")"),0)</f>
        <v>0</v>
      </c>
      <c r="AZ58" s="55">
        <f ca="1">IFERROR(__xludf.DUMMYFUNCTION("IMPORTRANGE(""https://docs.google.com/spreadsheets/d/1SX6NBoVAgQJ6U1MVXOaj8PK2l7WJ3RER9xtqwdhxkhw/edit?usp=sharing"",""ชลบุรี!J397"")"),0)</f>
        <v>0</v>
      </c>
      <c r="BA58" s="55">
        <f ca="1">IFERROR(__xludf.DUMMYFUNCTION("IMPORTRANGE(""https://docs.google.com/spreadsheets/d/1SX6NBoVAgQJ6U1MVXOaj8PK2l7WJ3RER9xtqwdhxkhw/edit?usp=sharing"",""ชลบุรี!J398"")"),0)</f>
        <v>0</v>
      </c>
      <c r="BB58" s="55">
        <f ca="1">IFERROR(__xludf.DUMMYFUNCTION("IMPORTRANGE(""https://docs.google.com/spreadsheets/d/1SX6NBoVAgQJ6U1MVXOaj8PK2l7WJ3RER9xtqwdhxkhw/edit?usp=sharing"",""ชลบุรี!J399"")"),0)</f>
        <v>0</v>
      </c>
      <c r="BC58" s="55">
        <f ca="1">IFERROR(__xludf.DUMMYFUNCTION("IMPORTRANGE(""https://docs.google.com/spreadsheets/d/1SX6NBoVAgQJ6U1MVXOaj8PK2l7WJ3RER9xtqwdhxkhw/edit?usp=sharing"",""ชลบุรี!J400"")"),0)</f>
        <v>0</v>
      </c>
      <c r="BD58" s="55">
        <f ca="1">IFERROR(__xludf.DUMMYFUNCTION("IMPORTRANGE(""https://docs.google.com/spreadsheets/d/1SX6NBoVAgQJ6U1MVXOaj8PK2l7WJ3RER9xtqwdhxkhw/edit?usp=sharing"",""ชลบุรี!J403"")"),0)</f>
        <v>0</v>
      </c>
      <c r="BE58" s="55">
        <f ca="1">IFERROR(__xludf.DUMMYFUNCTION("IMPORTRANGE(""https://docs.google.com/spreadsheets/d/1SX6NBoVAgQJ6U1MVXOaj8PK2l7WJ3RER9xtqwdhxkhw/edit?usp=sharing"",""ชลบุรี!J404"")"),0)</f>
        <v>0</v>
      </c>
      <c r="BF58" s="55">
        <f ca="1">IFERROR(__xludf.DUMMYFUNCTION("IMPORTRANGE(""https://docs.google.com/spreadsheets/d/1SX6NBoVAgQJ6U1MVXOaj8PK2l7WJ3RER9xtqwdhxkhw/edit?usp=sharing"",""ชลบุรี!J405"")"),0)</f>
        <v>0</v>
      </c>
      <c r="BG58" s="55">
        <f ca="1">IFERROR(__xludf.DUMMYFUNCTION("IMPORTRANGE(""https://docs.google.com/spreadsheets/d/1SX6NBoVAgQJ6U1MVXOaj8PK2l7WJ3RER9xtqwdhxkhw/edit?usp=sharing"",""ชลบุรี!J406"")"),0)</f>
        <v>0</v>
      </c>
      <c r="BH58" s="55">
        <f ca="1">IFERROR(__xludf.DUMMYFUNCTION("IMPORTRANGE(""https://docs.google.com/spreadsheets/d/1SX6NBoVAgQJ6U1MVXOaj8PK2l7WJ3RER9xtqwdhxkhw/edit?usp=sharing"",""ชลบุรี!J407"")"),0)</f>
        <v>0</v>
      </c>
      <c r="BI58" s="55">
        <f ca="1">IFERROR(__xludf.DUMMYFUNCTION("IMPORTRANGE(""https://docs.google.com/spreadsheets/d/1SX6NBoVAgQJ6U1MVXOaj8PK2l7WJ3RER9xtqwdhxkhw/edit?usp=sharing"",""ชลบุรี!J408"")"),0)</f>
        <v>0</v>
      </c>
      <c r="BJ58" s="402">
        <v>69028</v>
      </c>
      <c r="BK58" s="402">
        <v>5288</v>
      </c>
      <c r="BL58" s="402">
        <f t="shared" ca="1" si="114"/>
        <v>0</v>
      </c>
      <c r="BM58" s="403">
        <f t="shared" ca="1" si="15"/>
        <v>0</v>
      </c>
      <c r="BN58" s="402">
        <f t="shared" ca="1" si="115"/>
        <v>0</v>
      </c>
      <c r="BO58" s="403">
        <f t="shared" ca="1" si="16"/>
        <v>0</v>
      </c>
      <c r="BP58" s="55">
        <f ca="1">IFERROR(__xludf.DUMMYFUNCTION("IMPORTRANGE(""https://docs.google.com/spreadsheets/d/1SX6NBoVAgQJ6U1MVXOaj8PK2l7WJ3RER9xtqwdhxkhw/edit?usp=sharing"",""ชลบุรี!J412"")"),0)</f>
        <v>0</v>
      </c>
      <c r="BQ58" s="55">
        <f ca="1">IFERROR(__xludf.DUMMYFUNCTION("IMPORTRANGE(""https://docs.google.com/spreadsheets/d/1SX6NBoVAgQJ6U1MVXOaj8PK2l7WJ3RER9xtqwdhxkhw/edit?usp=sharing"",""ชลบุรี!J413"")"),0)</f>
        <v>0</v>
      </c>
      <c r="BR58" s="55">
        <f ca="1">IFERROR(__xludf.DUMMYFUNCTION("IMPORTRANGE(""https://docs.google.com/spreadsheets/d/1SX6NBoVAgQJ6U1MVXOaj8PK2l7WJ3RER9xtqwdhxkhw/edit?usp=sharing"",""ชลบุรี!J414"")"),0)</f>
        <v>0</v>
      </c>
      <c r="BS58" s="55">
        <f ca="1">IFERROR(__xludf.DUMMYFUNCTION("IMPORTRANGE(""https://docs.google.com/spreadsheets/d/1SX6NBoVAgQJ6U1MVXOaj8PK2l7WJ3RER9xtqwdhxkhw/edit?usp=sharing"",""ชลบุรี!J415"")"),0)</f>
        <v>0</v>
      </c>
      <c r="BT58" s="55">
        <f ca="1">IFERROR(__xludf.DUMMYFUNCTION("IMPORTRANGE(""https://docs.google.com/spreadsheets/d/1SX6NBoVAgQJ6U1MVXOaj8PK2l7WJ3RER9xtqwdhxkhw/edit?usp=sharing"",""ชลบุรี!J416"")"),0)</f>
        <v>0</v>
      </c>
      <c r="BU58" s="55">
        <f ca="1">IFERROR(__xludf.DUMMYFUNCTION("IMPORTRANGE(""https://docs.google.com/spreadsheets/d/1SX6NBoVAgQJ6U1MVXOaj8PK2l7WJ3RER9xtqwdhxkhw/edit?usp=sharing"",""ชลบุรี!J417"")"),0)</f>
        <v>0</v>
      </c>
      <c r="BV58" s="402">
        <f t="shared" ca="1" si="116"/>
        <v>0</v>
      </c>
      <c r="BW58" s="403">
        <f t="shared" ca="1" si="117"/>
        <v>0</v>
      </c>
      <c r="BX58" s="402">
        <f t="shared" ca="1" si="118"/>
        <v>0</v>
      </c>
      <c r="BY58" s="403">
        <f t="shared" ca="1" si="119"/>
        <v>0</v>
      </c>
      <c r="BZ58" s="55">
        <f ca="1">IFERROR(__xludf.DUMMYFUNCTION("IMPORTRANGE(""https://docs.google.com/spreadsheets/d/1SX6NBoVAgQJ6U1MVXOaj8PK2l7WJ3RER9xtqwdhxkhw/edit?usp=sharing"",""ชลบุรี!J420"")"),0)</f>
        <v>0</v>
      </c>
      <c r="CA58" s="55">
        <f ca="1">IFERROR(__xludf.DUMMYFUNCTION("IMPORTRANGE(""https://docs.google.com/spreadsheets/d/1SX6NBoVAgQJ6U1MVXOaj8PK2l7WJ3RER9xtqwdhxkhw/edit?usp=sharing"",""ชลบุรี!J421"")"),0)</f>
        <v>0</v>
      </c>
      <c r="CB58" s="55">
        <f ca="1">IFERROR(__xludf.DUMMYFUNCTION("IMPORTRANGE(""https://docs.google.com/spreadsheets/d/1SX6NBoVAgQJ6U1MVXOaj8PK2l7WJ3RER9xtqwdhxkhw/edit?usp=sharing"",""ชลบุรี!J422"")"),0)</f>
        <v>0</v>
      </c>
      <c r="CC58" s="55">
        <f ca="1">IFERROR(__xludf.DUMMYFUNCTION("IMPORTRANGE(""https://docs.google.com/spreadsheets/d/1SX6NBoVAgQJ6U1MVXOaj8PK2l7WJ3RER9xtqwdhxkhw/edit?usp=sharing"",""ชลบุรี!J423"")"),0)</f>
        <v>0</v>
      </c>
      <c r="CD58" s="55">
        <f ca="1">IFERROR(__xludf.DUMMYFUNCTION("IMPORTRANGE(""https://docs.google.com/spreadsheets/d/1SX6NBoVAgQJ6U1MVXOaj8PK2l7WJ3RER9xtqwdhxkhw/edit?usp=sharing"",""ชลบุรี!J424"")"),0)</f>
        <v>0</v>
      </c>
      <c r="CE58" s="422">
        <f ca="1">IFERROR(__xludf.DUMMYFUNCTION("IMPORTRANGE(""https://docs.google.com/spreadsheets/d/1SX6NBoVAgQJ6U1MVXOaj8PK2l7WJ3RER9xtqwdhxkhw/edit?usp=sharing"",""ชลบุรี!J425"")"),0)</f>
        <v>0</v>
      </c>
    </row>
    <row r="59" spans="1:83" ht="24" customHeight="1" x14ac:dyDescent="0.5">
      <c r="A59" s="273">
        <v>5</v>
      </c>
      <c r="B59" s="274" t="s">
        <v>74</v>
      </c>
      <c r="C59" s="400">
        <f t="shared" si="105"/>
        <v>98174.27</v>
      </c>
      <c r="D59" s="55">
        <v>0</v>
      </c>
      <c r="E59" s="401">
        <v>98174.27</v>
      </c>
      <c r="F59" s="99">
        <f ca="1">IFERROR(__xludf.DUMMYFUNCTION("IMPORTRANGE(""https://docs.google.com/spreadsheets/d/1SX6NBoVAgQJ6U1MVXOaj8PK2l7WJ3RER9xtqwdhxkhw/edit?usp=sharing"",""ชัยนาท!M352"")"),0)</f>
        <v>0</v>
      </c>
      <c r="G59" s="99">
        <f t="shared" ca="1" si="1"/>
        <v>0</v>
      </c>
      <c r="H59" s="57">
        <v>5880</v>
      </c>
      <c r="I59" s="57">
        <v>321</v>
      </c>
      <c r="J59" s="55">
        <f t="shared" ca="1" si="106"/>
        <v>0</v>
      </c>
      <c r="K59" s="99">
        <f t="shared" ca="1" si="3"/>
        <v>0</v>
      </c>
      <c r="L59" s="55">
        <f t="shared" ca="1" si="107"/>
        <v>0</v>
      </c>
      <c r="M59" s="99">
        <f t="shared" ca="1" si="4"/>
        <v>0</v>
      </c>
      <c r="N59" s="55">
        <f ca="1">IFERROR(__xludf.DUMMYFUNCTION("IMPORTRANGE(""https://docs.google.com/spreadsheets/d/1SX6NBoVAgQJ6U1MVXOaj8PK2l7WJ3RER9xtqwdhxkhw/edit?usp=sharing"",""ชัยนาท!J362"")"),0)</f>
        <v>0</v>
      </c>
      <c r="O59" s="55">
        <f ca="1">IFERROR(__xludf.DUMMYFUNCTION("IMPORTRANGE(""https://docs.google.com/spreadsheets/d/1SX6NBoVAgQJ6U1MVXOaj8PK2l7WJ3RER9xtqwdhxkhw/edit?usp=sharing"",""ชัยนาท!J363"")"),0)</f>
        <v>0</v>
      </c>
      <c r="P59" s="55">
        <f ca="1">IFERROR(__xludf.DUMMYFUNCTION("IMPORTRANGE(""https://docs.google.com/spreadsheets/d/1SX6NBoVAgQJ6U1MVXOaj8PK2l7WJ3RER9xtqwdhxkhw/edit?usp=sharing"",""ชัยนาท!J364"")"),0)</f>
        <v>0</v>
      </c>
      <c r="Q59" s="55">
        <f ca="1">IFERROR(__xludf.DUMMYFUNCTION("IMPORTRANGE(""https://docs.google.com/spreadsheets/d/1SX6NBoVAgQJ6U1MVXOaj8PK2l7WJ3RER9xtqwdhxkhw/edit?usp=sharing"",""ชัยนาท!J365"")"),0)</f>
        <v>0</v>
      </c>
      <c r="R59" s="55">
        <f ca="1">IFERROR(__xludf.DUMMYFUNCTION("IMPORTRANGE(""https://docs.google.com/spreadsheets/d/1SX6NBoVAgQJ6U1MVXOaj8PK2l7WJ3RER9xtqwdhxkhw/edit?usp=sharing"",""ชัยนาท!J366"")"),0)</f>
        <v>0</v>
      </c>
      <c r="S59" s="55">
        <f ca="1">IFERROR(__xludf.DUMMYFUNCTION("IMPORTRANGE(""https://docs.google.com/spreadsheets/d/1SX6NBoVAgQJ6U1MVXOaj8PK2l7WJ3RER9xtqwdhxkhw/edit?usp=sharing"",""ชัยนาท!J367"")"),0)</f>
        <v>0</v>
      </c>
      <c r="T59" s="55">
        <f t="shared" ca="1" si="108"/>
        <v>0</v>
      </c>
      <c r="U59" s="55">
        <f t="shared" ca="1" si="6"/>
        <v>0</v>
      </c>
      <c r="V59" s="55">
        <f t="shared" ca="1" si="109"/>
        <v>0</v>
      </c>
      <c r="W59" s="55">
        <f t="shared" ca="1" si="7"/>
        <v>0</v>
      </c>
      <c r="X59" s="55">
        <f ca="1">IFERROR(__xludf.DUMMYFUNCTION("IMPORTRANGE(""https://docs.google.com/spreadsheets/d/1SX6NBoVAgQJ6U1MVXOaj8PK2l7WJ3RER9xtqwdhxkhw/edit?usp=sharing"",""ชัยนาท!J370"")"),0)</f>
        <v>0</v>
      </c>
      <c r="Y59" s="55">
        <f ca="1">IFERROR(__xludf.DUMMYFUNCTION("IMPORTRANGE(""https://docs.google.com/spreadsheets/d/1SX6NBoVAgQJ6U1MVXOaj8PK2l7WJ3RER9xtqwdhxkhw/edit?usp=sharing"",""ชัยนาท!J371"")"),0)</f>
        <v>0</v>
      </c>
      <c r="Z59" s="55">
        <f ca="1">IFERROR(__xludf.DUMMYFUNCTION("IMPORTRANGE(""https://docs.google.com/spreadsheets/d/1SX6NBoVAgQJ6U1MVXOaj8PK2l7WJ3RER9xtqwdhxkhw/edit?usp=sharing"",""ชัยนาท!J372"")"),0)</f>
        <v>0</v>
      </c>
      <c r="AA59" s="55">
        <f ca="1">IFERROR(__xludf.DUMMYFUNCTION("IMPORTRANGE(""https://docs.google.com/spreadsheets/d/1SX6NBoVAgQJ6U1MVXOaj8PK2l7WJ3RER9xtqwdhxkhw/edit?usp=sharing"",""ชัยนาท!J373"")"),0)</f>
        <v>0</v>
      </c>
      <c r="AB59" s="55">
        <f ca="1">IFERROR(__xludf.DUMMYFUNCTION("IMPORTRANGE(""https://docs.google.com/spreadsheets/d/1SX6NBoVAgQJ6U1MVXOaj8PK2l7WJ3RER9xtqwdhxkhw/edit?usp=sharing"",""ชัยนาท!J374"")"),0)</f>
        <v>0</v>
      </c>
      <c r="AC59" s="55">
        <f ca="1">IFERROR(__xludf.DUMMYFUNCTION("IMPORTRANGE(""https://docs.google.com/spreadsheets/d/1SX6NBoVAgQJ6U1MVXOaj8PK2l7WJ3RER9xtqwdhxkhw/edit?usp=sharing"",""ชัยนาท!J375"")"),0)</f>
        <v>0</v>
      </c>
      <c r="AD59" s="55">
        <f t="shared" ca="1" si="110"/>
        <v>0</v>
      </c>
      <c r="AE59" s="99">
        <f t="shared" ca="1" si="9"/>
        <v>0</v>
      </c>
      <c r="AF59" s="55">
        <f t="shared" ca="1" si="111"/>
        <v>0</v>
      </c>
      <c r="AG59" s="99">
        <f t="shared" ca="1" si="10"/>
        <v>0</v>
      </c>
      <c r="AH59" s="55">
        <f ca="1">IFERROR(__xludf.DUMMYFUNCTION("IMPORTRANGE(""https://docs.google.com/spreadsheets/d/1SX6NBoVAgQJ6U1MVXOaj8PK2l7WJ3RER9xtqwdhxkhw/edit?usp=sharing"",""ชัยนาท!J378"")"),0)</f>
        <v>0</v>
      </c>
      <c r="AI59" s="55">
        <f ca="1">IFERROR(__xludf.DUMMYFUNCTION("IMPORTRANGE(""https://docs.google.com/spreadsheets/d/1SX6NBoVAgQJ6U1MVXOaj8PK2l7WJ3RER9xtqwdhxkhw/edit?usp=sharing"",""ชัยนาท!J379"")"),0)</f>
        <v>0</v>
      </c>
      <c r="AJ59" s="55">
        <f ca="1">IFERROR(__xludf.DUMMYFUNCTION("IMPORTRANGE(""https://docs.google.com/spreadsheets/d/1SX6NBoVAgQJ6U1MVXOaj8PK2l7WJ3RER9xtqwdhxkhw/edit?usp=sharing"",""ชัยนาท!J380"")"),0)</f>
        <v>0</v>
      </c>
      <c r="AK59" s="55">
        <f ca="1">IFERROR(__xludf.DUMMYFUNCTION("IMPORTRANGE(""https://docs.google.com/spreadsheets/d/1SX6NBoVAgQJ6U1MVXOaj8PK2l7WJ3RER9xtqwdhxkhw/edit?usp=sharing"",""ชัยนาท!J381"")"),0)</f>
        <v>0</v>
      </c>
      <c r="AL59" s="55">
        <f ca="1">IFERROR(__xludf.DUMMYFUNCTION("IMPORTRANGE(""https://docs.google.com/spreadsheets/d/1SX6NBoVAgQJ6U1MVXOaj8PK2l7WJ3RER9xtqwdhxkhw/edit?usp=sharing"",""ชัยนาท!J384"")"),0)</f>
        <v>0</v>
      </c>
      <c r="AM59" s="55">
        <f ca="1">IFERROR(__xludf.DUMMYFUNCTION("IMPORTRANGE(""https://docs.google.com/spreadsheets/d/1SX6NBoVAgQJ6U1MVXOaj8PK2l7WJ3RER9xtqwdhxkhw/edit?usp=sharing"",""ชัยนาท!J385"")"),0)</f>
        <v>0</v>
      </c>
      <c r="AN59" s="55">
        <f ca="1">IFERROR(__xludf.DUMMYFUNCTION("IMPORTRANGE(""https://docs.google.com/spreadsheets/d/1SX6NBoVAgQJ6U1MVXOaj8PK2l7WJ3RER9xtqwdhxkhw/edit?usp=sharing"",""ชัยนาท!J386"")"),0)</f>
        <v>0</v>
      </c>
      <c r="AO59" s="55">
        <f ca="1">IFERROR(__xludf.DUMMYFUNCTION("IMPORTRANGE(""https://docs.google.com/spreadsheets/d/1SX6NBoVAgQJ6U1MVXOaj8PK2l7WJ3RER9xtqwdhxkhw/edit?usp=sharing"",""ชัยนาท!J387"")"),0)</f>
        <v>0</v>
      </c>
      <c r="AP59" s="55">
        <f ca="1">IFERROR(__xludf.DUMMYFUNCTION("IMPORTRANGE(""https://docs.google.com/spreadsheets/d/1SX6NBoVAgQJ6U1MVXOaj8PK2l7WJ3RER9xtqwdhxkhw/edit?usp=sharing"",""ชัยนาท!J388"")"),0)</f>
        <v>0</v>
      </c>
      <c r="AQ59" s="55">
        <f ca="1">IFERROR(__xludf.DUMMYFUNCTION("IMPORTRANGE(""https://docs.google.com/spreadsheets/d/1SX6NBoVAgQJ6U1MVXOaj8PK2l7WJ3RER9xtqwdhxkhw/edit?usp=sharing"",""ชัยนาท!J389"")"),0)</f>
        <v>0</v>
      </c>
      <c r="AR59" s="402">
        <v>6</v>
      </c>
      <c r="AS59" s="402">
        <v>116</v>
      </c>
      <c r="AT59" s="402">
        <f t="shared" ca="1" si="112"/>
        <v>0</v>
      </c>
      <c r="AU59" s="402">
        <f t="shared" ca="1" si="12"/>
        <v>0</v>
      </c>
      <c r="AV59" s="402">
        <f t="shared" ca="1" si="113"/>
        <v>0</v>
      </c>
      <c r="AW59" s="402">
        <f t="shared" ca="1" si="13"/>
        <v>0</v>
      </c>
      <c r="AX59" s="55">
        <f ca="1">IFERROR(__xludf.DUMMYFUNCTION("IMPORTRANGE(""https://docs.google.com/spreadsheets/d/1SX6NBoVAgQJ6U1MVXOaj8PK2l7WJ3RER9xtqwdhxkhw/edit?usp=sharing"",""ชัยนาท!J395"")"),0)</f>
        <v>0</v>
      </c>
      <c r="AY59" s="55">
        <f ca="1">IFERROR(__xludf.DUMMYFUNCTION("IMPORTRANGE(""https://docs.google.com/spreadsheets/d/1SX6NBoVAgQJ6U1MVXOaj8PK2l7WJ3RER9xtqwdhxkhw/edit?usp=sharing"",""ชัยนาท!J396"")"),0)</f>
        <v>0</v>
      </c>
      <c r="AZ59" s="55">
        <f ca="1">IFERROR(__xludf.DUMMYFUNCTION("IMPORTRANGE(""https://docs.google.com/spreadsheets/d/1SX6NBoVAgQJ6U1MVXOaj8PK2l7WJ3RER9xtqwdhxkhw/edit?usp=sharing"",""ชัยนาท!J397"")"),0)</f>
        <v>0</v>
      </c>
      <c r="BA59" s="55">
        <f ca="1">IFERROR(__xludf.DUMMYFUNCTION("IMPORTRANGE(""https://docs.google.com/spreadsheets/d/1SX6NBoVAgQJ6U1MVXOaj8PK2l7WJ3RER9xtqwdhxkhw/edit?usp=sharing"",""ชัยนาท!J398"")"),0)</f>
        <v>0</v>
      </c>
      <c r="BB59" s="55">
        <f ca="1">IFERROR(__xludf.DUMMYFUNCTION("IMPORTRANGE(""https://docs.google.com/spreadsheets/d/1SX6NBoVAgQJ6U1MVXOaj8PK2l7WJ3RER9xtqwdhxkhw/edit?usp=sharing"",""ชัยนาท!J399"")"),0)</f>
        <v>0</v>
      </c>
      <c r="BC59" s="55">
        <f ca="1">IFERROR(__xludf.DUMMYFUNCTION("IMPORTRANGE(""https://docs.google.com/spreadsheets/d/1SX6NBoVAgQJ6U1MVXOaj8PK2l7WJ3RER9xtqwdhxkhw/edit?usp=sharing"",""ชัยนาท!J400"")"),0)</f>
        <v>0</v>
      </c>
      <c r="BD59" s="55">
        <f ca="1">IFERROR(__xludf.DUMMYFUNCTION("IMPORTRANGE(""https://docs.google.com/spreadsheets/d/1SX6NBoVAgQJ6U1MVXOaj8PK2l7WJ3RER9xtqwdhxkhw/edit?usp=sharing"",""ชัยนาท!J403"")"),0)</f>
        <v>0</v>
      </c>
      <c r="BE59" s="55">
        <f ca="1">IFERROR(__xludf.DUMMYFUNCTION("IMPORTRANGE(""https://docs.google.com/spreadsheets/d/1SX6NBoVAgQJ6U1MVXOaj8PK2l7WJ3RER9xtqwdhxkhw/edit?usp=sharing"",""ชัยนาท!J404"")"),0)</f>
        <v>0</v>
      </c>
      <c r="BF59" s="55">
        <f ca="1">IFERROR(__xludf.DUMMYFUNCTION("IMPORTRANGE(""https://docs.google.com/spreadsheets/d/1SX6NBoVAgQJ6U1MVXOaj8PK2l7WJ3RER9xtqwdhxkhw/edit?usp=sharing"",""ชัยนาท!J405"")"),0)</f>
        <v>0</v>
      </c>
      <c r="BG59" s="55">
        <f ca="1">IFERROR(__xludf.DUMMYFUNCTION("IMPORTRANGE(""https://docs.google.com/spreadsheets/d/1SX6NBoVAgQJ6U1MVXOaj8PK2l7WJ3RER9xtqwdhxkhw/edit?usp=sharing"",""ชัยนาท!J406"")"),0)</f>
        <v>0</v>
      </c>
      <c r="BH59" s="55">
        <f ca="1">IFERROR(__xludf.DUMMYFUNCTION("IMPORTRANGE(""https://docs.google.com/spreadsheets/d/1SX6NBoVAgQJ6U1MVXOaj8PK2l7WJ3RER9xtqwdhxkhw/edit?usp=sharing"",""ชัยนาท!J407"")"),0)</f>
        <v>0</v>
      </c>
      <c r="BI59" s="55">
        <f ca="1">IFERROR(__xludf.DUMMYFUNCTION("IMPORTRANGE(""https://docs.google.com/spreadsheets/d/1SX6NBoVAgQJ6U1MVXOaj8PK2l7WJ3RER9xtqwdhxkhw/edit?usp=sharing"",""ชัยนาท!J408"")"),0)</f>
        <v>0</v>
      </c>
      <c r="BJ59" s="402">
        <v>5880</v>
      </c>
      <c r="BK59" s="402">
        <v>321</v>
      </c>
      <c r="BL59" s="402">
        <f t="shared" ca="1" si="114"/>
        <v>0</v>
      </c>
      <c r="BM59" s="403">
        <f t="shared" ca="1" si="15"/>
        <v>0</v>
      </c>
      <c r="BN59" s="402">
        <f t="shared" ca="1" si="115"/>
        <v>0</v>
      </c>
      <c r="BO59" s="403">
        <f t="shared" ca="1" si="16"/>
        <v>0</v>
      </c>
      <c r="BP59" s="55">
        <f ca="1">IFERROR(__xludf.DUMMYFUNCTION("IMPORTRANGE(""https://docs.google.com/spreadsheets/d/1SX6NBoVAgQJ6U1MVXOaj8PK2l7WJ3RER9xtqwdhxkhw/edit?usp=sharing"",""ชัยนาท!J412"")"),0)</f>
        <v>0</v>
      </c>
      <c r="BQ59" s="55">
        <f ca="1">IFERROR(__xludf.DUMMYFUNCTION("IMPORTRANGE(""https://docs.google.com/spreadsheets/d/1SX6NBoVAgQJ6U1MVXOaj8PK2l7WJ3RER9xtqwdhxkhw/edit?usp=sharing"",""ชัยนาท!J413"")"),0)</f>
        <v>0</v>
      </c>
      <c r="BR59" s="55">
        <f ca="1">IFERROR(__xludf.DUMMYFUNCTION("IMPORTRANGE(""https://docs.google.com/spreadsheets/d/1SX6NBoVAgQJ6U1MVXOaj8PK2l7WJ3RER9xtqwdhxkhw/edit?usp=sharing"",""ชัยนาท!J414"")"),0)</f>
        <v>0</v>
      </c>
      <c r="BS59" s="55">
        <f ca="1">IFERROR(__xludf.DUMMYFUNCTION("IMPORTRANGE(""https://docs.google.com/spreadsheets/d/1SX6NBoVAgQJ6U1MVXOaj8PK2l7WJ3RER9xtqwdhxkhw/edit?usp=sharing"",""ชัยนาท!J415"")"),0)</f>
        <v>0</v>
      </c>
      <c r="BT59" s="55">
        <f ca="1">IFERROR(__xludf.DUMMYFUNCTION("IMPORTRANGE(""https://docs.google.com/spreadsheets/d/1SX6NBoVAgQJ6U1MVXOaj8PK2l7WJ3RER9xtqwdhxkhw/edit?usp=sharing"",""ชัยนาท!J416"")"),0)</f>
        <v>0</v>
      </c>
      <c r="BU59" s="55">
        <f ca="1">IFERROR(__xludf.DUMMYFUNCTION("IMPORTRANGE(""https://docs.google.com/spreadsheets/d/1SX6NBoVAgQJ6U1MVXOaj8PK2l7WJ3RER9xtqwdhxkhw/edit?usp=sharing"",""ชัยนาท!J417"")"),0)</f>
        <v>0</v>
      </c>
      <c r="BV59" s="402">
        <f t="shared" ca="1" si="116"/>
        <v>0</v>
      </c>
      <c r="BW59" s="403">
        <f t="shared" ca="1" si="117"/>
        <v>0</v>
      </c>
      <c r="BX59" s="402">
        <f t="shared" ca="1" si="118"/>
        <v>0</v>
      </c>
      <c r="BY59" s="403">
        <f t="shared" ca="1" si="119"/>
        <v>0</v>
      </c>
      <c r="BZ59" s="55">
        <f ca="1">IFERROR(__xludf.DUMMYFUNCTION("IMPORTRANGE(""https://docs.google.com/spreadsheets/d/1SX6NBoVAgQJ6U1MVXOaj8PK2l7WJ3RER9xtqwdhxkhw/edit?usp=sharing"",""ชัยนาท!J420"")"),0)</f>
        <v>0</v>
      </c>
      <c r="CA59" s="55">
        <f ca="1">IFERROR(__xludf.DUMMYFUNCTION("IMPORTRANGE(""https://docs.google.com/spreadsheets/d/1SX6NBoVAgQJ6U1MVXOaj8PK2l7WJ3RER9xtqwdhxkhw/edit?usp=sharing"",""ชัยนาท!J421"")"),0)</f>
        <v>0</v>
      </c>
      <c r="CB59" s="55">
        <f ca="1">IFERROR(__xludf.DUMMYFUNCTION("IMPORTRANGE(""https://docs.google.com/spreadsheets/d/1SX6NBoVAgQJ6U1MVXOaj8PK2l7WJ3RER9xtqwdhxkhw/edit?usp=sharing"",""ชัยนาท!J422"")"),0)</f>
        <v>0</v>
      </c>
      <c r="CC59" s="55">
        <f ca="1">IFERROR(__xludf.DUMMYFUNCTION("IMPORTRANGE(""https://docs.google.com/spreadsheets/d/1SX6NBoVAgQJ6U1MVXOaj8PK2l7WJ3RER9xtqwdhxkhw/edit?usp=sharing"",""ชัยนาท!J423"")"),0)</f>
        <v>0</v>
      </c>
      <c r="CD59" s="55">
        <f ca="1">IFERROR(__xludf.DUMMYFUNCTION("IMPORTRANGE(""https://docs.google.com/spreadsheets/d/1SX6NBoVAgQJ6U1MVXOaj8PK2l7WJ3RER9xtqwdhxkhw/edit?usp=sharing"",""ชัยนาท!J424"")"),0)</f>
        <v>0</v>
      </c>
      <c r="CE59" s="422">
        <f ca="1">IFERROR(__xludf.DUMMYFUNCTION("IMPORTRANGE(""https://docs.google.com/spreadsheets/d/1SX6NBoVAgQJ6U1MVXOaj8PK2l7WJ3RER9xtqwdhxkhw/edit?usp=sharing"",""ชัยนาท!J425"")"),0)</f>
        <v>0</v>
      </c>
    </row>
    <row r="60" spans="1:83" ht="24" customHeight="1" x14ac:dyDescent="0.5">
      <c r="A60" s="273">
        <v>6</v>
      </c>
      <c r="B60" s="274" t="s">
        <v>75</v>
      </c>
      <c r="C60" s="400">
        <f t="shared" si="105"/>
        <v>66252</v>
      </c>
      <c r="D60" s="55">
        <v>0</v>
      </c>
      <c r="E60" s="401">
        <v>66252</v>
      </c>
      <c r="F60" s="99">
        <f ca="1">IFERROR(__xludf.DUMMYFUNCTION("IMPORTRANGE(""https://docs.google.com/spreadsheets/d/1SX6NBoVAgQJ6U1MVXOaj8PK2l7WJ3RER9xtqwdhxkhw/edit?usp=sharing"",""ตราด!M352"")"),0)</f>
        <v>0</v>
      </c>
      <c r="G60" s="99">
        <f t="shared" ca="1" si="1"/>
        <v>0</v>
      </c>
      <c r="H60" s="57">
        <v>0</v>
      </c>
      <c r="I60" s="57">
        <v>0</v>
      </c>
      <c r="J60" s="55">
        <f t="shared" ca="1" si="106"/>
        <v>0</v>
      </c>
      <c r="K60" s="99">
        <f t="shared" si="3"/>
        <v>0</v>
      </c>
      <c r="L60" s="55">
        <f t="shared" ca="1" si="107"/>
        <v>0</v>
      </c>
      <c r="M60" s="99">
        <f t="shared" si="4"/>
        <v>0</v>
      </c>
      <c r="N60" s="55">
        <f ca="1">IFERROR(__xludf.DUMMYFUNCTION("IMPORTRANGE(""https://docs.google.com/spreadsheets/d/1SX6NBoVAgQJ6U1MVXOaj8PK2l7WJ3RER9xtqwdhxkhw/edit?usp=sharing"",""ตราด!J362"")"),0)</f>
        <v>0</v>
      </c>
      <c r="O60" s="55">
        <f ca="1">IFERROR(__xludf.DUMMYFUNCTION("IMPORTRANGE(""https://docs.google.com/spreadsheets/d/1SX6NBoVAgQJ6U1MVXOaj8PK2l7WJ3RER9xtqwdhxkhw/edit?usp=sharing"",""ตราด!J363"")"),0)</f>
        <v>0</v>
      </c>
      <c r="P60" s="55">
        <f ca="1">IFERROR(__xludf.DUMMYFUNCTION("IMPORTRANGE(""https://docs.google.com/spreadsheets/d/1SX6NBoVAgQJ6U1MVXOaj8PK2l7WJ3RER9xtqwdhxkhw/edit?usp=sharing"",""ตราด!J364"")"),0)</f>
        <v>0</v>
      </c>
      <c r="Q60" s="55">
        <f ca="1">IFERROR(__xludf.DUMMYFUNCTION("IMPORTRANGE(""https://docs.google.com/spreadsheets/d/1SX6NBoVAgQJ6U1MVXOaj8PK2l7WJ3RER9xtqwdhxkhw/edit?usp=sharing"",""ตราด!J365"")"),0)</f>
        <v>0</v>
      </c>
      <c r="R60" s="55">
        <f ca="1">IFERROR(__xludf.DUMMYFUNCTION("IMPORTRANGE(""https://docs.google.com/spreadsheets/d/1SX6NBoVAgQJ6U1MVXOaj8PK2l7WJ3RER9xtqwdhxkhw/edit?usp=sharing"",""ตราด!J366"")"),0)</f>
        <v>0</v>
      </c>
      <c r="S60" s="55">
        <f ca="1">IFERROR(__xludf.DUMMYFUNCTION("IMPORTRANGE(""https://docs.google.com/spreadsheets/d/1SX6NBoVAgQJ6U1MVXOaj8PK2l7WJ3RER9xtqwdhxkhw/edit?usp=sharing"",""ตราด!J367"")"),0)</f>
        <v>0</v>
      </c>
      <c r="T60" s="55">
        <f t="shared" ca="1" si="108"/>
        <v>0</v>
      </c>
      <c r="U60" s="55">
        <f t="shared" si="6"/>
        <v>0</v>
      </c>
      <c r="V60" s="55">
        <f t="shared" ca="1" si="109"/>
        <v>0</v>
      </c>
      <c r="W60" s="55">
        <f t="shared" si="7"/>
        <v>0</v>
      </c>
      <c r="X60" s="55">
        <f ca="1">IFERROR(__xludf.DUMMYFUNCTION("IMPORTRANGE(""https://docs.google.com/spreadsheets/d/1SX6NBoVAgQJ6U1MVXOaj8PK2l7WJ3RER9xtqwdhxkhw/edit?usp=sharing"",""ตราด!J370"")"),0)</f>
        <v>0</v>
      </c>
      <c r="Y60" s="55">
        <f ca="1">IFERROR(__xludf.DUMMYFUNCTION("IMPORTRANGE(""https://docs.google.com/spreadsheets/d/1SX6NBoVAgQJ6U1MVXOaj8PK2l7WJ3RER9xtqwdhxkhw/edit?usp=sharing"",""ตราด!J371"")"),0)</f>
        <v>0</v>
      </c>
      <c r="Z60" s="55">
        <f ca="1">IFERROR(__xludf.DUMMYFUNCTION("IMPORTRANGE(""https://docs.google.com/spreadsheets/d/1SX6NBoVAgQJ6U1MVXOaj8PK2l7WJ3RER9xtqwdhxkhw/edit?usp=sharing"",""ตราด!J372"")"),0)</f>
        <v>0</v>
      </c>
      <c r="AA60" s="55">
        <f ca="1">IFERROR(__xludf.DUMMYFUNCTION("IMPORTRANGE(""https://docs.google.com/spreadsheets/d/1SX6NBoVAgQJ6U1MVXOaj8PK2l7WJ3RER9xtqwdhxkhw/edit?usp=sharing"",""ตราด!J373"")"),0)</f>
        <v>0</v>
      </c>
      <c r="AB60" s="55">
        <f ca="1">IFERROR(__xludf.DUMMYFUNCTION("IMPORTRANGE(""https://docs.google.com/spreadsheets/d/1SX6NBoVAgQJ6U1MVXOaj8PK2l7WJ3RER9xtqwdhxkhw/edit?usp=sharing"",""ตราด!J374"")"),0)</f>
        <v>0</v>
      </c>
      <c r="AC60" s="55">
        <f ca="1">IFERROR(__xludf.DUMMYFUNCTION("IMPORTRANGE(""https://docs.google.com/spreadsheets/d/1SX6NBoVAgQJ6U1MVXOaj8PK2l7WJ3RER9xtqwdhxkhw/edit?usp=sharing"",""ตราด!J375"")"),0)</f>
        <v>0</v>
      </c>
      <c r="AD60" s="55">
        <f t="shared" ca="1" si="110"/>
        <v>0</v>
      </c>
      <c r="AE60" s="99">
        <f t="shared" si="9"/>
        <v>0</v>
      </c>
      <c r="AF60" s="55">
        <f t="shared" ca="1" si="111"/>
        <v>0</v>
      </c>
      <c r="AG60" s="99">
        <f t="shared" si="10"/>
        <v>0</v>
      </c>
      <c r="AH60" s="55">
        <f ca="1">IFERROR(__xludf.DUMMYFUNCTION("IMPORTRANGE(""https://docs.google.com/spreadsheets/d/1SX6NBoVAgQJ6U1MVXOaj8PK2l7WJ3RER9xtqwdhxkhw/edit?usp=sharing"",""ตราด!J378"")"),0)</f>
        <v>0</v>
      </c>
      <c r="AI60" s="55">
        <f ca="1">IFERROR(__xludf.DUMMYFUNCTION("IMPORTRANGE(""https://docs.google.com/spreadsheets/d/1SX6NBoVAgQJ6U1MVXOaj8PK2l7WJ3RER9xtqwdhxkhw/edit?usp=sharing"",""ตราด!J379"")"),0)</f>
        <v>0</v>
      </c>
      <c r="AJ60" s="55">
        <f ca="1">IFERROR(__xludf.DUMMYFUNCTION("IMPORTRANGE(""https://docs.google.com/spreadsheets/d/1SX6NBoVAgQJ6U1MVXOaj8PK2l7WJ3RER9xtqwdhxkhw/edit?usp=sharing"",""ตราด!J380"")"),0)</f>
        <v>0</v>
      </c>
      <c r="AK60" s="55">
        <f ca="1">IFERROR(__xludf.DUMMYFUNCTION("IMPORTRANGE(""https://docs.google.com/spreadsheets/d/1SX6NBoVAgQJ6U1MVXOaj8PK2l7WJ3RER9xtqwdhxkhw/edit?usp=sharing"",""ตราด!J381"")"),0)</f>
        <v>0</v>
      </c>
      <c r="AL60" s="55">
        <f ca="1">IFERROR(__xludf.DUMMYFUNCTION("IMPORTRANGE(""https://docs.google.com/spreadsheets/d/1SX6NBoVAgQJ6U1MVXOaj8PK2l7WJ3RER9xtqwdhxkhw/edit?usp=sharing"",""ตราด!J384"")"),0)</f>
        <v>0</v>
      </c>
      <c r="AM60" s="55">
        <f ca="1">IFERROR(__xludf.DUMMYFUNCTION("IMPORTRANGE(""https://docs.google.com/spreadsheets/d/1SX6NBoVAgQJ6U1MVXOaj8PK2l7WJ3RER9xtqwdhxkhw/edit?usp=sharing"",""ตราด!J385"")"),0)</f>
        <v>0</v>
      </c>
      <c r="AN60" s="55">
        <f ca="1">IFERROR(__xludf.DUMMYFUNCTION("IMPORTRANGE(""https://docs.google.com/spreadsheets/d/1SX6NBoVAgQJ6U1MVXOaj8PK2l7WJ3RER9xtqwdhxkhw/edit?usp=sharing"",""ตราด!J386"")"),0)</f>
        <v>0</v>
      </c>
      <c r="AO60" s="55">
        <f ca="1">IFERROR(__xludf.DUMMYFUNCTION("IMPORTRANGE(""https://docs.google.com/spreadsheets/d/1SX6NBoVAgQJ6U1MVXOaj8PK2l7WJ3RER9xtqwdhxkhw/edit?usp=sharing"",""ตราด!J387"")"),0)</f>
        <v>0</v>
      </c>
      <c r="AP60" s="55">
        <f ca="1">IFERROR(__xludf.DUMMYFUNCTION("IMPORTRANGE(""https://docs.google.com/spreadsheets/d/1SX6NBoVAgQJ6U1MVXOaj8PK2l7WJ3RER9xtqwdhxkhw/edit?usp=sharing"",""ตราด!J388"")"),0)</f>
        <v>0</v>
      </c>
      <c r="AQ60" s="55">
        <f ca="1">IFERROR(__xludf.DUMMYFUNCTION("IMPORTRANGE(""https://docs.google.com/spreadsheets/d/1SX6NBoVAgQJ6U1MVXOaj8PK2l7WJ3RER9xtqwdhxkhw/edit?usp=sharing"",""ตราด!J389"")"),0)</f>
        <v>0</v>
      </c>
      <c r="AR60" s="402">
        <v>89</v>
      </c>
      <c r="AS60" s="402">
        <v>1395</v>
      </c>
      <c r="AT60" s="402">
        <f t="shared" ca="1" si="112"/>
        <v>0</v>
      </c>
      <c r="AU60" s="402">
        <f t="shared" ca="1" si="12"/>
        <v>0</v>
      </c>
      <c r="AV60" s="402">
        <f t="shared" ca="1" si="113"/>
        <v>0</v>
      </c>
      <c r="AW60" s="402">
        <f t="shared" ca="1" si="13"/>
        <v>0</v>
      </c>
      <c r="AX60" s="55">
        <f ca="1">IFERROR(__xludf.DUMMYFUNCTION("IMPORTRANGE(""https://docs.google.com/spreadsheets/d/1SX6NBoVAgQJ6U1MVXOaj8PK2l7WJ3RER9xtqwdhxkhw/edit?usp=sharing"",""ตราด!J395"")"),0)</f>
        <v>0</v>
      </c>
      <c r="AY60" s="55">
        <f ca="1">IFERROR(__xludf.DUMMYFUNCTION("IMPORTRANGE(""https://docs.google.com/spreadsheets/d/1SX6NBoVAgQJ6U1MVXOaj8PK2l7WJ3RER9xtqwdhxkhw/edit?usp=sharing"",""ตราด!J396"")"),0)</f>
        <v>0</v>
      </c>
      <c r="AZ60" s="55">
        <f ca="1">IFERROR(__xludf.DUMMYFUNCTION("IMPORTRANGE(""https://docs.google.com/spreadsheets/d/1SX6NBoVAgQJ6U1MVXOaj8PK2l7WJ3RER9xtqwdhxkhw/edit?usp=sharing"",""ตราด!J397"")"),0)</f>
        <v>0</v>
      </c>
      <c r="BA60" s="55">
        <f ca="1">IFERROR(__xludf.DUMMYFUNCTION("IMPORTRANGE(""https://docs.google.com/spreadsheets/d/1SX6NBoVAgQJ6U1MVXOaj8PK2l7WJ3RER9xtqwdhxkhw/edit?usp=sharing"",""ตราด!J398"")"),0)</f>
        <v>0</v>
      </c>
      <c r="BB60" s="55">
        <f ca="1">IFERROR(__xludf.DUMMYFUNCTION("IMPORTRANGE(""https://docs.google.com/spreadsheets/d/1SX6NBoVAgQJ6U1MVXOaj8PK2l7WJ3RER9xtqwdhxkhw/edit?usp=sharing"",""ตราด!J399"")"),0)</f>
        <v>0</v>
      </c>
      <c r="BC60" s="55">
        <f ca="1">IFERROR(__xludf.DUMMYFUNCTION("IMPORTRANGE(""https://docs.google.com/spreadsheets/d/1SX6NBoVAgQJ6U1MVXOaj8PK2l7WJ3RER9xtqwdhxkhw/edit?usp=sharing"",""ตราด!J400"")"),0)</f>
        <v>0</v>
      </c>
      <c r="BD60" s="55">
        <f ca="1">IFERROR(__xludf.DUMMYFUNCTION("IMPORTRANGE(""https://docs.google.com/spreadsheets/d/1SX6NBoVAgQJ6U1MVXOaj8PK2l7WJ3RER9xtqwdhxkhw/edit?usp=sharing"",""ตราด!J403"")"),0)</f>
        <v>0</v>
      </c>
      <c r="BE60" s="55">
        <f ca="1">IFERROR(__xludf.DUMMYFUNCTION("IMPORTRANGE(""https://docs.google.com/spreadsheets/d/1SX6NBoVAgQJ6U1MVXOaj8PK2l7WJ3RER9xtqwdhxkhw/edit?usp=sharing"",""ตราด!J404"")"),0)</f>
        <v>0</v>
      </c>
      <c r="BF60" s="55">
        <f ca="1">IFERROR(__xludf.DUMMYFUNCTION("IMPORTRANGE(""https://docs.google.com/spreadsheets/d/1SX6NBoVAgQJ6U1MVXOaj8PK2l7WJ3RER9xtqwdhxkhw/edit?usp=sharing"",""ตราด!J405"")"),0)</f>
        <v>0</v>
      </c>
      <c r="BG60" s="55">
        <f ca="1">IFERROR(__xludf.DUMMYFUNCTION("IMPORTRANGE(""https://docs.google.com/spreadsheets/d/1SX6NBoVAgQJ6U1MVXOaj8PK2l7WJ3RER9xtqwdhxkhw/edit?usp=sharing"",""ตราด!J406"")"),0)</f>
        <v>0</v>
      </c>
      <c r="BH60" s="55">
        <f ca="1">IFERROR(__xludf.DUMMYFUNCTION("IMPORTRANGE(""https://docs.google.com/spreadsheets/d/1SX6NBoVAgQJ6U1MVXOaj8PK2l7WJ3RER9xtqwdhxkhw/edit?usp=sharing"",""ตราด!J407"")"),0)</f>
        <v>0</v>
      </c>
      <c r="BI60" s="55">
        <f ca="1">IFERROR(__xludf.DUMMYFUNCTION("IMPORTRANGE(""https://docs.google.com/spreadsheets/d/1SX6NBoVAgQJ6U1MVXOaj8PK2l7WJ3RER9xtqwdhxkhw/edit?usp=sharing"",""ตราด!J408"")"),0)</f>
        <v>0</v>
      </c>
      <c r="BJ60" s="402">
        <v>0</v>
      </c>
      <c r="BK60" s="402">
        <v>0</v>
      </c>
      <c r="BL60" s="402">
        <f t="shared" ca="1" si="114"/>
        <v>0</v>
      </c>
      <c r="BM60" s="403">
        <f t="shared" si="15"/>
        <v>0</v>
      </c>
      <c r="BN60" s="402">
        <f t="shared" ca="1" si="115"/>
        <v>0</v>
      </c>
      <c r="BO60" s="403">
        <f t="shared" si="16"/>
        <v>0</v>
      </c>
      <c r="BP60" s="55">
        <f ca="1">IFERROR(__xludf.DUMMYFUNCTION("IMPORTRANGE(""https://docs.google.com/spreadsheets/d/1SX6NBoVAgQJ6U1MVXOaj8PK2l7WJ3RER9xtqwdhxkhw/edit?usp=sharing"",""ตราด!J412"")"),0)</f>
        <v>0</v>
      </c>
      <c r="BQ60" s="55">
        <f ca="1">IFERROR(__xludf.DUMMYFUNCTION("IMPORTRANGE(""https://docs.google.com/spreadsheets/d/1SX6NBoVAgQJ6U1MVXOaj8PK2l7WJ3RER9xtqwdhxkhw/edit?usp=sharing"",""ตราด!J413"")"),0)</f>
        <v>0</v>
      </c>
      <c r="BR60" s="55">
        <f ca="1">IFERROR(__xludf.DUMMYFUNCTION("IMPORTRANGE(""https://docs.google.com/spreadsheets/d/1SX6NBoVAgQJ6U1MVXOaj8PK2l7WJ3RER9xtqwdhxkhw/edit?usp=sharing"",""ตราด!J414"")"),0)</f>
        <v>0</v>
      </c>
      <c r="BS60" s="55">
        <f ca="1">IFERROR(__xludf.DUMMYFUNCTION("IMPORTRANGE(""https://docs.google.com/spreadsheets/d/1SX6NBoVAgQJ6U1MVXOaj8PK2l7WJ3RER9xtqwdhxkhw/edit?usp=sharing"",""ตราด!J415"")"),0)</f>
        <v>0</v>
      </c>
      <c r="BT60" s="55">
        <f ca="1">IFERROR(__xludf.DUMMYFUNCTION("IMPORTRANGE(""https://docs.google.com/spreadsheets/d/1SX6NBoVAgQJ6U1MVXOaj8PK2l7WJ3RER9xtqwdhxkhw/edit?usp=sharing"",""ตราด!J416"")"),0)</f>
        <v>0</v>
      </c>
      <c r="BU60" s="55">
        <f ca="1">IFERROR(__xludf.DUMMYFUNCTION("IMPORTRANGE(""https://docs.google.com/spreadsheets/d/1SX6NBoVAgQJ6U1MVXOaj8PK2l7WJ3RER9xtqwdhxkhw/edit?usp=sharing"",""ตราด!J417"")"),0)</f>
        <v>0</v>
      </c>
      <c r="BV60" s="402">
        <f t="shared" ca="1" si="116"/>
        <v>0</v>
      </c>
      <c r="BW60" s="403">
        <f t="shared" ca="1" si="117"/>
        <v>0</v>
      </c>
      <c r="BX60" s="402">
        <f t="shared" ca="1" si="118"/>
        <v>0</v>
      </c>
      <c r="BY60" s="403">
        <f t="shared" ca="1" si="119"/>
        <v>0</v>
      </c>
      <c r="BZ60" s="55">
        <f ca="1">IFERROR(__xludf.DUMMYFUNCTION("IMPORTRANGE(""https://docs.google.com/spreadsheets/d/1SX6NBoVAgQJ6U1MVXOaj8PK2l7WJ3RER9xtqwdhxkhw/edit?usp=sharing"",""ตราด!J420"")"),0)</f>
        <v>0</v>
      </c>
      <c r="CA60" s="55">
        <f ca="1">IFERROR(__xludf.DUMMYFUNCTION("IMPORTRANGE(""https://docs.google.com/spreadsheets/d/1SX6NBoVAgQJ6U1MVXOaj8PK2l7WJ3RER9xtqwdhxkhw/edit?usp=sharing"",""ตราด!J421"")"),0)</f>
        <v>0</v>
      </c>
      <c r="CB60" s="55">
        <f ca="1">IFERROR(__xludf.DUMMYFUNCTION("IMPORTRANGE(""https://docs.google.com/spreadsheets/d/1SX6NBoVAgQJ6U1MVXOaj8PK2l7WJ3RER9xtqwdhxkhw/edit?usp=sharing"",""ตราด!J422"")"),0)</f>
        <v>0</v>
      </c>
      <c r="CC60" s="55">
        <f ca="1">IFERROR(__xludf.DUMMYFUNCTION("IMPORTRANGE(""https://docs.google.com/spreadsheets/d/1SX6NBoVAgQJ6U1MVXOaj8PK2l7WJ3RER9xtqwdhxkhw/edit?usp=sharing"",""ตราด!J423"")"),0)</f>
        <v>0</v>
      </c>
      <c r="CD60" s="55">
        <f ca="1">IFERROR(__xludf.DUMMYFUNCTION("IMPORTRANGE(""https://docs.google.com/spreadsheets/d/1SX6NBoVAgQJ6U1MVXOaj8PK2l7WJ3RER9xtqwdhxkhw/edit?usp=sharing"",""ตราด!J424"")"),0)</f>
        <v>0</v>
      </c>
      <c r="CE60" s="422">
        <f ca="1">IFERROR(__xludf.DUMMYFUNCTION("IMPORTRANGE(""https://docs.google.com/spreadsheets/d/1SX6NBoVAgQJ6U1MVXOaj8PK2l7WJ3RER9xtqwdhxkhw/edit?usp=sharing"",""ตราด!J425"")"),0)</f>
        <v>0</v>
      </c>
    </row>
    <row r="61" spans="1:83" ht="24" customHeight="1" x14ac:dyDescent="0.5">
      <c r="A61" s="273">
        <v>7</v>
      </c>
      <c r="B61" s="274" t="s">
        <v>76</v>
      </c>
      <c r="C61" s="400">
        <f t="shared" si="105"/>
        <v>0</v>
      </c>
      <c r="D61" s="55">
        <v>0</v>
      </c>
      <c r="E61" s="401">
        <v>0</v>
      </c>
      <c r="F61" s="99">
        <f ca="1">IFERROR(__xludf.DUMMYFUNCTION("IMPORTRANGE(""https://docs.google.com/spreadsheets/d/1SX6NBoVAgQJ6U1MVXOaj8PK2l7WJ3RER9xtqwdhxkhw/edit?usp=sharing"",""นครนายก!M352"")"),0)</f>
        <v>0</v>
      </c>
      <c r="G61" s="99">
        <f t="shared" si="1"/>
        <v>0</v>
      </c>
      <c r="H61" s="57">
        <v>0</v>
      </c>
      <c r="I61" s="57">
        <v>0</v>
      </c>
      <c r="J61" s="55">
        <f t="shared" ca="1" si="106"/>
        <v>0</v>
      </c>
      <c r="K61" s="99">
        <f t="shared" si="3"/>
        <v>0</v>
      </c>
      <c r="L61" s="55">
        <f t="shared" ca="1" si="107"/>
        <v>0</v>
      </c>
      <c r="M61" s="99">
        <f t="shared" si="4"/>
        <v>0</v>
      </c>
      <c r="N61" s="55">
        <f ca="1">IFERROR(__xludf.DUMMYFUNCTION("IMPORTRANGE(""https://docs.google.com/spreadsheets/d/1SX6NBoVAgQJ6U1MVXOaj8PK2l7WJ3RER9xtqwdhxkhw/edit?usp=sharing"",""นครนายก!J362"")"),0)</f>
        <v>0</v>
      </c>
      <c r="O61" s="55">
        <f ca="1">IFERROR(__xludf.DUMMYFUNCTION("IMPORTRANGE(""https://docs.google.com/spreadsheets/d/1SX6NBoVAgQJ6U1MVXOaj8PK2l7WJ3RER9xtqwdhxkhw/edit?usp=sharing"",""นครนายก!J363"")"),0)</f>
        <v>0</v>
      </c>
      <c r="P61" s="55">
        <f ca="1">IFERROR(__xludf.DUMMYFUNCTION("IMPORTRANGE(""https://docs.google.com/spreadsheets/d/1SX6NBoVAgQJ6U1MVXOaj8PK2l7WJ3RER9xtqwdhxkhw/edit?usp=sharing"",""นครนายก!J364"")"),0)</f>
        <v>0</v>
      </c>
      <c r="Q61" s="55">
        <f ca="1">IFERROR(__xludf.DUMMYFUNCTION("IMPORTRANGE(""https://docs.google.com/spreadsheets/d/1SX6NBoVAgQJ6U1MVXOaj8PK2l7WJ3RER9xtqwdhxkhw/edit?usp=sharing"",""นครนายก!J365"")"),0)</f>
        <v>0</v>
      </c>
      <c r="R61" s="55">
        <f ca="1">IFERROR(__xludf.DUMMYFUNCTION("IMPORTRANGE(""https://docs.google.com/spreadsheets/d/1SX6NBoVAgQJ6U1MVXOaj8PK2l7WJ3RER9xtqwdhxkhw/edit?usp=sharing"",""นครนายก!J366"")"),0)</f>
        <v>0</v>
      </c>
      <c r="S61" s="55">
        <f ca="1">IFERROR(__xludf.DUMMYFUNCTION("IMPORTRANGE(""https://docs.google.com/spreadsheets/d/1SX6NBoVAgQJ6U1MVXOaj8PK2l7WJ3RER9xtqwdhxkhw/edit?usp=sharing"",""นครนายก!J367"")"),0)</f>
        <v>0</v>
      </c>
      <c r="T61" s="55">
        <f t="shared" ca="1" si="108"/>
        <v>0</v>
      </c>
      <c r="U61" s="55">
        <f t="shared" si="6"/>
        <v>0</v>
      </c>
      <c r="V61" s="55">
        <f t="shared" ca="1" si="109"/>
        <v>0</v>
      </c>
      <c r="W61" s="55">
        <f t="shared" si="7"/>
        <v>0</v>
      </c>
      <c r="X61" s="55">
        <f ca="1">IFERROR(__xludf.DUMMYFUNCTION("IMPORTRANGE(""https://docs.google.com/spreadsheets/d/1SX6NBoVAgQJ6U1MVXOaj8PK2l7WJ3RER9xtqwdhxkhw/edit?usp=sharing"",""นครนายก!J370"")"),0)</f>
        <v>0</v>
      </c>
      <c r="Y61" s="55">
        <f ca="1">IFERROR(__xludf.DUMMYFUNCTION("IMPORTRANGE(""https://docs.google.com/spreadsheets/d/1SX6NBoVAgQJ6U1MVXOaj8PK2l7WJ3RER9xtqwdhxkhw/edit?usp=sharing"",""นครนายก!J371"")"),0)</f>
        <v>0</v>
      </c>
      <c r="Z61" s="55">
        <f ca="1">IFERROR(__xludf.DUMMYFUNCTION("IMPORTRANGE(""https://docs.google.com/spreadsheets/d/1SX6NBoVAgQJ6U1MVXOaj8PK2l7WJ3RER9xtqwdhxkhw/edit?usp=sharing"",""นครนายก!J372"")"),0)</f>
        <v>0</v>
      </c>
      <c r="AA61" s="55">
        <f ca="1">IFERROR(__xludf.DUMMYFUNCTION("IMPORTRANGE(""https://docs.google.com/spreadsheets/d/1SX6NBoVAgQJ6U1MVXOaj8PK2l7WJ3RER9xtqwdhxkhw/edit?usp=sharing"",""นครนายก!J373"")"),0)</f>
        <v>0</v>
      </c>
      <c r="AB61" s="55">
        <f ca="1">IFERROR(__xludf.DUMMYFUNCTION("IMPORTRANGE(""https://docs.google.com/spreadsheets/d/1SX6NBoVAgQJ6U1MVXOaj8PK2l7WJ3RER9xtqwdhxkhw/edit?usp=sharing"",""นครนายก!J374"")"),0)</f>
        <v>0</v>
      </c>
      <c r="AC61" s="55">
        <f ca="1">IFERROR(__xludf.DUMMYFUNCTION("IMPORTRANGE(""https://docs.google.com/spreadsheets/d/1SX6NBoVAgQJ6U1MVXOaj8PK2l7WJ3RER9xtqwdhxkhw/edit?usp=sharing"",""นครนายก!J375"")"),0)</f>
        <v>0</v>
      </c>
      <c r="AD61" s="55">
        <f t="shared" ca="1" si="110"/>
        <v>0</v>
      </c>
      <c r="AE61" s="99">
        <f t="shared" si="9"/>
        <v>0</v>
      </c>
      <c r="AF61" s="55">
        <f t="shared" ca="1" si="111"/>
        <v>0</v>
      </c>
      <c r="AG61" s="99">
        <f t="shared" si="10"/>
        <v>0</v>
      </c>
      <c r="AH61" s="55">
        <f ca="1">IFERROR(__xludf.DUMMYFUNCTION("IMPORTRANGE(""https://docs.google.com/spreadsheets/d/1SX6NBoVAgQJ6U1MVXOaj8PK2l7WJ3RER9xtqwdhxkhw/edit?usp=sharing"",""นครนายก!J378"")"),0)</f>
        <v>0</v>
      </c>
      <c r="AI61" s="55">
        <f ca="1">IFERROR(__xludf.DUMMYFUNCTION("IMPORTRANGE(""https://docs.google.com/spreadsheets/d/1SX6NBoVAgQJ6U1MVXOaj8PK2l7WJ3RER9xtqwdhxkhw/edit?usp=sharing"",""นครนายก!J379"")"),0)</f>
        <v>0</v>
      </c>
      <c r="AJ61" s="55">
        <f ca="1">IFERROR(__xludf.DUMMYFUNCTION("IMPORTRANGE(""https://docs.google.com/spreadsheets/d/1SX6NBoVAgQJ6U1MVXOaj8PK2l7WJ3RER9xtqwdhxkhw/edit?usp=sharing"",""นครนายก!J380"")"),0)</f>
        <v>0</v>
      </c>
      <c r="AK61" s="55">
        <f ca="1">IFERROR(__xludf.DUMMYFUNCTION("IMPORTRANGE(""https://docs.google.com/spreadsheets/d/1SX6NBoVAgQJ6U1MVXOaj8PK2l7WJ3RER9xtqwdhxkhw/edit?usp=sharing"",""นครนายก!J381"")"),0)</f>
        <v>0</v>
      </c>
      <c r="AL61" s="55">
        <f ca="1">IFERROR(__xludf.DUMMYFUNCTION("IMPORTRANGE(""https://docs.google.com/spreadsheets/d/1SX6NBoVAgQJ6U1MVXOaj8PK2l7WJ3RER9xtqwdhxkhw/edit?usp=sharing"",""นครนายก!J384"")"),0)</f>
        <v>0</v>
      </c>
      <c r="AM61" s="55">
        <f ca="1">IFERROR(__xludf.DUMMYFUNCTION("IMPORTRANGE(""https://docs.google.com/spreadsheets/d/1SX6NBoVAgQJ6U1MVXOaj8PK2l7WJ3RER9xtqwdhxkhw/edit?usp=sharing"",""นครนายก!J385"")"),0)</f>
        <v>0</v>
      </c>
      <c r="AN61" s="55">
        <f ca="1">IFERROR(__xludf.DUMMYFUNCTION("IMPORTRANGE(""https://docs.google.com/spreadsheets/d/1SX6NBoVAgQJ6U1MVXOaj8PK2l7WJ3RER9xtqwdhxkhw/edit?usp=sharing"",""นครนายก!J386"")"),0)</f>
        <v>0</v>
      </c>
      <c r="AO61" s="55">
        <f ca="1">IFERROR(__xludf.DUMMYFUNCTION("IMPORTRANGE(""https://docs.google.com/spreadsheets/d/1SX6NBoVAgQJ6U1MVXOaj8PK2l7WJ3RER9xtqwdhxkhw/edit?usp=sharing"",""นครนายก!J387"")"),0)</f>
        <v>0</v>
      </c>
      <c r="AP61" s="55">
        <f ca="1">IFERROR(__xludf.DUMMYFUNCTION("IMPORTRANGE(""https://docs.google.com/spreadsheets/d/1SX6NBoVAgQJ6U1MVXOaj8PK2l7WJ3RER9xtqwdhxkhw/edit?usp=sharing"",""นครนายก!J388"")"),0)</f>
        <v>0</v>
      </c>
      <c r="AQ61" s="55">
        <f ca="1">IFERROR(__xludf.DUMMYFUNCTION("IMPORTRANGE(""https://docs.google.com/spreadsheets/d/1SX6NBoVAgQJ6U1MVXOaj8PK2l7WJ3RER9xtqwdhxkhw/edit?usp=sharing"",""นครนายก!J389"")"),0)</f>
        <v>0</v>
      </c>
      <c r="AR61" s="402">
        <v>0</v>
      </c>
      <c r="AS61" s="402">
        <v>0</v>
      </c>
      <c r="AT61" s="402">
        <f t="shared" ca="1" si="112"/>
        <v>0</v>
      </c>
      <c r="AU61" s="402">
        <f t="shared" si="12"/>
        <v>0</v>
      </c>
      <c r="AV61" s="402">
        <f t="shared" ca="1" si="113"/>
        <v>0</v>
      </c>
      <c r="AW61" s="402">
        <f t="shared" si="13"/>
        <v>0</v>
      </c>
      <c r="AX61" s="55">
        <f ca="1">IFERROR(__xludf.DUMMYFUNCTION("IMPORTRANGE(""https://docs.google.com/spreadsheets/d/1SX6NBoVAgQJ6U1MVXOaj8PK2l7WJ3RER9xtqwdhxkhw/edit?usp=sharing"",""นครนายก!J395"")"),0)</f>
        <v>0</v>
      </c>
      <c r="AY61" s="55">
        <f ca="1">IFERROR(__xludf.DUMMYFUNCTION("IMPORTRANGE(""https://docs.google.com/spreadsheets/d/1SX6NBoVAgQJ6U1MVXOaj8PK2l7WJ3RER9xtqwdhxkhw/edit?usp=sharing"",""นครนายก!J396"")"),0)</f>
        <v>0</v>
      </c>
      <c r="AZ61" s="55">
        <f ca="1">IFERROR(__xludf.DUMMYFUNCTION("IMPORTRANGE(""https://docs.google.com/spreadsheets/d/1SX6NBoVAgQJ6U1MVXOaj8PK2l7WJ3RER9xtqwdhxkhw/edit?usp=sharing"",""นครนายก!J397"")"),0)</f>
        <v>0</v>
      </c>
      <c r="BA61" s="55">
        <f ca="1">IFERROR(__xludf.DUMMYFUNCTION("IMPORTRANGE(""https://docs.google.com/spreadsheets/d/1SX6NBoVAgQJ6U1MVXOaj8PK2l7WJ3RER9xtqwdhxkhw/edit?usp=sharing"",""นครนายก!J398"")"),0)</f>
        <v>0</v>
      </c>
      <c r="BB61" s="55">
        <f ca="1">IFERROR(__xludf.DUMMYFUNCTION("IMPORTRANGE(""https://docs.google.com/spreadsheets/d/1SX6NBoVAgQJ6U1MVXOaj8PK2l7WJ3RER9xtqwdhxkhw/edit?usp=sharing"",""นครนายก!J399"")"),0)</f>
        <v>0</v>
      </c>
      <c r="BC61" s="55">
        <f ca="1">IFERROR(__xludf.DUMMYFUNCTION("IMPORTRANGE(""https://docs.google.com/spreadsheets/d/1SX6NBoVAgQJ6U1MVXOaj8PK2l7WJ3RER9xtqwdhxkhw/edit?usp=sharing"",""นครนายก!J400"")"),0)</f>
        <v>0</v>
      </c>
      <c r="BD61" s="55">
        <f ca="1">IFERROR(__xludf.DUMMYFUNCTION("IMPORTRANGE(""https://docs.google.com/spreadsheets/d/1SX6NBoVAgQJ6U1MVXOaj8PK2l7WJ3RER9xtqwdhxkhw/edit?usp=sharing"",""นครนายก!J403"")"),0)</f>
        <v>0</v>
      </c>
      <c r="BE61" s="55">
        <f ca="1">IFERROR(__xludf.DUMMYFUNCTION("IMPORTRANGE(""https://docs.google.com/spreadsheets/d/1SX6NBoVAgQJ6U1MVXOaj8PK2l7WJ3RER9xtqwdhxkhw/edit?usp=sharing"",""นครนายก!J404"")"),0)</f>
        <v>0</v>
      </c>
      <c r="BF61" s="55">
        <f ca="1">IFERROR(__xludf.DUMMYFUNCTION("IMPORTRANGE(""https://docs.google.com/spreadsheets/d/1SX6NBoVAgQJ6U1MVXOaj8PK2l7WJ3RER9xtqwdhxkhw/edit?usp=sharing"",""นครนายก!J405"")"),0)</f>
        <v>0</v>
      </c>
      <c r="BG61" s="55">
        <f ca="1">IFERROR(__xludf.DUMMYFUNCTION("IMPORTRANGE(""https://docs.google.com/spreadsheets/d/1SX6NBoVAgQJ6U1MVXOaj8PK2l7WJ3RER9xtqwdhxkhw/edit?usp=sharing"",""นครนายก!J406"")"),0)</f>
        <v>0</v>
      </c>
      <c r="BH61" s="55">
        <f ca="1">IFERROR(__xludf.DUMMYFUNCTION("IMPORTRANGE(""https://docs.google.com/spreadsheets/d/1SX6NBoVAgQJ6U1MVXOaj8PK2l7WJ3RER9xtqwdhxkhw/edit?usp=sharing"",""นครนายก!J407"")"),0)</f>
        <v>0</v>
      </c>
      <c r="BI61" s="55">
        <f ca="1">IFERROR(__xludf.DUMMYFUNCTION("IMPORTRANGE(""https://docs.google.com/spreadsheets/d/1SX6NBoVAgQJ6U1MVXOaj8PK2l7WJ3RER9xtqwdhxkhw/edit?usp=sharing"",""นครนายก!J408"")"),0)</f>
        <v>0</v>
      </c>
      <c r="BJ61" s="402">
        <v>0</v>
      </c>
      <c r="BK61" s="402">
        <v>0</v>
      </c>
      <c r="BL61" s="402">
        <f t="shared" ca="1" si="114"/>
        <v>0</v>
      </c>
      <c r="BM61" s="403">
        <f t="shared" si="15"/>
        <v>0</v>
      </c>
      <c r="BN61" s="402">
        <f t="shared" ca="1" si="115"/>
        <v>0</v>
      </c>
      <c r="BO61" s="403">
        <f t="shared" si="16"/>
        <v>0</v>
      </c>
      <c r="BP61" s="55">
        <f ca="1">IFERROR(__xludf.DUMMYFUNCTION("IMPORTRANGE(""https://docs.google.com/spreadsheets/d/1SX6NBoVAgQJ6U1MVXOaj8PK2l7WJ3RER9xtqwdhxkhw/edit?usp=sharing"",""นครนายก!J412"")"),0)</f>
        <v>0</v>
      </c>
      <c r="BQ61" s="55">
        <f ca="1">IFERROR(__xludf.DUMMYFUNCTION("IMPORTRANGE(""https://docs.google.com/spreadsheets/d/1SX6NBoVAgQJ6U1MVXOaj8PK2l7WJ3RER9xtqwdhxkhw/edit?usp=sharing"",""นครนายก!J413"")"),0)</f>
        <v>0</v>
      </c>
      <c r="BR61" s="55">
        <f ca="1">IFERROR(__xludf.DUMMYFUNCTION("IMPORTRANGE(""https://docs.google.com/spreadsheets/d/1SX6NBoVAgQJ6U1MVXOaj8PK2l7WJ3RER9xtqwdhxkhw/edit?usp=sharing"",""นครนายก!J414"")"),0)</f>
        <v>0</v>
      </c>
      <c r="BS61" s="55">
        <f ca="1">IFERROR(__xludf.DUMMYFUNCTION("IMPORTRANGE(""https://docs.google.com/spreadsheets/d/1SX6NBoVAgQJ6U1MVXOaj8PK2l7WJ3RER9xtqwdhxkhw/edit?usp=sharing"",""นครนายก!J415"")"),0)</f>
        <v>0</v>
      </c>
      <c r="BT61" s="55">
        <f ca="1">IFERROR(__xludf.DUMMYFUNCTION("IMPORTRANGE(""https://docs.google.com/spreadsheets/d/1SX6NBoVAgQJ6U1MVXOaj8PK2l7WJ3RER9xtqwdhxkhw/edit?usp=sharing"",""นครนายก!J416"")"),0)</f>
        <v>0</v>
      </c>
      <c r="BU61" s="55">
        <f ca="1">IFERROR(__xludf.DUMMYFUNCTION("IMPORTRANGE(""https://docs.google.com/spreadsheets/d/1SX6NBoVAgQJ6U1MVXOaj8PK2l7WJ3RER9xtqwdhxkhw/edit?usp=sharing"",""นครนายก!J417"")"),0)</f>
        <v>0</v>
      </c>
      <c r="BV61" s="402">
        <f t="shared" ca="1" si="116"/>
        <v>0</v>
      </c>
      <c r="BW61" s="403">
        <f t="shared" ca="1" si="117"/>
        <v>0</v>
      </c>
      <c r="BX61" s="402">
        <f t="shared" ca="1" si="118"/>
        <v>0</v>
      </c>
      <c r="BY61" s="403">
        <f t="shared" ca="1" si="119"/>
        <v>0</v>
      </c>
      <c r="BZ61" s="55">
        <f ca="1">IFERROR(__xludf.DUMMYFUNCTION("IMPORTRANGE(""https://docs.google.com/spreadsheets/d/1SX6NBoVAgQJ6U1MVXOaj8PK2l7WJ3RER9xtqwdhxkhw/edit?usp=sharing"",""นครนายก!J420"")"),0)</f>
        <v>0</v>
      </c>
      <c r="CA61" s="55">
        <f ca="1">IFERROR(__xludf.DUMMYFUNCTION("IMPORTRANGE(""https://docs.google.com/spreadsheets/d/1SX6NBoVAgQJ6U1MVXOaj8PK2l7WJ3RER9xtqwdhxkhw/edit?usp=sharing"",""นครนายก!J421"")"),0)</f>
        <v>0</v>
      </c>
      <c r="CB61" s="55">
        <f ca="1">IFERROR(__xludf.DUMMYFUNCTION("IMPORTRANGE(""https://docs.google.com/spreadsheets/d/1SX6NBoVAgQJ6U1MVXOaj8PK2l7WJ3RER9xtqwdhxkhw/edit?usp=sharing"",""นครนายก!J422"")"),0)</f>
        <v>0</v>
      </c>
      <c r="CC61" s="55">
        <f ca="1">IFERROR(__xludf.DUMMYFUNCTION("IMPORTRANGE(""https://docs.google.com/spreadsheets/d/1SX6NBoVAgQJ6U1MVXOaj8PK2l7WJ3RER9xtqwdhxkhw/edit?usp=sharing"",""นครนายก!J423"")"),0)</f>
        <v>0</v>
      </c>
      <c r="CD61" s="55">
        <f ca="1">IFERROR(__xludf.DUMMYFUNCTION("IMPORTRANGE(""https://docs.google.com/spreadsheets/d/1SX6NBoVAgQJ6U1MVXOaj8PK2l7WJ3RER9xtqwdhxkhw/edit?usp=sharing"",""นครนายก!J424"")"),0)</f>
        <v>0</v>
      </c>
      <c r="CE61" s="422">
        <f ca="1">IFERROR(__xludf.DUMMYFUNCTION("IMPORTRANGE(""https://docs.google.com/spreadsheets/d/1SX6NBoVAgQJ6U1MVXOaj8PK2l7WJ3RER9xtqwdhxkhw/edit?usp=sharing"",""นครนายก!J425"")"),0)</f>
        <v>0</v>
      </c>
    </row>
    <row r="62" spans="1:83" ht="24" customHeight="1" x14ac:dyDescent="0.5">
      <c r="A62" s="273">
        <v>8</v>
      </c>
      <c r="B62" s="274" t="s">
        <v>77</v>
      </c>
      <c r="C62" s="400">
        <f t="shared" si="105"/>
        <v>0</v>
      </c>
      <c r="D62" s="55">
        <v>0</v>
      </c>
      <c r="E62" s="401">
        <v>0</v>
      </c>
      <c r="F62" s="99">
        <f ca="1">IFERROR(__xludf.DUMMYFUNCTION("IMPORTRANGE(""https://docs.google.com/spreadsheets/d/1SX6NBoVAgQJ6U1MVXOaj8PK2l7WJ3RER9xtqwdhxkhw/edit?usp=sharing"",""นครปฐม!M352"")"),0)</f>
        <v>0</v>
      </c>
      <c r="G62" s="99">
        <f t="shared" si="1"/>
        <v>0</v>
      </c>
      <c r="H62" s="57">
        <v>0</v>
      </c>
      <c r="I62" s="57">
        <v>0</v>
      </c>
      <c r="J62" s="55">
        <f t="shared" ca="1" si="106"/>
        <v>0</v>
      </c>
      <c r="K62" s="99">
        <f t="shared" si="3"/>
        <v>0</v>
      </c>
      <c r="L62" s="55">
        <f t="shared" ca="1" si="107"/>
        <v>0</v>
      </c>
      <c r="M62" s="99">
        <f t="shared" si="4"/>
        <v>0</v>
      </c>
      <c r="N62" s="55">
        <f ca="1">IFERROR(__xludf.DUMMYFUNCTION("IMPORTRANGE(""https://docs.google.com/spreadsheets/d/1SX6NBoVAgQJ6U1MVXOaj8PK2l7WJ3RER9xtqwdhxkhw/edit?usp=sharing"",""นครปฐม!J362"")"),0)</f>
        <v>0</v>
      </c>
      <c r="O62" s="55">
        <f ca="1">IFERROR(__xludf.DUMMYFUNCTION("IMPORTRANGE(""https://docs.google.com/spreadsheets/d/1SX6NBoVAgQJ6U1MVXOaj8PK2l7WJ3RER9xtqwdhxkhw/edit?usp=sharing"",""นครปฐม!J363"")"),0)</f>
        <v>0</v>
      </c>
      <c r="P62" s="55">
        <f ca="1">IFERROR(__xludf.DUMMYFUNCTION("IMPORTRANGE(""https://docs.google.com/spreadsheets/d/1SX6NBoVAgQJ6U1MVXOaj8PK2l7WJ3RER9xtqwdhxkhw/edit?usp=sharing"",""นครปฐม!J364"")"),0)</f>
        <v>0</v>
      </c>
      <c r="Q62" s="55">
        <f ca="1">IFERROR(__xludf.DUMMYFUNCTION("IMPORTRANGE(""https://docs.google.com/spreadsheets/d/1SX6NBoVAgQJ6U1MVXOaj8PK2l7WJ3RER9xtqwdhxkhw/edit?usp=sharing"",""นครปฐม!J365"")"),0)</f>
        <v>0</v>
      </c>
      <c r="R62" s="55">
        <f ca="1">IFERROR(__xludf.DUMMYFUNCTION("IMPORTRANGE(""https://docs.google.com/spreadsheets/d/1SX6NBoVAgQJ6U1MVXOaj8PK2l7WJ3RER9xtqwdhxkhw/edit?usp=sharing"",""นครปฐม!J366"")"),0)</f>
        <v>0</v>
      </c>
      <c r="S62" s="55">
        <f ca="1">IFERROR(__xludf.DUMMYFUNCTION("IMPORTRANGE(""https://docs.google.com/spreadsheets/d/1SX6NBoVAgQJ6U1MVXOaj8PK2l7WJ3RER9xtqwdhxkhw/edit?usp=sharing"",""นครปฐม!J367"")"),0)</f>
        <v>0</v>
      </c>
      <c r="T62" s="55">
        <f t="shared" ca="1" si="108"/>
        <v>0</v>
      </c>
      <c r="U62" s="55">
        <f t="shared" si="6"/>
        <v>0</v>
      </c>
      <c r="V62" s="55">
        <f t="shared" ca="1" si="109"/>
        <v>0</v>
      </c>
      <c r="W62" s="55">
        <f t="shared" si="7"/>
        <v>0</v>
      </c>
      <c r="X62" s="55">
        <f ca="1">IFERROR(__xludf.DUMMYFUNCTION("IMPORTRANGE(""https://docs.google.com/spreadsheets/d/1SX6NBoVAgQJ6U1MVXOaj8PK2l7WJ3RER9xtqwdhxkhw/edit?usp=sharing"",""นครปฐม!J370"")"),0)</f>
        <v>0</v>
      </c>
      <c r="Y62" s="55">
        <f ca="1">IFERROR(__xludf.DUMMYFUNCTION("IMPORTRANGE(""https://docs.google.com/spreadsheets/d/1SX6NBoVAgQJ6U1MVXOaj8PK2l7WJ3RER9xtqwdhxkhw/edit?usp=sharing"",""นครปฐม!J371"")"),0)</f>
        <v>0</v>
      </c>
      <c r="Z62" s="55">
        <f ca="1">IFERROR(__xludf.DUMMYFUNCTION("IMPORTRANGE(""https://docs.google.com/spreadsheets/d/1SX6NBoVAgQJ6U1MVXOaj8PK2l7WJ3RER9xtqwdhxkhw/edit?usp=sharing"",""นครปฐม!J372"")"),0)</f>
        <v>0</v>
      </c>
      <c r="AA62" s="55">
        <f ca="1">IFERROR(__xludf.DUMMYFUNCTION("IMPORTRANGE(""https://docs.google.com/spreadsheets/d/1SX6NBoVAgQJ6U1MVXOaj8PK2l7WJ3RER9xtqwdhxkhw/edit?usp=sharing"",""นครปฐม!J373"")"),0)</f>
        <v>0</v>
      </c>
      <c r="AB62" s="55">
        <f ca="1">IFERROR(__xludf.DUMMYFUNCTION("IMPORTRANGE(""https://docs.google.com/spreadsheets/d/1SX6NBoVAgQJ6U1MVXOaj8PK2l7WJ3RER9xtqwdhxkhw/edit?usp=sharing"",""นครปฐม!J374"")"),0)</f>
        <v>0</v>
      </c>
      <c r="AC62" s="55">
        <f ca="1">IFERROR(__xludf.DUMMYFUNCTION("IMPORTRANGE(""https://docs.google.com/spreadsheets/d/1SX6NBoVAgQJ6U1MVXOaj8PK2l7WJ3RER9xtqwdhxkhw/edit?usp=sharing"",""นครปฐม!J375"")"),0)</f>
        <v>0</v>
      </c>
      <c r="AD62" s="55">
        <f t="shared" ca="1" si="110"/>
        <v>0</v>
      </c>
      <c r="AE62" s="99">
        <f t="shared" si="9"/>
        <v>0</v>
      </c>
      <c r="AF62" s="55">
        <f t="shared" ca="1" si="111"/>
        <v>0</v>
      </c>
      <c r="AG62" s="99">
        <f t="shared" si="10"/>
        <v>0</v>
      </c>
      <c r="AH62" s="55">
        <f ca="1">IFERROR(__xludf.DUMMYFUNCTION("IMPORTRANGE(""https://docs.google.com/spreadsheets/d/1SX6NBoVAgQJ6U1MVXOaj8PK2l7WJ3RER9xtqwdhxkhw/edit?usp=sharing"",""นครปฐม!J378"")"),0)</f>
        <v>0</v>
      </c>
      <c r="AI62" s="55">
        <f ca="1">IFERROR(__xludf.DUMMYFUNCTION("IMPORTRANGE(""https://docs.google.com/spreadsheets/d/1SX6NBoVAgQJ6U1MVXOaj8PK2l7WJ3RER9xtqwdhxkhw/edit?usp=sharing"",""นครปฐม!J379"")"),0)</f>
        <v>0</v>
      </c>
      <c r="AJ62" s="55">
        <f ca="1">IFERROR(__xludf.DUMMYFUNCTION("IMPORTRANGE(""https://docs.google.com/spreadsheets/d/1SX6NBoVAgQJ6U1MVXOaj8PK2l7WJ3RER9xtqwdhxkhw/edit?usp=sharing"",""นครปฐม!J380"")"),0)</f>
        <v>0</v>
      </c>
      <c r="AK62" s="55">
        <f ca="1">IFERROR(__xludf.DUMMYFUNCTION("IMPORTRANGE(""https://docs.google.com/spreadsheets/d/1SX6NBoVAgQJ6U1MVXOaj8PK2l7WJ3RER9xtqwdhxkhw/edit?usp=sharing"",""นครปฐม!J381"")"),0)</f>
        <v>0</v>
      </c>
      <c r="AL62" s="55">
        <f ca="1">IFERROR(__xludf.DUMMYFUNCTION("IMPORTRANGE(""https://docs.google.com/spreadsheets/d/1SX6NBoVAgQJ6U1MVXOaj8PK2l7WJ3RER9xtqwdhxkhw/edit?usp=sharing"",""นครปฐม!J384"")"),0)</f>
        <v>0</v>
      </c>
      <c r="AM62" s="55">
        <f ca="1">IFERROR(__xludf.DUMMYFUNCTION("IMPORTRANGE(""https://docs.google.com/spreadsheets/d/1SX6NBoVAgQJ6U1MVXOaj8PK2l7WJ3RER9xtqwdhxkhw/edit?usp=sharing"",""นครปฐม!J385"")"),0)</f>
        <v>0</v>
      </c>
      <c r="AN62" s="55">
        <f ca="1">IFERROR(__xludf.DUMMYFUNCTION("IMPORTRANGE(""https://docs.google.com/spreadsheets/d/1SX6NBoVAgQJ6U1MVXOaj8PK2l7WJ3RER9xtqwdhxkhw/edit?usp=sharing"",""นครปฐม!J386"")"),0)</f>
        <v>0</v>
      </c>
      <c r="AO62" s="55">
        <f ca="1">IFERROR(__xludf.DUMMYFUNCTION("IMPORTRANGE(""https://docs.google.com/spreadsheets/d/1SX6NBoVAgQJ6U1MVXOaj8PK2l7WJ3RER9xtqwdhxkhw/edit?usp=sharing"",""นครปฐม!J387"")"),0)</f>
        <v>0</v>
      </c>
      <c r="AP62" s="55">
        <f ca="1">IFERROR(__xludf.DUMMYFUNCTION("IMPORTRANGE(""https://docs.google.com/spreadsheets/d/1SX6NBoVAgQJ6U1MVXOaj8PK2l7WJ3RER9xtqwdhxkhw/edit?usp=sharing"",""นครปฐม!J388"")"),0)</f>
        <v>0</v>
      </c>
      <c r="AQ62" s="55">
        <f ca="1">IFERROR(__xludf.DUMMYFUNCTION("IMPORTRANGE(""https://docs.google.com/spreadsheets/d/1SX6NBoVAgQJ6U1MVXOaj8PK2l7WJ3RER9xtqwdhxkhw/edit?usp=sharing"",""นครปฐม!J389"")"),0)</f>
        <v>0</v>
      </c>
      <c r="AR62" s="402">
        <v>0</v>
      </c>
      <c r="AS62" s="402">
        <v>0</v>
      </c>
      <c r="AT62" s="402">
        <f t="shared" ca="1" si="112"/>
        <v>0</v>
      </c>
      <c r="AU62" s="402">
        <f t="shared" si="12"/>
        <v>0</v>
      </c>
      <c r="AV62" s="402">
        <f t="shared" ca="1" si="113"/>
        <v>0</v>
      </c>
      <c r="AW62" s="402">
        <f t="shared" si="13"/>
        <v>0</v>
      </c>
      <c r="AX62" s="55">
        <f ca="1">IFERROR(__xludf.DUMMYFUNCTION("IMPORTRANGE(""https://docs.google.com/spreadsheets/d/1SX6NBoVAgQJ6U1MVXOaj8PK2l7WJ3RER9xtqwdhxkhw/edit?usp=sharing"",""นครปฐม!J395"")"),0)</f>
        <v>0</v>
      </c>
      <c r="AY62" s="55">
        <f ca="1">IFERROR(__xludf.DUMMYFUNCTION("IMPORTRANGE(""https://docs.google.com/spreadsheets/d/1SX6NBoVAgQJ6U1MVXOaj8PK2l7WJ3RER9xtqwdhxkhw/edit?usp=sharing"",""นครปฐม!J396"")"),0)</f>
        <v>0</v>
      </c>
      <c r="AZ62" s="55">
        <f ca="1">IFERROR(__xludf.DUMMYFUNCTION("IMPORTRANGE(""https://docs.google.com/spreadsheets/d/1SX6NBoVAgQJ6U1MVXOaj8PK2l7WJ3RER9xtqwdhxkhw/edit?usp=sharing"",""นครปฐม!J397"")"),0)</f>
        <v>0</v>
      </c>
      <c r="BA62" s="55">
        <f ca="1">IFERROR(__xludf.DUMMYFUNCTION("IMPORTRANGE(""https://docs.google.com/spreadsheets/d/1SX6NBoVAgQJ6U1MVXOaj8PK2l7WJ3RER9xtqwdhxkhw/edit?usp=sharing"",""นครปฐม!J398"")"),0)</f>
        <v>0</v>
      </c>
      <c r="BB62" s="55">
        <f ca="1">IFERROR(__xludf.DUMMYFUNCTION("IMPORTRANGE(""https://docs.google.com/spreadsheets/d/1SX6NBoVAgQJ6U1MVXOaj8PK2l7WJ3RER9xtqwdhxkhw/edit?usp=sharing"",""นครปฐม!J399"")"),0)</f>
        <v>0</v>
      </c>
      <c r="BC62" s="55">
        <f ca="1">IFERROR(__xludf.DUMMYFUNCTION("IMPORTRANGE(""https://docs.google.com/spreadsheets/d/1SX6NBoVAgQJ6U1MVXOaj8PK2l7WJ3RER9xtqwdhxkhw/edit?usp=sharing"",""นครปฐม!J400"")"),0)</f>
        <v>0</v>
      </c>
      <c r="BD62" s="55">
        <f ca="1">IFERROR(__xludf.DUMMYFUNCTION("IMPORTRANGE(""https://docs.google.com/spreadsheets/d/1SX6NBoVAgQJ6U1MVXOaj8PK2l7WJ3RER9xtqwdhxkhw/edit?usp=sharing"",""นครปฐม!J403"")"),0)</f>
        <v>0</v>
      </c>
      <c r="BE62" s="55">
        <f ca="1">IFERROR(__xludf.DUMMYFUNCTION("IMPORTRANGE(""https://docs.google.com/spreadsheets/d/1SX6NBoVAgQJ6U1MVXOaj8PK2l7WJ3RER9xtqwdhxkhw/edit?usp=sharing"",""นครปฐม!J404"")"),0)</f>
        <v>0</v>
      </c>
      <c r="BF62" s="55">
        <f ca="1">IFERROR(__xludf.DUMMYFUNCTION("IMPORTRANGE(""https://docs.google.com/spreadsheets/d/1SX6NBoVAgQJ6U1MVXOaj8PK2l7WJ3RER9xtqwdhxkhw/edit?usp=sharing"",""นครปฐม!J405"")"),0)</f>
        <v>0</v>
      </c>
      <c r="BG62" s="55">
        <f ca="1">IFERROR(__xludf.DUMMYFUNCTION("IMPORTRANGE(""https://docs.google.com/spreadsheets/d/1SX6NBoVAgQJ6U1MVXOaj8PK2l7WJ3RER9xtqwdhxkhw/edit?usp=sharing"",""นครปฐม!J406"")"),0)</f>
        <v>0</v>
      </c>
      <c r="BH62" s="55">
        <f ca="1">IFERROR(__xludf.DUMMYFUNCTION("IMPORTRANGE(""https://docs.google.com/spreadsheets/d/1SX6NBoVAgQJ6U1MVXOaj8PK2l7WJ3RER9xtqwdhxkhw/edit?usp=sharing"",""นครปฐม!J407"")"),0)</f>
        <v>0</v>
      </c>
      <c r="BI62" s="55">
        <f ca="1">IFERROR(__xludf.DUMMYFUNCTION("IMPORTRANGE(""https://docs.google.com/spreadsheets/d/1SX6NBoVAgQJ6U1MVXOaj8PK2l7WJ3RER9xtqwdhxkhw/edit?usp=sharing"",""นครปฐม!J408"")"),0)</f>
        <v>0</v>
      </c>
      <c r="BJ62" s="402">
        <v>0</v>
      </c>
      <c r="BK62" s="402">
        <v>0</v>
      </c>
      <c r="BL62" s="402">
        <f t="shared" ca="1" si="114"/>
        <v>0</v>
      </c>
      <c r="BM62" s="403">
        <f t="shared" si="15"/>
        <v>0</v>
      </c>
      <c r="BN62" s="402">
        <f t="shared" ca="1" si="115"/>
        <v>0</v>
      </c>
      <c r="BO62" s="403">
        <f t="shared" si="16"/>
        <v>0</v>
      </c>
      <c r="BP62" s="55">
        <f ca="1">IFERROR(__xludf.DUMMYFUNCTION("IMPORTRANGE(""https://docs.google.com/spreadsheets/d/1SX6NBoVAgQJ6U1MVXOaj8PK2l7WJ3RER9xtqwdhxkhw/edit?usp=sharing"",""นครปฐม!J412"")"),0)</f>
        <v>0</v>
      </c>
      <c r="BQ62" s="55">
        <f ca="1">IFERROR(__xludf.DUMMYFUNCTION("IMPORTRANGE(""https://docs.google.com/spreadsheets/d/1SX6NBoVAgQJ6U1MVXOaj8PK2l7WJ3RER9xtqwdhxkhw/edit?usp=sharing"",""นครปฐม!J413"")"),0)</f>
        <v>0</v>
      </c>
      <c r="BR62" s="55">
        <f ca="1">IFERROR(__xludf.DUMMYFUNCTION("IMPORTRANGE(""https://docs.google.com/spreadsheets/d/1SX6NBoVAgQJ6U1MVXOaj8PK2l7WJ3RER9xtqwdhxkhw/edit?usp=sharing"",""นครปฐม!J414"")"),0)</f>
        <v>0</v>
      </c>
      <c r="BS62" s="55">
        <f ca="1">IFERROR(__xludf.DUMMYFUNCTION("IMPORTRANGE(""https://docs.google.com/spreadsheets/d/1SX6NBoVAgQJ6U1MVXOaj8PK2l7WJ3RER9xtqwdhxkhw/edit?usp=sharing"",""นครปฐม!J415"")"),0)</f>
        <v>0</v>
      </c>
      <c r="BT62" s="55">
        <f ca="1">IFERROR(__xludf.DUMMYFUNCTION("IMPORTRANGE(""https://docs.google.com/spreadsheets/d/1SX6NBoVAgQJ6U1MVXOaj8PK2l7WJ3RER9xtqwdhxkhw/edit?usp=sharing"",""นครปฐม!J416"")"),0)</f>
        <v>0</v>
      </c>
      <c r="BU62" s="55">
        <f ca="1">IFERROR(__xludf.DUMMYFUNCTION("IMPORTRANGE(""https://docs.google.com/spreadsheets/d/1SX6NBoVAgQJ6U1MVXOaj8PK2l7WJ3RER9xtqwdhxkhw/edit?usp=sharing"",""นครปฐม!J417"")"),0)</f>
        <v>0</v>
      </c>
      <c r="BV62" s="402">
        <f t="shared" ca="1" si="116"/>
        <v>0</v>
      </c>
      <c r="BW62" s="403">
        <f t="shared" ca="1" si="117"/>
        <v>0</v>
      </c>
      <c r="BX62" s="402">
        <f t="shared" ca="1" si="118"/>
        <v>0</v>
      </c>
      <c r="BY62" s="403">
        <f t="shared" ca="1" si="119"/>
        <v>0</v>
      </c>
      <c r="BZ62" s="55">
        <f ca="1">IFERROR(__xludf.DUMMYFUNCTION("IMPORTRANGE(""https://docs.google.com/spreadsheets/d/1SX6NBoVAgQJ6U1MVXOaj8PK2l7WJ3RER9xtqwdhxkhw/edit?usp=sharing"",""นครปฐม!J420"")"),0)</f>
        <v>0</v>
      </c>
      <c r="CA62" s="55">
        <f ca="1">IFERROR(__xludf.DUMMYFUNCTION("IMPORTRANGE(""https://docs.google.com/spreadsheets/d/1SX6NBoVAgQJ6U1MVXOaj8PK2l7WJ3RER9xtqwdhxkhw/edit?usp=sharing"",""นครปฐม!J421"")"),0)</f>
        <v>0</v>
      </c>
      <c r="CB62" s="55">
        <f ca="1">IFERROR(__xludf.DUMMYFUNCTION("IMPORTRANGE(""https://docs.google.com/spreadsheets/d/1SX6NBoVAgQJ6U1MVXOaj8PK2l7WJ3RER9xtqwdhxkhw/edit?usp=sharing"",""นครปฐม!J422"")"),0)</f>
        <v>0</v>
      </c>
      <c r="CC62" s="55">
        <f ca="1">IFERROR(__xludf.DUMMYFUNCTION("IMPORTRANGE(""https://docs.google.com/spreadsheets/d/1SX6NBoVAgQJ6U1MVXOaj8PK2l7WJ3RER9xtqwdhxkhw/edit?usp=sharing"",""นครปฐม!J423"")"),0)</f>
        <v>0</v>
      </c>
      <c r="CD62" s="55">
        <f ca="1">IFERROR(__xludf.DUMMYFUNCTION("IMPORTRANGE(""https://docs.google.com/spreadsheets/d/1SX6NBoVAgQJ6U1MVXOaj8PK2l7WJ3RER9xtqwdhxkhw/edit?usp=sharing"",""นครปฐม!J424"")"),0)</f>
        <v>0</v>
      </c>
      <c r="CE62" s="422">
        <f ca="1">IFERROR(__xludf.DUMMYFUNCTION("IMPORTRANGE(""https://docs.google.com/spreadsheets/d/1SX6NBoVAgQJ6U1MVXOaj8PK2l7WJ3RER9xtqwdhxkhw/edit?usp=sharing"",""นครปฐม!J425"")"),0)</f>
        <v>0</v>
      </c>
    </row>
    <row r="63" spans="1:83" ht="24" customHeight="1" x14ac:dyDescent="0.5">
      <c r="A63" s="273">
        <v>9</v>
      </c>
      <c r="B63" s="274" t="s">
        <v>78</v>
      </c>
      <c r="C63" s="400">
        <f t="shared" si="105"/>
        <v>0</v>
      </c>
      <c r="D63" s="55">
        <v>0</v>
      </c>
      <c r="E63" s="401">
        <v>0</v>
      </c>
      <c r="F63" s="99">
        <f ca="1">IFERROR(__xludf.DUMMYFUNCTION("IMPORTRANGE(""https://docs.google.com/spreadsheets/d/1SX6NBoVAgQJ6U1MVXOaj8PK2l7WJ3RER9xtqwdhxkhw/edit?usp=sharing"",""ปทุมธานี!M352"")"),0)</f>
        <v>0</v>
      </c>
      <c r="G63" s="99">
        <f t="shared" si="1"/>
        <v>0</v>
      </c>
      <c r="H63" s="57">
        <v>0</v>
      </c>
      <c r="I63" s="57">
        <v>0</v>
      </c>
      <c r="J63" s="55">
        <f t="shared" ca="1" si="106"/>
        <v>0</v>
      </c>
      <c r="K63" s="99">
        <f t="shared" si="3"/>
        <v>0</v>
      </c>
      <c r="L63" s="55">
        <f t="shared" ca="1" si="107"/>
        <v>0</v>
      </c>
      <c r="M63" s="99">
        <f t="shared" si="4"/>
        <v>0</v>
      </c>
      <c r="N63" s="55">
        <f ca="1">IFERROR(__xludf.DUMMYFUNCTION("IMPORTRANGE(""https://docs.google.com/spreadsheets/d/1SX6NBoVAgQJ6U1MVXOaj8PK2l7WJ3RER9xtqwdhxkhw/edit?usp=sharing"",""ปทุมธานี!J362"")"),0)</f>
        <v>0</v>
      </c>
      <c r="O63" s="55">
        <f ca="1">IFERROR(__xludf.DUMMYFUNCTION("IMPORTRANGE(""https://docs.google.com/spreadsheets/d/1SX6NBoVAgQJ6U1MVXOaj8PK2l7WJ3RER9xtqwdhxkhw/edit?usp=sharing"",""ปทุมธานี!J363"")"),0)</f>
        <v>0</v>
      </c>
      <c r="P63" s="55">
        <f ca="1">IFERROR(__xludf.DUMMYFUNCTION("IMPORTRANGE(""https://docs.google.com/spreadsheets/d/1SX6NBoVAgQJ6U1MVXOaj8PK2l7WJ3RER9xtqwdhxkhw/edit?usp=sharing"",""ปทุมธานี!J364"")"),0)</f>
        <v>0</v>
      </c>
      <c r="Q63" s="55">
        <f ca="1">IFERROR(__xludf.DUMMYFUNCTION("IMPORTRANGE(""https://docs.google.com/spreadsheets/d/1SX6NBoVAgQJ6U1MVXOaj8PK2l7WJ3RER9xtqwdhxkhw/edit?usp=sharing"",""ปทุมธานี!J365"")"),0)</f>
        <v>0</v>
      </c>
      <c r="R63" s="55">
        <f ca="1">IFERROR(__xludf.DUMMYFUNCTION("IMPORTRANGE(""https://docs.google.com/spreadsheets/d/1SX6NBoVAgQJ6U1MVXOaj8PK2l7WJ3RER9xtqwdhxkhw/edit?usp=sharing"",""ปทุมธานี!J366"")"),0)</f>
        <v>0</v>
      </c>
      <c r="S63" s="55">
        <f ca="1">IFERROR(__xludf.DUMMYFUNCTION("IMPORTRANGE(""https://docs.google.com/spreadsheets/d/1SX6NBoVAgQJ6U1MVXOaj8PK2l7WJ3RER9xtqwdhxkhw/edit?usp=sharing"",""ปทุมธานี!J367"")"),0)</f>
        <v>0</v>
      </c>
      <c r="T63" s="55">
        <f t="shared" ca="1" si="108"/>
        <v>0</v>
      </c>
      <c r="U63" s="55">
        <f t="shared" si="6"/>
        <v>0</v>
      </c>
      <c r="V63" s="55">
        <f t="shared" ca="1" si="109"/>
        <v>0</v>
      </c>
      <c r="W63" s="55">
        <f t="shared" si="7"/>
        <v>0</v>
      </c>
      <c r="X63" s="55">
        <f ca="1">IFERROR(__xludf.DUMMYFUNCTION("IMPORTRANGE(""https://docs.google.com/spreadsheets/d/1SX6NBoVAgQJ6U1MVXOaj8PK2l7WJ3RER9xtqwdhxkhw/edit?usp=sharing"",""ปทุมธานี!J370"")"),0)</f>
        <v>0</v>
      </c>
      <c r="Y63" s="55">
        <f ca="1">IFERROR(__xludf.DUMMYFUNCTION("IMPORTRANGE(""https://docs.google.com/spreadsheets/d/1SX6NBoVAgQJ6U1MVXOaj8PK2l7WJ3RER9xtqwdhxkhw/edit?usp=sharing"",""ปทุมธานี!J371"")"),0)</f>
        <v>0</v>
      </c>
      <c r="Z63" s="55">
        <f ca="1">IFERROR(__xludf.DUMMYFUNCTION("IMPORTRANGE(""https://docs.google.com/spreadsheets/d/1SX6NBoVAgQJ6U1MVXOaj8PK2l7WJ3RER9xtqwdhxkhw/edit?usp=sharing"",""ปทุมธานี!J372"")"),0)</f>
        <v>0</v>
      </c>
      <c r="AA63" s="55">
        <f ca="1">IFERROR(__xludf.DUMMYFUNCTION("IMPORTRANGE(""https://docs.google.com/spreadsheets/d/1SX6NBoVAgQJ6U1MVXOaj8PK2l7WJ3RER9xtqwdhxkhw/edit?usp=sharing"",""ปทุมธานี!J373"")"),0)</f>
        <v>0</v>
      </c>
      <c r="AB63" s="55">
        <f ca="1">IFERROR(__xludf.DUMMYFUNCTION("IMPORTRANGE(""https://docs.google.com/spreadsheets/d/1SX6NBoVAgQJ6U1MVXOaj8PK2l7WJ3RER9xtqwdhxkhw/edit?usp=sharing"",""ปทุมธานี!J374"")"),0)</f>
        <v>0</v>
      </c>
      <c r="AC63" s="55">
        <f ca="1">IFERROR(__xludf.DUMMYFUNCTION("IMPORTRANGE(""https://docs.google.com/spreadsheets/d/1SX6NBoVAgQJ6U1MVXOaj8PK2l7WJ3RER9xtqwdhxkhw/edit?usp=sharing"",""ปทุมธานี!J375"")"),0)</f>
        <v>0</v>
      </c>
      <c r="AD63" s="55">
        <f t="shared" ca="1" si="110"/>
        <v>0</v>
      </c>
      <c r="AE63" s="99">
        <f t="shared" si="9"/>
        <v>0</v>
      </c>
      <c r="AF63" s="55">
        <f t="shared" ca="1" si="111"/>
        <v>0</v>
      </c>
      <c r="AG63" s="99">
        <f t="shared" si="10"/>
        <v>0</v>
      </c>
      <c r="AH63" s="55">
        <f ca="1">IFERROR(__xludf.DUMMYFUNCTION("IMPORTRANGE(""https://docs.google.com/spreadsheets/d/1SX6NBoVAgQJ6U1MVXOaj8PK2l7WJ3RER9xtqwdhxkhw/edit?usp=sharing"",""ปทุมธานี!J378"")"),0)</f>
        <v>0</v>
      </c>
      <c r="AI63" s="55">
        <f ca="1">IFERROR(__xludf.DUMMYFUNCTION("IMPORTRANGE(""https://docs.google.com/spreadsheets/d/1SX6NBoVAgQJ6U1MVXOaj8PK2l7WJ3RER9xtqwdhxkhw/edit?usp=sharing"",""ปทุมธานี!J379"")"),0)</f>
        <v>0</v>
      </c>
      <c r="AJ63" s="55">
        <f ca="1">IFERROR(__xludf.DUMMYFUNCTION("IMPORTRANGE(""https://docs.google.com/spreadsheets/d/1SX6NBoVAgQJ6U1MVXOaj8PK2l7WJ3RER9xtqwdhxkhw/edit?usp=sharing"",""ปทุมธานี!J380"")"),0)</f>
        <v>0</v>
      </c>
      <c r="AK63" s="55">
        <f ca="1">IFERROR(__xludf.DUMMYFUNCTION("IMPORTRANGE(""https://docs.google.com/spreadsheets/d/1SX6NBoVAgQJ6U1MVXOaj8PK2l7WJ3RER9xtqwdhxkhw/edit?usp=sharing"",""ปทุมธานี!J381"")"),0)</f>
        <v>0</v>
      </c>
      <c r="AL63" s="55">
        <f ca="1">IFERROR(__xludf.DUMMYFUNCTION("IMPORTRANGE(""https://docs.google.com/spreadsheets/d/1SX6NBoVAgQJ6U1MVXOaj8PK2l7WJ3RER9xtqwdhxkhw/edit?usp=sharing"",""ปทุมธานี!J384"")"),0)</f>
        <v>0</v>
      </c>
      <c r="AM63" s="55">
        <f ca="1">IFERROR(__xludf.DUMMYFUNCTION("IMPORTRANGE(""https://docs.google.com/spreadsheets/d/1SX6NBoVAgQJ6U1MVXOaj8PK2l7WJ3RER9xtqwdhxkhw/edit?usp=sharing"",""ปทุมธานี!J385"")"),0)</f>
        <v>0</v>
      </c>
      <c r="AN63" s="55">
        <f ca="1">IFERROR(__xludf.DUMMYFUNCTION("IMPORTRANGE(""https://docs.google.com/spreadsheets/d/1SX6NBoVAgQJ6U1MVXOaj8PK2l7WJ3RER9xtqwdhxkhw/edit?usp=sharing"",""ปทุมธานี!J386"")"),0)</f>
        <v>0</v>
      </c>
      <c r="AO63" s="55">
        <f ca="1">IFERROR(__xludf.DUMMYFUNCTION("IMPORTRANGE(""https://docs.google.com/spreadsheets/d/1SX6NBoVAgQJ6U1MVXOaj8PK2l7WJ3RER9xtqwdhxkhw/edit?usp=sharing"",""ปทุมธานี!J387"")"),0)</f>
        <v>0</v>
      </c>
      <c r="AP63" s="55">
        <f ca="1">IFERROR(__xludf.DUMMYFUNCTION("IMPORTRANGE(""https://docs.google.com/spreadsheets/d/1SX6NBoVAgQJ6U1MVXOaj8PK2l7WJ3RER9xtqwdhxkhw/edit?usp=sharing"",""ปทุมธานี!J388"")"),0)</f>
        <v>0</v>
      </c>
      <c r="AQ63" s="55">
        <f ca="1">IFERROR(__xludf.DUMMYFUNCTION("IMPORTRANGE(""https://docs.google.com/spreadsheets/d/1SX6NBoVAgQJ6U1MVXOaj8PK2l7WJ3RER9xtqwdhxkhw/edit?usp=sharing"",""ปทุมธานี!J389"")"),0)</f>
        <v>0</v>
      </c>
      <c r="AR63" s="402">
        <v>0</v>
      </c>
      <c r="AS63" s="402">
        <v>0</v>
      </c>
      <c r="AT63" s="402">
        <f t="shared" ca="1" si="112"/>
        <v>0</v>
      </c>
      <c r="AU63" s="402">
        <f t="shared" si="12"/>
        <v>0</v>
      </c>
      <c r="AV63" s="402">
        <f t="shared" ca="1" si="113"/>
        <v>0</v>
      </c>
      <c r="AW63" s="402">
        <f t="shared" si="13"/>
        <v>0</v>
      </c>
      <c r="AX63" s="55">
        <f ca="1">IFERROR(__xludf.DUMMYFUNCTION("IMPORTRANGE(""https://docs.google.com/spreadsheets/d/1SX6NBoVAgQJ6U1MVXOaj8PK2l7WJ3RER9xtqwdhxkhw/edit?usp=sharing"",""ปทุมธานี!J395"")"),0)</f>
        <v>0</v>
      </c>
      <c r="AY63" s="55">
        <f ca="1">IFERROR(__xludf.DUMMYFUNCTION("IMPORTRANGE(""https://docs.google.com/spreadsheets/d/1SX6NBoVAgQJ6U1MVXOaj8PK2l7WJ3RER9xtqwdhxkhw/edit?usp=sharing"",""ปทุมธานี!J396"")"),0)</f>
        <v>0</v>
      </c>
      <c r="AZ63" s="55">
        <f ca="1">IFERROR(__xludf.DUMMYFUNCTION("IMPORTRANGE(""https://docs.google.com/spreadsheets/d/1SX6NBoVAgQJ6U1MVXOaj8PK2l7WJ3RER9xtqwdhxkhw/edit?usp=sharing"",""ปทุมธานี!J397"")"),0)</f>
        <v>0</v>
      </c>
      <c r="BA63" s="55">
        <f ca="1">IFERROR(__xludf.DUMMYFUNCTION("IMPORTRANGE(""https://docs.google.com/spreadsheets/d/1SX6NBoVAgQJ6U1MVXOaj8PK2l7WJ3RER9xtqwdhxkhw/edit?usp=sharing"",""ปทุมธานี!J398"")"),0)</f>
        <v>0</v>
      </c>
      <c r="BB63" s="55">
        <f ca="1">IFERROR(__xludf.DUMMYFUNCTION("IMPORTRANGE(""https://docs.google.com/spreadsheets/d/1SX6NBoVAgQJ6U1MVXOaj8PK2l7WJ3RER9xtqwdhxkhw/edit?usp=sharing"",""ปทุมธานี!J399"")"),0)</f>
        <v>0</v>
      </c>
      <c r="BC63" s="55">
        <f ca="1">IFERROR(__xludf.DUMMYFUNCTION("IMPORTRANGE(""https://docs.google.com/spreadsheets/d/1SX6NBoVAgQJ6U1MVXOaj8PK2l7WJ3RER9xtqwdhxkhw/edit?usp=sharing"",""ปทุมธานี!J400"")"),0)</f>
        <v>0</v>
      </c>
      <c r="BD63" s="55">
        <f ca="1">IFERROR(__xludf.DUMMYFUNCTION("IMPORTRANGE(""https://docs.google.com/spreadsheets/d/1SX6NBoVAgQJ6U1MVXOaj8PK2l7WJ3RER9xtqwdhxkhw/edit?usp=sharing"",""ปทุมธานี!J403"")"),0)</f>
        <v>0</v>
      </c>
      <c r="BE63" s="55">
        <f ca="1">IFERROR(__xludf.DUMMYFUNCTION("IMPORTRANGE(""https://docs.google.com/spreadsheets/d/1SX6NBoVAgQJ6U1MVXOaj8PK2l7WJ3RER9xtqwdhxkhw/edit?usp=sharing"",""ปทุมธานี!J404"")"),0)</f>
        <v>0</v>
      </c>
      <c r="BF63" s="55">
        <f ca="1">IFERROR(__xludf.DUMMYFUNCTION("IMPORTRANGE(""https://docs.google.com/spreadsheets/d/1SX6NBoVAgQJ6U1MVXOaj8PK2l7WJ3RER9xtqwdhxkhw/edit?usp=sharing"",""ปทุมธานี!J405"")"),0)</f>
        <v>0</v>
      </c>
      <c r="BG63" s="55">
        <f ca="1">IFERROR(__xludf.DUMMYFUNCTION("IMPORTRANGE(""https://docs.google.com/spreadsheets/d/1SX6NBoVAgQJ6U1MVXOaj8PK2l7WJ3RER9xtqwdhxkhw/edit?usp=sharing"",""ปทุมธานี!J406"")"),0)</f>
        <v>0</v>
      </c>
      <c r="BH63" s="55">
        <f ca="1">IFERROR(__xludf.DUMMYFUNCTION("IMPORTRANGE(""https://docs.google.com/spreadsheets/d/1SX6NBoVAgQJ6U1MVXOaj8PK2l7WJ3RER9xtqwdhxkhw/edit?usp=sharing"",""ปทุมธานี!J407"")"),0)</f>
        <v>0</v>
      </c>
      <c r="BI63" s="55">
        <f ca="1">IFERROR(__xludf.DUMMYFUNCTION("IMPORTRANGE(""https://docs.google.com/spreadsheets/d/1SX6NBoVAgQJ6U1MVXOaj8PK2l7WJ3RER9xtqwdhxkhw/edit?usp=sharing"",""ปทุมธานี!J408"")"),0)</f>
        <v>0</v>
      </c>
      <c r="BJ63" s="402">
        <v>0</v>
      </c>
      <c r="BK63" s="402">
        <v>0</v>
      </c>
      <c r="BL63" s="402">
        <f t="shared" ca="1" si="114"/>
        <v>0</v>
      </c>
      <c r="BM63" s="403">
        <f t="shared" si="15"/>
        <v>0</v>
      </c>
      <c r="BN63" s="402">
        <f t="shared" ca="1" si="115"/>
        <v>0</v>
      </c>
      <c r="BO63" s="403">
        <f t="shared" si="16"/>
        <v>0</v>
      </c>
      <c r="BP63" s="55">
        <f ca="1">IFERROR(__xludf.DUMMYFUNCTION("IMPORTRANGE(""https://docs.google.com/spreadsheets/d/1SX6NBoVAgQJ6U1MVXOaj8PK2l7WJ3RER9xtqwdhxkhw/edit?usp=sharing"",""ปทุมธานี!J412"")"),0)</f>
        <v>0</v>
      </c>
      <c r="BQ63" s="55">
        <f ca="1">IFERROR(__xludf.DUMMYFUNCTION("IMPORTRANGE(""https://docs.google.com/spreadsheets/d/1SX6NBoVAgQJ6U1MVXOaj8PK2l7WJ3RER9xtqwdhxkhw/edit?usp=sharing"",""ปทุมธานี!J413"")"),0)</f>
        <v>0</v>
      </c>
      <c r="BR63" s="55">
        <f ca="1">IFERROR(__xludf.DUMMYFUNCTION("IMPORTRANGE(""https://docs.google.com/spreadsheets/d/1SX6NBoVAgQJ6U1MVXOaj8PK2l7WJ3RER9xtqwdhxkhw/edit?usp=sharing"",""ปทุมธานี!J414"")"),0)</f>
        <v>0</v>
      </c>
      <c r="BS63" s="55">
        <f ca="1">IFERROR(__xludf.DUMMYFUNCTION("IMPORTRANGE(""https://docs.google.com/spreadsheets/d/1SX6NBoVAgQJ6U1MVXOaj8PK2l7WJ3RER9xtqwdhxkhw/edit?usp=sharing"",""ปทุมธานี!J415"")"),0)</f>
        <v>0</v>
      </c>
      <c r="BT63" s="55">
        <f ca="1">IFERROR(__xludf.DUMMYFUNCTION("IMPORTRANGE(""https://docs.google.com/spreadsheets/d/1SX6NBoVAgQJ6U1MVXOaj8PK2l7WJ3RER9xtqwdhxkhw/edit?usp=sharing"",""ปทุมธานี!J416"")"),0)</f>
        <v>0</v>
      </c>
      <c r="BU63" s="55">
        <f ca="1">IFERROR(__xludf.DUMMYFUNCTION("IMPORTRANGE(""https://docs.google.com/spreadsheets/d/1SX6NBoVAgQJ6U1MVXOaj8PK2l7WJ3RER9xtqwdhxkhw/edit?usp=sharing"",""ปทุมธานี!J417"")"),0)</f>
        <v>0</v>
      </c>
      <c r="BV63" s="402">
        <f t="shared" ca="1" si="116"/>
        <v>0</v>
      </c>
      <c r="BW63" s="403">
        <f t="shared" ca="1" si="117"/>
        <v>0</v>
      </c>
      <c r="BX63" s="402">
        <f t="shared" ca="1" si="118"/>
        <v>0</v>
      </c>
      <c r="BY63" s="403">
        <f t="shared" ca="1" si="119"/>
        <v>0</v>
      </c>
      <c r="BZ63" s="55">
        <f ca="1">IFERROR(__xludf.DUMMYFUNCTION("IMPORTRANGE(""https://docs.google.com/spreadsheets/d/1SX6NBoVAgQJ6U1MVXOaj8PK2l7WJ3RER9xtqwdhxkhw/edit?usp=sharing"",""ปทุมธานี!J420"")"),0)</f>
        <v>0</v>
      </c>
      <c r="CA63" s="55">
        <f ca="1">IFERROR(__xludf.DUMMYFUNCTION("IMPORTRANGE(""https://docs.google.com/spreadsheets/d/1SX6NBoVAgQJ6U1MVXOaj8PK2l7WJ3RER9xtqwdhxkhw/edit?usp=sharing"",""ปทุมธานี!J421"")"),0)</f>
        <v>0</v>
      </c>
      <c r="CB63" s="55">
        <f ca="1">IFERROR(__xludf.DUMMYFUNCTION("IMPORTRANGE(""https://docs.google.com/spreadsheets/d/1SX6NBoVAgQJ6U1MVXOaj8PK2l7WJ3RER9xtqwdhxkhw/edit?usp=sharing"",""ปทุมธานี!J422"")"),0)</f>
        <v>0</v>
      </c>
      <c r="CC63" s="55">
        <f ca="1">IFERROR(__xludf.DUMMYFUNCTION("IMPORTRANGE(""https://docs.google.com/spreadsheets/d/1SX6NBoVAgQJ6U1MVXOaj8PK2l7WJ3RER9xtqwdhxkhw/edit?usp=sharing"",""ปทุมธานี!J423"")"),0)</f>
        <v>0</v>
      </c>
      <c r="CD63" s="55">
        <f ca="1">IFERROR(__xludf.DUMMYFUNCTION("IMPORTRANGE(""https://docs.google.com/spreadsheets/d/1SX6NBoVAgQJ6U1MVXOaj8PK2l7WJ3RER9xtqwdhxkhw/edit?usp=sharing"",""ปทุมธานี!J424"")"),0)</f>
        <v>0</v>
      </c>
      <c r="CE63" s="422">
        <f ca="1">IFERROR(__xludf.DUMMYFUNCTION("IMPORTRANGE(""https://docs.google.com/spreadsheets/d/1SX6NBoVAgQJ6U1MVXOaj8PK2l7WJ3RER9xtqwdhxkhw/edit?usp=sharing"",""ปทุมธานี!J425"")"),0)</f>
        <v>0</v>
      </c>
    </row>
    <row r="64" spans="1:83" ht="24" customHeight="1" x14ac:dyDescent="0.5">
      <c r="A64" s="273">
        <v>10</v>
      </c>
      <c r="B64" s="274" t="s">
        <v>79</v>
      </c>
      <c r="C64" s="400">
        <f t="shared" si="105"/>
        <v>155069.4</v>
      </c>
      <c r="D64" s="55">
        <v>0</v>
      </c>
      <c r="E64" s="401">
        <v>155069.4</v>
      </c>
      <c r="F64" s="99">
        <f ca="1">IFERROR(__xludf.DUMMYFUNCTION("IMPORTRANGE(""https://docs.google.com/spreadsheets/d/1SX6NBoVAgQJ6U1MVXOaj8PK2l7WJ3RER9xtqwdhxkhw/edit?usp=sharing"",""ประจวบคีรีขันธ์!M352"")"),0)</f>
        <v>0</v>
      </c>
      <c r="G64" s="99">
        <f t="shared" ca="1" si="1"/>
        <v>0</v>
      </c>
      <c r="H64" s="57">
        <v>19789</v>
      </c>
      <c r="I64" s="57">
        <v>2020</v>
      </c>
      <c r="J64" s="55">
        <f t="shared" ca="1" si="106"/>
        <v>0</v>
      </c>
      <c r="K64" s="99">
        <f t="shared" ca="1" si="3"/>
        <v>0</v>
      </c>
      <c r="L64" s="55">
        <f t="shared" ca="1" si="107"/>
        <v>0</v>
      </c>
      <c r="M64" s="99">
        <f t="shared" ca="1" si="4"/>
        <v>0</v>
      </c>
      <c r="N64" s="55">
        <f ca="1">IFERROR(__xludf.DUMMYFUNCTION("IMPORTRANGE(""https://docs.google.com/spreadsheets/d/1SX6NBoVAgQJ6U1MVXOaj8PK2l7WJ3RER9xtqwdhxkhw/edit?usp=sharing"",""ประจวบคีรีขันธ์!J362"")"),0)</f>
        <v>0</v>
      </c>
      <c r="O64" s="55">
        <f ca="1">IFERROR(__xludf.DUMMYFUNCTION("IMPORTRANGE(""https://docs.google.com/spreadsheets/d/1SX6NBoVAgQJ6U1MVXOaj8PK2l7WJ3RER9xtqwdhxkhw/edit?usp=sharing"",""ประจวบคีรีขันธ์!J363"")"),0)</f>
        <v>0</v>
      </c>
      <c r="P64" s="55">
        <f ca="1">IFERROR(__xludf.DUMMYFUNCTION("IMPORTRANGE(""https://docs.google.com/spreadsheets/d/1SX6NBoVAgQJ6U1MVXOaj8PK2l7WJ3RER9xtqwdhxkhw/edit?usp=sharing"",""ประจวบคีรีขันธ์!J364"")"),0)</f>
        <v>0</v>
      </c>
      <c r="Q64" s="55">
        <f ca="1">IFERROR(__xludf.DUMMYFUNCTION("IMPORTRANGE(""https://docs.google.com/spreadsheets/d/1SX6NBoVAgQJ6U1MVXOaj8PK2l7WJ3RER9xtqwdhxkhw/edit?usp=sharing"",""ประจวบคีรีขันธ์!J365"")"),0)</f>
        <v>0</v>
      </c>
      <c r="R64" s="55">
        <f ca="1">IFERROR(__xludf.DUMMYFUNCTION("IMPORTRANGE(""https://docs.google.com/spreadsheets/d/1SX6NBoVAgQJ6U1MVXOaj8PK2l7WJ3RER9xtqwdhxkhw/edit?usp=sharing"",""ประจวบคีรีขันธ์!J366"")"),0)</f>
        <v>0</v>
      </c>
      <c r="S64" s="55">
        <f ca="1">IFERROR(__xludf.DUMMYFUNCTION("IMPORTRANGE(""https://docs.google.com/spreadsheets/d/1SX6NBoVAgQJ6U1MVXOaj8PK2l7WJ3RER9xtqwdhxkhw/edit?usp=sharing"",""ประจวบคีรีขันธ์!J367"")"),0)</f>
        <v>0</v>
      </c>
      <c r="T64" s="55">
        <f t="shared" ca="1" si="108"/>
        <v>0</v>
      </c>
      <c r="U64" s="55">
        <f t="shared" ca="1" si="6"/>
        <v>0</v>
      </c>
      <c r="V64" s="55">
        <f t="shared" ca="1" si="109"/>
        <v>0</v>
      </c>
      <c r="W64" s="55">
        <f t="shared" ca="1" si="7"/>
        <v>0</v>
      </c>
      <c r="X64" s="55">
        <f ca="1">IFERROR(__xludf.DUMMYFUNCTION("IMPORTRANGE(""https://docs.google.com/spreadsheets/d/1SX6NBoVAgQJ6U1MVXOaj8PK2l7WJ3RER9xtqwdhxkhw/edit?usp=sharing"",""ประจวบคีรีขันธ์!J370"")"),0)</f>
        <v>0</v>
      </c>
      <c r="Y64" s="55">
        <f ca="1">IFERROR(__xludf.DUMMYFUNCTION("IMPORTRANGE(""https://docs.google.com/spreadsheets/d/1SX6NBoVAgQJ6U1MVXOaj8PK2l7WJ3RER9xtqwdhxkhw/edit?usp=sharing"",""ประจวบคีรีขันธ์!J371"")"),0)</f>
        <v>0</v>
      </c>
      <c r="Z64" s="55">
        <f ca="1">IFERROR(__xludf.DUMMYFUNCTION("IMPORTRANGE(""https://docs.google.com/spreadsheets/d/1SX6NBoVAgQJ6U1MVXOaj8PK2l7WJ3RER9xtqwdhxkhw/edit?usp=sharing"",""ประจวบคีรีขันธ์!J372"")"),0)</f>
        <v>0</v>
      </c>
      <c r="AA64" s="55">
        <f ca="1">IFERROR(__xludf.DUMMYFUNCTION("IMPORTRANGE(""https://docs.google.com/spreadsheets/d/1SX6NBoVAgQJ6U1MVXOaj8PK2l7WJ3RER9xtqwdhxkhw/edit?usp=sharing"",""ประจวบคีรีขันธ์!J373"")"),0)</f>
        <v>0</v>
      </c>
      <c r="AB64" s="55">
        <f ca="1">IFERROR(__xludf.DUMMYFUNCTION("IMPORTRANGE(""https://docs.google.com/spreadsheets/d/1SX6NBoVAgQJ6U1MVXOaj8PK2l7WJ3RER9xtqwdhxkhw/edit?usp=sharing"",""ประจวบคีรีขันธ์!J374"")"),0)</f>
        <v>0</v>
      </c>
      <c r="AC64" s="55">
        <f ca="1">IFERROR(__xludf.DUMMYFUNCTION("IMPORTRANGE(""https://docs.google.com/spreadsheets/d/1SX6NBoVAgQJ6U1MVXOaj8PK2l7WJ3RER9xtqwdhxkhw/edit?usp=sharing"",""ประจวบคีรีขันธ์!J375"")"),0)</f>
        <v>0</v>
      </c>
      <c r="AD64" s="55">
        <f t="shared" ca="1" si="110"/>
        <v>0</v>
      </c>
      <c r="AE64" s="99">
        <f t="shared" ca="1" si="9"/>
        <v>0</v>
      </c>
      <c r="AF64" s="55">
        <f t="shared" ca="1" si="111"/>
        <v>0</v>
      </c>
      <c r="AG64" s="99">
        <f t="shared" ca="1" si="10"/>
        <v>0</v>
      </c>
      <c r="AH64" s="55">
        <f ca="1">IFERROR(__xludf.DUMMYFUNCTION("IMPORTRANGE(""https://docs.google.com/spreadsheets/d/1SX6NBoVAgQJ6U1MVXOaj8PK2l7WJ3RER9xtqwdhxkhw/edit?usp=sharing"",""ประจวบคีรีขันธ์!J378"")"),0)</f>
        <v>0</v>
      </c>
      <c r="AI64" s="55">
        <f ca="1">IFERROR(__xludf.DUMMYFUNCTION("IMPORTRANGE(""https://docs.google.com/spreadsheets/d/1SX6NBoVAgQJ6U1MVXOaj8PK2l7WJ3RER9xtqwdhxkhw/edit?usp=sharing"",""ประจวบคีรีขันธ์!J379"")"),0)</f>
        <v>0</v>
      </c>
      <c r="AJ64" s="55">
        <f ca="1">IFERROR(__xludf.DUMMYFUNCTION("IMPORTRANGE(""https://docs.google.com/spreadsheets/d/1SX6NBoVAgQJ6U1MVXOaj8PK2l7WJ3RER9xtqwdhxkhw/edit?usp=sharing"",""ประจวบคีรีขันธ์!J380"")"),0)</f>
        <v>0</v>
      </c>
      <c r="AK64" s="55">
        <f ca="1">IFERROR(__xludf.DUMMYFUNCTION("IMPORTRANGE(""https://docs.google.com/spreadsheets/d/1SX6NBoVAgQJ6U1MVXOaj8PK2l7WJ3RER9xtqwdhxkhw/edit?usp=sharing"",""ประจวบคีรีขันธ์!J381"")"),0)</f>
        <v>0</v>
      </c>
      <c r="AL64" s="55">
        <f ca="1">IFERROR(__xludf.DUMMYFUNCTION("IMPORTRANGE(""https://docs.google.com/spreadsheets/d/1SX6NBoVAgQJ6U1MVXOaj8PK2l7WJ3RER9xtqwdhxkhw/edit?usp=sharing"",""ประจวบคีรีขันธ์!J384"")"),0)</f>
        <v>0</v>
      </c>
      <c r="AM64" s="55">
        <f ca="1">IFERROR(__xludf.DUMMYFUNCTION("IMPORTRANGE(""https://docs.google.com/spreadsheets/d/1SX6NBoVAgQJ6U1MVXOaj8PK2l7WJ3RER9xtqwdhxkhw/edit?usp=sharing"",""ประจวบคีรีขันธ์!J385"")"),0)</f>
        <v>0</v>
      </c>
      <c r="AN64" s="55">
        <f ca="1">IFERROR(__xludf.DUMMYFUNCTION("IMPORTRANGE(""https://docs.google.com/spreadsheets/d/1SX6NBoVAgQJ6U1MVXOaj8PK2l7WJ3RER9xtqwdhxkhw/edit?usp=sharing"",""ประจวบคีรีขันธ์!J386"")"),0)</f>
        <v>0</v>
      </c>
      <c r="AO64" s="55">
        <f ca="1">IFERROR(__xludf.DUMMYFUNCTION("IMPORTRANGE(""https://docs.google.com/spreadsheets/d/1SX6NBoVAgQJ6U1MVXOaj8PK2l7WJ3RER9xtqwdhxkhw/edit?usp=sharing"",""ประจวบคีรีขันธ์!J387"")"),0)</f>
        <v>0</v>
      </c>
      <c r="AP64" s="55">
        <f ca="1">IFERROR(__xludf.DUMMYFUNCTION("IMPORTRANGE(""https://docs.google.com/spreadsheets/d/1SX6NBoVAgQJ6U1MVXOaj8PK2l7WJ3RER9xtqwdhxkhw/edit?usp=sharing"",""ประจวบคีรีขันธ์!J388"")"),0)</f>
        <v>0</v>
      </c>
      <c r="AQ64" s="55">
        <f ca="1">IFERROR(__xludf.DUMMYFUNCTION("IMPORTRANGE(""https://docs.google.com/spreadsheets/d/1SX6NBoVAgQJ6U1MVXOaj8PK2l7WJ3RER9xtqwdhxkhw/edit?usp=sharing"",""ประจวบคีรีขันธ์!J389"")"),0)</f>
        <v>0</v>
      </c>
      <c r="AR64" s="402">
        <v>0</v>
      </c>
      <c r="AS64" s="402">
        <v>0</v>
      </c>
      <c r="AT64" s="402">
        <f t="shared" ca="1" si="112"/>
        <v>0</v>
      </c>
      <c r="AU64" s="402">
        <f t="shared" si="12"/>
        <v>0</v>
      </c>
      <c r="AV64" s="402">
        <f t="shared" ca="1" si="113"/>
        <v>0</v>
      </c>
      <c r="AW64" s="402">
        <f t="shared" si="13"/>
        <v>0</v>
      </c>
      <c r="AX64" s="55">
        <f ca="1">IFERROR(__xludf.DUMMYFUNCTION("IMPORTRANGE(""https://docs.google.com/spreadsheets/d/1SX6NBoVAgQJ6U1MVXOaj8PK2l7WJ3RER9xtqwdhxkhw/edit?usp=sharing"",""ประจวบคีรีขันธ์!J395"")"),0)</f>
        <v>0</v>
      </c>
      <c r="AY64" s="55">
        <f ca="1">IFERROR(__xludf.DUMMYFUNCTION("IMPORTRANGE(""https://docs.google.com/spreadsheets/d/1SX6NBoVAgQJ6U1MVXOaj8PK2l7WJ3RER9xtqwdhxkhw/edit?usp=sharing"",""ประจวบคีรีขันธ์!J396"")"),0)</f>
        <v>0</v>
      </c>
      <c r="AZ64" s="55">
        <f ca="1">IFERROR(__xludf.DUMMYFUNCTION("IMPORTRANGE(""https://docs.google.com/spreadsheets/d/1SX6NBoVAgQJ6U1MVXOaj8PK2l7WJ3RER9xtqwdhxkhw/edit?usp=sharing"",""ประจวบคีรีขันธ์!J397"")"),0)</f>
        <v>0</v>
      </c>
      <c r="BA64" s="55">
        <f ca="1">IFERROR(__xludf.DUMMYFUNCTION("IMPORTRANGE(""https://docs.google.com/spreadsheets/d/1SX6NBoVAgQJ6U1MVXOaj8PK2l7WJ3RER9xtqwdhxkhw/edit?usp=sharing"",""ประจวบคีรีขันธ์!J398"")"),0)</f>
        <v>0</v>
      </c>
      <c r="BB64" s="55">
        <f ca="1">IFERROR(__xludf.DUMMYFUNCTION("IMPORTRANGE(""https://docs.google.com/spreadsheets/d/1SX6NBoVAgQJ6U1MVXOaj8PK2l7WJ3RER9xtqwdhxkhw/edit?usp=sharing"",""ประจวบคีรีขันธ์!J399"")"),0)</f>
        <v>0</v>
      </c>
      <c r="BC64" s="55">
        <f ca="1">IFERROR(__xludf.DUMMYFUNCTION("IMPORTRANGE(""https://docs.google.com/spreadsheets/d/1SX6NBoVAgQJ6U1MVXOaj8PK2l7WJ3RER9xtqwdhxkhw/edit?usp=sharing"",""ประจวบคีรีขันธ์!J400"")"),0)</f>
        <v>0</v>
      </c>
      <c r="BD64" s="55">
        <f ca="1">IFERROR(__xludf.DUMMYFUNCTION("IMPORTRANGE(""https://docs.google.com/spreadsheets/d/1SX6NBoVAgQJ6U1MVXOaj8PK2l7WJ3RER9xtqwdhxkhw/edit?usp=sharing"",""ประจวบคีรีขันธ์!J403"")"),0)</f>
        <v>0</v>
      </c>
      <c r="BE64" s="55">
        <f ca="1">IFERROR(__xludf.DUMMYFUNCTION("IMPORTRANGE(""https://docs.google.com/spreadsheets/d/1SX6NBoVAgQJ6U1MVXOaj8PK2l7WJ3RER9xtqwdhxkhw/edit?usp=sharing"",""ประจวบคีรีขันธ์!J404"")"),0)</f>
        <v>0</v>
      </c>
      <c r="BF64" s="55">
        <f ca="1">IFERROR(__xludf.DUMMYFUNCTION("IMPORTRANGE(""https://docs.google.com/spreadsheets/d/1SX6NBoVAgQJ6U1MVXOaj8PK2l7WJ3RER9xtqwdhxkhw/edit?usp=sharing"",""ประจวบคีรีขันธ์!J405"")"),0)</f>
        <v>0</v>
      </c>
      <c r="BG64" s="55">
        <f ca="1">IFERROR(__xludf.DUMMYFUNCTION("IMPORTRANGE(""https://docs.google.com/spreadsheets/d/1SX6NBoVAgQJ6U1MVXOaj8PK2l7WJ3RER9xtqwdhxkhw/edit?usp=sharing"",""ประจวบคีรีขันธ์!J406"")"),0)</f>
        <v>0</v>
      </c>
      <c r="BH64" s="55">
        <f ca="1">IFERROR(__xludf.DUMMYFUNCTION("IMPORTRANGE(""https://docs.google.com/spreadsheets/d/1SX6NBoVAgQJ6U1MVXOaj8PK2l7WJ3RER9xtqwdhxkhw/edit?usp=sharing"",""ประจวบคีรีขันธ์!J407"")"),0)</f>
        <v>0</v>
      </c>
      <c r="BI64" s="55">
        <f ca="1">IFERROR(__xludf.DUMMYFUNCTION("IMPORTRANGE(""https://docs.google.com/spreadsheets/d/1SX6NBoVAgQJ6U1MVXOaj8PK2l7WJ3RER9xtqwdhxkhw/edit?usp=sharing"",""ประจวบคีรีขันธ์!J408"")"),0)</f>
        <v>0</v>
      </c>
      <c r="BJ64" s="402">
        <v>19789</v>
      </c>
      <c r="BK64" s="402">
        <v>2020</v>
      </c>
      <c r="BL64" s="402">
        <f t="shared" ca="1" si="114"/>
        <v>0</v>
      </c>
      <c r="BM64" s="403">
        <f t="shared" ca="1" si="15"/>
        <v>0</v>
      </c>
      <c r="BN64" s="402">
        <f t="shared" ca="1" si="115"/>
        <v>0</v>
      </c>
      <c r="BO64" s="403">
        <f t="shared" ca="1" si="16"/>
        <v>0</v>
      </c>
      <c r="BP64" s="55">
        <f ca="1">IFERROR(__xludf.DUMMYFUNCTION("IMPORTRANGE(""https://docs.google.com/spreadsheets/d/1SX6NBoVAgQJ6U1MVXOaj8PK2l7WJ3RER9xtqwdhxkhw/edit?usp=sharing"",""ประจวบคีรีขันธ์!J412"")"),0)</f>
        <v>0</v>
      </c>
      <c r="BQ64" s="55">
        <f ca="1">IFERROR(__xludf.DUMMYFUNCTION("IMPORTRANGE(""https://docs.google.com/spreadsheets/d/1SX6NBoVAgQJ6U1MVXOaj8PK2l7WJ3RER9xtqwdhxkhw/edit?usp=sharing"",""ประจวบคีรีขันธ์!J413"")"),0)</f>
        <v>0</v>
      </c>
      <c r="BR64" s="55">
        <f ca="1">IFERROR(__xludf.DUMMYFUNCTION("IMPORTRANGE(""https://docs.google.com/spreadsheets/d/1SX6NBoVAgQJ6U1MVXOaj8PK2l7WJ3RER9xtqwdhxkhw/edit?usp=sharing"",""ประจวบคีรีขันธ์!J414"")"),0)</f>
        <v>0</v>
      </c>
      <c r="BS64" s="55">
        <f ca="1">IFERROR(__xludf.DUMMYFUNCTION("IMPORTRANGE(""https://docs.google.com/spreadsheets/d/1SX6NBoVAgQJ6U1MVXOaj8PK2l7WJ3RER9xtqwdhxkhw/edit?usp=sharing"",""ประจวบคีรีขันธ์!J415"")"),0)</f>
        <v>0</v>
      </c>
      <c r="BT64" s="55">
        <f ca="1">IFERROR(__xludf.DUMMYFUNCTION("IMPORTRANGE(""https://docs.google.com/spreadsheets/d/1SX6NBoVAgQJ6U1MVXOaj8PK2l7WJ3RER9xtqwdhxkhw/edit?usp=sharing"",""ประจวบคีรีขันธ์!J416"")"),0)</f>
        <v>0</v>
      </c>
      <c r="BU64" s="55">
        <f ca="1">IFERROR(__xludf.DUMMYFUNCTION("IMPORTRANGE(""https://docs.google.com/spreadsheets/d/1SX6NBoVAgQJ6U1MVXOaj8PK2l7WJ3RER9xtqwdhxkhw/edit?usp=sharing"",""ประจวบคีรีขันธ์!J417"")"),0)</f>
        <v>0</v>
      </c>
      <c r="BV64" s="402">
        <f t="shared" ca="1" si="116"/>
        <v>0</v>
      </c>
      <c r="BW64" s="403">
        <f t="shared" ca="1" si="117"/>
        <v>0</v>
      </c>
      <c r="BX64" s="402">
        <f t="shared" ca="1" si="118"/>
        <v>0</v>
      </c>
      <c r="BY64" s="403">
        <f t="shared" ca="1" si="119"/>
        <v>0</v>
      </c>
      <c r="BZ64" s="55">
        <f ca="1">IFERROR(__xludf.DUMMYFUNCTION("IMPORTRANGE(""https://docs.google.com/spreadsheets/d/1SX6NBoVAgQJ6U1MVXOaj8PK2l7WJ3RER9xtqwdhxkhw/edit?usp=sharing"",""ประจวบคีรีขันธ์!J420"")"),0)</f>
        <v>0</v>
      </c>
      <c r="CA64" s="55">
        <f ca="1">IFERROR(__xludf.DUMMYFUNCTION("IMPORTRANGE(""https://docs.google.com/spreadsheets/d/1SX6NBoVAgQJ6U1MVXOaj8PK2l7WJ3RER9xtqwdhxkhw/edit?usp=sharing"",""ประจวบคีรีขันธ์!J421"")"),0)</f>
        <v>0</v>
      </c>
      <c r="CB64" s="55">
        <f ca="1">IFERROR(__xludf.DUMMYFUNCTION("IMPORTRANGE(""https://docs.google.com/spreadsheets/d/1SX6NBoVAgQJ6U1MVXOaj8PK2l7WJ3RER9xtqwdhxkhw/edit?usp=sharing"",""ประจวบคีรีขันธ์!J422"")"),0)</f>
        <v>0</v>
      </c>
      <c r="CC64" s="55">
        <f ca="1">IFERROR(__xludf.DUMMYFUNCTION("IMPORTRANGE(""https://docs.google.com/spreadsheets/d/1SX6NBoVAgQJ6U1MVXOaj8PK2l7WJ3RER9xtqwdhxkhw/edit?usp=sharing"",""ประจวบคีรีขันธ์!J423"")"),0)</f>
        <v>0</v>
      </c>
      <c r="CD64" s="55">
        <f ca="1">IFERROR(__xludf.DUMMYFUNCTION("IMPORTRANGE(""https://docs.google.com/spreadsheets/d/1SX6NBoVAgQJ6U1MVXOaj8PK2l7WJ3RER9xtqwdhxkhw/edit?usp=sharing"",""ประจวบคีรีขันธ์!J424"")"),0)</f>
        <v>0</v>
      </c>
      <c r="CE64" s="422">
        <f ca="1">IFERROR(__xludf.DUMMYFUNCTION("IMPORTRANGE(""https://docs.google.com/spreadsheets/d/1SX6NBoVAgQJ6U1MVXOaj8PK2l7WJ3RER9xtqwdhxkhw/edit?usp=sharing"",""ประจวบคีรีขันธ์!J425"")"),0)</f>
        <v>0</v>
      </c>
    </row>
    <row r="65" spans="1:83" ht="24" customHeight="1" x14ac:dyDescent="0.5">
      <c r="A65" s="273">
        <v>11</v>
      </c>
      <c r="B65" s="274" t="s">
        <v>80</v>
      </c>
      <c r="C65" s="400">
        <f t="shared" si="105"/>
        <v>57553.760000000002</v>
      </c>
      <c r="D65" s="55">
        <v>0</v>
      </c>
      <c r="E65" s="401">
        <v>57553.760000000002</v>
      </c>
      <c r="F65" s="99">
        <f ca="1">IFERROR(__xludf.DUMMYFUNCTION("IMPORTRANGE(""https://docs.google.com/spreadsheets/d/1SX6NBoVAgQJ6U1MVXOaj8PK2l7WJ3RER9xtqwdhxkhw/edit?usp=sharing"",""ปราจีนบุรี!M352"")"),0)</f>
        <v>0</v>
      </c>
      <c r="G65" s="99">
        <f t="shared" ca="1" si="1"/>
        <v>0</v>
      </c>
      <c r="H65" s="57">
        <v>2262</v>
      </c>
      <c r="I65" s="57">
        <v>142</v>
      </c>
      <c r="J65" s="55">
        <f t="shared" ca="1" si="106"/>
        <v>0</v>
      </c>
      <c r="K65" s="99">
        <f t="shared" ca="1" si="3"/>
        <v>0</v>
      </c>
      <c r="L65" s="55">
        <f t="shared" ca="1" si="107"/>
        <v>0</v>
      </c>
      <c r="M65" s="99">
        <f t="shared" ca="1" si="4"/>
        <v>0</v>
      </c>
      <c r="N65" s="55">
        <f ca="1">IFERROR(__xludf.DUMMYFUNCTION("IMPORTRANGE(""https://docs.google.com/spreadsheets/d/1SX6NBoVAgQJ6U1MVXOaj8PK2l7WJ3RER9xtqwdhxkhw/edit?usp=sharing"",""ปราจีนบุรี!J362"")"),0)</f>
        <v>0</v>
      </c>
      <c r="O65" s="55">
        <f ca="1">IFERROR(__xludf.DUMMYFUNCTION("IMPORTRANGE(""https://docs.google.com/spreadsheets/d/1SX6NBoVAgQJ6U1MVXOaj8PK2l7WJ3RER9xtqwdhxkhw/edit?usp=sharing"",""ปราจีนบุรี!J363"")"),0)</f>
        <v>0</v>
      </c>
      <c r="P65" s="55">
        <f ca="1">IFERROR(__xludf.DUMMYFUNCTION("IMPORTRANGE(""https://docs.google.com/spreadsheets/d/1SX6NBoVAgQJ6U1MVXOaj8PK2l7WJ3RER9xtqwdhxkhw/edit?usp=sharing"",""ปราจีนบุรี!J364"")"),0)</f>
        <v>0</v>
      </c>
      <c r="Q65" s="55">
        <f ca="1">IFERROR(__xludf.DUMMYFUNCTION("IMPORTRANGE(""https://docs.google.com/spreadsheets/d/1SX6NBoVAgQJ6U1MVXOaj8PK2l7WJ3RER9xtqwdhxkhw/edit?usp=sharing"",""ปราจีนบุรี!J365"")"),0)</f>
        <v>0</v>
      </c>
      <c r="R65" s="55">
        <f ca="1">IFERROR(__xludf.DUMMYFUNCTION("IMPORTRANGE(""https://docs.google.com/spreadsheets/d/1SX6NBoVAgQJ6U1MVXOaj8PK2l7WJ3RER9xtqwdhxkhw/edit?usp=sharing"",""ปราจีนบุรี!J366"")"),0)</f>
        <v>0</v>
      </c>
      <c r="S65" s="55">
        <f ca="1">IFERROR(__xludf.DUMMYFUNCTION("IMPORTRANGE(""https://docs.google.com/spreadsheets/d/1SX6NBoVAgQJ6U1MVXOaj8PK2l7WJ3RER9xtqwdhxkhw/edit?usp=sharing"",""ปราจีนบุรี!J367"")"),0)</f>
        <v>0</v>
      </c>
      <c r="T65" s="55">
        <f t="shared" ca="1" si="108"/>
        <v>0</v>
      </c>
      <c r="U65" s="55">
        <f t="shared" ca="1" si="6"/>
        <v>0</v>
      </c>
      <c r="V65" s="55">
        <f t="shared" ca="1" si="109"/>
        <v>0</v>
      </c>
      <c r="W65" s="55">
        <f t="shared" ca="1" si="7"/>
        <v>0</v>
      </c>
      <c r="X65" s="55">
        <f ca="1">IFERROR(__xludf.DUMMYFUNCTION("IMPORTRANGE(""https://docs.google.com/spreadsheets/d/1SX6NBoVAgQJ6U1MVXOaj8PK2l7WJ3RER9xtqwdhxkhw/edit?usp=sharing"",""ปราจีนบุรี!J370"")"),0)</f>
        <v>0</v>
      </c>
      <c r="Y65" s="55">
        <f ca="1">IFERROR(__xludf.DUMMYFUNCTION("IMPORTRANGE(""https://docs.google.com/spreadsheets/d/1SX6NBoVAgQJ6U1MVXOaj8PK2l7WJ3RER9xtqwdhxkhw/edit?usp=sharing"",""ปราจีนบุรี!J371"")"),0)</f>
        <v>0</v>
      </c>
      <c r="Z65" s="55">
        <f ca="1">IFERROR(__xludf.DUMMYFUNCTION("IMPORTRANGE(""https://docs.google.com/spreadsheets/d/1SX6NBoVAgQJ6U1MVXOaj8PK2l7WJ3RER9xtqwdhxkhw/edit?usp=sharing"",""ปราจีนบุรี!J372"")"),0)</f>
        <v>0</v>
      </c>
      <c r="AA65" s="55">
        <f ca="1">IFERROR(__xludf.DUMMYFUNCTION("IMPORTRANGE(""https://docs.google.com/spreadsheets/d/1SX6NBoVAgQJ6U1MVXOaj8PK2l7WJ3RER9xtqwdhxkhw/edit?usp=sharing"",""ปราจีนบุรี!J373"")"),0)</f>
        <v>0</v>
      </c>
      <c r="AB65" s="55">
        <f ca="1">IFERROR(__xludf.DUMMYFUNCTION("IMPORTRANGE(""https://docs.google.com/spreadsheets/d/1SX6NBoVAgQJ6U1MVXOaj8PK2l7WJ3RER9xtqwdhxkhw/edit?usp=sharing"",""ปราจีนบุรี!J374"")"),0)</f>
        <v>0</v>
      </c>
      <c r="AC65" s="55">
        <f ca="1">IFERROR(__xludf.DUMMYFUNCTION("IMPORTRANGE(""https://docs.google.com/spreadsheets/d/1SX6NBoVAgQJ6U1MVXOaj8PK2l7WJ3RER9xtqwdhxkhw/edit?usp=sharing"",""ปราจีนบุรี!J375"")"),0)</f>
        <v>0</v>
      </c>
      <c r="AD65" s="55">
        <f t="shared" ca="1" si="110"/>
        <v>0</v>
      </c>
      <c r="AE65" s="99">
        <f t="shared" ca="1" si="9"/>
        <v>0</v>
      </c>
      <c r="AF65" s="55">
        <f t="shared" ca="1" si="111"/>
        <v>0</v>
      </c>
      <c r="AG65" s="99">
        <f t="shared" ca="1" si="10"/>
        <v>0</v>
      </c>
      <c r="AH65" s="55">
        <f ca="1">IFERROR(__xludf.DUMMYFUNCTION("IMPORTRANGE(""https://docs.google.com/spreadsheets/d/1SX6NBoVAgQJ6U1MVXOaj8PK2l7WJ3RER9xtqwdhxkhw/edit?usp=sharing"",""ปราจีนบุรี!J378"")"),0)</f>
        <v>0</v>
      </c>
      <c r="AI65" s="55">
        <f ca="1">IFERROR(__xludf.DUMMYFUNCTION("IMPORTRANGE(""https://docs.google.com/spreadsheets/d/1SX6NBoVAgQJ6U1MVXOaj8PK2l7WJ3RER9xtqwdhxkhw/edit?usp=sharing"",""ปราจีนบุรี!J379"")"),0)</f>
        <v>0</v>
      </c>
      <c r="AJ65" s="55">
        <f ca="1">IFERROR(__xludf.DUMMYFUNCTION("IMPORTRANGE(""https://docs.google.com/spreadsheets/d/1SX6NBoVAgQJ6U1MVXOaj8PK2l7WJ3RER9xtqwdhxkhw/edit?usp=sharing"",""ปราจีนบุรี!J380"")"),0)</f>
        <v>0</v>
      </c>
      <c r="AK65" s="55">
        <f ca="1">IFERROR(__xludf.DUMMYFUNCTION("IMPORTRANGE(""https://docs.google.com/spreadsheets/d/1SX6NBoVAgQJ6U1MVXOaj8PK2l7WJ3RER9xtqwdhxkhw/edit?usp=sharing"",""ปราจีนบุรี!J381"")"),0)</f>
        <v>0</v>
      </c>
      <c r="AL65" s="55">
        <f ca="1">IFERROR(__xludf.DUMMYFUNCTION("IMPORTRANGE(""https://docs.google.com/spreadsheets/d/1SX6NBoVAgQJ6U1MVXOaj8PK2l7WJ3RER9xtqwdhxkhw/edit?usp=sharing"",""ปราจีนบุรี!J384"")"),0)</f>
        <v>0</v>
      </c>
      <c r="AM65" s="55">
        <f ca="1">IFERROR(__xludf.DUMMYFUNCTION("IMPORTRANGE(""https://docs.google.com/spreadsheets/d/1SX6NBoVAgQJ6U1MVXOaj8PK2l7WJ3RER9xtqwdhxkhw/edit?usp=sharing"",""ปราจีนบุรี!J385"")"),0)</f>
        <v>0</v>
      </c>
      <c r="AN65" s="55">
        <f ca="1">IFERROR(__xludf.DUMMYFUNCTION("IMPORTRANGE(""https://docs.google.com/spreadsheets/d/1SX6NBoVAgQJ6U1MVXOaj8PK2l7WJ3RER9xtqwdhxkhw/edit?usp=sharing"",""ปราจีนบุรี!J386"")"),0)</f>
        <v>0</v>
      </c>
      <c r="AO65" s="55">
        <f ca="1">IFERROR(__xludf.DUMMYFUNCTION("IMPORTRANGE(""https://docs.google.com/spreadsheets/d/1SX6NBoVAgQJ6U1MVXOaj8PK2l7WJ3RER9xtqwdhxkhw/edit?usp=sharing"",""ปราจีนบุรี!J387"")"),0)</f>
        <v>0</v>
      </c>
      <c r="AP65" s="55">
        <f ca="1">IFERROR(__xludf.DUMMYFUNCTION("IMPORTRANGE(""https://docs.google.com/spreadsheets/d/1SX6NBoVAgQJ6U1MVXOaj8PK2l7WJ3RER9xtqwdhxkhw/edit?usp=sharing"",""ปราจีนบุรี!J388"")"),0)</f>
        <v>0</v>
      </c>
      <c r="AQ65" s="55">
        <f ca="1">IFERROR(__xludf.DUMMYFUNCTION("IMPORTRANGE(""https://docs.google.com/spreadsheets/d/1SX6NBoVAgQJ6U1MVXOaj8PK2l7WJ3RER9xtqwdhxkhw/edit?usp=sharing"",""ปราจีนบุรี!J389"")"),0)</f>
        <v>0</v>
      </c>
      <c r="AR65" s="402">
        <v>17</v>
      </c>
      <c r="AS65" s="402">
        <v>495</v>
      </c>
      <c r="AT65" s="402">
        <f t="shared" ca="1" si="112"/>
        <v>0</v>
      </c>
      <c r="AU65" s="402">
        <f t="shared" ca="1" si="12"/>
        <v>0</v>
      </c>
      <c r="AV65" s="402">
        <f t="shared" ca="1" si="113"/>
        <v>0</v>
      </c>
      <c r="AW65" s="402">
        <f t="shared" ca="1" si="13"/>
        <v>0</v>
      </c>
      <c r="AX65" s="55">
        <f ca="1">IFERROR(__xludf.DUMMYFUNCTION("IMPORTRANGE(""https://docs.google.com/spreadsheets/d/1SX6NBoVAgQJ6U1MVXOaj8PK2l7WJ3RER9xtqwdhxkhw/edit?usp=sharing"",""ปราจีนบุรี!J395"")"),0)</f>
        <v>0</v>
      </c>
      <c r="AY65" s="55">
        <f ca="1">IFERROR(__xludf.DUMMYFUNCTION("IMPORTRANGE(""https://docs.google.com/spreadsheets/d/1SX6NBoVAgQJ6U1MVXOaj8PK2l7WJ3RER9xtqwdhxkhw/edit?usp=sharing"",""ปราจีนบุรี!J396"")"),0)</f>
        <v>0</v>
      </c>
      <c r="AZ65" s="55">
        <f ca="1">IFERROR(__xludf.DUMMYFUNCTION("IMPORTRANGE(""https://docs.google.com/spreadsheets/d/1SX6NBoVAgQJ6U1MVXOaj8PK2l7WJ3RER9xtqwdhxkhw/edit?usp=sharing"",""ปราจีนบุรี!J397"")"),0)</f>
        <v>0</v>
      </c>
      <c r="BA65" s="55">
        <f ca="1">IFERROR(__xludf.DUMMYFUNCTION("IMPORTRANGE(""https://docs.google.com/spreadsheets/d/1SX6NBoVAgQJ6U1MVXOaj8PK2l7WJ3RER9xtqwdhxkhw/edit?usp=sharing"",""ปราจีนบุรี!J398"")"),0)</f>
        <v>0</v>
      </c>
      <c r="BB65" s="55">
        <f ca="1">IFERROR(__xludf.DUMMYFUNCTION("IMPORTRANGE(""https://docs.google.com/spreadsheets/d/1SX6NBoVAgQJ6U1MVXOaj8PK2l7WJ3RER9xtqwdhxkhw/edit?usp=sharing"",""ปราจีนบุรี!J399"")"),0)</f>
        <v>0</v>
      </c>
      <c r="BC65" s="55">
        <f ca="1">IFERROR(__xludf.DUMMYFUNCTION("IMPORTRANGE(""https://docs.google.com/spreadsheets/d/1SX6NBoVAgQJ6U1MVXOaj8PK2l7WJ3RER9xtqwdhxkhw/edit?usp=sharing"",""ปราจีนบุรี!J400"")"),0)</f>
        <v>0</v>
      </c>
      <c r="BD65" s="55">
        <f ca="1">IFERROR(__xludf.DUMMYFUNCTION("IMPORTRANGE(""https://docs.google.com/spreadsheets/d/1SX6NBoVAgQJ6U1MVXOaj8PK2l7WJ3RER9xtqwdhxkhw/edit?usp=sharing"",""ปราจีนบุรี!J403"")"),0)</f>
        <v>0</v>
      </c>
      <c r="BE65" s="55">
        <f ca="1">IFERROR(__xludf.DUMMYFUNCTION("IMPORTRANGE(""https://docs.google.com/spreadsheets/d/1SX6NBoVAgQJ6U1MVXOaj8PK2l7WJ3RER9xtqwdhxkhw/edit?usp=sharing"",""ปราจีนบุรี!J404"")"),0)</f>
        <v>0</v>
      </c>
      <c r="BF65" s="55">
        <f ca="1">IFERROR(__xludf.DUMMYFUNCTION("IMPORTRANGE(""https://docs.google.com/spreadsheets/d/1SX6NBoVAgQJ6U1MVXOaj8PK2l7WJ3RER9xtqwdhxkhw/edit?usp=sharing"",""ปราจีนบุรี!J405"")"),0)</f>
        <v>0</v>
      </c>
      <c r="BG65" s="55">
        <f ca="1">IFERROR(__xludf.DUMMYFUNCTION("IMPORTRANGE(""https://docs.google.com/spreadsheets/d/1SX6NBoVAgQJ6U1MVXOaj8PK2l7WJ3RER9xtqwdhxkhw/edit?usp=sharing"",""ปราจีนบุรี!J406"")"),0)</f>
        <v>0</v>
      </c>
      <c r="BH65" s="55">
        <f ca="1">IFERROR(__xludf.DUMMYFUNCTION("IMPORTRANGE(""https://docs.google.com/spreadsheets/d/1SX6NBoVAgQJ6U1MVXOaj8PK2l7WJ3RER9xtqwdhxkhw/edit?usp=sharing"",""ปราจีนบุรี!J407"")"),0)</f>
        <v>0</v>
      </c>
      <c r="BI65" s="55">
        <f ca="1">IFERROR(__xludf.DUMMYFUNCTION("IMPORTRANGE(""https://docs.google.com/spreadsheets/d/1SX6NBoVAgQJ6U1MVXOaj8PK2l7WJ3RER9xtqwdhxkhw/edit?usp=sharing"",""ปราจีนบุรี!J408"")"),0)</f>
        <v>0</v>
      </c>
      <c r="BJ65" s="402">
        <v>2262</v>
      </c>
      <c r="BK65" s="402">
        <v>142</v>
      </c>
      <c r="BL65" s="402">
        <f t="shared" ca="1" si="114"/>
        <v>0</v>
      </c>
      <c r="BM65" s="403">
        <f t="shared" ca="1" si="15"/>
        <v>0</v>
      </c>
      <c r="BN65" s="402">
        <f t="shared" ca="1" si="115"/>
        <v>0</v>
      </c>
      <c r="BO65" s="403">
        <f t="shared" ca="1" si="16"/>
        <v>0</v>
      </c>
      <c r="BP65" s="55">
        <f ca="1">IFERROR(__xludf.DUMMYFUNCTION("IMPORTRANGE(""https://docs.google.com/spreadsheets/d/1SX6NBoVAgQJ6U1MVXOaj8PK2l7WJ3RER9xtqwdhxkhw/edit?usp=sharing"",""ปราจีนบุรี!J412"")"),0)</f>
        <v>0</v>
      </c>
      <c r="BQ65" s="55">
        <f ca="1">IFERROR(__xludf.DUMMYFUNCTION("IMPORTRANGE(""https://docs.google.com/spreadsheets/d/1SX6NBoVAgQJ6U1MVXOaj8PK2l7WJ3RER9xtqwdhxkhw/edit?usp=sharing"",""ปราจีนบุรี!J413"")"),0)</f>
        <v>0</v>
      </c>
      <c r="BR65" s="55">
        <f ca="1">IFERROR(__xludf.DUMMYFUNCTION("IMPORTRANGE(""https://docs.google.com/spreadsheets/d/1SX6NBoVAgQJ6U1MVXOaj8PK2l7WJ3RER9xtqwdhxkhw/edit?usp=sharing"",""ปราจีนบุรี!J414"")"),0)</f>
        <v>0</v>
      </c>
      <c r="BS65" s="55">
        <f ca="1">IFERROR(__xludf.DUMMYFUNCTION("IMPORTRANGE(""https://docs.google.com/spreadsheets/d/1SX6NBoVAgQJ6U1MVXOaj8PK2l7WJ3RER9xtqwdhxkhw/edit?usp=sharing"",""ปราจีนบุรี!J415"")"),0)</f>
        <v>0</v>
      </c>
      <c r="BT65" s="55">
        <f ca="1">IFERROR(__xludf.DUMMYFUNCTION("IMPORTRANGE(""https://docs.google.com/spreadsheets/d/1SX6NBoVAgQJ6U1MVXOaj8PK2l7WJ3RER9xtqwdhxkhw/edit?usp=sharing"",""ปราจีนบุรี!J416"")"),0)</f>
        <v>0</v>
      </c>
      <c r="BU65" s="55">
        <f ca="1">IFERROR(__xludf.DUMMYFUNCTION("IMPORTRANGE(""https://docs.google.com/spreadsheets/d/1SX6NBoVAgQJ6U1MVXOaj8PK2l7WJ3RER9xtqwdhxkhw/edit?usp=sharing"",""ปราจีนบุรี!J417"")"),0)</f>
        <v>0</v>
      </c>
      <c r="BV65" s="402">
        <f t="shared" ca="1" si="116"/>
        <v>0</v>
      </c>
      <c r="BW65" s="403">
        <f t="shared" ca="1" si="117"/>
        <v>0</v>
      </c>
      <c r="BX65" s="402">
        <f t="shared" ca="1" si="118"/>
        <v>0</v>
      </c>
      <c r="BY65" s="403">
        <f t="shared" ca="1" si="119"/>
        <v>0</v>
      </c>
      <c r="BZ65" s="55">
        <f ca="1">IFERROR(__xludf.DUMMYFUNCTION("IMPORTRANGE(""https://docs.google.com/spreadsheets/d/1SX6NBoVAgQJ6U1MVXOaj8PK2l7WJ3RER9xtqwdhxkhw/edit?usp=sharing"",""ปราจีนบุรี!J420"")"),0)</f>
        <v>0</v>
      </c>
      <c r="CA65" s="55">
        <f ca="1">IFERROR(__xludf.DUMMYFUNCTION("IMPORTRANGE(""https://docs.google.com/spreadsheets/d/1SX6NBoVAgQJ6U1MVXOaj8PK2l7WJ3RER9xtqwdhxkhw/edit?usp=sharing"",""ปราจีนบุรี!J421"")"),0)</f>
        <v>0</v>
      </c>
      <c r="CB65" s="55">
        <f ca="1">IFERROR(__xludf.DUMMYFUNCTION("IMPORTRANGE(""https://docs.google.com/spreadsheets/d/1SX6NBoVAgQJ6U1MVXOaj8PK2l7WJ3RER9xtqwdhxkhw/edit?usp=sharing"",""ปราจีนบุรี!J422"")"),0)</f>
        <v>0</v>
      </c>
      <c r="CC65" s="55">
        <f ca="1">IFERROR(__xludf.DUMMYFUNCTION("IMPORTRANGE(""https://docs.google.com/spreadsheets/d/1SX6NBoVAgQJ6U1MVXOaj8PK2l7WJ3RER9xtqwdhxkhw/edit?usp=sharing"",""ปราจีนบุรี!J423"")"),0)</f>
        <v>0</v>
      </c>
      <c r="CD65" s="55">
        <f ca="1">IFERROR(__xludf.DUMMYFUNCTION("IMPORTRANGE(""https://docs.google.com/spreadsheets/d/1SX6NBoVAgQJ6U1MVXOaj8PK2l7WJ3RER9xtqwdhxkhw/edit?usp=sharing"",""ปราจีนบุรี!J424"")"),0)</f>
        <v>0</v>
      </c>
      <c r="CE65" s="422">
        <f ca="1">IFERROR(__xludf.DUMMYFUNCTION("IMPORTRANGE(""https://docs.google.com/spreadsheets/d/1SX6NBoVAgQJ6U1MVXOaj8PK2l7WJ3RER9xtqwdhxkhw/edit?usp=sharing"",""ปราจีนบุรี!J425"")"),0)</f>
        <v>0</v>
      </c>
    </row>
    <row r="66" spans="1:83" ht="24" customHeight="1" x14ac:dyDescent="0.5">
      <c r="A66" s="273">
        <v>12</v>
      </c>
      <c r="B66" s="274" t="s">
        <v>81</v>
      </c>
      <c r="C66" s="400">
        <f t="shared" si="105"/>
        <v>103456.77</v>
      </c>
      <c r="D66" s="55">
        <v>0</v>
      </c>
      <c r="E66" s="401">
        <v>103456.77</v>
      </c>
      <c r="F66" s="99">
        <f ca="1">IFERROR(__xludf.DUMMYFUNCTION("IMPORTRANGE(""https://docs.google.com/spreadsheets/d/1SX6NBoVAgQJ6U1MVXOaj8PK2l7WJ3RER9xtqwdhxkhw/edit?usp=sharing"",""พระนครศรีอยุธยา!M352"")"),0)</f>
        <v>0</v>
      </c>
      <c r="G66" s="99">
        <f t="shared" ca="1" si="1"/>
        <v>0</v>
      </c>
      <c r="H66" s="57">
        <v>2147</v>
      </c>
      <c r="I66" s="57">
        <v>227</v>
      </c>
      <c r="J66" s="55">
        <f t="shared" ca="1" si="106"/>
        <v>0</v>
      </c>
      <c r="K66" s="99">
        <f t="shared" ca="1" si="3"/>
        <v>0</v>
      </c>
      <c r="L66" s="55">
        <f t="shared" ca="1" si="107"/>
        <v>0</v>
      </c>
      <c r="M66" s="99">
        <f t="shared" ca="1" si="4"/>
        <v>0</v>
      </c>
      <c r="N66" s="55">
        <f ca="1">IFERROR(__xludf.DUMMYFUNCTION("IMPORTRANGE(""https://docs.google.com/spreadsheets/d/1SX6NBoVAgQJ6U1MVXOaj8PK2l7WJ3RER9xtqwdhxkhw/edit?usp=sharing"",""พระนครศรีอยุธยา!J362"")"),0)</f>
        <v>0</v>
      </c>
      <c r="O66" s="55">
        <f ca="1">IFERROR(__xludf.DUMMYFUNCTION("IMPORTRANGE(""https://docs.google.com/spreadsheets/d/1SX6NBoVAgQJ6U1MVXOaj8PK2l7WJ3RER9xtqwdhxkhw/edit?usp=sharing"",""พระนครศรีอยุธยา!J363"")"),0)</f>
        <v>0</v>
      </c>
      <c r="P66" s="55">
        <f ca="1">IFERROR(__xludf.DUMMYFUNCTION("IMPORTRANGE(""https://docs.google.com/spreadsheets/d/1SX6NBoVAgQJ6U1MVXOaj8PK2l7WJ3RER9xtqwdhxkhw/edit?usp=sharing"",""พระนครศรีอยุธยา!J364"")"),0)</f>
        <v>0</v>
      </c>
      <c r="Q66" s="55">
        <f ca="1">IFERROR(__xludf.DUMMYFUNCTION("IMPORTRANGE(""https://docs.google.com/spreadsheets/d/1SX6NBoVAgQJ6U1MVXOaj8PK2l7WJ3RER9xtqwdhxkhw/edit?usp=sharing"",""พระนครศรีอยุธยา!J365"")"),0)</f>
        <v>0</v>
      </c>
      <c r="R66" s="55">
        <f ca="1">IFERROR(__xludf.DUMMYFUNCTION("IMPORTRANGE(""https://docs.google.com/spreadsheets/d/1SX6NBoVAgQJ6U1MVXOaj8PK2l7WJ3RER9xtqwdhxkhw/edit?usp=sharing"",""พระนครศรีอยุธยา!J366"")"),0)</f>
        <v>0</v>
      </c>
      <c r="S66" s="55">
        <f ca="1">IFERROR(__xludf.DUMMYFUNCTION("IMPORTRANGE(""https://docs.google.com/spreadsheets/d/1SX6NBoVAgQJ6U1MVXOaj8PK2l7WJ3RER9xtqwdhxkhw/edit?usp=sharing"",""พระนครศรีอยุธยา!J367"")"),0)</f>
        <v>0</v>
      </c>
      <c r="T66" s="55">
        <f t="shared" ca="1" si="108"/>
        <v>0</v>
      </c>
      <c r="U66" s="55">
        <f t="shared" ca="1" si="6"/>
        <v>0</v>
      </c>
      <c r="V66" s="55">
        <f t="shared" ca="1" si="109"/>
        <v>0</v>
      </c>
      <c r="W66" s="55">
        <f t="shared" ca="1" si="7"/>
        <v>0</v>
      </c>
      <c r="X66" s="55">
        <f ca="1">IFERROR(__xludf.DUMMYFUNCTION("IMPORTRANGE(""https://docs.google.com/spreadsheets/d/1SX6NBoVAgQJ6U1MVXOaj8PK2l7WJ3RER9xtqwdhxkhw/edit?usp=sharing"",""พระนครศรีอยุธยา!J370"")"),0)</f>
        <v>0</v>
      </c>
      <c r="Y66" s="55">
        <f ca="1">IFERROR(__xludf.DUMMYFUNCTION("IMPORTRANGE(""https://docs.google.com/spreadsheets/d/1SX6NBoVAgQJ6U1MVXOaj8PK2l7WJ3RER9xtqwdhxkhw/edit?usp=sharing"",""พระนครศรีอยุธยา!J371"")"),0)</f>
        <v>0</v>
      </c>
      <c r="Z66" s="55">
        <f ca="1">IFERROR(__xludf.DUMMYFUNCTION("IMPORTRANGE(""https://docs.google.com/spreadsheets/d/1SX6NBoVAgQJ6U1MVXOaj8PK2l7WJ3RER9xtqwdhxkhw/edit?usp=sharing"",""พระนครศรีอยุธยา!J372"")"),0)</f>
        <v>0</v>
      </c>
      <c r="AA66" s="55">
        <f ca="1">IFERROR(__xludf.DUMMYFUNCTION("IMPORTRANGE(""https://docs.google.com/spreadsheets/d/1SX6NBoVAgQJ6U1MVXOaj8PK2l7WJ3RER9xtqwdhxkhw/edit?usp=sharing"",""พระนครศรีอยุธยา!J373"")"),0)</f>
        <v>0</v>
      </c>
      <c r="AB66" s="55">
        <f ca="1">IFERROR(__xludf.DUMMYFUNCTION("IMPORTRANGE(""https://docs.google.com/spreadsheets/d/1SX6NBoVAgQJ6U1MVXOaj8PK2l7WJ3RER9xtqwdhxkhw/edit?usp=sharing"",""พระนครศรีอยุธยา!J374"")"),0)</f>
        <v>0</v>
      </c>
      <c r="AC66" s="55">
        <f ca="1">IFERROR(__xludf.DUMMYFUNCTION("IMPORTRANGE(""https://docs.google.com/spreadsheets/d/1SX6NBoVAgQJ6U1MVXOaj8PK2l7WJ3RER9xtqwdhxkhw/edit?usp=sharing"",""พระนครศรีอยุธยา!J375"")"),0)</f>
        <v>0</v>
      </c>
      <c r="AD66" s="55">
        <f t="shared" ca="1" si="110"/>
        <v>0</v>
      </c>
      <c r="AE66" s="99">
        <f t="shared" ca="1" si="9"/>
        <v>0</v>
      </c>
      <c r="AF66" s="55">
        <f t="shared" ca="1" si="111"/>
        <v>0</v>
      </c>
      <c r="AG66" s="99">
        <f t="shared" ca="1" si="10"/>
        <v>0</v>
      </c>
      <c r="AH66" s="55">
        <f ca="1">IFERROR(__xludf.DUMMYFUNCTION("IMPORTRANGE(""https://docs.google.com/spreadsheets/d/1SX6NBoVAgQJ6U1MVXOaj8PK2l7WJ3RER9xtqwdhxkhw/edit?usp=sharing"",""พระนครศรีอยุธยา!J378"")"),0)</f>
        <v>0</v>
      </c>
      <c r="AI66" s="55">
        <f ca="1">IFERROR(__xludf.DUMMYFUNCTION("IMPORTRANGE(""https://docs.google.com/spreadsheets/d/1SX6NBoVAgQJ6U1MVXOaj8PK2l7WJ3RER9xtqwdhxkhw/edit?usp=sharing"",""พระนครศรีอยุธยา!J379"")"),0)</f>
        <v>0</v>
      </c>
      <c r="AJ66" s="55">
        <f ca="1">IFERROR(__xludf.DUMMYFUNCTION("IMPORTRANGE(""https://docs.google.com/spreadsheets/d/1SX6NBoVAgQJ6U1MVXOaj8PK2l7WJ3RER9xtqwdhxkhw/edit?usp=sharing"",""พระนครศรีอยุธยา!J380"")"),0)</f>
        <v>0</v>
      </c>
      <c r="AK66" s="55">
        <f ca="1">IFERROR(__xludf.DUMMYFUNCTION("IMPORTRANGE(""https://docs.google.com/spreadsheets/d/1SX6NBoVAgQJ6U1MVXOaj8PK2l7WJ3RER9xtqwdhxkhw/edit?usp=sharing"",""พระนครศรีอยุธยา!J381"")"),0)</f>
        <v>0</v>
      </c>
      <c r="AL66" s="55">
        <f ca="1">IFERROR(__xludf.DUMMYFUNCTION("IMPORTRANGE(""https://docs.google.com/spreadsheets/d/1SX6NBoVAgQJ6U1MVXOaj8PK2l7WJ3RER9xtqwdhxkhw/edit?usp=sharing"",""พระนครศรีอยุธยา!J384"")"),0)</f>
        <v>0</v>
      </c>
      <c r="AM66" s="55">
        <f ca="1">IFERROR(__xludf.DUMMYFUNCTION("IMPORTRANGE(""https://docs.google.com/spreadsheets/d/1SX6NBoVAgQJ6U1MVXOaj8PK2l7WJ3RER9xtqwdhxkhw/edit?usp=sharing"",""พระนครศรีอยุธยา!J385"")"),0)</f>
        <v>0</v>
      </c>
      <c r="AN66" s="55">
        <f ca="1">IFERROR(__xludf.DUMMYFUNCTION("IMPORTRANGE(""https://docs.google.com/spreadsheets/d/1SX6NBoVAgQJ6U1MVXOaj8PK2l7WJ3RER9xtqwdhxkhw/edit?usp=sharing"",""พระนครศรีอยุธยา!J386"")"),0)</f>
        <v>0</v>
      </c>
      <c r="AO66" s="55">
        <f ca="1">IFERROR(__xludf.DUMMYFUNCTION("IMPORTRANGE(""https://docs.google.com/spreadsheets/d/1SX6NBoVAgQJ6U1MVXOaj8PK2l7WJ3RER9xtqwdhxkhw/edit?usp=sharing"",""พระนครศรีอยุธยา!J387"")"),0)</f>
        <v>0</v>
      </c>
      <c r="AP66" s="55">
        <f ca="1">IFERROR(__xludf.DUMMYFUNCTION("IMPORTRANGE(""https://docs.google.com/spreadsheets/d/1SX6NBoVAgQJ6U1MVXOaj8PK2l7WJ3RER9xtqwdhxkhw/edit?usp=sharing"",""พระนครศรีอยุธยา!J388"")"),0)</f>
        <v>0</v>
      </c>
      <c r="AQ66" s="55">
        <f ca="1">IFERROR(__xludf.DUMMYFUNCTION("IMPORTRANGE(""https://docs.google.com/spreadsheets/d/1SX6NBoVAgQJ6U1MVXOaj8PK2l7WJ3RER9xtqwdhxkhw/edit?usp=sharing"",""พระนครศรีอยุธยา!J389"")"),0)</f>
        <v>0</v>
      </c>
      <c r="AR66" s="402">
        <v>0</v>
      </c>
      <c r="AS66" s="402">
        <v>0</v>
      </c>
      <c r="AT66" s="402">
        <f t="shared" ca="1" si="112"/>
        <v>0</v>
      </c>
      <c r="AU66" s="402">
        <f t="shared" si="12"/>
        <v>0</v>
      </c>
      <c r="AV66" s="402">
        <f t="shared" ca="1" si="113"/>
        <v>0</v>
      </c>
      <c r="AW66" s="402">
        <f t="shared" si="13"/>
        <v>0</v>
      </c>
      <c r="AX66" s="55">
        <f ca="1">IFERROR(__xludf.DUMMYFUNCTION("IMPORTRANGE(""https://docs.google.com/spreadsheets/d/1SX6NBoVAgQJ6U1MVXOaj8PK2l7WJ3RER9xtqwdhxkhw/edit?usp=sharing"",""พระนครศรีอยุธยา!J395"")"),0)</f>
        <v>0</v>
      </c>
      <c r="AY66" s="55">
        <f ca="1">IFERROR(__xludf.DUMMYFUNCTION("IMPORTRANGE(""https://docs.google.com/spreadsheets/d/1SX6NBoVAgQJ6U1MVXOaj8PK2l7WJ3RER9xtqwdhxkhw/edit?usp=sharing"",""พระนครศรีอยุธยา!J396"")"),0)</f>
        <v>0</v>
      </c>
      <c r="AZ66" s="55">
        <f ca="1">IFERROR(__xludf.DUMMYFUNCTION("IMPORTRANGE(""https://docs.google.com/spreadsheets/d/1SX6NBoVAgQJ6U1MVXOaj8PK2l7WJ3RER9xtqwdhxkhw/edit?usp=sharing"",""พระนครศรีอยุธยา!J397"")"),0)</f>
        <v>0</v>
      </c>
      <c r="BA66" s="55">
        <f ca="1">IFERROR(__xludf.DUMMYFUNCTION("IMPORTRANGE(""https://docs.google.com/spreadsheets/d/1SX6NBoVAgQJ6U1MVXOaj8PK2l7WJ3RER9xtqwdhxkhw/edit?usp=sharing"",""พระนครศรีอยุธยา!J398"")"),0)</f>
        <v>0</v>
      </c>
      <c r="BB66" s="55">
        <f ca="1">IFERROR(__xludf.DUMMYFUNCTION("IMPORTRANGE(""https://docs.google.com/spreadsheets/d/1SX6NBoVAgQJ6U1MVXOaj8PK2l7WJ3RER9xtqwdhxkhw/edit?usp=sharing"",""พระนครศรีอยุธยา!J399"")"),0)</f>
        <v>0</v>
      </c>
      <c r="BC66" s="55">
        <f ca="1">IFERROR(__xludf.DUMMYFUNCTION("IMPORTRANGE(""https://docs.google.com/spreadsheets/d/1SX6NBoVAgQJ6U1MVXOaj8PK2l7WJ3RER9xtqwdhxkhw/edit?usp=sharing"",""พระนครศรีอยุธยา!J400"")"),0)</f>
        <v>0</v>
      </c>
      <c r="BD66" s="55">
        <f ca="1">IFERROR(__xludf.DUMMYFUNCTION("IMPORTRANGE(""https://docs.google.com/spreadsheets/d/1SX6NBoVAgQJ6U1MVXOaj8PK2l7WJ3RER9xtqwdhxkhw/edit?usp=sharing"",""พระนครศรีอยุธยา!J403"")"),0)</f>
        <v>0</v>
      </c>
      <c r="BE66" s="55">
        <f ca="1">IFERROR(__xludf.DUMMYFUNCTION("IMPORTRANGE(""https://docs.google.com/spreadsheets/d/1SX6NBoVAgQJ6U1MVXOaj8PK2l7WJ3RER9xtqwdhxkhw/edit?usp=sharing"",""พระนครศรีอยุธยา!J404"")"),0)</f>
        <v>0</v>
      </c>
      <c r="BF66" s="55">
        <f ca="1">IFERROR(__xludf.DUMMYFUNCTION("IMPORTRANGE(""https://docs.google.com/spreadsheets/d/1SX6NBoVAgQJ6U1MVXOaj8PK2l7WJ3RER9xtqwdhxkhw/edit?usp=sharing"",""พระนครศรีอยุธยา!J405"")"),0)</f>
        <v>0</v>
      </c>
      <c r="BG66" s="55">
        <f ca="1">IFERROR(__xludf.DUMMYFUNCTION("IMPORTRANGE(""https://docs.google.com/spreadsheets/d/1SX6NBoVAgQJ6U1MVXOaj8PK2l7WJ3RER9xtqwdhxkhw/edit?usp=sharing"",""พระนครศรีอยุธยา!J406"")"),0)</f>
        <v>0</v>
      </c>
      <c r="BH66" s="55">
        <f ca="1">IFERROR(__xludf.DUMMYFUNCTION("IMPORTRANGE(""https://docs.google.com/spreadsheets/d/1SX6NBoVAgQJ6U1MVXOaj8PK2l7WJ3RER9xtqwdhxkhw/edit?usp=sharing"",""พระนครศรีอยุธยา!J407"")"),0)</f>
        <v>0</v>
      </c>
      <c r="BI66" s="55">
        <f ca="1">IFERROR(__xludf.DUMMYFUNCTION("IMPORTRANGE(""https://docs.google.com/spreadsheets/d/1SX6NBoVAgQJ6U1MVXOaj8PK2l7WJ3RER9xtqwdhxkhw/edit?usp=sharing"",""พระนครศรีอยุธยา!J408"")"),0)</f>
        <v>0</v>
      </c>
      <c r="BJ66" s="402">
        <v>2147</v>
      </c>
      <c r="BK66" s="402">
        <v>227</v>
      </c>
      <c r="BL66" s="402">
        <f t="shared" ca="1" si="114"/>
        <v>0</v>
      </c>
      <c r="BM66" s="403">
        <f t="shared" ca="1" si="15"/>
        <v>0</v>
      </c>
      <c r="BN66" s="402">
        <f t="shared" ca="1" si="115"/>
        <v>0</v>
      </c>
      <c r="BO66" s="403">
        <f t="shared" ca="1" si="16"/>
        <v>0</v>
      </c>
      <c r="BP66" s="55">
        <f ca="1">IFERROR(__xludf.DUMMYFUNCTION("IMPORTRANGE(""https://docs.google.com/spreadsheets/d/1SX6NBoVAgQJ6U1MVXOaj8PK2l7WJ3RER9xtqwdhxkhw/edit?usp=sharing"",""พระนครศรีอยุธยา!J412"")"),0)</f>
        <v>0</v>
      </c>
      <c r="BQ66" s="55">
        <f ca="1">IFERROR(__xludf.DUMMYFUNCTION("IMPORTRANGE(""https://docs.google.com/spreadsheets/d/1SX6NBoVAgQJ6U1MVXOaj8PK2l7WJ3RER9xtqwdhxkhw/edit?usp=sharing"",""พระนครศรีอยุธยา!J413"")"),0)</f>
        <v>0</v>
      </c>
      <c r="BR66" s="55">
        <f ca="1">IFERROR(__xludf.DUMMYFUNCTION("IMPORTRANGE(""https://docs.google.com/spreadsheets/d/1SX6NBoVAgQJ6U1MVXOaj8PK2l7WJ3RER9xtqwdhxkhw/edit?usp=sharing"",""พระนครศรีอยุธยา!J414"")"),0)</f>
        <v>0</v>
      </c>
      <c r="BS66" s="55">
        <f ca="1">IFERROR(__xludf.DUMMYFUNCTION("IMPORTRANGE(""https://docs.google.com/spreadsheets/d/1SX6NBoVAgQJ6U1MVXOaj8PK2l7WJ3RER9xtqwdhxkhw/edit?usp=sharing"",""พระนครศรีอยุธยา!J415"")"),0)</f>
        <v>0</v>
      </c>
      <c r="BT66" s="55">
        <f ca="1">IFERROR(__xludf.DUMMYFUNCTION("IMPORTRANGE(""https://docs.google.com/spreadsheets/d/1SX6NBoVAgQJ6U1MVXOaj8PK2l7WJ3RER9xtqwdhxkhw/edit?usp=sharing"",""พระนครศรีอยุธยา!J416"")"),0)</f>
        <v>0</v>
      </c>
      <c r="BU66" s="55">
        <f ca="1">IFERROR(__xludf.DUMMYFUNCTION("IMPORTRANGE(""https://docs.google.com/spreadsheets/d/1SX6NBoVAgQJ6U1MVXOaj8PK2l7WJ3RER9xtqwdhxkhw/edit?usp=sharing"",""พระนครศรีอยุธยา!J417"")"),0)</f>
        <v>0</v>
      </c>
      <c r="BV66" s="402">
        <f t="shared" ca="1" si="116"/>
        <v>0</v>
      </c>
      <c r="BW66" s="403">
        <f t="shared" ca="1" si="117"/>
        <v>0</v>
      </c>
      <c r="BX66" s="402">
        <f t="shared" ca="1" si="118"/>
        <v>0</v>
      </c>
      <c r="BY66" s="403">
        <f t="shared" ca="1" si="119"/>
        <v>0</v>
      </c>
      <c r="BZ66" s="55">
        <f ca="1">IFERROR(__xludf.DUMMYFUNCTION("IMPORTRANGE(""https://docs.google.com/spreadsheets/d/1SX6NBoVAgQJ6U1MVXOaj8PK2l7WJ3RER9xtqwdhxkhw/edit?usp=sharing"",""พระนครศรีอยุธยา!J420"")"),0)</f>
        <v>0</v>
      </c>
      <c r="CA66" s="55">
        <f ca="1">IFERROR(__xludf.DUMMYFUNCTION("IMPORTRANGE(""https://docs.google.com/spreadsheets/d/1SX6NBoVAgQJ6U1MVXOaj8PK2l7WJ3RER9xtqwdhxkhw/edit?usp=sharing"",""พระนครศรีอยุธยา!J421"")"),0)</f>
        <v>0</v>
      </c>
      <c r="CB66" s="55">
        <f ca="1">IFERROR(__xludf.DUMMYFUNCTION("IMPORTRANGE(""https://docs.google.com/spreadsheets/d/1SX6NBoVAgQJ6U1MVXOaj8PK2l7WJ3RER9xtqwdhxkhw/edit?usp=sharing"",""พระนครศรีอยุธยา!J422"")"),0)</f>
        <v>0</v>
      </c>
      <c r="CC66" s="55">
        <f ca="1">IFERROR(__xludf.DUMMYFUNCTION("IMPORTRANGE(""https://docs.google.com/spreadsheets/d/1SX6NBoVAgQJ6U1MVXOaj8PK2l7WJ3RER9xtqwdhxkhw/edit?usp=sharing"",""พระนครศรีอยุธยา!J423"")"),0)</f>
        <v>0</v>
      </c>
      <c r="CD66" s="55">
        <f ca="1">IFERROR(__xludf.DUMMYFUNCTION("IMPORTRANGE(""https://docs.google.com/spreadsheets/d/1SX6NBoVAgQJ6U1MVXOaj8PK2l7WJ3RER9xtqwdhxkhw/edit?usp=sharing"",""พระนครศรีอยุธยา!J424"")"),0)</f>
        <v>0</v>
      </c>
      <c r="CE66" s="422">
        <f ca="1">IFERROR(__xludf.DUMMYFUNCTION("IMPORTRANGE(""https://docs.google.com/spreadsheets/d/1SX6NBoVAgQJ6U1MVXOaj8PK2l7WJ3RER9xtqwdhxkhw/edit?usp=sharing"",""พระนครศรีอยุธยา!J425"")"),0)</f>
        <v>0</v>
      </c>
    </row>
    <row r="67" spans="1:83" ht="24" customHeight="1" x14ac:dyDescent="0.5">
      <c r="A67" s="273">
        <v>13</v>
      </c>
      <c r="B67" s="274" t="s">
        <v>82</v>
      </c>
      <c r="C67" s="400">
        <f t="shared" si="105"/>
        <v>95347.199999999997</v>
      </c>
      <c r="D67" s="55">
        <v>0</v>
      </c>
      <c r="E67" s="401">
        <v>95347.199999999997</v>
      </c>
      <c r="F67" s="99">
        <f ca="1">IFERROR(__xludf.DUMMYFUNCTION("IMPORTRANGE(""https://docs.google.com/spreadsheets/d/1SX6NBoVAgQJ6U1MVXOaj8PK2l7WJ3RER9xtqwdhxkhw/edit?usp=sharing"",""เพชรบุรี!M352"")"),0)</f>
        <v>0</v>
      </c>
      <c r="G67" s="99">
        <f t="shared" ca="1" si="1"/>
        <v>0</v>
      </c>
      <c r="H67" s="57">
        <v>2218</v>
      </c>
      <c r="I67" s="57">
        <v>311</v>
      </c>
      <c r="J67" s="55">
        <f t="shared" ca="1" si="106"/>
        <v>0</v>
      </c>
      <c r="K67" s="99">
        <f t="shared" ca="1" si="3"/>
        <v>0</v>
      </c>
      <c r="L67" s="55">
        <f t="shared" ca="1" si="107"/>
        <v>0</v>
      </c>
      <c r="M67" s="99">
        <f t="shared" ca="1" si="4"/>
        <v>0</v>
      </c>
      <c r="N67" s="55">
        <f ca="1">IFERROR(__xludf.DUMMYFUNCTION("IMPORTRANGE(""https://docs.google.com/spreadsheets/d/1SX6NBoVAgQJ6U1MVXOaj8PK2l7WJ3RER9xtqwdhxkhw/edit?usp=sharing"",""เพชรบุรี!J362"")"),0)</f>
        <v>0</v>
      </c>
      <c r="O67" s="55">
        <f ca="1">IFERROR(__xludf.DUMMYFUNCTION("IMPORTRANGE(""https://docs.google.com/spreadsheets/d/1SX6NBoVAgQJ6U1MVXOaj8PK2l7WJ3RER9xtqwdhxkhw/edit?usp=sharing"",""เพชรบุรี!J363"")"),0)</f>
        <v>0</v>
      </c>
      <c r="P67" s="55">
        <f ca="1">IFERROR(__xludf.DUMMYFUNCTION("IMPORTRANGE(""https://docs.google.com/spreadsheets/d/1SX6NBoVAgQJ6U1MVXOaj8PK2l7WJ3RER9xtqwdhxkhw/edit?usp=sharing"",""เพชรบุรี!J364"")"),0)</f>
        <v>0</v>
      </c>
      <c r="Q67" s="55">
        <f ca="1">IFERROR(__xludf.DUMMYFUNCTION("IMPORTRANGE(""https://docs.google.com/spreadsheets/d/1SX6NBoVAgQJ6U1MVXOaj8PK2l7WJ3RER9xtqwdhxkhw/edit?usp=sharing"",""เพชรบุรี!J365"")"),0)</f>
        <v>0</v>
      </c>
      <c r="R67" s="55">
        <f ca="1">IFERROR(__xludf.DUMMYFUNCTION("IMPORTRANGE(""https://docs.google.com/spreadsheets/d/1SX6NBoVAgQJ6U1MVXOaj8PK2l7WJ3RER9xtqwdhxkhw/edit?usp=sharing"",""เพชรบุรี!J366"")"),0)</f>
        <v>0</v>
      </c>
      <c r="S67" s="55">
        <f ca="1">IFERROR(__xludf.DUMMYFUNCTION("IMPORTRANGE(""https://docs.google.com/spreadsheets/d/1SX6NBoVAgQJ6U1MVXOaj8PK2l7WJ3RER9xtqwdhxkhw/edit?usp=sharing"",""เพชรบุรี!J367"")"),0)</f>
        <v>0</v>
      </c>
      <c r="T67" s="55">
        <f t="shared" ca="1" si="108"/>
        <v>0</v>
      </c>
      <c r="U67" s="55">
        <f t="shared" ca="1" si="6"/>
        <v>0</v>
      </c>
      <c r="V67" s="55">
        <f t="shared" ca="1" si="109"/>
        <v>0</v>
      </c>
      <c r="W67" s="55">
        <f t="shared" ca="1" si="7"/>
        <v>0</v>
      </c>
      <c r="X67" s="55">
        <f ca="1">IFERROR(__xludf.DUMMYFUNCTION("IMPORTRANGE(""https://docs.google.com/spreadsheets/d/1SX6NBoVAgQJ6U1MVXOaj8PK2l7WJ3RER9xtqwdhxkhw/edit?usp=sharing"",""เพชรบุรี!J370"")"),0)</f>
        <v>0</v>
      </c>
      <c r="Y67" s="55">
        <f ca="1">IFERROR(__xludf.DUMMYFUNCTION("IMPORTRANGE(""https://docs.google.com/spreadsheets/d/1SX6NBoVAgQJ6U1MVXOaj8PK2l7WJ3RER9xtqwdhxkhw/edit?usp=sharing"",""เพชรบุรี!J371"")"),0)</f>
        <v>0</v>
      </c>
      <c r="Z67" s="55">
        <f ca="1">IFERROR(__xludf.DUMMYFUNCTION("IMPORTRANGE(""https://docs.google.com/spreadsheets/d/1SX6NBoVAgQJ6U1MVXOaj8PK2l7WJ3RER9xtqwdhxkhw/edit?usp=sharing"",""เพชรบุรี!J372"")"),0)</f>
        <v>0</v>
      </c>
      <c r="AA67" s="55">
        <f ca="1">IFERROR(__xludf.DUMMYFUNCTION("IMPORTRANGE(""https://docs.google.com/spreadsheets/d/1SX6NBoVAgQJ6U1MVXOaj8PK2l7WJ3RER9xtqwdhxkhw/edit?usp=sharing"",""เพชรบุรี!J373"")"),0)</f>
        <v>0</v>
      </c>
      <c r="AB67" s="55">
        <f ca="1">IFERROR(__xludf.DUMMYFUNCTION("IMPORTRANGE(""https://docs.google.com/spreadsheets/d/1SX6NBoVAgQJ6U1MVXOaj8PK2l7WJ3RER9xtqwdhxkhw/edit?usp=sharing"",""เพชรบุรี!J374"")"),0)</f>
        <v>0</v>
      </c>
      <c r="AC67" s="55">
        <f ca="1">IFERROR(__xludf.DUMMYFUNCTION("IMPORTRANGE(""https://docs.google.com/spreadsheets/d/1SX6NBoVAgQJ6U1MVXOaj8PK2l7WJ3RER9xtqwdhxkhw/edit?usp=sharing"",""เพชรบุรี!J375"")"),0)</f>
        <v>0</v>
      </c>
      <c r="AD67" s="55">
        <f t="shared" ca="1" si="110"/>
        <v>0</v>
      </c>
      <c r="AE67" s="99">
        <f t="shared" ca="1" si="9"/>
        <v>0</v>
      </c>
      <c r="AF67" s="55">
        <f t="shared" ca="1" si="111"/>
        <v>0</v>
      </c>
      <c r="AG67" s="99">
        <f t="shared" ca="1" si="10"/>
        <v>0</v>
      </c>
      <c r="AH67" s="55">
        <f ca="1">IFERROR(__xludf.DUMMYFUNCTION("IMPORTRANGE(""https://docs.google.com/spreadsheets/d/1SX6NBoVAgQJ6U1MVXOaj8PK2l7WJ3RER9xtqwdhxkhw/edit?usp=sharing"",""เพชรบุรี!J378"")"),0)</f>
        <v>0</v>
      </c>
      <c r="AI67" s="55">
        <f ca="1">IFERROR(__xludf.DUMMYFUNCTION("IMPORTRANGE(""https://docs.google.com/spreadsheets/d/1SX6NBoVAgQJ6U1MVXOaj8PK2l7WJ3RER9xtqwdhxkhw/edit?usp=sharing"",""เพชรบุรี!J379"")"),0)</f>
        <v>0</v>
      </c>
      <c r="AJ67" s="55">
        <f ca="1">IFERROR(__xludf.DUMMYFUNCTION("IMPORTRANGE(""https://docs.google.com/spreadsheets/d/1SX6NBoVAgQJ6U1MVXOaj8PK2l7WJ3RER9xtqwdhxkhw/edit?usp=sharing"",""เพชรบุรี!J380"")"),0)</f>
        <v>0</v>
      </c>
      <c r="AK67" s="55">
        <f ca="1">IFERROR(__xludf.DUMMYFUNCTION("IMPORTRANGE(""https://docs.google.com/spreadsheets/d/1SX6NBoVAgQJ6U1MVXOaj8PK2l7WJ3RER9xtqwdhxkhw/edit?usp=sharing"",""เพชรบุรี!J381"")"),0)</f>
        <v>0</v>
      </c>
      <c r="AL67" s="55">
        <f ca="1">IFERROR(__xludf.DUMMYFUNCTION("IMPORTRANGE(""https://docs.google.com/spreadsheets/d/1SX6NBoVAgQJ6U1MVXOaj8PK2l7WJ3RER9xtqwdhxkhw/edit?usp=sharing"",""เพชรบุรี!J384"")"),0)</f>
        <v>0</v>
      </c>
      <c r="AM67" s="55">
        <f ca="1">IFERROR(__xludf.DUMMYFUNCTION("IMPORTRANGE(""https://docs.google.com/spreadsheets/d/1SX6NBoVAgQJ6U1MVXOaj8PK2l7WJ3RER9xtqwdhxkhw/edit?usp=sharing"",""เพชรบุรี!J385"")"),0)</f>
        <v>0</v>
      </c>
      <c r="AN67" s="55">
        <f ca="1">IFERROR(__xludf.DUMMYFUNCTION("IMPORTRANGE(""https://docs.google.com/spreadsheets/d/1SX6NBoVAgQJ6U1MVXOaj8PK2l7WJ3RER9xtqwdhxkhw/edit?usp=sharing"",""เพชรบุรี!J386"")"),0)</f>
        <v>0</v>
      </c>
      <c r="AO67" s="55">
        <f ca="1">IFERROR(__xludf.DUMMYFUNCTION("IMPORTRANGE(""https://docs.google.com/spreadsheets/d/1SX6NBoVAgQJ6U1MVXOaj8PK2l7WJ3RER9xtqwdhxkhw/edit?usp=sharing"",""เพชรบุรี!J387"")"),0)</f>
        <v>0</v>
      </c>
      <c r="AP67" s="55">
        <f ca="1">IFERROR(__xludf.DUMMYFUNCTION("IMPORTRANGE(""https://docs.google.com/spreadsheets/d/1SX6NBoVAgQJ6U1MVXOaj8PK2l7WJ3RER9xtqwdhxkhw/edit?usp=sharing"",""เพชรบุรี!J388"")"),0)</f>
        <v>0</v>
      </c>
      <c r="AQ67" s="55">
        <f ca="1">IFERROR(__xludf.DUMMYFUNCTION("IMPORTRANGE(""https://docs.google.com/spreadsheets/d/1SX6NBoVAgQJ6U1MVXOaj8PK2l7WJ3RER9xtqwdhxkhw/edit?usp=sharing"",""เพชรบุรี!J389"")"),0)</f>
        <v>0</v>
      </c>
      <c r="AR67" s="402">
        <v>93</v>
      </c>
      <c r="AS67" s="402">
        <v>500</v>
      </c>
      <c r="AT67" s="402">
        <f t="shared" ca="1" si="112"/>
        <v>0</v>
      </c>
      <c r="AU67" s="402">
        <f t="shared" ca="1" si="12"/>
        <v>0</v>
      </c>
      <c r="AV67" s="402">
        <f t="shared" ca="1" si="113"/>
        <v>0</v>
      </c>
      <c r="AW67" s="402">
        <f t="shared" ca="1" si="13"/>
        <v>0</v>
      </c>
      <c r="AX67" s="55">
        <f ca="1">IFERROR(__xludf.DUMMYFUNCTION("IMPORTRANGE(""https://docs.google.com/spreadsheets/d/1SX6NBoVAgQJ6U1MVXOaj8PK2l7WJ3RER9xtqwdhxkhw/edit?usp=sharing"",""เพชรบุรี!J395"")"),0)</f>
        <v>0</v>
      </c>
      <c r="AY67" s="55">
        <f ca="1">IFERROR(__xludf.DUMMYFUNCTION("IMPORTRANGE(""https://docs.google.com/spreadsheets/d/1SX6NBoVAgQJ6U1MVXOaj8PK2l7WJ3RER9xtqwdhxkhw/edit?usp=sharing"",""เพชรบุรี!J396"")"),0)</f>
        <v>0</v>
      </c>
      <c r="AZ67" s="55">
        <f ca="1">IFERROR(__xludf.DUMMYFUNCTION("IMPORTRANGE(""https://docs.google.com/spreadsheets/d/1SX6NBoVAgQJ6U1MVXOaj8PK2l7WJ3RER9xtqwdhxkhw/edit?usp=sharing"",""เพชรบุรี!J397"")"),0)</f>
        <v>0</v>
      </c>
      <c r="BA67" s="55">
        <f ca="1">IFERROR(__xludf.DUMMYFUNCTION("IMPORTRANGE(""https://docs.google.com/spreadsheets/d/1SX6NBoVAgQJ6U1MVXOaj8PK2l7WJ3RER9xtqwdhxkhw/edit?usp=sharing"",""เพชรบุรี!J398"")"),0)</f>
        <v>0</v>
      </c>
      <c r="BB67" s="55">
        <f ca="1">IFERROR(__xludf.DUMMYFUNCTION("IMPORTRANGE(""https://docs.google.com/spreadsheets/d/1SX6NBoVAgQJ6U1MVXOaj8PK2l7WJ3RER9xtqwdhxkhw/edit?usp=sharing"",""เพชรบุรี!J399"")"),0)</f>
        <v>0</v>
      </c>
      <c r="BC67" s="55">
        <f ca="1">IFERROR(__xludf.DUMMYFUNCTION("IMPORTRANGE(""https://docs.google.com/spreadsheets/d/1SX6NBoVAgQJ6U1MVXOaj8PK2l7WJ3RER9xtqwdhxkhw/edit?usp=sharing"",""เพชรบุรี!J400"")"),0)</f>
        <v>0</v>
      </c>
      <c r="BD67" s="55">
        <f ca="1">IFERROR(__xludf.DUMMYFUNCTION("IMPORTRANGE(""https://docs.google.com/spreadsheets/d/1SX6NBoVAgQJ6U1MVXOaj8PK2l7WJ3RER9xtqwdhxkhw/edit?usp=sharing"",""เพชรบุรี!J403"")"),0)</f>
        <v>0</v>
      </c>
      <c r="BE67" s="55">
        <f ca="1">IFERROR(__xludf.DUMMYFUNCTION("IMPORTRANGE(""https://docs.google.com/spreadsheets/d/1SX6NBoVAgQJ6U1MVXOaj8PK2l7WJ3RER9xtqwdhxkhw/edit?usp=sharing"",""เพชรบุรี!J404"")"),0)</f>
        <v>0</v>
      </c>
      <c r="BF67" s="55">
        <f ca="1">IFERROR(__xludf.DUMMYFUNCTION("IMPORTRANGE(""https://docs.google.com/spreadsheets/d/1SX6NBoVAgQJ6U1MVXOaj8PK2l7WJ3RER9xtqwdhxkhw/edit?usp=sharing"",""เพชรบุรี!J405"")"),0)</f>
        <v>0</v>
      </c>
      <c r="BG67" s="55">
        <f ca="1">IFERROR(__xludf.DUMMYFUNCTION("IMPORTRANGE(""https://docs.google.com/spreadsheets/d/1SX6NBoVAgQJ6U1MVXOaj8PK2l7WJ3RER9xtqwdhxkhw/edit?usp=sharing"",""เพชรบุรี!J406"")"),0)</f>
        <v>0</v>
      </c>
      <c r="BH67" s="55">
        <f ca="1">IFERROR(__xludf.DUMMYFUNCTION("IMPORTRANGE(""https://docs.google.com/spreadsheets/d/1SX6NBoVAgQJ6U1MVXOaj8PK2l7WJ3RER9xtqwdhxkhw/edit?usp=sharing"",""เพชรบุรี!J407"")"),0)</f>
        <v>0</v>
      </c>
      <c r="BI67" s="55">
        <f ca="1">IFERROR(__xludf.DUMMYFUNCTION("IMPORTRANGE(""https://docs.google.com/spreadsheets/d/1SX6NBoVAgQJ6U1MVXOaj8PK2l7WJ3RER9xtqwdhxkhw/edit?usp=sharing"",""เพชรบุรี!J408"")"),0)</f>
        <v>0</v>
      </c>
      <c r="BJ67" s="402">
        <v>2218</v>
      </c>
      <c r="BK67" s="402">
        <v>311</v>
      </c>
      <c r="BL67" s="402">
        <f t="shared" ca="1" si="114"/>
        <v>0</v>
      </c>
      <c r="BM67" s="403">
        <f t="shared" ca="1" si="15"/>
        <v>0</v>
      </c>
      <c r="BN67" s="402">
        <f t="shared" ca="1" si="115"/>
        <v>0</v>
      </c>
      <c r="BO67" s="403">
        <f t="shared" ca="1" si="16"/>
        <v>0</v>
      </c>
      <c r="BP67" s="55">
        <f ca="1">IFERROR(__xludf.DUMMYFUNCTION("IMPORTRANGE(""https://docs.google.com/spreadsheets/d/1SX6NBoVAgQJ6U1MVXOaj8PK2l7WJ3RER9xtqwdhxkhw/edit?usp=sharing"",""เพชรบุรี!J412"")"),0)</f>
        <v>0</v>
      </c>
      <c r="BQ67" s="55">
        <f ca="1">IFERROR(__xludf.DUMMYFUNCTION("IMPORTRANGE(""https://docs.google.com/spreadsheets/d/1SX6NBoVAgQJ6U1MVXOaj8PK2l7WJ3RER9xtqwdhxkhw/edit?usp=sharing"",""เพชรบุรี!J413"")"),0)</f>
        <v>0</v>
      </c>
      <c r="BR67" s="55">
        <f ca="1">IFERROR(__xludf.DUMMYFUNCTION("IMPORTRANGE(""https://docs.google.com/spreadsheets/d/1SX6NBoVAgQJ6U1MVXOaj8PK2l7WJ3RER9xtqwdhxkhw/edit?usp=sharing"",""เพชรบุรี!J414"")"),0)</f>
        <v>0</v>
      </c>
      <c r="BS67" s="55">
        <f ca="1">IFERROR(__xludf.DUMMYFUNCTION("IMPORTRANGE(""https://docs.google.com/spreadsheets/d/1SX6NBoVAgQJ6U1MVXOaj8PK2l7WJ3RER9xtqwdhxkhw/edit?usp=sharing"",""เพชรบุรี!J415"")"),0)</f>
        <v>0</v>
      </c>
      <c r="BT67" s="55">
        <f ca="1">IFERROR(__xludf.DUMMYFUNCTION("IMPORTRANGE(""https://docs.google.com/spreadsheets/d/1SX6NBoVAgQJ6U1MVXOaj8PK2l7WJ3RER9xtqwdhxkhw/edit?usp=sharing"",""เพชรบุรี!J416"")"),0)</f>
        <v>0</v>
      </c>
      <c r="BU67" s="55">
        <f ca="1">IFERROR(__xludf.DUMMYFUNCTION("IMPORTRANGE(""https://docs.google.com/spreadsheets/d/1SX6NBoVAgQJ6U1MVXOaj8PK2l7WJ3RER9xtqwdhxkhw/edit?usp=sharing"",""เพชรบุรี!J417"")"),0)</f>
        <v>0</v>
      </c>
      <c r="BV67" s="402">
        <f t="shared" ca="1" si="116"/>
        <v>0</v>
      </c>
      <c r="BW67" s="403">
        <f t="shared" ca="1" si="117"/>
        <v>0</v>
      </c>
      <c r="BX67" s="402">
        <f t="shared" ca="1" si="118"/>
        <v>0</v>
      </c>
      <c r="BY67" s="403">
        <f t="shared" ca="1" si="119"/>
        <v>0</v>
      </c>
      <c r="BZ67" s="55">
        <f ca="1">IFERROR(__xludf.DUMMYFUNCTION("IMPORTRANGE(""https://docs.google.com/spreadsheets/d/1SX6NBoVAgQJ6U1MVXOaj8PK2l7WJ3RER9xtqwdhxkhw/edit?usp=sharing"",""เพชรบุรี!J420"")"),0)</f>
        <v>0</v>
      </c>
      <c r="CA67" s="55">
        <f ca="1">IFERROR(__xludf.DUMMYFUNCTION("IMPORTRANGE(""https://docs.google.com/spreadsheets/d/1SX6NBoVAgQJ6U1MVXOaj8PK2l7WJ3RER9xtqwdhxkhw/edit?usp=sharing"",""เพชรบุรี!J421"")"),0)</f>
        <v>0</v>
      </c>
      <c r="CB67" s="55">
        <f ca="1">IFERROR(__xludf.DUMMYFUNCTION("IMPORTRANGE(""https://docs.google.com/spreadsheets/d/1SX6NBoVAgQJ6U1MVXOaj8PK2l7WJ3RER9xtqwdhxkhw/edit?usp=sharing"",""เพชรบุรี!J422"")"),0)</f>
        <v>0</v>
      </c>
      <c r="CC67" s="55">
        <f ca="1">IFERROR(__xludf.DUMMYFUNCTION("IMPORTRANGE(""https://docs.google.com/spreadsheets/d/1SX6NBoVAgQJ6U1MVXOaj8PK2l7WJ3RER9xtqwdhxkhw/edit?usp=sharing"",""เพชรบุรี!J423"")"),0)</f>
        <v>0</v>
      </c>
      <c r="CD67" s="55">
        <f ca="1">IFERROR(__xludf.DUMMYFUNCTION("IMPORTRANGE(""https://docs.google.com/spreadsheets/d/1SX6NBoVAgQJ6U1MVXOaj8PK2l7WJ3RER9xtqwdhxkhw/edit?usp=sharing"",""เพชรบุรี!J424"")"),0)</f>
        <v>0</v>
      </c>
      <c r="CE67" s="422">
        <f ca="1">IFERROR(__xludf.DUMMYFUNCTION("IMPORTRANGE(""https://docs.google.com/spreadsheets/d/1SX6NBoVAgQJ6U1MVXOaj8PK2l7WJ3RER9xtqwdhxkhw/edit?usp=sharing"",""เพชรบุรี!J425"")"),0)</f>
        <v>0</v>
      </c>
    </row>
    <row r="68" spans="1:83" ht="24" customHeight="1" x14ac:dyDescent="0.5">
      <c r="A68" s="273">
        <v>14</v>
      </c>
      <c r="B68" s="274" t="s">
        <v>83</v>
      </c>
      <c r="C68" s="400">
        <f t="shared" si="105"/>
        <v>94118.7</v>
      </c>
      <c r="D68" s="55">
        <v>0</v>
      </c>
      <c r="E68" s="401">
        <v>94118.7</v>
      </c>
      <c r="F68" s="99">
        <f ca="1">IFERROR(__xludf.DUMMYFUNCTION("IMPORTRANGE(""https://docs.google.com/spreadsheets/d/1SX6NBoVAgQJ6U1MVXOaj8PK2l7WJ3RER9xtqwdhxkhw/edit?usp=sharing"",""ระยอง!M352"")"),0)</f>
        <v>0</v>
      </c>
      <c r="G68" s="99">
        <f t="shared" ca="1" si="1"/>
        <v>0</v>
      </c>
      <c r="H68" s="57">
        <v>7112</v>
      </c>
      <c r="I68" s="57">
        <v>645</v>
      </c>
      <c r="J68" s="55">
        <f t="shared" ca="1" si="106"/>
        <v>0</v>
      </c>
      <c r="K68" s="99">
        <f t="shared" ca="1" si="3"/>
        <v>0</v>
      </c>
      <c r="L68" s="55">
        <f t="shared" ca="1" si="107"/>
        <v>0</v>
      </c>
      <c r="M68" s="99">
        <f t="shared" ca="1" si="4"/>
        <v>0</v>
      </c>
      <c r="N68" s="55">
        <f ca="1">IFERROR(__xludf.DUMMYFUNCTION("IMPORTRANGE(""https://docs.google.com/spreadsheets/d/1SX6NBoVAgQJ6U1MVXOaj8PK2l7WJ3RER9xtqwdhxkhw/edit?usp=sharing"",""ระยอง!J362"")"),0)</f>
        <v>0</v>
      </c>
      <c r="O68" s="55">
        <f ca="1">IFERROR(__xludf.DUMMYFUNCTION("IMPORTRANGE(""https://docs.google.com/spreadsheets/d/1SX6NBoVAgQJ6U1MVXOaj8PK2l7WJ3RER9xtqwdhxkhw/edit?usp=sharing"",""ระยอง!J363"")"),0)</f>
        <v>0</v>
      </c>
      <c r="P68" s="55">
        <f ca="1">IFERROR(__xludf.DUMMYFUNCTION("IMPORTRANGE(""https://docs.google.com/spreadsheets/d/1SX6NBoVAgQJ6U1MVXOaj8PK2l7WJ3RER9xtqwdhxkhw/edit?usp=sharing"",""ระยอง!J364"")"),0)</f>
        <v>0</v>
      </c>
      <c r="Q68" s="55">
        <f ca="1">IFERROR(__xludf.DUMMYFUNCTION("IMPORTRANGE(""https://docs.google.com/spreadsheets/d/1SX6NBoVAgQJ6U1MVXOaj8PK2l7WJ3RER9xtqwdhxkhw/edit?usp=sharing"",""ระยอง!J365"")"),0)</f>
        <v>0</v>
      </c>
      <c r="R68" s="55">
        <f ca="1">IFERROR(__xludf.DUMMYFUNCTION("IMPORTRANGE(""https://docs.google.com/spreadsheets/d/1SX6NBoVAgQJ6U1MVXOaj8PK2l7WJ3RER9xtqwdhxkhw/edit?usp=sharing"",""ระยอง!J366"")"),0)</f>
        <v>0</v>
      </c>
      <c r="S68" s="55">
        <f ca="1">IFERROR(__xludf.DUMMYFUNCTION("IMPORTRANGE(""https://docs.google.com/spreadsheets/d/1SX6NBoVAgQJ6U1MVXOaj8PK2l7WJ3RER9xtqwdhxkhw/edit?usp=sharing"",""ระยอง!J367"")"),0)</f>
        <v>0</v>
      </c>
      <c r="T68" s="55">
        <f t="shared" ca="1" si="108"/>
        <v>0</v>
      </c>
      <c r="U68" s="55">
        <f t="shared" ca="1" si="6"/>
        <v>0</v>
      </c>
      <c r="V68" s="55">
        <f t="shared" ca="1" si="109"/>
        <v>0</v>
      </c>
      <c r="W68" s="55">
        <f t="shared" ca="1" si="7"/>
        <v>0</v>
      </c>
      <c r="X68" s="55">
        <f ca="1">IFERROR(__xludf.DUMMYFUNCTION("IMPORTRANGE(""https://docs.google.com/spreadsheets/d/1SX6NBoVAgQJ6U1MVXOaj8PK2l7WJ3RER9xtqwdhxkhw/edit?usp=sharing"",""ระยอง!J370"")"),0)</f>
        <v>0</v>
      </c>
      <c r="Y68" s="55">
        <f ca="1">IFERROR(__xludf.DUMMYFUNCTION("IMPORTRANGE(""https://docs.google.com/spreadsheets/d/1SX6NBoVAgQJ6U1MVXOaj8PK2l7WJ3RER9xtqwdhxkhw/edit?usp=sharing"",""ระยอง!J371"")"),0)</f>
        <v>0</v>
      </c>
      <c r="Z68" s="55">
        <f ca="1">IFERROR(__xludf.DUMMYFUNCTION("IMPORTRANGE(""https://docs.google.com/spreadsheets/d/1SX6NBoVAgQJ6U1MVXOaj8PK2l7WJ3RER9xtqwdhxkhw/edit?usp=sharing"",""ระยอง!J372"")"),0)</f>
        <v>0</v>
      </c>
      <c r="AA68" s="55">
        <f ca="1">IFERROR(__xludf.DUMMYFUNCTION("IMPORTRANGE(""https://docs.google.com/spreadsheets/d/1SX6NBoVAgQJ6U1MVXOaj8PK2l7WJ3RER9xtqwdhxkhw/edit?usp=sharing"",""ระยอง!J373"")"),0)</f>
        <v>0</v>
      </c>
      <c r="AB68" s="55">
        <f ca="1">IFERROR(__xludf.DUMMYFUNCTION("IMPORTRANGE(""https://docs.google.com/spreadsheets/d/1SX6NBoVAgQJ6U1MVXOaj8PK2l7WJ3RER9xtqwdhxkhw/edit?usp=sharing"",""ระยอง!J374"")"),0)</f>
        <v>0</v>
      </c>
      <c r="AC68" s="55">
        <f ca="1">IFERROR(__xludf.DUMMYFUNCTION("IMPORTRANGE(""https://docs.google.com/spreadsheets/d/1SX6NBoVAgQJ6U1MVXOaj8PK2l7WJ3RER9xtqwdhxkhw/edit?usp=sharing"",""ระยอง!J375"")"),0)</f>
        <v>0</v>
      </c>
      <c r="AD68" s="55">
        <f t="shared" ca="1" si="110"/>
        <v>0</v>
      </c>
      <c r="AE68" s="99">
        <f t="shared" ca="1" si="9"/>
        <v>0</v>
      </c>
      <c r="AF68" s="55">
        <f t="shared" ca="1" si="111"/>
        <v>0</v>
      </c>
      <c r="AG68" s="99">
        <f t="shared" ca="1" si="10"/>
        <v>0</v>
      </c>
      <c r="AH68" s="55">
        <f ca="1">IFERROR(__xludf.DUMMYFUNCTION("IMPORTRANGE(""https://docs.google.com/spreadsheets/d/1SX6NBoVAgQJ6U1MVXOaj8PK2l7WJ3RER9xtqwdhxkhw/edit?usp=sharing"",""ระยอง!J378"")"),0)</f>
        <v>0</v>
      </c>
      <c r="AI68" s="55">
        <f ca="1">IFERROR(__xludf.DUMMYFUNCTION("IMPORTRANGE(""https://docs.google.com/spreadsheets/d/1SX6NBoVAgQJ6U1MVXOaj8PK2l7WJ3RER9xtqwdhxkhw/edit?usp=sharing"",""ระยอง!J379"")"),0)</f>
        <v>0</v>
      </c>
      <c r="AJ68" s="55">
        <f ca="1">IFERROR(__xludf.DUMMYFUNCTION("IMPORTRANGE(""https://docs.google.com/spreadsheets/d/1SX6NBoVAgQJ6U1MVXOaj8PK2l7WJ3RER9xtqwdhxkhw/edit?usp=sharing"",""ระยอง!J380"")"),0)</f>
        <v>0</v>
      </c>
      <c r="AK68" s="55">
        <f ca="1">IFERROR(__xludf.DUMMYFUNCTION("IMPORTRANGE(""https://docs.google.com/spreadsheets/d/1SX6NBoVAgQJ6U1MVXOaj8PK2l7WJ3RER9xtqwdhxkhw/edit?usp=sharing"",""ระยอง!J381"")"),0)</f>
        <v>0</v>
      </c>
      <c r="AL68" s="55">
        <f ca="1">IFERROR(__xludf.DUMMYFUNCTION("IMPORTRANGE(""https://docs.google.com/spreadsheets/d/1SX6NBoVAgQJ6U1MVXOaj8PK2l7WJ3RER9xtqwdhxkhw/edit?usp=sharing"",""ระยอง!J384"")"),0)</f>
        <v>0</v>
      </c>
      <c r="AM68" s="55">
        <f ca="1">IFERROR(__xludf.DUMMYFUNCTION("IMPORTRANGE(""https://docs.google.com/spreadsheets/d/1SX6NBoVAgQJ6U1MVXOaj8PK2l7WJ3RER9xtqwdhxkhw/edit?usp=sharing"",""ระยอง!J385"")"),0)</f>
        <v>0</v>
      </c>
      <c r="AN68" s="55">
        <f ca="1">IFERROR(__xludf.DUMMYFUNCTION("IMPORTRANGE(""https://docs.google.com/spreadsheets/d/1SX6NBoVAgQJ6U1MVXOaj8PK2l7WJ3RER9xtqwdhxkhw/edit?usp=sharing"",""ระยอง!J386"")"),0)</f>
        <v>0</v>
      </c>
      <c r="AO68" s="55">
        <f ca="1">IFERROR(__xludf.DUMMYFUNCTION("IMPORTRANGE(""https://docs.google.com/spreadsheets/d/1SX6NBoVAgQJ6U1MVXOaj8PK2l7WJ3RER9xtqwdhxkhw/edit?usp=sharing"",""ระยอง!J387"")"),0)</f>
        <v>0</v>
      </c>
      <c r="AP68" s="55">
        <f ca="1">IFERROR(__xludf.DUMMYFUNCTION("IMPORTRANGE(""https://docs.google.com/spreadsheets/d/1SX6NBoVAgQJ6U1MVXOaj8PK2l7WJ3RER9xtqwdhxkhw/edit?usp=sharing"",""ระยอง!J388"")"),0)</f>
        <v>0</v>
      </c>
      <c r="AQ68" s="55">
        <f ca="1">IFERROR(__xludf.DUMMYFUNCTION("IMPORTRANGE(""https://docs.google.com/spreadsheets/d/1SX6NBoVAgQJ6U1MVXOaj8PK2l7WJ3RER9xtqwdhxkhw/edit?usp=sharing"",""ระยอง!J389"")"),0)</f>
        <v>0</v>
      </c>
      <c r="AR68" s="402">
        <v>12</v>
      </c>
      <c r="AS68" s="402">
        <v>65</v>
      </c>
      <c r="AT68" s="402">
        <f t="shared" ca="1" si="112"/>
        <v>0</v>
      </c>
      <c r="AU68" s="402">
        <f t="shared" ca="1" si="12"/>
        <v>0</v>
      </c>
      <c r="AV68" s="402">
        <f t="shared" ca="1" si="113"/>
        <v>0</v>
      </c>
      <c r="AW68" s="402">
        <f t="shared" ca="1" si="13"/>
        <v>0</v>
      </c>
      <c r="AX68" s="55">
        <f ca="1">IFERROR(__xludf.DUMMYFUNCTION("IMPORTRANGE(""https://docs.google.com/spreadsheets/d/1SX6NBoVAgQJ6U1MVXOaj8PK2l7WJ3RER9xtqwdhxkhw/edit?usp=sharing"",""ระยอง!J395"")"),0)</f>
        <v>0</v>
      </c>
      <c r="AY68" s="55">
        <f ca="1">IFERROR(__xludf.DUMMYFUNCTION("IMPORTRANGE(""https://docs.google.com/spreadsheets/d/1SX6NBoVAgQJ6U1MVXOaj8PK2l7WJ3RER9xtqwdhxkhw/edit?usp=sharing"",""ระยอง!J396"")"),0)</f>
        <v>0</v>
      </c>
      <c r="AZ68" s="55">
        <f ca="1">IFERROR(__xludf.DUMMYFUNCTION("IMPORTRANGE(""https://docs.google.com/spreadsheets/d/1SX6NBoVAgQJ6U1MVXOaj8PK2l7WJ3RER9xtqwdhxkhw/edit?usp=sharing"",""ระยอง!J397"")"),0)</f>
        <v>0</v>
      </c>
      <c r="BA68" s="55">
        <f ca="1">IFERROR(__xludf.DUMMYFUNCTION("IMPORTRANGE(""https://docs.google.com/spreadsheets/d/1SX6NBoVAgQJ6U1MVXOaj8PK2l7WJ3RER9xtqwdhxkhw/edit?usp=sharing"",""ระยอง!J398"")"),0)</f>
        <v>0</v>
      </c>
      <c r="BB68" s="55">
        <f ca="1">IFERROR(__xludf.DUMMYFUNCTION("IMPORTRANGE(""https://docs.google.com/spreadsheets/d/1SX6NBoVAgQJ6U1MVXOaj8PK2l7WJ3RER9xtqwdhxkhw/edit?usp=sharing"",""ระยอง!J399"")"),0)</f>
        <v>0</v>
      </c>
      <c r="BC68" s="55">
        <f ca="1">IFERROR(__xludf.DUMMYFUNCTION("IMPORTRANGE(""https://docs.google.com/spreadsheets/d/1SX6NBoVAgQJ6U1MVXOaj8PK2l7WJ3RER9xtqwdhxkhw/edit?usp=sharing"",""ระยอง!J400"")"),0)</f>
        <v>0</v>
      </c>
      <c r="BD68" s="55">
        <f ca="1">IFERROR(__xludf.DUMMYFUNCTION("IMPORTRANGE(""https://docs.google.com/spreadsheets/d/1SX6NBoVAgQJ6U1MVXOaj8PK2l7WJ3RER9xtqwdhxkhw/edit?usp=sharing"",""ระยอง!J403"")"),0)</f>
        <v>0</v>
      </c>
      <c r="BE68" s="55">
        <f ca="1">IFERROR(__xludf.DUMMYFUNCTION("IMPORTRANGE(""https://docs.google.com/spreadsheets/d/1SX6NBoVAgQJ6U1MVXOaj8PK2l7WJ3RER9xtqwdhxkhw/edit?usp=sharing"",""ระยอง!J404"")"),0)</f>
        <v>0</v>
      </c>
      <c r="BF68" s="55">
        <f ca="1">IFERROR(__xludf.DUMMYFUNCTION("IMPORTRANGE(""https://docs.google.com/spreadsheets/d/1SX6NBoVAgQJ6U1MVXOaj8PK2l7WJ3RER9xtqwdhxkhw/edit?usp=sharing"",""ระยอง!J405"")"),0)</f>
        <v>0</v>
      </c>
      <c r="BG68" s="55">
        <f ca="1">IFERROR(__xludf.DUMMYFUNCTION("IMPORTRANGE(""https://docs.google.com/spreadsheets/d/1SX6NBoVAgQJ6U1MVXOaj8PK2l7WJ3RER9xtqwdhxkhw/edit?usp=sharing"",""ระยอง!J406"")"),0)</f>
        <v>0</v>
      </c>
      <c r="BH68" s="55">
        <f ca="1">IFERROR(__xludf.DUMMYFUNCTION("IMPORTRANGE(""https://docs.google.com/spreadsheets/d/1SX6NBoVAgQJ6U1MVXOaj8PK2l7WJ3RER9xtqwdhxkhw/edit?usp=sharing"",""ระยอง!J407"")"),0)</f>
        <v>0</v>
      </c>
      <c r="BI68" s="55">
        <f ca="1">IFERROR(__xludf.DUMMYFUNCTION("IMPORTRANGE(""https://docs.google.com/spreadsheets/d/1SX6NBoVAgQJ6U1MVXOaj8PK2l7WJ3RER9xtqwdhxkhw/edit?usp=sharing"",""ระยอง!J408"")"),0)</f>
        <v>0</v>
      </c>
      <c r="BJ68" s="402">
        <v>7112</v>
      </c>
      <c r="BK68" s="402">
        <v>645</v>
      </c>
      <c r="BL68" s="402">
        <f t="shared" ca="1" si="114"/>
        <v>0</v>
      </c>
      <c r="BM68" s="403">
        <f t="shared" ca="1" si="15"/>
        <v>0</v>
      </c>
      <c r="BN68" s="402">
        <f t="shared" ca="1" si="115"/>
        <v>0</v>
      </c>
      <c r="BO68" s="403">
        <f t="shared" ca="1" si="16"/>
        <v>0</v>
      </c>
      <c r="BP68" s="55">
        <f ca="1">IFERROR(__xludf.DUMMYFUNCTION("IMPORTRANGE(""https://docs.google.com/spreadsheets/d/1SX6NBoVAgQJ6U1MVXOaj8PK2l7WJ3RER9xtqwdhxkhw/edit?usp=sharing"",""ระยอง!J412"")"),0)</f>
        <v>0</v>
      </c>
      <c r="BQ68" s="55">
        <f ca="1">IFERROR(__xludf.DUMMYFUNCTION("IMPORTRANGE(""https://docs.google.com/spreadsheets/d/1SX6NBoVAgQJ6U1MVXOaj8PK2l7WJ3RER9xtqwdhxkhw/edit?usp=sharing"",""ระยอง!J413"")"),0)</f>
        <v>0</v>
      </c>
      <c r="BR68" s="55">
        <f ca="1">IFERROR(__xludf.DUMMYFUNCTION("IMPORTRANGE(""https://docs.google.com/spreadsheets/d/1SX6NBoVAgQJ6U1MVXOaj8PK2l7WJ3RER9xtqwdhxkhw/edit?usp=sharing"",""ระยอง!J414"")"),0)</f>
        <v>0</v>
      </c>
      <c r="BS68" s="55">
        <f ca="1">IFERROR(__xludf.DUMMYFUNCTION("IMPORTRANGE(""https://docs.google.com/spreadsheets/d/1SX6NBoVAgQJ6U1MVXOaj8PK2l7WJ3RER9xtqwdhxkhw/edit?usp=sharing"",""ระยอง!J415"")"),0)</f>
        <v>0</v>
      </c>
      <c r="BT68" s="55">
        <f ca="1">IFERROR(__xludf.DUMMYFUNCTION("IMPORTRANGE(""https://docs.google.com/spreadsheets/d/1SX6NBoVAgQJ6U1MVXOaj8PK2l7WJ3RER9xtqwdhxkhw/edit?usp=sharing"",""ระยอง!J416"")"),0)</f>
        <v>0</v>
      </c>
      <c r="BU68" s="55">
        <f ca="1">IFERROR(__xludf.DUMMYFUNCTION("IMPORTRANGE(""https://docs.google.com/spreadsheets/d/1SX6NBoVAgQJ6U1MVXOaj8PK2l7WJ3RER9xtqwdhxkhw/edit?usp=sharing"",""ระยอง!J417"")"),0)</f>
        <v>0</v>
      </c>
      <c r="BV68" s="402">
        <f t="shared" ca="1" si="116"/>
        <v>0</v>
      </c>
      <c r="BW68" s="403">
        <f t="shared" ca="1" si="117"/>
        <v>0</v>
      </c>
      <c r="BX68" s="402">
        <f t="shared" ca="1" si="118"/>
        <v>0</v>
      </c>
      <c r="BY68" s="403">
        <f t="shared" ca="1" si="119"/>
        <v>0</v>
      </c>
      <c r="BZ68" s="55">
        <f ca="1">IFERROR(__xludf.DUMMYFUNCTION("IMPORTRANGE(""https://docs.google.com/spreadsheets/d/1SX6NBoVAgQJ6U1MVXOaj8PK2l7WJ3RER9xtqwdhxkhw/edit?usp=sharing"",""ระยอง!J420"")"),0)</f>
        <v>0</v>
      </c>
      <c r="CA68" s="55">
        <f ca="1">IFERROR(__xludf.DUMMYFUNCTION("IMPORTRANGE(""https://docs.google.com/spreadsheets/d/1SX6NBoVAgQJ6U1MVXOaj8PK2l7WJ3RER9xtqwdhxkhw/edit?usp=sharing"",""ระยอง!J421"")"),0)</f>
        <v>0</v>
      </c>
      <c r="CB68" s="55">
        <f ca="1">IFERROR(__xludf.DUMMYFUNCTION("IMPORTRANGE(""https://docs.google.com/spreadsheets/d/1SX6NBoVAgQJ6U1MVXOaj8PK2l7WJ3RER9xtqwdhxkhw/edit?usp=sharing"",""ระยอง!J422"")"),0)</f>
        <v>0</v>
      </c>
      <c r="CC68" s="55">
        <f ca="1">IFERROR(__xludf.DUMMYFUNCTION("IMPORTRANGE(""https://docs.google.com/spreadsheets/d/1SX6NBoVAgQJ6U1MVXOaj8PK2l7WJ3RER9xtqwdhxkhw/edit?usp=sharing"",""ระยอง!J423"")"),0)</f>
        <v>0</v>
      </c>
      <c r="CD68" s="55">
        <f ca="1">IFERROR(__xludf.DUMMYFUNCTION("IMPORTRANGE(""https://docs.google.com/spreadsheets/d/1SX6NBoVAgQJ6U1MVXOaj8PK2l7WJ3RER9xtqwdhxkhw/edit?usp=sharing"",""ระยอง!J424"")"),0)</f>
        <v>0</v>
      </c>
      <c r="CE68" s="422">
        <f ca="1">IFERROR(__xludf.DUMMYFUNCTION("IMPORTRANGE(""https://docs.google.com/spreadsheets/d/1SX6NBoVAgQJ6U1MVXOaj8PK2l7WJ3RER9xtqwdhxkhw/edit?usp=sharing"",""ระยอง!J425"")"),0)</f>
        <v>0</v>
      </c>
    </row>
    <row r="69" spans="1:83" ht="24" customHeight="1" x14ac:dyDescent="0.5">
      <c r="A69" s="273">
        <v>15</v>
      </c>
      <c r="B69" s="274" t="s">
        <v>84</v>
      </c>
      <c r="C69" s="400">
        <f t="shared" si="105"/>
        <v>79312.42</v>
      </c>
      <c r="D69" s="55">
        <v>0</v>
      </c>
      <c r="E69" s="401">
        <v>79312.42</v>
      </c>
      <c r="F69" s="99">
        <f ca="1">IFERROR(__xludf.DUMMYFUNCTION("IMPORTRANGE(""https://docs.google.com/spreadsheets/d/1SX6NBoVAgQJ6U1MVXOaj8PK2l7WJ3RER9xtqwdhxkhw/edit?usp=sharing"",""ราชบุรี!M352"")"),0)</f>
        <v>0</v>
      </c>
      <c r="G69" s="99">
        <f t="shared" ca="1" si="1"/>
        <v>0</v>
      </c>
      <c r="H69" s="57">
        <v>0</v>
      </c>
      <c r="I69" s="57">
        <v>0</v>
      </c>
      <c r="J69" s="55">
        <f t="shared" ca="1" si="106"/>
        <v>0</v>
      </c>
      <c r="K69" s="99">
        <f t="shared" si="3"/>
        <v>0</v>
      </c>
      <c r="L69" s="55">
        <f t="shared" ca="1" si="107"/>
        <v>0</v>
      </c>
      <c r="M69" s="99">
        <f t="shared" si="4"/>
        <v>0</v>
      </c>
      <c r="N69" s="55">
        <f ca="1">IFERROR(__xludf.DUMMYFUNCTION("IMPORTRANGE(""https://docs.google.com/spreadsheets/d/1SX6NBoVAgQJ6U1MVXOaj8PK2l7WJ3RER9xtqwdhxkhw/edit?usp=sharing"",""ราชบุรี!J362"")"),0)</f>
        <v>0</v>
      </c>
      <c r="O69" s="55">
        <f ca="1">IFERROR(__xludf.DUMMYFUNCTION("IMPORTRANGE(""https://docs.google.com/spreadsheets/d/1SX6NBoVAgQJ6U1MVXOaj8PK2l7WJ3RER9xtqwdhxkhw/edit?usp=sharing"",""ราชบุรี!J363"")"),0)</f>
        <v>0</v>
      </c>
      <c r="P69" s="55">
        <f ca="1">IFERROR(__xludf.DUMMYFUNCTION("IMPORTRANGE(""https://docs.google.com/spreadsheets/d/1SX6NBoVAgQJ6U1MVXOaj8PK2l7WJ3RER9xtqwdhxkhw/edit?usp=sharing"",""ราชบุรี!J364"")"),0)</f>
        <v>0</v>
      </c>
      <c r="Q69" s="55">
        <f ca="1">IFERROR(__xludf.DUMMYFUNCTION("IMPORTRANGE(""https://docs.google.com/spreadsheets/d/1SX6NBoVAgQJ6U1MVXOaj8PK2l7WJ3RER9xtqwdhxkhw/edit?usp=sharing"",""ราชบุรี!J365"")"),0)</f>
        <v>0</v>
      </c>
      <c r="R69" s="55">
        <f ca="1">IFERROR(__xludf.DUMMYFUNCTION("IMPORTRANGE(""https://docs.google.com/spreadsheets/d/1SX6NBoVAgQJ6U1MVXOaj8PK2l7WJ3RER9xtqwdhxkhw/edit?usp=sharing"",""ราชบุรี!J366"")"),0)</f>
        <v>0</v>
      </c>
      <c r="S69" s="55">
        <f ca="1">IFERROR(__xludf.DUMMYFUNCTION("IMPORTRANGE(""https://docs.google.com/spreadsheets/d/1SX6NBoVAgQJ6U1MVXOaj8PK2l7WJ3RER9xtqwdhxkhw/edit?usp=sharing"",""ราชบุรี!J367"")"),0)</f>
        <v>0</v>
      </c>
      <c r="T69" s="55">
        <f t="shared" ca="1" si="108"/>
        <v>0</v>
      </c>
      <c r="U69" s="55">
        <f t="shared" si="6"/>
        <v>0</v>
      </c>
      <c r="V69" s="55">
        <f t="shared" ca="1" si="109"/>
        <v>0</v>
      </c>
      <c r="W69" s="55">
        <f t="shared" si="7"/>
        <v>0</v>
      </c>
      <c r="X69" s="55">
        <f ca="1">IFERROR(__xludf.DUMMYFUNCTION("IMPORTRANGE(""https://docs.google.com/spreadsheets/d/1SX6NBoVAgQJ6U1MVXOaj8PK2l7WJ3RER9xtqwdhxkhw/edit?usp=sharing"",""ราชบุรี!J370"")"),0)</f>
        <v>0</v>
      </c>
      <c r="Y69" s="55">
        <f ca="1">IFERROR(__xludf.DUMMYFUNCTION("IMPORTRANGE(""https://docs.google.com/spreadsheets/d/1SX6NBoVAgQJ6U1MVXOaj8PK2l7WJ3RER9xtqwdhxkhw/edit?usp=sharing"",""ราชบุรี!J371"")"),0)</f>
        <v>0</v>
      </c>
      <c r="Z69" s="55">
        <f ca="1">IFERROR(__xludf.DUMMYFUNCTION("IMPORTRANGE(""https://docs.google.com/spreadsheets/d/1SX6NBoVAgQJ6U1MVXOaj8PK2l7WJ3RER9xtqwdhxkhw/edit?usp=sharing"",""ราชบุรี!J372"")"),0)</f>
        <v>0</v>
      </c>
      <c r="AA69" s="55">
        <f ca="1">IFERROR(__xludf.DUMMYFUNCTION("IMPORTRANGE(""https://docs.google.com/spreadsheets/d/1SX6NBoVAgQJ6U1MVXOaj8PK2l7WJ3RER9xtqwdhxkhw/edit?usp=sharing"",""ราชบุรี!J373"")"),0)</f>
        <v>0</v>
      </c>
      <c r="AB69" s="55">
        <f ca="1">IFERROR(__xludf.DUMMYFUNCTION("IMPORTRANGE(""https://docs.google.com/spreadsheets/d/1SX6NBoVAgQJ6U1MVXOaj8PK2l7WJ3RER9xtqwdhxkhw/edit?usp=sharing"",""ราชบุรี!J374"")"),0)</f>
        <v>0</v>
      </c>
      <c r="AC69" s="55">
        <f ca="1">IFERROR(__xludf.DUMMYFUNCTION("IMPORTRANGE(""https://docs.google.com/spreadsheets/d/1SX6NBoVAgQJ6U1MVXOaj8PK2l7WJ3RER9xtqwdhxkhw/edit?usp=sharing"",""ราชบุรี!J375"")"),0)</f>
        <v>0</v>
      </c>
      <c r="AD69" s="55">
        <f t="shared" ca="1" si="110"/>
        <v>0</v>
      </c>
      <c r="AE69" s="99">
        <f t="shared" si="9"/>
        <v>0</v>
      </c>
      <c r="AF69" s="55">
        <f t="shared" ca="1" si="111"/>
        <v>0</v>
      </c>
      <c r="AG69" s="99">
        <f t="shared" si="10"/>
        <v>0</v>
      </c>
      <c r="AH69" s="55">
        <f ca="1">IFERROR(__xludf.DUMMYFUNCTION("IMPORTRANGE(""https://docs.google.com/spreadsheets/d/1SX6NBoVAgQJ6U1MVXOaj8PK2l7WJ3RER9xtqwdhxkhw/edit?usp=sharing"",""ราชบุรี!J378"")"),0)</f>
        <v>0</v>
      </c>
      <c r="AI69" s="55">
        <f ca="1">IFERROR(__xludf.DUMMYFUNCTION("IMPORTRANGE(""https://docs.google.com/spreadsheets/d/1SX6NBoVAgQJ6U1MVXOaj8PK2l7WJ3RER9xtqwdhxkhw/edit?usp=sharing"",""ราชบุรี!J379"")"),0)</f>
        <v>0</v>
      </c>
      <c r="AJ69" s="55">
        <f ca="1">IFERROR(__xludf.DUMMYFUNCTION("IMPORTRANGE(""https://docs.google.com/spreadsheets/d/1SX6NBoVAgQJ6U1MVXOaj8PK2l7WJ3RER9xtqwdhxkhw/edit?usp=sharing"",""ราชบุรี!J380"")"),0)</f>
        <v>0</v>
      </c>
      <c r="AK69" s="55">
        <f ca="1">IFERROR(__xludf.DUMMYFUNCTION("IMPORTRANGE(""https://docs.google.com/spreadsheets/d/1SX6NBoVAgQJ6U1MVXOaj8PK2l7WJ3RER9xtqwdhxkhw/edit?usp=sharing"",""ราชบุรี!J381"")"),0)</f>
        <v>0</v>
      </c>
      <c r="AL69" s="55">
        <f ca="1">IFERROR(__xludf.DUMMYFUNCTION("IMPORTRANGE(""https://docs.google.com/spreadsheets/d/1SX6NBoVAgQJ6U1MVXOaj8PK2l7WJ3RER9xtqwdhxkhw/edit?usp=sharing"",""ราชบุรี!J384"")"),0)</f>
        <v>0</v>
      </c>
      <c r="AM69" s="55">
        <f ca="1">IFERROR(__xludf.DUMMYFUNCTION("IMPORTRANGE(""https://docs.google.com/spreadsheets/d/1SX6NBoVAgQJ6U1MVXOaj8PK2l7WJ3RER9xtqwdhxkhw/edit?usp=sharing"",""ราชบุรี!J385"")"),0)</f>
        <v>0</v>
      </c>
      <c r="AN69" s="55">
        <f ca="1">IFERROR(__xludf.DUMMYFUNCTION("IMPORTRANGE(""https://docs.google.com/spreadsheets/d/1SX6NBoVAgQJ6U1MVXOaj8PK2l7WJ3RER9xtqwdhxkhw/edit?usp=sharing"",""ราชบุรี!J386"")"),0)</f>
        <v>0</v>
      </c>
      <c r="AO69" s="55">
        <f ca="1">IFERROR(__xludf.DUMMYFUNCTION("IMPORTRANGE(""https://docs.google.com/spreadsheets/d/1SX6NBoVAgQJ6U1MVXOaj8PK2l7WJ3RER9xtqwdhxkhw/edit?usp=sharing"",""ราชบุรี!J387"")"),0)</f>
        <v>0</v>
      </c>
      <c r="AP69" s="55">
        <f ca="1">IFERROR(__xludf.DUMMYFUNCTION("IMPORTRANGE(""https://docs.google.com/spreadsheets/d/1SX6NBoVAgQJ6U1MVXOaj8PK2l7WJ3RER9xtqwdhxkhw/edit?usp=sharing"",""ราชบุรี!J388"")"),0)</f>
        <v>0</v>
      </c>
      <c r="AQ69" s="55">
        <f ca="1">IFERROR(__xludf.DUMMYFUNCTION("IMPORTRANGE(""https://docs.google.com/spreadsheets/d/1SX6NBoVAgQJ6U1MVXOaj8PK2l7WJ3RER9xtqwdhxkhw/edit?usp=sharing"",""ราชบุรี!J389"")"),0)</f>
        <v>0</v>
      </c>
      <c r="AR69" s="402">
        <v>129</v>
      </c>
      <c r="AS69" s="402">
        <v>1935</v>
      </c>
      <c r="AT69" s="402">
        <f t="shared" ca="1" si="112"/>
        <v>201</v>
      </c>
      <c r="AU69" s="402">
        <f t="shared" ca="1" si="12"/>
        <v>155.81395348837211</v>
      </c>
      <c r="AV69" s="402">
        <f t="shared" ca="1" si="113"/>
        <v>12</v>
      </c>
      <c r="AW69" s="402">
        <f t="shared" ca="1" si="13"/>
        <v>0.62015503875968991</v>
      </c>
      <c r="AX69" s="55">
        <f ca="1">IFERROR(__xludf.DUMMYFUNCTION("IMPORTRANGE(""https://docs.google.com/spreadsheets/d/1SX6NBoVAgQJ6U1MVXOaj8PK2l7WJ3RER9xtqwdhxkhw/edit?usp=sharing"",""ราชบุรี!J395"")"),201)</f>
        <v>201</v>
      </c>
      <c r="AY69" s="55">
        <f ca="1">IFERROR(__xludf.DUMMYFUNCTION("IMPORTRANGE(""https://docs.google.com/spreadsheets/d/1SX6NBoVAgQJ6U1MVXOaj8PK2l7WJ3RER9xtqwdhxkhw/edit?usp=sharing"",""ราชบุรี!J396"")"),12)</f>
        <v>12</v>
      </c>
      <c r="AZ69" s="55">
        <f ca="1">IFERROR(__xludf.DUMMYFUNCTION("IMPORTRANGE(""https://docs.google.com/spreadsheets/d/1SX6NBoVAgQJ6U1MVXOaj8PK2l7WJ3RER9xtqwdhxkhw/edit?usp=sharing"",""ราชบุรี!J397"")"),0)</f>
        <v>0</v>
      </c>
      <c r="BA69" s="55">
        <f ca="1">IFERROR(__xludf.DUMMYFUNCTION("IMPORTRANGE(""https://docs.google.com/spreadsheets/d/1SX6NBoVAgQJ6U1MVXOaj8PK2l7WJ3RER9xtqwdhxkhw/edit?usp=sharing"",""ราชบุรี!J398"")"),0)</f>
        <v>0</v>
      </c>
      <c r="BB69" s="55">
        <f ca="1">IFERROR(__xludf.DUMMYFUNCTION("IMPORTRANGE(""https://docs.google.com/spreadsheets/d/1SX6NBoVAgQJ6U1MVXOaj8PK2l7WJ3RER9xtqwdhxkhw/edit?usp=sharing"",""ราชบุรี!J399"")"),0)</f>
        <v>0</v>
      </c>
      <c r="BC69" s="55">
        <f ca="1">IFERROR(__xludf.DUMMYFUNCTION("IMPORTRANGE(""https://docs.google.com/spreadsheets/d/1SX6NBoVAgQJ6U1MVXOaj8PK2l7WJ3RER9xtqwdhxkhw/edit?usp=sharing"",""ราชบุรี!J400"")"),0)</f>
        <v>0</v>
      </c>
      <c r="BD69" s="55">
        <f ca="1">IFERROR(__xludf.DUMMYFUNCTION("IMPORTRANGE(""https://docs.google.com/spreadsheets/d/1SX6NBoVAgQJ6U1MVXOaj8PK2l7WJ3RER9xtqwdhxkhw/edit?usp=sharing"",""ราชบุรี!J403"")"),0)</f>
        <v>0</v>
      </c>
      <c r="BE69" s="55">
        <f ca="1">IFERROR(__xludf.DUMMYFUNCTION("IMPORTRANGE(""https://docs.google.com/spreadsheets/d/1SX6NBoVAgQJ6U1MVXOaj8PK2l7WJ3RER9xtqwdhxkhw/edit?usp=sharing"",""ราชบุรี!J404"")"),0)</f>
        <v>0</v>
      </c>
      <c r="BF69" s="55">
        <f ca="1">IFERROR(__xludf.DUMMYFUNCTION("IMPORTRANGE(""https://docs.google.com/spreadsheets/d/1SX6NBoVAgQJ6U1MVXOaj8PK2l7WJ3RER9xtqwdhxkhw/edit?usp=sharing"",""ราชบุรี!J405"")"),0)</f>
        <v>0</v>
      </c>
      <c r="BG69" s="55">
        <f ca="1">IFERROR(__xludf.DUMMYFUNCTION("IMPORTRANGE(""https://docs.google.com/spreadsheets/d/1SX6NBoVAgQJ6U1MVXOaj8PK2l7WJ3RER9xtqwdhxkhw/edit?usp=sharing"",""ราชบุรี!J406"")"),0)</f>
        <v>0</v>
      </c>
      <c r="BH69" s="55">
        <f ca="1">IFERROR(__xludf.DUMMYFUNCTION("IMPORTRANGE(""https://docs.google.com/spreadsheets/d/1SX6NBoVAgQJ6U1MVXOaj8PK2l7WJ3RER9xtqwdhxkhw/edit?usp=sharing"",""ราชบุรี!J407"")"),0)</f>
        <v>0</v>
      </c>
      <c r="BI69" s="55">
        <f ca="1">IFERROR(__xludf.DUMMYFUNCTION("IMPORTRANGE(""https://docs.google.com/spreadsheets/d/1SX6NBoVAgQJ6U1MVXOaj8PK2l7WJ3RER9xtqwdhxkhw/edit?usp=sharing"",""ราชบุรี!J408"")"),0)</f>
        <v>0</v>
      </c>
      <c r="BJ69" s="402">
        <v>0</v>
      </c>
      <c r="BK69" s="402">
        <v>0</v>
      </c>
      <c r="BL69" s="402">
        <f t="shared" ca="1" si="114"/>
        <v>0</v>
      </c>
      <c r="BM69" s="403">
        <f t="shared" si="15"/>
        <v>0</v>
      </c>
      <c r="BN69" s="402">
        <f t="shared" ca="1" si="115"/>
        <v>0</v>
      </c>
      <c r="BO69" s="403">
        <f t="shared" si="16"/>
        <v>0</v>
      </c>
      <c r="BP69" s="55">
        <f ca="1">IFERROR(__xludf.DUMMYFUNCTION("IMPORTRANGE(""https://docs.google.com/spreadsheets/d/1SX6NBoVAgQJ6U1MVXOaj8PK2l7WJ3RER9xtqwdhxkhw/edit?usp=sharing"",""ราชบุรี!J412"")"),0)</f>
        <v>0</v>
      </c>
      <c r="BQ69" s="55">
        <f ca="1">IFERROR(__xludf.DUMMYFUNCTION("IMPORTRANGE(""https://docs.google.com/spreadsheets/d/1SX6NBoVAgQJ6U1MVXOaj8PK2l7WJ3RER9xtqwdhxkhw/edit?usp=sharing"",""ราชบุรี!J413"")"),0)</f>
        <v>0</v>
      </c>
      <c r="BR69" s="55">
        <f ca="1">IFERROR(__xludf.DUMMYFUNCTION("IMPORTRANGE(""https://docs.google.com/spreadsheets/d/1SX6NBoVAgQJ6U1MVXOaj8PK2l7WJ3RER9xtqwdhxkhw/edit?usp=sharing"",""ราชบุรี!J414"")"),0)</f>
        <v>0</v>
      </c>
      <c r="BS69" s="55">
        <f ca="1">IFERROR(__xludf.DUMMYFUNCTION("IMPORTRANGE(""https://docs.google.com/spreadsheets/d/1SX6NBoVAgQJ6U1MVXOaj8PK2l7WJ3RER9xtqwdhxkhw/edit?usp=sharing"",""ราชบุรี!J415"")"),0)</f>
        <v>0</v>
      </c>
      <c r="BT69" s="55">
        <f ca="1">IFERROR(__xludf.DUMMYFUNCTION("IMPORTRANGE(""https://docs.google.com/spreadsheets/d/1SX6NBoVAgQJ6U1MVXOaj8PK2l7WJ3RER9xtqwdhxkhw/edit?usp=sharing"",""ราชบุรี!J416"")"),0)</f>
        <v>0</v>
      </c>
      <c r="BU69" s="55">
        <f ca="1">IFERROR(__xludf.DUMMYFUNCTION("IMPORTRANGE(""https://docs.google.com/spreadsheets/d/1SX6NBoVAgQJ6U1MVXOaj8PK2l7WJ3RER9xtqwdhxkhw/edit?usp=sharing"",""ราชบุรี!J417"")"),0)</f>
        <v>0</v>
      </c>
      <c r="BV69" s="402">
        <f t="shared" ca="1" si="116"/>
        <v>0</v>
      </c>
      <c r="BW69" s="403">
        <f t="shared" ca="1" si="117"/>
        <v>0</v>
      </c>
      <c r="BX69" s="402">
        <f t="shared" ca="1" si="118"/>
        <v>0</v>
      </c>
      <c r="BY69" s="403">
        <f t="shared" ca="1" si="119"/>
        <v>0</v>
      </c>
      <c r="BZ69" s="55">
        <f ca="1">IFERROR(__xludf.DUMMYFUNCTION("IMPORTRANGE(""https://docs.google.com/spreadsheets/d/1SX6NBoVAgQJ6U1MVXOaj8PK2l7WJ3RER9xtqwdhxkhw/edit?usp=sharing"",""ราชบุรี!J420"")"),0)</f>
        <v>0</v>
      </c>
      <c r="CA69" s="55">
        <f ca="1">IFERROR(__xludf.DUMMYFUNCTION("IMPORTRANGE(""https://docs.google.com/spreadsheets/d/1SX6NBoVAgQJ6U1MVXOaj8PK2l7WJ3RER9xtqwdhxkhw/edit?usp=sharing"",""ราชบุรี!J421"")"),0)</f>
        <v>0</v>
      </c>
      <c r="CB69" s="55">
        <f ca="1">IFERROR(__xludf.DUMMYFUNCTION("IMPORTRANGE(""https://docs.google.com/spreadsheets/d/1SX6NBoVAgQJ6U1MVXOaj8PK2l7WJ3RER9xtqwdhxkhw/edit?usp=sharing"",""ราชบุรี!J422"")"),0)</f>
        <v>0</v>
      </c>
      <c r="CC69" s="55">
        <f ca="1">IFERROR(__xludf.DUMMYFUNCTION("IMPORTRANGE(""https://docs.google.com/spreadsheets/d/1SX6NBoVAgQJ6U1MVXOaj8PK2l7WJ3RER9xtqwdhxkhw/edit?usp=sharing"",""ราชบุรี!J423"")"),0)</f>
        <v>0</v>
      </c>
      <c r="CD69" s="55">
        <f ca="1">IFERROR(__xludf.DUMMYFUNCTION("IMPORTRANGE(""https://docs.google.com/spreadsheets/d/1SX6NBoVAgQJ6U1MVXOaj8PK2l7WJ3RER9xtqwdhxkhw/edit?usp=sharing"",""ราชบุรี!J424"")"),0)</f>
        <v>0</v>
      </c>
      <c r="CE69" s="422">
        <f ca="1">IFERROR(__xludf.DUMMYFUNCTION("IMPORTRANGE(""https://docs.google.com/spreadsheets/d/1SX6NBoVAgQJ6U1MVXOaj8PK2l7WJ3RER9xtqwdhxkhw/edit?usp=sharing"",""ราชบุรี!J425"")"),0)</f>
        <v>0</v>
      </c>
    </row>
    <row r="70" spans="1:83" ht="24" customHeight="1" x14ac:dyDescent="0.5">
      <c r="A70" s="273">
        <v>16</v>
      </c>
      <c r="B70" s="274" t="s">
        <v>85</v>
      </c>
      <c r="C70" s="400">
        <f t="shared" si="105"/>
        <v>794001.14</v>
      </c>
      <c r="D70" s="55">
        <v>0</v>
      </c>
      <c r="E70" s="401">
        <v>794001.14</v>
      </c>
      <c r="F70" s="99">
        <f ca="1">IFERROR(__xludf.DUMMYFUNCTION("IMPORTRANGE(""https://docs.google.com/spreadsheets/d/1SX6NBoVAgQJ6U1MVXOaj8PK2l7WJ3RER9xtqwdhxkhw/edit?usp=sharing"",""ลพบุรี!M352"")"),0)</f>
        <v>0</v>
      </c>
      <c r="G70" s="99">
        <f t="shared" ca="1" si="1"/>
        <v>0</v>
      </c>
      <c r="H70" s="57">
        <v>106282</v>
      </c>
      <c r="I70" s="57">
        <v>6394</v>
      </c>
      <c r="J70" s="55">
        <f t="shared" ca="1" si="106"/>
        <v>0</v>
      </c>
      <c r="K70" s="99">
        <f t="shared" ca="1" si="3"/>
        <v>0</v>
      </c>
      <c r="L70" s="55">
        <f t="shared" ca="1" si="107"/>
        <v>0</v>
      </c>
      <c r="M70" s="99">
        <f t="shared" ca="1" si="4"/>
        <v>0</v>
      </c>
      <c r="N70" s="55">
        <f ca="1">IFERROR(__xludf.DUMMYFUNCTION("IMPORTRANGE(""https://docs.google.com/spreadsheets/d/1SX6NBoVAgQJ6U1MVXOaj8PK2l7WJ3RER9xtqwdhxkhw/edit?usp=sharing"",""ลพบุรี!J362"")"),0)</f>
        <v>0</v>
      </c>
      <c r="O70" s="55">
        <f ca="1">IFERROR(__xludf.DUMMYFUNCTION("IMPORTRANGE(""https://docs.google.com/spreadsheets/d/1SX6NBoVAgQJ6U1MVXOaj8PK2l7WJ3RER9xtqwdhxkhw/edit?usp=sharing"",""ลพบุรี!J363"")"),0)</f>
        <v>0</v>
      </c>
      <c r="P70" s="55">
        <f ca="1">IFERROR(__xludf.DUMMYFUNCTION("IMPORTRANGE(""https://docs.google.com/spreadsheets/d/1SX6NBoVAgQJ6U1MVXOaj8PK2l7WJ3RER9xtqwdhxkhw/edit?usp=sharing"",""ลพบุรี!J364"")"),0)</f>
        <v>0</v>
      </c>
      <c r="Q70" s="55">
        <f ca="1">IFERROR(__xludf.DUMMYFUNCTION("IMPORTRANGE(""https://docs.google.com/spreadsheets/d/1SX6NBoVAgQJ6U1MVXOaj8PK2l7WJ3RER9xtqwdhxkhw/edit?usp=sharing"",""ลพบุรี!J365"")"),0)</f>
        <v>0</v>
      </c>
      <c r="R70" s="55">
        <f ca="1">IFERROR(__xludf.DUMMYFUNCTION("IMPORTRANGE(""https://docs.google.com/spreadsheets/d/1SX6NBoVAgQJ6U1MVXOaj8PK2l7WJ3RER9xtqwdhxkhw/edit?usp=sharing"",""ลพบุรี!J366"")"),0)</f>
        <v>0</v>
      </c>
      <c r="S70" s="55">
        <f ca="1">IFERROR(__xludf.DUMMYFUNCTION("IMPORTRANGE(""https://docs.google.com/spreadsheets/d/1SX6NBoVAgQJ6U1MVXOaj8PK2l7WJ3RER9xtqwdhxkhw/edit?usp=sharing"",""ลพบุรี!J367"")"),0)</f>
        <v>0</v>
      </c>
      <c r="T70" s="55">
        <f t="shared" ca="1" si="108"/>
        <v>0</v>
      </c>
      <c r="U70" s="55">
        <f t="shared" ca="1" si="6"/>
        <v>0</v>
      </c>
      <c r="V70" s="55">
        <f t="shared" ca="1" si="109"/>
        <v>0</v>
      </c>
      <c r="W70" s="55">
        <f t="shared" ca="1" si="7"/>
        <v>0</v>
      </c>
      <c r="X70" s="55">
        <f ca="1">IFERROR(__xludf.DUMMYFUNCTION("IMPORTRANGE(""https://docs.google.com/spreadsheets/d/1SX6NBoVAgQJ6U1MVXOaj8PK2l7WJ3RER9xtqwdhxkhw/edit?usp=sharing"",""ลพบุรี!J370"")"),0)</f>
        <v>0</v>
      </c>
      <c r="Y70" s="55">
        <f ca="1">IFERROR(__xludf.DUMMYFUNCTION("IMPORTRANGE(""https://docs.google.com/spreadsheets/d/1SX6NBoVAgQJ6U1MVXOaj8PK2l7WJ3RER9xtqwdhxkhw/edit?usp=sharing"",""ลพบุรี!J371"")"),0)</f>
        <v>0</v>
      </c>
      <c r="Z70" s="55">
        <f ca="1">IFERROR(__xludf.DUMMYFUNCTION("IMPORTRANGE(""https://docs.google.com/spreadsheets/d/1SX6NBoVAgQJ6U1MVXOaj8PK2l7WJ3RER9xtqwdhxkhw/edit?usp=sharing"",""ลพบุรี!J372"")"),0)</f>
        <v>0</v>
      </c>
      <c r="AA70" s="55">
        <f ca="1">IFERROR(__xludf.DUMMYFUNCTION("IMPORTRANGE(""https://docs.google.com/spreadsheets/d/1SX6NBoVAgQJ6U1MVXOaj8PK2l7WJ3RER9xtqwdhxkhw/edit?usp=sharing"",""ลพบุรี!J373"")"),0)</f>
        <v>0</v>
      </c>
      <c r="AB70" s="55">
        <f ca="1">IFERROR(__xludf.DUMMYFUNCTION("IMPORTRANGE(""https://docs.google.com/spreadsheets/d/1SX6NBoVAgQJ6U1MVXOaj8PK2l7WJ3RER9xtqwdhxkhw/edit?usp=sharing"",""ลพบุรี!J374"")"),0)</f>
        <v>0</v>
      </c>
      <c r="AC70" s="55">
        <f ca="1">IFERROR(__xludf.DUMMYFUNCTION("IMPORTRANGE(""https://docs.google.com/spreadsheets/d/1SX6NBoVAgQJ6U1MVXOaj8PK2l7WJ3RER9xtqwdhxkhw/edit?usp=sharing"",""ลพบุรี!J375"")"),0)</f>
        <v>0</v>
      </c>
      <c r="AD70" s="55">
        <f t="shared" ca="1" si="110"/>
        <v>0</v>
      </c>
      <c r="AE70" s="99">
        <f t="shared" ca="1" si="9"/>
        <v>0</v>
      </c>
      <c r="AF70" s="55">
        <f t="shared" ca="1" si="111"/>
        <v>0</v>
      </c>
      <c r="AG70" s="99">
        <f t="shared" ca="1" si="10"/>
        <v>0</v>
      </c>
      <c r="AH70" s="55">
        <f ca="1">IFERROR(__xludf.DUMMYFUNCTION("IMPORTRANGE(""https://docs.google.com/spreadsheets/d/1SX6NBoVAgQJ6U1MVXOaj8PK2l7WJ3RER9xtqwdhxkhw/edit?usp=sharing"",""ลพบุรี!J378"")"),0)</f>
        <v>0</v>
      </c>
      <c r="AI70" s="55">
        <f ca="1">IFERROR(__xludf.DUMMYFUNCTION("IMPORTRANGE(""https://docs.google.com/spreadsheets/d/1SX6NBoVAgQJ6U1MVXOaj8PK2l7WJ3RER9xtqwdhxkhw/edit?usp=sharing"",""ลพบุรี!J379"")"),0)</f>
        <v>0</v>
      </c>
      <c r="AJ70" s="55">
        <f ca="1">IFERROR(__xludf.DUMMYFUNCTION("IMPORTRANGE(""https://docs.google.com/spreadsheets/d/1SX6NBoVAgQJ6U1MVXOaj8PK2l7WJ3RER9xtqwdhxkhw/edit?usp=sharing"",""ลพบุรี!J380"")"),0)</f>
        <v>0</v>
      </c>
      <c r="AK70" s="55">
        <f ca="1">IFERROR(__xludf.DUMMYFUNCTION("IMPORTRANGE(""https://docs.google.com/spreadsheets/d/1SX6NBoVAgQJ6U1MVXOaj8PK2l7WJ3RER9xtqwdhxkhw/edit?usp=sharing"",""ลพบุรี!J381"")"),0)</f>
        <v>0</v>
      </c>
      <c r="AL70" s="55">
        <f ca="1">IFERROR(__xludf.DUMMYFUNCTION("IMPORTRANGE(""https://docs.google.com/spreadsheets/d/1SX6NBoVAgQJ6U1MVXOaj8PK2l7WJ3RER9xtqwdhxkhw/edit?usp=sharing"",""ลพบุรี!J384"")"),0)</f>
        <v>0</v>
      </c>
      <c r="AM70" s="55">
        <f ca="1">IFERROR(__xludf.DUMMYFUNCTION("IMPORTRANGE(""https://docs.google.com/spreadsheets/d/1SX6NBoVAgQJ6U1MVXOaj8PK2l7WJ3RER9xtqwdhxkhw/edit?usp=sharing"",""ลพบุรี!J385"")"),0)</f>
        <v>0</v>
      </c>
      <c r="AN70" s="55">
        <f ca="1">IFERROR(__xludf.DUMMYFUNCTION("IMPORTRANGE(""https://docs.google.com/spreadsheets/d/1SX6NBoVAgQJ6U1MVXOaj8PK2l7WJ3RER9xtqwdhxkhw/edit?usp=sharing"",""ลพบุรี!J386"")"),0)</f>
        <v>0</v>
      </c>
      <c r="AO70" s="55">
        <f ca="1">IFERROR(__xludf.DUMMYFUNCTION("IMPORTRANGE(""https://docs.google.com/spreadsheets/d/1SX6NBoVAgQJ6U1MVXOaj8PK2l7WJ3RER9xtqwdhxkhw/edit?usp=sharing"",""ลพบุรี!J387"")"),0)</f>
        <v>0</v>
      </c>
      <c r="AP70" s="55">
        <f ca="1">IFERROR(__xludf.DUMMYFUNCTION("IMPORTRANGE(""https://docs.google.com/spreadsheets/d/1SX6NBoVAgQJ6U1MVXOaj8PK2l7WJ3RER9xtqwdhxkhw/edit?usp=sharing"",""ลพบุรี!J388"")"),0)</f>
        <v>0</v>
      </c>
      <c r="AQ70" s="55">
        <f ca="1">IFERROR(__xludf.DUMMYFUNCTION("IMPORTRANGE(""https://docs.google.com/spreadsheets/d/1SX6NBoVAgQJ6U1MVXOaj8PK2l7WJ3RER9xtqwdhxkhw/edit?usp=sharing"",""ลพบุรี!J389"")"),0)</f>
        <v>0</v>
      </c>
      <c r="AR70" s="402">
        <v>328</v>
      </c>
      <c r="AS70" s="402">
        <v>5605</v>
      </c>
      <c r="AT70" s="402">
        <f t="shared" ca="1" si="112"/>
        <v>0</v>
      </c>
      <c r="AU70" s="402">
        <f t="shared" ca="1" si="12"/>
        <v>0</v>
      </c>
      <c r="AV70" s="402">
        <f t="shared" ca="1" si="113"/>
        <v>0</v>
      </c>
      <c r="AW70" s="402">
        <f t="shared" ca="1" si="13"/>
        <v>0</v>
      </c>
      <c r="AX70" s="55">
        <f ca="1">IFERROR(__xludf.DUMMYFUNCTION("IMPORTRANGE(""https://docs.google.com/spreadsheets/d/1SX6NBoVAgQJ6U1MVXOaj8PK2l7WJ3RER9xtqwdhxkhw/edit?usp=sharing"",""ลพบุรี!J395"")"),0)</f>
        <v>0</v>
      </c>
      <c r="AY70" s="55">
        <f ca="1">IFERROR(__xludf.DUMMYFUNCTION("IMPORTRANGE(""https://docs.google.com/spreadsheets/d/1SX6NBoVAgQJ6U1MVXOaj8PK2l7WJ3RER9xtqwdhxkhw/edit?usp=sharing"",""ลพบุรี!J396"")"),0)</f>
        <v>0</v>
      </c>
      <c r="AZ70" s="55">
        <f ca="1">IFERROR(__xludf.DUMMYFUNCTION("IMPORTRANGE(""https://docs.google.com/spreadsheets/d/1SX6NBoVAgQJ6U1MVXOaj8PK2l7WJ3RER9xtqwdhxkhw/edit?usp=sharing"",""ลพบุรี!J397"")"),0)</f>
        <v>0</v>
      </c>
      <c r="BA70" s="55">
        <f ca="1">IFERROR(__xludf.DUMMYFUNCTION("IMPORTRANGE(""https://docs.google.com/spreadsheets/d/1SX6NBoVAgQJ6U1MVXOaj8PK2l7WJ3RER9xtqwdhxkhw/edit?usp=sharing"",""ลพบุรี!J398"")"),0)</f>
        <v>0</v>
      </c>
      <c r="BB70" s="55">
        <f ca="1">IFERROR(__xludf.DUMMYFUNCTION("IMPORTRANGE(""https://docs.google.com/spreadsheets/d/1SX6NBoVAgQJ6U1MVXOaj8PK2l7WJ3RER9xtqwdhxkhw/edit?usp=sharing"",""ลพบุรี!J399"")"),0)</f>
        <v>0</v>
      </c>
      <c r="BC70" s="55">
        <f ca="1">IFERROR(__xludf.DUMMYFUNCTION("IMPORTRANGE(""https://docs.google.com/spreadsheets/d/1SX6NBoVAgQJ6U1MVXOaj8PK2l7WJ3RER9xtqwdhxkhw/edit?usp=sharing"",""ลพบุรี!J400"")"),0)</f>
        <v>0</v>
      </c>
      <c r="BD70" s="55">
        <f ca="1">IFERROR(__xludf.DUMMYFUNCTION("IMPORTRANGE(""https://docs.google.com/spreadsheets/d/1SX6NBoVAgQJ6U1MVXOaj8PK2l7WJ3RER9xtqwdhxkhw/edit?usp=sharing"",""ลพบุรี!J403"")"),0)</f>
        <v>0</v>
      </c>
      <c r="BE70" s="55">
        <f ca="1">IFERROR(__xludf.DUMMYFUNCTION("IMPORTRANGE(""https://docs.google.com/spreadsheets/d/1SX6NBoVAgQJ6U1MVXOaj8PK2l7WJ3RER9xtqwdhxkhw/edit?usp=sharing"",""ลพบุรี!J404"")"),0)</f>
        <v>0</v>
      </c>
      <c r="BF70" s="55">
        <f ca="1">IFERROR(__xludf.DUMMYFUNCTION("IMPORTRANGE(""https://docs.google.com/spreadsheets/d/1SX6NBoVAgQJ6U1MVXOaj8PK2l7WJ3RER9xtqwdhxkhw/edit?usp=sharing"",""ลพบุรี!J405"")"),0)</f>
        <v>0</v>
      </c>
      <c r="BG70" s="55">
        <f ca="1">IFERROR(__xludf.DUMMYFUNCTION("IMPORTRANGE(""https://docs.google.com/spreadsheets/d/1SX6NBoVAgQJ6U1MVXOaj8PK2l7WJ3RER9xtqwdhxkhw/edit?usp=sharing"",""ลพบุรี!J406"")"),0)</f>
        <v>0</v>
      </c>
      <c r="BH70" s="55">
        <f ca="1">IFERROR(__xludf.DUMMYFUNCTION("IMPORTRANGE(""https://docs.google.com/spreadsheets/d/1SX6NBoVAgQJ6U1MVXOaj8PK2l7WJ3RER9xtqwdhxkhw/edit?usp=sharing"",""ลพบุรี!J407"")"),0)</f>
        <v>0</v>
      </c>
      <c r="BI70" s="55">
        <f ca="1">IFERROR(__xludf.DUMMYFUNCTION("IMPORTRANGE(""https://docs.google.com/spreadsheets/d/1SX6NBoVAgQJ6U1MVXOaj8PK2l7WJ3RER9xtqwdhxkhw/edit?usp=sharing"",""ลพบุรี!J408"")"),0)</f>
        <v>0</v>
      </c>
      <c r="BJ70" s="402">
        <v>106282</v>
      </c>
      <c r="BK70" s="402">
        <v>6394</v>
      </c>
      <c r="BL70" s="402">
        <f t="shared" ca="1" si="114"/>
        <v>0</v>
      </c>
      <c r="BM70" s="403">
        <f t="shared" ca="1" si="15"/>
        <v>0</v>
      </c>
      <c r="BN70" s="402">
        <f t="shared" ca="1" si="115"/>
        <v>0</v>
      </c>
      <c r="BO70" s="403">
        <f t="shared" ca="1" si="16"/>
        <v>0</v>
      </c>
      <c r="BP70" s="55">
        <f ca="1">IFERROR(__xludf.DUMMYFUNCTION("IMPORTRANGE(""https://docs.google.com/spreadsheets/d/1SX6NBoVAgQJ6U1MVXOaj8PK2l7WJ3RER9xtqwdhxkhw/edit?usp=sharing"",""ลพบุรี!J412"")"),0)</f>
        <v>0</v>
      </c>
      <c r="BQ70" s="55">
        <f ca="1">IFERROR(__xludf.DUMMYFUNCTION("IMPORTRANGE(""https://docs.google.com/spreadsheets/d/1SX6NBoVAgQJ6U1MVXOaj8PK2l7WJ3RER9xtqwdhxkhw/edit?usp=sharing"",""ลพบุรี!J413"")"),0)</f>
        <v>0</v>
      </c>
      <c r="BR70" s="55">
        <f ca="1">IFERROR(__xludf.DUMMYFUNCTION("IMPORTRANGE(""https://docs.google.com/spreadsheets/d/1SX6NBoVAgQJ6U1MVXOaj8PK2l7WJ3RER9xtqwdhxkhw/edit?usp=sharing"",""ลพบุรี!J414"")"),0)</f>
        <v>0</v>
      </c>
      <c r="BS70" s="55">
        <f ca="1">IFERROR(__xludf.DUMMYFUNCTION("IMPORTRANGE(""https://docs.google.com/spreadsheets/d/1SX6NBoVAgQJ6U1MVXOaj8PK2l7WJ3RER9xtqwdhxkhw/edit?usp=sharing"",""ลพบุรี!J415"")"),0)</f>
        <v>0</v>
      </c>
      <c r="BT70" s="55">
        <f ca="1">IFERROR(__xludf.DUMMYFUNCTION("IMPORTRANGE(""https://docs.google.com/spreadsheets/d/1SX6NBoVAgQJ6U1MVXOaj8PK2l7WJ3RER9xtqwdhxkhw/edit?usp=sharing"",""ลพบุรี!J416"")"),0)</f>
        <v>0</v>
      </c>
      <c r="BU70" s="55">
        <f ca="1">IFERROR(__xludf.DUMMYFUNCTION("IMPORTRANGE(""https://docs.google.com/spreadsheets/d/1SX6NBoVAgQJ6U1MVXOaj8PK2l7WJ3RER9xtqwdhxkhw/edit?usp=sharing"",""ลพบุรี!J417"")"),0)</f>
        <v>0</v>
      </c>
      <c r="BV70" s="402">
        <f t="shared" ca="1" si="116"/>
        <v>0</v>
      </c>
      <c r="BW70" s="403">
        <f t="shared" ca="1" si="117"/>
        <v>0</v>
      </c>
      <c r="BX70" s="402">
        <f t="shared" ca="1" si="118"/>
        <v>0</v>
      </c>
      <c r="BY70" s="403">
        <f t="shared" ca="1" si="119"/>
        <v>0</v>
      </c>
      <c r="BZ70" s="55">
        <f ca="1">IFERROR(__xludf.DUMMYFUNCTION("IMPORTRANGE(""https://docs.google.com/spreadsheets/d/1SX6NBoVAgQJ6U1MVXOaj8PK2l7WJ3RER9xtqwdhxkhw/edit?usp=sharing"",""ลพบุรี!J420"")"),0)</f>
        <v>0</v>
      </c>
      <c r="CA70" s="55">
        <f ca="1">IFERROR(__xludf.DUMMYFUNCTION("IMPORTRANGE(""https://docs.google.com/spreadsheets/d/1SX6NBoVAgQJ6U1MVXOaj8PK2l7WJ3RER9xtqwdhxkhw/edit?usp=sharing"",""ลพบุรี!J421"")"),0)</f>
        <v>0</v>
      </c>
      <c r="CB70" s="55">
        <f ca="1">IFERROR(__xludf.DUMMYFUNCTION("IMPORTRANGE(""https://docs.google.com/spreadsheets/d/1SX6NBoVAgQJ6U1MVXOaj8PK2l7WJ3RER9xtqwdhxkhw/edit?usp=sharing"",""ลพบุรี!J422"")"),0)</f>
        <v>0</v>
      </c>
      <c r="CC70" s="55">
        <f ca="1">IFERROR(__xludf.DUMMYFUNCTION("IMPORTRANGE(""https://docs.google.com/spreadsheets/d/1SX6NBoVAgQJ6U1MVXOaj8PK2l7WJ3RER9xtqwdhxkhw/edit?usp=sharing"",""ลพบุรี!J423"")"),0)</f>
        <v>0</v>
      </c>
      <c r="CD70" s="55">
        <f ca="1">IFERROR(__xludf.DUMMYFUNCTION("IMPORTRANGE(""https://docs.google.com/spreadsheets/d/1SX6NBoVAgQJ6U1MVXOaj8PK2l7WJ3RER9xtqwdhxkhw/edit?usp=sharing"",""ลพบุรี!J424"")"),0)</f>
        <v>0</v>
      </c>
      <c r="CE70" s="422">
        <f ca="1">IFERROR(__xludf.DUMMYFUNCTION("IMPORTRANGE(""https://docs.google.com/spreadsheets/d/1SX6NBoVAgQJ6U1MVXOaj8PK2l7WJ3RER9xtqwdhxkhw/edit?usp=sharing"",""ลพบุรี!J425"")"),0)</f>
        <v>0</v>
      </c>
    </row>
    <row r="71" spans="1:83" ht="24" customHeight="1" x14ac:dyDescent="0.5">
      <c r="A71" s="273">
        <v>17</v>
      </c>
      <c r="B71" s="274" t="s">
        <v>86</v>
      </c>
      <c r="C71" s="400">
        <f t="shared" si="105"/>
        <v>1071934.6599999999</v>
      </c>
      <c r="D71" s="55">
        <v>0</v>
      </c>
      <c r="E71" s="401">
        <v>1071934.6599999999</v>
      </c>
      <c r="F71" s="99">
        <f ca="1">IFERROR(__xludf.DUMMYFUNCTION("IMPORTRANGE(""https://docs.google.com/spreadsheets/d/1SX6NBoVAgQJ6U1MVXOaj8PK2l7WJ3RER9xtqwdhxkhw/edit?usp=sharing"",""สระแก้ว!M352"")"),0)</f>
        <v>0</v>
      </c>
      <c r="G71" s="99">
        <f t="shared" ca="1" si="1"/>
        <v>0</v>
      </c>
      <c r="H71" s="57">
        <v>60509</v>
      </c>
      <c r="I71" s="57">
        <v>7113</v>
      </c>
      <c r="J71" s="55">
        <f t="shared" ca="1" si="106"/>
        <v>0</v>
      </c>
      <c r="K71" s="99">
        <f t="shared" ca="1" si="3"/>
        <v>0</v>
      </c>
      <c r="L71" s="55">
        <f t="shared" ca="1" si="107"/>
        <v>0</v>
      </c>
      <c r="M71" s="99">
        <f t="shared" ca="1" si="4"/>
        <v>0</v>
      </c>
      <c r="N71" s="55">
        <f ca="1">IFERROR(__xludf.DUMMYFUNCTION("IMPORTRANGE(""https://docs.google.com/spreadsheets/d/1SX6NBoVAgQJ6U1MVXOaj8PK2l7WJ3RER9xtqwdhxkhw/edit?usp=sharing"",""สระแก้ว!J362"")"),0)</f>
        <v>0</v>
      </c>
      <c r="O71" s="55">
        <f ca="1">IFERROR(__xludf.DUMMYFUNCTION("IMPORTRANGE(""https://docs.google.com/spreadsheets/d/1SX6NBoVAgQJ6U1MVXOaj8PK2l7WJ3RER9xtqwdhxkhw/edit?usp=sharing"",""สระแก้ว!J363"")"),0)</f>
        <v>0</v>
      </c>
      <c r="P71" s="55">
        <f ca="1">IFERROR(__xludf.DUMMYFUNCTION("IMPORTRANGE(""https://docs.google.com/spreadsheets/d/1SX6NBoVAgQJ6U1MVXOaj8PK2l7WJ3RER9xtqwdhxkhw/edit?usp=sharing"",""สระแก้ว!J364"")"),0)</f>
        <v>0</v>
      </c>
      <c r="Q71" s="55">
        <f ca="1">IFERROR(__xludf.DUMMYFUNCTION("IMPORTRANGE(""https://docs.google.com/spreadsheets/d/1SX6NBoVAgQJ6U1MVXOaj8PK2l7WJ3RER9xtqwdhxkhw/edit?usp=sharing"",""สระแก้ว!J365"")"),0)</f>
        <v>0</v>
      </c>
      <c r="R71" s="55">
        <f ca="1">IFERROR(__xludf.DUMMYFUNCTION("IMPORTRANGE(""https://docs.google.com/spreadsheets/d/1SX6NBoVAgQJ6U1MVXOaj8PK2l7WJ3RER9xtqwdhxkhw/edit?usp=sharing"",""สระแก้ว!J366"")"),0)</f>
        <v>0</v>
      </c>
      <c r="S71" s="55">
        <f ca="1">IFERROR(__xludf.DUMMYFUNCTION("IMPORTRANGE(""https://docs.google.com/spreadsheets/d/1SX6NBoVAgQJ6U1MVXOaj8PK2l7WJ3RER9xtqwdhxkhw/edit?usp=sharing"",""สระแก้ว!J367"")"),0)</f>
        <v>0</v>
      </c>
      <c r="T71" s="55">
        <f t="shared" ca="1" si="108"/>
        <v>0</v>
      </c>
      <c r="U71" s="55">
        <f t="shared" ca="1" si="6"/>
        <v>0</v>
      </c>
      <c r="V71" s="55">
        <f t="shared" ca="1" si="109"/>
        <v>0</v>
      </c>
      <c r="W71" s="55">
        <f t="shared" ca="1" si="7"/>
        <v>0</v>
      </c>
      <c r="X71" s="55">
        <f ca="1">IFERROR(__xludf.DUMMYFUNCTION("IMPORTRANGE(""https://docs.google.com/spreadsheets/d/1SX6NBoVAgQJ6U1MVXOaj8PK2l7WJ3RER9xtqwdhxkhw/edit?usp=sharing"",""สระแก้ว!J370"")"),0)</f>
        <v>0</v>
      </c>
      <c r="Y71" s="55">
        <f ca="1">IFERROR(__xludf.DUMMYFUNCTION("IMPORTRANGE(""https://docs.google.com/spreadsheets/d/1SX6NBoVAgQJ6U1MVXOaj8PK2l7WJ3RER9xtqwdhxkhw/edit?usp=sharing"",""สระแก้ว!J371"")"),0)</f>
        <v>0</v>
      </c>
      <c r="Z71" s="55">
        <f ca="1">IFERROR(__xludf.DUMMYFUNCTION("IMPORTRANGE(""https://docs.google.com/spreadsheets/d/1SX6NBoVAgQJ6U1MVXOaj8PK2l7WJ3RER9xtqwdhxkhw/edit?usp=sharing"",""สระแก้ว!J372"")"),0)</f>
        <v>0</v>
      </c>
      <c r="AA71" s="55">
        <f ca="1">IFERROR(__xludf.DUMMYFUNCTION("IMPORTRANGE(""https://docs.google.com/spreadsheets/d/1SX6NBoVAgQJ6U1MVXOaj8PK2l7WJ3RER9xtqwdhxkhw/edit?usp=sharing"",""สระแก้ว!J373"")"),0)</f>
        <v>0</v>
      </c>
      <c r="AB71" s="55">
        <f ca="1">IFERROR(__xludf.DUMMYFUNCTION("IMPORTRANGE(""https://docs.google.com/spreadsheets/d/1SX6NBoVAgQJ6U1MVXOaj8PK2l7WJ3RER9xtqwdhxkhw/edit?usp=sharing"",""สระแก้ว!J374"")"),0)</f>
        <v>0</v>
      </c>
      <c r="AC71" s="55">
        <f ca="1">IFERROR(__xludf.DUMMYFUNCTION("IMPORTRANGE(""https://docs.google.com/spreadsheets/d/1SX6NBoVAgQJ6U1MVXOaj8PK2l7WJ3RER9xtqwdhxkhw/edit?usp=sharing"",""สระแก้ว!J375"")"),0)</f>
        <v>0</v>
      </c>
      <c r="AD71" s="55">
        <f t="shared" ca="1" si="110"/>
        <v>0</v>
      </c>
      <c r="AE71" s="99">
        <f t="shared" ca="1" si="9"/>
        <v>0</v>
      </c>
      <c r="AF71" s="55">
        <f t="shared" ca="1" si="111"/>
        <v>0</v>
      </c>
      <c r="AG71" s="99">
        <f t="shared" ca="1" si="10"/>
        <v>0</v>
      </c>
      <c r="AH71" s="55">
        <f ca="1">IFERROR(__xludf.DUMMYFUNCTION("IMPORTRANGE(""https://docs.google.com/spreadsheets/d/1SX6NBoVAgQJ6U1MVXOaj8PK2l7WJ3RER9xtqwdhxkhw/edit?usp=sharing"",""สระแก้ว!J378"")"),0)</f>
        <v>0</v>
      </c>
      <c r="AI71" s="55">
        <f ca="1">IFERROR(__xludf.DUMMYFUNCTION("IMPORTRANGE(""https://docs.google.com/spreadsheets/d/1SX6NBoVAgQJ6U1MVXOaj8PK2l7WJ3RER9xtqwdhxkhw/edit?usp=sharing"",""สระแก้ว!J379"")"),0)</f>
        <v>0</v>
      </c>
      <c r="AJ71" s="55">
        <f ca="1">IFERROR(__xludf.DUMMYFUNCTION("IMPORTRANGE(""https://docs.google.com/spreadsheets/d/1SX6NBoVAgQJ6U1MVXOaj8PK2l7WJ3RER9xtqwdhxkhw/edit?usp=sharing"",""สระแก้ว!J380"")"),0)</f>
        <v>0</v>
      </c>
      <c r="AK71" s="55">
        <f ca="1">IFERROR(__xludf.DUMMYFUNCTION("IMPORTRANGE(""https://docs.google.com/spreadsheets/d/1SX6NBoVAgQJ6U1MVXOaj8PK2l7WJ3RER9xtqwdhxkhw/edit?usp=sharing"",""สระแก้ว!J381"")"),0)</f>
        <v>0</v>
      </c>
      <c r="AL71" s="55">
        <f ca="1">IFERROR(__xludf.DUMMYFUNCTION("IMPORTRANGE(""https://docs.google.com/spreadsheets/d/1SX6NBoVAgQJ6U1MVXOaj8PK2l7WJ3RER9xtqwdhxkhw/edit?usp=sharing"",""สระแก้ว!J384"")"),0)</f>
        <v>0</v>
      </c>
      <c r="AM71" s="55">
        <f ca="1">IFERROR(__xludf.DUMMYFUNCTION("IMPORTRANGE(""https://docs.google.com/spreadsheets/d/1SX6NBoVAgQJ6U1MVXOaj8PK2l7WJ3RER9xtqwdhxkhw/edit?usp=sharing"",""สระแก้ว!J385"")"),0)</f>
        <v>0</v>
      </c>
      <c r="AN71" s="55">
        <f ca="1">IFERROR(__xludf.DUMMYFUNCTION("IMPORTRANGE(""https://docs.google.com/spreadsheets/d/1SX6NBoVAgQJ6U1MVXOaj8PK2l7WJ3RER9xtqwdhxkhw/edit?usp=sharing"",""สระแก้ว!J386"")"),0)</f>
        <v>0</v>
      </c>
      <c r="AO71" s="55">
        <f ca="1">IFERROR(__xludf.DUMMYFUNCTION("IMPORTRANGE(""https://docs.google.com/spreadsheets/d/1SX6NBoVAgQJ6U1MVXOaj8PK2l7WJ3RER9xtqwdhxkhw/edit?usp=sharing"",""สระแก้ว!J387"")"),0)</f>
        <v>0</v>
      </c>
      <c r="AP71" s="55">
        <f ca="1">IFERROR(__xludf.DUMMYFUNCTION("IMPORTRANGE(""https://docs.google.com/spreadsheets/d/1SX6NBoVAgQJ6U1MVXOaj8PK2l7WJ3RER9xtqwdhxkhw/edit?usp=sharing"",""สระแก้ว!J388"")"),0)</f>
        <v>0</v>
      </c>
      <c r="AQ71" s="55">
        <f ca="1">IFERROR(__xludf.DUMMYFUNCTION("IMPORTRANGE(""https://docs.google.com/spreadsheets/d/1SX6NBoVAgQJ6U1MVXOaj8PK2l7WJ3RER9xtqwdhxkhw/edit?usp=sharing"",""สระแก้ว!J389"")"),0)</f>
        <v>0</v>
      </c>
      <c r="AR71" s="402">
        <v>1782</v>
      </c>
      <c r="AS71" s="402">
        <v>29184</v>
      </c>
      <c r="AT71" s="402">
        <f t="shared" ca="1" si="112"/>
        <v>0</v>
      </c>
      <c r="AU71" s="402">
        <f t="shared" ca="1" si="12"/>
        <v>0</v>
      </c>
      <c r="AV71" s="402">
        <f t="shared" ca="1" si="113"/>
        <v>0</v>
      </c>
      <c r="AW71" s="402">
        <f t="shared" ca="1" si="13"/>
        <v>0</v>
      </c>
      <c r="AX71" s="55">
        <f ca="1">IFERROR(__xludf.DUMMYFUNCTION("IMPORTRANGE(""https://docs.google.com/spreadsheets/d/1SX6NBoVAgQJ6U1MVXOaj8PK2l7WJ3RER9xtqwdhxkhw/edit?usp=sharing"",""สระแก้ว!J395"")"),0)</f>
        <v>0</v>
      </c>
      <c r="AY71" s="55">
        <f ca="1">IFERROR(__xludf.DUMMYFUNCTION("IMPORTRANGE(""https://docs.google.com/spreadsheets/d/1SX6NBoVAgQJ6U1MVXOaj8PK2l7WJ3RER9xtqwdhxkhw/edit?usp=sharing"",""สระแก้ว!J396"")"),0)</f>
        <v>0</v>
      </c>
      <c r="AZ71" s="55">
        <f ca="1">IFERROR(__xludf.DUMMYFUNCTION("IMPORTRANGE(""https://docs.google.com/spreadsheets/d/1SX6NBoVAgQJ6U1MVXOaj8PK2l7WJ3RER9xtqwdhxkhw/edit?usp=sharing"",""สระแก้ว!J397"")"),0)</f>
        <v>0</v>
      </c>
      <c r="BA71" s="55">
        <f ca="1">IFERROR(__xludf.DUMMYFUNCTION("IMPORTRANGE(""https://docs.google.com/spreadsheets/d/1SX6NBoVAgQJ6U1MVXOaj8PK2l7WJ3RER9xtqwdhxkhw/edit?usp=sharing"",""สระแก้ว!J398"")"),0)</f>
        <v>0</v>
      </c>
      <c r="BB71" s="55">
        <f ca="1">IFERROR(__xludf.DUMMYFUNCTION("IMPORTRANGE(""https://docs.google.com/spreadsheets/d/1SX6NBoVAgQJ6U1MVXOaj8PK2l7WJ3RER9xtqwdhxkhw/edit?usp=sharing"",""สระแก้ว!J399"")"),0)</f>
        <v>0</v>
      </c>
      <c r="BC71" s="55">
        <f ca="1">IFERROR(__xludf.DUMMYFUNCTION("IMPORTRANGE(""https://docs.google.com/spreadsheets/d/1SX6NBoVAgQJ6U1MVXOaj8PK2l7WJ3RER9xtqwdhxkhw/edit?usp=sharing"",""สระแก้ว!J400"")"),0)</f>
        <v>0</v>
      </c>
      <c r="BD71" s="55">
        <f ca="1">IFERROR(__xludf.DUMMYFUNCTION("IMPORTRANGE(""https://docs.google.com/spreadsheets/d/1SX6NBoVAgQJ6U1MVXOaj8PK2l7WJ3RER9xtqwdhxkhw/edit?usp=sharing"",""สระแก้ว!J403"")"),0)</f>
        <v>0</v>
      </c>
      <c r="BE71" s="55">
        <f ca="1">IFERROR(__xludf.DUMMYFUNCTION("IMPORTRANGE(""https://docs.google.com/spreadsheets/d/1SX6NBoVAgQJ6U1MVXOaj8PK2l7WJ3RER9xtqwdhxkhw/edit?usp=sharing"",""สระแก้ว!J404"")"),0)</f>
        <v>0</v>
      </c>
      <c r="BF71" s="55">
        <f ca="1">IFERROR(__xludf.DUMMYFUNCTION("IMPORTRANGE(""https://docs.google.com/spreadsheets/d/1SX6NBoVAgQJ6U1MVXOaj8PK2l7WJ3RER9xtqwdhxkhw/edit?usp=sharing"",""สระแก้ว!J405"")"),0)</f>
        <v>0</v>
      </c>
      <c r="BG71" s="55">
        <f ca="1">IFERROR(__xludf.DUMMYFUNCTION("IMPORTRANGE(""https://docs.google.com/spreadsheets/d/1SX6NBoVAgQJ6U1MVXOaj8PK2l7WJ3RER9xtqwdhxkhw/edit?usp=sharing"",""สระแก้ว!J406"")"),0)</f>
        <v>0</v>
      </c>
      <c r="BH71" s="55">
        <f ca="1">IFERROR(__xludf.DUMMYFUNCTION("IMPORTRANGE(""https://docs.google.com/spreadsheets/d/1SX6NBoVAgQJ6U1MVXOaj8PK2l7WJ3RER9xtqwdhxkhw/edit?usp=sharing"",""สระแก้ว!J407"")"),0)</f>
        <v>0</v>
      </c>
      <c r="BI71" s="55">
        <f ca="1">IFERROR(__xludf.DUMMYFUNCTION("IMPORTRANGE(""https://docs.google.com/spreadsheets/d/1SX6NBoVAgQJ6U1MVXOaj8PK2l7WJ3RER9xtqwdhxkhw/edit?usp=sharing"",""สระแก้ว!J408"")"),0)</f>
        <v>0</v>
      </c>
      <c r="BJ71" s="402">
        <v>60509</v>
      </c>
      <c r="BK71" s="402">
        <v>7113</v>
      </c>
      <c r="BL71" s="402">
        <f t="shared" ca="1" si="114"/>
        <v>0</v>
      </c>
      <c r="BM71" s="403">
        <f t="shared" ca="1" si="15"/>
        <v>0</v>
      </c>
      <c r="BN71" s="402">
        <f t="shared" ca="1" si="115"/>
        <v>0</v>
      </c>
      <c r="BO71" s="403">
        <f t="shared" ca="1" si="16"/>
        <v>0</v>
      </c>
      <c r="BP71" s="55">
        <f ca="1">IFERROR(__xludf.DUMMYFUNCTION("IMPORTRANGE(""https://docs.google.com/spreadsheets/d/1SX6NBoVAgQJ6U1MVXOaj8PK2l7WJ3RER9xtqwdhxkhw/edit?usp=sharing"",""สระแก้ว!J412"")"),0)</f>
        <v>0</v>
      </c>
      <c r="BQ71" s="55">
        <f ca="1">IFERROR(__xludf.DUMMYFUNCTION("IMPORTRANGE(""https://docs.google.com/spreadsheets/d/1SX6NBoVAgQJ6U1MVXOaj8PK2l7WJ3RER9xtqwdhxkhw/edit?usp=sharing"",""สระแก้ว!J413"")"),0)</f>
        <v>0</v>
      </c>
      <c r="BR71" s="55">
        <f ca="1">IFERROR(__xludf.DUMMYFUNCTION("IMPORTRANGE(""https://docs.google.com/spreadsheets/d/1SX6NBoVAgQJ6U1MVXOaj8PK2l7WJ3RER9xtqwdhxkhw/edit?usp=sharing"",""สระแก้ว!J414"")"),0)</f>
        <v>0</v>
      </c>
      <c r="BS71" s="55">
        <f ca="1">IFERROR(__xludf.DUMMYFUNCTION("IMPORTRANGE(""https://docs.google.com/spreadsheets/d/1SX6NBoVAgQJ6U1MVXOaj8PK2l7WJ3RER9xtqwdhxkhw/edit?usp=sharing"",""สระแก้ว!J415"")"),0)</f>
        <v>0</v>
      </c>
      <c r="BT71" s="55">
        <f ca="1">IFERROR(__xludf.DUMMYFUNCTION("IMPORTRANGE(""https://docs.google.com/spreadsheets/d/1SX6NBoVAgQJ6U1MVXOaj8PK2l7WJ3RER9xtqwdhxkhw/edit?usp=sharing"",""สระแก้ว!J416"")"),0)</f>
        <v>0</v>
      </c>
      <c r="BU71" s="55">
        <f ca="1">IFERROR(__xludf.DUMMYFUNCTION("IMPORTRANGE(""https://docs.google.com/spreadsheets/d/1SX6NBoVAgQJ6U1MVXOaj8PK2l7WJ3RER9xtqwdhxkhw/edit?usp=sharing"",""สระแก้ว!J417"")"),0)</f>
        <v>0</v>
      </c>
      <c r="BV71" s="402">
        <f t="shared" ca="1" si="116"/>
        <v>0</v>
      </c>
      <c r="BW71" s="403">
        <f t="shared" ca="1" si="117"/>
        <v>0</v>
      </c>
      <c r="BX71" s="402">
        <f t="shared" ca="1" si="118"/>
        <v>0</v>
      </c>
      <c r="BY71" s="403">
        <f t="shared" ca="1" si="119"/>
        <v>0</v>
      </c>
      <c r="BZ71" s="55">
        <f ca="1">IFERROR(__xludf.DUMMYFUNCTION("IMPORTRANGE(""https://docs.google.com/spreadsheets/d/1SX6NBoVAgQJ6U1MVXOaj8PK2l7WJ3RER9xtqwdhxkhw/edit?usp=sharing"",""สระแก้ว!J420"")"),0)</f>
        <v>0</v>
      </c>
      <c r="CA71" s="55">
        <f ca="1">IFERROR(__xludf.DUMMYFUNCTION("IMPORTRANGE(""https://docs.google.com/spreadsheets/d/1SX6NBoVAgQJ6U1MVXOaj8PK2l7WJ3RER9xtqwdhxkhw/edit?usp=sharing"",""สระแก้ว!J421"")"),0)</f>
        <v>0</v>
      </c>
      <c r="CB71" s="55">
        <f ca="1">IFERROR(__xludf.DUMMYFUNCTION("IMPORTRANGE(""https://docs.google.com/spreadsheets/d/1SX6NBoVAgQJ6U1MVXOaj8PK2l7WJ3RER9xtqwdhxkhw/edit?usp=sharing"",""สระแก้ว!J422"")"),0)</f>
        <v>0</v>
      </c>
      <c r="CC71" s="55">
        <f ca="1">IFERROR(__xludf.DUMMYFUNCTION("IMPORTRANGE(""https://docs.google.com/spreadsheets/d/1SX6NBoVAgQJ6U1MVXOaj8PK2l7WJ3RER9xtqwdhxkhw/edit?usp=sharing"",""สระแก้ว!J423"")"),0)</f>
        <v>0</v>
      </c>
      <c r="CD71" s="55">
        <f ca="1">IFERROR(__xludf.DUMMYFUNCTION("IMPORTRANGE(""https://docs.google.com/spreadsheets/d/1SX6NBoVAgQJ6U1MVXOaj8PK2l7WJ3RER9xtqwdhxkhw/edit?usp=sharing"",""สระแก้ว!J424"")"),0)</f>
        <v>0</v>
      </c>
      <c r="CE71" s="422">
        <f ca="1">IFERROR(__xludf.DUMMYFUNCTION("IMPORTRANGE(""https://docs.google.com/spreadsheets/d/1SX6NBoVAgQJ6U1MVXOaj8PK2l7WJ3RER9xtqwdhxkhw/edit?usp=sharing"",""สระแก้ว!J425"")"),0)</f>
        <v>0</v>
      </c>
    </row>
    <row r="72" spans="1:83" ht="24" customHeight="1" x14ac:dyDescent="0.5">
      <c r="A72" s="273">
        <v>18</v>
      </c>
      <c r="B72" s="274" t="s">
        <v>87</v>
      </c>
      <c r="C72" s="400">
        <f t="shared" si="105"/>
        <v>285044.12</v>
      </c>
      <c r="D72" s="55">
        <v>0</v>
      </c>
      <c r="E72" s="401">
        <v>285044.12</v>
      </c>
      <c r="F72" s="99">
        <f ca="1">IFERROR(__xludf.DUMMYFUNCTION("IMPORTRANGE(""https://docs.google.com/spreadsheets/d/1SX6NBoVAgQJ6U1MVXOaj8PK2l7WJ3RER9xtqwdhxkhw/edit?usp=sharing"",""สระบุรี!M352"")"),0)</f>
        <v>0</v>
      </c>
      <c r="G72" s="99">
        <f t="shared" ca="1" si="1"/>
        <v>0</v>
      </c>
      <c r="H72" s="57">
        <v>4739</v>
      </c>
      <c r="I72" s="57">
        <v>856</v>
      </c>
      <c r="J72" s="55">
        <f t="shared" ca="1" si="106"/>
        <v>0</v>
      </c>
      <c r="K72" s="99">
        <f t="shared" ca="1" si="3"/>
        <v>0</v>
      </c>
      <c r="L72" s="55">
        <f t="shared" ca="1" si="107"/>
        <v>0</v>
      </c>
      <c r="M72" s="99">
        <f t="shared" ca="1" si="4"/>
        <v>0</v>
      </c>
      <c r="N72" s="55">
        <f ca="1">IFERROR(__xludf.DUMMYFUNCTION("IMPORTRANGE(""https://docs.google.com/spreadsheets/d/1SX6NBoVAgQJ6U1MVXOaj8PK2l7WJ3RER9xtqwdhxkhw/edit?usp=sharing"",""สระบุรี!J362"")"),0)</f>
        <v>0</v>
      </c>
      <c r="O72" s="55">
        <f ca="1">IFERROR(__xludf.DUMMYFUNCTION("IMPORTRANGE(""https://docs.google.com/spreadsheets/d/1SX6NBoVAgQJ6U1MVXOaj8PK2l7WJ3RER9xtqwdhxkhw/edit?usp=sharing"",""สระบุรี!J363"")"),0)</f>
        <v>0</v>
      </c>
      <c r="P72" s="55">
        <f ca="1">IFERROR(__xludf.DUMMYFUNCTION("IMPORTRANGE(""https://docs.google.com/spreadsheets/d/1SX6NBoVAgQJ6U1MVXOaj8PK2l7WJ3RER9xtqwdhxkhw/edit?usp=sharing"",""สระบุรี!J364"")"),0)</f>
        <v>0</v>
      </c>
      <c r="Q72" s="55">
        <f ca="1">IFERROR(__xludf.DUMMYFUNCTION("IMPORTRANGE(""https://docs.google.com/spreadsheets/d/1SX6NBoVAgQJ6U1MVXOaj8PK2l7WJ3RER9xtqwdhxkhw/edit?usp=sharing"",""สระบุรี!J365"")"),0)</f>
        <v>0</v>
      </c>
      <c r="R72" s="55">
        <f ca="1">IFERROR(__xludf.DUMMYFUNCTION("IMPORTRANGE(""https://docs.google.com/spreadsheets/d/1SX6NBoVAgQJ6U1MVXOaj8PK2l7WJ3RER9xtqwdhxkhw/edit?usp=sharing"",""สระบุรี!J366"")"),0)</f>
        <v>0</v>
      </c>
      <c r="S72" s="55">
        <f ca="1">IFERROR(__xludf.DUMMYFUNCTION("IMPORTRANGE(""https://docs.google.com/spreadsheets/d/1SX6NBoVAgQJ6U1MVXOaj8PK2l7WJ3RER9xtqwdhxkhw/edit?usp=sharing"",""สระบุรี!J367"")"),0)</f>
        <v>0</v>
      </c>
      <c r="T72" s="55">
        <f t="shared" ca="1" si="108"/>
        <v>0</v>
      </c>
      <c r="U72" s="55">
        <f t="shared" ca="1" si="6"/>
        <v>0</v>
      </c>
      <c r="V72" s="55">
        <f t="shared" ca="1" si="109"/>
        <v>0</v>
      </c>
      <c r="W72" s="55">
        <f t="shared" ca="1" si="7"/>
        <v>0</v>
      </c>
      <c r="X72" s="55">
        <f ca="1">IFERROR(__xludf.DUMMYFUNCTION("IMPORTRANGE(""https://docs.google.com/spreadsheets/d/1SX6NBoVAgQJ6U1MVXOaj8PK2l7WJ3RER9xtqwdhxkhw/edit?usp=sharing"",""สระบุรี!J370"")"),0)</f>
        <v>0</v>
      </c>
      <c r="Y72" s="55">
        <f ca="1">IFERROR(__xludf.DUMMYFUNCTION("IMPORTRANGE(""https://docs.google.com/spreadsheets/d/1SX6NBoVAgQJ6U1MVXOaj8PK2l7WJ3RER9xtqwdhxkhw/edit?usp=sharing"",""สระบุรี!J371"")"),0)</f>
        <v>0</v>
      </c>
      <c r="Z72" s="55">
        <f ca="1">IFERROR(__xludf.DUMMYFUNCTION("IMPORTRANGE(""https://docs.google.com/spreadsheets/d/1SX6NBoVAgQJ6U1MVXOaj8PK2l7WJ3RER9xtqwdhxkhw/edit?usp=sharing"",""สระบุรี!J372"")"),0)</f>
        <v>0</v>
      </c>
      <c r="AA72" s="55">
        <f ca="1">IFERROR(__xludf.DUMMYFUNCTION("IMPORTRANGE(""https://docs.google.com/spreadsheets/d/1SX6NBoVAgQJ6U1MVXOaj8PK2l7WJ3RER9xtqwdhxkhw/edit?usp=sharing"",""สระบุรี!J373"")"),0)</f>
        <v>0</v>
      </c>
      <c r="AB72" s="55">
        <f ca="1">IFERROR(__xludf.DUMMYFUNCTION("IMPORTRANGE(""https://docs.google.com/spreadsheets/d/1SX6NBoVAgQJ6U1MVXOaj8PK2l7WJ3RER9xtqwdhxkhw/edit?usp=sharing"",""สระบุรี!J374"")"),0)</f>
        <v>0</v>
      </c>
      <c r="AC72" s="55">
        <f ca="1">IFERROR(__xludf.DUMMYFUNCTION("IMPORTRANGE(""https://docs.google.com/spreadsheets/d/1SX6NBoVAgQJ6U1MVXOaj8PK2l7WJ3RER9xtqwdhxkhw/edit?usp=sharing"",""สระบุรี!J375"")"),0)</f>
        <v>0</v>
      </c>
      <c r="AD72" s="55">
        <f t="shared" ca="1" si="110"/>
        <v>0</v>
      </c>
      <c r="AE72" s="99">
        <f t="shared" ca="1" si="9"/>
        <v>0</v>
      </c>
      <c r="AF72" s="55">
        <f t="shared" ca="1" si="111"/>
        <v>0</v>
      </c>
      <c r="AG72" s="99">
        <f t="shared" ca="1" si="10"/>
        <v>0</v>
      </c>
      <c r="AH72" s="55">
        <f ca="1">IFERROR(__xludf.DUMMYFUNCTION("IMPORTRANGE(""https://docs.google.com/spreadsheets/d/1SX6NBoVAgQJ6U1MVXOaj8PK2l7WJ3RER9xtqwdhxkhw/edit?usp=sharing"",""สระบุรี!J378"")"),0)</f>
        <v>0</v>
      </c>
      <c r="AI72" s="55">
        <f ca="1">IFERROR(__xludf.DUMMYFUNCTION("IMPORTRANGE(""https://docs.google.com/spreadsheets/d/1SX6NBoVAgQJ6U1MVXOaj8PK2l7WJ3RER9xtqwdhxkhw/edit?usp=sharing"",""สระบุรี!J379"")"),0)</f>
        <v>0</v>
      </c>
      <c r="AJ72" s="55">
        <f ca="1">IFERROR(__xludf.DUMMYFUNCTION("IMPORTRANGE(""https://docs.google.com/spreadsheets/d/1SX6NBoVAgQJ6U1MVXOaj8PK2l7WJ3RER9xtqwdhxkhw/edit?usp=sharing"",""สระบุรี!J380"")"),0)</f>
        <v>0</v>
      </c>
      <c r="AK72" s="55">
        <f ca="1">IFERROR(__xludf.DUMMYFUNCTION("IMPORTRANGE(""https://docs.google.com/spreadsheets/d/1SX6NBoVAgQJ6U1MVXOaj8PK2l7WJ3RER9xtqwdhxkhw/edit?usp=sharing"",""สระบุรี!J381"")"),0)</f>
        <v>0</v>
      </c>
      <c r="AL72" s="55">
        <f ca="1">IFERROR(__xludf.DUMMYFUNCTION("IMPORTRANGE(""https://docs.google.com/spreadsheets/d/1SX6NBoVAgQJ6U1MVXOaj8PK2l7WJ3RER9xtqwdhxkhw/edit?usp=sharing"",""สระบุรี!J384"")"),0)</f>
        <v>0</v>
      </c>
      <c r="AM72" s="55">
        <f ca="1">IFERROR(__xludf.DUMMYFUNCTION("IMPORTRANGE(""https://docs.google.com/spreadsheets/d/1SX6NBoVAgQJ6U1MVXOaj8PK2l7WJ3RER9xtqwdhxkhw/edit?usp=sharing"",""สระบุรี!J385"")"),0)</f>
        <v>0</v>
      </c>
      <c r="AN72" s="55">
        <f ca="1">IFERROR(__xludf.DUMMYFUNCTION("IMPORTRANGE(""https://docs.google.com/spreadsheets/d/1SX6NBoVAgQJ6U1MVXOaj8PK2l7WJ3RER9xtqwdhxkhw/edit?usp=sharing"",""สระบุรี!J386"")"),0)</f>
        <v>0</v>
      </c>
      <c r="AO72" s="55">
        <f ca="1">IFERROR(__xludf.DUMMYFUNCTION("IMPORTRANGE(""https://docs.google.com/spreadsheets/d/1SX6NBoVAgQJ6U1MVXOaj8PK2l7WJ3RER9xtqwdhxkhw/edit?usp=sharing"",""สระบุรี!J387"")"),0)</f>
        <v>0</v>
      </c>
      <c r="AP72" s="55">
        <f ca="1">IFERROR(__xludf.DUMMYFUNCTION("IMPORTRANGE(""https://docs.google.com/spreadsheets/d/1SX6NBoVAgQJ6U1MVXOaj8PK2l7WJ3RER9xtqwdhxkhw/edit?usp=sharing"",""สระบุรี!J388"")"),0)</f>
        <v>0</v>
      </c>
      <c r="AQ72" s="55">
        <f ca="1">IFERROR(__xludf.DUMMYFUNCTION("IMPORTRANGE(""https://docs.google.com/spreadsheets/d/1SX6NBoVAgQJ6U1MVXOaj8PK2l7WJ3RER9xtqwdhxkhw/edit?usp=sharing"",""สระบุรี!J389"")"),0)</f>
        <v>0</v>
      </c>
      <c r="AR72" s="402">
        <v>505</v>
      </c>
      <c r="AS72" s="402">
        <v>11142</v>
      </c>
      <c r="AT72" s="402">
        <f t="shared" ca="1" si="112"/>
        <v>0</v>
      </c>
      <c r="AU72" s="402">
        <f t="shared" ca="1" si="12"/>
        <v>0</v>
      </c>
      <c r="AV72" s="402">
        <f t="shared" ca="1" si="113"/>
        <v>0</v>
      </c>
      <c r="AW72" s="402">
        <f t="shared" ca="1" si="13"/>
        <v>0</v>
      </c>
      <c r="AX72" s="55">
        <f ca="1">IFERROR(__xludf.DUMMYFUNCTION("IMPORTRANGE(""https://docs.google.com/spreadsheets/d/1SX6NBoVAgQJ6U1MVXOaj8PK2l7WJ3RER9xtqwdhxkhw/edit?usp=sharing"",""สระบุรี!J395"")"),0)</f>
        <v>0</v>
      </c>
      <c r="AY72" s="55">
        <f ca="1">IFERROR(__xludf.DUMMYFUNCTION("IMPORTRANGE(""https://docs.google.com/spreadsheets/d/1SX6NBoVAgQJ6U1MVXOaj8PK2l7WJ3RER9xtqwdhxkhw/edit?usp=sharing"",""สระบุรี!J396"")"),0)</f>
        <v>0</v>
      </c>
      <c r="AZ72" s="55">
        <f ca="1">IFERROR(__xludf.DUMMYFUNCTION("IMPORTRANGE(""https://docs.google.com/spreadsheets/d/1SX6NBoVAgQJ6U1MVXOaj8PK2l7WJ3RER9xtqwdhxkhw/edit?usp=sharing"",""สระบุรี!J397"")"),0)</f>
        <v>0</v>
      </c>
      <c r="BA72" s="55">
        <f ca="1">IFERROR(__xludf.DUMMYFUNCTION("IMPORTRANGE(""https://docs.google.com/spreadsheets/d/1SX6NBoVAgQJ6U1MVXOaj8PK2l7WJ3RER9xtqwdhxkhw/edit?usp=sharing"",""สระบุรี!J398"")"),0)</f>
        <v>0</v>
      </c>
      <c r="BB72" s="55">
        <f ca="1">IFERROR(__xludf.DUMMYFUNCTION("IMPORTRANGE(""https://docs.google.com/spreadsheets/d/1SX6NBoVAgQJ6U1MVXOaj8PK2l7WJ3RER9xtqwdhxkhw/edit?usp=sharing"",""สระบุรี!J399"")"),0)</f>
        <v>0</v>
      </c>
      <c r="BC72" s="55">
        <f ca="1">IFERROR(__xludf.DUMMYFUNCTION("IMPORTRANGE(""https://docs.google.com/spreadsheets/d/1SX6NBoVAgQJ6U1MVXOaj8PK2l7WJ3RER9xtqwdhxkhw/edit?usp=sharing"",""สระบุรี!J400"")"),0)</f>
        <v>0</v>
      </c>
      <c r="BD72" s="55">
        <f ca="1">IFERROR(__xludf.DUMMYFUNCTION("IMPORTRANGE(""https://docs.google.com/spreadsheets/d/1SX6NBoVAgQJ6U1MVXOaj8PK2l7WJ3RER9xtqwdhxkhw/edit?usp=sharing"",""สระบุรี!J403"")"),0)</f>
        <v>0</v>
      </c>
      <c r="BE72" s="55">
        <f ca="1">IFERROR(__xludf.DUMMYFUNCTION("IMPORTRANGE(""https://docs.google.com/spreadsheets/d/1SX6NBoVAgQJ6U1MVXOaj8PK2l7WJ3RER9xtqwdhxkhw/edit?usp=sharing"",""สระบุรี!J404"")"),0)</f>
        <v>0</v>
      </c>
      <c r="BF72" s="55">
        <f ca="1">IFERROR(__xludf.DUMMYFUNCTION("IMPORTRANGE(""https://docs.google.com/spreadsheets/d/1SX6NBoVAgQJ6U1MVXOaj8PK2l7WJ3RER9xtqwdhxkhw/edit?usp=sharing"",""สระบุรี!J405"")"),0)</f>
        <v>0</v>
      </c>
      <c r="BG72" s="55">
        <f ca="1">IFERROR(__xludf.DUMMYFUNCTION("IMPORTRANGE(""https://docs.google.com/spreadsheets/d/1SX6NBoVAgQJ6U1MVXOaj8PK2l7WJ3RER9xtqwdhxkhw/edit?usp=sharing"",""สระบุรี!J406"")"),0)</f>
        <v>0</v>
      </c>
      <c r="BH72" s="55">
        <f ca="1">IFERROR(__xludf.DUMMYFUNCTION("IMPORTRANGE(""https://docs.google.com/spreadsheets/d/1SX6NBoVAgQJ6U1MVXOaj8PK2l7WJ3RER9xtqwdhxkhw/edit?usp=sharing"",""สระบุรี!J407"")"),0)</f>
        <v>0</v>
      </c>
      <c r="BI72" s="55">
        <f ca="1">IFERROR(__xludf.DUMMYFUNCTION("IMPORTRANGE(""https://docs.google.com/spreadsheets/d/1SX6NBoVAgQJ6U1MVXOaj8PK2l7WJ3RER9xtqwdhxkhw/edit?usp=sharing"",""สระบุรี!J408"")"),0)</f>
        <v>0</v>
      </c>
      <c r="BJ72" s="402">
        <v>4739</v>
      </c>
      <c r="BK72" s="402">
        <v>856</v>
      </c>
      <c r="BL72" s="402">
        <f t="shared" ca="1" si="114"/>
        <v>0</v>
      </c>
      <c r="BM72" s="403">
        <f t="shared" ca="1" si="15"/>
        <v>0</v>
      </c>
      <c r="BN72" s="402">
        <f t="shared" ca="1" si="115"/>
        <v>0</v>
      </c>
      <c r="BO72" s="403">
        <f t="shared" ca="1" si="16"/>
        <v>0</v>
      </c>
      <c r="BP72" s="55">
        <f ca="1">IFERROR(__xludf.DUMMYFUNCTION("IMPORTRANGE(""https://docs.google.com/spreadsheets/d/1SX6NBoVAgQJ6U1MVXOaj8PK2l7WJ3RER9xtqwdhxkhw/edit?usp=sharing"",""สระบุรี!J412"")"),0)</f>
        <v>0</v>
      </c>
      <c r="BQ72" s="55">
        <f ca="1">IFERROR(__xludf.DUMMYFUNCTION("IMPORTRANGE(""https://docs.google.com/spreadsheets/d/1SX6NBoVAgQJ6U1MVXOaj8PK2l7WJ3RER9xtqwdhxkhw/edit?usp=sharing"",""สระบุรี!J413"")"),0)</f>
        <v>0</v>
      </c>
      <c r="BR72" s="55">
        <f ca="1">IFERROR(__xludf.DUMMYFUNCTION("IMPORTRANGE(""https://docs.google.com/spreadsheets/d/1SX6NBoVAgQJ6U1MVXOaj8PK2l7WJ3RER9xtqwdhxkhw/edit?usp=sharing"",""สระบุรี!J414"")"),0)</f>
        <v>0</v>
      </c>
      <c r="BS72" s="55">
        <f ca="1">IFERROR(__xludf.DUMMYFUNCTION("IMPORTRANGE(""https://docs.google.com/spreadsheets/d/1SX6NBoVAgQJ6U1MVXOaj8PK2l7WJ3RER9xtqwdhxkhw/edit?usp=sharing"",""สระบุรี!J415"")"),0)</f>
        <v>0</v>
      </c>
      <c r="BT72" s="55">
        <f ca="1">IFERROR(__xludf.DUMMYFUNCTION("IMPORTRANGE(""https://docs.google.com/spreadsheets/d/1SX6NBoVAgQJ6U1MVXOaj8PK2l7WJ3RER9xtqwdhxkhw/edit?usp=sharing"",""สระบุรี!J416"")"),0)</f>
        <v>0</v>
      </c>
      <c r="BU72" s="55">
        <f ca="1">IFERROR(__xludf.DUMMYFUNCTION("IMPORTRANGE(""https://docs.google.com/spreadsheets/d/1SX6NBoVAgQJ6U1MVXOaj8PK2l7WJ3RER9xtqwdhxkhw/edit?usp=sharing"",""สระบุรี!J417"")"),0)</f>
        <v>0</v>
      </c>
      <c r="BV72" s="402">
        <f t="shared" ca="1" si="116"/>
        <v>0</v>
      </c>
      <c r="BW72" s="403">
        <f t="shared" ca="1" si="117"/>
        <v>0</v>
      </c>
      <c r="BX72" s="402">
        <f t="shared" ca="1" si="118"/>
        <v>0</v>
      </c>
      <c r="BY72" s="403">
        <f t="shared" ca="1" si="119"/>
        <v>0</v>
      </c>
      <c r="BZ72" s="55">
        <f ca="1">IFERROR(__xludf.DUMMYFUNCTION("IMPORTRANGE(""https://docs.google.com/spreadsheets/d/1SX6NBoVAgQJ6U1MVXOaj8PK2l7WJ3RER9xtqwdhxkhw/edit?usp=sharing"",""สระบุรี!J420"")"),0)</f>
        <v>0</v>
      </c>
      <c r="CA72" s="55">
        <f ca="1">IFERROR(__xludf.DUMMYFUNCTION("IMPORTRANGE(""https://docs.google.com/spreadsheets/d/1SX6NBoVAgQJ6U1MVXOaj8PK2l7WJ3RER9xtqwdhxkhw/edit?usp=sharing"",""สระบุรี!J421"")"),0)</f>
        <v>0</v>
      </c>
      <c r="CB72" s="55">
        <f ca="1">IFERROR(__xludf.DUMMYFUNCTION("IMPORTRANGE(""https://docs.google.com/spreadsheets/d/1SX6NBoVAgQJ6U1MVXOaj8PK2l7WJ3RER9xtqwdhxkhw/edit?usp=sharing"",""สระบุรี!J422"")"),0)</f>
        <v>0</v>
      </c>
      <c r="CC72" s="55">
        <f ca="1">IFERROR(__xludf.DUMMYFUNCTION("IMPORTRANGE(""https://docs.google.com/spreadsheets/d/1SX6NBoVAgQJ6U1MVXOaj8PK2l7WJ3RER9xtqwdhxkhw/edit?usp=sharing"",""สระบุรี!J423"")"),0)</f>
        <v>0</v>
      </c>
      <c r="CD72" s="55">
        <f ca="1">IFERROR(__xludf.DUMMYFUNCTION("IMPORTRANGE(""https://docs.google.com/spreadsheets/d/1SX6NBoVAgQJ6U1MVXOaj8PK2l7WJ3RER9xtqwdhxkhw/edit?usp=sharing"",""สระบุรี!J424"")"),0)</f>
        <v>0</v>
      </c>
      <c r="CE72" s="422">
        <f ca="1">IFERROR(__xludf.DUMMYFUNCTION("IMPORTRANGE(""https://docs.google.com/spreadsheets/d/1SX6NBoVAgQJ6U1MVXOaj8PK2l7WJ3RER9xtqwdhxkhw/edit?usp=sharing"",""สระบุรี!J425"")"),0)</f>
        <v>0</v>
      </c>
    </row>
    <row r="73" spans="1:83" ht="24" customHeight="1" x14ac:dyDescent="0.5">
      <c r="A73" s="273">
        <v>19</v>
      </c>
      <c r="B73" s="274" t="s">
        <v>88</v>
      </c>
      <c r="C73" s="400">
        <f t="shared" si="105"/>
        <v>0</v>
      </c>
      <c r="D73" s="55">
        <v>0</v>
      </c>
      <c r="E73" s="401">
        <v>0</v>
      </c>
      <c r="F73" s="99">
        <f ca="1">IFERROR(__xludf.DUMMYFUNCTION("IMPORTRANGE(""https://docs.google.com/spreadsheets/d/1SX6NBoVAgQJ6U1MVXOaj8PK2l7WJ3RER9xtqwdhxkhw/edit?usp=sharing"",""สิงห์บุรี!M352"")"),0)</f>
        <v>0</v>
      </c>
      <c r="G73" s="99">
        <f t="shared" si="1"/>
        <v>0</v>
      </c>
      <c r="H73" s="57">
        <v>0</v>
      </c>
      <c r="I73" s="57">
        <v>0</v>
      </c>
      <c r="J73" s="55">
        <f t="shared" ca="1" si="106"/>
        <v>0</v>
      </c>
      <c r="K73" s="99">
        <f t="shared" si="3"/>
        <v>0</v>
      </c>
      <c r="L73" s="55">
        <f t="shared" ca="1" si="107"/>
        <v>0</v>
      </c>
      <c r="M73" s="99">
        <f t="shared" si="4"/>
        <v>0</v>
      </c>
      <c r="N73" s="55">
        <f ca="1">IFERROR(__xludf.DUMMYFUNCTION("IMPORTRANGE(""https://docs.google.com/spreadsheets/d/1SX6NBoVAgQJ6U1MVXOaj8PK2l7WJ3RER9xtqwdhxkhw/edit?usp=sharing"",""สิงห์บุรี!J362"")"),0)</f>
        <v>0</v>
      </c>
      <c r="O73" s="55">
        <f ca="1">IFERROR(__xludf.DUMMYFUNCTION("IMPORTRANGE(""https://docs.google.com/spreadsheets/d/1SX6NBoVAgQJ6U1MVXOaj8PK2l7WJ3RER9xtqwdhxkhw/edit?usp=sharing"",""สิงห์บุรี!J363"")"),0)</f>
        <v>0</v>
      </c>
      <c r="P73" s="55">
        <f ca="1">IFERROR(__xludf.DUMMYFUNCTION("IMPORTRANGE(""https://docs.google.com/spreadsheets/d/1SX6NBoVAgQJ6U1MVXOaj8PK2l7WJ3RER9xtqwdhxkhw/edit?usp=sharing"",""สิงห์บุรี!J364"")"),0)</f>
        <v>0</v>
      </c>
      <c r="Q73" s="55">
        <f ca="1">IFERROR(__xludf.DUMMYFUNCTION("IMPORTRANGE(""https://docs.google.com/spreadsheets/d/1SX6NBoVAgQJ6U1MVXOaj8PK2l7WJ3RER9xtqwdhxkhw/edit?usp=sharing"",""สิงห์บุรี!J365"")"),0)</f>
        <v>0</v>
      </c>
      <c r="R73" s="55">
        <f ca="1">IFERROR(__xludf.DUMMYFUNCTION("IMPORTRANGE(""https://docs.google.com/spreadsheets/d/1SX6NBoVAgQJ6U1MVXOaj8PK2l7WJ3RER9xtqwdhxkhw/edit?usp=sharing"",""สิงห์บุรี!J366"")"),0)</f>
        <v>0</v>
      </c>
      <c r="S73" s="55">
        <f ca="1">IFERROR(__xludf.DUMMYFUNCTION("IMPORTRANGE(""https://docs.google.com/spreadsheets/d/1SX6NBoVAgQJ6U1MVXOaj8PK2l7WJ3RER9xtqwdhxkhw/edit?usp=sharing"",""สิงห์บุรี!J367"")"),0)</f>
        <v>0</v>
      </c>
      <c r="T73" s="55">
        <f t="shared" ca="1" si="108"/>
        <v>0</v>
      </c>
      <c r="U73" s="55">
        <f t="shared" si="6"/>
        <v>0</v>
      </c>
      <c r="V73" s="55">
        <f t="shared" ca="1" si="109"/>
        <v>0</v>
      </c>
      <c r="W73" s="55">
        <f t="shared" si="7"/>
        <v>0</v>
      </c>
      <c r="X73" s="55">
        <f ca="1">IFERROR(__xludf.DUMMYFUNCTION("IMPORTRANGE(""https://docs.google.com/spreadsheets/d/1SX6NBoVAgQJ6U1MVXOaj8PK2l7WJ3RER9xtqwdhxkhw/edit?usp=sharing"",""สิงห์บุรี!J370"")"),0)</f>
        <v>0</v>
      </c>
      <c r="Y73" s="55">
        <f ca="1">IFERROR(__xludf.DUMMYFUNCTION("IMPORTRANGE(""https://docs.google.com/spreadsheets/d/1SX6NBoVAgQJ6U1MVXOaj8PK2l7WJ3RER9xtqwdhxkhw/edit?usp=sharing"",""สิงห์บุรี!J371"")"),0)</f>
        <v>0</v>
      </c>
      <c r="Z73" s="55">
        <f ca="1">IFERROR(__xludf.DUMMYFUNCTION("IMPORTRANGE(""https://docs.google.com/spreadsheets/d/1SX6NBoVAgQJ6U1MVXOaj8PK2l7WJ3RER9xtqwdhxkhw/edit?usp=sharing"",""สิงห์บุรี!J372"")"),0)</f>
        <v>0</v>
      </c>
      <c r="AA73" s="55">
        <f ca="1">IFERROR(__xludf.DUMMYFUNCTION("IMPORTRANGE(""https://docs.google.com/spreadsheets/d/1SX6NBoVAgQJ6U1MVXOaj8PK2l7WJ3RER9xtqwdhxkhw/edit?usp=sharing"",""สิงห์บุรี!J373"")"),0)</f>
        <v>0</v>
      </c>
      <c r="AB73" s="55">
        <f ca="1">IFERROR(__xludf.DUMMYFUNCTION("IMPORTRANGE(""https://docs.google.com/spreadsheets/d/1SX6NBoVAgQJ6U1MVXOaj8PK2l7WJ3RER9xtqwdhxkhw/edit?usp=sharing"",""สิงห์บุรี!J374"")"),0)</f>
        <v>0</v>
      </c>
      <c r="AC73" s="55">
        <f ca="1">IFERROR(__xludf.DUMMYFUNCTION("IMPORTRANGE(""https://docs.google.com/spreadsheets/d/1SX6NBoVAgQJ6U1MVXOaj8PK2l7WJ3RER9xtqwdhxkhw/edit?usp=sharing"",""สิงห์บุรี!J375"")"),0)</f>
        <v>0</v>
      </c>
      <c r="AD73" s="55">
        <f t="shared" ca="1" si="110"/>
        <v>0</v>
      </c>
      <c r="AE73" s="99">
        <f t="shared" si="9"/>
        <v>0</v>
      </c>
      <c r="AF73" s="55">
        <f t="shared" ca="1" si="111"/>
        <v>0</v>
      </c>
      <c r="AG73" s="99">
        <f t="shared" si="10"/>
        <v>0</v>
      </c>
      <c r="AH73" s="55">
        <f ca="1">IFERROR(__xludf.DUMMYFUNCTION("IMPORTRANGE(""https://docs.google.com/spreadsheets/d/1SX6NBoVAgQJ6U1MVXOaj8PK2l7WJ3RER9xtqwdhxkhw/edit?usp=sharing"",""สิงห์บุรี!J378"")"),0)</f>
        <v>0</v>
      </c>
      <c r="AI73" s="55">
        <f ca="1">IFERROR(__xludf.DUMMYFUNCTION("IMPORTRANGE(""https://docs.google.com/spreadsheets/d/1SX6NBoVAgQJ6U1MVXOaj8PK2l7WJ3RER9xtqwdhxkhw/edit?usp=sharing"",""สิงห์บุรี!J379"")"),0)</f>
        <v>0</v>
      </c>
      <c r="AJ73" s="55">
        <f ca="1">IFERROR(__xludf.DUMMYFUNCTION("IMPORTRANGE(""https://docs.google.com/spreadsheets/d/1SX6NBoVAgQJ6U1MVXOaj8PK2l7WJ3RER9xtqwdhxkhw/edit?usp=sharing"",""สิงห์บุรี!J380"")"),0)</f>
        <v>0</v>
      </c>
      <c r="AK73" s="55">
        <f ca="1">IFERROR(__xludf.DUMMYFUNCTION("IMPORTRANGE(""https://docs.google.com/spreadsheets/d/1SX6NBoVAgQJ6U1MVXOaj8PK2l7WJ3RER9xtqwdhxkhw/edit?usp=sharing"",""สิงห์บุรี!J381"")"),0)</f>
        <v>0</v>
      </c>
      <c r="AL73" s="55">
        <f ca="1">IFERROR(__xludf.DUMMYFUNCTION("IMPORTRANGE(""https://docs.google.com/spreadsheets/d/1SX6NBoVAgQJ6U1MVXOaj8PK2l7WJ3RER9xtqwdhxkhw/edit?usp=sharing"",""สิงห์บุรี!J384"")"),0)</f>
        <v>0</v>
      </c>
      <c r="AM73" s="55">
        <f ca="1">IFERROR(__xludf.DUMMYFUNCTION("IMPORTRANGE(""https://docs.google.com/spreadsheets/d/1SX6NBoVAgQJ6U1MVXOaj8PK2l7WJ3RER9xtqwdhxkhw/edit?usp=sharing"",""สิงห์บุรี!J385"")"),0)</f>
        <v>0</v>
      </c>
      <c r="AN73" s="55">
        <f ca="1">IFERROR(__xludf.DUMMYFUNCTION("IMPORTRANGE(""https://docs.google.com/spreadsheets/d/1SX6NBoVAgQJ6U1MVXOaj8PK2l7WJ3RER9xtqwdhxkhw/edit?usp=sharing"",""สิงห์บุรี!J386"")"),0)</f>
        <v>0</v>
      </c>
      <c r="AO73" s="55">
        <f ca="1">IFERROR(__xludf.DUMMYFUNCTION("IMPORTRANGE(""https://docs.google.com/spreadsheets/d/1SX6NBoVAgQJ6U1MVXOaj8PK2l7WJ3RER9xtqwdhxkhw/edit?usp=sharing"",""สิงห์บุรี!J387"")"),0)</f>
        <v>0</v>
      </c>
      <c r="AP73" s="55">
        <f ca="1">IFERROR(__xludf.DUMMYFUNCTION("IMPORTRANGE(""https://docs.google.com/spreadsheets/d/1SX6NBoVAgQJ6U1MVXOaj8PK2l7WJ3RER9xtqwdhxkhw/edit?usp=sharing"",""สิงห์บุรี!J388"")"),0)</f>
        <v>0</v>
      </c>
      <c r="AQ73" s="55">
        <f ca="1">IFERROR(__xludf.DUMMYFUNCTION("IMPORTRANGE(""https://docs.google.com/spreadsheets/d/1SX6NBoVAgQJ6U1MVXOaj8PK2l7WJ3RER9xtqwdhxkhw/edit?usp=sharing"",""สิงห์บุรี!J389"")"),0)</f>
        <v>0</v>
      </c>
      <c r="AR73" s="402">
        <v>0</v>
      </c>
      <c r="AS73" s="402">
        <v>0</v>
      </c>
      <c r="AT73" s="402">
        <f t="shared" ca="1" si="112"/>
        <v>0</v>
      </c>
      <c r="AU73" s="402">
        <f t="shared" si="12"/>
        <v>0</v>
      </c>
      <c r="AV73" s="402">
        <f t="shared" ca="1" si="113"/>
        <v>0</v>
      </c>
      <c r="AW73" s="402">
        <f t="shared" si="13"/>
        <v>0</v>
      </c>
      <c r="AX73" s="55">
        <f ca="1">IFERROR(__xludf.DUMMYFUNCTION("IMPORTRANGE(""https://docs.google.com/spreadsheets/d/1SX6NBoVAgQJ6U1MVXOaj8PK2l7WJ3RER9xtqwdhxkhw/edit?usp=sharing"",""สิงห์บุรี!J395"")"),0)</f>
        <v>0</v>
      </c>
      <c r="AY73" s="55">
        <f ca="1">IFERROR(__xludf.DUMMYFUNCTION("IMPORTRANGE(""https://docs.google.com/spreadsheets/d/1SX6NBoVAgQJ6U1MVXOaj8PK2l7WJ3RER9xtqwdhxkhw/edit?usp=sharing"",""สิงห์บุรี!J396"")"),0)</f>
        <v>0</v>
      </c>
      <c r="AZ73" s="55">
        <f ca="1">IFERROR(__xludf.DUMMYFUNCTION("IMPORTRANGE(""https://docs.google.com/spreadsheets/d/1SX6NBoVAgQJ6U1MVXOaj8PK2l7WJ3RER9xtqwdhxkhw/edit?usp=sharing"",""สิงห์บุรี!J397"")"),0)</f>
        <v>0</v>
      </c>
      <c r="BA73" s="55">
        <f ca="1">IFERROR(__xludf.DUMMYFUNCTION("IMPORTRANGE(""https://docs.google.com/spreadsheets/d/1SX6NBoVAgQJ6U1MVXOaj8PK2l7WJ3RER9xtqwdhxkhw/edit?usp=sharing"",""สิงห์บุรี!J398"")"),0)</f>
        <v>0</v>
      </c>
      <c r="BB73" s="55">
        <f ca="1">IFERROR(__xludf.DUMMYFUNCTION("IMPORTRANGE(""https://docs.google.com/spreadsheets/d/1SX6NBoVAgQJ6U1MVXOaj8PK2l7WJ3RER9xtqwdhxkhw/edit?usp=sharing"",""สิงห์บุรี!J399"")"),0)</f>
        <v>0</v>
      </c>
      <c r="BC73" s="55">
        <f ca="1">IFERROR(__xludf.DUMMYFUNCTION("IMPORTRANGE(""https://docs.google.com/spreadsheets/d/1SX6NBoVAgQJ6U1MVXOaj8PK2l7WJ3RER9xtqwdhxkhw/edit?usp=sharing"",""สิงห์บุรี!J400"")"),0)</f>
        <v>0</v>
      </c>
      <c r="BD73" s="55">
        <f ca="1">IFERROR(__xludf.DUMMYFUNCTION("IMPORTRANGE(""https://docs.google.com/spreadsheets/d/1SX6NBoVAgQJ6U1MVXOaj8PK2l7WJ3RER9xtqwdhxkhw/edit?usp=sharing"",""สิงห์บุรี!J403"")"),0)</f>
        <v>0</v>
      </c>
      <c r="BE73" s="55">
        <f ca="1">IFERROR(__xludf.DUMMYFUNCTION("IMPORTRANGE(""https://docs.google.com/spreadsheets/d/1SX6NBoVAgQJ6U1MVXOaj8PK2l7WJ3RER9xtqwdhxkhw/edit?usp=sharing"",""สิงห์บุรี!J404"")"),0)</f>
        <v>0</v>
      </c>
      <c r="BF73" s="55">
        <f ca="1">IFERROR(__xludf.DUMMYFUNCTION("IMPORTRANGE(""https://docs.google.com/spreadsheets/d/1SX6NBoVAgQJ6U1MVXOaj8PK2l7WJ3RER9xtqwdhxkhw/edit?usp=sharing"",""สิงห์บุรี!J405"")"),0)</f>
        <v>0</v>
      </c>
      <c r="BG73" s="55">
        <f ca="1">IFERROR(__xludf.DUMMYFUNCTION("IMPORTRANGE(""https://docs.google.com/spreadsheets/d/1SX6NBoVAgQJ6U1MVXOaj8PK2l7WJ3RER9xtqwdhxkhw/edit?usp=sharing"",""สิงห์บุรี!J406"")"),0)</f>
        <v>0</v>
      </c>
      <c r="BH73" s="55">
        <f ca="1">IFERROR(__xludf.DUMMYFUNCTION("IMPORTRANGE(""https://docs.google.com/spreadsheets/d/1SX6NBoVAgQJ6U1MVXOaj8PK2l7WJ3RER9xtqwdhxkhw/edit?usp=sharing"",""สิงห์บุรี!J407"")"),0)</f>
        <v>0</v>
      </c>
      <c r="BI73" s="55">
        <f ca="1">IFERROR(__xludf.DUMMYFUNCTION("IMPORTRANGE(""https://docs.google.com/spreadsheets/d/1SX6NBoVAgQJ6U1MVXOaj8PK2l7WJ3RER9xtqwdhxkhw/edit?usp=sharing"",""สิงห์บุรี!J408"")"),0)</f>
        <v>0</v>
      </c>
      <c r="BJ73" s="402">
        <v>0</v>
      </c>
      <c r="BK73" s="402">
        <v>0</v>
      </c>
      <c r="BL73" s="402">
        <f t="shared" ca="1" si="114"/>
        <v>0</v>
      </c>
      <c r="BM73" s="403">
        <f t="shared" si="15"/>
        <v>0</v>
      </c>
      <c r="BN73" s="402">
        <f t="shared" ca="1" si="115"/>
        <v>0</v>
      </c>
      <c r="BO73" s="403">
        <f t="shared" si="16"/>
        <v>0</v>
      </c>
      <c r="BP73" s="55">
        <f ca="1">IFERROR(__xludf.DUMMYFUNCTION("IMPORTRANGE(""https://docs.google.com/spreadsheets/d/1SX6NBoVAgQJ6U1MVXOaj8PK2l7WJ3RER9xtqwdhxkhw/edit?usp=sharing"",""สิงห์บุรี!J412"")"),0)</f>
        <v>0</v>
      </c>
      <c r="BQ73" s="55">
        <f ca="1">IFERROR(__xludf.DUMMYFUNCTION("IMPORTRANGE(""https://docs.google.com/spreadsheets/d/1SX6NBoVAgQJ6U1MVXOaj8PK2l7WJ3RER9xtqwdhxkhw/edit?usp=sharing"",""สิงห์บุรี!J413"")"),0)</f>
        <v>0</v>
      </c>
      <c r="BR73" s="55">
        <f ca="1">IFERROR(__xludf.DUMMYFUNCTION("IMPORTRANGE(""https://docs.google.com/spreadsheets/d/1SX6NBoVAgQJ6U1MVXOaj8PK2l7WJ3RER9xtqwdhxkhw/edit?usp=sharing"",""สิงห์บุรี!J414"")"),0)</f>
        <v>0</v>
      </c>
      <c r="BS73" s="55">
        <f ca="1">IFERROR(__xludf.DUMMYFUNCTION("IMPORTRANGE(""https://docs.google.com/spreadsheets/d/1SX6NBoVAgQJ6U1MVXOaj8PK2l7WJ3RER9xtqwdhxkhw/edit?usp=sharing"",""สิงห์บุรี!J415"")"),0)</f>
        <v>0</v>
      </c>
      <c r="BT73" s="55">
        <f ca="1">IFERROR(__xludf.DUMMYFUNCTION("IMPORTRANGE(""https://docs.google.com/spreadsheets/d/1SX6NBoVAgQJ6U1MVXOaj8PK2l7WJ3RER9xtqwdhxkhw/edit?usp=sharing"",""สิงห์บุรี!J416"")"),0)</f>
        <v>0</v>
      </c>
      <c r="BU73" s="55">
        <f ca="1">IFERROR(__xludf.DUMMYFUNCTION("IMPORTRANGE(""https://docs.google.com/spreadsheets/d/1SX6NBoVAgQJ6U1MVXOaj8PK2l7WJ3RER9xtqwdhxkhw/edit?usp=sharing"",""สิงห์บุรี!J417"")"),0)</f>
        <v>0</v>
      </c>
      <c r="BV73" s="402">
        <f t="shared" ca="1" si="116"/>
        <v>0</v>
      </c>
      <c r="BW73" s="403">
        <f t="shared" ca="1" si="117"/>
        <v>0</v>
      </c>
      <c r="BX73" s="402">
        <f t="shared" ca="1" si="118"/>
        <v>0</v>
      </c>
      <c r="BY73" s="403">
        <f t="shared" ca="1" si="119"/>
        <v>0</v>
      </c>
      <c r="BZ73" s="55">
        <f ca="1">IFERROR(__xludf.DUMMYFUNCTION("IMPORTRANGE(""https://docs.google.com/spreadsheets/d/1SX6NBoVAgQJ6U1MVXOaj8PK2l7WJ3RER9xtqwdhxkhw/edit?usp=sharing"",""สิงห์บุรี!J420"")"),0)</f>
        <v>0</v>
      </c>
      <c r="CA73" s="55">
        <f ca="1">IFERROR(__xludf.DUMMYFUNCTION("IMPORTRANGE(""https://docs.google.com/spreadsheets/d/1SX6NBoVAgQJ6U1MVXOaj8PK2l7WJ3RER9xtqwdhxkhw/edit?usp=sharing"",""สิงห์บุรี!J421"")"),0)</f>
        <v>0</v>
      </c>
      <c r="CB73" s="55">
        <f ca="1">IFERROR(__xludf.DUMMYFUNCTION("IMPORTRANGE(""https://docs.google.com/spreadsheets/d/1SX6NBoVAgQJ6U1MVXOaj8PK2l7WJ3RER9xtqwdhxkhw/edit?usp=sharing"",""สิงห์บุรี!J422"")"),0)</f>
        <v>0</v>
      </c>
      <c r="CC73" s="55">
        <f ca="1">IFERROR(__xludf.DUMMYFUNCTION("IMPORTRANGE(""https://docs.google.com/spreadsheets/d/1SX6NBoVAgQJ6U1MVXOaj8PK2l7WJ3RER9xtqwdhxkhw/edit?usp=sharing"",""สิงห์บุรี!J423"")"),0)</f>
        <v>0</v>
      </c>
      <c r="CD73" s="55">
        <f ca="1">IFERROR(__xludf.DUMMYFUNCTION("IMPORTRANGE(""https://docs.google.com/spreadsheets/d/1SX6NBoVAgQJ6U1MVXOaj8PK2l7WJ3RER9xtqwdhxkhw/edit?usp=sharing"",""สิงห์บุรี!J424"")"),0)</f>
        <v>0</v>
      </c>
      <c r="CE73" s="422">
        <f ca="1">IFERROR(__xludf.DUMMYFUNCTION("IMPORTRANGE(""https://docs.google.com/spreadsheets/d/1SX6NBoVAgQJ6U1MVXOaj8PK2l7WJ3RER9xtqwdhxkhw/edit?usp=sharing"",""สิงห์บุรี!J425"")"),0)</f>
        <v>0</v>
      </c>
    </row>
    <row r="74" spans="1:83" ht="24" customHeight="1" x14ac:dyDescent="0.5">
      <c r="A74" s="273">
        <v>20</v>
      </c>
      <c r="B74" s="274" t="s">
        <v>89</v>
      </c>
      <c r="C74" s="400">
        <f t="shared" si="105"/>
        <v>473295.37</v>
      </c>
      <c r="D74" s="55">
        <v>0</v>
      </c>
      <c r="E74" s="401">
        <v>473295.37</v>
      </c>
      <c r="F74" s="99">
        <f ca="1">IFERROR(__xludf.DUMMYFUNCTION("IMPORTRANGE(""https://docs.google.com/spreadsheets/d/1SX6NBoVAgQJ6U1MVXOaj8PK2l7WJ3RER9xtqwdhxkhw/edit?usp=sharing"",""สุพรรณบุรี!M352"")"),10838.73)</f>
        <v>10838.73</v>
      </c>
      <c r="G74" s="99">
        <f t="shared" ca="1" si="1"/>
        <v>2.2900562073953945</v>
      </c>
      <c r="H74" s="57">
        <v>35175</v>
      </c>
      <c r="I74" s="57">
        <v>5113</v>
      </c>
      <c r="J74" s="55">
        <f t="shared" ca="1" si="106"/>
        <v>0</v>
      </c>
      <c r="K74" s="99">
        <f t="shared" ca="1" si="3"/>
        <v>0</v>
      </c>
      <c r="L74" s="55">
        <f t="shared" ca="1" si="107"/>
        <v>0</v>
      </c>
      <c r="M74" s="99">
        <f t="shared" ca="1" si="4"/>
        <v>0</v>
      </c>
      <c r="N74" s="55">
        <f ca="1">IFERROR(__xludf.DUMMYFUNCTION("IMPORTRANGE(""https://docs.google.com/spreadsheets/d/1SX6NBoVAgQJ6U1MVXOaj8PK2l7WJ3RER9xtqwdhxkhw/edit?usp=sharing"",""สุพรรณบุรี!J362"")"),0)</f>
        <v>0</v>
      </c>
      <c r="O74" s="55">
        <f ca="1">IFERROR(__xludf.DUMMYFUNCTION("IMPORTRANGE(""https://docs.google.com/spreadsheets/d/1SX6NBoVAgQJ6U1MVXOaj8PK2l7WJ3RER9xtqwdhxkhw/edit?usp=sharing"",""สุพรรณบุรี!J363"")"),0)</f>
        <v>0</v>
      </c>
      <c r="P74" s="55">
        <f ca="1">IFERROR(__xludf.DUMMYFUNCTION("IMPORTRANGE(""https://docs.google.com/spreadsheets/d/1SX6NBoVAgQJ6U1MVXOaj8PK2l7WJ3RER9xtqwdhxkhw/edit?usp=sharing"",""สุพรรณบุรี!J364"")"),0)</f>
        <v>0</v>
      </c>
      <c r="Q74" s="55">
        <f ca="1">IFERROR(__xludf.DUMMYFUNCTION("IMPORTRANGE(""https://docs.google.com/spreadsheets/d/1SX6NBoVAgQJ6U1MVXOaj8PK2l7WJ3RER9xtqwdhxkhw/edit?usp=sharing"",""สุพรรณบุรี!J365"")"),0)</f>
        <v>0</v>
      </c>
      <c r="R74" s="55">
        <f ca="1">IFERROR(__xludf.DUMMYFUNCTION("IMPORTRANGE(""https://docs.google.com/spreadsheets/d/1SX6NBoVAgQJ6U1MVXOaj8PK2l7WJ3RER9xtqwdhxkhw/edit?usp=sharing"",""สุพรรณบุรี!J366"")"),0)</f>
        <v>0</v>
      </c>
      <c r="S74" s="55">
        <f ca="1">IFERROR(__xludf.DUMMYFUNCTION("IMPORTRANGE(""https://docs.google.com/spreadsheets/d/1SX6NBoVAgQJ6U1MVXOaj8PK2l7WJ3RER9xtqwdhxkhw/edit?usp=sharing"",""สุพรรณบุรี!J367"")"),0)</f>
        <v>0</v>
      </c>
      <c r="T74" s="55">
        <f t="shared" ca="1" si="108"/>
        <v>0</v>
      </c>
      <c r="U74" s="55">
        <f t="shared" ca="1" si="6"/>
        <v>0</v>
      </c>
      <c r="V74" s="55">
        <f t="shared" ca="1" si="109"/>
        <v>0</v>
      </c>
      <c r="W74" s="55">
        <f t="shared" ca="1" si="7"/>
        <v>0</v>
      </c>
      <c r="X74" s="55">
        <f ca="1">IFERROR(__xludf.DUMMYFUNCTION("IMPORTRANGE(""https://docs.google.com/spreadsheets/d/1SX6NBoVAgQJ6U1MVXOaj8PK2l7WJ3RER9xtqwdhxkhw/edit?usp=sharing"",""สุพรรณบุรี!J370"")"),0)</f>
        <v>0</v>
      </c>
      <c r="Y74" s="55">
        <f ca="1">IFERROR(__xludf.DUMMYFUNCTION("IMPORTRANGE(""https://docs.google.com/spreadsheets/d/1SX6NBoVAgQJ6U1MVXOaj8PK2l7WJ3RER9xtqwdhxkhw/edit?usp=sharing"",""สุพรรณบุรี!J371"")"),0)</f>
        <v>0</v>
      </c>
      <c r="Z74" s="55">
        <f ca="1">IFERROR(__xludf.DUMMYFUNCTION("IMPORTRANGE(""https://docs.google.com/spreadsheets/d/1SX6NBoVAgQJ6U1MVXOaj8PK2l7WJ3RER9xtqwdhxkhw/edit?usp=sharing"",""สุพรรณบุรี!J372"")"),0)</f>
        <v>0</v>
      </c>
      <c r="AA74" s="55">
        <f ca="1">IFERROR(__xludf.DUMMYFUNCTION("IMPORTRANGE(""https://docs.google.com/spreadsheets/d/1SX6NBoVAgQJ6U1MVXOaj8PK2l7WJ3RER9xtqwdhxkhw/edit?usp=sharing"",""สุพรรณบุรี!J373"")"),0)</f>
        <v>0</v>
      </c>
      <c r="AB74" s="55">
        <f ca="1">IFERROR(__xludf.DUMMYFUNCTION("IMPORTRANGE(""https://docs.google.com/spreadsheets/d/1SX6NBoVAgQJ6U1MVXOaj8PK2l7WJ3RER9xtqwdhxkhw/edit?usp=sharing"",""สุพรรณบุรี!J374"")"),0)</f>
        <v>0</v>
      </c>
      <c r="AC74" s="55">
        <f ca="1">IFERROR(__xludf.DUMMYFUNCTION("IMPORTRANGE(""https://docs.google.com/spreadsheets/d/1SX6NBoVAgQJ6U1MVXOaj8PK2l7WJ3RER9xtqwdhxkhw/edit?usp=sharing"",""สุพรรณบุรี!J375"")"),0)</f>
        <v>0</v>
      </c>
      <c r="AD74" s="55">
        <f t="shared" ca="1" si="110"/>
        <v>0</v>
      </c>
      <c r="AE74" s="99">
        <f t="shared" ca="1" si="9"/>
        <v>0</v>
      </c>
      <c r="AF74" s="55">
        <f t="shared" ca="1" si="111"/>
        <v>0</v>
      </c>
      <c r="AG74" s="99">
        <f t="shared" ca="1" si="10"/>
        <v>0</v>
      </c>
      <c r="AH74" s="55">
        <f ca="1">IFERROR(__xludf.DUMMYFUNCTION("IMPORTRANGE(""https://docs.google.com/spreadsheets/d/1SX6NBoVAgQJ6U1MVXOaj8PK2l7WJ3RER9xtqwdhxkhw/edit?usp=sharing"",""สุพรรณบุรี!J378"")"),0)</f>
        <v>0</v>
      </c>
      <c r="AI74" s="55">
        <f ca="1">IFERROR(__xludf.DUMMYFUNCTION("IMPORTRANGE(""https://docs.google.com/spreadsheets/d/1SX6NBoVAgQJ6U1MVXOaj8PK2l7WJ3RER9xtqwdhxkhw/edit?usp=sharing"",""สุพรรณบุรี!J379"")"),0)</f>
        <v>0</v>
      </c>
      <c r="AJ74" s="55">
        <f ca="1">IFERROR(__xludf.DUMMYFUNCTION("IMPORTRANGE(""https://docs.google.com/spreadsheets/d/1SX6NBoVAgQJ6U1MVXOaj8PK2l7WJ3RER9xtqwdhxkhw/edit?usp=sharing"",""สุพรรณบุรี!J380"")"),0)</f>
        <v>0</v>
      </c>
      <c r="AK74" s="55">
        <f ca="1">IFERROR(__xludf.DUMMYFUNCTION("IMPORTRANGE(""https://docs.google.com/spreadsheets/d/1SX6NBoVAgQJ6U1MVXOaj8PK2l7WJ3RER9xtqwdhxkhw/edit?usp=sharing"",""สุพรรณบุรี!J381"")"),0)</f>
        <v>0</v>
      </c>
      <c r="AL74" s="55">
        <f ca="1">IFERROR(__xludf.DUMMYFUNCTION("IMPORTRANGE(""https://docs.google.com/spreadsheets/d/1SX6NBoVAgQJ6U1MVXOaj8PK2l7WJ3RER9xtqwdhxkhw/edit?usp=sharing"",""สุพรรณบุรี!J384"")"),0)</f>
        <v>0</v>
      </c>
      <c r="AM74" s="55">
        <f ca="1">IFERROR(__xludf.DUMMYFUNCTION("IMPORTRANGE(""https://docs.google.com/spreadsheets/d/1SX6NBoVAgQJ6U1MVXOaj8PK2l7WJ3RER9xtqwdhxkhw/edit?usp=sharing"",""สุพรรณบุรี!J385"")"),0)</f>
        <v>0</v>
      </c>
      <c r="AN74" s="55">
        <f ca="1">IFERROR(__xludf.DUMMYFUNCTION("IMPORTRANGE(""https://docs.google.com/spreadsheets/d/1SX6NBoVAgQJ6U1MVXOaj8PK2l7WJ3RER9xtqwdhxkhw/edit?usp=sharing"",""สุพรรณบุรี!J386"")"),0)</f>
        <v>0</v>
      </c>
      <c r="AO74" s="55">
        <f ca="1">IFERROR(__xludf.DUMMYFUNCTION("IMPORTRANGE(""https://docs.google.com/spreadsheets/d/1SX6NBoVAgQJ6U1MVXOaj8PK2l7WJ3RER9xtqwdhxkhw/edit?usp=sharing"",""สุพรรณบุรี!J387"")"),0)</f>
        <v>0</v>
      </c>
      <c r="AP74" s="55">
        <f ca="1">IFERROR(__xludf.DUMMYFUNCTION("IMPORTRANGE(""https://docs.google.com/spreadsheets/d/1SX6NBoVAgQJ6U1MVXOaj8PK2l7WJ3RER9xtqwdhxkhw/edit?usp=sharing"",""สุพรรณบุรี!J388"")"),0)</f>
        <v>0</v>
      </c>
      <c r="AQ74" s="55">
        <f ca="1">IFERROR(__xludf.DUMMYFUNCTION("IMPORTRANGE(""https://docs.google.com/spreadsheets/d/1SX6NBoVAgQJ6U1MVXOaj8PK2l7WJ3RER9xtqwdhxkhw/edit?usp=sharing"",""สุพรรณบุรี!J389"")"),0)</f>
        <v>0</v>
      </c>
      <c r="AR74" s="402">
        <v>318</v>
      </c>
      <c r="AS74" s="402">
        <v>4259</v>
      </c>
      <c r="AT74" s="402">
        <f t="shared" ca="1" si="112"/>
        <v>0</v>
      </c>
      <c r="AU74" s="402">
        <f t="shared" ca="1" si="12"/>
        <v>0</v>
      </c>
      <c r="AV74" s="402">
        <f t="shared" ca="1" si="113"/>
        <v>0</v>
      </c>
      <c r="AW74" s="402">
        <f t="shared" ca="1" si="13"/>
        <v>0</v>
      </c>
      <c r="AX74" s="55">
        <f ca="1">IFERROR(__xludf.DUMMYFUNCTION("IMPORTRANGE(""https://docs.google.com/spreadsheets/d/1SX6NBoVAgQJ6U1MVXOaj8PK2l7WJ3RER9xtqwdhxkhw/edit?usp=sharing"",""สุพรรณบุรี!J395"")"),0)</f>
        <v>0</v>
      </c>
      <c r="AY74" s="55">
        <f ca="1">IFERROR(__xludf.DUMMYFUNCTION("IMPORTRANGE(""https://docs.google.com/spreadsheets/d/1SX6NBoVAgQJ6U1MVXOaj8PK2l7WJ3RER9xtqwdhxkhw/edit?usp=sharing"",""สุพรรณบุรี!J396"")"),0)</f>
        <v>0</v>
      </c>
      <c r="AZ74" s="55">
        <f ca="1">IFERROR(__xludf.DUMMYFUNCTION("IMPORTRANGE(""https://docs.google.com/spreadsheets/d/1SX6NBoVAgQJ6U1MVXOaj8PK2l7WJ3RER9xtqwdhxkhw/edit?usp=sharing"",""สุพรรณบุรี!J397"")"),0)</f>
        <v>0</v>
      </c>
      <c r="BA74" s="55">
        <f ca="1">IFERROR(__xludf.DUMMYFUNCTION("IMPORTRANGE(""https://docs.google.com/spreadsheets/d/1SX6NBoVAgQJ6U1MVXOaj8PK2l7WJ3RER9xtqwdhxkhw/edit?usp=sharing"",""สุพรรณบุรี!J398"")"),0)</f>
        <v>0</v>
      </c>
      <c r="BB74" s="55">
        <f ca="1">IFERROR(__xludf.DUMMYFUNCTION("IMPORTRANGE(""https://docs.google.com/spreadsheets/d/1SX6NBoVAgQJ6U1MVXOaj8PK2l7WJ3RER9xtqwdhxkhw/edit?usp=sharing"",""สุพรรณบุรี!J399"")"),0)</f>
        <v>0</v>
      </c>
      <c r="BC74" s="55">
        <f ca="1">IFERROR(__xludf.DUMMYFUNCTION("IMPORTRANGE(""https://docs.google.com/spreadsheets/d/1SX6NBoVAgQJ6U1MVXOaj8PK2l7WJ3RER9xtqwdhxkhw/edit?usp=sharing"",""สุพรรณบุรี!J400"")"),0)</f>
        <v>0</v>
      </c>
      <c r="BD74" s="55">
        <f ca="1">IFERROR(__xludf.DUMMYFUNCTION("IMPORTRANGE(""https://docs.google.com/spreadsheets/d/1SX6NBoVAgQJ6U1MVXOaj8PK2l7WJ3RER9xtqwdhxkhw/edit?usp=sharing"",""สุพรรณบุรี!J403"")"),0)</f>
        <v>0</v>
      </c>
      <c r="BE74" s="55">
        <f ca="1">IFERROR(__xludf.DUMMYFUNCTION("IMPORTRANGE(""https://docs.google.com/spreadsheets/d/1SX6NBoVAgQJ6U1MVXOaj8PK2l7WJ3RER9xtqwdhxkhw/edit?usp=sharing"",""สุพรรณบุรี!J404"")"),0)</f>
        <v>0</v>
      </c>
      <c r="BF74" s="55">
        <f ca="1">IFERROR(__xludf.DUMMYFUNCTION("IMPORTRANGE(""https://docs.google.com/spreadsheets/d/1SX6NBoVAgQJ6U1MVXOaj8PK2l7WJ3RER9xtqwdhxkhw/edit?usp=sharing"",""สุพรรณบุรี!J405"")"),0)</f>
        <v>0</v>
      </c>
      <c r="BG74" s="55">
        <f ca="1">IFERROR(__xludf.DUMMYFUNCTION("IMPORTRANGE(""https://docs.google.com/spreadsheets/d/1SX6NBoVAgQJ6U1MVXOaj8PK2l7WJ3RER9xtqwdhxkhw/edit?usp=sharing"",""สุพรรณบุรี!J406"")"),0)</f>
        <v>0</v>
      </c>
      <c r="BH74" s="55">
        <f ca="1">IFERROR(__xludf.DUMMYFUNCTION("IMPORTRANGE(""https://docs.google.com/spreadsheets/d/1SX6NBoVAgQJ6U1MVXOaj8PK2l7WJ3RER9xtqwdhxkhw/edit?usp=sharing"",""สุพรรณบุรี!J407"")"),0)</f>
        <v>0</v>
      </c>
      <c r="BI74" s="55">
        <f ca="1">IFERROR(__xludf.DUMMYFUNCTION("IMPORTRANGE(""https://docs.google.com/spreadsheets/d/1SX6NBoVAgQJ6U1MVXOaj8PK2l7WJ3RER9xtqwdhxkhw/edit?usp=sharing"",""สุพรรณบุรี!J408"")"),0)</f>
        <v>0</v>
      </c>
      <c r="BJ74" s="402">
        <v>35175</v>
      </c>
      <c r="BK74" s="402">
        <v>5113</v>
      </c>
      <c r="BL74" s="402">
        <f t="shared" ca="1" si="114"/>
        <v>0</v>
      </c>
      <c r="BM74" s="403">
        <f t="shared" ca="1" si="15"/>
        <v>0</v>
      </c>
      <c r="BN74" s="402">
        <f t="shared" ca="1" si="115"/>
        <v>0</v>
      </c>
      <c r="BO74" s="403">
        <f t="shared" ca="1" si="16"/>
        <v>0</v>
      </c>
      <c r="BP74" s="55">
        <f ca="1">IFERROR(__xludf.DUMMYFUNCTION("IMPORTRANGE(""https://docs.google.com/spreadsheets/d/1SX6NBoVAgQJ6U1MVXOaj8PK2l7WJ3RER9xtqwdhxkhw/edit?usp=sharing"",""สุพรรณบุรี!J412"")"),0)</f>
        <v>0</v>
      </c>
      <c r="BQ74" s="55">
        <f ca="1">IFERROR(__xludf.DUMMYFUNCTION("IMPORTRANGE(""https://docs.google.com/spreadsheets/d/1SX6NBoVAgQJ6U1MVXOaj8PK2l7WJ3RER9xtqwdhxkhw/edit?usp=sharing"",""สุพรรณบุรี!J413"")"),0)</f>
        <v>0</v>
      </c>
      <c r="BR74" s="55">
        <f ca="1">IFERROR(__xludf.DUMMYFUNCTION("IMPORTRANGE(""https://docs.google.com/spreadsheets/d/1SX6NBoVAgQJ6U1MVXOaj8PK2l7WJ3RER9xtqwdhxkhw/edit?usp=sharing"",""สุพรรณบุรี!J414"")"),0)</f>
        <v>0</v>
      </c>
      <c r="BS74" s="55">
        <f ca="1">IFERROR(__xludf.DUMMYFUNCTION("IMPORTRANGE(""https://docs.google.com/spreadsheets/d/1SX6NBoVAgQJ6U1MVXOaj8PK2l7WJ3RER9xtqwdhxkhw/edit?usp=sharing"",""สุพรรณบุรี!J415"")"),0)</f>
        <v>0</v>
      </c>
      <c r="BT74" s="55">
        <f ca="1">IFERROR(__xludf.DUMMYFUNCTION("IMPORTRANGE(""https://docs.google.com/spreadsheets/d/1SX6NBoVAgQJ6U1MVXOaj8PK2l7WJ3RER9xtqwdhxkhw/edit?usp=sharing"",""สุพรรณบุรี!J416"")"),0)</f>
        <v>0</v>
      </c>
      <c r="BU74" s="55">
        <f ca="1">IFERROR(__xludf.DUMMYFUNCTION("IMPORTRANGE(""https://docs.google.com/spreadsheets/d/1SX6NBoVAgQJ6U1MVXOaj8PK2l7WJ3RER9xtqwdhxkhw/edit?usp=sharing"",""สุพรรณบุรี!J417"")"),0)</f>
        <v>0</v>
      </c>
      <c r="BV74" s="402">
        <f t="shared" ca="1" si="116"/>
        <v>0</v>
      </c>
      <c r="BW74" s="403">
        <f t="shared" ca="1" si="117"/>
        <v>0</v>
      </c>
      <c r="BX74" s="402">
        <f t="shared" ca="1" si="118"/>
        <v>0</v>
      </c>
      <c r="BY74" s="403">
        <f t="shared" ca="1" si="119"/>
        <v>0</v>
      </c>
      <c r="BZ74" s="55">
        <f ca="1">IFERROR(__xludf.DUMMYFUNCTION("IMPORTRANGE(""https://docs.google.com/spreadsheets/d/1SX6NBoVAgQJ6U1MVXOaj8PK2l7WJ3RER9xtqwdhxkhw/edit?usp=sharing"",""สุพรรณบุรี!J420"")"),0)</f>
        <v>0</v>
      </c>
      <c r="CA74" s="55">
        <f ca="1">IFERROR(__xludf.DUMMYFUNCTION("IMPORTRANGE(""https://docs.google.com/spreadsheets/d/1SX6NBoVAgQJ6U1MVXOaj8PK2l7WJ3RER9xtqwdhxkhw/edit?usp=sharing"",""สุพรรณบุรี!J421"")"),0)</f>
        <v>0</v>
      </c>
      <c r="CB74" s="55">
        <f ca="1">IFERROR(__xludf.DUMMYFUNCTION("IMPORTRANGE(""https://docs.google.com/spreadsheets/d/1SX6NBoVAgQJ6U1MVXOaj8PK2l7WJ3RER9xtqwdhxkhw/edit?usp=sharing"",""สุพรรณบุรี!J422"")"),0)</f>
        <v>0</v>
      </c>
      <c r="CC74" s="55">
        <f ca="1">IFERROR(__xludf.DUMMYFUNCTION("IMPORTRANGE(""https://docs.google.com/spreadsheets/d/1SX6NBoVAgQJ6U1MVXOaj8PK2l7WJ3RER9xtqwdhxkhw/edit?usp=sharing"",""สุพรรณบุรี!J423"")"),0)</f>
        <v>0</v>
      </c>
      <c r="CD74" s="55">
        <f ca="1">IFERROR(__xludf.DUMMYFUNCTION("IMPORTRANGE(""https://docs.google.com/spreadsheets/d/1SX6NBoVAgQJ6U1MVXOaj8PK2l7WJ3RER9xtqwdhxkhw/edit?usp=sharing"",""สุพรรณบุรี!J424"")"),0)</f>
        <v>0</v>
      </c>
      <c r="CE74" s="422">
        <f ca="1">IFERROR(__xludf.DUMMYFUNCTION("IMPORTRANGE(""https://docs.google.com/spreadsheets/d/1SX6NBoVAgQJ6U1MVXOaj8PK2l7WJ3RER9xtqwdhxkhw/edit?usp=sharing"",""สุพรรณบุรี!J425"")"),0)</f>
        <v>0</v>
      </c>
    </row>
    <row r="75" spans="1:83" ht="24" customHeight="1" x14ac:dyDescent="0.5">
      <c r="A75" s="278">
        <v>21</v>
      </c>
      <c r="B75" s="279" t="s">
        <v>90</v>
      </c>
      <c r="C75" s="404">
        <f t="shared" si="105"/>
        <v>0</v>
      </c>
      <c r="D75" s="62">
        <v>0</v>
      </c>
      <c r="E75" s="405">
        <v>0</v>
      </c>
      <c r="F75" s="100">
        <f ca="1">IFERROR(__xludf.DUMMYFUNCTION("IMPORTRANGE(""https://docs.google.com/spreadsheets/d/1SX6NBoVAgQJ6U1MVXOaj8PK2l7WJ3RER9xtqwdhxkhw/edit?usp=sharing"",""อ่างทอง!M352"")"),0)</f>
        <v>0</v>
      </c>
      <c r="G75" s="100">
        <f t="shared" si="1"/>
        <v>0</v>
      </c>
      <c r="H75" s="64">
        <v>0</v>
      </c>
      <c r="I75" s="64">
        <v>0</v>
      </c>
      <c r="J75" s="62">
        <f t="shared" ca="1" si="106"/>
        <v>0</v>
      </c>
      <c r="K75" s="100">
        <f t="shared" si="3"/>
        <v>0</v>
      </c>
      <c r="L75" s="62">
        <f t="shared" ca="1" si="107"/>
        <v>0</v>
      </c>
      <c r="M75" s="100">
        <f t="shared" si="4"/>
        <v>0</v>
      </c>
      <c r="N75" s="62">
        <f ca="1">IFERROR(__xludf.DUMMYFUNCTION("IMPORTRANGE(""https://docs.google.com/spreadsheets/d/1SX6NBoVAgQJ6U1MVXOaj8PK2l7WJ3RER9xtqwdhxkhw/edit?usp=sharing"",""อ่างทอง!J362"")"),0)</f>
        <v>0</v>
      </c>
      <c r="O75" s="62">
        <f ca="1">IFERROR(__xludf.DUMMYFUNCTION("IMPORTRANGE(""https://docs.google.com/spreadsheets/d/1SX6NBoVAgQJ6U1MVXOaj8PK2l7WJ3RER9xtqwdhxkhw/edit?usp=sharing"",""อ่างทอง!J363"")"),0)</f>
        <v>0</v>
      </c>
      <c r="P75" s="62">
        <f ca="1">IFERROR(__xludf.DUMMYFUNCTION("IMPORTRANGE(""https://docs.google.com/spreadsheets/d/1SX6NBoVAgQJ6U1MVXOaj8PK2l7WJ3RER9xtqwdhxkhw/edit?usp=sharing"",""อ่างทอง!J364"")"),0)</f>
        <v>0</v>
      </c>
      <c r="Q75" s="62">
        <f ca="1">IFERROR(__xludf.DUMMYFUNCTION("IMPORTRANGE(""https://docs.google.com/spreadsheets/d/1SX6NBoVAgQJ6U1MVXOaj8PK2l7WJ3RER9xtqwdhxkhw/edit?usp=sharing"",""อ่างทอง!J365"")"),0)</f>
        <v>0</v>
      </c>
      <c r="R75" s="62">
        <f ca="1">IFERROR(__xludf.DUMMYFUNCTION("IMPORTRANGE(""https://docs.google.com/spreadsheets/d/1SX6NBoVAgQJ6U1MVXOaj8PK2l7WJ3RER9xtqwdhxkhw/edit?usp=sharing"",""อ่างทอง!J366"")"),0)</f>
        <v>0</v>
      </c>
      <c r="S75" s="62">
        <f ca="1">IFERROR(__xludf.DUMMYFUNCTION("IMPORTRANGE(""https://docs.google.com/spreadsheets/d/1SX6NBoVAgQJ6U1MVXOaj8PK2l7WJ3RER9xtqwdhxkhw/edit?usp=sharing"",""อ่างทอง!J367"")"),0)</f>
        <v>0</v>
      </c>
      <c r="T75" s="62">
        <f t="shared" ca="1" si="108"/>
        <v>0</v>
      </c>
      <c r="U75" s="62">
        <f t="shared" si="6"/>
        <v>0</v>
      </c>
      <c r="V75" s="62">
        <f t="shared" ca="1" si="109"/>
        <v>0</v>
      </c>
      <c r="W75" s="62">
        <f t="shared" si="7"/>
        <v>0</v>
      </c>
      <c r="X75" s="62">
        <f ca="1">IFERROR(__xludf.DUMMYFUNCTION("IMPORTRANGE(""https://docs.google.com/spreadsheets/d/1SX6NBoVAgQJ6U1MVXOaj8PK2l7WJ3RER9xtqwdhxkhw/edit?usp=sharing"",""อ่างทอง!J370"")"),0)</f>
        <v>0</v>
      </c>
      <c r="Y75" s="62">
        <f ca="1">IFERROR(__xludf.DUMMYFUNCTION("IMPORTRANGE(""https://docs.google.com/spreadsheets/d/1SX6NBoVAgQJ6U1MVXOaj8PK2l7WJ3RER9xtqwdhxkhw/edit?usp=sharing"",""อ่างทอง!J371"")"),0)</f>
        <v>0</v>
      </c>
      <c r="Z75" s="62">
        <f ca="1">IFERROR(__xludf.DUMMYFUNCTION("IMPORTRANGE(""https://docs.google.com/spreadsheets/d/1SX6NBoVAgQJ6U1MVXOaj8PK2l7WJ3RER9xtqwdhxkhw/edit?usp=sharing"",""อ่างทอง!J372"")"),0)</f>
        <v>0</v>
      </c>
      <c r="AA75" s="62">
        <f ca="1">IFERROR(__xludf.DUMMYFUNCTION("IMPORTRANGE(""https://docs.google.com/spreadsheets/d/1SX6NBoVAgQJ6U1MVXOaj8PK2l7WJ3RER9xtqwdhxkhw/edit?usp=sharing"",""อ่างทอง!J373"")"),0)</f>
        <v>0</v>
      </c>
      <c r="AB75" s="62">
        <f ca="1">IFERROR(__xludf.DUMMYFUNCTION("IMPORTRANGE(""https://docs.google.com/spreadsheets/d/1SX6NBoVAgQJ6U1MVXOaj8PK2l7WJ3RER9xtqwdhxkhw/edit?usp=sharing"",""อ่างทอง!J374"")"),0)</f>
        <v>0</v>
      </c>
      <c r="AC75" s="62">
        <f ca="1">IFERROR(__xludf.DUMMYFUNCTION("IMPORTRANGE(""https://docs.google.com/spreadsheets/d/1SX6NBoVAgQJ6U1MVXOaj8PK2l7WJ3RER9xtqwdhxkhw/edit?usp=sharing"",""อ่างทอง!J375"")"),0)</f>
        <v>0</v>
      </c>
      <c r="AD75" s="62">
        <f t="shared" ca="1" si="110"/>
        <v>0</v>
      </c>
      <c r="AE75" s="100">
        <f t="shared" si="9"/>
        <v>0</v>
      </c>
      <c r="AF75" s="62">
        <f t="shared" ca="1" si="111"/>
        <v>0</v>
      </c>
      <c r="AG75" s="100">
        <f t="shared" si="10"/>
        <v>0</v>
      </c>
      <c r="AH75" s="62">
        <f ca="1">IFERROR(__xludf.DUMMYFUNCTION("IMPORTRANGE(""https://docs.google.com/spreadsheets/d/1SX6NBoVAgQJ6U1MVXOaj8PK2l7WJ3RER9xtqwdhxkhw/edit?usp=sharing"",""อ่างทอง!J378"")"),0)</f>
        <v>0</v>
      </c>
      <c r="AI75" s="62">
        <f ca="1">IFERROR(__xludf.DUMMYFUNCTION("IMPORTRANGE(""https://docs.google.com/spreadsheets/d/1SX6NBoVAgQJ6U1MVXOaj8PK2l7WJ3RER9xtqwdhxkhw/edit?usp=sharing"",""อ่างทอง!J379"")"),0)</f>
        <v>0</v>
      </c>
      <c r="AJ75" s="62">
        <f ca="1">IFERROR(__xludf.DUMMYFUNCTION("IMPORTRANGE(""https://docs.google.com/spreadsheets/d/1SX6NBoVAgQJ6U1MVXOaj8PK2l7WJ3RER9xtqwdhxkhw/edit?usp=sharing"",""อ่างทอง!J380"")"),0)</f>
        <v>0</v>
      </c>
      <c r="AK75" s="62">
        <f ca="1">IFERROR(__xludf.DUMMYFUNCTION("IMPORTRANGE(""https://docs.google.com/spreadsheets/d/1SX6NBoVAgQJ6U1MVXOaj8PK2l7WJ3RER9xtqwdhxkhw/edit?usp=sharing"",""อ่างทอง!J381"")"),0)</f>
        <v>0</v>
      </c>
      <c r="AL75" s="62">
        <f ca="1">IFERROR(__xludf.DUMMYFUNCTION("IMPORTRANGE(""https://docs.google.com/spreadsheets/d/1SX6NBoVAgQJ6U1MVXOaj8PK2l7WJ3RER9xtqwdhxkhw/edit?usp=sharing"",""อ่างทอง!J384"")"),0)</f>
        <v>0</v>
      </c>
      <c r="AM75" s="62">
        <f ca="1">IFERROR(__xludf.DUMMYFUNCTION("IMPORTRANGE(""https://docs.google.com/spreadsheets/d/1SX6NBoVAgQJ6U1MVXOaj8PK2l7WJ3RER9xtqwdhxkhw/edit?usp=sharing"",""อ่างทอง!J385"")"),0)</f>
        <v>0</v>
      </c>
      <c r="AN75" s="62">
        <f ca="1">IFERROR(__xludf.DUMMYFUNCTION("IMPORTRANGE(""https://docs.google.com/spreadsheets/d/1SX6NBoVAgQJ6U1MVXOaj8PK2l7WJ3RER9xtqwdhxkhw/edit?usp=sharing"",""อ่างทอง!J386"")"),0)</f>
        <v>0</v>
      </c>
      <c r="AO75" s="62">
        <f ca="1">IFERROR(__xludf.DUMMYFUNCTION("IMPORTRANGE(""https://docs.google.com/spreadsheets/d/1SX6NBoVAgQJ6U1MVXOaj8PK2l7WJ3RER9xtqwdhxkhw/edit?usp=sharing"",""อ่างทอง!J387"")"),0)</f>
        <v>0</v>
      </c>
      <c r="AP75" s="62">
        <f ca="1">IFERROR(__xludf.DUMMYFUNCTION("IMPORTRANGE(""https://docs.google.com/spreadsheets/d/1SX6NBoVAgQJ6U1MVXOaj8PK2l7WJ3RER9xtqwdhxkhw/edit?usp=sharing"",""อ่างทอง!J388"")"),0)</f>
        <v>0</v>
      </c>
      <c r="AQ75" s="62">
        <f ca="1">IFERROR(__xludf.DUMMYFUNCTION("IMPORTRANGE(""https://docs.google.com/spreadsheets/d/1SX6NBoVAgQJ6U1MVXOaj8PK2l7WJ3RER9xtqwdhxkhw/edit?usp=sharing"",""อ่างทอง!J389"")"),0)</f>
        <v>0</v>
      </c>
      <c r="AR75" s="406">
        <v>0</v>
      </c>
      <c r="AS75" s="406">
        <v>0</v>
      </c>
      <c r="AT75" s="406">
        <f t="shared" ca="1" si="112"/>
        <v>0</v>
      </c>
      <c r="AU75" s="406">
        <f t="shared" si="12"/>
        <v>0</v>
      </c>
      <c r="AV75" s="406">
        <f t="shared" ca="1" si="113"/>
        <v>0</v>
      </c>
      <c r="AW75" s="406">
        <f t="shared" si="13"/>
        <v>0</v>
      </c>
      <c r="AX75" s="62">
        <f ca="1">IFERROR(__xludf.DUMMYFUNCTION("IMPORTRANGE(""https://docs.google.com/spreadsheets/d/1SX6NBoVAgQJ6U1MVXOaj8PK2l7WJ3RER9xtqwdhxkhw/edit?usp=sharing"",""อ่างทอง!J395"")"),0)</f>
        <v>0</v>
      </c>
      <c r="AY75" s="62">
        <f ca="1">IFERROR(__xludf.DUMMYFUNCTION("IMPORTRANGE(""https://docs.google.com/spreadsheets/d/1SX6NBoVAgQJ6U1MVXOaj8PK2l7WJ3RER9xtqwdhxkhw/edit?usp=sharing"",""อ่างทอง!J396"")"),0)</f>
        <v>0</v>
      </c>
      <c r="AZ75" s="62">
        <f ca="1">IFERROR(__xludf.DUMMYFUNCTION("IMPORTRANGE(""https://docs.google.com/spreadsheets/d/1SX6NBoVAgQJ6U1MVXOaj8PK2l7WJ3RER9xtqwdhxkhw/edit?usp=sharing"",""อ่างทอง!J397"")"),0)</f>
        <v>0</v>
      </c>
      <c r="BA75" s="62">
        <f ca="1">IFERROR(__xludf.DUMMYFUNCTION("IMPORTRANGE(""https://docs.google.com/spreadsheets/d/1SX6NBoVAgQJ6U1MVXOaj8PK2l7WJ3RER9xtqwdhxkhw/edit?usp=sharing"",""อ่างทอง!J398"")"),0)</f>
        <v>0</v>
      </c>
      <c r="BB75" s="62">
        <f ca="1">IFERROR(__xludf.DUMMYFUNCTION("IMPORTRANGE(""https://docs.google.com/spreadsheets/d/1SX6NBoVAgQJ6U1MVXOaj8PK2l7WJ3RER9xtqwdhxkhw/edit?usp=sharing"",""อ่างทอง!J399"")"),0)</f>
        <v>0</v>
      </c>
      <c r="BC75" s="62">
        <f ca="1">IFERROR(__xludf.DUMMYFUNCTION("IMPORTRANGE(""https://docs.google.com/spreadsheets/d/1SX6NBoVAgQJ6U1MVXOaj8PK2l7WJ3RER9xtqwdhxkhw/edit?usp=sharing"",""อ่างทอง!J400"")"),0)</f>
        <v>0</v>
      </c>
      <c r="BD75" s="62">
        <f ca="1">IFERROR(__xludf.DUMMYFUNCTION("IMPORTRANGE(""https://docs.google.com/spreadsheets/d/1SX6NBoVAgQJ6U1MVXOaj8PK2l7WJ3RER9xtqwdhxkhw/edit?usp=sharing"",""อ่างทอง!J403"")"),0)</f>
        <v>0</v>
      </c>
      <c r="BE75" s="62">
        <f ca="1">IFERROR(__xludf.DUMMYFUNCTION("IMPORTRANGE(""https://docs.google.com/spreadsheets/d/1SX6NBoVAgQJ6U1MVXOaj8PK2l7WJ3RER9xtqwdhxkhw/edit?usp=sharing"",""อ่างทอง!J404"")"),0)</f>
        <v>0</v>
      </c>
      <c r="BF75" s="62">
        <f ca="1">IFERROR(__xludf.DUMMYFUNCTION("IMPORTRANGE(""https://docs.google.com/spreadsheets/d/1SX6NBoVAgQJ6U1MVXOaj8PK2l7WJ3RER9xtqwdhxkhw/edit?usp=sharing"",""อ่างทอง!J405"")"),0)</f>
        <v>0</v>
      </c>
      <c r="BG75" s="62">
        <f ca="1">IFERROR(__xludf.DUMMYFUNCTION("IMPORTRANGE(""https://docs.google.com/spreadsheets/d/1SX6NBoVAgQJ6U1MVXOaj8PK2l7WJ3RER9xtqwdhxkhw/edit?usp=sharing"",""อ่างทอง!J406"")"),0)</f>
        <v>0</v>
      </c>
      <c r="BH75" s="62">
        <f ca="1">IFERROR(__xludf.DUMMYFUNCTION("IMPORTRANGE(""https://docs.google.com/spreadsheets/d/1SX6NBoVAgQJ6U1MVXOaj8PK2l7WJ3RER9xtqwdhxkhw/edit?usp=sharing"",""อ่างทอง!J407"")"),0)</f>
        <v>0</v>
      </c>
      <c r="BI75" s="62">
        <f ca="1">IFERROR(__xludf.DUMMYFUNCTION("IMPORTRANGE(""https://docs.google.com/spreadsheets/d/1SX6NBoVAgQJ6U1MVXOaj8PK2l7WJ3RER9xtqwdhxkhw/edit?usp=sharing"",""อ่างทอง!J408"")"),0)</f>
        <v>0</v>
      </c>
      <c r="BJ75" s="406">
        <v>0</v>
      </c>
      <c r="BK75" s="406">
        <v>0</v>
      </c>
      <c r="BL75" s="406">
        <f t="shared" ca="1" si="114"/>
        <v>0</v>
      </c>
      <c r="BM75" s="407">
        <f t="shared" si="15"/>
        <v>0</v>
      </c>
      <c r="BN75" s="406">
        <f t="shared" ca="1" si="115"/>
        <v>0</v>
      </c>
      <c r="BO75" s="407">
        <f t="shared" si="16"/>
        <v>0</v>
      </c>
      <c r="BP75" s="62">
        <f ca="1">IFERROR(__xludf.DUMMYFUNCTION("IMPORTRANGE(""https://docs.google.com/spreadsheets/d/1SX6NBoVAgQJ6U1MVXOaj8PK2l7WJ3RER9xtqwdhxkhw/edit?usp=sharing"",""อ่างทอง!J412"")"),0)</f>
        <v>0</v>
      </c>
      <c r="BQ75" s="62">
        <f ca="1">IFERROR(__xludf.DUMMYFUNCTION("IMPORTRANGE(""https://docs.google.com/spreadsheets/d/1SX6NBoVAgQJ6U1MVXOaj8PK2l7WJ3RER9xtqwdhxkhw/edit?usp=sharing"",""อ่างทอง!J413"")"),0)</f>
        <v>0</v>
      </c>
      <c r="BR75" s="62">
        <f ca="1">IFERROR(__xludf.DUMMYFUNCTION("IMPORTRANGE(""https://docs.google.com/spreadsheets/d/1SX6NBoVAgQJ6U1MVXOaj8PK2l7WJ3RER9xtqwdhxkhw/edit?usp=sharing"",""อ่างทอง!J414"")"),0)</f>
        <v>0</v>
      </c>
      <c r="BS75" s="62">
        <f ca="1">IFERROR(__xludf.DUMMYFUNCTION("IMPORTRANGE(""https://docs.google.com/spreadsheets/d/1SX6NBoVAgQJ6U1MVXOaj8PK2l7WJ3RER9xtqwdhxkhw/edit?usp=sharing"",""อ่างทอง!J415"")"),0)</f>
        <v>0</v>
      </c>
      <c r="BT75" s="62">
        <f ca="1">IFERROR(__xludf.DUMMYFUNCTION("IMPORTRANGE(""https://docs.google.com/spreadsheets/d/1SX6NBoVAgQJ6U1MVXOaj8PK2l7WJ3RER9xtqwdhxkhw/edit?usp=sharing"",""อ่างทอง!J416"")"),0)</f>
        <v>0</v>
      </c>
      <c r="BU75" s="62">
        <f ca="1">IFERROR(__xludf.DUMMYFUNCTION("IMPORTRANGE(""https://docs.google.com/spreadsheets/d/1SX6NBoVAgQJ6U1MVXOaj8PK2l7WJ3RER9xtqwdhxkhw/edit?usp=sharing"",""อ่างทอง!J417"")"),0)</f>
        <v>0</v>
      </c>
      <c r="BV75" s="406">
        <f t="shared" ca="1" si="116"/>
        <v>0</v>
      </c>
      <c r="BW75" s="407">
        <f t="shared" ca="1" si="117"/>
        <v>0</v>
      </c>
      <c r="BX75" s="406">
        <f t="shared" ca="1" si="118"/>
        <v>0</v>
      </c>
      <c r="BY75" s="407">
        <f t="shared" ca="1" si="119"/>
        <v>0</v>
      </c>
      <c r="BZ75" s="62">
        <f ca="1">IFERROR(__xludf.DUMMYFUNCTION("IMPORTRANGE(""https://docs.google.com/spreadsheets/d/1SX6NBoVAgQJ6U1MVXOaj8PK2l7WJ3RER9xtqwdhxkhw/edit?usp=sharing"",""อ่างทอง!J420"")"),0)</f>
        <v>0</v>
      </c>
      <c r="CA75" s="62">
        <f ca="1">IFERROR(__xludf.DUMMYFUNCTION("IMPORTRANGE(""https://docs.google.com/spreadsheets/d/1SX6NBoVAgQJ6U1MVXOaj8PK2l7WJ3RER9xtqwdhxkhw/edit?usp=sharing"",""อ่างทอง!J421"")"),0)</f>
        <v>0</v>
      </c>
      <c r="CB75" s="62">
        <f ca="1">IFERROR(__xludf.DUMMYFUNCTION("IMPORTRANGE(""https://docs.google.com/spreadsheets/d/1SX6NBoVAgQJ6U1MVXOaj8PK2l7WJ3RER9xtqwdhxkhw/edit?usp=sharing"",""อ่างทอง!J422"")"),0)</f>
        <v>0</v>
      </c>
      <c r="CC75" s="62">
        <f ca="1">IFERROR(__xludf.DUMMYFUNCTION("IMPORTRANGE(""https://docs.google.com/spreadsheets/d/1SX6NBoVAgQJ6U1MVXOaj8PK2l7WJ3RER9xtqwdhxkhw/edit?usp=sharing"",""อ่างทอง!J423"")"),0)</f>
        <v>0</v>
      </c>
      <c r="CD75" s="62">
        <f ca="1">IFERROR(__xludf.DUMMYFUNCTION("IMPORTRANGE(""https://docs.google.com/spreadsheets/d/1SX6NBoVAgQJ6U1MVXOaj8PK2l7WJ3RER9xtqwdhxkhw/edit?usp=sharing"",""อ่างทอง!J424"")"),0)</f>
        <v>0</v>
      </c>
      <c r="CE75" s="424">
        <f ca="1">IFERROR(__xludf.DUMMYFUNCTION("IMPORTRANGE(""https://docs.google.com/spreadsheets/d/1SX6NBoVAgQJ6U1MVXOaj8PK2l7WJ3RER9xtqwdhxkhw/edit?usp=sharing"",""อ่างทอง!J425"")"),0)</f>
        <v>0</v>
      </c>
    </row>
    <row r="76" spans="1:83" ht="24" customHeight="1" x14ac:dyDescent="0.5">
      <c r="A76" s="777" t="s">
        <v>91</v>
      </c>
      <c r="B76" s="571"/>
      <c r="C76" s="394">
        <f t="shared" ref="C76:F76" si="120">SUM(C77:C90)</f>
        <v>4025060.0999999996</v>
      </c>
      <c r="D76" s="66">
        <f t="shared" si="120"/>
        <v>0</v>
      </c>
      <c r="E76" s="395">
        <f t="shared" si="120"/>
        <v>4025060.0999999996</v>
      </c>
      <c r="F76" s="101">
        <f t="shared" ca="1" si="120"/>
        <v>6547.76</v>
      </c>
      <c r="G76" s="101">
        <f t="shared" ca="1" si="1"/>
        <v>0.16267483807260419</v>
      </c>
      <c r="H76" s="66">
        <f t="shared" ref="H76:J76" si="121">SUM(H77:H90)</f>
        <v>489792</v>
      </c>
      <c r="I76" s="66">
        <f t="shared" si="121"/>
        <v>51592</v>
      </c>
      <c r="J76" s="66">
        <f t="shared" ca="1" si="121"/>
        <v>0</v>
      </c>
      <c r="K76" s="101">
        <f t="shared" ca="1" si="3"/>
        <v>0</v>
      </c>
      <c r="L76" s="66">
        <f ca="1">SUM(L77:L90)</f>
        <v>0</v>
      </c>
      <c r="M76" s="101">
        <f t="shared" ca="1" si="4"/>
        <v>0</v>
      </c>
      <c r="N76" s="66">
        <f t="shared" ref="N76:T76" ca="1" si="122">SUM(N77:N90)</f>
        <v>0</v>
      </c>
      <c r="O76" s="66">
        <f t="shared" ca="1" si="122"/>
        <v>0</v>
      </c>
      <c r="P76" s="66">
        <f t="shared" ca="1" si="122"/>
        <v>0</v>
      </c>
      <c r="Q76" s="66">
        <f t="shared" ca="1" si="122"/>
        <v>0</v>
      </c>
      <c r="R76" s="66">
        <f t="shared" ca="1" si="122"/>
        <v>0</v>
      </c>
      <c r="S76" s="66">
        <f t="shared" ca="1" si="122"/>
        <v>0</v>
      </c>
      <c r="T76" s="66">
        <f t="shared" ca="1" si="122"/>
        <v>0</v>
      </c>
      <c r="U76" s="66">
        <f t="shared" ca="1" si="6"/>
        <v>0</v>
      </c>
      <c r="V76" s="66">
        <f ca="1">SUM(V77:V90)</f>
        <v>0</v>
      </c>
      <c r="W76" s="66">
        <f t="shared" ca="1" si="7"/>
        <v>0</v>
      </c>
      <c r="X76" s="66">
        <f t="shared" ref="X76:AD76" ca="1" si="123">SUM(X77:X90)</f>
        <v>0</v>
      </c>
      <c r="Y76" s="66">
        <f t="shared" ca="1" si="123"/>
        <v>0</v>
      </c>
      <c r="Z76" s="66">
        <f t="shared" ca="1" si="123"/>
        <v>0</v>
      </c>
      <c r="AA76" s="66">
        <f t="shared" ca="1" si="123"/>
        <v>0</v>
      </c>
      <c r="AB76" s="66">
        <f t="shared" ca="1" si="123"/>
        <v>0</v>
      </c>
      <c r="AC76" s="66">
        <f t="shared" ca="1" si="123"/>
        <v>0</v>
      </c>
      <c r="AD76" s="66">
        <f t="shared" ca="1" si="123"/>
        <v>0</v>
      </c>
      <c r="AE76" s="101">
        <f t="shared" ca="1" si="9"/>
        <v>0</v>
      </c>
      <c r="AF76" s="66">
        <f ca="1">SUM(AF77:AF90)</f>
        <v>0</v>
      </c>
      <c r="AG76" s="101">
        <f t="shared" ca="1" si="10"/>
        <v>0</v>
      </c>
      <c r="AH76" s="66">
        <f t="shared" ref="AH76:AT76" ca="1" si="124">SUM(AH77:AH90)</f>
        <v>0</v>
      </c>
      <c r="AI76" s="66">
        <f t="shared" ca="1" si="124"/>
        <v>0</v>
      </c>
      <c r="AJ76" s="66">
        <f t="shared" ca="1" si="124"/>
        <v>0</v>
      </c>
      <c r="AK76" s="66">
        <f t="shared" ca="1" si="124"/>
        <v>0</v>
      </c>
      <c r="AL76" s="66">
        <f t="shared" ca="1" si="124"/>
        <v>0</v>
      </c>
      <c r="AM76" s="66">
        <f t="shared" ca="1" si="124"/>
        <v>0</v>
      </c>
      <c r="AN76" s="66">
        <f t="shared" ca="1" si="124"/>
        <v>0</v>
      </c>
      <c r="AO76" s="66">
        <f t="shared" ca="1" si="124"/>
        <v>0</v>
      </c>
      <c r="AP76" s="66">
        <f t="shared" ca="1" si="124"/>
        <v>0</v>
      </c>
      <c r="AQ76" s="66">
        <f t="shared" ca="1" si="124"/>
        <v>0</v>
      </c>
      <c r="AR76" s="66">
        <f t="shared" si="124"/>
        <v>867</v>
      </c>
      <c r="AS76" s="66">
        <f t="shared" si="124"/>
        <v>8558</v>
      </c>
      <c r="AT76" s="66">
        <f t="shared" ca="1" si="124"/>
        <v>122</v>
      </c>
      <c r="AU76" s="66">
        <f t="shared" ca="1" si="12"/>
        <v>14.071510957324106</v>
      </c>
      <c r="AV76" s="66">
        <f ca="1">SUM(AV77:AV90)</f>
        <v>11</v>
      </c>
      <c r="AW76" s="66">
        <f t="shared" ca="1" si="13"/>
        <v>0.12853470437017994</v>
      </c>
      <c r="AX76" s="66">
        <f t="shared" ref="AX76:BL76" ca="1" si="125">SUM(AX77:AX90)</f>
        <v>104</v>
      </c>
      <c r="AY76" s="66">
        <f t="shared" ca="1" si="125"/>
        <v>8</v>
      </c>
      <c r="AZ76" s="66">
        <f t="shared" ca="1" si="125"/>
        <v>0</v>
      </c>
      <c r="BA76" s="66">
        <f t="shared" ca="1" si="125"/>
        <v>0</v>
      </c>
      <c r="BB76" s="66">
        <f t="shared" ca="1" si="125"/>
        <v>0</v>
      </c>
      <c r="BC76" s="66">
        <f t="shared" ca="1" si="125"/>
        <v>0</v>
      </c>
      <c r="BD76" s="66">
        <f t="shared" ca="1" si="125"/>
        <v>18</v>
      </c>
      <c r="BE76" s="66">
        <f t="shared" ca="1" si="125"/>
        <v>3</v>
      </c>
      <c r="BF76" s="66">
        <f t="shared" ca="1" si="125"/>
        <v>0</v>
      </c>
      <c r="BG76" s="66">
        <f t="shared" ca="1" si="125"/>
        <v>0</v>
      </c>
      <c r="BH76" s="66">
        <f t="shared" ca="1" si="125"/>
        <v>0</v>
      </c>
      <c r="BI76" s="66">
        <f t="shared" ca="1" si="125"/>
        <v>0</v>
      </c>
      <c r="BJ76" s="66">
        <f t="shared" si="125"/>
        <v>489792</v>
      </c>
      <c r="BK76" s="66">
        <f t="shared" si="125"/>
        <v>51592</v>
      </c>
      <c r="BL76" s="66">
        <f t="shared" ca="1" si="125"/>
        <v>0</v>
      </c>
      <c r="BM76" s="101">
        <f t="shared" ca="1" si="15"/>
        <v>0</v>
      </c>
      <c r="BN76" s="66">
        <f ca="1">SUM(BN77:BN90)</f>
        <v>0</v>
      </c>
      <c r="BO76" s="101">
        <f t="shared" ca="1" si="16"/>
        <v>0</v>
      </c>
      <c r="BP76" s="66">
        <f t="shared" ref="BP76:BW76" ca="1" si="126">SUM(BP77:BP90)</f>
        <v>0</v>
      </c>
      <c r="BQ76" s="66">
        <f t="shared" ca="1" si="126"/>
        <v>0</v>
      </c>
      <c r="BR76" s="66">
        <f t="shared" ca="1" si="126"/>
        <v>0</v>
      </c>
      <c r="BS76" s="66">
        <f t="shared" ca="1" si="126"/>
        <v>0</v>
      </c>
      <c r="BT76" s="66">
        <f t="shared" ca="1" si="126"/>
        <v>0</v>
      </c>
      <c r="BU76" s="66">
        <f t="shared" ca="1" si="126"/>
        <v>0</v>
      </c>
      <c r="BV76" s="66">
        <f t="shared" ca="1" si="126"/>
        <v>0</v>
      </c>
      <c r="BW76" s="101">
        <f t="shared" ca="1" si="126"/>
        <v>0</v>
      </c>
      <c r="BX76" s="66"/>
      <c r="BY76" s="101"/>
      <c r="BZ76" s="66">
        <f t="shared" ref="BZ76:CE76" ca="1" si="127">SUM(BZ77:BZ90)</f>
        <v>0</v>
      </c>
      <c r="CA76" s="66">
        <f t="shared" ca="1" si="127"/>
        <v>0</v>
      </c>
      <c r="CB76" s="66">
        <f t="shared" ca="1" si="127"/>
        <v>0</v>
      </c>
      <c r="CC76" s="66">
        <f t="shared" ca="1" si="127"/>
        <v>0</v>
      </c>
      <c r="CD76" s="66">
        <f t="shared" ca="1" si="127"/>
        <v>0</v>
      </c>
      <c r="CE76" s="414">
        <f t="shared" ca="1" si="127"/>
        <v>0</v>
      </c>
    </row>
    <row r="77" spans="1:83" ht="24" customHeight="1" x14ac:dyDescent="0.5">
      <c r="A77" s="268">
        <v>1</v>
      </c>
      <c r="B77" s="269" t="s">
        <v>92</v>
      </c>
      <c r="C77" s="396">
        <f t="shared" ref="C77:C90" si="128">+D77+E77</f>
        <v>519282.8</v>
      </c>
      <c r="D77" s="48">
        <v>0</v>
      </c>
      <c r="E77" s="397">
        <v>519282.8</v>
      </c>
      <c r="F77" s="98">
        <f ca="1">IFERROR(__xludf.DUMMYFUNCTION("IMPORTRANGE(""https://docs.google.com/spreadsheets/d/1IYY_tgx_IHuhSq3AJ5eI5OnqOPBNLWSHKh2a30DoXe8/edit?usp=sharing"",""กระบี่!M352"")"),4967.76)</f>
        <v>4967.76</v>
      </c>
      <c r="G77" s="98">
        <f t="shared" ca="1" si="1"/>
        <v>0.95665791356848329</v>
      </c>
      <c r="H77" s="49">
        <v>64411</v>
      </c>
      <c r="I77" s="49">
        <v>4051</v>
      </c>
      <c r="J77" s="48">
        <f t="shared" ref="J77:J90" ca="1" si="129">SUM(N77,P77,R77)</f>
        <v>0</v>
      </c>
      <c r="K77" s="98">
        <f t="shared" ca="1" si="3"/>
        <v>0</v>
      </c>
      <c r="L77" s="48">
        <f t="shared" ref="L77:L90" ca="1" si="130">SUM(O77,Q77,S77)</f>
        <v>0</v>
      </c>
      <c r="M77" s="98">
        <f t="shared" ca="1" si="4"/>
        <v>0</v>
      </c>
      <c r="N77" s="48">
        <f ca="1">IFERROR(__xludf.DUMMYFUNCTION("IMPORTRANGE(""https://docs.google.com/spreadsheets/d/1IYY_tgx_IHuhSq3AJ5eI5OnqOPBNLWSHKh2a30DoXe8/edit?usp=sharing"",""กระบี่!J362"")"),0)</f>
        <v>0</v>
      </c>
      <c r="O77" s="48">
        <f ca="1">IFERROR(__xludf.DUMMYFUNCTION("IMPORTRANGE(""https://docs.google.com/spreadsheets/d/1IYY_tgx_IHuhSq3AJ5eI5OnqOPBNLWSHKh2a30DoXe8/edit?usp=sharing"",""กระบี่!J363"")"),0)</f>
        <v>0</v>
      </c>
      <c r="P77" s="48">
        <f ca="1">IFERROR(__xludf.DUMMYFUNCTION("IMPORTRANGE(""https://docs.google.com/spreadsheets/d/1IYY_tgx_IHuhSq3AJ5eI5OnqOPBNLWSHKh2a30DoXe8/edit?usp=sharing"",""กระบี่!J364"")"),0)</f>
        <v>0</v>
      </c>
      <c r="Q77" s="48">
        <f ca="1">IFERROR(__xludf.DUMMYFUNCTION("IMPORTRANGE(""https://docs.google.com/spreadsheets/d/1IYY_tgx_IHuhSq3AJ5eI5OnqOPBNLWSHKh2a30DoXe8/edit?usp=sharing"",""กระบี่!J365"")"),0)</f>
        <v>0</v>
      </c>
      <c r="R77" s="48">
        <f ca="1">IFERROR(__xludf.DUMMYFUNCTION("IMPORTRANGE(""https://docs.google.com/spreadsheets/d/1IYY_tgx_IHuhSq3AJ5eI5OnqOPBNLWSHKh2a30DoXe8/edit?usp=sharing"",""กระบี่!J366"")"),0)</f>
        <v>0</v>
      </c>
      <c r="S77" s="48">
        <f ca="1">IFERROR(__xludf.DUMMYFUNCTION("IMPORTRANGE(""https://docs.google.com/spreadsheets/d/1IYY_tgx_IHuhSq3AJ5eI5OnqOPBNLWSHKh2a30DoXe8/edit?usp=sharing"",""กระบี่!J367"")"),0)</f>
        <v>0</v>
      </c>
      <c r="T77" s="48">
        <f t="shared" ref="T77:T90" ca="1" si="131">SUM(X77,Z77,AB77)</f>
        <v>0</v>
      </c>
      <c r="U77" s="48">
        <f t="shared" ca="1" si="6"/>
        <v>0</v>
      </c>
      <c r="V77" s="48">
        <f t="shared" ref="V77:V90" ca="1" si="132">SUM(Y77,AA77,AC77)</f>
        <v>0</v>
      </c>
      <c r="W77" s="48">
        <f t="shared" ca="1" si="7"/>
        <v>0</v>
      </c>
      <c r="X77" s="48">
        <f ca="1">IFERROR(__xludf.DUMMYFUNCTION("IMPORTRANGE(""https://docs.google.com/spreadsheets/d/1IYY_tgx_IHuhSq3AJ5eI5OnqOPBNLWSHKh2a30DoXe8/edit?usp=sharing"",""กระบี่!J370"")"),0)</f>
        <v>0</v>
      </c>
      <c r="Y77" s="48">
        <f ca="1">IFERROR(__xludf.DUMMYFUNCTION("IMPORTRANGE(""https://docs.google.com/spreadsheets/d/1IYY_tgx_IHuhSq3AJ5eI5OnqOPBNLWSHKh2a30DoXe8/edit?usp=sharing"",""กระบี่!J371"")"),0)</f>
        <v>0</v>
      </c>
      <c r="Z77" s="48">
        <f ca="1">IFERROR(__xludf.DUMMYFUNCTION("IMPORTRANGE(""https://docs.google.com/spreadsheets/d/1IYY_tgx_IHuhSq3AJ5eI5OnqOPBNLWSHKh2a30DoXe8/edit?usp=sharing"",""กระบี่!J372"")"),0)</f>
        <v>0</v>
      </c>
      <c r="AA77" s="48">
        <f ca="1">IFERROR(__xludf.DUMMYFUNCTION("IMPORTRANGE(""https://docs.google.com/spreadsheets/d/1IYY_tgx_IHuhSq3AJ5eI5OnqOPBNLWSHKh2a30DoXe8/edit?usp=sharing"",""กระบี่!J373"")"),0)</f>
        <v>0</v>
      </c>
      <c r="AB77" s="48">
        <f ca="1">IFERROR(__xludf.DUMMYFUNCTION("IMPORTRANGE(""https://docs.google.com/spreadsheets/d/1IYY_tgx_IHuhSq3AJ5eI5OnqOPBNLWSHKh2a30DoXe8/edit?usp=sharing"",""กระบี่!J374"")"),0)</f>
        <v>0</v>
      </c>
      <c r="AC77" s="48">
        <f ca="1">IFERROR(__xludf.DUMMYFUNCTION("IMPORTRANGE(""https://docs.google.com/spreadsheets/d/1IYY_tgx_IHuhSq3AJ5eI5OnqOPBNLWSHKh2a30DoXe8/edit?usp=sharing"",""กระบี่!J375"")"),0)</f>
        <v>0</v>
      </c>
      <c r="AD77" s="48">
        <f t="shared" ref="AD77:AD90" ca="1" si="133">SUM(AH77,AJ77,AL77,AN77,AP77)</f>
        <v>0</v>
      </c>
      <c r="AE77" s="98">
        <f t="shared" ca="1" si="9"/>
        <v>0</v>
      </c>
      <c r="AF77" s="48">
        <f t="shared" ref="AF77:AF90" ca="1" si="134">SUM(AI77,AK77,AM77,AO77,AQ77)</f>
        <v>0</v>
      </c>
      <c r="AG77" s="98">
        <f t="shared" ca="1" si="10"/>
        <v>0</v>
      </c>
      <c r="AH77" s="48">
        <f ca="1">IFERROR(__xludf.DUMMYFUNCTION("IMPORTRANGE(""https://docs.google.com/spreadsheets/d/1IYY_tgx_IHuhSq3AJ5eI5OnqOPBNLWSHKh2a30DoXe8/edit?usp=sharing"",""กระบี่!J378"")"),0)</f>
        <v>0</v>
      </c>
      <c r="AI77" s="48">
        <f ca="1">IFERROR(__xludf.DUMMYFUNCTION("IMPORTRANGE(""https://docs.google.com/spreadsheets/d/1IYY_tgx_IHuhSq3AJ5eI5OnqOPBNLWSHKh2a30DoXe8/edit?usp=sharing"",""กระบี่!J379"")"),0)</f>
        <v>0</v>
      </c>
      <c r="AJ77" s="48">
        <f ca="1">IFERROR(__xludf.DUMMYFUNCTION("IMPORTRANGE(""https://docs.google.com/spreadsheets/d/1IYY_tgx_IHuhSq3AJ5eI5OnqOPBNLWSHKh2a30DoXe8/edit?usp=sharing"",""กระบี่!J380"")"),0)</f>
        <v>0</v>
      </c>
      <c r="AK77" s="48">
        <f ca="1">IFERROR(__xludf.DUMMYFUNCTION("IMPORTRANGE(""https://docs.google.com/spreadsheets/d/1IYY_tgx_IHuhSq3AJ5eI5OnqOPBNLWSHKh2a30DoXe8/edit?usp=sharing"",""กระบี่!J381"")"),0)</f>
        <v>0</v>
      </c>
      <c r="AL77" s="48">
        <f ca="1">IFERROR(__xludf.DUMMYFUNCTION("IMPORTRANGE(""https://docs.google.com/spreadsheets/d/1IYY_tgx_IHuhSq3AJ5eI5OnqOPBNLWSHKh2a30DoXe8/edit?usp=sharing"",""กระบี่!J384"")"),0)</f>
        <v>0</v>
      </c>
      <c r="AM77" s="48">
        <f ca="1">IFERROR(__xludf.DUMMYFUNCTION("IMPORTRANGE(""https://docs.google.com/spreadsheets/d/1IYY_tgx_IHuhSq3AJ5eI5OnqOPBNLWSHKh2a30DoXe8/edit?usp=sharing"",""กระบี่!J385"")"),0)</f>
        <v>0</v>
      </c>
      <c r="AN77" s="48">
        <f ca="1">IFERROR(__xludf.DUMMYFUNCTION("IMPORTRANGE(""https://docs.google.com/spreadsheets/d/1IYY_tgx_IHuhSq3AJ5eI5OnqOPBNLWSHKh2a30DoXe8/edit?usp=sharing"",""กระบี่!J386"")"),0)</f>
        <v>0</v>
      </c>
      <c r="AO77" s="48">
        <f ca="1">IFERROR(__xludf.DUMMYFUNCTION("IMPORTRANGE(""https://docs.google.com/spreadsheets/d/1IYY_tgx_IHuhSq3AJ5eI5OnqOPBNLWSHKh2a30DoXe8/edit?usp=sharing"",""กระบี่!J387"")"),0)</f>
        <v>0</v>
      </c>
      <c r="AP77" s="48">
        <f ca="1">IFERROR(__xludf.DUMMYFUNCTION("IMPORTRANGE(""https://docs.google.com/spreadsheets/d/1IYY_tgx_IHuhSq3AJ5eI5OnqOPBNLWSHKh2a30DoXe8/edit?usp=sharing"",""กระบี่!J388"")"),0)</f>
        <v>0</v>
      </c>
      <c r="AQ77" s="48">
        <f ca="1">IFERROR(__xludf.DUMMYFUNCTION("IMPORTRANGE(""https://docs.google.com/spreadsheets/d/1IYY_tgx_IHuhSq3AJ5eI5OnqOPBNLWSHKh2a30DoXe8/edit?usp=sharing"",""กระบี่!J389"")"),0)</f>
        <v>0</v>
      </c>
      <c r="AR77" s="398">
        <v>0</v>
      </c>
      <c r="AS77" s="398">
        <v>0</v>
      </c>
      <c r="AT77" s="398">
        <f t="shared" ref="AT77:AT90" ca="1" si="135">SUM(AX77,AZ77,BB77,BD77,BF77,BH77)</f>
        <v>0</v>
      </c>
      <c r="AU77" s="398">
        <f t="shared" si="12"/>
        <v>0</v>
      </c>
      <c r="AV77" s="398">
        <f t="shared" ref="AV77:AV90" ca="1" si="136">SUM(AY77,BA77,BC77,BE77,BG77,BI77)</f>
        <v>0</v>
      </c>
      <c r="AW77" s="398">
        <f t="shared" si="13"/>
        <v>0</v>
      </c>
      <c r="AX77" s="48">
        <f ca="1">IFERROR(__xludf.DUMMYFUNCTION("IMPORTRANGE(""https://docs.google.com/spreadsheets/d/1IYY_tgx_IHuhSq3AJ5eI5OnqOPBNLWSHKh2a30DoXe8/edit?usp=sharing"",""กระบี่!J395"")"),0)</f>
        <v>0</v>
      </c>
      <c r="AY77" s="48">
        <f ca="1">IFERROR(__xludf.DUMMYFUNCTION("IMPORTRANGE(""https://docs.google.com/spreadsheets/d/1IYY_tgx_IHuhSq3AJ5eI5OnqOPBNLWSHKh2a30DoXe8/edit?usp=sharing"",""กระบี่!J396"")"),0)</f>
        <v>0</v>
      </c>
      <c r="AZ77" s="48">
        <f ca="1">IFERROR(__xludf.DUMMYFUNCTION("IMPORTRANGE(""https://docs.google.com/spreadsheets/d/1IYY_tgx_IHuhSq3AJ5eI5OnqOPBNLWSHKh2a30DoXe8/edit?usp=sharing"",""กระบี่!J397"")"),0)</f>
        <v>0</v>
      </c>
      <c r="BA77" s="48">
        <f ca="1">IFERROR(__xludf.DUMMYFUNCTION("IMPORTRANGE(""https://docs.google.com/spreadsheets/d/1IYY_tgx_IHuhSq3AJ5eI5OnqOPBNLWSHKh2a30DoXe8/edit?usp=sharing"",""กระบี่!J398"")"),0)</f>
        <v>0</v>
      </c>
      <c r="BB77" s="48">
        <f ca="1">IFERROR(__xludf.DUMMYFUNCTION("IMPORTRANGE(""https://docs.google.com/spreadsheets/d/1IYY_tgx_IHuhSq3AJ5eI5OnqOPBNLWSHKh2a30DoXe8/edit?usp=sharing"",""กระบี่!J399"")"),0)</f>
        <v>0</v>
      </c>
      <c r="BC77" s="48">
        <f ca="1">IFERROR(__xludf.DUMMYFUNCTION("IMPORTRANGE(""https://docs.google.com/spreadsheets/d/1IYY_tgx_IHuhSq3AJ5eI5OnqOPBNLWSHKh2a30DoXe8/edit?usp=sharing"",""กระบี่!J400"")"),0)</f>
        <v>0</v>
      </c>
      <c r="BD77" s="48">
        <f ca="1">IFERROR(__xludf.DUMMYFUNCTION("IMPORTRANGE(""https://docs.google.com/spreadsheets/d/1IYY_tgx_IHuhSq3AJ5eI5OnqOPBNLWSHKh2a30DoXe8/edit?usp=sharing"",""กระบี่!J403"")"),0)</f>
        <v>0</v>
      </c>
      <c r="BE77" s="48">
        <f ca="1">IFERROR(__xludf.DUMMYFUNCTION("IMPORTRANGE(""https://docs.google.com/spreadsheets/d/1IYY_tgx_IHuhSq3AJ5eI5OnqOPBNLWSHKh2a30DoXe8/edit?usp=sharing"",""กระบี่!J404"")"),0)</f>
        <v>0</v>
      </c>
      <c r="BF77" s="48">
        <f ca="1">IFERROR(__xludf.DUMMYFUNCTION("IMPORTRANGE(""https://docs.google.com/spreadsheets/d/1IYY_tgx_IHuhSq3AJ5eI5OnqOPBNLWSHKh2a30DoXe8/edit?usp=sharing"",""กระบี่!J405"")"),0)</f>
        <v>0</v>
      </c>
      <c r="BG77" s="48">
        <f ca="1">IFERROR(__xludf.DUMMYFUNCTION("IMPORTRANGE(""https://docs.google.com/spreadsheets/d/1IYY_tgx_IHuhSq3AJ5eI5OnqOPBNLWSHKh2a30DoXe8/edit?usp=sharing"",""กระบี่!J406"")"),0)</f>
        <v>0</v>
      </c>
      <c r="BH77" s="48">
        <f ca="1">IFERROR(__xludf.DUMMYFUNCTION("IMPORTRANGE(""https://docs.google.com/spreadsheets/d/1IYY_tgx_IHuhSq3AJ5eI5OnqOPBNLWSHKh2a30DoXe8/edit?usp=sharing"",""กระบี่!J407"")"),0)</f>
        <v>0</v>
      </c>
      <c r="BI77" s="48">
        <f ca="1">IFERROR(__xludf.DUMMYFUNCTION("IMPORTRANGE(""https://docs.google.com/spreadsheets/d/1IYY_tgx_IHuhSq3AJ5eI5OnqOPBNLWSHKh2a30DoXe8/edit?usp=sharing"",""กระบี่!J408"")"),0)</f>
        <v>0</v>
      </c>
      <c r="BJ77" s="398">
        <v>64411</v>
      </c>
      <c r="BK77" s="398">
        <v>4051</v>
      </c>
      <c r="BL77" s="398">
        <f t="shared" ref="BL77:BL105" ca="1" si="137">SUM(BP77,BR77)</f>
        <v>0</v>
      </c>
      <c r="BM77" s="399">
        <f t="shared" ca="1" si="15"/>
        <v>0</v>
      </c>
      <c r="BN77" s="398">
        <f t="shared" ref="BN77:BN90" ca="1" si="138">SUM(BQ77,BS77)</f>
        <v>0</v>
      </c>
      <c r="BO77" s="399">
        <f t="shared" ca="1" si="16"/>
        <v>0</v>
      </c>
      <c r="BP77" s="48">
        <f ca="1">IFERROR(__xludf.DUMMYFUNCTION("IMPORTRANGE(""https://docs.google.com/spreadsheets/d/1IYY_tgx_IHuhSq3AJ5eI5OnqOPBNLWSHKh2a30DoXe8/edit?usp=sharing"",""กระบี่!J412"")"),0)</f>
        <v>0</v>
      </c>
      <c r="BQ77" s="48">
        <f ca="1">IFERROR(__xludf.DUMMYFUNCTION("IMPORTRANGE(""https://docs.google.com/spreadsheets/d/1IYY_tgx_IHuhSq3AJ5eI5OnqOPBNLWSHKh2a30DoXe8/edit?usp=sharing"",""กระบี่!J413"")"),0)</f>
        <v>0</v>
      </c>
      <c r="BR77" s="48">
        <f ca="1">IFERROR(__xludf.DUMMYFUNCTION("IMPORTRANGE(""https://docs.google.com/spreadsheets/d/1IYY_tgx_IHuhSq3AJ5eI5OnqOPBNLWSHKh2a30DoXe8/edit?usp=sharing"",""กระบี่!J414"")"),0)</f>
        <v>0</v>
      </c>
      <c r="BS77" s="48">
        <f ca="1">IFERROR(__xludf.DUMMYFUNCTION("IMPORTRANGE(""https://docs.google.com/spreadsheets/d/1IYY_tgx_IHuhSq3AJ5eI5OnqOPBNLWSHKh2a30DoXe8/edit?usp=sharing"",""กระบี่!J415"")"),0)</f>
        <v>0</v>
      </c>
      <c r="BT77" s="48">
        <f ca="1">IFERROR(__xludf.DUMMYFUNCTION("IMPORTRANGE(""https://docs.google.com/spreadsheets/d/1IYY_tgx_IHuhSq3AJ5eI5OnqOPBNLWSHKh2a30DoXe8/edit?usp=sharing"",""กระบี่!J416"")"),0)</f>
        <v>0</v>
      </c>
      <c r="BU77" s="48">
        <f ca="1">IFERROR(__xludf.DUMMYFUNCTION("IMPORTRANGE(""https://docs.google.com/spreadsheets/d/1IYY_tgx_IHuhSq3AJ5eI5OnqOPBNLWSHKh2a30DoXe8/edit?usp=sharing"",""กระบี่!J417"")"),0)</f>
        <v>0</v>
      </c>
      <c r="BV77" s="398">
        <f t="shared" ref="BV77:BV90" ca="1" si="139">SUM(BZ77,CB77,CD77)</f>
        <v>0</v>
      </c>
      <c r="BW77" s="399">
        <f t="shared" ref="BW77:BW90" ca="1" si="140">IF(BT77&gt;0,BV77*100/BT77,0)</f>
        <v>0</v>
      </c>
      <c r="BX77" s="398">
        <f t="shared" ref="BX77:BX90" ca="1" si="141">SUM(CA77,CC77,CE77)</f>
        <v>0</v>
      </c>
      <c r="BY77" s="399">
        <f t="shared" ref="BY77:BY90" ca="1" si="142">IF(BU77&gt;0,BX77*100/BU77,0)</f>
        <v>0</v>
      </c>
      <c r="BZ77" s="48">
        <f ca="1">IFERROR(__xludf.DUMMYFUNCTION("IMPORTRANGE(""https://docs.google.com/spreadsheets/d/1IYY_tgx_IHuhSq3AJ5eI5OnqOPBNLWSHKh2a30DoXe8/edit?usp=sharing"",""กระบี่!J420"")"),0)</f>
        <v>0</v>
      </c>
      <c r="CA77" s="48">
        <f ca="1">IFERROR(__xludf.DUMMYFUNCTION("IMPORTRANGE(""https://docs.google.com/spreadsheets/d/1IYY_tgx_IHuhSq3AJ5eI5OnqOPBNLWSHKh2a30DoXe8/edit?usp=sharing"",""กระบี่!J421"")"),0)</f>
        <v>0</v>
      </c>
      <c r="CB77" s="48">
        <f ca="1">IFERROR(__xludf.DUMMYFUNCTION("IMPORTRANGE(""https://docs.google.com/spreadsheets/d/1IYY_tgx_IHuhSq3AJ5eI5OnqOPBNLWSHKh2a30DoXe8/edit?usp=sharing"",""กระบี่!J422"")"),0)</f>
        <v>0</v>
      </c>
      <c r="CC77" s="48">
        <f ca="1">IFERROR(__xludf.DUMMYFUNCTION("IMPORTRANGE(""https://docs.google.com/spreadsheets/d/1IYY_tgx_IHuhSq3AJ5eI5OnqOPBNLWSHKh2a30DoXe8/edit?usp=sharing"",""กระบี่!J423"")"),0)</f>
        <v>0</v>
      </c>
      <c r="CD77" s="48">
        <f ca="1">IFERROR(__xludf.DUMMYFUNCTION("IMPORTRANGE(""https://docs.google.com/spreadsheets/d/1IYY_tgx_IHuhSq3AJ5eI5OnqOPBNLWSHKh2a30DoXe8/edit?usp=sharing"",""กระบี่!J424"")"),0)</f>
        <v>0</v>
      </c>
      <c r="CE77" s="420">
        <f ca="1">IFERROR(__xludf.DUMMYFUNCTION("IMPORTRANGE(""https://docs.google.com/spreadsheets/d/1IYY_tgx_IHuhSq3AJ5eI5OnqOPBNLWSHKh2a30DoXe8/edit?usp=sharing"",""กระบี่!J425"")"),0)</f>
        <v>0</v>
      </c>
    </row>
    <row r="78" spans="1:83" ht="24" customHeight="1" x14ac:dyDescent="0.5">
      <c r="A78" s="273">
        <v>2</v>
      </c>
      <c r="B78" s="274" t="s">
        <v>93</v>
      </c>
      <c r="C78" s="400">
        <f t="shared" si="128"/>
        <v>710356.56</v>
      </c>
      <c r="D78" s="55">
        <v>0</v>
      </c>
      <c r="E78" s="401">
        <v>710356.56</v>
      </c>
      <c r="F78" s="99">
        <f ca="1">IFERROR(__xludf.DUMMYFUNCTION("IMPORTRANGE(""https://docs.google.com/spreadsheets/d/1IYY_tgx_IHuhSq3AJ5eI5OnqOPBNLWSHKh2a30DoXe8/edit?usp=sharing"",""ชุมพร!M352"")"),0)</f>
        <v>0</v>
      </c>
      <c r="G78" s="99">
        <f t="shared" ca="1" si="1"/>
        <v>0</v>
      </c>
      <c r="H78" s="57">
        <v>103036</v>
      </c>
      <c r="I78" s="57">
        <v>10641</v>
      </c>
      <c r="J78" s="55">
        <f t="shared" ca="1" si="129"/>
        <v>0</v>
      </c>
      <c r="K78" s="99">
        <f t="shared" ca="1" si="3"/>
        <v>0</v>
      </c>
      <c r="L78" s="55">
        <f t="shared" ca="1" si="130"/>
        <v>0</v>
      </c>
      <c r="M78" s="99">
        <f t="shared" ca="1" si="4"/>
        <v>0</v>
      </c>
      <c r="N78" s="55">
        <f ca="1">IFERROR(__xludf.DUMMYFUNCTION("IMPORTRANGE(""https://docs.google.com/spreadsheets/d/1IYY_tgx_IHuhSq3AJ5eI5OnqOPBNLWSHKh2a30DoXe8/edit?usp=sharing"",""ชุมพร!J362"")"),0)</f>
        <v>0</v>
      </c>
      <c r="O78" s="55">
        <f ca="1">IFERROR(__xludf.DUMMYFUNCTION("IMPORTRANGE(""https://docs.google.com/spreadsheets/d/1IYY_tgx_IHuhSq3AJ5eI5OnqOPBNLWSHKh2a30DoXe8/edit?usp=sharing"",""ชุมพร!J363"")"),0)</f>
        <v>0</v>
      </c>
      <c r="P78" s="55">
        <f ca="1">IFERROR(__xludf.DUMMYFUNCTION("IMPORTRANGE(""https://docs.google.com/spreadsheets/d/1IYY_tgx_IHuhSq3AJ5eI5OnqOPBNLWSHKh2a30DoXe8/edit?usp=sharing"",""ชุมพร!J364"")"),0)</f>
        <v>0</v>
      </c>
      <c r="Q78" s="55">
        <f ca="1">IFERROR(__xludf.DUMMYFUNCTION("IMPORTRANGE(""https://docs.google.com/spreadsheets/d/1IYY_tgx_IHuhSq3AJ5eI5OnqOPBNLWSHKh2a30DoXe8/edit?usp=sharing"",""ชุมพร!J365"")"),0)</f>
        <v>0</v>
      </c>
      <c r="R78" s="55">
        <f ca="1">IFERROR(__xludf.DUMMYFUNCTION("IMPORTRANGE(""https://docs.google.com/spreadsheets/d/1IYY_tgx_IHuhSq3AJ5eI5OnqOPBNLWSHKh2a30DoXe8/edit?usp=sharing"",""ชุมพร!J366"")"),0)</f>
        <v>0</v>
      </c>
      <c r="S78" s="55">
        <f ca="1">IFERROR(__xludf.DUMMYFUNCTION("IMPORTRANGE(""https://docs.google.com/spreadsheets/d/1IYY_tgx_IHuhSq3AJ5eI5OnqOPBNLWSHKh2a30DoXe8/edit?usp=sharing"",""ชุมพร!J367"")"),0)</f>
        <v>0</v>
      </c>
      <c r="T78" s="55">
        <f t="shared" ca="1" si="131"/>
        <v>0</v>
      </c>
      <c r="U78" s="55">
        <f t="shared" ca="1" si="6"/>
        <v>0</v>
      </c>
      <c r="V78" s="55">
        <f t="shared" ca="1" si="132"/>
        <v>0</v>
      </c>
      <c r="W78" s="55">
        <f t="shared" ca="1" si="7"/>
        <v>0</v>
      </c>
      <c r="X78" s="55">
        <f ca="1">IFERROR(__xludf.DUMMYFUNCTION("IMPORTRANGE(""https://docs.google.com/spreadsheets/d/1IYY_tgx_IHuhSq3AJ5eI5OnqOPBNLWSHKh2a30DoXe8/edit?usp=sharing"",""ชุมพร!J370"")"),0)</f>
        <v>0</v>
      </c>
      <c r="Y78" s="55">
        <f ca="1">IFERROR(__xludf.DUMMYFUNCTION("IMPORTRANGE(""https://docs.google.com/spreadsheets/d/1IYY_tgx_IHuhSq3AJ5eI5OnqOPBNLWSHKh2a30DoXe8/edit?usp=sharing"",""ชุมพร!J371"")"),0)</f>
        <v>0</v>
      </c>
      <c r="Z78" s="55">
        <f ca="1">IFERROR(__xludf.DUMMYFUNCTION("IMPORTRANGE(""https://docs.google.com/spreadsheets/d/1IYY_tgx_IHuhSq3AJ5eI5OnqOPBNLWSHKh2a30DoXe8/edit?usp=sharing"",""ชุมพร!J372"")"),0)</f>
        <v>0</v>
      </c>
      <c r="AA78" s="55">
        <f ca="1">IFERROR(__xludf.DUMMYFUNCTION("IMPORTRANGE(""https://docs.google.com/spreadsheets/d/1IYY_tgx_IHuhSq3AJ5eI5OnqOPBNLWSHKh2a30DoXe8/edit?usp=sharing"",""ชุมพร!J373"")"),0)</f>
        <v>0</v>
      </c>
      <c r="AB78" s="55">
        <f ca="1">IFERROR(__xludf.DUMMYFUNCTION("IMPORTRANGE(""https://docs.google.com/spreadsheets/d/1IYY_tgx_IHuhSq3AJ5eI5OnqOPBNLWSHKh2a30DoXe8/edit?usp=sharing"",""ชุมพร!J374"")"),0)</f>
        <v>0</v>
      </c>
      <c r="AC78" s="55">
        <f ca="1">IFERROR(__xludf.DUMMYFUNCTION("IMPORTRANGE(""https://docs.google.com/spreadsheets/d/1IYY_tgx_IHuhSq3AJ5eI5OnqOPBNLWSHKh2a30DoXe8/edit?usp=sharing"",""ชุมพร!J375"")"),0)</f>
        <v>0</v>
      </c>
      <c r="AD78" s="55">
        <f t="shared" ca="1" si="133"/>
        <v>0</v>
      </c>
      <c r="AE78" s="99">
        <f t="shared" ca="1" si="9"/>
        <v>0</v>
      </c>
      <c r="AF78" s="55">
        <f t="shared" ca="1" si="134"/>
        <v>0</v>
      </c>
      <c r="AG78" s="99">
        <f t="shared" ca="1" si="10"/>
        <v>0</v>
      </c>
      <c r="AH78" s="55">
        <f ca="1">IFERROR(__xludf.DUMMYFUNCTION("IMPORTRANGE(""https://docs.google.com/spreadsheets/d/1IYY_tgx_IHuhSq3AJ5eI5OnqOPBNLWSHKh2a30DoXe8/edit?usp=sharing"",""ชุมพร!J378"")"),0)</f>
        <v>0</v>
      </c>
      <c r="AI78" s="55">
        <f ca="1">IFERROR(__xludf.DUMMYFUNCTION("IMPORTRANGE(""https://docs.google.com/spreadsheets/d/1IYY_tgx_IHuhSq3AJ5eI5OnqOPBNLWSHKh2a30DoXe8/edit?usp=sharing"",""ชุมพร!J379"")"),0)</f>
        <v>0</v>
      </c>
      <c r="AJ78" s="55">
        <f ca="1">IFERROR(__xludf.DUMMYFUNCTION("IMPORTRANGE(""https://docs.google.com/spreadsheets/d/1IYY_tgx_IHuhSq3AJ5eI5OnqOPBNLWSHKh2a30DoXe8/edit?usp=sharing"",""ชุมพร!J380"")"),0)</f>
        <v>0</v>
      </c>
      <c r="AK78" s="55">
        <f ca="1">IFERROR(__xludf.DUMMYFUNCTION("IMPORTRANGE(""https://docs.google.com/spreadsheets/d/1IYY_tgx_IHuhSq3AJ5eI5OnqOPBNLWSHKh2a30DoXe8/edit?usp=sharing"",""ชุมพร!J381"")"),0)</f>
        <v>0</v>
      </c>
      <c r="AL78" s="55">
        <f ca="1">IFERROR(__xludf.DUMMYFUNCTION("IMPORTRANGE(""https://docs.google.com/spreadsheets/d/1IYY_tgx_IHuhSq3AJ5eI5OnqOPBNLWSHKh2a30DoXe8/edit?usp=sharing"",""ชุมพร!J384"")"),0)</f>
        <v>0</v>
      </c>
      <c r="AM78" s="55">
        <f ca="1">IFERROR(__xludf.DUMMYFUNCTION("IMPORTRANGE(""https://docs.google.com/spreadsheets/d/1IYY_tgx_IHuhSq3AJ5eI5OnqOPBNLWSHKh2a30DoXe8/edit?usp=sharing"",""ชุมพร!J385"")"),0)</f>
        <v>0</v>
      </c>
      <c r="AN78" s="55">
        <f ca="1">IFERROR(__xludf.DUMMYFUNCTION("IMPORTRANGE(""https://docs.google.com/spreadsheets/d/1IYY_tgx_IHuhSq3AJ5eI5OnqOPBNLWSHKh2a30DoXe8/edit?usp=sharing"",""ชุมพร!J386"")"),0)</f>
        <v>0</v>
      </c>
      <c r="AO78" s="55">
        <f ca="1">IFERROR(__xludf.DUMMYFUNCTION("IMPORTRANGE(""https://docs.google.com/spreadsheets/d/1IYY_tgx_IHuhSq3AJ5eI5OnqOPBNLWSHKh2a30DoXe8/edit?usp=sharing"",""ชุมพร!J387"")"),0)</f>
        <v>0</v>
      </c>
      <c r="AP78" s="55">
        <f ca="1">IFERROR(__xludf.DUMMYFUNCTION("IMPORTRANGE(""https://docs.google.com/spreadsheets/d/1IYY_tgx_IHuhSq3AJ5eI5OnqOPBNLWSHKh2a30DoXe8/edit?usp=sharing"",""ชุมพร!J388"")"),0)</f>
        <v>0</v>
      </c>
      <c r="AQ78" s="55">
        <f ca="1">IFERROR(__xludf.DUMMYFUNCTION("IMPORTRANGE(""https://docs.google.com/spreadsheets/d/1IYY_tgx_IHuhSq3AJ5eI5OnqOPBNLWSHKh2a30DoXe8/edit?usp=sharing"",""ชุมพร!J389"")"),0)</f>
        <v>0</v>
      </c>
      <c r="AR78" s="402">
        <v>94</v>
      </c>
      <c r="AS78" s="402">
        <v>660</v>
      </c>
      <c r="AT78" s="402">
        <f t="shared" ca="1" si="135"/>
        <v>0</v>
      </c>
      <c r="AU78" s="402">
        <f t="shared" ca="1" si="12"/>
        <v>0</v>
      </c>
      <c r="AV78" s="402">
        <f t="shared" ca="1" si="136"/>
        <v>0</v>
      </c>
      <c r="AW78" s="402">
        <f t="shared" ca="1" si="13"/>
        <v>0</v>
      </c>
      <c r="AX78" s="55">
        <f ca="1">IFERROR(__xludf.DUMMYFUNCTION("IMPORTRANGE(""https://docs.google.com/spreadsheets/d/1IYY_tgx_IHuhSq3AJ5eI5OnqOPBNLWSHKh2a30DoXe8/edit?usp=sharing"",""ชุมพร!J395"")"),0)</f>
        <v>0</v>
      </c>
      <c r="AY78" s="55">
        <f ca="1">IFERROR(__xludf.DUMMYFUNCTION("IMPORTRANGE(""https://docs.google.com/spreadsheets/d/1IYY_tgx_IHuhSq3AJ5eI5OnqOPBNLWSHKh2a30DoXe8/edit?usp=sharing"",""ชุมพร!J396"")"),0)</f>
        <v>0</v>
      </c>
      <c r="AZ78" s="55">
        <f ca="1">IFERROR(__xludf.DUMMYFUNCTION("IMPORTRANGE(""https://docs.google.com/spreadsheets/d/1IYY_tgx_IHuhSq3AJ5eI5OnqOPBNLWSHKh2a30DoXe8/edit?usp=sharing"",""ชุมพร!J397"")"),0)</f>
        <v>0</v>
      </c>
      <c r="BA78" s="55">
        <f ca="1">IFERROR(__xludf.DUMMYFUNCTION("IMPORTRANGE(""https://docs.google.com/spreadsheets/d/1IYY_tgx_IHuhSq3AJ5eI5OnqOPBNLWSHKh2a30DoXe8/edit?usp=sharing"",""ชุมพร!J398"")"),0)</f>
        <v>0</v>
      </c>
      <c r="BB78" s="55">
        <f ca="1">IFERROR(__xludf.DUMMYFUNCTION("IMPORTRANGE(""https://docs.google.com/spreadsheets/d/1IYY_tgx_IHuhSq3AJ5eI5OnqOPBNLWSHKh2a30DoXe8/edit?usp=sharing"",""ชุมพร!J399"")"),0)</f>
        <v>0</v>
      </c>
      <c r="BC78" s="55">
        <f ca="1">IFERROR(__xludf.DUMMYFUNCTION("IMPORTRANGE(""https://docs.google.com/spreadsheets/d/1IYY_tgx_IHuhSq3AJ5eI5OnqOPBNLWSHKh2a30DoXe8/edit?usp=sharing"",""ชุมพร!J400"")"),0)</f>
        <v>0</v>
      </c>
      <c r="BD78" s="55">
        <f ca="1">IFERROR(__xludf.DUMMYFUNCTION("IMPORTRANGE(""https://docs.google.com/spreadsheets/d/1IYY_tgx_IHuhSq3AJ5eI5OnqOPBNLWSHKh2a30DoXe8/edit?usp=sharing"",""ชุมพร!J403"")"),0)</f>
        <v>0</v>
      </c>
      <c r="BE78" s="55">
        <f ca="1">IFERROR(__xludf.DUMMYFUNCTION("IMPORTRANGE(""https://docs.google.com/spreadsheets/d/1IYY_tgx_IHuhSq3AJ5eI5OnqOPBNLWSHKh2a30DoXe8/edit?usp=sharing"",""ชุมพร!J404"")"),0)</f>
        <v>0</v>
      </c>
      <c r="BF78" s="55">
        <f ca="1">IFERROR(__xludf.DUMMYFUNCTION("IMPORTRANGE(""https://docs.google.com/spreadsheets/d/1IYY_tgx_IHuhSq3AJ5eI5OnqOPBNLWSHKh2a30DoXe8/edit?usp=sharing"",""ชุมพร!J405"")"),0)</f>
        <v>0</v>
      </c>
      <c r="BG78" s="55">
        <f ca="1">IFERROR(__xludf.DUMMYFUNCTION("IMPORTRANGE(""https://docs.google.com/spreadsheets/d/1IYY_tgx_IHuhSq3AJ5eI5OnqOPBNLWSHKh2a30DoXe8/edit?usp=sharing"",""ชุมพร!J406"")"),0)</f>
        <v>0</v>
      </c>
      <c r="BH78" s="55">
        <f ca="1">IFERROR(__xludf.DUMMYFUNCTION("IMPORTRANGE(""https://docs.google.com/spreadsheets/d/1IYY_tgx_IHuhSq3AJ5eI5OnqOPBNLWSHKh2a30DoXe8/edit?usp=sharing"",""ชุมพร!J407"")"),0)</f>
        <v>0</v>
      </c>
      <c r="BI78" s="55">
        <f ca="1">IFERROR(__xludf.DUMMYFUNCTION("IMPORTRANGE(""https://docs.google.com/spreadsheets/d/1IYY_tgx_IHuhSq3AJ5eI5OnqOPBNLWSHKh2a30DoXe8/edit?usp=sharing"",""ชุมพร!J408"")"),0)</f>
        <v>0</v>
      </c>
      <c r="BJ78" s="402">
        <v>103036</v>
      </c>
      <c r="BK78" s="402">
        <v>10641</v>
      </c>
      <c r="BL78" s="402">
        <f t="shared" ca="1" si="137"/>
        <v>0</v>
      </c>
      <c r="BM78" s="403">
        <f t="shared" ca="1" si="15"/>
        <v>0</v>
      </c>
      <c r="BN78" s="402">
        <f t="shared" ca="1" si="138"/>
        <v>0</v>
      </c>
      <c r="BO78" s="403">
        <f t="shared" ca="1" si="16"/>
        <v>0</v>
      </c>
      <c r="BP78" s="55">
        <f ca="1">IFERROR(__xludf.DUMMYFUNCTION("IMPORTRANGE(""https://docs.google.com/spreadsheets/d/1IYY_tgx_IHuhSq3AJ5eI5OnqOPBNLWSHKh2a30DoXe8/edit?usp=sharing"",""ชุมพร!J412"")"),0)</f>
        <v>0</v>
      </c>
      <c r="BQ78" s="55">
        <f ca="1">IFERROR(__xludf.DUMMYFUNCTION("IMPORTRANGE(""https://docs.google.com/spreadsheets/d/1IYY_tgx_IHuhSq3AJ5eI5OnqOPBNLWSHKh2a30DoXe8/edit?usp=sharing"",""ชุมพร!J413"")"),0)</f>
        <v>0</v>
      </c>
      <c r="BR78" s="55">
        <f ca="1">IFERROR(__xludf.DUMMYFUNCTION("IMPORTRANGE(""https://docs.google.com/spreadsheets/d/1IYY_tgx_IHuhSq3AJ5eI5OnqOPBNLWSHKh2a30DoXe8/edit?usp=sharing"",""ชุมพร!J414"")"),0)</f>
        <v>0</v>
      </c>
      <c r="BS78" s="55">
        <f ca="1">IFERROR(__xludf.DUMMYFUNCTION("IMPORTRANGE(""https://docs.google.com/spreadsheets/d/1IYY_tgx_IHuhSq3AJ5eI5OnqOPBNLWSHKh2a30DoXe8/edit?usp=sharing"",""ชุมพร!J415"")"),0)</f>
        <v>0</v>
      </c>
      <c r="BT78" s="55">
        <f ca="1">IFERROR(__xludf.DUMMYFUNCTION("IMPORTRANGE(""https://docs.google.com/spreadsheets/d/1IYY_tgx_IHuhSq3AJ5eI5OnqOPBNLWSHKh2a30DoXe8/edit?usp=sharing"",""ชุมพร!J416"")"),0)</f>
        <v>0</v>
      </c>
      <c r="BU78" s="55">
        <f ca="1">IFERROR(__xludf.DUMMYFUNCTION("IMPORTRANGE(""https://docs.google.com/spreadsheets/d/1IYY_tgx_IHuhSq3AJ5eI5OnqOPBNLWSHKh2a30DoXe8/edit?usp=sharing"",""ชุมพร!J417"")"),0)</f>
        <v>0</v>
      </c>
      <c r="BV78" s="402">
        <f t="shared" ca="1" si="139"/>
        <v>0</v>
      </c>
      <c r="BW78" s="403">
        <f t="shared" ca="1" si="140"/>
        <v>0</v>
      </c>
      <c r="BX78" s="402">
        <f t="shared" ca="1" si="141"/>
        <v>0</v>
      </c>
      <c r="BY78" s="403">
        <f t="shared" ca="1" si="142"/>
        <v>0</v>
      </c>
      <c r="BZ78" s="55">
        <f ca="1">IFERROR(__xludf.DUMMYFUNCTION("IMPORTRANGE(""https://docs.google.com/spreadsheets/d/1IYY_tgx_IHuhSq3AJ5eI5OnqOPBNLWSHKh2a30DoXe8/edit?usp=sharing"",""ชุมพร!J420"")"),0)</f>
        <v>0</v>
      </c>
      <c r="CA78" s="55">
        <f ca="1">IFERROR(__xludf.DUMMYFUNCTION("IMPORTRANGE(""https://docs.google.com/spreadsheets/d/1IYY_tgx_IHuhSq3AJ5eI5OnqOPBNLWSHKh2a30DoXe8/edit?usp=sharing"",""ชุมพร!J421"")"),0)</f>
        <v>0</v>
      </c>
      <c r="CB78" s="55">
        <f ca="1">IFERROR(__xludf.DUMMYFUNCTION("IMPORTRANGE(""https://docs.google.com/spreadsheets/d/1IYY_tgx_IHuhSq3AJ5eI5OnqOPBNLWSHKh2a30DoXe8/edit?usp=sharing"",""ชุมพร!J422"")"),0)</f>
        <v>0</v>
      </c>
      <c r="CC78" s="55">
        <f ca="1">IFERROR(__xludf.DUMMYFUNCTION("IMPORTRANGE(""https://docs.google.com/spreadsheets/d/1IYY_tgx_IHuhSq3AJ5eI5OnqOPBNLWSHKh2a30DoXe8/edit?usp=sharing"",""ชุมพร!J423"")"),0)</f>
        <v>0</v>
      </c>
      <c r="CD78" s="55">
        <f ca="1">IFERROR(__xludf.DUMMYFUNCTION("IMPORTRANGE(""https://docs.google.com/spreadsheets/d/1IYY_tgx_IHuhSq3AJ5eI5OnqOPBNLWSHKh2a30DoXe8/edit?usp=sharing"",""ชุมพร!J424"")"),0)</f>
        <v>0</v>
      </c>
      <c r="CE78" s="422">
        <f ca="1">IFERROR(__xludf.DUMMYFUNCTION("IMPORTRANGE(""https://docs.google.com/spreadsheets/d/1IYY_tgx_IHuhSq3AJ5eI5OnqOPBNLWSHKh2a30DoXe8/edit?usp=sharing"",""ชุมพร!J425"")"),0)</f>
        <v>0</v>
      </c>
    </row>
    <row r="79" spans="1:83" ht="24" customHeight="1" x14ac:dyDescent="0.5">
      <c r="A79" s="273">
        <v>3</v>
      </c>
      <c r="B79" s="274" t="s">
        <v>94</v>
      </c>
      <c r="C79" s="400">
        <f t="shared" si="128"/>
        <v>235518.1</v>
      </c>
      <c r="D79" s="55">
        <v>0</v>
      </c>
      <c r="E79" s="401">
        <v>235518.1</v>
      </c>
      <c r="F79" s="99">
        <f ca="1">IFERROR(__xludf.DUMMYFUNCTION("IMPORTRANGE(""https://docs.google.com/spreadsheets/d/1IYY_tgx_IHuhSq3AJ5eI5OnqOPBNLWSHKh2a30DoXe8/edit?usp=sharing"",""ตรัง!M352"")"),0)</f>
        <v>0</v>
      </c>
      <c r="G79" s="99">
        <f t="shared" ca="1" si="1"/>
        <v>0</v>
      </c>
      <c r="H79" s="57">
        <v>38071</v>
      </c>
      <c r="I79" s="57">
        <v>3513</v>
      </c>
      <c r="J79" s="55">
        <f t="shared" ca="1" si="129"/>
        <v>0</v>
      </c>
      <c r="K79" s="99">
        <f t="shared" ca="1" si="3"/>
        <v>0</v>
      </c>
      <c r="L79" s="55">
        <f t="shared" ca="1" si="130"/>
        <v>0</v>
      </c>
      <c r="M79" s="99">
        <f t="shared" ca="1" si="4"/>
        <v>0</v>
      </c>
      <c r="N79" s="55">
        <f ca="1">IFERROR(__xludf.DUMMYFUNCTION("IMPORTRANGE(""https://docs.google.com/spreadsheets/d/1IYY_tgx_IHuhSq3AJ5eI5OnqOPBNLWSHKh2a30DoXe8/edit?usp=sharing"",""ตรัง!J362"")"),0)</f>
        <v>0</v>
      </c>
      <c r="O79" s="55">
        <f ca="1">IFERROR(__xludf.DUMMYFUNCTION("IMPORTRANGE(""https://docs.google.com/spreadsheets/d/1IYY_tgx_IHuhSq3AJ5eI5OnqOPBNLWSHKh2a30DoXe8/edit?usp=sharing"",""ตรัง!J363"")"),0)</f>
        <v>0</v>
      </c>
      <c r="P79" s="55">
        <f ca="1">IFERROR(__xludf.DUMMYFUNCTION("IMPORTRANGE(""https://docs.google.com/spreadsheets/d/1IYY_tgx_IHuhSq3AJ5eI5OnqOPBNLWSHKh2a30DoXe8/edit?usp=sharing"",""ตรัง!J364"")"),0)</f>
        <v>0</v>
      </c>
      <c r="Q79" s="55">
        <f ca="1">IFERROR(__xludf.DUMMYFUNCTION("IMPORTRANGE(""https://docs.google.com/spreadsheets/d/1IYY_tgx_IHuhSq3AJ5eI5OnqOPBNLWSHKh2a30DoXe8/edit?usp=sharing"",""ตรัง!J365"")"),0)</f>
        <v>0</v>
      </c>
      <c r="R79" s="55">
        <f ca="1">IFERROR(__xludf.DUMMYFUNCTION("IMPORTRANGE(""https://docs.google.com/spreadsheets/d/1IYY_tgx_IHuhSq3AJ5eI5OnqOPBNLWSHKh2a30DoXe8/edit?usp=sharing"",""ตรัง!J366"")"),0)</f>
        <v>0</v>
      </c>
      <c r="S79" s="55">
        <f ca="1">IFERROR(__xludf.DUMMYFUNCTION("IMPORTRANGE(""https://docs.google.com/spreadsheets/d/1IYY_tgx_IHuhSq3AJ5eI5OnqOPBNLWSHKh2a30DoXe8/edit?usp=sharing"",""ตรัง!J367"")"),0)</f>
        <v>0</v>
      </c>
      <c r="T79" s="55">
        <f t="shared" ca="1" si="131"/>
        <v>0</v>
      </c>
      <c r="U79" s="55">
        <f t="shared" ca="1" si="6"/>
        <v>0</v>
      </c>
      <c r="V79" s="55">
        <f t="shared" ca="1" si="132"/>
        <v>0</v>
      </c>
      <c r="W79" s="55">
        <f t="shared" ca="1" si="7"/>
        <v>0</v>
      </c>
      <c r="X79" s="55">
        <f ca="1">IFERROR(__xludf.DUMMYFUNCTION("IMPORTRANGE(""https://docs.google.com/spreadsheets/d/1IYY_tgx_IHuhSq3AJ5eI5OnqOPBNLWSHKh2a30DoXe8/edit?usp=sharing"",""ตรัง!J370"")"),0)</f>
        <v>0</v>
      </c>
      <c r="Y79" s="55">
        <f ca="1">IFERROR(__xludf.DUMMYFUNCTION("IMPORTRANGE(""https://docs.google.com/spreadsheets/d/1IYY_tgx_IHuhSq3AJ5eI5OnqOPBNLWSHKh2a30DoXe8/edit?usp=sharing"",""ตรัง!J371"")"),0)</f>
        <v>0</v>
      </c>
      <c r="Z79" s="55">
        <f ca="1">IFERROR(__xludf.DUMMYFUNCTION("IMPORTRANGE(""https://docs.google.com/spreadsheets/d/1IYY_tgx_IHuhSq3AJ5eI5OnqOPBNLWSHKh2a30DoXe8/edit?usp=sharing"",""ตรัง!J372"")"),0)</f>
        <v>0</v>
      </c>
      <c r="AA79" s="55">
        <f ca="1">IFERROR(__xludf.DUMMYFUNCTION("IMPORTRANGE(""https://docs.google.com/spreadsheets/d/1IYY_tgx_IHuhSq3AJ5eI5OnqOPBNLWSHKh2a30DoXe8/edit?usp=sharing"",""ตรัง!J373"")"),0)</f>
        <v>0</v>
      </c>
      <c r="AB79" s="55">
        <f ca="1">IFERROR(__xludf.DUMMYFUNCTION("IMPORTRANGE(""https://docs.google.com/spreadsheets/d/1IYY_tgx_IHuhSq3AJ5eI5OnqOPBNLWSHKh2a30DoXe8/edit?usp=sharing"",""ตรัง!J374"")"),0)</f>
        <v>0</v>
      </c>
      <c r="AC79" s="55">
        <f ca="1">IFERROR(__xludf.DUMMYFUNCTION("IMPORTRANGE(""https://docs.google.com/spreadsheets/d/1IYY_tgx_IHuhSq3AJ5eI5OnqOPBNLWSHKh2a30DoXe8/edit?usp=sharing"",""ตรัง!J375"")"),0)</f>
        <v>0</v>
      </c>
      <c r="AD79" s="55">
        <f t="shared" ca="1" si="133"/>
        <v>0</v>
      </c>
      <c r="AE79" s="99">
        <f t="shared" ca="1" si="9"/>
        <v>0</v>
      </c>
      <c r="AF79" s="55">
        <f t="shared" ca="1" si="134"/>
        <v>0</v>
      </c>
      <c r="AG79" s="99">
        <f t="shared" ca="1" si="10"/>
        <v>0</v>
      </c>
      <c r="AH79" s="55">
        <f ca="1">IFERROR(__xludf.DUMMYFUNCTION("IMPORTRANGE(""https://docs.google.com/spreadsheets/d/1IYY_tgx_IHuhSq3AJ5eI5OnqOPBNLWSHKh2a30DoXe8/edit?usp=sharing"",""ตรัง!J378"")"),0)</f>
        <v>0</v>
      </c>
      <c r="AI79" s="55">
        <f ca="1">IFERROR(__xludf.DUMMYFUNCTION("IMPORTRANGE(""https://docs.google.com/spreadsheets/d/1IYY_tgx_IHuhSq3AJ5eI5OnqOPBNLWSHKh2a30DoXe8/edit?usp=sharing"",""ตรัง!J379"")"),0)</f>
        <v>0</v>
      </c>
      <c r="AJ79" s="55">
        <f ca="1">IFERROR(__xludf.DUMMYFUNCTION("IMPORTRANGE(""https://docs.google.com/spreadsheets/d/1IYY_tgx_IHuhSq3AJ5eI5OnqOPBNLWSHKh2a30DoXe8/edit?usp=sharing"",""ตรัง!J380"")"),0)</f>
        <v>0</v>
      </c>
      <c r="AK79" s="55">
        <f ca="1">IFERROR(__xludf.DUMMYFUNCTION("IMPORTRANGE(""https://docs.google.com/spreadsheets/d/1IYY_tgx_IHuhSq3AJ5eI5OnqOPBNLWSHKh2a30DoXe8/edit?usp=sharing"",""ตรัง!J381"")"),0)</f>
        <v>0</v>
      </c>
      <c r="AL79" s="55">
        <f ca="1">IFERROR(__xludf.DUMMYFUNCTION("IMPORTRANGE(""https://docs.google.com/spreadsheets/d/1IYY_tgx_IHuhSq3AJ5eI5OnqOPBNLWSHKh2a30DoXe8/edit?usp=sharing"",""ตรัง!J384"")"),0)</f>
        <v>0</v>
      </c>
      <c r="AM79" s="55">
        <f ca="1">IFERROR(__xludf.DUMMYFUNCTION("IMPORTRANGE(""https://docs.google.com/spreadsheets/d/1IYY_tgx_IHuhSq3AJ5eI5OnqOPBNLWSHKh2a30DoXe8/edit?usp=sharing"",""ตรัง!J385"")"),0)</f>
        <v>0</v>
      </c>
      <c r="AN79" s="55">
        <f ca="1">IFERROR(__xludf.DUMMYFUNCTION("IMPORTRANGE(""https://docs.google.com/spreadsheets/d/1IYY_tgx_IHuhSq3AJ5eI5OnqOPBNLWSHKh2a30DoXe8/edit?usp=sharing"",""ตรัง!J386"")"),0)</f>
        <v>0</v>
      </c>
      <c r="AO79" s="55">
        <f ca="1">IFERROR(__xludf.DUMMYFUNCTION("IMPORTRANGE(""https://docs.google.com/spreadsheets/d/1IYY_tgx_IHuhSq3AJ5eI5OnqOPBNLWSHKh2a30DoXe8/edit?usp=sharing"",""ตรัง!J387"")"),0)</f>
        <v>0</v>
      </c>
      <c r="AP79" s="55">
        <f ca="1">IFERROR(__xludf.DUMMYFUNCTION("IMPORTRANGE(""https://docs.google.com/spreadsheets/d/1IYY_tgx_IHuhSq3AJ5eI5OnqOPBNLWSHKh2a30DoXe8/edit?usp=sharing"",""ตรัง!J388"")"),0)</f>
        <v>0</v>
      </c>
      <c r="AQ79" s="55">
        <f ca="1">IFERROR(__xludf.DUMMYFUNCTION("IMPORTRANGE(""https://docs.google.com/spreadsheets/d/1IYY_tgx_IHuhSq3AJ5eI5OnqOPBNLWSHKh2a30DoXe8/edit?usp=sharing"",""ตรัง!J389"")"),0)</f>
        <v>0</v>
      </c>
      <c r="AR79" s="402">
        <v>0</v>
      </c>
      <c r="AS79" s="402">
        <v>0</v>
      </c>
      <c r="AT79" s="402">
        <f t="shared" ca="1" si="135"/>
        <v>0</v>
      </c>
      <c r="AU79" s="402">
        <f t="shared" si="12"/>
        <v>0</v>
      </c>
      <c r="AV79" s="402">
        <f t="shared" ca="1" si="136"/>
        <v>0</v>
      </c>
      <c r="AW79" s="402">
        <f t="shared" si="13"/>
        <v>0</v>
      </c>
      <c r="AX79" s="55">
        <f ca="1">IFERROR(__xludf.DUMMYFUNCTION("IMPORTRANGE(""https://docs.google.com/spreadsheets/d/1IYY_tgx_IHuhSq3AJ5eI5OnqOPBNLWSHKh2a30DoXe8/edit?usp=sharing"",""ตรัง!J395"")"),0)</f>
        <v>0</v>
      </c>
      <c r="AY79" s="55">
        <f ca="1">IFERROR(__xludf.DUMMYFUNCTION("IMPORTRANGE(""https://docs.google.com/spreadsheets/d/1IYY_tgx_IHuhSq3AJ5eI5OnqOPBNLWSHKh2a30DoXe8/edit?usp=sharing"",""ตรัง!J396"")"),0)</f>
        <v>0</v>
      </c>
      <c r="AZ79" s="55">
        <f ca="1">IFERROR(__xludf.DUMMYFUNCTION("IMPORTRANGE(""https://docs.google.com/spreadsheets/d/1IYY_tgx_IHuhSq3AJ5eI5OnqOPBNLWSHKh2a30DoXe8/edit?usp=sharing"",""ตรัง!J397"")"),0)</f>
        <v>0</v>
      </c>
      <c r="BA79" s="55">
        <f ca="1">IFERROR(__xludf.DUMMYFUNCTION("IMPORTRANGE(""https://docs.google.com/spreadsheets/d/1IYY_tgx_IHuhSq3AJ5eI5OnqOPBNLWSHKh2a30DoXe8/edit?usp=sharing"",""ตรัง!J398"")"),0)</f>
        <v>0</v>
      </c>
      <c r="BB79" s="55">
        <f ca="1">IFERROR(__xludf.DUMMYFUNCTION("IMPORTRANGE(""https://docs.google.com/spreadsheets/d/1IYY_tgx_IHuhSq3AJ5eI5OnqOPBNLWSHKh2a30DoXe8/edit?usp=sharing"",""ตรัง!J399"")"),0)</f>
        <v>0</v>
      </c>
      <c r="BC79" s="55">
        <f ca="1">IFERROR(__xludf.DUMMYFUNCTION("IMPORTRANGE(""https://docs.google.com/spreadsheets/d/1IYY_tgx_IHuhSq3AJ5eI5OnqOPBNLWSHKh2a30DoXe8/edit?usp=sharing"",""ตรัง!J400"")"),0)</f>
        <v>0</v>
      </c>
      <c r="BD79" s="55">
        <f ca="1">IFERROR(__xludf.DUMMYFUNCTION("IMPORTRANGE(""https://docs.google.com/spreadsheets/d/1IYY_tgx_IHuhSq3AJ5eI5OnqOPBNLWSHKh2a30DoXe8/edit?usp=sharing"",""ตรัง!J403"")"),0)</f>
        <v>0</v>
      </c>
      <c r="BE79" s="55">
        <f ca="1">IFERROR(__xludf.DUMMYFUNCTION("IMPORTRANGE(""https://docs.google.com/spreadsheets/d/1IYY_tgx_IHuhSq3AJ5eI5OnqOPBNLWSHKh2a30DoXe8/edit?usp=sharing"",""ตรัง!J404"")"),0)</f>
        <v>0</v>
      </c>
      <c r="BF79" s="55">
        <f ca="1">IFERROR(__xludf.DUMMYFUNCTION("IMPORTRANGE(""https://docs.google.com/spreadsheets/d/1IYY_tgx_IHuhSq3AJ5eI5OnqOPBNLWSHKh2a30DoXe8/edit?usp=sharing"",""ตรัง!J405"")"),0)</f>
        <v>0</v>
      </c>
      <c r="BG79" s="55">
        <f ca="1">IFERROR(__xludf.DUMMYFUNCTION("IMPORTRANGE(""https://docs.google.com/spreadsheets/d/1IYY_tgx_IHuhSq3AJ5eI5OnqOPBNLWSHKh2a30DoXe8/edit?usp=sharing"",""ตรัง!J406"")"),0)</f>
        <v>0</v>
      </c>
      <c r="BH79" s="55">
        <f ca="1">IFERROR(__xludf.DUMMYFUNCTION("IMPORTRANGE(""https://docs.google.com/spreadsheets/d/1IYY_tgx_IHuhSq3AJ5eI5OnqOPBNLWSHKh2a30DoXe8/edit?usp=sharing"",""ตรัง!J407"")"),0)</f>
        <v>0</v>
      </c>
      <c r="BI79" s="55">
        <f ca="1">IFERROR(__xludf.DUMMYFUNCTION("IMPORTRANGE(""https://docs.google.com/spreadsheets/d/1IYY_tgx_IHuhSq3AJ5eI5OnqOPBNLWSHKh2a30DoXe8/edit?usp=sharing"",""ตรัง!J408"")"),0)</f>
        <v>0</v>
      </c>
      <c r="BJ79" s="402">
        <v>38071</v>
      </c>
      <c r="BK79" s="402">
        <v>3513</v>
      </c>
      <c r="BL79" s="402">
        <f t="shared" ca="1" si="137"/>
        <v>0</v>
      </c>
      <c r="BM79" s="403">
        <f t="shared" ca="1" si="15"/>
        <v>0</v>
      </c>
      <c r="BN79" s="402">
        <f t="shared" ca="1" si="138"/>
        <v>0</v>
      </c>
      <c r="BO79" s="403">
        <f t="shared" ca="1" si="16"/>
        <v>0</v>
      </c>
      <c r="BP79" s="55">
        <f ca="1">IFERROR(__xludf.DUMMYFUNCTION("IMPORTRANGE(""https://docs.google.com/spreadsheets/d/1IYY_tgx_IHuhSq3AJ5eI5OnqOPBNLWSHKh2a30DoXe8/edit?usp=sharing"",""ตรัง!J412"")"),0)</f>
        <v>0</v>
      </c>
      <c r="BQ79" s="55">
        <f ca="1">IFERROR(__xludf.DUMMYFUNCTION("IMPORTRANGE(""https://docs.google.com/spreadsheets/d/1IYY_tgx_IHuhSq3AJ5eI5OnqOPBNLWSHKh2a30DoXe8/edit?usp=sharing"",""ตรัง!J413"")"),0)</f>
        <v>0</v>
      </c>
      <c r="BR79" s="55">
        <f ca="1">IFERROR(__xludf.DUMMYFUNCTION("IMPORTRANGE(""https://docs.google.com/spreadsheets/d/1IYY_tgx_IHuhSq3AJ5eI5OnqOPBNLWSHKh2a30DoXe8/edit?usp=sharing"",""ตรัง!J414"")"),0)</f>
        <v>0</v>
      </c>
      <c r="BS79" s="55">
        <f ca="1">IFERROR(__xludf.DUMMYFUNCTION("IMPORTRANGE(""https://docs.google.com/spreadsheets/d/1IYY_tgx_IHuhSq3AJ5eI5OnqOPBNLWSHKh2a30DoXe8/edit?usp=sharing"",""ตรัง!J415"")"),0)</f>
        <v>0</v>
      </c>
      <c r="BT79" s="55">
        <f ca="1">IFERROR(__xludf.DUMMYFUNCTION("IMPORTRANGE(""https://docs.google.com/spreadsheets/d/1IYY_tgx_IHuhSq3AJ5eI5OnqOPBNLWSHKh2a30DoXe8/edit?usp=sharing"",""ตรัง!J416"")"),0)</f>
        <v>0</v>
      </c>
      <c r="BU79" s="55">
        <f ca="1">IFERROR(__xludf.DUMMYFUNCTION("IMPORTRANGE(""https://docs.google.com/spreadsheets/d/1IYY_tgx_IHuhSq3AJ5eI5OnqOPBNLWSHKh2a30DoXe8/edit?usp=sharing"",""ตรัง!J417"")"),0)</f>
        <v>0</v>
      </c>
      <c r="BV79" s="402">
        <f t="shared" ca="1" si="139"/>
        <v>0</v>
      </c>
      <c r="BW79" s="403">
        <f t="shared" ca="1" si="140"/>
        <v>0</v>
      </c>
      <c r="BX79" s="402">
        <f t="shared" ca="1" si="141"/>
        <v>0</v>
      </c>
      <c r="BY79" s="403">
        <f t="shared" ca="1" si="142"/>
        <v>0</v>
      </c>
      <c r="BZ79" s="55">
        <f ca="1">IFERROR(__xludf.DUMMYFUNCTION("IMPORTRANGE(""https://docs.google.com/spreadsheets/d/1IYY_tgx_IHuhSq3AJ5eI5OnqOPBNLWSHKh2a30DoXe8/edit?usp=sharing"",""ตรัง!J420"")"),0)</f>
        <v>0</v>
      </c>
      <c r="CA79" s="55">
        <f ca="1">IFERROR(__xludf.DUMMYFUNCTION("IMPORTRANGE(""https://docs.google.com/spreadsheets/d/1IYY_tgx_IHuhSq3AJ5eI5OnqOPBNLWSHKh2a30DoXe8/edit?usp=sharing"",""ตรัง!J421"")"),0)</f>
        <v>0</v>
      </c>
      <c r="CB79" s="55">
        <f ca="1">IFERROR(__xludf.DUMMYFUNCTION("IMPORTRANGE(""https://docs.google.com/spreadsheets/d/1IYY_tgx_IHuhSq3AJ5eI5OnqOPBNLWSHKh2a30DoXe8/edit?usp=sharing"",""ตรัง!J422"")"),0)</f>
        <v>0</v>
      </c>
      <c r="CC79" s="55">
        <f ca="1">IFERROR(__xludf.DUMMYFUNCTION("IMPORTRANGE(""https://docs.google.com/spreadsheets/d/1IYY_tgx_IHuhSq3AJ5eI5OnqOPBNLWSHKh2a30DoXe8/edit?usp=sharing"",""ตรัง!J423"")"),0)</f>
        <v>0</v>
      </c>
      <c r="CD79" s="55">
        <f ca="1">IFERROR(__xludf.DUMMYFUNCTION("IMPORTRANGE(""https://docs.google.com/spreadsheets/d/1IYY_tgx_IHuhSq3AJ5eI5OnqOPBNLWSHKh2a30DoXe8/edit?usp=sharing"",""ตรัง!J424"")"),0)</f>
        <v>0</v>
      </c>
      <c r="CE79" s="422">
        <f ca="1">IFERROR(__xludf.DUMMYFUNCTION("IMPORTRANGE(""https://docs.google.com/spreadsheets/d/1IYY_tgx_IHuhSq3AJ5eI5OnqOPBNLWSHKh2a30DoXe8/edit?usp=sharing"",""ตรัง!J425"")"),0)</f>
        <v>0</v>
      </c>
    </row>
    <row r="80" spans="1:83" ht="24" customHeight="1" x14ac:dyDescent="0.5">
      <c r="A80" s="273">
        <v>4</v>
      </c>
      <c r="B80" s="274" t="s">
        <v>95</v>
      </c>
      <c r="C80" s="400">
        <f t="shared" si="128"/>
        <v>452203.8</v>
      </c>
      <c r="D80" s="55">
        <v>0</v>
      </c>
      <c r="E80" s="401">
        <v>452203.8</v>
      </c>
      <c r="F80" s="99">
        <f ca="1">IFERROR(__xludf.DUMMYFUNCTION("IMPORTRANGE(""https://docs.google.com/spreadsheets/d/1IYY_tgx_IHuhSq3AJ5eI5OnqOPBNLWSHKh2a30DoXe8/edit?usp=sharing"",""นครศรีธรรมราช!M352"")"),0)</f>
        <v>0</v>
      </c>
      <c r="G80" s="99">
        <f t="shared" ca="1" si="1"/>
        <v>0</v>
      </c>
      <c r="H80" s="57">
        <v>46627</v>
      </c>
      <c r="I80" s="57">
        <v>6576</v>
      </c>
      <c r="J80" s="55">
        <f t="shared" ca="1" si="129"/>
        <v>0</v>
      </c>
      <c r="K80" s="99">
        <f t="shared" ca="1" si="3"/>
        <v>0</v>
      </c>
      <c r="L80" s="55">
        <f t="shared" ca="1" si="130"/>
        <v>0</v>
      </c>
      <c r="M80" s="99">
        <f t="shared" ca="1" si="4"/>
        <v>0</v>
      </c>
      <c r="N80" s="55">
        <f ca="1">IFERROR(__xludf.DUMMYFUNCTION("IMPORTRANGE(""https://docs.google.com/spreadsheets/d/1IYY_tgx_IHuhSq3AJ5eI5OnqOPBNLWSHKh2a30DoXe8/edit?usp=sharing"",""นครศรีธรรมราช!J362"")"),0)</f>
        <v>0</v>
      </c>
      <c r="O80" s="55">
        <f ca="1">IFERROR(__xludf.DUMMYFUNCTION("IMPORTRANGE(""https://docs.google.com/spreadsheets/d/1IYY_tgx_IHuhSq3AJ5eI5OnqOPBNLWSHKh2a30DoXe8/edit?usp=sharing"",""นครศรีธรรมราช!J363"")"),0)</f>
        <v>0</v>
      </c>
      <c r="P80" s="55">
        <f ca="1">IFERROR(__xludf.DUMMYFUNCTION("IMPORTRANGE(""https://docs.google.com/spreadsheets/d/1IYY_tgx_IHuhSq3AJ5eI5OnqOPBNLWSHKh2a30DoXe8/edit?usp=sharing"",""นครศรีธรรมราช!J364"")"),0)</f>
        <v>0</v>
      </c>
      <c r="Q80" s="55">
        <f ca="1">IFERROR(__xludf.DUMMYFUNCTION("IMPORTRANGE(""https://docs.google.com/spreadsheets/d/1IYY_tgx_IHuhSq3AJ5eI5OnqOPBNLWSHKh2a30DoXe8/edit?usp=sharing"",""นครศรีธรรมราช!J365"")"),0)</f>
        <v>0</v>
      </c>
      <c r="R80" s="55">
        <f ca="1">IFERROR(__xludf.DUMMYFUNCTION("IMPORTRANGE(""https://docs.google.com/spreadsheets/d/1IYY_tgx_IHuhSq3AJ5eI5OnqOPBNLWSHKh2a30DoXe8/edit?usp=sharing"",""นครศรีธรรมราช!J366"")"),0)</f>
        <v>0</v>
      </c>
      <c r="S80" s="55">
        <f ca="1">IFERROR(__xludf.DUMMYFUNCTION("IMPORTRANGE(""https://docs.google.com/spreadsheets/d/1IYY_tgx_IHuhSq3AJ5eI5OnqOPBNLWSHKh2a30DoXe8/edit?usp=sharing"",""นครศรีธรรมราช!J367"")"),0)</f>
        <v>0</v>
      </c>
      <c r="T80" s="55">
        <f t="shared" ca="1" si="131"/>
        <v>0</v>
      </c>
      <c r="U80" s="55">
        <f t="shared" ca="1" si="6"/>
        <v>0</v>
      </c>
      <c r="V80" s="55">
        <f t="shared" ca="1" si="132"/>
        <v>0</v>
      </c>
      <c r="W80" s="55">
        <f t="shared" ca="1" si="7"/>
        <v>0</v>
      </c>
      <c r="X80" s="55">
        <f ca="1">IFERROR(__xludf.DUMMYFUNCTION("IMPORTRANGE(""https://docs.google.com/spreadsheets/d/1IYY_tgx_IHuhSq3AJ5eI5OnqOPBNLWSHKh2a30DoXe8/edit?usp=sharing"",""นครศรีธรรมราช!J370"")"),0)</f>
        <v>0</v>
      </c>
      <c r="Y80" s="55">
        <f ca="1">IFERROR(__xludf.DUMMYFUNCTION("IMPORTRANGE(""https://docs.google.com/spreadsheets/d/1IYY_tgx_IHuhSq3AJ5eI5OnqOPBNLWSHKh2a30DoXe8/edit?usp=sharing"",""นครศรีธรรมราช!J371"")"),0)</f>
        <v>0</v>
      </c>
      <c r="Z80" s="55">
        <f ca="1">IFERROR(__xludf.DUMMYFUNCTION("IMPORTRANGE(""https://docs.google.com/spreadsheets/d/1IYY_tgx_IHuhSq3AJ5eI5OnqOPBNLWSHKh2a30DoXe8/edit?usp=sharing"",""นครศรีธรรมราช!J372"")"),0)</f>
        <v>0</v>
      </c>
      <c r="AA80" s="55">
        <f ca="1">IFERROR(__xludf.DUMMYFUNCTION("IMPORTRANGE(""https://docs.google.com/spreadsheets/d/1IYY_tgx_IHuhSq3AJ5eI5OnqOPBNLWSHKh2a30DoXe8/edit?usp=sharing"",""นครศรีธรรมราช!J373"")"),0)</f>
        <v>0</v>
      </c>
      <c r="AB80" s="55">
        <f ca="1">IFERROR(__xludf.DUMMYFUNCTION("IMPORTRANGE(""https://docs.google.com/spreadsheets/d/1IYY_tgx_IHuhSq3AJ5eI5OnqOPBNLWSHKh2a30DoXe8/edit?usp=sharing"",""นครศรีธรรมราช!J374"")"),0)</f>
        <v>0</v>
      </c>
      <c r="AC80" s="55">
        <f ca="1">IFERROR(__xludf.DUMMYFUNCTION("IMPORTRANGE(""https://docs.google.com/spreadsheets/d/1IYY_tgx_IHuhSq3AJ5eI5OnqOPBNLWSHKh2a30DoXe8/edit?usp=sharing"",""นครศรีธรรมราช!J375"")"),0)</f>
        <v>0</v>
      </c>
      <c r="AD80" s="55">
        <f t="shared" ca="1" si="133"/>
        <v>0</v>
      </c>
      <c r="AE80" s="99">
        <f t="shared" ca="1" si="9"/>
        <v>0</v>
      </c>
      <c r="AF80" s="55">
        <f t="shared" ca="1" si="134"/>
        <v>0</v>
      </c>
      <c r="AG80" s="99">
        <f t="shared" ca="1" si="10"/>
        <v>0</v>
      </c>
      <c r="AH80" s="55">
        <f ca="1">IFERROR(__xludf.DUMMYFUNCTION("IMPORTRANGE(""https://docs.google.com/spreadsheets/d/1IYY_tgx_IHuhSq3AJ5eI5OnqOPBNLWSHKh2a30DoXe8/edit?usp=sharing"",""นครศรีธรรมราช!J378"")"),0)</f>
        <v>0</v>
      </c>
      <c r="AI80" s="55">
        <f ca="1">IFERROR(__xludf.DUMMYFUNCTION("IMPORTRANGE(""https://docs.google.com/spreadsheets/d/1IYY_tgx_IHuhSq3AJ5eI5OnqOPBNLWSHKh2a30DoXe8/edit?usp=sharing"",""นครศรีธรรมราช!J379"")"),0)</f>
        <v>0</v>
      </c>
      <c r="AJ80" s="55">
        <f ca="1">IFERROR(__xludf.DUMMYFUNCTION("IMPORTRANGE(""https://docs.google.com/spreadsheets/d/1IYY_tgx_IHuhSq3AJ5eI5OnqOPBNLWSHKh2a30DoXe8/edit?usp=sharing"",""นครศรีธรรมราช!J380"")"),0)</f>
        <v>0</v>
      </c>
      <c r="AK80" s="55">
        <f ca="1">IFERROR(__xludf.DUMMYFUNCTION("IMPORTRANGE(""https://docs.google.com/spreadsheets/d/1IYY_tgx_IHuhSq3AJ5eI5OnqOPBNLWSHKh2a30DoXe8/edit?usp=sharing"",""นครศรีธรรมราช!J381"")"),0)</f>
        <v>0</v>
      </c>
      <c r="AL80" s="55">
        <f ca="1">IFERROR(__xludf.DUMMYFUNCTION("IMPORTRANGE(""https://docs.google.com/spreadsheets/d/1IYY_tgx_IHuhSq3AJ5eI5OnqOPBNLWSHKh2a30DoXe8/edit?usp=sharing"",""นครศรีธรรมราช!J384"")"),0)</f>
        <v>0</v>
      </c>
      <c r="AM80" s="55">
        <f ca="1">IFERROR(__xludf.DUMMYFUNCTION("IMPORTRANGE(""https://docs.google.com/spreadsheets/d/1IYY_tgx_IHuhSq3AJ5eI5OnqOPBNLWSHKh2a30DoXe8/edit?usp=sharing"",""นครศรีธรรมราช!J385"")"),0)</f>
        <v>0</v>
      </c>
      <c r="AN80" s="55">
        <f ca="1">IFERROR(__xludf.DUMMYFUNCTION("IMPORTRANGE(""https://docs.google.com/spreadsheets/d/1IYY_tgx_IHuhSq3AJ5eI5OnqOPBNLWSHKh2a30DoXe8/edit?usp=sharing"",""นครศรีธรรมราช!J386"")"),0)</f>
        <v>0</v>
      </c>
      <c r="AO80" s="55">
        <f ca="1">IFERROR(__xludf.DUMMYFUNCTION("IMPORTRANGE(""https://docs.google.com/spreadsheets/d/1IYY_tgx_IHuhSq3AJ5eI5OnqOPBNLWSHKh2a30DoXe8/edit?usp=sharing"",""นครศรีธรรมราช!J387"")"),0)</f>
        <v>0</v>
      </c>
      <c r="AP80" s="55">
        <f ca="1">IFERROR(__xludf.DUMMYFUNCTION("IMPORTRANGE(""https://docs.google.com/spreadsheets/d/1IYY_tgx_IHuhSq3AJ5eI5OnqOPBNLWSHKh2a30DoXe8/edit?usp=sharing"",""นครศรีธรรมราช!J388"")"),0)</f>
        <v>0</v>
      </c>
      <c r="AQ80" s="55">
        <f ca="1">IFERROR(__xludf.DUMMYFUNCTION("IMPORTRANGE(""https://docs.google.com/spreadsheets/d/1IYY_tgx_IHuhSq3AJ5eI5OnqOPBNLWSHKh2a30DoXe8/edit?usp=sharing"",""นครศรีธรรมราช!J389"")"),0)</f>
        <v>0</v>
      </c>
      <c r="AR80" s="402">
        <v>0</v>
      </c>
      <c r="AS80" s="402">
        <v>0</v>
      </c>
      <c r="AT80" s="402">
        <f t="shared" ca="1" si="135"/>
        <v>0</v>
      </c>
      <c r="AU80" s="402">
        <f t="shared" si="12"/>
        <v>0</v>
      </c>
      <c r="AV80" s="402">
        <f t="shared" ca="1" si="136"/>
        <v>0</v>
      </c>
      <c r="AW80" s="402">
        <f t="shared" si="13"/>
        <v>0</v>
      </c>
      <c r="AX80" s="55">
        <f ca="1">IFERROR(__xludf.DUMMYFUNCTION("IMPORTRANGE(""https://docs.google.com/spreadsheets/d/1IYY_tgx_IHuhSq3AJ5eI5OnqOPBNLWSHKh2a30DoXe8/edit?usp=sharing"",""นครศรีธรรมราช!J395"")"),0)</f>
        <v>0</v>
      </c>
      <c r="AY80" s="55">
        <f ca="1">IFERROR(__xludf.DUMMYFUNCTION("IMPORTRANGE(""https://docs.google.com/spreadsheets/d/1IYY_tgx_IHuhSq3AJ5eI5OnqOPBNLWSHKh2a30DoXe8/edit?usp=sharing"",""นครศรีธรรมราช!J396"")"),0)</f>
        <v>0</v>
      </c>
      <c r="AZ80" s="55">
        <f ca="1">IFERROR(__xludf.DUMMYFUNCTION("IMPORTRANGE(""https://docs.google.com/spreadsheets/d/1IYY_tgx_IHuhSq3AJ5eI5OnqOPBNLWSHKh2a30DoXe8/edit?usp=sharing"",""นครศรีธรรมราช!J397"")"),0)</f>
        <v>0</v>
      </c>
      <c r="BA80" s="55">
        <f ca="1">IFERROR(__xludf.DUMMYFUNCTION("IMPORTRANGE(""https://docs.google.com/spreadsheets/d/1IYY_tgx_IHuhSq3AJ5eI5OnqOPBNLWSHKh2a30DoXe8/edit?usp=sharing"",""นครศรีธรรมราช!J398"")"),0)</f>
        <v>0</v>
      </c>
      <c r="BB80" s="55">
        <f ca="1">IFERROR(__xludf.DUMMYFUNCTION("IMPORTRANGE(""https://docs.google.com/spreadsheets/d/1IYY_tgx_IHuhSq3AJ5eI5OnqOPBNLWSHKh2a30DoXe8/edit?usp=sharing"",""นครศรีธรรมราช!J399"")"),0)</f>
        <v>0</v>
      </c>
      <c r="BC80" s="55">
        <f ca="1">IFERROR(__xludf.DUMMYFUNCTION("IMPORTRANGE(""https://docs.google.com/spreadsheets/d/1IYY_tgx_IHuhSq3AJ5eI5OnqOPBNLWSHKh2a30DoXe8/edit?usp=sharing"",""นครศรีธรรมราช!J400"")"),0)</f>
        <v>0</v>
      </c>
      <c r="BD80" s="55">
        <f ca="1">IFERROR(__xludf.DUMMYFUNCTION("IMPORTRANGE(""https://docs.google.com/spreadsheets/d/1IYY_tgx_IHuhSq3AJ5eI5OnqOPBNLWSHKh2a30DoXe8/edit?usp=sharing"",""นครศรีธรรมราช!J403"")"),0)</f>
        <v>0</v>
      </c>
      <c r="BE80" s="55">
        <f ca="1">IFERROR(__xludf.DUMMYFUNCTION("IMPORTRANGE(""https://docs.google.com/spreadsheets/d/1IYY_tgx_IHuhSq3AJ5eI5OnqOPBNLWSHKh2a30DoXe8/edit?usp=sharing"",""นครศรีธรรมราช!J404"")"),0)</f>
        <v>0</v>
      </c>
      <c r="BF80" s="55">
        <f ca="1">IFERROR(__xludf.DUMMYFUNCTION("IMPORTRANGE(""https://docs.google.com/spreadsheets/d/1IYY_tgx_IHuhSq3AJ5eI5OnqOPBNLWSHKh2a30DoXe8/edit?usp=sharing"",""นครศรีธรรมราช!J405"")"),0)</f>
        <v>0</v>
      </c>
      <c r="BG80" s="55">
        <f ca="1">IFERROR(__xludf.DUMMYFUNCTION("IMPORTRANGE(""https://docs.google.com/spreadsheets/d/1IYY_tgx_IHuhSq3AJ5eI5OnqOPBNLWSHKh2a30DoXe8/edit?usp=sharing"",""นครศรีธรรมราช!J406"")"),0)</f>
        <v>0</v>
      </c>
      <c r="BH80" s="55">
        <f ca="1">IFERROR(__xludf.DUMMYFUNCTION("IMPORTRANGE(""https://docs.google.com/spreadsheets/d/1IYY_tgx_IHuhSq3AJ5eI5OnqOPBNLWSHKh2a30DoXe8/edit?usp=sharing"",""นครศรีธรรมราช!J407"")"),0)</f>
        <v>0</v>
      </c>
      <c r="BI80" s="55">
        <f ca="1">IFERROR(__xludf.DUMMYFUNCTION("IMPORTRANGE(""https://docs.google.com/spreadsheets/d/1IYY_tgx_IHuhSq3AJ5eI5OnqOPBNLWSHKh2a30DoXe8/edit?usp=sharing"",""นครศรีธรรมราช!J408"")"),0)</f>
        <v>0</v>
      </c>
      <c r="BJ80" s="402">
        <v>46627</v>
      </c>
      <c r="BK80" s="402">
        <v>6576</v>
      </c>
      <c r="BL80" s="402">
        <f t="shared" ca="1" si="137"/>
        <v>0</v>
      </c>
      <c r="BM80" s="403">
        <f t="shared" ca="1" si="15"/>
        <v>0</v>
      </c>
      <c r="BN80" s="402">
        <f t="shared" ca="1" si="138"/>
        <v>0</v>
      </c>
      <c r="BO80" s="403">
        <f t="shared" ca="1" si="16"/>
        <v>0</v>
      </c>
      <c r="BP80" s="55">
        <f ca="1">IFERROR(__xludf.DUMMYFUNCTION("IMPORTRANGE(""https://docs.google.com/spreadsheets/d/1IYY_tgx_IHuhSq3AJ5eI5OnqOPBNLWSHKh2a30DoXe8/edit?usp=sharing"",""นครศรีธรรมราช!J412"")"),0)</f>
        <v>0</v>
      </c>
      <c r="BQ80" s="55">
        <f ca="1">IFERROR(__xludf.DUMMYFUNCTION("IMPORTRANGE(""https://docs.google.com/spreadsheets/d/1IYY_tgx_IHuhSq3AJ5eI5OnqOPBNLWSHKh2a30DoXe8/edit?usp=sharing"",""นครศรีธรรมราช!J413"")"),0)</f>
        <v>0</v>
      </c>
      <c r="BR80" s="55">
        <f ca="1">IFERROR(__xludf.DUMMYFUNCTION("IMPORTRANGE(""https://docs.google.com/spreadsheets/d/1IYY_tgx_IHuhSq3AJ5eI5OnqOPBNLWSHKh2a30DoXe8/edit?usp=sharing"",""นครศรีธรรมราช!J414"")"),0)</f>
        <v>0</v>
      </c>
      <c r="BS80" s="55">
        <f ca="1">IFERROR(__xludf.DUMMYFUNCTION("IMPORTRANGE(""https://docs.google.com/spreadsheets/d/1IYY_tgx_IHuhSq3AJ5eI5OnqOPBNLWSHKh2a30DoXe8/edit?usp=sharing"",""นครศรีธรรมราช!J415"")"),0)</f>
        <v>0</v>
      </c>
      <c r="BT80" s="55">
        <f ca="1">IFERROR(__xludf.DUMMYFUNCTION("IMPORTRANGE(""https://docs.google.com/spreadsheets/d/1IYY_tgx_IHuhSq3AJ5eI5OnqOPBNLWSHKh2a30DoXe8/edit?usp=sharing"",""นครศรีธรรมราช!J416"")"),0)</f>
        <v>0</v>
      </c>
      <c r="BU80" s="55">
        <f ca="1">IFERROR(__xludf.DUMMYFUNCTION("IMPORTRANGE(""https://docs.google.com/spreadsheets/d/1IYY_tgx_IHuhSq3AJ5eI5OnqOPBNLWSHKh2a30DoXe8/edit?usp=sharing"",""นครศรีธรรมราช!J417"")"),0)</f>
        <v>0</v>
      </c>
      <c r="BV80" s="402">
        <f t="shared" ca="1" si="139"/>
        <v>0</v>
      </c>
      <c r="BW80" s="403">
        <f t="shared" ca="1" si="140"/>
        <v>0</v>
      </c>
      <c r="BX80" s="402">
        <f t="shared" ca="1" si="141"/>
        <v>0</v>
      </c>
      <c r="BY80" s="403">
        <f t="shared" ca="1" si="142"/>
        <v>0</v>
      </c>
      <c r="BZ80" s="55">
        <f ca="1">IFERROR(__xludf.DUMMYFUNCTION("IMPORTRANGE(""https://docs.google.com/spreadsheets/d/1IYY_tgx_IHuhSq3AJ5eI5OnqOPBNLWSHKh2a30DoXe8/edit?usp=sharing"",""นครศรีธรรมราช!J420"")"),0)</f>
        <v>0</v>
      </c>
      <c r="CA80" s="55">
        <f ca="1">IFERROR(__xludf.DUMMYFUNCTION("IMPORTRANGE(""https://docs.google.com/spreadsheets/d/1IYY_tgx_IHuhSq3AJ5eI5OnqOPBNLWSHKh2a30DoXe8/edit?usp=sharing"",""นครศรีธรรมราช!J421"")"),0)</f>
        <v>0</v>
      </c>
      <c r="CB80" s="55">
        <f ca="1">IFERROR(__xludf.DUMMYFUNCTION("IMPORTRANGE(""https://docs.google.com/spreadsheets/d/1IYY_tgx_IHuhSq3AJ5eI5OnqOPBNLWSHKh2a30DoXe8/edit?usp=sharing"",""นครศรีธรรมราช!J422"")"),0)</f>
        <v>0</v>
      </c>
      <c r="CC80" s="55">
        <f ca="1">IFERROR(__xludf.DUMMYFUNCTION("IMPORTRANGE(""https://docs.google.com/spreadsheets/d/1IYY_tgx_IHuhSq3AJ5eI5OnqOPBNLWSHKh2a30DoXe8/edit?usp=sharing"",""นครศรีธรรมราช!J423"")"),0)</f>
        <v>0</v>
      </c>
      <c r="CD80" s="55">
        <f ca="1">IFERROR(__xludf.DUMMYFUNCTION("IMPORTRANGE(""https://docs.google.com/spreadsheets/d/1IYY_tgx_IHuhSq3AJ5eI5OnqOPBNLWSHKh2a30DoXe8/edit?usp=sharing"",""นครศรีธรรมราช!J424"")"),0)</f>
        <v>0</v>
      </c>
      <c r="CE80" s="422">
        <f ca="1">IFERROR(__xludf.DUMMYFUNCTION("IMPORTRANGE(""https://docs.google.com/spreadsheets/d/1IYY_tgx_IHuhSq3AJ5eI5OnqOPBNLWSHKh2a30DoXe8/edit?usp=sharing"",""นครศรีธรรมราช!J425"")"),0)</f>
        <v>0</v>
      </c>
    </row>
    <row r="81" spans="1:83" ht="24" customHeight="1" x14ac:dyDescent="0.5">
      <c r="A81" s="273">
        <v>5</v>
      </c>
      <c r="B81" s="274" t="s">
        <v>96</v>
      </c>
      <c r="C81" s="400">
        <f t="shared" si="128"/>
        <v>54257.5</v>
      </c>
      <c r="D81" s="55">
        <v>0</v>
      </c>
      <c r="E81" s="401">
        <v>54257.5</v>
      </c>
      <c r="F81" s="99">
        <f ca="1">IFERROR(__xludf.DUMMYFUNCTION("IMPORTRANGE(""https://docs.google.com/spreadsheets/d/1IYY_tgx_IHuhSq3AJ5eI5OnqOPBNLWSHKh2a30DoXe8/edit?usp=sharing"",""นราธิวาส!M352"")"),0)</f>
        <v>0</v>
      </c>
      <c r="G81" s="99">
        <f t="shared" ca="1" si="1"/>
        <v>0</v>
      </c>
      <c r="H81" s="57">
        <v>2587</v>
      </c>
      <c r="I81" s="57">
        <v>902</v>
      </c>
      <c r="J81" s="55">
        <f t="shared" ca="1" si="129"/>
        <v>0</v>
      </c>
      <c r="K81" s="99">
        <f t="shared" ca="1" si="3"/>
        <v>0</v>
      </c>
      <c r="L81" s="55">
        <f t="shared" ca="1" si="130"/>
        <v>0</v>
      </c>
      <c r="M81" s="99">
        <f t="shared" ca="1" si="4"/>
        <v>0</v>
      </c>
      <c r="N81" s="55">
        <f ca="1">IFERROR(__xludf.DUMMYFUNCTION("IMPORTRANGE(""https://docs.google.com/spreadsheets/d/1IYY_tgx_IHuhSq3AJ5eI5OnqOPBNLWSHKh2a30DoXe8/edit?usp=sharing"",""นราธิวาส!J362"")"),0)</f>
        <v>0</v>
      </c>
      <c r="O81" s="55">
        <f ca="1">IFERROR(__xludf.DUMMYFUNCTION("IMPORTRANGE(""https://docs.google.com/spreadsheets/d/1IYY_tgx_IHuhSq3AJ5eI5OnqOPBNLWSHKh2a30DoXe8/edit?usp=sharing"",""นราธิวาส!J363"")"),0)</f>
        <v>0</v>
      </c>
      <c r="P81" s="55">
        <f ca="1">IFERROR(__xludf.DUMMYFUNCTION("IMPORTRANGE(""https://docs.google.com/spreadsheets/d/1IYY_tgx_IHuhSq3AJ5eI5OnqOPBNLWSHKh2a30DoXe8/edit?usp=sharing"",""นราธิวาส!J364"")"),0)</f>
        <v>0</v>
      </c>
      <c r="Q81" s="55">
        <f ca="1">IFERROR(__xludf.DUMMYFUNCTION("IMPORTRANGE(""https://docs.google.com/spreadsheets/d/1IYY_tgx_IHuhSq3AJ5eI5OnqOPBNLWSHKh2a30DoXe8/edit?usp=sharing"",""นราธิวาส!J365"")"),0)</f>
        <v>0</v>
      </c>
      <c r="R81" s="55">
        <f ca="1">IFERROR(__xludf.DUMMYFUNCTION("IMPORTRANGE(""https://docs.google.com/spreadsheets/d/1IYY_tgx_IHuhSq3AJ5eI5OnqOPBNLWSHKh2a30DoXe8/edit?usp=sharing"",""นราธิวาส!J366"")"),0)</f>
        <v>0</v>
      </c>
      <c r="S81" s="55">
        <f ca="1">IFERROR(__xludf.DUMMYFUNCTION("IMPORTRANGE(""https://docs.google.com/spreadsheets/d/1IYY_tgx_IHuhSq3AJ5eI5OnqOPBNLWSHKh2a30DoXe8/edit?usp=sharing"",""นราธิวาส!J367"")"),0)</f>
        <v>0</v>
      </c>
      <c r="T81" s="55">
        <f t="shared" ca="1" si="131"/>
        <v>0</v>
      </c>
      <c r="U81" s="55">
        <f t="shared" ca="1" si="6"/>
        <v>0</v>
      </c>
      <c r="V81" s="55">
        <f t="shared" ca="1" si="132"/>
        <v>0</v>
      </c>
      <c r="W81" s="55">
        <f t="shared" ca="1" si="7"/>
        <v>0</v>
      </c>
      <c r="X81" s="55">
        <f ca="1">IFERROR(__xludf.DUMMYFUNCTION("IMPORTRANGE(""https://docs.google.com/spreadsheets/d/1IYY_tgx_IHuhSq3AJ5eI5OnqOPBNLWSHKh2a30DoXe8/edit?usp=sharing"",""นราธิวาส!J370"")"),0)</f>
        <v>0</v>
      </c>
      <c r="Y81" s="55">
        <f ca="1">IFERROR(__xludf.DUMMYFUNCTION("IMPORTRANGE(""https://docs.google.com/spreadsheets/d/1IYY_tgx_IHuhSq3AJ5eI5OnqOPBNLWSHKh2a30DoXe8/edit?usp=sharing"",""นราธิวาส!J371"")"),0)</f>
        <v>0</v>
      </c>
      <c r="Z81" s="55">
        <f ca="1">IFERROR(__xludf.DUMMYFUNCTION("IMPORTRANGE(""https://docs.google.com/spreadsheets/d/1IYY_tgx_IHuhSq3AJ5eI5OnqOPBNLWSHKh2a30DoXe8/edit?usp=sharing"",""นราธิวาส!J372"")"),0)</f>
        <v>0</v>
      </c>
      <c r="AA81" s="55">
        <f ca="1">IFERROR(__xludf.DUMMYFUNCTION("IMPORTRANGE(""https://docs.google.com/spreadsheets/d/1IYY_tgx_IHuhSq3AJ5eI5OnqOPBNLWSHKh2a30DoXe8/edit?usp=sharing"",""นราธิวาส!J373"")"),0)</f>
        <v>0</v>
      </c>
      <c r="AB81" s="55">
        <f ca="1">IFERROR(__xludf.DUMMYFUNCTION("IMPORTRANGE(""https://docs.google.com/spreadsheets/d/1IYY_tgx_IHuhSq3AJ5eI5OnqOPBNLWSHKh2a30DoXe8/edit?usp=sharing"",""นราธิวาส!J374"")"),0)</f>
        <v>0</v>
      </c>
      <c r="AC81" s="55">
        <f ca="1">IFERROR(__xludf.DUMMYFUNCTION("IMPORTRANGE(""https://docs.google.com/spreadsheets/d/1IYY_tgx_IHuhSq3AJ5eI5OnqOPBNLWSHKh2a30DoXe8/edit?usp=sharing"",""นราธิวาส!J375"")"),0)</f>
        <v>0</v>
      </c>
      <c r="AD81" s="55">
        <f t="shared" ca="1" si="133"/>
        <v>0</v>
      </c>
      <c r="AE81" s="99">
        <f t="shared" ca="1" si="9"/>
        <v>0</v>
      </c>
      <c r="AF81" s="55">
        <f t="shared" ca="1" si="134"/>
        <v>0</v>
      </c>
      <c r="AG81" s="99">
        <f t="shared" ca="1" si="10"/>
        <v>0</v>
      </c>
      <c r="AH81" s="55">
        <f ca="1">IFERROR(__xludf.DUMMYFUNCTION("IMPORTRANGE(""https://docs.google.com/spreadsheets/d/1IYY_tgx_IHuhSq3AJ5eI5OnqOPBNLWSHKh2a30DoXe8/edit?usp=sharing"",""นราธิวาส!J378"")"),0)</f>
        <v>0</v>
      </c>
      <c r="AI81" s="55">
        <f ca="1">IFERROR(__xludf.DUMMYFUNCTION("IMPORTRANGE(""https://docs.google.com/spreadsheets/d/1IYY_tgx_IHuhSq3AJ5eI5OnqOPBNLWSHKh2a30DoXe8/edit?usp=sharing"",""นราธิวาส!J379"")"),0)</f>
        <v>0</v>
      </c>
      <c r="AJ81" s="55">
        <f ca="1">IFERROR(__xludf.DUMMYFUNCTION("IMPORTRANGE(""https://docs.google.com/spreadsheets/d/1IYY_tgx_IHuhSq3AJ5eI5OnqOPBNLWSHKh2a30DoXe8/edit?usp=sharing"",""นราธิวาส!J380"")"),0)</f>
        <v>0</v>
      </c>
      <c r="AK81" s="55">
        <f ca="1">IFERROR(__xludf.DUMMYFUNCTION("IMPORTRANGE(""https://docs.google.com/spreadsheets/d/1IYY_tgx_IHuhSq3AJ5eI5OnqOPBNLWSHKh2a30DoXe8/edit?usp=sharing"",""นราธิวาส!J381"")"),0)</f>
        <v>0</v>
      </c>
      <c r="AL81" s="55">
        <f ca="1">IFERROR(__xludf.DUMMYFUNCTION("IMPORTRANGE(""https://docs.google.com/spreadsheets/d/1IYY_tgx_IHuhSq3AJ5eI5OnqOPBNLWSHKh2a30DoXe8/edit?usp=sharing"",""นราธิวาส!J384"")"),0)</f>
        <v>0</v>
      </c>
      <c r="AM81" s="55">
        <f ca="1">IFERROR(__xludf.DUMMYFUNCTION("IMPORTRANGE(""https://docs.google.com/spreadsheets/d/1IYY_tgx_IHuhSq3AJ5eI5OnqOPBNLWSHKh2a30DoXe8/edit?usp=sharing"",""นราธิวาส!J385"")"),0)</f>
        <v>0</v>
      </c>
      <c r="AN81" s="55">
        <f ca="1">IFERROR(__xludf.DUMMYFUNCTION("IMPORTRANGE(""https://docs.google.com/spreadsheets/d/1IYY_tgx_IHuhSq3AJ5eI5OnqOPBNLWSHKh2a30DoXe8/edit?usp=sharing"",""นราธิวาส!J386"")"),0)</f>
        <v>0</v>
      </c>
      <c r="AO81" s="55">
        <f ca="1">IFERROR(__xludf.DUMMYFUNCTION("IMPORTRANGE(""https://docs.google.com/spreadsheets/d/1IYY_tgx_IHuhSq3AJ5eI5OnqOPBNLWSHKh2a30DoXe8/edit?usp=sharing"",""นราธิวาส!J387"")"),0)</f>
        <v>0</v>
      </c>
      <c r="AP81" s="55">
        <f ca="1">IFERROR(__xludf.DUMMYFUNCTION("IMPORTRANGE(""https://docs.google.com/spreadsheets/d/1IYY_tgx_IHuhSq3AJ5eI5OnqOPBNLWSHKh2a30DoXe8/edit?usp=sharing"",""นราธิวาส!J388"")"),0)</f>
        <v>0</v>
      </c>
      <c r="AQ81" s="55">
        <f ca="1">IFERROR(__xludf.DUMMYFUNCTION("IMPORTRANGE(""https://docs.google.com/spreadsheets/d/1IYY_tgx_IHuhSq3AJ5eI5OnqOPBNLWSHKh2a30DoXe8/edit?usp=sharing"",""นราธิวาส!J389"")"),0)</f>
        <v>0</v>
      </c>
      <c r="AR81" s="402">
        <v>0</v>
      </c>
      <c r="AS81" s="402">
        <v>0</v>
      </c>
      <c r="AT81" s="402">
        <f t="shared" ca="1" si="135"/>
        <v>0</v>
      </c>
      <c r="AU81" s="402">
        <f t="shared" si="12"/>
        <v>0</v>
      </c>
      <c r="AV81" s="402">
        <f t="shared" ca="1" si="136"/>
        <v>0</v>
      </c>
      <c r="AW81" s="402">
        <f t="shared" si="13"/>
        <v>0</v>
      </c>
      <c r="AX81" s="55">
        <f ca="1">IFERROR(__xludf.DUMMYFUNCTION("IMPORTRANGE(""https://docs.google.com/spreadsheets/d/1IYY_tgx_IHuhSq3AJ5eI5OnqOPBNLWSHKh2a30DoXe8/edit?usp=sharing"",""นราธิวาส!J395"")"),0)</f>
        <v>0</v>
      </c>
      <c r="AY81" s="55">
        <f ca="1">IFERROR(__xludf.DUMMYFUNCTION("IMPORTRANGE(""https://docs.google.com/spreadsheets/d/1IYY_tgx_IHuhSq3AJ5eI5OnqOPBNLWSHKh2a30DoXe8/edit?usp=sharing"",""นราธิวาส!J396"")"),0)</f>
        <v>0</v>
      </c>
      <c r="AZ81" s="55">
        <f ca="1">IFERROR(__xludf.DUMMYFUNCTION("IMPORTRANGE(""https://docs.google.com/spreadsheets/d/1IYY_tgx_IHuhSq3AJ5eI5OnqOPBNLWSHKh2a30DoXe8/edit?usp=sharing"",""นราธิวาส!J397"")"),0)</f>
        <v>0</v>
      </c>
      <c r="BA81" s="55">
        <f ca="1">IFERROR(__xludf.DUMMYFUNCTION("IMPORTRANGE(""https://docs.google.com/spreadsheets/d/1IYY_tgx_IHuhSq3AJ5eI5OnqOPBNLWSHKh2a30DoXe8/edit?usp=sharing"",""นราธิวาส!J398"")"),0)</f>
        <v>0</v>
      </c>
      <c r="BB81" s="55">
        <f ca="1">IFERROR(__xludf.DUMMYFUNCTION("IMPORTRANGE(""https://docs.google.com/spreadsheets/d/1IYY_tgx_IHuhSq3AJ5eI5OnqOPBNLWSHKh2a30DoXe8/edit?usp=sharing"",""นราธิวาส!J399"")"),0)</f>
        <v>0</v>
      </c>
      <c r="BC81" s="55">
        <f ca="1">IFERROR(__xludf.DUMMYFUNCTION("IMPORTRANGE(""https://docs.google.com/spreadsheets/d/1IYY_tgx_IHuhSq3AJ5eI5OnqOPBNLWSHKh2a30DoXe8/edit?usp=sharing"",""นราธิวาส!J400"")"),0)</f>
        <v>0</v>
      </c>
      <c r="BD81" s="55">
        <f ca="1">IFERROR(__xludf.DUMMYFUNCTION("IMPORTRANGE(""https://docs.google.com/spreadsheets/d/1IYY_tgx_IHuhSq3AJ5eI5OnqOPBNLWSHKh2a30DoXe8/edit?usp=sharing"",""นราธิวาส!J403"")"),0)</f>
        <v>0</v>
      </c>
      <c r="BE81" s="55">
        <f ca="1">IFERROR(__xludf.DUMMYFUNCTION("IMPORTRANGE(""https://docs.google.com/spreadsheets/d/1IYY_tgx_IHuhSq3AJ5eI5OnqOPBNLWSHKh2a30DoXe8/edit?usp=sharing"",""นราธิวาส!J404"")"),0)</f>
        <v>0</v>
      </c>
      <c r="BF81" s="55">
        <f ca="1">IFERROR(__xludf.DUMMYFUNCTION("IMPORTRANGE(""https://docs.google.com/spreadsheets/d/1IYY_tgx_IHuhSq3AJ5eI5OnqOPBNLWSHKh2a30DoXe8/edit?usp=sharing"",""นราธิวาส!J405"")"),0)</f>
        <v>0</v>
      </c>
      <c r="BG81" s="55">
        <f ca="1">IFERROR(__xludf.DUMMYFUNCTION("IMPORTRANGE(""https://docs.google.com/spreadsheets/d/1IYY_tgx_IHuhSq3AJ5eI5OnqOPBNLWSHKh2a30DoXe8/edit?usp=sharing"",""นราธิวาส!J406"")"),0)</f>
        <v>0</v>
      </c>
      <c r="BH81" s="55">
        <f ca="1">IFERROR(__xludf.DUMMYFUNCTION("IMPORTRANGE(""https://docs.google.com/spreadsheets/d/1IYY_tgx_IHuhSq3AJ5eI5OnqOPBNLWSHKh2a30DoXe8/edit?usp=sharing"",""นราธิวาส!J407"")"),0)</f>
        <v>0</v>
      </c>
      <c r="BI81" s="55">
        <f ca="1">IFERROR(__xludf.DUMMYFUNCTION("IMPORTRANGE(""https://docs.google.com/spreadsheets/d/1IYY_tgx_IHuhSq3AJ5eI5OnqOPBNLWSHKh2a30DoXe8/edit?usp=sharing"",""นราธิวาส!J408"")"),0)</f>
        <v>0</v>
      </c>
      <c r="BJ81" s="402">
        <v>2587</v>
      </c>
      <c r="BK81" s="402">
        <v>902</v>
      </c>
      <c r="BL81" s="402">
        <f t="shared" ca="1" si="137"/>
        <v>0</v>
      </c>
      <c r="BM81" s="403">
        <f t="shared" ca="1" si="15"/>
        <v>0</v>
      </c>
      <c r="BN81" s="402">
        <f t="shared" ca="1" si="138"/>
        <v>0</v>
      </c>
      <c r="BO81" s="403">
        <f t="shared" ca="1" si="16"/>
        <v>0</v>
      </c>
      <c r="BP81" s="55">
        <f ca="1">IFERROR(__xludf.DUMMYFUNCTION("IMPORTRANGE(""https://docs.google.com/spreadsheets/d/1IYY_tgx_IHuhSq3AJ5eI5OnqOPBNLWSHKh2a30DoXe8/edit?usp=sharing"",""นราธิวาส!J412"")"),0)</f>
        <v>0</v>
      </c>
      <c r="BQ81" s="55">
        <f ca="1">IFERROR(__xludf.DUMMYFUNCTION("IMPORTRANGE(""https://docs.google.com/spreadsheets/d/1IYY_tgx_IHuhSq3AJ5eI5OnqOPBNLWSHKh2a30DoXe8/edit?usp=sharing"",""นราธิวาส!J413"")"),0)</f>
        <v>0</v>
      </c>
      <c r="BR81" s="55">
        <f ca="1">IFERROR(__xludf.DUMMYFUNCTION("IMPORTRANGE(""https://docs.google.com/spreadsheets/d/1IYY_tgx_IHuhSq3AJ5eI5OnqOPBNLWSHKh2a30DoXe8/edit?usp=sharing"",""นราธิวาส!J414"")"),0)</f>
        <v>0</v>
      </c>
      <c r="BS81" s="55">
        <f ca="1">IFERROR(__xludf.DUMMYFUNCTION("IMPORTRANGE(""https://docs.google.com/spreadsheets/d/1IYY_tgx_IHuhSq3AJ5eI5OnqOPBNLWSHKh2a30DoXe8/edit?usp=sharing"",""นราธิวาส!J415"")"),0)</f>
        <v>0</v>
      </c>
      <c r="BT81" s="55">
        <f ca="1">IFERROR(__xludf.DUMMYFUNCTION("IMPORTRANGE(""https://docs.google.com/spreadsheets/d/1IYY_tgx_IHuhSq3AJ5eI5OnqOPBNLWSHKh2a30DoXe8/edit?usp=sharing"",""นราธิวาส!J416"")"),0)</f>
        <v>0</v>
      </c>
      <c r="BU81" s="55">
        <f ca="1">IFERROR(__xludf.DUMMYFUNCTION("IMPORTRANGE(""https://docs.google.com/spreadsheets/d/1IYY_tgx_IHuhSq3AJ5eI5OnqOPBNLWSHKh2a30DoXe8/edit?usp=sharing"",""นราธิวาส!J417"")"),0)</f>
        <v>0</v>
      </c>
      <c r="BV81" s="402">
        <f t="shared" ca="1" si="139"/>
        <v>0</v>
      </c>
      <c r="BW81" s="403">
        <f t="shared" ca="1" si="140"/>
        <v>0</v>
      </c>
      <c r="BX81" s="402">
        <f t="shared" ca="1" si="141"/>
        <v>0</v>
      </c>
      <c r="BY81" s="403">
        <f t="shared" ca="1" si="142"/>
        <v>0</v>
      </c>
      <c r="BZ81" s="55">
        <f ca="1">IFERROR(__xludf.DUMMYFUNCTION("IMPORTRANGE(""https://docs.google.com/spreadsheets/d/1IYY_tgx_IHuhSq3AJ5eI5OnqOPBNLWSHKh2a30DoXe8/edit?usp=sharing"",""นราธิวาส!J420"")"),0)</f>
        <v>0</v>
      </c>
      <c r="CA81" s="55">
        <f ca="1">IFERROR(__xludf.DUMMYFUNCTION("IMPORTRANGE(""https://docs.google.com/spreadsheets/d/1IYY_tgx_IHuhSq3AJ5eI5OnqOPBNLWSHKh2a30DoXe8/edit?usp=sharing"",""นราธิวาส!J421"")"),0)</f>
        <v>0</v>
      </c>
      <c r="CB81" s="55">
        <f ca="1">IFERROR(__xludf.DUMMYFUNCTION("IMPORTRANGE(""https://docs.google.com/spreadsheets/d/1IYY_tgx_IHuhSq3AJ5eI5OnqOPBNLWSHKh2a30DoXe8/edit?usp=sharing"",""นราธิวาส!J422"")"),0)</f>
        <v>0</v>
      </c>
      <c r="CC81" s="55">
        <f ca="1">IFERROR(__xludf.DUMMYFUNCTION("IMPORTRANGE(""https://docs.google.com/spreadsheets/d/1IYY_tgx_IHuhSq3AJ5eI5OnqOPBNLWSHKh2a30DoXe8/edit?usp=sharing"",""นราธิวาส!J423"")"),0)</f>
        <v>0</v>
      </c>
      <c r="CD81" s="55">
        <f ca="1">IFERROR(__xludf.DUMMYFUNCTION("IMPORTRANGE(""https://docs.google.com/spreadsheets/d/1IYY_tgx_IHuhSq3AJ5eI5OnqOPBNLWSHKh2a30DoXe8/edit?usp=sharing"",""นราธิวาส!J424"")"),0)</f>
        <v>0</v>
      </c>
      <c r="CE81" s="422">
        <f ca="1">IFERROR(__xludf.DUMMYFUNCTION("IMPORTRANGE(""https://docs.google.com/spreadsheets/d/1IYY_tgx_IHuhSq3AJ5eI5OnqOPBNLWSHKh2a30DoXe8/edit?usp=sharing"",""นราธิวาส!J425"")"),0)</f>
        <v>0</v>
      </c>
    </row>
    <row r="82" spans="1:83" ht="24" customHeight="1" x14ac:dyDescent="0.5">
      <c r="A82" s="273">
        <v>6</v>
      </c>
      <c r="B82" s="274" t="s">
        <v>97</v>
      </c>
      <c r="C82" s="400">
        <f t="shared" si="128"/>
        <v>53225.94</v>
      </c>
      <c r="D82" s="55">
        <v>0</v>
      </c>
      <c r="E82" s="401">
        <v>53225.94</v>
      </c>
      <c r="F82" s="99">
        <f ca="1">IFERROR(__xludf.DUMMYFUNCTION("IMPORTRANGE(""https://docs.google.com/spreadsheets/d/1IYY_tgx_IHuhSq3AJ5eI5OnqOPBNLWSHKh2a30DoXe8/edit?usp=sharing"",""ปัตตานี!M352"")"),0)</f>
        <v>0</v>
      </c>
      <c r="G82" s="99">
        <f t="shared" ca="1" si="1"/>
        <v>0</v>
      </c>
      <c r="H82" s="57">
        <v>2183</v>
      </c>
      <c r="I82" s="57">
        <v>396</v>
      </c>
      <c r="J82" s="55">
        <f t="shared" ca="1" si="129"/>
        <v>0</v>
      </c>
      <c r="K82" s="99">
        <f t="shared" ca="1" si="3"/>
        <v>0</v>
      </c>
      <c r="L82" s="55">
        <f t="shared" ca="1" si="130"/>
        <v>0</v>
      </c>
      <c r="M82" s="99">
        <f t="shared" ca="1" si="4"/>
        <v>0</v>
      </c>
      <c r="N82" s="55">
        <f ca="1">IFERROR(__xludf.DUMMYFUNCTION("IMPORTRANGE(""https://docs.google.com/spreadsheets/d/1IYY_tgx_IHuhSq3AJ5eI5OnqOPBNLWSHKh2a30DoXe8/edit?usp=sharing"",""ปัตตานี!J362"")"),0)</f>
        <v>0</v>
      </c>
      <c r="O82" s="55">
        <f ca="1">IFERROR(__xludf.DUMMYFUNCTION("IMPORTRANGE(""https://docs.google.com/spreadsheets/d/1IYY_tgx_IHuhSq3AJ5eI5OnqOPBNLWSHKh2a30DoXe8/edit?usp=sharing"",""ปัตตานี!J363"")"),0)</f>
        <v>0</v>
      </c>
      <c r="P82" s="55">
        <f ca="1">IFERROR(__xludf.DUMMYFUNCTION("IMPORTRANGE(""https://docs.google.com/spreadsheets/d/1IYY_tgx_IHuhSq3AJ5eI5OnqOPBNLWSHKh2a30DoXe8/edit?usp=sharing"",""ปัตตานี!J364"")"),0)</f>
        <v>0</v>
      </c>
      <c r="Q82" s="55">
        <f ca="1">IFERROR(__xludf.DUMMYFUNCTION("IMPORTRANGE(""https://docs.google.com/spreadsheets/d/1IYY_tgx_IHuhSq3AJ5eI5OnqOPBNLWSHKh2a30DoXe8/edit?usp=sharing"",""ปัตตานี!J365"")"),0)</f>
        <v>0</v>
      </c>
      <c r="R82" s="55">
        <f ca="1">IFERROR(__xludf.DUMMYFUNCTION("IMPORTRANGE(""https://docs.google.com/spreadsheets/d/1IYY_tgx_IHuhSq3AJ5eI5OnqOPBNLWSHKh2a30DoXe8/edit?usp=sharing"",""ปัตตานี!J366"")"),0)</f>
        <v>0</v>
      </c>
      <c r="S82" s="55">
        <f ca="1">IFERROR(__xludf.DUMMYFUNCTION("IMPORTRANGE(""https://docs.google.com/spreadsheets/d/1IYY_tgx_IHuhSq3AJ5eI5OnqOPBNLWSHKh2a30DoXe8/edit?usp=sharing"",""ปัตตานี!J367"")"),0)</f>
        <v>0</v>
      </c>
      <c r="T82" s="55">
        <f t="shared" ca="1" si="131"/>
        <v>0</v>
      </c>
      <c r="U82" s="55">
        <f t="shared" ca="1" si="6"/>
        <v>0</v>
      </c>
      <c r="V82" s="55">
        <f t="shared" ca="1" si="132"/>
        <v>0</v>
      </c>
      <c r="W82" s="55">
        <f t="shared" ca="1" si="7"/>
        <v>0</v>
      </c>
      <c r="X82" s="55">
        <f ca="1">IFERROR(__xludf.DUMMYFUNCTION("IMPORTRANGE(""https://docs.google.com/spreadsheets/d/1IYY_tgx_IHuhSq3AJ5eI5OnqOPBNLWSHKh2a30DoXe8/edit?usp=sharing"",""ปัตตานี!J370"")"),0)</f>
        <v>0</v>
      </c>
      <c r="Y82" s="55">
        <f ca="1">IFERROR(__xludf.DUMMYFUNCTION("IMPORTRANGE(""https://docs.google.com/spreadsheets/d/1IYY_tgx_IHuhSq3AJ5eI5OnqOPBNLWSHKh2a30DoXe8/edit?usp=sharing"",""ปัตตานี!J371"")"),0)</f>
        <v>0</v>
      </c>
      <c r="Z82" s="55">
        <f ca="1">IFERROR(__xludf.DUMMYFUNCTION("IMPORTRANGE(""https://docs.google.com/spreadsheets/d/1IYY_tgx_IHuhSq3AJ5eI5OnqOPBNLWSHKh2a30DoXe8/edit?usp=sharing"",""ปัตตานี!J372"")"),0)</f>
        <v>0</v>
      </c>
      <c r="AA82" s="55">
        <f ca="1">IFERROR(__xludf.DUMMYFUNCTION("IMPORTRANGE(""https://docs.google.com/spreadsheets/d/1IYY_tgx_IHuhSq3AJ5eI5OnqOPBNLWSHKh2a30DoXe8/edit?usp=sharing"",""ปัตตานี!J373"")"),0)</f>
        <v>0</v>
      </c>
      <c r="AB82" s="55">
        <f ca="1">IFERROR(__xludf.DUMMYFUNCTION("IMPORTRANGE(""https://docs.google.com/spreadsheets/d/1IYY_tgx_IHuhSq3AJ5eI5OnqOPBNLWSHKh2a30DoXe8/edit?usp=sharing"",""ปัตตานี!J374"")"),0)</f>
        <v>0</v>
      </c>
      <c r="AC82" s="55">
        <f ca="1">IFERROR(__xludf.DUMMYFUNCTION("IMPORTRANGE(""https://docs.google.com/spreadsheets/d/1IYY_tgx_IHuhSq3AJ5eI5OnqOPBNLWSHKh2a30DoXe8/edit?usp=sharing"",""ปัตตานี!J375"")"),0)</f>
        <v>0</v>
      </c>
      <c r="AD82" s="55">
        <f t="shared" ca="1" si="133"/>
        <v>0</v>
      </c>
      <c r="AE82" s="99">
        <f t="shared" ca="1" si="9"/>
        <v>0</v>
      </c>
      <c r="AF82" s="55">
        <f t="shared" ca="1" si="134"/>
        <v>0</v>
      </c>
      <c r="AG82" s="99">
        <f t="shared" ca="1" si="10"/>
        <v>0</v>
      </c>
      <c r="AH82" s="55">
        <f ca="1">IFERROR(__xludf.DUMMYFUNCTION("IMPORTRANGE(""https://docs.google.com/spreadsheets/d/1IYY_tgx_IHuhSq3AJ5eI5OnqOPBNLWSHKh2a30DoXe8/edit?usp=sharing"",""ปัตตานี!J378"")"),0)</f>
        <v>0</v>
      </c>
      <c r="AI82" s="55">
        <f ca="1">IFERROR(__xludf.DUMMYFUNCTION("IMPORTRANGE(""https://docs.google.com/spreadsheets/d/1IYY_tgx_IHuhSq3AJ5eI5OnqOPBNLWSHKh2a30DoXe8/edit?usp=sharing"",""ปัตตานี!J379"")"),0)</f>
        <v>0</v>
      </c>
      <c r="AJ82" s="55">
        <f ca="1">IFERROR(__xludf.DUMMYFUNCTION("IMPORTRANGE(""https://docs.google.com/spreadsheets/d/1IYY_tgx_IHuhSq3AJ5eI5OnqOPBNLWSHKh2a30DoXe8/edit?usp=sharing"",""ปัตตานี!J380"")"),0)</f>
        <v>0</v>
      </c>
      <c r="AK82" s="55">
        <f ca="1">IFERROR(__xludf.DUMMYFUNCTION("IMPORTRANGE(""https://docs.google.com/spreadsheets/d/1IYY_tgx_IHuhSq3AJ5eI5OnqOPBNLWSHKh2a30DoXe8/edit?usp=sharing"",""ปัตตานี!J381"")"),0)</f>
        <v>0</v>
      </c>
      <c r="AL82" s="55">
        <f ca="1">IFERROR(__xludf.DUMMYFUNCTION("IMPORTRANGE(""https://docs.google.com/spreadsheets/d/1IYY_tgx_IHuhSq3AJ5eI5OnqOPBNLWSHKh2a30DoXe8/edit?usp=sharing"",""ปัตตานี!J384"")"),0)</f>
        <v>0</v>
      </c>
      <c r="AM82" s="55">
        <f ca="1">IFERROR(__xludf.DUMMYFUNCTION("IMPORTRANGE(""https://docs.google.com/spreadsheets/d/1IYY_tgx_IHuhSq3AJ5eI5OnqOPBNLWSHKh2a30DoXe8/edit?usp=sharing"",""ปัตตานี!J385"")"),0)</f>
        <v>0</v>
      </c>
      <c r="AN82" s="55">
        <f ca="1">IFERROR(__xludf.DUMMYFUNCTION("IMPORTRANGE(""https://docs.google.com/spreadsheets/d/1IYY_tgx_IHuhSq3AJ5eI5OnqOPBNLWSHKh2a30DoXe8/edit?usp=sharing"",""ปัตตานี!J386"")"),0)</f>
        <v>0</v>
      </c>
      <c r="AO82" s="55">
        <f ca="1">IFERROR(__xludf.DUMMYFUNCTION("IMPORTRANGE(""https://docs.google.com/spreadsheets/d/1IYY_tgx_IHuhSq3AJ5eI5OnqOPBNLWSHKh2a30DoXe8/edit?usp=sharing"",""ปัตตานี!J387"")"),0)</f>
        <v>0</v>
      </c>
      <c r="AP82" s="55">
        <f ca="1">IFERROR(__xludf.DUMMYFUNCTION("IMPORTRANGE(""https://docs.google.com/spreadsheets/d/1IYY_tgx_IHuhSq3AJ5eI5OnqOPBNLWSHKh2a30DoXe8/edit?usp=sharing"",""ปัตตานี!J388"")"),0)</f>
        <v>0</v>
      </c>
      <c r="AQ82" s="55">
        <f ca="1">IFERROR(__xludf.DUMMYFUNCTION("IMPORTRANGE(""https://docs.google.com/spreadsheets/d/1IYY_tgx_IHuhSq3AJ5eI5OnqOPBNLWSHKh2a30DoXe8/edit?usp=sharing"",""ปัตตานี!J389"")"),0)</f>
        <v>0</v>
      </c>
      <c r="AR82" s="402">
        <v>0</v>
      </c>
      <c r="AS82" s="402">
        <v>0</v>
      </c>
      <c r="AT82" s="402">
        <f t="shared" ca="1" si="135"/>
        <v>0</v>
      </c>
      <c r="AU82" s="402">
        <f t="shared" si="12"/>
        <v>0</v>
      </c>
      <c r="AV82" s="402">
        <f t="shared" ca="1" si="136"/>
        <v>0</v>
      </c>
      <c r="AW82" s="402">
        <f t="shared" si="13"/>
        <v>0</v>
      </c>
      <c r="AX82" s="55">
        <f ca="1">IFERROR(__xludf.DUMMYFUNCTION("IMPORTRANGE(""https://docs.google.com/spreadsheets/d/1IYY_tgx_IHuhSq3AJ5eI5OnqOPBNLWSHKh2a30DoXe8/edit?usp=sharing"",""ปัตตานี!J395"")"),0)</f>
        <v>0</v>
      </c>
      <c r="AY82" s="55">
        <f ca="1">IFERROR(__xludf.DUMMYFUNCTION("IMPORTRANGE(""https://docs.google.com/spreadsheets/d/1IYY_tgx_IHuhSq3AJ5eI5OnqOPBNLWSHKh2a30DoXe8/edit?usp=sharing"",""ปัตตานี!J396"")"),0)</f>
        <v>0</v>
      </c>
      <c r="AZ82" s="55">
        <f ca="1">IFERROR(__xludf.DUMMYFUNCTION("IMPORTRANGE(""https://docs.google.com/spreadsheets/d/1IYY_tgx_IHuhSq3AJ5eI5OnqOPBNLWSHKh2a30DoXe8/edit?usp=sharing"",""ปัตตานี!J397"")"),0)</f>
        <v>0</v>
      </c>
      <c r="BA82" s="55">
        <f ca="1">IFERROR(__xludf.DUMMYFUNCTION("IMPORTRANGE(""https://docs.google.com/spreadsheets/d/1IYY_tgx_IHuhSq3AJ5eI5OnqOPBNLWSHKh2a30DoXe8/edit?usp=sharing"",""ปัตตานี!J398"")"),0)</f>
        <v>0</v>
      </c>
      <c r="BB82" s="55">
        <f ca="1">IFERROR(__xludf.DUMMYFUNCTION("IMPORTRANGE(""https://docs.google.com/spreadsheets/d/1IYY_tgx_IHuhSq3AJ5eI5OnqOPBNLWSHKh2a30DoXe8/edit?usp=sharing"",""ปัตตานี!J399"")"),0)</f>
        <v>0</v>
      </c>
      <c r="BC82" s="55">
        <f ca="1">IFERROR(__xludf.DUMMYFUNCTION("IMPORTRANGE(""https://docs.google.com/spreadsheets/d/1IYY_tgx_IHuhSq3AJ5eI5OnqOPBNLWSHKh2a30DoXe8/edit?usp=sharing"",""ปัตตานี!J400"")"),0)</f>
        <v>0</v>
      </c>
      <c r="BD82" s="55">
        <f ca="1">IFERROR(__xludf.DUMMYFUNCTION("IMPORTRANGE(""https://docs.google.com/spreadsheets/d/1IYY_tgx_IHuhSq3AJ5eI5OnqOPBNLWSHKh2a30DoXe8/edit?usp=sharing"",""ปัตตานี!J403"")"),0)</f>
        <v>0</v>
      </c>
      <c r="BE82" s="55">
        <f ca="1">IFERROR(__xludf.DUMMYFUNCTION("IMPORTRANGE(""https://docs.google.com/spreadsheets/d/1IYY_tgx_IHuhSq3AJ5eI5OnqOPBNLWSHKh2a30DoXe8/edit?usp=sharing"",""ปัตตานี!J404"")"),0)</f>
        <v>0</v>
      </c>
      <c r="BF82" s="55">
        <f ca="1">IFERROR(__xludf.DUMMYFUNCTION("IMPORTRANGE(""https://docs.google.com/spreadsheets/d/1IYY_tgx_IHuhSq3AJ5eI5OnqOPBNLWSHKh2a30DoXe8/edit?usp=sharing"",""ปัตตานี!J405"")"),0)</f>
        <v>0</v>
      </c>
      <c r="BG82" s="55">
        <f ca="1">IFERROR(__xludf.DUMMYFUNCTION("IMPORTRANGE(""https://docs.google.com/spreadsheets/d/1IYY_tgx_IHuhSq3AJ5eI5OnqOPBNLWSHKh2a30DoXe8/edit?usp=sharing"",""ปัตตานี!J406"")"),0)</f>
        <v>0</v>
      </c>
      <c r="BH82" s="55">
        <f ca="1">IFERROR(__xludf.DUMMYFUNCTION("IMPORTRANGE(""https://docs.google.com/spreadsheets/d/1IYY_tgx_IHuhSq3AJ5eI5OnqOPBNLWSHKh2a30DoXe8/edit?usp=sharing"",""ปัตตานี!J407"")"),0)</f>
        <v>0</v>
      </c>
      <c r="BI82" s="55">
        <f ca="1">IFERROR(__xludf.DUMMYFUNCTION("IMPORTRANGE(""https://docs.google.com/spreadsheets/d/1IYY_tgx_IHuhSq3AJ5eI5OnqOPBNLWSHKh2a30DoXe8/edit?usp=sharing"",""ปัตตานี!J408"")"),0)</f>
        <v>0</v>
      </c>
      <c r="BJ82" s="402">
        <v>2183</v>
      </c>
      <c r="BK82" s="402">
        <v>396</v>
      </c>
      <c r="BL82" s="402">
        <f t="shared" ca="1" si="137"/>
        <v>0</v>
      </c>
      <c r="BM82" s="403">
        <f t="shared" ca="1" si="15"/>
        <v>0</v>
      </c>
      <c r="BN82" s="402">
        <f t="shared" ca="1" si="138"/>
        <v>0</v>
      </c>
      <c r="BO82" s="403">
        <f t="shared" ca="1" si="16"/>
        <v>0</v>
      </c>
      <c r="BP82" s="55">
        <f ca="1">IFERROR(__xludf.DUMMYFUNCTION("IMPORTRANGE(""https://docs.google.com/spreadsheets/d/1IYY_tgx_IHuhSq3AJ5eI5OnqOPBNLWSHKh2a30DoXe8/edit?usp=sharing"",""ปัตตานี!J412"")"),0)</f>
        <v>0</v>
      </c>
      <c r="BQ82" s="55">
        <f ca="1">IFERROR(__xludf.DUMMYFUNCTION("IMPORTRANGE(""https://docs.google.com/spreadsheets/d/1IYY_tgx_IHuhSq3AJ5eI5OnqOPBNLWSHKh2a30DoXe8/edit?usp=sharing"",""ปัตตานี!J413"")"),0)</f>
        <v>0</v>
      </c>
      <c r="BR82" s="55">
        <f ca="1">IFERROR(__xludf.DUMMYFUNCTION("IMPORTRANGE(""https://docs.google.com/spreadsheets/d/1IYY_tgx_IHuhSq3AJ5eI5OnqOPBNLWSHKh2a30DoXe8/edit?usp=sharing"",""ปัตตานี!J414"")"),0)</f>
        <v>0</v>
      </c>
      <c r="BS82" s="55">
        <f ca="1">IFERROR(__xludf.DUMMYFUNCTION("IMPORTRANGE(""https://docs.google.com/spreadsheets/d/1IYY_tgx_IHuhSq3AJ5eI5OnqOPBNLWSHKh2a30DoXe8/edit?usp=sharing"",""ปัตตานี!J415"")"),0)</f>
        <v>0</v>
      </c>
      <c r="BT82" s="55">
        <f ca="1">IFERROR(__xludf.DUMMYFUNCTION("IMPORTRANGE(""https://docs.google.com/spreadsheets/d/1IYY_tgx_IHuhSq3AJ5eI5OnqOPBNLWSHKh2a30DoXe8/edit?usp=sharing"",""ปัตตานี!J416"")"),0)</f>
        <v>0</v>
      </c>
      <c r="BU82" s="55">
        <f ca="1">IFERROR(__xludf.DUMMYFUNCTION("IMPORTRANGE(""https://docs.google.com/spreadsheets/d/1IYY_tgx_IHuhSq3AJ5eI5OnqOPBNLWSHKh2a30DoXe8/edit?usp=sharing"",""ปัตตานี!J417"")"),0)</f>
        <v>0</v>
      </c>
      <c r="BV82" s="402">
        <f t="shared" ca="1" si="139"/>
        <v>0</v>
      </c>
      <c r="BW82" s="403">
        <f t="shared" ca="1" si="140"/>
        <v>0</v>
      </c>
      <c r="BX82" s="402">
        <f t="shared" ca="1" si="141"/>
        <v>0</v>
      </c>
      <c r="BY82" s="403">
        <f t="shared" ca="1" si="142"/>
        <v>0</v>
      </c>
      <c r="BZ82" s="55">
        <f ca="1">IFERROR(__xludf.DUMMYFUNCTION("IMPORTRANGE(""https://docs.google.com/spreadsheets/d/1IYY_tgx_IHuhSq3AJ5eI5OnqOPBNLWSHKh2a30DoXe8/edit?usp=sharing"",""ปัตตานี!J420"")"),0)</f>
        <v>0</v>
      </c>
      <c r="CA82" s="55">
        <f ca="1">IFERROR(__xludf.DUMMYFUNCTION("IMPORTRANGE(""https://docs.google.com/spreadsheets/d/1IYY_tgx_IHuhSq3AJ5eI5OnqOPBNLWSHKh2a30DoXe8/edit?usp=sharing"",""ปัตตานี!J421"")"),0)</f>
        <v>0</v>
      </c>
      <c r="CB82" s="55">
        <f ca="1">IFERROR(__xludf.DUMMYFUNCTION("IMPORTRANGE(""https://docs.google.com/spreadsheets/d/1IYY_tgx_IHuhSq3AJ5eI5OnqOPBNLWSHKh2a30DoXe8/edit?usp=sharing"",""ปัตตานี!J422"")"),0)</f>
        <v>0</v>
      </c>
      <c r="CC82" s="55">
        <f ca="1">IFERROR(__xludf.DUMMYFUNCTION("IMPORTRANGE(""https://docs.google.com/spreadsheets/d/1IYY_tgx_IHuhSq3AJ5eI5OnqOPBNLWSHKh2a30DoXe8/edit?usp=sharing"",""ปัตตานี!J423"")"),0)</f>
        <v>0</v>
      </c>
      <c r="CD82" s="55">
        <f ca="1">IFERROR(__xludf.DUMMYFUNCTION("IMPORTRANGE(""https://docs.google.com/spreadsheets/d/1IYY_tgx_IHuhSq3AJ5eI5OnqOPBNLWSHKh2a30DoXe8/edit?usp=sharing"",""ปัตตานี!J424"")"),0)</f>
        <v>0</v>
      </c>
      <c r="CE82" s="422">
        <f ca="1">IFERROR(__xludf.DUMMYFUNCTION("IMPORTRANGE(""https://docs.google.com/spreadsheets/d/1IYY_tgx_IHuhSq3AJ5eI5OnqOPBNLWSHKh2a30DoXe8/edit?usp=sharing"",""ปัตตานี!J425"")"),0)</f>
        <v>0</v>
      </c>
    </row>
    <row r="83" spans="1:83" ht="24" customHeight="1" x14ac:dyDescent="0.5">
      <c r="A83" s="273">
        <v>7</v>
      </c>
      <c r="B83" s="274" t="s">
        <v>98</v>
      </c>
      <c r="C83" s="400">
        <f t="shared" si="128"/>
        <v>163622.01999999999</v>
      </c>
      <c r="D83" s="55">
        <v>0</v>
      </c>
      <c r="E83" s="401">
        <v>163622.01999999999</v>
      </c>
      <c r="F83" s="99">
        <f ca="1">IFERROR(__xludf.DUMMYFUNCTION("IMPORTRANGE(""https://docs.google.com/spreadsheets/d/1IYY_tgx_IHuhSq3AJ5eI5OnqOPBNLWSHKh2a30DoXe8/edit?usp=sharing"",""พังงา!M352"")"),0)</f>
        <v>0</v>
      </c>
      <c r="G83" s="99">
        <f t="shared" ca="1" si="1"/>
        <v>0</v>
      </c>
      <c r="H83" s="57">
        <v>19922</v>
      </c>
      <c r="I83" s="57">
        <v>2094</v>
      </c>
      <c r="J83" s="55">
        <f t="shared" ca="1" si="129"/>
        <v>0</v>
      </c>
      <c r="K83" s="99">
        <f t="shared" ca="1" si="3"/>
        <v>0</v>
      </c>
      <c r="L83" s="55">
        <f t="shared" ca="1" si="130"/>
        <v>0</v>
      </c>
      <c r="M83" s="99">
        <f t="shared" ca="1" si="4"/>
        <v>0</v>
      </c>
      <c r="N83" s="55">
        <f ca="1">IFERROR(__xludf.DUMMYFUNCTION("IMPORTRANGE(""https://docs.google.com/spreadsheets/d/1IYY_tgx_IHuhSq3AJ5eI5OnqOPBNLWSHKh2a30DoXe8/edit?usp=sharing"",""พังงา!J362"")"),0)</f>
        <v>0</v>
      </c>
      <c r="O83" s="55">
        <f ca="1">IFERROR(__xludf.DUMMYFUNCTION("IMPORTRANGE(""https://docs.google.com/spreadsheets/d/1IYY_tgx_IHuhSq3AJ5eI5OnqOPBNLWSHKh2a30DoXe8/edit?usp=sharing"",""พังงา!J363"")"),0)</f>
        <v>0</v>
      </c>
      <c r="P83" s="55">
        <f ca="1">IFERROR(__xludf.DUMMYFUNCTION("IMPORTRANGE(""https://docs.google.com/spreadsheets/d/1IYY_tgx_IHuhSq3AJ5eI5OnqOPBNLWSHKh2a30DoXe8/edit?usp=sharing"",""พังงา!J364"")"),0)</f>
        <v>0</v>
      </c>
      <c r="Q83" s="55">
        <f ca="1">IFERROR(__xludf.DUMMYFUNCTION("IMPORTRANGE(""https://docs.google.com/spreadsheets/d/1IYY_tgx_IHuhSq3AJ5eI5OnqOPBNLWSHKh2a30DoXe8/edit?usp=sharing"",""พังงา!J365"")"),0)</f>
        <v>0</v>
      </c>
      <c r="R83" s="55">
        <f ca="1">IFERROR(__xludf.DUMMYFUNCTION("IMPORTRANGE(""https://docs.google.com/spreadsheets/d/1IYY_tgx_IHuhSq3AJ5eI5OnqOPBNLWSHKh2a30DoXe8/edit?usp=sharing"",""พังงา!J366"")"),0)</f>
        <v>0</v>
      </c>
      <c r="S83" s="55">
        <f ca="1">IFERROR(__xludf.DUMMYFUNCTION("IMPORTRANGE(""https://docs.google.com/spreadsheets/d/1IYY_tgx_IHuhSq3AJ5eI5OnqOPBNLWSHKh2a30DoXe8/edit?usp=sharing"",""พังงา!J367"")"),0)</f>
        <v>0</v>
      </c>
      <c r="T83" s="55">
        <f t="shared" ca="1" si="131"/>
        <v>0</v>
      </c>
      <c r="U83" s="55">
        <f t="shared" ca="1" si="6"/>
        <v>0</v>
      </c>
      <c r="V83" s="55">
        <f t="shared" ca="1" si="132"/>
        <v>0</v>
      </c>
      <c r="W83" s="55">
        <f t="shared" ca="1" si="7"/>
        <v>0</v>
      </c>
      <c r="X83" s="55">
        <f ca="1">IFERROR(__xludf.DUMMYFUNCTION("IMPORTRANGE(""https://docs.google.com/spreadsheets/d/1IYY_tgx_IHuhSq3AJ5eI5OnqOPBNLWSHKh2a30DoXe8/edit?usp=sharing"",""พังงา!J370"")"),0)</f>
        <v>0</v>
      </c>
      <c r="Y83" s="55">
        <f ca="1">IFERROR(__xludf.DUMMYFUNCTION("IMPORTRANGE(""https://docs.google.com/spreadsheets/d/1IYY_tgx_IHuhSq3AJ5eI5OnqOPBNLWSHKh2a30DoXe8/edit?usp=sharing"",""พังงา!J371"")"),0)</f>
        <v>0</v>
      </c>
      <c r="Z83" s="55">
        <f ca="1">IFERROR(__xludf.DUMMYFUNCTION("IMPORTRANGE(""https://docs.google.com/spreadsheets/d/1IYY_tgx_IHuhSq3AJ5eI5OnqOPBNLWSHKh2a30DoXe8/edit?usp=sharing"",""พังงา!J372"")"),0)</f>
        <v>0</v>
      </c>
      <c r="AA83" s="55">
        <f ca="1">IFERROR(__xludf.DUMMYFUNCTION("IMPORTRANGE(""https://docs.google.com/spreadsheets/d/1IYY_tgx_IHuhSq3AJ5eI5OnqOPBNLWSHKh2a30DoXe8/edit?usp=sharing"",""พังงา!J373"")"),0)</f>
        <v>0</v>
      </c>
      <c r="AB83" s="55">
        <f ca="1">IFERROR(__xludf.DUMMYFUNCTION("IMPORTRANGE(""https://docs.google.com/spreadsheets/d/1IYY_tgx_IHuhSq3AJ5eI5OnqOPBNLWSHKh2a30DoXe8/edit?usp=sharing"",""พังงา!J374"")"),0)</f>
        <v>0</v>
      </c>
      <c r="AC83" s="55">
        <f ca="1">IFERROR(__xludf.DUMMYFUNCTION("IMPORTRANGE(""https://docs.google.com/spreadsheets/d/1IYY_tgx_IHuhSq3AJ5eI5OnqOPBNLWSHKh2a30DoXe8/edit?usp=sharing"",""พังงา!J375"")"),0)</f>
        <v>0</v>
      </c>
      <c r="AD83" s="55">
        <f t="shared" ca="1" si="133"/>
        <v>0</v>
      </c>
      <c r="AE83" s="99">
        <f t="shared" ca="1" si="9"/>
        <v>0</v>
      </c>
      <c r="AF83" s="55">
        <f t="shared" ca="1" si="134"/>
        <v>0</v>
      </c>
      <c r="AG83" s="99">
        <f t="shared" ca="1" si="10"/>
        <v>0</v>
      </c>
      <c r="AH83" s="55">
        <f ca="1">IFERROR(__xludf.DUMMYFUNCTION("IMPORTRANGE(""https://docs.google.com/spreadsheets/d/1IYY_tgx_IHuhSq3AJ5eI5OnqOPBNLWSHKh2a30DoXe8/edit?usp=sharing"",""พังงา!J378"")"),0)</f>
        <v>0</v>
      </c>
      <c r="AI83" s="55">
        <f ca="1">IFERROR(__xludf.DUMMYFUNCTION("IMPORTRANGE(""https://docs.google.com/spreadsheets/d/1IYY_tgx_IHuhSq3AJ5eI5OnqOPBNLWSHKh2a30DoXe8/edit?usp=sharing"",""พังงา!J379"")"),0)</f>
        <v>0</v>
      </c>
      <c r="AJ83" s="55">
        <f ca="1">IFERROR(__xludf.DUMMYFUNCTION("IMPORTRANGE(""https://docs.google.com/spreadsheets/d/1IYY_tgx_IHuhSq3AJ5eI5OnqOPBNLWSHKh2a30DoXe8/edit?usp=sharing"",""พังงา!J380"")"),0)</f>
        <v>0</v>
      </c>
      <c r="AK83" s="55">
        <f ca="1">IFERROR(__xludf.DUMMYFUNCTION("IMPORTRANGE(""https://docs.google.com/spreadsheets/d/1IYY_tgx_IHuhSq3AJ5eI5OnqOPBNLWSHKh2a30DoXe8/edit?usp=sharing"",""พังงา!J381"")"),0)</f>
        <v>0</v>
      </c>
      <c r="AL83" s="55">
        <f ca="1">IFERROR(__xludf.DUMMYFUNCTION("IMPORTRANGE(""https://docs.google.com/spreadsheets/d/1IYY_tgx_IHuhSq3AJ5eI5OnqOPBNLWSHKh2a30DoXe8/edit?usp=sharing"",""พังงา!J384"")"),0)</f>
        <v>0</v>
      </c>
      <c r="AM83" s="55">
        <f ca="1">IFERROR(__xludf.DUMMYFUNCTION("IMPORTRANGE(""https://docs.google.com/spreadsheets/d/1IYY_tgx_IHuhSq3AJ5eI5OnqOPBNLWSHKh2a30DoXe8/edit?usp=sharing"",""พังงา!J385"")"),0)</f>
        <v>0</v>
      </c>
      <c r="AN83" s="55">
        <f ca="1">IFERROR(__xludf.DUMMYFUNCTION("IMPORTRANGE(""https://docs.google.com/spreadsheets/d/1IYY_tgx_IHuhSq3AJ5eI5OnqOPBNLWSHKh2a30DoXe8/edit?usp=sharing"",""พังงา!J386"")"),0)</f>
        <v>0</v>
      </c>
      <c r="AO83" s="55">
        <f ca="1">IFERROR(__xludf.DUMMYFUNCTION("IMPORTRANGE(""https://docs.google.com/spreadsheets/d/1IYY_tgx_IHuhSq3AJ5eI5OnqOPBNLWSHKh2a30DoXe8/edit?usp=sharing"",""พังงา!J387"")"),0)</f>
        <v>0</v>
      </c>
      <c r="AP83" s="55">
        <f ca="1">IFERROR(__xludf.DUMMYFUNCTION("IMPORTRANGE(""https://docs.google.com/spreadsheets/d/1IYY_tgx_IHuhSq3AJ5eI5OnqOPBNLWSHKh2a30DoXe8/edit?usp=sharing"",""พังงา!J388"")"),0)</f>
        <v>0</v>
      </c>
      <c r="AQ83" s="55">
        <f ca="1">IFERROR(__xludf.DUMMYFUNCTION("IMPORTRANGE(""https://docs.google.com/spreadsheets/d/1IYY_tgx_IHuhSq3AJ5eI5OnqOPBNLWSHKh2a30DoXe8/edit?usp=sharing"",""พังงา!J389"")"),0)</f>
        <v>0</v>
      </c>
      <c r="AR83" s="402">
        <v>8</v>
      </c>
      <c r="AS83" s="402">
        <v>71</v>
      </c>
      <c r="AT83" s="402">
        <f t="shared" ca="1" si="135"/>
        <v>0</v>
      </c>
      <c r="AU83" s="402">
        <f t="shared" ca="1" si="12"/>
        <v>0</v>
      </c>
      <c r="AV83" s="402">
        <f t="shared" ca="1" si="136"/>
        <v>0</v>
      </c>
      <c r="AW83" s="402">
        <f t="shared" ca="1" si="13"/>
        <v>0</v>
      </c>
      <c r="AX83" s="55">
        <f ca="1">IFERROR(__xludf.DUMMYFUNCTION("IMPORTRANGE(""https://docs.google.com/spreadsheets/d/1IYY_tgx_IHuhSq3AJ5eI5OnqOPBNLWSHKh2a30DoXe8/edit?usp=sharing"",""พังงา!J395"")"),0)</f>
        <v>0</v>
      </c>
      <c r="AY83" s="55">
        <f ca="1">IFERROR(__xludf.DUMMYFUNCTION("IMPORTRANGE(""https://docs.google.com/spreadsheets/d/1IYY_tgx_IHuhSq3AJ5eI5OnqOPBNLWSHKh2a30DoXe8/edit?usp=sharing"",""พังงา!J396"")"),0)</f>
        <v>0</v>
      </c>
      <c r="AZ83" s="55">
        <f ca="1">IFERROR(__xludf.DUMMYFUNCTION("IMPORTRANGE(""https://docs.google.com/spreadsheets/d/1IYY_tgx_IHuhSq3AJ5eI5OnqOPBNLWSHKh2a30DoXe8/edit?usp=sharing"",""พังงา!J397"")"),0)</f>
        <v>0</v>
      </c>
      <c r="BA83" s="55">
        <f ca="1">IFERROR(__xludf.DUMMYFUNCTION("IMPORTRANGE(""https://docs.google.com/spreadsheets/d/1IYY_tgx_IHuhSq3AJ5eI5OnqOPBNLWSHKh2a30DoXe8/edit?usp=sharing"",""พังงา!J398"")"),0)</f>
        <v>0</v>
      </c>
      <c r="BB83" s="55">
        <f ca="1">IFERROR(__xludf.DUMMYFUNCTION("IMPORTRANGE(""https://docs.google.com/spreadsheets/d/1IYY_tgx_IHuhSq3AJ5eI5OnqOPBNLWSHKh2a30DoXe8/edit?usp=sharing"",""พังงา!J399"")"),0)</f>
        <v>0</v>
      </c>
      <c r="BC83" s="55">
        <f ca="1">IFERROR(__xludf.DUMMYFUNCTION("IMPORTRANGE(""https://docs.google.com/spreadsheets/d/1IYY_tgx_IHuhSq3AJ5eI5OnqOPBNLWSHKh2a30DoXe8/edit?usp=sharing"",""พังงา!J400"")"),0)</f>
        <v>0</v>
      </c>
      <c r="BD83" s="55">
        <f ca="1">IFERROR(__xludf.DUMMYFUNCTION("IMPORTRANGE(""https://docs.google.com/spreadsheets/d/1IYY_tgx_IHuhSq3AJ5eI5OnqOPBNLWSHKh2a30DoXe8/edit?usp=sharing"",""พังงา!J403"")"),0)</f>
        <v>0</v>
      </c>
      <c r="BE83" s="55">
        <f ca="1">IFERROR(__xludf.DUMMYFUNCTION("IMPORTRANGE(""https://docs.google.com/spreadsheets/d/1IYY_tgx_IHuhSq3AJ5eI5OnqOPBNLWSHKh2a30DoXe8/edit?usp=sharing"",""พังงา!J404"")"),0)</f>
        <v>0</v>
      </c>
      <c r="BF83" s="55">
        <f ca="1">IFERROR(__xludf.DUMMYFUNCTION("IMPORTRANGE(""https://docs.google.com/spreadsheets/d/1IYY_tgx_IHuhSq3AJ5eI5OnqOPBNLWSHKh2a30DoXe8/edit?usp=sharing"",""พังงา!J405"")"),0)</f>
        <v>0</v>
      </c>
      <c r="BG83" s="55">
        <f ca="1">IFERROR(__xludf.DUMMYFUNCTION("IMPORTRANGE(""https://docs.google.com/spreadsheets/d/1IYY_tgx_IHuhSq3AJ5eI5OnqOPBNLWSHKh2a30DoXe8/edit?usp=sharing"",""พังงา!J406"")"),0)</f>
        <v>0</v>
      </c>
      <c r="BH83" s="55">
        <f ca="1">IFERROR(__xludf.DUMMYFUNCTION("IMPORTRANGE(""https://docs.google.com/spreadsheets/d/1IYY_tgx_IHuhSq3AJ5eI5OnqOPBNLWSHKh2a30DoXe8/edit?usp=sharing"",""พังงา!J407"")"),0)</f>
        <v>0</v>
      </c>
      <c r="BI83" s="55">
        <f ca="1">IFERROR(__xludf.DUMMYFUNCTION("IMPORTRANGE(""https://docs.google.com/spreadsheets/d/1IYY_tgx_IHuhSq3AJ5eI5OnqOPBNLWSHKh2a30DoXe8/edit?usp=sharing"",""พังงา!J408"")"),0)</f>
        <v>0</v>
      </c>
      <c r="BJ83" s="402">
        <v>19922</v>
      </c>
      <c r="BK83" s="402">
        <v>2094</v>
      </c>
      <c r="BL83" s="402">
        <f t="shared" ca="1" si="137"/>
        <v>0</v>
      </c>
      <c r="BM83" s="403">
        <f t="shared" ca="1" si="15"/>
        <v>0</v>
      </c>
      <c r="BN83" s="402">
        <f t="shared" ca="1" si="138"/>
        <v>0</v>
      </c>
      <c r="BO83" s="403">
        <f t="shared" ca="1" si="16"/>
        <v>0</v>
      </c>
      <c r="BP83" s="55">
        <f ca="1">IFERROR(__xludf.DUMMYFUNCTION("IMPORTRANGE(""https://docs.google.com/spreadsheets/d/1IYY_tgx_IHuhSq3AJ5eI5OnqOPBNLWSHKh2a30DoXe8/edit?usp=sharing"",""พังงา!J412"")"),0)</f>
        <v>0</v>
      </c>
      <c r="BQ83" s="55">
        <f ca="1">IFERROR(__xludf.DUMMYFUNCTION("IMPORTRANGE(""https://docs.google.com/spreadsheets/d/1IYY_tgx_IHuhSq3AJ5eI5OnqOPBNLWSHKh2a30DoXe8/edit?usp=sharing"",""พังงา!J413"")"),0)</f>
        <v>0</v>
      </c>
      <c r="BR83" s="55">
        <f ca="1">IFERROR(__xludf.DUMMYFUNCTION("IMPORTRANGE(""https://docs.google.com/spreadsheets/d/1IYY_tgx_IHuhSq3AJ5eI5OnqOPBNLWSHKh2a30DoXe8/edit?usp=sharing"",""พังงา!J414"")"),0)</f>
        <v>0</v>
      </c>
      <c r="BS83" s="55">
        <f ca="1">IFERROR(__xludf.DUMMYFUNCTION("IMPORTRANGE(""https://docs.google.com/spreadsheets/d/1IYY_tgx_IHuhSq3AJ5eI5OnqOPBNLWSHKh2a30DoXe8/edit?usp=sharing"",""พังงา!J415"")"),0)</f>
        <v>0</v>
      </c>
      <c r="BT83" s="55">
        <f ca="1">IFERROR(__xludf.DUMMYFUNCTION("IMPORTRANGE(""https://docs.google.com/spreadsheets/d/1IYY_tgx_IHuhSq3AJ5eI5OnqOPBNLWSHKh2a30DoXe8/edit?usp=sharing"",""พังงา!J416"")"),0)</f>
        <v>0</v>
      </c>
      <c r="BU83" s="55">
        <f ca="1">IFERROR(__xludf.DUMMYFUNCTION("IMPORTRANGE(""https://docs.google.com/spreadsheets/d/1IYY_tgx_IHuhSq3AJ5eI5OnqOPBNLWSHKh2a30DoXe8/edit?usp=sharing"",""พังงา!J417"")"),0)</f>
        <v>0</v>
      </c>
      <c r="BV83" s="402">
        <f t="shared" ca="1" si="139"/>
        <v>0</v>
      </c>
      <c r="BW83" s="403">
        <f t="shared" ca="1" si="140"/>
        <v>0</v>
      </c>
      <c r="BX83" s="402">
        <f t="shared" ca="1" si="141"/>
        <v>0</v>
      </c>
      <c r="BY83" s="403">
        <f t="shared" ca="1" si="142"/>
        <v>0</v>
      </c>
      <c r="BZ83" s="55">
        <f ca="1">IFERROR(__xludf.DUMMYFUNCTION("IMPORTRANGE(""https://docs.google.com/spreadsheets/d/1IYY_tgx_IHuhSq3AJ5eI5OnqOPBNLWSHKh2a30DoXe8/edit?usp=sharing"",""พังงา!J420"")"),0)</f>
        <v>0</v>
      </c>
      <c r="CA83" s="55">
        <f ca="1">IFERROR(__xludf.DUMMYFUNCTION("IMPORTRANGE(""https://docs.google.com/spreadsheets/d/1IYY_tgx_IHuhSq3AJ5eI5OnqOPBNLWSHKh2a30DoXe8/edit?usp=sharing"",""พังงา!J421"")"),0)</f>
        <v>0</v>
      </c>
      <c r="CB83" s="55">
        <f ca="1">IFERROR(__xludf.DUMMYFUNCTION("IMPORTRANGE(""https://docs.google.com/spreadsheets/d/1IYY_tgx_IHuhSq3AJ5eI5OnqOPBNLWSHKh2a30DoXe8/edit?usp=sharing"",""พังงา!J422"")"),0)</f>
        <v>0</v>
      </c>
      <c r="CC83" s="55">
        <f ca="1">IFERROR(__xludf.DUMMYFUNCTION("IMPORTRANGE(""https://docs.google.com/spreadsheets/d/1IYY_tgx_IHuhSq3AJ5eI5OnqOPBNLWSHKh2a30DoXe8/edit?usp=sharing"",""พังงา!J423"")"),0)</f>
        <v>0</v>
      </c>
      <c r="CD83" s="55">
        <f ca="1">IFERROR(__xludf.DUMMYFUNCTION("IMPORTRANGE(""https://docs.google.com/spreadsheets/d/1IYY_tgx_IHuhSq3AJ5eI5OnqOPBNLWSHKh2a30DoXe8/edit?usp=sharing"",""พังงา!J424"")"),0)</f>
        <v>0</v>
      </c>
      <c r="CE83" s="422">
        <f ca="1">IFERROR(__xludf.DUMMYFUNCTION("IMPORTRANGE(""https://docs.google.com/spreadsheets/d/1IYY_tgx_IHuhSq3AJ5eI5OnqOPBNLWSHKh2a30DoXe8/edit?usp=sharing"",""พังงา!J425"")"),0)</f>
        <v>0</v>
      </c>
    </row>
    <row r="84" spans="1:83" ht="24" customHeight="1" x14ac:dyDescent="0.5">
      <c r="A84" s="273">
        <v>8</v>
      </c>
      <c r="B84" s="274" t="s">
        <v>99</v>
      </c>
      <c r="C84" s="400">
        <f t="shared" si="128"/>
        <v>361251.84000000003</v>
      </c>
      <c r="D84" s="55">
        <v>0</v>
      </c>
      <c r="E84" s="401">
        <v>361251.84000000003</v>
      </c>
      <c r="F84" s="99">
        <f ca="1">IFERROR(__xludf.DUMMYFUNCTION("IMPORTRANGE(""https://docs.google.com/spreadsheets/d/1IYY_tgx_IHuhSq3AJ5eI5OnqOPBNLWSHKh2a30DoXe8/edit?usp=sharing"",""พัทลุง!M352"")"),0)</f>
        <v>0</v>
      </c>
      <c r="G84" s="99">
        <f t="shared" ca="1" si="1"/>
        <v>0</v>
      </c>
      <c r="H84" s="57">
        <v>27057</v>
      </c>
      <c r="I84" s="57">
        <v>5540</v>
      </c>
      <c r="J84" s="55">
        <f t="shared" ca="1" si="129"/>
        <v>0</v>
      </c>
      <c r="K84" s="99">
        <f t="shared" ca="1" si="3"/>
        <v>0</v>
      </c>
      <c r="L84" s="55">
        <f t="shared" ca="1" si="130"/>
        <v>0</v>
      </c>
      <c r="M84" s="99">
        <f t="shared" ca="1" si="4"/>
        <v>0</v>
      </c>
      <c r="N84" s="55">
        <f ca="1">IFERROR(__xludf.DUMMYFUNCTION("IMPORTRANGE(""https://docs.google.com/spreadsheets/d/1IYY_tgx_IHuhSq3AJ5eI5OnqOPBNLWSHKh2a30DoXe8/edit?usp=sharing"",""พัทลุง!J362"")"),0)</f>
        <v>0</v>
      </c>
      <c r="O84" s="55">
        <f ca="1">IFERROR(__xludf.DUMMYFUNCTION("IMPORTRANGE(""https://docs.google.com/spreadsheets/d/1IYY_tgx_IHuhSq3AJ5eI5OnqOPBNLWSHKh2a30DoXe8/edit?usp=sharing"",""พัทลุง!J363"")"),0)</f>
        <v>0</v>
      </c>
      <c r="P84" s="55">
        <f ca="1">IFERROR(__xludf.DUMMYFUNCTION("IMPORTRANGE(""https://docs.google.com/spreadsheets/d/1IYY_tgx_IHuhSq3AJ5eI5OnqOPBNLWSHKh2a30DoXe8/edit?usp=sharing"",""พัทลุง!J364"")"),0)</f>
        <v>0</v>
      </c>
      <c r="Q84" s="55">
        <f ca="1">IFERROR(__xludf.DUMMYFUNCTION("IMPORTRANGE(""https://docs.google.com/spreadsheets/d/1IYY_tgx_IHuhSq3AJ5eI5OnqOPBNLWSHKh2a30DoXe8/edit?usp=sharing"",""พัทลุง!J365"")"),0)</f>
        <v>0</v>
      </c>
      <c r="R84" s="55">
        <f ca="1">IFERROR(__xludf.DUMMYFUNCTION("IMPORTRANGE(""https://docs.google.com/spreadsheets/d/1IYY_tgx_IHuhSq3AJ5eI5OnqOPBNLWSHKh2a30DoXe8/edit?usp=sharing"",""พัทลุง!J366"")"),0)</f>
        <v>0</v>
      </c>
      <c r="S84" s="55">
        <f ca="1">IFERROR(__xludf.DUMMYFUNCTION("IMPORTRANGE(""https://docs.google.com/spreadsheets/d/1IYY_tgx_IHuhSq3AJ5eI5OnqOPBNLWSHKh2a30DoXe8/edit?usp=sharing"",""พัทลุง!J367"")"),0)</f>
        <v>0</v>
      </c>
      <c r="T84" s="55">
        <f t="shared" ca="1" si="131"/>
        <v>0</v>
      </c>
      <c r="U84" s="55">
        <f t="shared" ca="1" si="6"/>
        <v>0</v>
      </c>
      <c r="V84" s="55">
        <f t="shared" ca="1" si="132"/>
        <v>0</v>
      </c>
      <c r="W84" s="55">
        <f t="shared" ca="1" si="7"/>
        <v>0</v>
      </c>
      <c r="X84" s="55">
        <f ca="1">IFERROR(__xludf.DUMMYFUNCTION("IMPORTRANGE(""https://docs.google.com/spreadsheets/d/1IYY_tgx_IHuhSq3AJ5eI5OnqOPBNLWSHKh2a30DoXe8/edit?usp=sharing"",""พัทลุง!J370"")"),0)</f>
        <v>0</v>
      </c>
      <c r="Y84" s="55">
        <f ca="1">IFERROR(__xludf.DUMMYFUNCTION("IMPORTRANGE(""https://docs.google.com/spreadsheets/d/1IYY_tgx_IHuhSq3AJ5eI5OnqOPBNLWSHKh2a30DoXe8/edit?usp=sharing"",""พัทลุง!J371"")"),0)</f>
        <v>0</v>
      </c>
      <c r="Z84" s="55">
        <f ca="1">IFERROR(__xludf.DUMMYFUNCTION("IMPORTRANGE(""https://docs.google.com/spreadsheets/d/1IYY_tgx_IHuhSq3AJ5eI5OnqOPBNLWSHKh2a30DoXe8/edit?usp=sharing"",""พัทลุง!J372"")"),0)</f>
        <v>0</v>
      </c>
      <c r="AA84" s="55">
        <f ca="1">IFERROR(__xludf.DUMMYFUNCTION("IMPORTRANGE(""https://docs.google.com/spreadsheets/d/1IYY_tgx_IHuhSq3AJ5eI5OnqOPBNLWSHKh2a30DoXe8/edit?usp=sharing"",""พัทลุง!J373"")"),0)</f>
        <v>0</v>
      </c>
      <c r="AB84" s="55">
        <f ca="1">IFERROR(__xludf.DUMMYFUNCTION("IMPORTRANGE(""https://docs.google.com/spreadsheets/d/1IYY_tgx_IHuhSq3AJ5eI5OnqOPBNLWSHKh2a30DoXe8/edit?usp=sharing"",""พัทลุง!J374"")"),0)</f>
        <v>0</v>
      </c>
      <c r="AC84" s="55">
        <f ca="1">IFERROR(__xludf.DUMMYFUNCTION("IMPORTRANGE(""https://docs.google.com/spreadsheets/d/1IYY_tgx_IHuhSq3AJ5eI5OnqOPBNLWSHKh2a30DoXe8/edit?usp=sharing"",""พัทลุง!J375"")"),0)</f>
        <v>0</v>
      </c>
      <c r="AD84" s="55">
        <f t="shared" ca="1" si="133"/>
        <v>0</v>
      </c>
      <c r="AE84" s="99">
        <f t="shared" ca="1" si="9"/>
        <v>0</v>
      </c>
      <c r="AF84" s="55">
        <f t="shared" ca="1" si="134"/>
        <v>0</v>
      </c>
      <c r="AG84" s="99">
        <f t="shared" ca="1" si="10"/>
        <v>0</v>
      </c>
      <c r="AH84" s="55">
        <f ca="1">IFERROR(__xludf.DUMMYFUNCTION("IMPORTRANGE(""https://docs.google.com/spreadsheets/d/1IYY_tgx_IHuhSq3AJ5eI5OnqOPBNLWSHKh2a30DoXe8/edit?usp=sharing"",""พัทลุง!J378"")"),0)</f>
        <v>0</v>
      </c>
      <c r="AI84" s="55">
        <f ca="1">IFERROR(__xludf.DUMMYFUNCTION("IMPORTRANGE(""https://docs.google.com/spreadsheets/d/1IYY_tgx_IHuhSq3AJ5eI5OnqOPBNLWSHKh2a30DoXe8/edit?usp=sharing"",""พัทลุง!J379"")"),0)</f>
        <v>0</v>
      </c>
      <c r="AJ84" s="55">
        <f ca="1">IFERROR(__xludf.DUMMYFUNCTION("IMPORTRANGE(""https://docs.google.com/spreadsheets/d/1IYY_tgx_IHuhSq3AJ5eI5OnqOPBNLWSHKh2a30DoXe8/edit?usp=sharing"",""พัทลุง!J380"")"),0)</f>
        <v>0</v>
      </c>
      <c r="AK84" s="55">
        <f ca="1">IFERROR(__xludf.DUMMYFUNCTION("IMPORTRANGE(""https://docs.google.com/spreadsheets/d/1IYY_tgx_IHuhSq3AJ5eI5OnqOPBNLWSHKh2a30DoXe8/edit?usp=sharing"",""พัทลุง!J381"")"),0)</f>
        <v>0</v>
      </c>
      <c r="AL84" s="55">
        <f ca="1">IFERROR(__xludf.DUMMYFUNCTION("IMPORTRANGE(""https://docs.google.com/spreadsheets/d/1IYY_tgx_IHuhSq3AJ5eI5OnqOPBNLWSHKh2a30DoXe8/edit?usp=sharing"",""พัทลุง!J384"")"),0)</f>
        <v>0</v>
      </c>
      <c r="AM84" s="55">
        <f ca="1">IFERROR(__xludf.DUMMYFUNCTION("IMPORTRANGE(""https://docs.google.com/spreadsheets/d/1IYY_tgx_IHuhSq3AJ5eI5OnqOPBNLWSHKh2a30DoXe8/edit?usp=sharing"",""พัทลุง!J385"")"),0)</f>
        <v>0</v>
      </c>
      <c r="AN84" s="55">
        <f ca="1">IFERROR(__xludf.DUMMYFUNCTION("IMPORTRANGE(""https://docs.google.com/spreadsheets/d/1IYY_tgx_IHuhSq3AJ5eI5OnqOPBNLWSHKh2a30DoXe8/edit?usp=sharing"",""พัทลุง!J386"")"),0)</f>
        <v>0</v>
      </c>
      <c r="AO84" s="55">
        <f ca="1">IFERROR(__xludf.DUMMYFUNCTION("IMPORTRANGE(""https://docs.google.com/spreadsheets/d/1IYY_tgx_IHuhSq3AJ5eI5OnqOPBNLWSHKh2a30DoXe8/edit?usp=sharing"",""พัทลุง!J387"")"),0)</f>
        <v>0</v>
      </c>
      <c r="AP84" s="55">
        <f ca="1">IFERROR(__xludf.DUMMYFUNCTION("IMPORTRANGE(""https://docs.google.com/spreadsheets/d/1IYY_tgx_IHuhSq3AJ5eI5OnqOPBNLWSHKh2a30DoXe8/edit?usp=sharing"",""พัทลุง!J388"")"),0)</f>
        <v>0</v>
      </c>
      <c r="AQ84" s="55">
        <f ca="1">IFERROR(__xludf.DUMMYFUNCTION("IMPORTRANGE(""https://docs.google.com/spreadsheets/d/1IYY_tgx_IHuhSq3AJ5eI5OnqOPBNLWSHKh2a30DoXe8/edit?usp=sharing"",""พัทลุง!J389"")"),0)</f>
        <v>0</v>
      </c>
      <c r="AR84" s="402">
        <v>98</v>
      </c>
      <c r="AS84" s="402">
        <v>429</v>
      </c>
      <c r="AT84" s="402">
        <f t="shared" ca="1" si="135"/>
        <v>0</v>
      </c>
      <c r="AU84" s="402">
        <f t="shared" ca="1" si="12"/>
        <v>0</v>
      </c>
      <c r="AV84" s="402">
        <f t="shared" ca="1" si="136"/>
        <v>0</v>
      </c>
      <c r="AW84" s="402">
        <f t="shared" ca="1" si="13"/>
        <v>0</v>
      </c>
      <c r="AX84" s="55">
        <f ca="1">IFERROR(__xludf.DUMMYFUNCTION("IMPORTRANGE(""https://docs.google.com/spreadsheets/d/1IYY_tgx_IHuhSq3AJ5eI5OnqOPBNLWSHKh2a30DoXe8/edit?usp=sharing"",""พัทลุง!J395"")"),0)</f>
        <v>0</v>
      </c>
      <c r="AY84" s="55">
        <f ca="1">IFERROR(__xludf.DUMMYFUNCTION("IMPORTRANGE(""https://docs.google.com/spreadsheets/d/1IYY_tgx_IHuhSq3AJ5eI5OnqOPBNLWSHKh2a30DoXe8/edit?usp=sharing"",""พัทลุง!J396"")"),0)</f>
        <v>0</v>
      </c>
      <c r="AZ84" s="55">
        <f ca="1">IFERROR(__xludf.DUMMYFUNCTION("IMPORTRANGE(""https://docs.google.com/spreadsheets/d/1IYY_tgx_IHuhSq3AJ5eI5OnqOPBNLWSHKh2a30DoXe8/edit?usp=sharing"",""พัทลุง!J397"")"),0)</f>
        <v>0</v>
      </c>
      <c r="BA84" s="55">
        <f ca="1">IFERROR(__xludf.DUMMYFUNCTION("IMPORTRANGE(""https://docs.google.com/spreadsheets/d/1IYY_tgx_IHuhSq3AJ5eI5OnqOPBNLWSHKh2a30DoXe8/edit?usp=sharing"",""พัทลุง!J398"")"),0)</f>
        <v>0</v>
      </c>
      <c r="BB84" s="55">
        <f ca="1">IFERROR(__xludf.DUMMYFUNCTION("IMPORTRANGE(""https://docs.google.com/spreadsheets/d/1IYY_tgx_IHuhSq3AJ5eI5OnqOPBNLWSHKh2a30DoXe8/edit?usp=sharing"",""พัทลุง!J399"")"),0)</f>
        <v>0</v>
      </c>
      <c r="BC84" s="55">
        <f ca="1">IFERROR(__xludf.DUMMYFUNCTION("IMPORTRANGE(""https://docs.google.com/spreadsheets/d/1IYY_tgx_IHuhSq3AJ5eI5OnqOPBNLWSHKh2a30DoXe8/edit?usp=sharing"",""พัทลุง!J400"")"),0)</f>
        <v>0</v>
      </c>
      <c r="BD84" s="55">
        <f ca="1">IFERROR(__xludf.DUMMYFUNCTION("IMPORTRANGE(""https://docs.google.com/spreadsheets/d/1IYY_tgx_IHuhSq3AJ5eI5OnqOPBNLWSHKh2a30DoXe8/edit?usp=sharing"",""พัทลุง!J403"")"),0)</f>
        <v>0</v>
      </c>
      <c r="BE84" s="55">
        <f ca="1">IFERROR(__xludf.DUMMYFUNCTION("IMPORTRANGE(""https://docs.google.com/spreadsheets/d/1IYY_tgx_IHuhSq3AJ5eI5OnqOPBNLWSHKh2a30DoXe8/edit?usp=sharing"",""พัทลุง!J404"")"),0)</f>
        <v>0</v>
      </c>
      <c r="BF84" s="55">
        <f ca="1">IFERROR(__xludf.DUMMYFUNCTION("IMPORTRANGE(""https://docs.google.com/spreadsheets/d/1IYY_tgx_IHuhSq3AJ5eI5OnqOPBNLWSHKh2a30DoXe8/edit?usp=sharing"",""พัทลุง!J405"")"),0)</f>
        <v>0</v>
      </c>
      <c r="BG84" s="55">
        <f ca="1">IFERROR(__xludf.DUMMYFUNCTION("IMPORTRANGE(""https://docs.google.com/spreadsheets/d/1IYY_tgx_IHuhSq3AJ5eI5OnqOPBNLWSHKh2a30DoXe8/edit?usp=sharing"",""พัทลุง!J406"")"),0)</f>
        <v>0</v>
      </c>
      <c r="BH84" s="55">
        <f ca="1">IFERROR(__xludf.DUMMYFUNCTION("IMPORTRANGE(""https://docs.google.com/spreadsheets/d/1IYY_tgx_IHuhSq3AJ5eI5OnqOPBNLWSHKh2a30DoXe8/edit?usp=sharing"",""พัทลุง!J407"")"),0)</f>
        <v>0</v>
      </c>
      <c r="BI84" s="55">
        <f ca="1">IFERROR(__xludf.DUMMYFUNCTION("IMPORTRANGE(""https://docs.google.com/spreadsheets/d/1IYY_tgx_IHuhSq3AJ5eI5OnqOPBNLWSHKh2a30DoXe8/edit?usp=sharing"",""พัทลุง!J408"")"),0)</f>
        <v>0</v>
      </c>
      <c r="BJ84" s="402">
        <v>27057</v>
      </c>
      <c r="BK84" s="402">
        <v>5540</v>
      </c>
      <c r="BL84" s="402">
        <f t="shared" ca="1" si="137"/>
        <v>0</v>
      </c>
      <c r="BM84" s="403">
        <f t="shared" ca="1" si="15"/>
        <v>0</v>
      </c>
      <c r="BN84" s="402">
        <f t="shared" ca="1" si="138"/>
        <v>0</v>
      </c>
      <c r="BO84" s="403">
        <f t="shared" ca="1" si="16"/>
        <v>0</v>
      </c>
      <c r="BP84" s="55">
        <f ca="1">IFERROR(__xludf.DUMMYFUNCTION("IMPORTRANGE(""https://docs.google.com/spreadsheets/d/1IYY_tgx_IHuhSq3AJ5eI5OnqOPBNLWSHKh2a30DoXe8/edit?usp=sharing"",""พัทลุง!J412"")"),0)</f>
        <v>0</v>
      </c>
      <c r="BQ84" s="55">
        <f ca="1">IFERROR(__xludf.DUMMYFUNCTION("IMPORTRANGE(""https://docs.google.com/spreadsheets/d/1IYY_tgx_IHuhSq3AJ5eI5OnqOPBNLWSHKh2a30DoXe8/edit?usp=sharing"",""พัทลุง!J413"")"),0)</f>
        <v>0</v>
      </c>
      <c r="BR84" s="55">
        <f ca="1">IFERROR(__xludf.DUMMYFUNCTION("IMPORTRANGE(""https://docs.google.com/spreadsheets/d/1IYY_tgx_IHuhSq3AJ5eI5OnqOPBNLWSHKh2a30DoXe8/edit?usp=sharing"",""พัทลุง!J414"")"),0)</f>
        <v>0</v>
      </c>
      <c r="BS84" s="55">
        <f ca="1">IFERROR(__xludf.DUMMYFUNCTION("IMPORTRANGE(""https://docs.google.com/spreadsheets/d/1IYY_tgx_IHuhSq3AJ5eI5OnqOPBNLWSHKh2a30DoXe8/edit?usp=sharing"",""พัทลุง!J415"")"),0)</f>
        <v>0</v>
      </c>
      <c r="BT84" s="55">
        <f ca="1">IFERROR(__xludf.DUMMYFUNCTION("IMPORTRANGE(""https://docs.google.com/spreadsheets/d/1IYY_tgx_IHuhSq3AJ5eI5OnqOPBNLWSHKh2a30DoXe8/edit?usp=sharing"",""พัทลุง!J416"")"),0)</f>
        <v>0</v>
      </c>
      <c r="BU84" s="55">
        <f ca="1">IFERROR(__xludf.DUMMYFUNCTION("IMPORTRANGE(""https://docs.google.com/spreadsheets/d/1IYY_tgx_IHuhSq3AJ5eI5OnqOPBNLWSHKh2a30DoXe8/edit?usp=sharing"",""พัทลุง!J417"")"),0)</f>
        <v>0</v>
      </c>
      <c r="BV84" s="402">
        <f t="shared" ca="1" si="139"/>
        <v>0</v>
      </c>
      <c r="BW84" s="403">
        <f t="shared" ca="1" si="140"/>
        <v>0</v>
      </c>
      <c r="BX84" s="402">
        <f t="shared" ca="1" si="141"/>
        <v>0</v>
      </c>
      <c r="BY84" s="403">
        <f t="shared" ca="1" si="142"/>
        <v>0</v>
      </c>
      <c r="BZ84" s="55">
        <f ca="1">IFERROR(__xludf.DUMMYFUNCTION("IMPORTRANGE(""https://docs.google.com/spreadsheets/d/1IYY_tgx_IHuhSq3AJ5eI5OnqOPBNLWSHKh2a30DoXe8/edit?usp=sharing"",""พัทลุง!J420"")"),0)</f>
        <v>0</v>
      </c>
      <c r="CA84" s="55">
        <f ca="1">IFERROR(__xludf.DUMMYFUNCTION("IMPORTRANGE(""https://docs.google.com/spreadsheets/d/1IYY_tgx_IHuhSq3AJ5eI5OnqOPBNLWSHKh2a30DoXe8/edit?usp=sharing"",""พัทลุง!J421"")"),0)</f>
        <v>0</v>
      </c>
      <c r="CB84" s="55">
        <f ca="1">IFERROR(__xludf.DUMMYFUNCTION("IMPORTRANGE(""https://docs.google.com/spreadsheets/d/1IYY_tgx_IHuhSq3AJ5eI5OnqOPBNLWSHKh2a30DoXe8/edit?usp=sharing"",""พัทลุง!J422"")"),0)</f>
        <v>0</v>
      </c>
      <c r="CC84" s="55">
        <f ca="1">IFERROR(__xludf.DUMMYFUNCTION("IMPORTRANGE(""https://docs.google.com/spreadsheets/d/1IYY_tgx_IHuhSq3AJ5eI5OnqOPBNLWSHKh2a30DoXe8/edit?usp=sharing"",""พัทลุง!J423"")"),0)</f>
        <v>0</v>
      </c>
      <c r="CD84" s="55">
        <f ca="1">IFERROR(__xludf.DUMMYFUNCTION("IMPORTRANGE(""https://docs.google.com/spreadsheets/d/1IYY_tgx_IHuhSq3AJ5eI5OnqOPBNLWSHKh2a30DoXe8/edit?usp=sharing"",""พัทลุง!J424"")"),0)</f>
        <v>0</v>
      </c>
      <c r="CE84" s="422">
        <f ca="1">IFERROR(__xludf.DUMMYFUNCTION("IMPORTRANGE(""https://docs.google.com/spreadsheets/d/1IYY_tgx_IHuhSq3AJ5eI5OnqOPBNLWSHKh2a30DoXe8/edit?usp=sharing"",""พัทลุง!J425"")"),0)</f>
        <v>0</v>
      </c>
    </row>
    <row r="85" spans="1:83" ht="24" customHeight="1" x14ac:dyDescent="0.5">
      <c r="A85" s="273">
        <v>9</v>
      </c>
      <c r="B85" s="274" t="s">
        <v>100</v>
      </c>
      <c r="C85" s="400">
        <f t="shared" si="128"/>
        <v>0</v>
      </c>
      <c r="D85" s="55">
        <v>0</v>
      </c>
      <c r="E85" s="401">
        <v>0</v>
      </c>
      <c r="F85" s="99">
        <f ca="1">IFERROR(__xludf.DUMMYFUNCTION("IMPORTRANGE(""https://docs.google.com/spreadsheets/d/1IYY_tgx_IHuhSq3AJ5eI5OnqOPBNLWSHKh2a30DoXe8/edit?usp=sharing"",""ภูเก็ต!M352"")"),0)</f>
        <v>0</v>
      </c>
      <c r="G85" s="99">
        <f t="shared" si="1"/>
        <v>0</v>
      </c>
      <c r="H85" s="57">
        <v>0</v>
      </c>
      <c r="I85" s="57">
        <v>0</v>
      </c>
      <c r="J85" s="55">
        <f t="shared" ca="1" si="129"/>
        <v>0</v>
      </c>
      <c r="K85" s="99">
        <f t="shared" si="3"/>
        <v>0</v>
      </c>
      <c r="L85" s="55">
        <f t="shared" ca="1" si="130"/>
        <v>0</v>
      </c>
      <c r="M85" s="99">
        <f t="shared" si="4"/>
        <v>0</v>
      </c>
      <c r="N85" s="55">
        <f ca="1">IFERROR(__xludf.DUMMYFUNCTION("IMPORTRANGE(""https://docs.google.com/spreadsheets/d/1IYY_tgx_IHuhSq3AJ5eI5OnqOPBNLWSHKh2a30DoXe8/edit?usp=sharing"",""ภูเก็ต!J362"")"),0)</f>
        <v>0</v>
      </c>
      <c r="O85" s="55">
        <f ca="1">IFERROR(__xludf.DUMMYFUNCTION("IMPORTRANGE(""https://docs.google.com/spreadsheets/d/1IYY_tgx_IHuhSq3AJ5eI5OnqOPBNLWSHKh2a30DoXe8/edit?usp=sharing"",""ภูเก็ต!J363"")"),0)</f>
        <v>0</v>
      </c>
      <c r="P85" s="55">
        <f ca="1">IFERROR(__xludf.DUMMYFUNCTION("IMPORTRANGE(""https://docs.google.com/spreadsheets/d/1IYY_tgx_IHuhSq3AJ5eI5OnqOPBNLWSHKh2a30DoXe8/edit?usp=sharing"",""ภูเก็ต!J364"")"),0)</f>
        <v>0</v>
      </c>
      <c r="Q85" s="55">
        <f ca="1">IFERROR(__xludf.DUMMYFUNCTION("IMPORTRANGE(""https://docs.google.com/spreadsheets/d/1IYY_tgx_IHuhSq3AJ5eI5OnqOPBNLWSHKh2a30DoXe8/edit?usp=sharing"",""ภูเก็ต!J365"")"),0)</f>
        <v>0</v>
      </c>
      <c r="R85" s="55">
        <f ca="1">IFERROR(__xludf.DUMMYFUNCTION("IMPORTRANGE(""https://docs.google.com/spreadsheets/d/1IYY_tgx_IHuhSq3AJ5eI5OnqOPBNLWSHKh2a30DoXe8/edit?usp=sharing"",""ภูเก็ต!J366"")"),0)</f>
        <v>0</v>
      </c>
      <c r="S85" s="55">
        <f ca="1">IFERROR(__xludf.DUMMYFUNCTION("IMPORTRANGE(""https://docs.google.com/spreadsheets/d/1IYY_tgx_IHuhSq3AJ5eI5OnqOPBNLWSHKh2a30DoXe8/edit?usp=sharing"",""ภูเก็ต!J367"")"),0)</f>
        <v>0</v>
      </c>
      <c r="T85" s="55">
        <f t="shared" ca="1" si="131"/>
        <v>0</v>
      </c>
      <c r="U85" s="55">
        <f t="shared" si="6"/>
        <v>0</v>
      </c>
      <c r="V85" s="55">
        <f t="shared" ca="1" si="132"/>
        <v>0</v>
      </c>
      <c r="W85" s="55">
        <f t="shared" si="7"/>
        <v>0</v>
      </c>
      <c r="X85" s="55">
        <f ca="1">IFERROR(__xludf.DUMMYFUNCTION("IMPORTRANGE(""https://docs.google.com/spreadsheets/d/1IYY_tgx_IHuhSq3AJ5eI5OnqOPBNLWSHKh2a30DoXe8/edit?usp=sharing"",""ภูเก็ต!J370"")"),0)</f>
        <v>0</v>
      </c>
      <c r="Y85" s="55">
        <f ca="1">IFERROR(__xludf.DUMMYFUNCTION("IMPORTRANGE(""https://docs.google.com/spreadsheets/d/1IYY_tgx_IHuhSq3AJ5eI5OnqOPBNLWSHKh2a30DoXe8/edit?usp=sharing"",""ภูเก็ต!J371"")"),0)</f>
        <v>0</v>
      </c>
      <c r="Z85" s="55">
        <f ca="1">IFERROR(__xludf.DUMMYFUNCTION("IMPORTRANGE(""https://docs.google.com/spreadsheets/d/1IYY_tgx_IHuhSq3AJ5eI5OnqOPBNLWSHKh2a30DoXe8/edit?usp=sharing"",""ภูเก็ต!J372"")"),0)</f>
        <v>0</v>
      </c>
      <c r="AA85" s="55">
        <f ca="1">IFERROR(__xludf.DUMMYFUNCTION("IMPORTRANGE(""https://docs.google.com/spreadsheets/d/1IYY_tgx_IHuhSq3AJ5eI5OnqOPBNLWSHKh2a30DoXe8/edit?usp=sharing"",""ภูเก็ต!J373"")"),0)</f>
        <v>0</v>
      </c>
      <c r="AB85" s="55">
        <f ca="1">IFERROR(__xludf.DUMMYFUNCTION("IMPORTRANGE(""https://docs.google.com/spreadsheets/d/1IYY_tgx_IHuhSq3AJ5eI5OnqOPBNLWSHKh2a30DoXe8/edit?usp=sharing"",""ภูเก็ต!J374"")"),0)</f>
        <v>0</v>
      </c>
      <c r="AC85" s="55">
        <f ca="1">IFERROR(__xludf.DUMMYFUNCTION("IMPORTRANGE(""https://docs.google.com/spreadsheets/d/1IYY_tgx_IHuhSq3AJ5eI5OnqOPBNLWSHKh2a30DoXe8/edit?usp=sharing"",""ภูเก็ต!J375"")"),0)</f>
        <v>0</v>
      </c>
      <c r="AD85" s="55">
        <f t="shared" ca="1" si="133"/>
        <v>0</v>
      </c>
      <c r="AE85" s="99">
        <f t="shared" si="9"/>
        <v>0</v>
      </c>
      <c r="AF85" s="55">
        <f t="shared" ca="1" si="134"/>
        <v>0</v>
      </c>
      <c r="AG85" s="99">
        <f t="shared" si="10"/>
        <v>0</v>
      </c>
      <c r="AH85" s="55">
        <f ca="1">IFERROR(__xludf.DUMMYFUNCTION("IMPORTRANGE(""https://docs.google.com/spreadsheets/d/1IYY_tgx_IHuhSq3AJ5eI5OnqOPBNLWSHKh2a30DoXe8/edit?usp=sharing"",""ภูเก็ต!J378"")"),0)</f>
        <v>0</v>
      </c>
      <c r="AI85" s="55">
        <f ca="1">IFERROR(__xludf.DUMMYFUNCTION("IMPORTRANGE(""https://docs.google.com/spreadsheets/d/1IYY_tgx_IHuhSq3AJ5eI5OnqOPBNLWSHKh2a30DoXe8/edit?usp=sharing"",""ภูเก็ต!J379"")"),0)</f>
        <v>0</v>
      </c>
      <c r="AJ85" s="55">
        <f ca="1">IFERROR(__xludf.DUMMYFUNCTION("IMPORTRANGE(""https://docs.google.com/spreadsheets/d/1IYY_tgx_IHuhSq3AJ5eI5OnqOPBNLWSHKh2a30DoXe8/edit?usp=sharing"",""ภูเก็ต!J380"")"),0)</f>
        <v>0</v>
      </c>
      <c r="AK85" s="55">
        <f ca="1">IFERROR(__xludf.DUMMYFUNCTION("IMPORTRANGE(""https://docs.google.com/spreadsheets/d/1IYY_tgx_IHuhSq3AJ5eI5OnqOPBNLWSHKh2a30DoXe8/edit?usp=sharing"",""ภูเก็ต!J381"")"),0)</f>
        <v>0</v>
      </c>
      <c r="AL85" s="55">
        <f ca="1">IFERROR(__xludf.DUMMYFUNCTION("IMPORTRANGE(""https://docs.google.com/spreadsheets/d/1IYY_tgx_IHuhSq3AJ5eI5OnqOPBNLWSHKh2a30DoXe8/edit?usp=sharing"",""ภูเก็ต!J384"")"),0)</f>
        <v>0</v>
      </c>
      <c r="AM85" s="55">
        <f ca="1">IFERROR(__xludf.DUMMYFUNCTION("IMPORTRANGE(""https://docs.google.com/spreadsheets/d/1IYY_tgx_IHuhSq3AJ5eI5OnqOPBNLWSHKh2a30DoXe8/edit?usp=sharing"",""ภูเก็ต!J385"")"),0)</f>
        <v>0</v>
      </c>
      <c r="AN85" s="55">
        <f ca="1">IFERROR(__xludf.DUMMYFUNCTION("IMPORTRANGE(""https://docs.google.com/spreadsheets/d/1IYY_tgx_IHuhSq3AJ5eI5OnqOPBNLWSHKh2a30DoXe8/edit?usp=sharing"",""ภูเก็ต!J386"")"),0)</f>
        <v>0</v>
      </c>
      <c r="AO85" s="55">
        <f ca="1">IFERROR(__xludf.DUMMYFUNCTION("IMPORTRANGE(""https://docs.google.com/spreadsheets/d/1IYY_tgx_IHuhSq3AJ5eI5OnqOPBNLWSHKh2a30DoXe8/edit?usp=sharing"",""ภูเก็ต!J387"")"),0)</f>
        <v>0</v>
      </c>
      <c r="AP85" s="55">
        <f ca="1">IFERROR(__xludf.DUMMYFUNCTION("IMPORTRANGE(""https://docs.google.com/spreadsheets/d/1IYY_tgx_IHuhSq3AJ5eI5OnqOPBNLWSHKh2a30DoXe8/edit?usp=sharing"",""ภูเก็ต!J388"")"),0)</f>
        <v>0</v>
      </c>
      <c r="AQ85" s="55">
        <f ca="1">IFERROR(__xludf.DUMMYFUNCTION("IMPORTRANGE(""https://docs.google.com/spreadsheets/d/1IYY_tgx_IHuhSq3AJ5eI5OnqOPBNLWSHKh2a30DoXe8/edit?usp=sharing"",""ภูเก็ต!J389"")"),0)</f>
        <v>0</v>
      </c>
      <c r="AR85" s="402">
        <v>0</v>
      </c>
      <c r="AS85" s="402">
        <v>0</v>
      </c>
      <c r="AT85" s="402">
        <f t="shared" ca="1" si="135"/>
        <v>0</v>
      </c>
      <c r="AU85" s="402">
        <f t="shared" si="12"/>
        <v>0</v>
      </c>
      <c r="AV85" s="402">
        <f t="shared" ca="1" si="136"/>
        <v>0</v>
      </c>
      <c r="AW85" s="402">
        <f t="shared" si="13"/>
        <v>0</v>
      </c>
      <c r="AX85" s="55">
        <f ca="1">IFERROR(__xludf.DUMMYFUNCTION("IMPORTRANGE(""https://docs.google.com/spreadsheets/d/1IYY_tgx_IHuhSq3AJ5eI5OnqOPBNLWSHKh2a30DoXe8/edit?usp=sharing"",""ภูเก็ต!J395"")"),0)</f>
        <v>0</v>
      </c>
      <c r="AY85" s="55">
        <f ca="1">IFERROR(__xludf.DUMMYFUNCTION("IMPORTRANGE(""https://docs.google.com/spreadsheets/d/1IYY_tgx_IHuhSq3AJ5eI5OnqOPBNLWSHKh2a30DoXe8/edit?usp=sharing"",""ภูเก็ต!J396"")"),0)</f>
        <v>0</v>
      </c>
      <c r="AZ85" s="55">
        <f ca="1">IFERROR(__xludf.DUMMYFUNCTION("IMPORTRANGE(""https://docs.google.com/spreadsheets/d/1IYY_tgx_IHuhSq3AJ5eI5OnqOPBNLWSHKh2a30DoXe8/edit?usp=sharing"",""ภูเก็ต!J397"")"),0)</f>
        <v>0</v>
      </c>
      <c r="BA85" s="55">
        <f ca="1">IFERROR(__xludf.DUMMYFUNCTION("IMPORTRANGE(""https://docs.google.com/spreadsheets/d/1IYY_tgx_IHuhSq3AJ5eI5OnqOPBNLWSHKh2a30DoXe8/edit?usp=sharing"",""ภูเก็ต!J398"")"),0)</f>
        <v>0</v>
      </c>
      <c r="BB85" s="55">
        <f ca="1">IFERROR(__xludf.DUMMYFUNCTION("IMPORTRANGE(""https://docs.google.com/spreadsheets/d/1IYY_tgx_IHuhSq3AJ5eI5OnqOPBNLWSHKh2a30DoXe8/edit?usp=sharing"",""ภูเก็ต!J399"")"),0)</f>
        <v>0</v>
      </c>
      <c r="BC85" s="55">
        <f ca="1">IFERROR(__xludf.DUMMYFUNCTION("IMPORTRANGE(""https://docs.google.com/spreadsheets/d/1IYY_tgx_IHuhSq3AJ5eI5OnqOPBNLWSHKh2a30DoXe8/edit?usp=sharing"",""ภูเก็ต!J400"")"),0)</f>
        <v>0</v>
      </c>
      <c r="BD85" s="55">
        <f ca="1">IFERROR(__xludf.DUMMYFUNCTION("IMPORTRANGE(""https://docs.google.com/spreadsheets/d/1IYY_tgx_IHuhSq3AJ5eI5OnqOPBNLWSHKh2a30DoXe8/edit?usp=sharing"",""ภูเก็ต!J403"")"),0)</f>
        <v>0</v>
      </c>
      <c r="BE85" s="55">
        <f ca="1">IFERROR(__xludf.DUMMYFUNCTION("IMPORTRANGE(""https://docs.google.com/spreadsheets/d/1IYY_tgx_IHuhSq3AJ5eI5OnqOPBNLWSHKh2a30DoXe8/edit?usp=sharing"",""ภูเก็ต!J404"")"),0)</f>
        <v>0</v>
      </c>
      <c r="BF85" s="55">
        <f ca="1">IFERROR(__xludf.DUMMYFUNCTION("IMPORTRANGE(""https://docs.google.com/spreadsheets/d/1IYY_tgx_IHuhSq3AJ5eI5OnqOPBNLWSHKh2a30DoXe8/edit?usp=sharing"",""ภูเก็ต!J405"")"),0)</f>
        <v>0</v>
      </c>
      <c r="BG85" s="55">
        <f ca="1">IFERROR(__xludf.DUMMYFUNCTION("IMPORTRANGE(""https://docs.google.com/spreadsheets/d/1IYY_tgx_IHuhSq3AJ5eI5OnqOPBNLWSHKh2a30DoXe8/edit?usp=sharing"",""ภูเก็ต!J406"")"),0)</f>
        <v>0</v>
      </c>
      <c r="BH85" s="55">
        <f ca="1">IFERROR(__xludf.DUMMYFUNCTION("IMPORTRANGE(""https://docs.google.com/spreadsheets/d/1IYY_tgx_IHuhSq3AJ5eI5OnqOPBNLWSHKh2a30DoXe8/edit?usp=sharing"",""ภูเก็ต!J407"")"),0)</f>
        <v>0</v>
      </c>
      <c r="BI85" s="55">
        <f ca="1">IFERROR(__xludf.DUMMYFUNCTION("IMPORTRANGE(""https://docs.google.com/spreadsheets/d/1IYY_tgx_IHuhSq3AJ5eI5OnqOPBNLWSHKh2a30DoXe8/edit?usp=sharing"",""ภูเก็ต!J408"")"),0)</f>
        <v>0</v>
      </c>
      <c r="BJ85" s="402">
        <v>0</v>
      </c>
      <c r="BK85" s="402">
        <v>0</v>
      </c>
      <c r="BL85" s="402">
        <f t="shared" ca="1" si="137"/>
        <v>0</v>
      </c>
      <c r="BM85" s="403">
        <f t="shared" si="15"/>
        <v>0</v>
      </c>
      <c r="BN85" s="402">
        <f t="shared" ca="1" si="138"/>
        <v>0</v>
      </c>
      <c r="BO85" s="403">
        <f t="shared" si="16"/>
        <v>0</v>
      </c>
      <c r="BP85" s="55">
        <f ca="1">IFERROR(__xludf.DUMMYFUNCTION("IMPORTRANGE(""https://docs.google.com/spreadsheets/d/1IYY_tgx_IHuhSq3AJ5eI5OnqOPBNLWSHKh2a30DoXe8/edit?usp=sharing"",""ภูเก็ต!J412"")"),0)</f>
        <v>0</v>
      </c>
      <c r="BQ85" s="55">
        <f ca="1">IFERROR(__xludf.DUMMYFUNCTION("IMPORTRANGE(""https://docs.google.com/spreadsheets/d/1IYY_tgx_IHuhSq3AJ5eI5OnqOPBNLWSHKh2a30DoXe8/edit?usp=sharing"",""ภูเก็ต!J413"")"),0)</f>
        <v>0</v>
      </c>
      <c r="BR85" s="55">
        <f ca="1">IFERROR(__xludf.DUMMYFUNCTION("IMPORTRANGE(""https://docs.google.com/spreadsheets/d/1IYY_tgx_IHuhSq3AJ5eI5OnqOPBNLWSHKh2a30DoXe8/edit?usp=sharing"",""ภูเก็ต!J414"")"),0)</f>
        <v>0</v>
      </c>
      <c r="BS85" s="55">
        <f ca="1">IFERROR(__xludf.DUMMYFUNCTION("IMPORTRANGE(""https://docs.google.com/spreadsheets/d/1IYY_tgx_IHuhSq3AJ5eI5OnqOPBNLWSHKh2a30DoXe8/edit?usp=sharing"",""ภูเก็ต!J415"")"),0)</f>
        <v>0</v>
      </c>
      <c r="BT85" s="55">
        <f ca="1">IFERROR(__xludf.DUMMYFUNCTION("IMPORTRANGE(""https://docs.google.com/spreadsheets/d/1IYY_tgx_IHuhSq3AJ5eI5OnqOPBNLWSHKh2a30DoXe8/edit?usp=sharing"",""ภูเก็ต!J416"")"),0)</f>
        <v>0</v>
      </c>
      <c r="BU85" s="55">
        <f ca="1">IFERROR(__xludf.DUMMYFUNCTION("IMPORTRANGE(""https://docs.google.com/spreadsheets/d/1IYY_tgx_IHuhSq3AJ5eI5OnqOPBNLWSHKh2a30DoXe8/edit?usp=sharing"",""ภูเก็ต!J417"")"),0)</f>
        <v>0</v>
      </c>
      <c r="BV85" s="402">
        <f t="shared" ca="1" si="139"/>
        <v>0</v>
      </c>
      <c r="BW85" s="403">
        <f t="shared" ca="1" si="140"/>
        <v>0</v>
      </c>
      <c r="BX85" s="402">
        <f t="shared" ca="1" si="141"/>
        <v>0</v>
      </c>
      <c r="BY85" s="403">
        <f t="shared" ca="1" si="142"/>
        <v>0</v>
      </c>
      <c r="BZ85" s="55">
        <f ca="1">IFERROR(__xludf.DUMMYFUNCTION("IMPORTRANGE(""https://docs.google.com/spreadsheets/d/1IYY_tgx_IHuhSq3AJ5eI5OnqOPBNLWSHKh2a30DoXe8/edit?usp=sharing"",""ภูเก็ต!J420"")"),0)</f>
        <v>0</v>
      </c>
      <c r="CA85" s="55">
        <f ca="1">IFERROR(__xludf.DUMMYFUNCTION("IMPORTRANGE(""https://docs.google.com/spreadsheets/d/1IYY_tgx_IHuhSq3AJ5eI5OnqOPBNLWSHKh2a30DoXe8/edit?usp=sharing"",""ภูเก็ต!J421"")"),0)</f>
        <v>0</v>
      </c>
      <c r="CB85" s="55">
        <f ca="1">IFERROR(__xludf.DUMMYFUNCTION("IMPORTRANGE(""https://docs.google.com/spreadsheets/d/1IYY_tgx_IHuhSq3AJ5eI5OnqOPBNLWSHKh2a30DoXe8/edit?usp=sharing"",""ภูเก็ต!J422"")"),0)</f>
        <v>0</v>
      </c>
      <c r="CC85" s="55">
        <f ca="1">IFERROR(__xludf.DUMMYFUNCTION("IMPORTRANGE(""https://docs.google.com/spreadsheets/d/1IYY_tgx_IHuhSq3AJ5eI5OnqOPBNLWSHKh2a30DoXe8/edit?usp=sharing"",""ภูเก็ต!J423"")"),0)</f>
        <v>0</v>
      </c>
      <c r="CD85" s="55">
        <f ca="1">IFERROR(__xludf.DUMMYFUNCTION("IMPORTRANGE(""https://docs.google.com/spreadsheets/d/1IYY_tgx_IHuhSq3AJ5eI5OnqOPBNLWSHKh2a30DoXe8/edit?usp=sharing"",""ภูเก็ต!J424"")"),0)</f>
        <v>0</v>
      </c>
      <c r="CE85" s="422">
        <f ca="1">IFERROR(__xludf.DUMMYFUNCTION("IMPORTRANGE(""https://docs.google.com/spreadsheets/d/1IYY_tgx_IHuhSq3AJ5eI5OnqOPBNLWSHKh2a30DoXe8/edit?usp=sharing"",""ภูเก็ต!J425"")"),0)</f>
        <v>0</v>
      </c>
    </row>
    <row r="86" spans="1:83" ht="24" customHeight="1" x14ac:dyDescent="0.5">
      <c r="A86" s="273">
        <v>10</v>
      </c>
      <c r="B86" s="274" t="s">
        <v>101</v>
      </c>
      <c r="C86" s="400">
        <f t="shared" si="128"/>
        <v>77876.899999999994</v>
      </c>
      <c r="D86" s="55">
        <v>0</v>
      </c>
      <c r="E86" s="401">
        <v>77876.899999999994</v>
      </c>
      <c r="F86" s="99">
        <f ca="1">IFERROR(__xludf.DUMMYFUNCTION("IMPORTRANGE(""https://docs.google.com/spreadsheets/d/1IYY_tgx_IHuhSq3AJ5eI5OnqOPBNLWSHKh2a30DoXe8/edit?usp=sharing"",""ยะลา!M352"")"),0)</f>
        <v>0</v>
      </c>
      <c r="G86" s="99">
        <f t="shared" ca="1" si="1"/>
        <v>0</v>
      </c>
      <c r="H86" s="57">
        <v>4728</v>
      </c>
      <c r="I86" s="57">
        <v>1357</v>
      </c>
      <c r="J86" s="55">
        <f t="shared" ca="1" si="129"/>
        <v>0</v>
      </c>
      <c r="K86" s="99">
        <f t="shared" ca="1" si="3"/>
        <v>0</v>
      </c>
      <c r="L86" s="55">
        <f t="shared" ca="1" si="130"/>
        <v>0</v>
      </c>
      <c r="M86" s="99">
        <f t="shared" ca="1" si="4"/>
        <v>0</v>
      </c>
      <c r="N86" s="55">
        <f ca="1">IFERROR(__xludf.DUMMYFUNCTION("IMPORTRANGE(""https://docs.google.com/spreadsheets/d/1IYY_tgx_IHuhSq3AJ5eI5OnqOPBNLWSHKh2a30DoXe8/edit?usp=sharing"",""ยะลา!J362"")"),0)</f>
        <v>0</v>
      </c>
      <c r="O86" s="55">
        <f ca="1">IFERROR(__xludf.DUMMYFUNCTION("IMPORTRANGE(""https://docs.google.com/spreadsheets/d/1IYY_tgx_IHuhSq3AJ5eI5OnqOPBNLWSHKh2a30DoXe8/edit?usp=sharing"",""ยะลา!J363"")"),0)</f>
        <v>0</v>
      </c>
      <c r="P86" s="55">
        <f ca="1">IFERROR(__xludf.DUMMYFUNCTION("IMPORTRANGE(""https://docs.google.com/spreadsheets/d/1IYY_tgx_IHuhSq3AJ5eI5OnqOPBNLWSHKh2a30DoXe8/edit?usp=sharing"",""ยะลา!J364"")"),0)</f>
        <v>0</v>
      </c>
      <c r="Q86" s="55">
        <f ca="1">IFERROR(__xludf.DUMMYFUNCTION("IMPORTRANGE(""https://docs.google.com/spreadsheets/d/1IYY_tgx_IHuhSq3AJ5eI5OnqOPBNLWSHKh2a30DoXe8/edit?usp=sharing"",""ยะลา!J365"")"),0)</f>
        <v>0</v>
      </c>
      <c r="R86" s="55">
        <f ca="1">IFERROR(__xludf.DUMMYFUNCTION("IMPORTRANGE(""https://docs.google.com/spreadsheets/d/1IYY_tgx_IHuhSq3AJ5eI5OnqOPBNLWSHKh2a30DoXe8/edit?usp=sharing"",""ยะลา!J366"")"),0)</f>
        <v>0</v>
      </c>
      <c r="S86" s="55">
        <f ca="1">IFERROR(__xludf.DUMMYFUNCTION("IMPORTRANGE(""https://docs.google.com/spreadsheets/d/1IYY_tgx_IHuhSq3AJ5eI5OnqOPBNLWSHKh2a30DoXe8/edit?usp=sharing"",""ยะลา!J367"")"),0)</f>
        <v>0</v>
      </c>
      <c r="T86" s="55">
        <f t="shared" ca="1" si="131"/>
        <v>0</v>
      </c>
      <c r="U86" s="55">
        <f t="shared" ca="1" si="6"/>
        <v>0</v>
      </c>
      <c r="V86" s="55">
        <f t="shared" ca="1" si="132"/>
        <v>0</v>
      </c>
      <c r="W86" s="55">
        <f t="shared" ca="1" si="7"/>
        <v>0</v>
      </c>
      <c r="X86" s="55">
        <f ca="1">IFERROR(__xludf.DUMMYFUNCTION("IMPORTRANGE(""https://docs.google.com/spreadsheets/d/1IYY_tgx_IHuhSq3AJ5eI5OnqOPBNLWSHKh2a30DoXe8/edit?usp=sharing"",""ยะลา!J370"")"),0)</f>
        <v>0</v>
      </c>
      <c r="Y86" s="55">
        <f ca="1">IFERROR(__xludf.DUMMYFUNCTION("IMPORTRANGE(""https://docs.google.com/spreadsheets/d/1IYY_tgx_IHuhSq3AJ5eI5OnqOPBNLWSHKh2a30DoXe8/edit?usp=sharing"",""ยะลา!J371"")"),0)</f>
        <v>0</v>
      </c>
      <c r="Z86" s="55">
        <f ca="1">IFERROR(__xludf.DUMMYFUNCTION("IMPORTRANGE(""https://docs.google.com/spreadsheets/d/1IYY_tgx_IHuhSq3AJ5eI5OnqOPBNLWSHKh2a30DoXe8/edit?usp=sharing"",""ยะลา!J372"")"),0)</f>
        <v>0</v>
      </c>
      <c r="AA86" s="55">
        <f ca="1">IFERROR(__xludf.DUMMYFUNCTION("IMPORTRANGE(""https://docs.google.com/spreadsheets/d/1IYY_tgx_IHuhSq3AJ5eI5OnqOPBNLWSHKh2a30DoXe8/edit?usp=sharing"",""ยะลา!J373"")"),0)</f>
        <v>0</v>
      </c>
      <c r="AB86" s="55">
        <f ca="1">IFERROR(__xludf.DUMMYFUNCTION("IMPORTRANGE(""https://docs.google.com/spreadsheets/d/1IYY_tgx_IHuhSq3AJ5eI5OnqOPBNLWSHKh2a30DoXe8/edit?usp=sharing"",""ยะลา!J374"")"),0)</f>
        <v>0</v>
      </c>
      <c r="AC86" s="55">
        <f ca="1">IFERROR(__xludf.DUMMYFUNCTION("IMPORTRANGE(""https://docs.google.com/spreadsheets/d/1IYY_tgx_IHuhSq3AJ5eI5OnqOPBNLWSHKh2a30DoXe8/edit?usp=sharing"",""ยะลา!J375"")"),0)</f>
        <v>0</v>
      </c>
      <c r="AD86" s="55">
        <f t="shared" ca="1" si="133"/>
        <v>0</v>
      </c>
      <c r="AE86" s="99">
        <f t="shared" ca="1" si="9"/>
        <v>0</v>
      </c>
      <c r="AF86" s="55">
        <f t="shared" ca="1" si="134"/>
        <v>0</v>
      </c>
      <c r="AG86" s="99">
        <f t="shared" ca="1" si="10"/>
        <v>0</v>
      </c>
      <c r="AH86" s="55">
        <f ca="1">IFERROR(__xludf.DUMMYFUNCTION("IMPORTRANGE(""https://docs.google.com/spreadsheets/d/1IYY_tgx_IHuhSq3AJ5eI5OnqOPBNLWSHKh2a30DoXe8/edit?usp=sharing"",""ยะลา!J378"")"),0)</f>
        <v>0</v>
      </c>
      <c r="AI86" s="55">
        <f ca="1">IFERROR(__xludf.DUMMYFUNCTION("IMPORTRANGE(""https://docs.google.com/spreadsheets/d/1IYY_tgx_IHuhSq3AJ5eI5OnqOPBNLWSHKh2a30DoXe8/edit?usp=sharing"",""ยะลา!J379"")"),0)</f>
        <v>0</v>
      </c>
      <c r="AJ86" s="55">
        <f ca="1">IFERROR(__xludf.DUMMYFUNCTION("IMPORTRANGE(""https://docs.google.com/spreadsheets/d/1IYY_tgx_IHuhSq3AJ5eI5OnqOPBNLWSHKh2a30DoXe8/edit?usp=sharing"",""ยะลา!J380"")"),0)</f>
        <v>0</v>
      </c>
      <c r="AK86" s="55">
        <f ca="1">IFERROR(__xludf.DUMMYFUNCTION("IMPORTRANGE(""https://docs.google.com/spreadsheets/d/1IYY_tgx_IHuhSq3AJ5eI5OnqOPBNLWSHKh2a30DoXe8/edit?usp=sharing"",""ยะลา!J381"")"),0)</f>
        <v>0</v>
      </c>
      <c r="AL86" s="55">
        <f ca="1">IFERROR(__xludf.DUMMYFUNCTION("IMPORTRANGE(""https://docs.google.com/spreadsheets/d/1IYY_tgx_IHuhSq3AJ5eI5OnqOPBNLWSHKh2a30DoXe8/edit?usp=sharing"",""ยะลา!J384"")"),0)</f>
        <v>0</v>
      </c>
      <c r="AM86" s="55">
        <f ca="1">IFERROR(__xludf.DUMMYFUNCTION("IMPORTRANGE(""https://docs.google.com/spreadsheets/d/1IYY_tgx_IHuhSq3AJ5eI5OnqOPBNLWSHKh2a30DoXe8/edit?usp=sharing"",""ยะลา!J385"")"),0)</f>
        <v>0</v>
      </c>
      <c r="AN86" s="55">
        <f ca="1">IFERROR(__xludf.DUMMYFUNCTION("IMPORTRANGE(""https://docs.google.com/spreadsheets/d/1IYY_tgx_IHuhSq3AJ5eI5OnqOPBNLWSHKh2a30DoXe8/edit?usp=sharing"",""ยะลา!J386"")"),0)</f>
        <v>0</v>
      </c>
      <c r="AO86" s="55">
        <f ca="1">IFERROR(__xludf.DUMMYFUNCTION("IMPORTRANGE(""https://docs.google.com/spreadsheets/d/1IYY_tgx_IHuhSq3AJ5eI5OnqOPBNLWSHKh2a30DoXe8/edit?usp=sharing"",""ยะลา!J387"")"),0)</f>
        <v>0</v>
      </c>
      <c r="AP86" s="55">
        <f ca="1">IFERROR(__xludf.DUMMYFUNCTION("IMPORTRANGE(""https://docs.google.com/spreadsheets/d/1IYY_tgx_IHuhSq3AJ5eI5OnqOPBNLWSHKh2a30DoXe8/edit?usp=sharing"",""ยะลา!J388"")"),0)</f>
        <v>0</v>
      </c>
      <c r="AQ86" s="55">
        <f ca="1">IFERROR(__xludf.DUMMYFUNCTION("IMPORTRANGE(""https://docs.google.com/spreadsheets/d/1IYY_tgx_IHuhSq3AJ5eI5OnqOPBNLWSHKh2a30DoXe8/edit?usp=sharing"",""ยะลา!J389"")"),0)</f>
        <v>0</v>
      </c>
      <c r="AR86" s="402">
        <v>0</v>
      </c>
      <c r="AS86" s="402">
        <v>0</v>
      </c>
      <c r="AT86" s="402">
        <f t="shared" ca="1" si="135"/>
        <v>0</v>
      </c>
      <c r="AU86" s="402">
        <f t="shared" si="12"/>
        <v>0</v>
      </c>
      <c r="AV86" s="402">
        <f t="shared" ca="1" si="136"/>
        <v>0</v>
      </c>
      <c r="AW86" s="402">
        <f t="shared" si="13"/>
        <v>0</v>
      </c>
      <c r="AX86" s="55">
        <f ca="1">IFERROR(__xludf.DUMMYFUNCTION("IMPORTRANGE(""https://docs.google.com/spreadsheets/d/1IYY_tgx_IHuhSq3AJ5eI5OnqOPBNLWSHKh2a30DoXe8/edit?usp=sharing"",""ยะลา!J395"")"),0)</f>
        <v>0</v>
      </c>
      <c r="AY86" s="55">
        <f ca="1">IFERROR(__xludf.DUMMYFUNCTION("IMPORTRANGE(""https://docs.google.com/spreadsheets/d/1IYY_tgx_IHuhSq3AJ5eI5OnqOPBNLWSHKh2a30DoXe8/edit?usp=sharing"",""ยะลา!J396"")"),0)</f>
        <v>0</v>
      </c>
      <c r="AZ86" s="55">
        <f ca="1">IFERROR(__xludf.DUMMYFUNCTION("IMPORTRANGE(""https://docs.google.com/spreadsheets/d/1IYY_tgx_IHuhSq3AJ5eI5OnqOPBNLWSHKh2a30DoXe8/edit?usp=sharing"",""ยะลา!J397"")"),0)</f>
        <v>0</v>
      </c>
      <c r="BA86" s="55">
        <f ca="1">IFERROR(__xludf.DUMMYFUNCTION("IMPORTRANGE(""https://docs.google.com/spreadsheets/d/1IYY_tgx_IHuhSq3AJ5eI5OnqOPBNLWSHKh2a30DoXe8/edit?usp=sharing"",""ยะลา!J398"")"),0)</f>
        <v>0</v>
      </c>
      <c r="BB86" s="55">
        <f ca="1">IFERROR(__xludf.DUMMYFUNCTION("IMPORTRANGE(""https://docs.google.com/spreadsheets/d/1IYY_tgx_IHuhSq3AJ5eI5OnqOPBNLWSHKh2a30DoXe8/edit?usp=sharing"",""ยะลา!J399"")"),0)</f>
        <v>0</v>
      </c>
      <c r="BC86" s="55">
        <f ca="1">IFERROR(__xludf.DUMMYFUNCTION("IMPORTRANGE(""https://docs.google.com/spreadsheets/d/1IYY_tgx_IHuhSq3AJ5eI5OnqOPBNLWSHKh2a30DoXe8/edit?usp=sharing"",""ยะลา!J400"")"),0)</f>
        <v>0</v>
      </c>
      <c r="BD86" s="55">
        <f ca="1">IFERROR(__xludf.DUMMYFUNCTION("IMPORTRANGE(""https://docs.google.com/spreadsheets/d/1IYY_tgx_IHuhSq3AJ5eI5OnqOPBNLWSHKh2a30DoXe8/edit?usp=sharing"",""ยะลา!J403"")"),0)</f>
        <v>0</v>
      </c>
      <c r="BE86" s="55">
        <f ca="1">IFERROR(__xludf.DUMMYFUNCTION("IMPORTRANGE(""https://docs.google.com/spreadsheets/d/1IYY_tgx_IHuhSq3AJ5eI5OnqOPBNLWSHKh2a30DoXe8/edit?usp=sharing"",""ยะลา!J404"")"),0)</f>
        <v>0</v>
      </c>
      <c r="BF86" s="55">
        <f ca="1">IFERROR(__xludf.DUMMYFUNCTION("IMPORTRANGE(""https://docs.google.com/spreadsheets/d/1IYY_tgx_IHuhSq3AJ5eI5OnqOPBNLWSHKh2a30DoXe8/edit?usp=sharing"",""ยะลา!J405"")"),0)</f>
        <v>0</v>
      </c>
      <c r="BG86" s="55">
        <f ca="1">IFERROR(__xludf.DUMMYFUNCTION("IMPORTRANGE(""https://docs.google.com/spreadsheets/d/1IYY_tgx_IHuhSq3AJ5eI5OnqOPBNLWSHKh2a30DoXe8/edit?usp=sharing"",""ยะลา!J406"")"),0)</f>
        <v>0</v>
      </c>
      <c r="BH86" s="55">
        <f ca="1">IFERROR(__xludf.DUMMYFUNCTION("IMPORTRANGE(""https://docs.google.com/spreadsheets/d/1IYY_tgx_IHuhSq3AJ5eI5OnqOPBNLWSHKh2a30DoXe8/edit?usp=sharing"",""ยะลา!J407"")"),0)</f>
        <v>0</v>
      </c>
      <c r="BI86" s="55">
        <f ca="1">IFERROR(__xludf.DUMMYFUNCTION("IMPORTRANGE(""https://docs.google.com/spreadsheets/d/1IYY_tgx_IHuhSq3AJ5eI5OnqOPBNLWSHKh2a30DoXe8/edit?usp=sharing"",""ยะลา!J408"")"),0)</f>
        <v>0</v>
      </c>
      <c r="BJ86" s="402">
        <v>4728</v>
      </c>
      <c r="BK86" s="402">
        <v>1357</v>
      </c>
      <c r="BL86" s="402">
        <f t="shared" ca="1" si="137"/>
        <v>0</v>
      </c>
      <c r="BM86" s="403">
        <f t="shared" ca="1" si="15"/>
        <v>0</v>
      </c>
      <c r="BN86" s="402">
        <f t="shared" ca="1" si="138"/>
        <v>0</v>
      </c>
      <c r="BO86" s="403">
        <f t="shared" ca="1" si="16"/>
        <v>0</v>
      </c>
      <c r="BP86" s="55">
        <f ca="1">IFERROR(__xludf.DUMMYFUNCTION("IMPORTRANGE(""https://docs.google.com/spreadsheets/d/1IYY_tgx_IHuhSq3AJ5eI5OnqOPBNLWSHKh2a30DoXe8/edit?usp=sharing"",""ยะลา!J412"")"),0)</f>
        <v>0</v>
      </c>
      <c r="BQ86" s="55">
        <f ca="1">IFERROR(__xludf.DUMMYFUNCTION("IMPORTRANGE(""https://docs.google.com/spreadsheets/d/1IYY_tgx_IHuhSq3AJ5eI5OnqOPBNLWSHKh2a30DoXe8/edit?usp=sharing"",""ยะลา!J413"")"),0)</f>
        <v>0</v>
      </c>
      <c r="BR86" s="55">
        <f ca="1">IFERROR(__xludf.DUMMYFUNCTION("IMPORTRANGE(""https://docs.google.com/spreadsheets/d/1IYY_tgx_IHuhSq3AJ5eI5OnqOPBNLWSHKh2a30DoXe8/edit?usp=sharing"",""ยะลา!J414"")"),0)</f>
        <v>0</v>
      </c>
      <c r="BS86" s="55">
        <f ca="1">IFERROR(__xludf.DUMMYFUNCTION("IMPORTRANGE(""https://docs.google.com/spreadsheets/d/1IYY_tgx_IHuhSq3AJ5eI5OnqOPBNLWSHKh2a30DoXe8/edit?usp=sharing"",""ยะลา!J415"")"),0)</f>
        <v>0</v>
      </c>
      <c r="BT86" s="55">
        <f ca="1">IFERROR(__xludf.DUMMYFUNCTION("IMPORTRANGE(""https://docs.google.com/spreadsheets/d/1IYY_tgx_IHuhSq3AJ5eI5OnqOPBNLWSHKh2a30DoXe8/edit?usp=sharing"",""ยะลา!J416"")"),0)</f>
        <v>0</v>
      </c>
      <c r="BU86" s="55">
        <f ca="1">IFERROR(__xludf.DUMMYFUNCTION("IMPORTRANGE(""https://docs.google.com/spreadsheets/d/1IYY_tgx_IHuhSq3AJ5eI5OnqOPBNLWSHKh2a30DoXe8/edit?usp=sharing"",""ยะลา!J417"")"),0)</f>
        <v>0</v>
      </c>
      <c r="BV86" s="402">
        <f t="shared" ca="1" si="139"/>
        <v>0</v>
      </c>
      <c r="BW86" s="403">
        <f t="shared" ca="1" si="140"/>
        <v>0</v>
      </c>
      <c r="BX86" s="402">
        <f t="shared" ca="1" si="141"/>
        <v>0</v>
      </c>
      <c r="BY86" s="403">
        <f t="shared" ca="1" si="142"/>
        <v>0</v>
      </c>
      <c r="BZ86" s="55">
        <f ca="1">IFERROR(__xludf.DUMMYFUNCTION("IMPORTRANGE(""https://docs.google.com/spreadsheets/d/1IYY_tgx_IHuhSq3AJ5eI5OnqOPBNLWSHKh2a30DoXe8/edit?usp=sharing"",""ยะลา!J420"")"),0)</f>
        <v>0</v>
      </c>
      <c r="CA86" s="55">
        <f ca="1">IFERROR(__xludf.DUMMYFUNCTION("IMPORTRANGE(""https://docs.google.com/spreadsheets/d/1IYY_tgx_IHuhSq3AJ5eI5OnqOPBNLWSHKh2a30DoXe8/edit?usp=sharing"",""ยะลา!J421"")"),0)</f>
        <v>0</v>
      </c>
      <c r="CB86" s="55">
        <f ca="1">IFERROR(__xludf.DUMMYFUNCTION("IMPORTRANGE(""https://docs.google.com/spreadsheets/d/1IYY_tgx_IHuhSq3AJ5eI5OnqOPBNLWSHKh2a30DoXe8/edit?usp=sharing"",""ยะลา!J422"")"),0)</f>
        <v>0</v>
      </c>
      <c r="CC86" s="55">
        <f ca="1">IFERROR(__xludf.DUMMYFUNCTION("IMPORTRANGE(""https://docs.google.com/spreadsheets/d/1IYY_tgx_IHuhSq3AJ5eI5OnqOPBNLWSHKh2a30DoXe8/edit?usp=sharing"",""ยะลา!J423"")"),0)</f>
        <v>0</v>
      </c>
      <c r="CD86" s="55">
        <f ca="1">IFERROR(__xludf.DUMMYFUNCTION("IMPORTRANGE(""https://docs.google.com/spreadsheets/d/1IYY_tgx_IHuhSq3AJ5eI5OnqOPBNLWSHKh2a30DoXe8/edit?usp=sharing"",""ยะลา!J424"")"),0)</f>
        <v>0</v>
      </c>
      <c r="CE86" s="422">
        <f ca="1">IFERROR(__xludf.DUMMYFUNCTION("IMPORTRANGE(""https://docs.google.com/spreadsheets/d/1IYY_tgx_IHuhSq3AJ5eI5OnqOPBNLWSHKh2a30DoXe8/edit?usp=sharing"",""ยะลา!J425"")"),0)</f>
        <v>0</v>
      </c>
    </row>
    <row r="87" spans="1:83" ht="24" customHeight="1" x14ac:dyDescent="0.5">
      <c r="A87" s="273">
        <v>11</v>
      </c>
      <c r="B87" s="274" t="s">
        <v>102</v>
      </c>
      <c r="C87" s="400">
        <f t="shared" si="128"/>
        <v>61426.59</v>
      </c>
      <c r="D87" s="55">
        <v>0</v>
      </c>
      <c r="E87" s="401">
        <v>61426.59</v>
      </c>
      <c r="F87" s="99">
        <f ca="1">IFERROR(__xludf.DUMMYFUNCTION("IMPORTRANGE(""https://docs.google.com/spreadsheets/d/1IYY_tgx_IHuhSq3AJ5eI5OnqOPBNLWSHKh2a30DoXe8/edit?usp=sharing"",""ระนอง!M352"")"),0)</f>
        <v>0</v>
      </c>
      <c r="G87" s="99">
        <f t="shared" ca="1" si="1"/>
        <v>0</v>
      </c>
      <c r="H87" s="57">
        <v>0</v>
      </c>
      <c r="I87" s="57">
        <v>0</v>
      </c>
      <c r="J87" s="55">
        <f t="shared" ca="1" si="129"/>
        <v>0</v>
      </c>
      <c r="K87" s="99">
        <f t="shared" si="3"/>
        <v>0</v>
      </c>
      <c r="L87" s="55">
        <f t="shared" ca="1" si="130"/>
        <v>0</v>
      </c>
      <c r="M87" s="99">
        <f t="shared" si="4"/>
        <v>0</v>
      </c>
      <c r="N87" s="55">
        <f ca="1">IFERROR(__xludf.DUMMYFUNCTION("IMPORTRANGE(""https://docs.google.com/spreadsheets/d/1IYY_tgx_IHuhSq3AJ5eI5OnqOPBNLWSHKh2a30DoXe8/edit?usp=sharing"",""ระนอง!J362"")"),0)</f>
        <v>0</v>
      </c>
      <c r="O87" s="55">
        <f ca="1">IFERROR(__xludf.DUMMYFUNCTION("IMPORTRANGE(""https://docs.google.com/spreadsheets/d/1IYY_tgx_IHuhSq3AJ5eI5OnqOPBNLWSHKh2a30DoXe8/edit?usp=sharing"",""ระนอง!J363"")"),0)</f>
        <v>0</v>
      </c>
      <c r="P87" s="55">
        <f ca="1">IFERROR(__xludf.DUMMYFUNCTION("IMPORTRANGE(""https://docs.google.com/spreadsheets/d/1IYY_tgx_IHuhSq3AJ5eI5OnqOPBNLWSHKh2a30DoXe8/edit?usp=sharing"",""ระนอง!J364"")"),0)</f>
        <v>0</v>
      </c>
      <c r="Q87" s="55">
        <f ca="1">IFERROR(__xludf.DUMMYFUNCTION("IMPORTRANGE(""https://docs.google.com/spreadsheets/d/1IYY_tgx_IHuhSq3AJ5eI5OnqOPBNLWSHKh2a30DoXe8/edit?usp=sharing"",""ระนอง!J365"")"),0)</f>
        <v>0</v>
      </c>
      <c r="R87" s="55">
        <f ca="1">IFERROR(__xludf.DUMMYFUNCTION("IMPORTRANGE(""https://docs.google.com/spreadsheets/d/1IYY_tgx_IHuhSq3AJ5eI5OnqOPBNLWSHKh2a30DoXe8/edit?usp=sharing"",""ระนอง!J366"")"),0)</f>
        <v>0</v>
      </c>
      <c r="S87" s="55">
        <f ca="1">IFERROR(__xludf.DUMMYFUNCTION("IMPORTRANGE(""https://docs.google.com/spreadsheets/d/1IYY_tgx_IHuhSq3AJ5eI5OnqOPBNLWSHKh2a30DoXe8/edit?usp=sharing"",""ระนอง!J367"")"),0)</f>
        <v>0</v>
      </c>
      <c r="T87" s="55">
        <f t="shared" ca="1" si="131"/>
        <v>0</v>
      </c>
      <c r="U87" s="55">
        <f t="shared" si="6"/>
        <v>0</v>
      </c>
      <c r="V87" s="55">
        <f t="shared" ca="1" si="132"/>
        <v>0</v>
      </c>
      <c r="W87" s="55">
        <f t="shared" si="7"/>
        <v>0</v>
      </c>
      <c r="X87" s="55">
        <f ca="1">IFERROR(__xludf.DUMMYFUNCTION("IMPORTRANGE(""https://docs.google.com/spreadsheets/d/1IYY_tgx_IHuhSq3AJ5eI5OnqOPBNLWSHKh2a30DoXe8/edit?usp=sharing"",""ระนอง!J370"")"),0)</f>
        <v>0</v>
      </c>
      <c r="Y87" s="55">
        <f ca="1">IFERROR(__xludf.DUMMYFUNCTION("IMPORTRANGE(""https://docs.google.com/spreadsheets/d/1IYY_tgx_IHuhSq3AJ5eI5OnqOPBNLWSHKh2a30DoXe8/edit?usp=sharing"",""ระนอง!J371"")"),0)</f>
        <v>0</v>
      </c>
      <c r="Z87" s="55">
        <f ca="1">IFERROR(__xludf.DUMMYFUNCTION("IMPORTRANGE(""https://docs.google.com/spreadsheets/d/1IYY_tgx_IHuhSq3AJ5eI5OnqOPBNLWSHKh2a30DoXe8/edit?usp=sharing"",""ระนอง!J372"")"),0)</f>
        <v>0</v>
      </c>
      <c r="AA87" s="55">
        <f ca="1">IFERROR(__xludf.DUMMYFUNCTION("IMPORTRANGE(""https://docs.google.com/spreadsheets/d/1IYY_tgx_IHuhSq3AJ5eI5OnqOPBNLWSHKh2a30DoXe8/edit?usp=sharing"",""ระนอง!J373"")"),0)</f>
        <v>0</v>
      </c>
      <c r="AB87" s="55">
        <f ca="1">IFERROR(__xludf.DUMMYFUNCTION("IMPORTRANGE(""https://docs.google.com/spreadsheets/d/1IYY_tgx_IHuhSq3AJ5eI5OnqOPBNLWSHKh2a30DoXe8/edit?usp=sharing"",""ระนอง!J374"")"),0)</f>
        <v>0</v>
      </c>
      <c r="AC87" s="55">
        <f ca="1">IFERROR(__xludf.DUMMYFUNCTION("IMPORTRANGE(""https://docs.google.com/spreadsheets/d/1IYY_tgx_IHuhSq3AJ5eI5OnqOPBNLWSHKh2a30DoXe8/edit?usp=sharing"",""ระนอง!J375"")"),0)</f>
        <v>0</v>
      </c>
      <c r="AD87" s="55">
        <f t="shared" ca="1" si="133"/>
        <v>0</v>
      </c>
      <c r="AE87" s="99">
        <f t="shared" si="9"/>
        <v>0</v>
      </c>
      <c r="AF87" s="55">
        <f t="shared" ca="1" si="134"/>
        <v>0</v>
      </c>
      <c r="AG87" s="99">
        <f t="shared" si="10"/>
        <v>0</v>
      </c>
      <c r="AH87" s="55">
        <f ca="1">IFERROR(__xludf.DUMMYFUNCTION("IMPORTRANGE(""https://docs.google.com/spreadsheets/d/1IYY_tgx_IHuhSq3AJ5eI5OnqOPBNLWSHKh2a30DoXe8/edit?usp=sharing"",""ระนอง!J378"")"),0)</f>
        <v>0</v>
      </c>
      <c r="AI87" s="55">
        <f ca="1">IFERROR(__xludf.DUMMYFUNCTION("IMPORTRANGE(""https://docs.google.com/spreadsheets/d/1IYY_tgx_IHuhSq3AJ5eI5OnqOPBNLWSHKh2a30DoXe8/edit?usp=sharing"",""ระนอง!J379"")"),0)</f>
        <v>0</v>
      </c>
      <c r="AJ87" s="55">
        <f ca="1">IFERROR(__xludf.DUMMYFUNCTION("IMPORTRANGE(""https://docs.google.com/spreadsheets/d/1IYY_tgx_IHuhSq3AJ5eI5OnqOPBNLWSHKh2a30DoXe8/edit?usp=sharing"",""ระนอง!J380"")"),0)</f>
        <v>0</v>
      </c>
      <c r="AK87" s="55">
        <f ca="1">IFERROR(__xludf.DUMMYFUNCTION("IMPORTRANGE(""https://docs.google.com/spreadsheets/d/1IYY_tgx_IHuhSq3AJ5eI5OnqOPBNLWSHKh2a30DoXe8/edit?usp=sharing"",""ระนอง!J381"")"),0)</f>
        <v>0</v>
      </c>
      <c r="AL87" s="55">
        <f ca="1">IFERROR(__xludf.DUMMYFUNCTION("IMPORTRANGE(""https://docs.google.com/spreadsheets/d/1IYY_tgx_IHuhSq3AJ5eI5OnqOPBNLWSHKh2a30DoXe8/edit?usp=sharing"",""ระนอง!J384"")"),0)</f>
        <v>0</v>
      </c>
      <c r="AM87" s="55">
        <f ca="1">IFERROR(__xludf.DUMMYFUNCTION("IMPORTRANGE(""https://docs.google.com/spreadsheets/d/1IYY_tgx_IHuhSq3AJ5eI5OnqOPBNLWSHKh2a30DoXe8/edit?usp=sharing"",""ระนอง!J385"")"),0)</f>
        <v>0</v>
      </c>
      <c r="AN87" s="55">
        <f ca="1">IFERROR(__xludf.DUMMYFUNCTION("IMPORTRANGE(""https://docs.google.com/spreadsheets/d/1IYY_tgx_IHuhSq3AJ5eI5OnqOPBNLWSHKh2a30DoXe8/edit?usp=sharing"",""ระนอง!J386"")"),0)</f>
        <v>0</v>
      </c>
      <c r="AO87" s="55">
        <f ca="1">IFERROR(__xludf.DUMMYFUNCTION("IMPORTRANGE(""https://docs.google.com/spreadsheets/d/1IYY_tgx_IHuhSq3AJ5eI5OnqOPBNLWSHKh2a30DoXe8/edit?usp=sharing"",""ระนอง!J387"")"),0)</f>
        <v>0</v>
      </c>
      <c r="AP87" s="55">
        <f ca="1">IFERROR(__xludf.DUMMYFUNCTION("IMPORTRANGE(""https://docs.google.com/spreadsheets/d/1IYY_tgx_IHuhSq3AJ5eI5OnqOPBNLWSHKh2a30DoXe8/edit?usp=sharing"",""ระนอง!J388"")"),0)</f>
        <v>0</v>
      </c>
      <c r="AQ87" s="55">
        <f ca="1">IFERROR(__xludf.DUMMYFUNCTION("IMPORTRANGE(""https://docs.google.com/spreadsheets/d/1IYY_tgx_IHuhSq3AJ5eI5OnqOPBNLWSHKh2a30DoXe8/edit?usp=sharing"",""ระนอง!J389"")"),0)</f>
        <v>0</v>
      </c>
      <c r="AR87" s="402">
        <v>76</v>
      </c>
      <c r="AS87" s="402">
        <v>639</v>
      </c>
      <c r="AT87" s="402">
        <f t="shared" ca="1" si="135"/>
        <v>0</v>
      </c>
      <c r="AU87" s="402">
        <f t="shared" ca="1" si="12"/>
        <v>0</v>
      </c>
      <c r="AV87" s="402">
        <f t="shared" ca="1" si="136"/>
        <v>0</v>
      </c>
      <c r="AW87" s="402">
        <f t="shared" ca="1" si="13"/>
        <v>0</v>
      </c>
      <c r="AX87" s="55">
        <f ca="1">IFERROR(__xludf.DUMMYFUNCTION("IMPORTRANGE(""https://docs.google.com/spreadsheets/d/1IYY_tgx_IHuhSq3AJ5eI5OnqOPBNLWSHKh2a30DoXe8/edit?usp=sharing"",""ระนอง!J395"")"),0)</f>
        <v>0</v>
      </c>
      <c r="AY87" s="55">
        <f ca="1">IFERROR(__xludf.DUMMYFUNCTION("IMPORTRANGE(""https://docs.google.com/spreadsheets/d/1IYY_tgx_IHuhSq3AJ5eI5OnqOPBNLWSHKh2a30DoXe8/edit?usp=sharing"",""ระนอง!J396"")"),0)</f>
        <v>0</v>
      </c>
      <c r="AZ87" s="55">
        <f ca="1">IFERROR(__xludf.DUMMYFUNCTION("IMPORTRANGE(""https://docs.google.com/spreadsheets/d/1IYY_tgx_IHuhSq3AJ5eI5OnqOPBNLWSHKh2a30DoXe8/edit?usp=sharing"",""ระนอง!J397"")"),0)</f>
        <v>0</v>
      </c>
      <c r="BA87" s="55">
        <f ca="1">IFERROR(__xludf.DUMMYFUNCTION("IMPORTRANGE(""https://docs.google.com/spreadsheets/d/1IYY_tgx_IHuhSq3AJ5eI5OnqOPBNLWSHKh2a30DoXe8/edit?usp=sharing"",""ระนอง!J398"")"),0)</f>
        <v>0</v>
      </c>
      <c r="BB87" s="55">
        <f ca="1">IFERROR(__xludf.DUMMYFUNCTION("IMPORTRANGE(""https://docs.google.com/spreadsheets/d/1IYY_tgx_IHuhSq3AJ5eI5OnqOPBNLWSHKh2a30DoXe8/edit?usp=sharing"",""ระนอง!J399"")"),0)</f>
        <v>0</v>
      </c>
      <c r="BC87" s="55">
        <f ca="1">IFERROR(__xludf.DUMMYFUNCTION("IMPORTRANGE(""https://docs.google.com/spreadsheets/d/1IYY_tgx_IHuhSq3AJ5eI5OnqOPBNLWSHKh2a30DoXe8/edit?usp=sharing"",""ระนอง!J400"")"),0)</f>
        <v>0</v>
      </c>
      <c r="BD87" s="55">
        <f ca="1">IFERROR(__xludf.DUMMYFUNCTION("IMPORTRANGE(""https://docs.google.com/spreadsheets/d/1IYY_tgx_IHuhSq3AJ5eI5OnqOPBNLWSHKh2a30DoXe8/edit?usp=sharing"",""ระนอง!J403"")"),0)</f>
        <v>0</v>
      </c>
      <c r="BE87" s="55">
        <f ca="1">IFERROR(__xludf.DUMMYFUNCTION("IMPORTRANGE(""https://docs.google.com/spreadsheets/d/1IYY_tgx_IHuhSq3AJ5eI5OnqOPBNLWSHKh2a30DoXe8/edit?usp=sharing"",""ระนอง!J404"")"),0)</f>
        <v>0</v>
      </c>
      <c r="BF87" s="55">
        <f ca="1">IFERROR(__xludf.DUMMYFUNCTION("IMPORTRANGE(""https://docs.google.com/spreadsheets/d/1IYY_tgx_IHuhSq3AJ5eI5OnqOPBNLWSHKh2a30DoXe8/edit?usp=sharing"",""ระนอง!J405"")"),0)</f>
        <v>0</v>
      </c>
      <c r="BG87" s="55">
        <f ca="1">IFERROR(__xludf.DUMMYFUNCTION("IMPORTRANGE(""https://docs.google.com/spreadsheets/d/1IYY_tgx_IHuhSq3AJ5eI5OnqOPBNLWSHKh2a30DoXe8/edit?usp=sharing"",""ระนอง!J406"")"),0)</f>
        <v>0</v>
      </c>
      <c r="BH87" s="55">
        <f ca="1">IFERROR(__xludf.DUMMYFUNCTION("IMPORTRANGE(""https://docs.google.com/spreadsheets/d/1IYY_tgx_IHuhSq3AJ5eI5OnqOPBNLWSHKh2a30DoXe8/edit?usp=sharing"",""ระนอง!J407"")"),0)</f>
        <v>0</v>
      </c>
      <c r="BI87" s="55">
        <f ca="1">IFERROR(__xludf.DUMMYFUNCTION("IMPORTRANGE(""https://docs.google.com/spreadsheets/d/1IYY_tgx_IHuhSq3AJ5eI5OnqOPBNLWSHKh2a30DoXe8/edit?usp=sharing"",""ระนอง!J408"")"),0)</f>
        <v>0</v>
      </c>
      <c r="BJ87" s="402">
        <v>0</v>
      </c>
      <c r="BK87" s="402">
        <v>0</v>
      </c>
      <c r="BL87" s="402">
        <f t="shared" ca="1" si="137"/>
        <v>0</v>
      </c>
      <c r="BM87" s="403">
        <f t="shared" si="15"/>
        <v>0</v>
      </c>
      <c r="BN87" s="402">
        <f t="shared" ca="1" si="138"/>
        <v>0</v>
      </c>
      <c r="BO87" s="403">
        <f t="shared" si="16"/>
        <v>0</v>
      </c>
      <c r="BP87" s="55">
        <f ca="1">IFERROR(__xludf.DUMMYFUNCTION("IMPORTRANGE(""https://docs.google.com/spreadsheets/d/1IYY_tgx_IHuhSq3AJ5eI5OnqOPBNLWSHKh2a30DoXe8/edit?usp=sharing"",""ระนอง!J412"")"),0)</f>
        <v>0</v>
      </c>
      <c r="BQ87" s="55">
        <f ca="1">IFERROR(__xludf.DUMMYFUNCTION("IMPORTRANGE(""https://docs.google.com/spreadsheets/d/1IYY_tgx_IHuhSq3AJ5eI5OnqOPBNLWSHKh2a30DoXe8/edit?usp=sharing"",""ระนอง!J413"")"),0)</f>
        <v>0</v>
      </c>
      <c r="BR87" s="55">
        <f ca="1">IFERROR(__xludf.DUMMYFUNCTION("IMPORTRANGE(""https://docs.google.com/spreadsheets/d/1IYY_tgx_IHuhSq3AJ5eI5OnqOPBNLWSHKh2a30DoXe8/edit?usp=sharing"",""ระนอง!J414"")"),0)</f>
        <v>0</v>
      </c>
      <c r="BS87" s="55">
        <f ca="1">IFERROR(__xludf.DUMMYFUNCTION("IMPORTRANGE(""https://docs.google.com/spreadsheets/d/1IYY_tgx_IHuhSq3AJ5eI5OnqOPBNLWSHKh2a30DoXe8/edit?usp=sharing"",""ระนอง!J415"")"),0)</f>
        <v>0</v>
      </c>
      <c r="BT87" s="55">
        <f ca="1">IFERROR(__xludf.DUMMYFUNCTION("IMPORTRANGE(""https://docs.google.com/spreadsheets/d/1IYY_tgx_IHuhSq3AJ5eI5OnqOPBNLWSHKh2a30DoXe8/edit?usp=sharing"",""ระนอง!J416"")"),0)</f>
        <v>0</v>
      </c>
      <c r="BU87" s="55">
        <f ca="1">IFERROR(__xludf.DUMMYFUNCTION("IMPORTRANGE(""https://docs.google.com/spreadsheets/d/1IYY_tgx_IHuhSq3AJ5eI5OnqOPBNLWSHKh2a30DoXe8/edit?usp=sharing"",""ระนอง!J417"")"),0)</f>
        <v>0</v>
      </c>
      <c r="BV87" s="402">
        <f t="shared" ca="1" si="139"/>
        <v>0</v>
      </c>
      <c r="BW87" s="403">
        <f t="shared" ca="1" si="140"/>
        <v>0</v>
      </c>
      <c r="BX87" s="402">
        <f t="shared" ca="1" si="141"/>
        <v>0</v>
      </c>
      <c r="BY87" s="403">
        <f t="shared" ca="1" si="142"/>
        <v>0</v>
      </c>
      <c r="BZ87" s="55">
        <f ca="1">IFERROR(__xludf.DUMMYFUNCTION("IMPORTRANGE(""https://docs.google.com/spreadsheets/d/1IYY_tgx_IHuhSq3AJ5eI5OnqOPBNLWSHKh2a30DoXe8/edit?usp=sharing"",""ระนอง!J420"")"),0)</f>
        <v>0</v>
      </c>
      <c r="CA87" s="55">
        <f ca="1">IFERROR(__xludf.DUMMYFUNCTION("IMPORTRANGE(""https://docs.google.com/spreadsheets/d/1IYY_tgx_IHuhSq3AJ5eI5OnqOPBNLWSHKh2a30DoXe8/edit?usp=sharing"",""ระนอง!J421"")"),0)</f>
        <v>0</v>
      </c>
      <c r="CB87" s="55">
        <f ca="1">IFERROR(__xludf.DUMMYFUNCTION("IMPORTRANGE(""https://docs.google.com/spreadsheets/d/1IYY_tgx_IHuhSq3AJ5eI5OnqOPBNLWSHKh2a30DoXe8/edit?usp=sharing"",""ระนอง!J422"")"),0)</f>
        <v>0</v>
      </c>
      <c r="CC87" s="55">
        <f ca="1">IFERROR(__xludf.DUMMYFUNCTION("IMPORTRANGE(""https://docs.google.com/spreadsheets/d/1IYY_tgx_IHuhSq3AJ5eI5OnqOPBNLWSHKh2a30DoXe8/edit?usp=sharing"",""ระนอง!J423"")"),0)</f>
        <v>0</v>
      </c>
      <c r="CD87" s="55">
        <f ca="1">IFERROR(__xludf.DUMMYFUNCTION("IMPORTRANGE(""https://docs.google.com/spreadsheets/d/1IYY_tgx_IHuhSq3AJ5eI5OnqOPBNLWSHKh2a30DoXe8/edit?usp=sharing"",""ระนอง!J424"")"),0)</f>
        <v>0</v>
      </c>
      <c r="CE87" s="422">
        <f ca="1">IFERROR(__xludf.DUMMYFUNCTION("IMPORTRANGE(""https://docs.google.com/spreadsheets/d/1IYY_tgx_IHuhSq3AJ5eI5OnqOPBNLWSHKh2a30DoXe8/edit?usp=sharing"",""ระนอง!J425"")"),0)</f>
        <v>0</v>
      </c>
    </row>
    <row r="88" spans="1:83" ht="24" customHeight="1" x14ac:dyDescent="0.5">
      <c r="A88" s="273">
        <v>12</v>
      </c>
      <c r="B88" s="274" t="s">
        <v>103</v>
      </c>
      <c r="C88" s="400">
        <f t="shared" si="128"/>
        <v>189613.75</v>
      </c>
      <c r="D88" s="55">
        <v>0</v>
      </c>
      <c r="E88" s="401">
        <v>189613.75</v>
      </c>
      <c r="F88" s="99">
        <f ca="1">IFERROR(__xludf.DUMMYFUNCTION("IMPORTRANGE(""https://docs.google.com/spreadsheets/d/1IYY_tgx_IHuhSq3AJ5eI5OnqOPBNLWSHKh2a30DoXe8/edit?usp=sharing"",""สงขลา!M352"")"),1580)</f>
        <v>1580</v>
      </c>
      <c r="G88" s="99">
        <f t="shared" ca="1" si="1"/>
        <v>0.83327290346823479</v>
      </c>
      <c r="H88" s="57">
        <v>25890</v>
      </c>
      <c r="I88" s="57">
        <v>3251</v>
      </c>
      <c r="J88" s="55">
        <f t="shared" ca="1" si="129"/>
        <v>0</v>
      </c>
      <c r="K88" s="99">
        <f t="shared" ca="1" si="3"/>
        <v>0</v>
      </c>
      <c r="L88" s="55">
        <f t="shared" ca="1" si="130"/>
        <v>0</v>
      </c>
      <c r="M88" s="99">
        <f t="shared" ca="1" si="4"/>
        <v>0</v>
      </c>
      <c r="N88" s="55">
        <f ca="1">IFERROR(__xludf.DUMMYFUNCTION("IMPORTRANGE(""https://docs.google.com/spreadsheets/d/1IYY_tgx_IHuhSq3AJ5eI5OnqOPBNLWSHKh2a30DoXe8/edit?usp=sharing"",""สงขลา!J362"")"),0)</f>
        <v>0</v>
      </c>
      <c r="O88" s="55">
        <f ca="1">IFERROR(__xludf.DUMMYFUNCTION("IMPORTRANGE(""https://docs.google.com/spreadsheets/d/1IYY_tgx_IHuhSq3AJ5eI5OnqOPBNLWSHKh2a30DoXe8/edit?usp=sharing"",""สงขลา!J363"")"),0)</f>
        <v>0</v>
      </c>
      <c r="P88" s="55">
        <f ca="1">IFERROR(__xludf.DUMMYFUNCTION("IMPORTRANGE(""https://docs.google.com/spreadsheets/d/1IYY_tgx_IHuhSq3AJ5eI5OnqOPBNLWSHKh2a30DoXe8/edit?usp=sharing"",""สงขลา!J364"")"),0)</f>
        <v>0</v>
      </c>
      <c r="Q88" s="55">
        <f ca="1">IFERROR(__xludf.DUMMYFUNCTION("IMPORTRANGE(""https://docs.google.com/spreadsheets/d/1IYY_tgx_IHuhSq3AJ5eI5OnqOPBNLWSHKh2a30DoXe8/edit?usp=sharing"",""สงขลา!J365"")"),0)</f>
        <v>0</v>
      </c>
      <c r="R88" s="55">
        <f ca="1">IFERROR(__xludf.DUMMYFUNCTION("IMPORTRANGE(""https://docs.google.com/spreadsheets/d/1IYY_tgx_IHuhSq3AJ5eI5OnqOPBNLWSHKh2a30DoXe8/edit?usp=sharing"",""สงขลา!J366"")"),0)</f>
        <v>0</v>
      </c>
      <c r="S88" s="55">
        <f ca="1">IFERROR(__xludf.DUMMYFUNCTION("IMPORTRANGE(""https://docs.google.com/spreadsheets/d/1IYY_tgx_IHuhSq3AJ5eI5OnqOPBNLWSHKh2a30DoXe8/edit?usp=sharing"",""สงขลา!J367"")"),0)</f>
        <v>0</v>
      </c>
      <c r="T88" s="55">
        <f t="shared" ca="1" si="131"/>
        <v>0</v>
      </c>
      <c r="U88" s="55">
        <f t="shared" ca="1" si="6"/>
        <v>0</v>
      </c>
      <c r="V88" s="55">
        <f t="shared" ca="1" si="132"/>
        <v>0</v>
      </c>
      <c r="W88" s="55">
        <f t="shared" ca="1" si="7"/>
        <v>0</v>
      </c>
      <c r="X88" s="55">
        <f ca="1">IFERROR(__xludf.DUMMYFUNCTION("IMPORTRANGE(""https://docs.google.com/spreadsheets/d/1IYY_tgx_IHuhSq3AJ5eI5OnqOPBNLWSHKh2a30DoXe8/edit?usp=sharing"",""สงขลา!J370"")"),0)</f>
        <v>0</v>
      </c>
      <c r="Y88" s="55">
        <f ca="1">IFERROR(__xludf.DUMMYFUNCTION("IMPORTRANGE(""https://docs.google.com/spreadsheets/d/1IYY_tgx_IHuhSq3AJ5eI5OnqOPBNLWSHKh2a30DoXe8/edit?usp=sharing"",""สงขลา!J371"")"),0)</f>
        <v>0</v>
      </c>
      <c r="Z88" s="55">
        <f ca="1">IFERROR(__xludf.DUMMYFUNCTION("IMPORTRANGE(""https://docs.google.com/spreadsheets/d/1IYY_tgx_IHuhSq3AJ5eI5OnqOPBNLWSHKh2a30DoXe8/edit?usp=sharing"",""สงขลา!J372"")"),0)</f>
        <v>0</v>
      </c>
      <c r="AA88" s="55">
        <f ca="1">IFERROR(__xludf.DUMMYFUNCTION("IMPORTRANGE(""https://docs.google.com/spreadsheets/d/1IYY_tgx_IHuhSq3AJ5eI5OnqOPBNLWSHKh2a30DoXe8/edit?usp=sharing"",""สงขลา!J373"")"),0)</f>
        <v>0</v>
      </c>
      <c r="AB88" s="55">
        <f ca="1">IFERROR(__xludf.DUMMYFUNCTION("IMPORTRANGE(""https://docs.google.com/spreadsheets/d/1IYY_tgx_IHuhSq3AJ5eI5OnqOPBNLWSHKh2a30DoXe8/edit?usp=sharing"",""สงขลา!J374"")"),0)</f>
        <v>0</v>
      </c>
      <c r="AC88" s="55">
        <f ca="1">IFERROR(__xludf.DUMMYFUNCTION("IMPORTRANGE(""https://docs.google.com/spreadsheets/d/1IYY_tgx_IHuhSq3AJ5eI5OnqOPBNLWSHKh2a30DoXe8/edit?usp=sharing"",""สงขลา!J375"")"),0)</f>
        <v>0</v>
      </c>
      <c r="AD88" s="55">
        <f t="shared" ca="1" si="133"/>
        <v>0</v>
      </c>
      <c r="AE88" s="99">
        <f t="shared" ca="1" si="9"/>
        <v>0</v>
      </c>
      <c r="AF88" s="55">
        <f t="shared" ca="1" si="134"/>
        <v>0</v>
      </c>
      <c r="AG88" s="99">
        <f t="shared" ca="1" si="10"/>
        <v>0</v>
      </c>
      <c r="AH88" s="55">
        <f ca="1">IFERROR(__xludf.DUMMYFUNCTION("IMPORTRANGE(""https://docs.google.com/spreadsheets/d/1IYY_tgx_IHuhSq3AJ5eI5OnqOPBNLWSHKh2a30DoXe8/edit?usp=sharing"",""สงขลา!J378"")"),0)</f>
        <v>0</v>
      </c>
      <c r="AI88" s="55">
        <f ca="1">IFERROR(__xludf.DUMMYFUNCTION("IMPORTRANGE(""https://docs.google.com/spreadsheets/d/1IYY_tgx_IHuhSq3AJ5eI5OnqOPBNLWSHKh2a30DoXe8/edit?usp=sharing"",""สงขลา!J379"")"),0)</f>
        <v>0</v>
      </c>
      <c r="AJ88" s="55">
        <f ca="1">IFERROR(__xludf.DUMMYFUNCTION("IMPORTRANGE(""https://docs.google.com/spreadsheets/d/1IYY_tgx_IHuhSq3AJ5eI5OnqOPBNLWSHKh2a30DoXe8/edit?usp=sharing"",""สงขลา!J380"")"),0)</f>
        <v>0</v>
      </c>
      <c r="AK88" s="55">
        <f ca="1">IFERROR(__xludf.DUMMYFUNCTION("IMPORTRANGE(""https://docs.google.com/spreadsheets/d/1IYY_tgx_IHuhSq3AJ5eI5OnqOPBNLWSHKh2a30DoXe8/edit?usp=sharing"",""สงขลา!J381"")"),0)</f>
        <v>0</v>
      </c>
      <c r="AL88" s="55">
        <f ca="1">IFERROR(__xludf.DUMMYFUNCTION("IMPORTRANGE(""https://docs.google.com/spreadsheets/d/1IYY_tgx_IHuhSq3AJ5eI5OnqOPBNLWSHKh2a30DoXe8/edit?usp=sharing"",""สงขลา!J384"")"),0)</f>
        <v>0</v>
      </c>
      <c r="AM88" s="55">
        <f ca="1">IFERROR(__xludf.DUMMYFUNCTION("IMPORTRANGE(""https://docs.google.com/spreadsheets/d/1IYY_tgx_IHuhSq3AJ5eI5OnqOPBNLWSHKh2a30DoXe8/edit?usp=sharing"",""สงขลา!J385"")"),0)</f>
        <v>0</v>
      </c>
      <c r="AN88" s="55">
        <f ca="1">IFERROR(__xludf.DUMMYFUNCTION("IMPORTRANGE(""https://docs.google.com/spreadsheets/d/1IYY_tgx_IHuhSq3AJ5eI5OnqOPBNLWSHKh2a30DoXe8/edit?usp=sharing"",""สงขลา!J386"")"),0)</f>
        <v>0</v>
      </c>
      <c r="AO88" s="55">
        <f ca="1">IFERROR(__xludf.DUMMYFUNCTION("IMPORTRANGE(""https://docs.google.com/spreadsheets/d/1IYY_tgx_IHuhSq3AJ5eI5OnqOPBNLWSHKh2a30DoXe8/edit?usp=sharing"",""สงขลา!J387"")"),0)</f>
        <v>0</v>
      </c>
      <c r="AP88" s="55">
        <f ca="1">IFERROR(__xludf.DUMMYFUNCTION("IMPORTRANGE(""https://docs.google.com/spreadsheets/d/1IYY_tgx_IHuhSq3AJ5eI5OnqOPBNLWSHKh2a30DoXe8/edit?usp=sharing"",""สงขลา!J388"")"),0)</f>
        <v>0</v>
      </c>
      <c r="AQ88" s="55">
        <f ca="1">IFERROR(__xludf.DUMMYFUNCTION("IMPORTRANGE(""https://docs.google.com/spreadsheets/d/1IYY_tgx_IHuhSq3AJ5eI5OnqOPBNLWSHKh2a30DoXe8/edit?usp=sharing"",""สงขลา!J389"")"),0)</f>
        <v>0</v>
      </c>
      <c r="AR88" s="402">
        <v>26</v>
      </c>
      <c r="AS88" s="402">
        <v>292</v>
      </c>
      <c r="AT88" s="402">
        <f t="shared" ca="1" si="135"/>
        <v>122</v>
      </c>
      <c r="AU88" s="402">
        <f t="shared" ca="1" si="12"/>
        <v>469.23076923076923</v>
      </c>
      <c r="AV88" s="402">
        <f t="shared" ca="1" si="136"/>
        <v>11</v>
      </c>
      <c r="AW88" s="402">
        <f t="shared" ca="1" si="13"/>
        <v>3.7671232876712328</v>
      </c>
      <c r="AX88" s="55">
        <f ca="1">IFERROR(__xludf.DUMMYFUNCTION("IMPORTRANGE(""https://docs.google.com/spreadsheets/d/1IYY_tgx_IHuhSq3AJ5eI5OnqOPBNLWSHKh2a30DoXe8/edit?usp=sharing"",""สงขลา!J395"")"),104)</f>
        <v>104</v>
      </c>
      <c r="AY88" s="55">
        <f ca="1">IFERROR(__xludf.DUMMYFUNCTION("IMPORTRANGE(""https://docs.google.com/spreadsheets/d/1IYY_tgx_IHuhSq3AJ5eI5OnqOPBNLWSHKh2a30DoXe8/edit?usp=sharing"",""สงขลา!J396"")"),8)</f>
        <v>8</v>
      </c>
      <c r="AZ88" s="55">
        <f ca="1">IFERROR(__xludf.DUMMYFUNCTION("IMPORTRANGE(""https://docs.google.com/spreadsheets/d/1IYY_tgx_IHuhSq3AJ5eI5OnqOPBNLWSHKh2a30DoXe8/edit?usp=sharing"",""สงขลา!J397"")"),0)</f>
        <v>0</v>
      </c>
      <c r="BA88" s="55">
        <f ca="1">IFERROR(__xludf.DUMMYFUNCTION("IMPORTRANGE(""https://docs.google.com/spreadsheets/d/1IYY_tgx_IHuhSq3AJ5eI5OnqOPBNLWSHKh2a30DoXe8/edit?usp=sharing"",""สงขลา!J398"")"),0)</f>
        <v>0</v>
      </c>
      <c r="BB88" s="55">
        <f ca="1">IFERROR(__xludf.DUMMYFUNCTION("IMPORTRANGE(""https://docs.google.com/spreadsheets/d/1IYY_tgx_IHuhSq3AJ5eI5OnqOPBNLWSHKh2a30DoXe8/edit?usp=sharing"",""สงขลา!J399"")"),0)</f>
        <v>0</v>
      </c>
      <c r="BC88" s="55">
        <f ca="1">IFERROR(__xludf.DUMMYFUNCTION("IMPORTRANGE(""https://docs.google.com/spreadsheets/d/1IYY_tgx_IHuhSq3AJ5eI5OnqOPBNLWSHKh2a30DoXe8/edit?usp=sharing"",""สงขลา!J400"")"),0)</f>
        <v>0</v>
      </c>
      <c r="BD88" s="55">
        <f ca="1">IFERROR(__xludf.DUMMYFUNCTION("IMPORTRANGE(""https://docs.google.com/spreadsheets/d/1IYY_tgx_IHuhSq3AJ5eI5OnqOPBNLWSHKh2a30DoXe8/edit?usp=sharing"",""สงขลา!J403"")"),18)</f>
        <v>18</v>
      </c>
      <c r="BE88" s="55">
        <f ca="1">IFERROR(__xludf.DUMMYFUNCTION("IMPORTRANGE(""https://docs.google.com/spreadsheets/d/1IYY_tgx_IHuhSq3AJ5eI5OnqOPBNLWSHKh2a30DoXe8/edit?usp=sharing"",""สงขลา!J404"")"),3)</f>
        <v>3</v>
      </c>
      <c r="BF88" s="55">
        <f ca="1">IFERROR(__xludf.DUMMYFUNCTION("IMPORTRANGE(""https://docs.google.com/spreadsheets/d/1IYY_tgx_IHuhSq3AJ5eI5OnqOPBNLWSHKh2a30DoXe8/edit?usp=sharing"",""สงขลา!J405"")"),0)</f>
        <v>0</v>
      </c>
      <c r="BG88" s="55">
        <f ca="1">IFERROR(__xludf.DUMMYFUNCTION("IMPORTRANGE(""https://docs.google.com/spreadsheets/d/1IYY_tgx_IHuhSq3AJ5eI5OnqOPBNLWSHKh2a30DoXe8/edit?usp=sharing"",""สงขลา!J406"")"),0)</f>
        <v>0</v>
      </c>
      <c r="BH88" s="55">
        <f ca="1">IFERROR(__xludf.DUMMYFUNCTION("IMPORTRANGE(""https://docs.google.com/spreadsheets/d/1IYY_tgx_IHuhSq3AJ5eI5OnqOPBNLWSHKh2a30DoXe8/edit?usp=sharing"",""สงขลา!J407"")"),0)</f>
        <v>0</v>
      </c>
      <c r="BI88" s="55">
        <f ca="1">IFERROR(__xludf.DUMMYFUNCTION("IMPORTRANGE(""https://docs.google.com/spreadsheets/d/1IYY_tgx_IHuhSq3AJ5eI5OnqOPBNLWSHKh2a30DoXe8/edit?usp=sharing"",""สงขลา!J408"")"),0)</f>
        <v>0</v>
      </c>
      <c r="BJ88" s="402">
        <v>25890</v>
      </c>
      <c r="BK88" s="402">
        <v>3251</v>
      </c>
      <c r="BL88" s="402">
        <f t="shared" ca="1" si="137"/>
        <v>0</v>
      </c>
      <c r="BM88" s="403">
        <f t="shared" ca="1" si="15"/>
        <v>0</v>
      </c>
      <c r="BN88" s="402">
        <f t="shared" ca="1" si="138"/>
        <v>0</v>
      </c>
      <c r="BO88" s="403">
        <f t="shared" ca="1" si="16"/>
        <v>0</v>
      </c>
      <c r="BP88" s="55">
        <f ca="1">IFERROR(__xludf.DUMMYFUNCTION("IMPORTRANGE(""https://docs.google.com/spreadsheets/d/1IYY_tgx_IHuhSq3AJ5eI5OnqOPBNLWSHKh2a30DoXe8/edit?usp=sharing"",""สงขลา!J412"")"),0)</f>
        <v>0</v>
      </c>
      <c r="BQ88" s="55">
        <f ca="1">IFERROR(__xludf.DUMMYFUNCTION("IMPORTRANGE(""https://docs.google.com/spreadsheets/d/1IYY_tgx_IHuhSq3AJ5eI5OnqOPBNLWSHKh2a30DoXe8/edit?usp=sharing"",""สงขลา!J413"")"),0)</f>
        <v>0</v>
      </c>
      <c r="BR88" s="55">
        <f ca="1">IFERROR(__xludf.DUMMYFUNCTION("IMPORTRANGE(""https://docs.google.com/spreadsheets/d/1IYY_tgx_IHuhSq3AJ5eI5OnqOPBNLWSHKh2a30DoXe8/edit?usp=sharing"",""สงขลา!J414"")"),0)</f>
        <v>0</v>
      </c>
      <c r="BS88" s="55">
        <f ca="1">IFERROR(__xludf.DUMMYFUNCTION("IMPORTRANGE(""https://docs.google.com/spreadsheets/d/1IYY_tgx_IHuhSq3AJ5eI5OnqOPBNLWSHKh2a30DoXe8/edit?usp=sharing"",""สงขลา!J415"")"),0)</f>
        <v>0</v>
      </c>
      <c r="BT88" s="55">
        <f ca="1">IFERROR(__xludf.DUMMYFUNCTION("IMPORTRANGE(""https://docs.google.com/spreadsheets/d/1IYY_tgx_IHuhSq3AJ5eI5OnqOPBNLWSHKh2a30DoXe8/edit?usp=sharing"",""สงขลา!J416"")"),0)</f>
        <v>0</v>
      </c>
      <c r="BU88" s="55">
        <f ca="1">IFERROR(__xludf.DUMMYFUNCTION("IMPORTRANGE(""https://docs.google.com/spreadsheets/d/1IYY_tgx_IHuhSq3AJ5eI5OnqOPBNLWSHKh2a30DoXe8/edit?usp=sharing"",""สงขลา!J417"")"),0)</f>
        <v>0</v>
      </c>
      <c r="BV88" s="402">
        <f t="shared" ca="1" si="139"/>
        <v>0</v>
      </c>
      <c r="BW88" s="403">
        <f t="shared" ca="1" si="140"/>
        <v>0</v>
      </c>
      <c r="BX88" s="402">
        <f t="shared" ca="1" si="141"/>
        <v>0</v>
      </c>
      <c r="BY88" s="403">
        <f t="shared" ca="1" si="142"/>
        <v>0</v>
      </c>
      <c r="BZ88" s="55">
        <f ca="1">IFERROR(__xludf.DUMMYFUNCTION("IMPORTRANGE(""https://docs.google.com/spreadsheets/d/1IYY_tgx_IHuhSq3AJ5eI5OnqOPBNLWSHKh2a30DoXe8/edit?usp=sharing"",""สงขลา!J420"")"),0)</f>
        <v>0</v>
      </c>
      <c r="CA88" s="55">
        <f ca="1">IFERROR(__xludf.DUMMYFUNCTION("IMPORTRANGE(""https://docs.google.com/spreadsheets/d/1IYY_tgx_IHuhSq3AJ5eI5OnqOPBNLWSHKh2a30DoXe8/edit?usp=sharing"",""สงขลา!J421"")"),0)</f>
        <v>0</v>
      </c>
      <c r="CB88" s="55">
        <f ca="1">IFERROR(__xludf.DUMMYFUNCTION("IMPORTRANGE(""https://docs.google.com/spreadsheets/d/1IYY_tgx_IHuhSq3AJ5eI5OnqOPBNLWSHKh2a30DoXe8/edit?usp=sharing"",""สงขลา!J422"")"),0)</f>
        <v>0</v>
      </c>
      <c r="CC88" s="55">
        <f ca="1">IFERROR(__xludf.DUMMYFUNCTION("IMPORTRANGE(""https://docs.google.com/spreadsheets/d/1IYY_tgx_IHuhSq3AJ5eI5OnqOPBNLWSHKh2a30DoXe8/edit?usp=sharing"",""สงขลา!J423"")"),0)</f>
        <v>0</v>
      </c>
      <c r="CD88" s="55">
        <f ca="1">IFERROR(__xludf.DUMMYFUNCTION("IMPORTRANGE(""https://docs.google.com/spreadsheets/d/1IYY_tgx_IHuhSq3AJ5eI5OnqOPBNLWSHKh2a30DoXe8/edit?usp=sharing"",""สงขลา!J424"")"),0)</f>
        <v>0</v>
      </c>
      <c r="CE88" s="422">
        <f ca="1">IFERROR(__xludf.DUMMYFUNCTION("IMPORTRANGE(""https://docs.google.com/spreadsheets/d/1IYY_tgx_IHuhSq3AJ5eI5OnqOPBNLWSHKh2a30DoXe8/edit?usp=sharing"",""สงขลา!J425"")"),0)</f>
        <v>0</v>
      </c>
    </row>
    <row r="89" spans="1:83" ht="24" customHeight="1" x14ac:dyDescent="0.5">
      <c r="A89" s="273">
        <v>13</v>
      </c>
      <c r="B89" s="274" t="s">
        <v>104</v>
      </c>
      <c r="C89" s="400">
        <f t="shared" si="128"/>
        <v>90626.1</v>
      </c>
      <c r="D89" s="55">
        <v>0</v>
      </c>
      <c r="E89" s="401">
        <v>90626.1</v>
      </c>
      <c r="F89" s="99">
        <f ca="1">IFERROR(__xludf.DUMMYFUNCTION("IMPORTRANGE(""https://docs.google.com/spreadsheets/d/1IYY_tgx_IHuhSq3AJ5eI5OnqOPBNLWSHKh2a30DoXe8/edit?usp=sharing"",""สตูล!M352"")"),0)</f>
        <v>0</v>
      </c>
      <c r="G89" s="99">
        <f t="shared" ca="1" si="1"/>
        <v>0</v>
      </c>
      <c r="H89" s="57">
        <v>9219</v>
      </c>
      <c r="I89" s="57">
        <v>1411</v>
      </c>
      <c r="J89" s="55">
        <f t="shared" ca="1" si="129"/>
        <v>0</v>
      </c>
      <c r="K89" s="99">
        <f t="shared" ca="1" si="3"/>
        <v>0</v>
      </c>
      <c r="L89" s="55">
        <f t="shared" ca="1" si="130"/>
        <v>0</v>
      </c>
      <c r="M89" s="99">
        <f t="shared" ca="1" si="4"/>
        <v>0</v>
      </c>
      <c r="N89" s="55">
        <f ca="1">IFERROR(__xludf.DUMMYFUNCTION("IMPORTRANGE(""https://docs.google.com/spreadsheets/d/1IYY_tgx_IHuhSq3AJ5eI5OnqOPBNLWSHKh2a30DoXe8/edit?usp=sharing"",""สตูล!J362"")"),0)</f>
        <v>0</v>
      </c>
      <c r="O89" s="55">
        <f ca="1">IFERROR(__xludf.DUMMYFUNCTION("IMPORTRANGE(""https://docs.google.com/spreadsheets/d/1IYY_tgx_IHuhSq3AJ5eI5OnqOPBNLWSHKh2a30DoXe8/edit?usp=sharing"",""สตูล!J363"")"),0)</f>
        <v>0</v>
      </c>
      <c r="P89" s="55">
        <f ca="1">IFERROR(__xludf.DUMMYFUNCTION("IMPORTRANGE(""https://docs.google.com/spreadsheets/d/1IYY_tgx_IHuhSq3AJ5eI5OnqOPBNLWSHKh2a30DoXe8/edit?usp=sharing"",""สตูล!J364"")"),0)</f>
        <v>0</v>
      </c>
      <c r="Q89" s="55">
        <f ca="1">IFERROR(__xludf.DUMMYFUNCTION("IMPORTRANGE(""https://docs.google.com/spreadsheets/d/1IYY_tgx_IHuhSq3AJ5eI5OnqOPBNLWSHKh2a30DoXe8/edit?usp=sharing"",""สตูล!J365"")"),0)</f>
        <v>0</v>
      </c>
      <c r="R89" s="55">
        <f ca="1">IFERROR(__xludf.DUMMYFUNCTION("IMPORTRANGE(""https://docs.google.com/spreadsheets/d/1IYY_tgx_IHuhSq3AJ5eI5OnqOPBNLWSHKh2a30DoXe8/edit?usp=sharing"",""สตูล!J366"")"),0)</f>
        <v>0</v>
      </c>
      <c r="S89" s="55">
        <f ca="1">IFERROR(__xludf.DUMMYFUNCTION("IMPORTRANGE(""https://docs.google.com/spreadsheets/d/1IYY_tgx_IHuhSq3AJ5eI5OnqOPBNLWSHKh2a30DoXe8/edit?usp=sharing"",""สตูล!J367"")"),0)</f>
        <v>0</v>
      </c>
      <c r="T89" s="55">
        <f t="shared" ca="1" si="131"/>
        <v>0</v>
      </c>
      <c r="U89" s="55">
        <f t="shared" ca="1" si="6"/>
        <v>0</v>
      </c>
      <c r="V89" s="55">
        <f t="shared" ca="1" si="132"/>
        <v>0</v>
      </c>
      <c r="W89" s="55">
        <f t="shared" ca="1" si="7"/>
        <v>0</v>
      </c>
      <c r="X89" s="55">
        <f ca="1">IFERROR(__xludf.DUMMYFUNCTION("IMPORTRANGE(""https://docs.google.com/spreadsheets/d/1IYY_tgx_IHuhSq3AJ5eI5OnqOPBNLWSHKh2a30DoXe8/edit?usp=sharing"",""สตูล!J370"")"),0)</f>
        <v>0</v>
      </c>
      <c r="Y89" s="55">
        <f ca="1">IFERROR(__xludf.DUMMYFUNCTION("IMPORTRANGE(""https://docs.google.com/spreadsheets/d/1IYY_tgx_IHuhSq3AJ5eI5OnqOPBNLWSHKh2a30DoXe8/edit?usp=sharing"",""สตูล!J371"")"),0)</f>
        <v>0</v>
      </c>
      <c r="Z89" s="55">
        <f ca="1">IFERROR(__xludf.DUMMYFUNCTION("IMPORTRANGE(""https://docs.google.com/spreadsheets/d/1IYY_tgx_IHuhSq3AJ5eI5OnqOPBNLWSHKh2a30DoXe8/edit?usp=sharing"",""สตูล!J372"")"),0)</f>
        <v>0</v>
      </c>
      <c r="AA89" s="55">
        <f ca="1">IFERROR(__xludf.DUMMYFUNCTION("IMPORTRANGE(""https://docs.google.com/spreadsheets/d/1IYY_tgx_IHuhSq3AJ5eI5OnqOPBNLWSHKh2a30DoXe8/edit?usp=sharing"",""สตูล!J373"")"),0)</f>
        <v>0</v>
      </c>
      <c r="AB89" s="55">
        <f ca="1">IFERROR(__xludf.DUMMYFUNCTION("IMPORTRANGE(""https://docs.google.com/spreadsheets/d/1IYY_tgx_IHuhSq3AJ5eI5OnqOPBNLWSHKh2a30DoXe8/edit?usp=sharing"",""สตูล!J374"")"),0)</f>
        <v>0</v>
      </c>
      <c r="AC89" s="55">
        <f ca="1">IFERROR(__xludf.DUMMYFUNCTION("IMPORTRANGE(""https://docs.google.com/spreadsheets/d/1IYY_tgx_IHuhSq3AJ5eI5OnqOPBNLWSHKh2a30DoXe8/edit?usp=sharing"",""สตูล!J375"")"),0)</f>
        <v>0</v>
      </c>
      <c r="AD89" s="55">
        <f t="shared" ca="1" si="133"/>
        <v>0</v>
      </c>
      <c r="AE89" s="99">
        <f t="shared" ca="1" si="9"/>
        <v>0</v>
      </c>
      <c r="AF89" s="55">
        <f t="shared" ca="1" si="134"/>
        <v>0</v>
      </c>
      <c r="AG89" s="99">
        <f t="shared" ca="1" si="10"/>
        <v>0</v>
      </c>
      <c r="AH89" s="55">
        <f ca="1">IFERROR(__xludf.DUMMYFUNCTION("IMPORTRANGE(""https://docs.google.com/spreadsheets/d/1IYY_tgx_IHuhSq3AJ5eI5OnqOPBNLWSHKh2a30DoXe8/edit?usp=sharing"",""สตูล!J378"")"),0)</f>
        <v>0</v>
      </c>
      <c r="AI89" s="55">
        <f ca="1">IFERROR(__xludf.DUMMYFUNCTION("IMPORTRANGE(""https://docs.google.com/spreadsheets/d/1IYY_tgx_IHuhSq3AJ5eI5OnqOPBNLWSHKh2a30DoXe8/edit?usp=sharing"",""สตูล!J379"")"),0)</f>
        <v>0</v>
      </c>
      <c r="AJ89" s="55">
        <f ca="1">IFERROR(__xludf.DUMMYFUNCTION("IMPORTRANGE(""https://docs.google.com/spreadsheets/d/1IYY_tgx_IHuhSq3AJ5eI5OnqOPBNLWSHKh2a30DoXe8/edit?usp=sharing"",""สตูล!J380"")"),0)</f>
        <v>0</v>
      </c>
      <c r="AK89" s="55">
        <f ca="1">IFERROR(__xludf.DUMMYFUNCTION("IMPORTRANGE(""https://docs.google.com/spreadsheets/d/1IYY_tgx_IHuhSq3AJ5eI5OnqOPBNLWSHKh2a30DoXe8/edit?usp=sharing"",""สตูล!J381"")"),0)</f>
        <v>0</v>
      </c>
      <c r="AL89" s="55">
        <f ca="1">IFERROR(__xludf.DUMMYFUNCTION("IMPORTRANGE(""https://docs.google.com/spreadsheets/d/1IYY_tgx_IHuhSq3AJ5eI5OnqOPBNLWSHKh2a30DoXe8/edit?usp=sharing"",""สตูล!J384"")"),0)</f>
        <v>0</v>
      </c>
      <c r="AM89" s="55">
        <f ca="1">IFERROR(__xludf.DUMMYFUNCTION("IMPORTRANGE(""https://docs.google.com/spreadsheets/d/1IYY_tgx_IHuhSq3AJ5eI5OnqOPBNLWSHKh2a30DoXe8/edit?usp=sharing"",""สตูล!J385"")"),0)</f>
        <v>0</v>
      </c>
      <c r="AN89" s="55">
        <f ca="1">IFERROR(__xludf.DUMMYFUNCTION("IMPORTRANGE(""https://docs.google.com/spreadsheets/d/1IYY_tgx_IHuhSq3AJ5eI5OnqOPBNLWSHKh2a30DoXe8/edit?usp=sharing"",""สตูล!J386"")"),0)</f>
        <v>0</v>
      </c>
      <c r="AO89" s="55">
        <f ca="1">IFERROR(__xludf.DUMMYFUNCTION("IMPORTRANGE(""https://docs.google.com/spreadsheets/d/1IYY_tgx_IHuhSq3AJ5eI5OnqOPBNLWSHKh2a30DoXe8/edit?usp=sharing"",""สตูล!J387"")"),0)</f>
        <v>0</v>
      </c>
      <c r="AP89" s="55">
        <f ca="1">IFERROR(__xludf.DUMMYFUNCTION("IMPORTRANGE(""https://docs.google.com/spreadsheets/d/1IYY_tgx_IHuhSq3AJ5eI5OnqOPBNLWSHKh2a30DoXe8/edit?usp=sharing"",""สตูล!J388"")"),0)</f>
        <v>0</v>
      </c>
      <c r="AQ89" s="55">
        <f ca="1">IFERROR(__xludf.DUMMYFUNCTION("IMPORTRANGE(""https://docs.google.com/spreadsheets/d/1IYY_tgx_IHuhSq3AJ5eI5OnqOPBNLWSHKh2a30DoXe8/edit?usp=sharing"",""สตูล!J389"")"),0)</f>
        <v>0</v>
      </c>
      <c r="AR89" s="402">
        <v>0</v>
      </c>
      <c r="AS89" s="402">
        <v>0</v>
      </c>
      <c r="AT89" s="402">
        <f t="shared" ca="1" si="135"/>
        <v>0</v>
      </c>
      <c r="AU89" s="402">
        <f t="shared" si="12"/>
        <v>0</v>
      </c>
      <c r="AV89" s="402">
        <f t="shared" ca="1" si="136"/>
        <v>0</v>
      </c>
      <c r="AW89" s="402">
        <f t="shared" si="13"/>
        <v>0</v>
      </c>
      <c r="AX89" s="55">
        <f ca="1">IFERROR(__xludf.DUMMYFUNCTION("IMPORTRANGE(""https://docs.google.com/spreadsheets/d/1IYY_tgx_IHuhSq3AJ5eI5OnqOPBNLWSHKh2a30DoXe8/edit?usp=sharing"",""สตูล!J395"")"),0)</f>
        <v>0</v>
      </c>
      <c r="AY89" s="55">
        <f ca="1">IFERROR(__xludf.DUMMYFUNCTION("IMPORTRANGE(""https://docs.google.com/spreadsheets/d/1IYY_tgx_IHuhSq3AJ5eI5OnqOPBNLWSHKh2a30DoXe8/edit?usp=sharing"",""สตูล!J396"")"),0)</f>
        <v>0</v>
      </c>
      <c r="AZ89" s="55">
        <f ca="1">IFERROR(__xludf.DUMMYFUNCTION("IMPORTRANGE(""https://docs.google.com/spreadsheets/d/1IYY_tgx_IHuhSq3AJ5eI5OnqOPBNLWSHKh2a30DoXe8/edit?usp=sharing"",""สตูล!J397"")"),0)</f>
        <v>0</v>
      </c>
      <c r="BA89" s="55">
        <f ca="1">IFERROR(__xludf.DUMMYFUNCTION("IMPORTRANGE(""https://docs.google.com/spreadsheets/d/1IYY_tgx_IHuhSq3AJ5eI5OnqOPBNLWSHKh2a30DoXe8/edit?usp=sharing"",""สตูล!J398"")"),0)</f>
        <v>0</v>
      </c>
      <c r="BB89" s="55">
        <f ca="1">IFERROR(__xludf.DUMMYFUNCTION("IMPORTRANGE(""https://docs.google.com/spreadsheets/d/1IYY_tgx_IHuhSq3AJ5eI5OnqOPBNLWSHKh2a30DoXe8/edit?usp=sharing"",""สตูล!J399"")"),0)</f>
        <v>0</v>
      </c>
      <c r="BC89" s="55">
        <f ca="1">IFERROR(__xludf.DUMMYFUNCTION("IMPORTRANGE(""https://docs.google.com/spreadsheets/d/1IYY_tgx_IHuhSq3AJ5eI5OnqOPBNLWSHKh2a30DoXe8/edit?usp=sharing"",""สตูล!J400"")"),0)</f>
        <v>0</v>
      </c>
      <c r="BD89" s="55">
        <f ca="1">IFERROR(__xludf.DUMMYFUNCTION("IMPORTRANGE(""https://docs.google.com/spreadsheets/d/1IYY_tgx_IHuhSq3AJ5eI5OnqOPBNLWSHKh2a30DoXe8/edit?usp=sharing"",""สตูล!J403"")"),0)</f>
        <v>0</v>
      </c>
      <c r="BE89" s="55">
        <f ca="1">IFERROR(__xludf.DUMMYFUNCTION("IMPORTRANGE(""https://docs.google.com/spreadsheets/d/1IYY_tgx_IHuhSq3AJ5eI5OnqOPBNLWSHKh2a30DoXe8/edit?usp=sharing"",""สตูล!J404"")"),0)</f>
        <v>0</v>
      </c>
      <c r="BF89" s="55">
        <f ca="1">IFERROR(__xludf.DUMMYFUNCTION("IMPORTRANGE(""https://docs.google.com/spreadsheets/d/1IYY_tgx_IHuhSq3AJ5eI5OnqOPBNLWSHKh2a30DoXe8/edit?usp=sharing"",""สตูล!J405"")"),0)</f>
        <v>0</v>
      </c>
      <c r="BG89" s="55">
        <f ca="1">IFERROR(__xludf.DUMMYFUNCTION("IMPORTRANGE(""https://docs.google.com/spreadsheets/d/1IYY_tgx_IHuhSq3AJ5eI5OnqOPBNLWSHKh2a30DoXe8/edit?usp=sharing"",""สตูล!J406"")"),0)</f>
        <v>0</v>
      </c>
      <c r="BH89" s="55">
        <f ca="1">IFERROR(__xludf.DUMMYFUNCTION("IMPORTRANGE(""https://docs.google.com/spreadsheets/d/1IYY_tgx_IHuhSq3AJ5eI5OnqOPBNLWSHKh2a30DoXe8/edit?usp=sharing"",""สตูล!J407"")"),0)</f>
        <v>0</v>
      </c>
      <c r="BI89" s="55">
        <f ca="1">IFERROR(__xludf.DUMMYFUNCTION("IMPORTRANGE(""https://docs.google.com/spreadsheets/d/1IYY_tgx_IHuhSq3AJ5eI5OnqOPBNLWSHKh2a30DoXe8/edit?usp=sharing"",""สตูล!J408"")"),0)</f>
        <v>0</v>
      </c>
      <c r="BJ89" s="402">
        <v>9219</v>
      </c>
      <c r="BK89" s="402">
        <v>1411</v>
      </c>
      <c r="BL89" s="402">
        <f t="shared" ca="1" si="137"/>
        <v>0</v>
      </c>
      <c r="BM89" s="403">
        <f t="shared" ca="1" si="15"/>
        <v>0</v>
      </c>
      <c r="BN89" s="402">
        <f t="shared" ca="1" si="138"/>
        <v>0</v>
      </c>
      <c r="BO89" s="403">
        <f t="shared" ca="1" si="16"/>
        <v>0</v>
      </c>
      <c r="BP89" s="55">
        <f ca="1">IFERROR(__xludf.DUMMYFUNCTION("IMPORTRANGE(""https://docs.google.com/spreadsheets/d/1IYY_tgx_IHuhSq3AJ5eI5OnqOPBNLWSHKh2a30DoXe8/edit?usp=sharing"",""สตูล!J412"")"),0)</f>
        <v>0</v>
      </c>
      <c r="BQ89" s="55">
        <f ca="1">IFERROR(__xludf.DUMMYFUNCTION("IMPORTRANGE(""https://docs.google.com/spreadsheets/d/1IYY_tgx_IHuhSq3AJ5eI5OnqOPBNLWSHKh2a30DoXe8/edit?usp=sharing"",""สตูล!J413"")"),0)</f>
        <v>0</v>
      </c>
      <c r="BR89" s="55">
        <f ca="1">IFERROR(__xludf.DUMMYFUNCTION("IMPORTRANGE(""https://docs.google.com/spreadsheets/d/1IYY_tgx_IHuhSq3AJ5eI5OnqOPBNLWSHKh2a30DoXe8/edit?usp=sharing"",""สตูล!J414"")"),0)</f>
        <v>0</v>
      </c>
      <c r="BS89" s="55">
        <f ca="1">IFERROR(__xludf.DUMMYFUNCTION("IMPORTRANGE(""https://docs.google.com/spreadsheets/d/1IYY_tgx_IHuhSq3AJ5eI5OnqOPBNLWSHKh2a30DoXe8/edit?usp=sharing"",""สตูล!J415"")"),0)</f>
        <v>0</v>
      </c>
      <c r="BT89" s="55">
        <f ca="1">IFERROR(__xludf.DUMMYFUNCTION("IMPORTRANGE(""https://docs.google.com/spreadsheets/d/1IYY_tgx_IHuhSq3AJ5eI5OnqOPBNLWSHKh2a30DoXe8/edit?usp=sharing"",""สตูล!J416"")"),0)</f>
        <v>0</v>
      </c>
      <c r="BU89" s="55">
        <f ca="1">IFERROR(__xludf.DUMMYFUNCTION("IMPORTRANGE(""https://docs.google.com/spreadsheets/d/1IYY_tgx_IHuhSq3AJ5eI5OnqOPBNLWSHKh2a30DoXe8/edit?usp=sharing"",""สตูล!J417"")"),0)</f>
        <v>0</v>
      </c>
      <c r="BV89" s="402">
        <f t="shared" ca="1" si="139"/>
        <v>0</v>
      </c>
      <c r="BW89" s="403">
        <f t="shared" ca="1" si="140"/>
        <v>0</v>
      </c>
      <c r="BX89" s="402">
        <f t="shared" ca="1" si="141"/>
        <v>0</v>
      </c>
      <c r="BY89" s="403">
        <f t="shared" ca="1" si="142"/>
        <v>0</v>
      </c>
      <c r="BZ89" s="55">
        <f ca="1">IFERROR(__xludf.DUMMYFUNCTION("IMPORTRANGE(""https://docs.google.com/spreadsheets/d/1IYY_tgx_IHuhSq3AJ5eI5OnqOPBNLWSHKh2a30DoXe8/edit?usp=sharing"",""สตูล!J420"")"),0)</f>
        <v>0</v>
      </c>
      <c r="CA89" s="55">
        <f ca="1">IFERROR(__xludf.DUMMYFUNCTION("IMPORTRANGE(""https://docs.google.com/spreadsheets/d/1IYY_tgx_IHuhSq3AJ5eI5OnqOPBNLWSHKh2a30DoXe8/edit?usp=sharing"",""สตูล!J421"")"),0)</f>
        <v>0</v>
      </c>
      <c r="CB89" s="55">
        <f ca="1">IFERROR(__xludf.DUMMYFUNCTION("IMPORTRANGE(""https://docs.google.com/spreadsheets/d/1IYY_tgx_IHuhSq3AJ5eI5OnqOPBNLWSHKh2a30DoXe8/edit?usp=sharing"",""สตูล!J422"")"),0)</f>
        <v>0</v>
      </c>
      <c r="CC89" s="55">
        <f ca="1">IFERROR(__xludf.DUMMYFUNCTION("IMPORTRANGE(""https://docs.google.com/spreadsheets/d/1IYY_tgx_IHuhSq3AJ5eI5OnqOPBNLWSHKh2a30DoXe8/edit?usp=sharing"",""สตูล!J423"")"),0)</f>
        <v>0</v>
      </c>
      <c r="CD89" s="55">
        <f ca="1">IFERROR(__xludf.DUMMYFUNCTION("IMPORTRANGE(""https://docs.google.com/spreadsheets/d/1IYY_tgx_IHuhSq3AJ5eI5OnqOPBNLWSHKh2a30DoXe8/edit?usp=sharing"",""สตูล!J424"")"),0)</f>
        <v>0</v>
      </c>
      <c r="CE89" s="422">
        <f ca="1">IFERROR(__xludf.DUMMYFUNCTION("IMPORTRANGE(""https://docs.google.com/spreadsheets/d/1IYY_tgx_IHuhSq3AJ5eI5OnqOPBNLWSHKh2a30DoXe8/edit?usp=sharing"",""สตูล!J425"")"),0)</f>
        <v>0</v>
      </c>
    </row>
    <row r="90" spans="1:83" ht="24" customHeight="1" x14ac:dyDescent="0.5">
      <c r="A90" s="278">
        <v>14</v>
      </c>
      <c r="B90" s="279" t="s">
        <v>105</v>
      </c>
      <c r="C90" s="404">
        <f t="shared" si="128"/>
        <v>1055798.2</v>
      </c>
      <c r="D90" s="62">
        <v>0</v>
      </c>
      <c r="E90" s="405">
        <v>1055798.2</v>
      </c>
      <c r="F90" s="100">
        <f ca="1">IFERROR(__xludf.DUMMYFUNCTION("IMPORTRANGE(""https://docs.google.com/spreadsheets/d/1IYY_tgx_IHuhSq3AJ5eI5OnqOPBNLWSHKh2a30DoXe8/edit?usp=sharing"",""สุราษฎร์ธานี!M352"")"),0)</f>
        <v>0</v>
      </c>
      <c r="G90" s="100">
        <f t="shared" ca="1" si="1"/>
        <v>0</v>
      </c>
      <c r="H90" s="64">
        <v>146061</v>
      </c>
      <c r="I90" s="64">
        <v>11860</v>
      </c>
      <c r="J90" s="62">
        <f t="shared" ca="1" si="129"/>
        <v>0</v>
      </c>
      <c r="K90" s="100">
        <f t="shared" ca="1" si="3"/>
        <v>0</v>
      </c>
      <c r="L90" s="62">
        <f t="shared" ca="1" si="130"/>
        <v>0</v>
      </c>
      <c r="M90" s="100">
        <f t="shared" ca="1" si="4"/>
        <v>0</v>
      </c>
      <c r="N90" s="62">
        <f ca="1">IFERROR(__xludf.DUMMYFUNCTION("IMPORTRANGE(""https://docs.google.com/spreadsheets/d/1IYY_tgx_IHuhSq3AJ5eI5OnqOPBNLWSHKh2a30DoXe8/edit?usp=sharing"",""สุราษฎร์ธานี!J362"")"),0)</f>
        <v>0</v>
      </c>
      <c r="O90" s="62">
        <f ca="1">IFERROR(__xludf.DUMMYFUNCTION("IMPORTRANGE(""https://docs.google.com/spreadsheets/d/1IYY_tgx_IHuhSq3AJ5eI5OnqOPBNLWSHKh2a30DoXe8/edit?usp=sharing"",""สุราษฎร์ธานี!J363"")"),0)</f>
        <v>0</v>
      </c>
      <c r="P90" s="62">
        <f ca="1">IFERROR(__xludf.DUMMYFUNCTION("IMPORTRANGE(""https://docs.google.com/spreadsheets/d/1IYY_tgx_IHuhSq3AJ5eI5OnqOPBNLWSHKh2a30DoXe8/edit?usp=sharing"",""สุราษฎร์ธานี!J364"")"),0)</f>
        <v>0</v>
      </c>
      <c r="Q90" s="62">
        <f ca="1">IFERROR(__xludf.DUMMYFUNCTION("IMPORTRANGE(""https://docs.google.com/spreadsheets/d/1IYY_tgx_IHuhSq3AJ5eI5OnqOPBNLWSHKh2a30DoXe8/edit?usp=sharing"",""สุราษฎร์ธานี!J365"")"),0)</f>
        <v>0</v>
      </c>
      <c r="R90" s="62">
        <f ca="1">IFERROR(__xludf.DUMMYFUNCTION("IMPORTRANGE(""https://docs.google.com/spreadsheets/d/1IYY_tgx_IHuhSq3AJ5eI5OnqOPBNLWSHKh2a30DoXe8/edit?usp=sharing"",""สุราษฎร์ธานี!J366"")"),0)</f>
        <v>0</v>
      </c>
      <c r="S90" s="62">
        <f ca="1">IFERROR(__xludf.DUMMYFUNCTION("IMPORTRANGE(""https://docs.google.com/spreadsheets/d/1IYY_tgx_IHuhSq3AJ5eI5OnqOPBNLWSHKh2a30DoXe8/edit?usp=sharing"",""สุราษฎร์ธานี!J367"")"),0)</f>
        <v>0</v>
      </c>
      <c r="T90" s="62">
        <f t="shared" ca="1" si="131"/>
        <v>0</v>
      </c>
      <c r="U90" s="62">
        <f t="shared" ca="1" si="6"/>
        <v>0</v>
      </c>
      <c r="V90" s="62">
        <f t="shared" ca="1" si="132"/>
        <v>0</v>
      </c>
      <c r="W90" s="62">
        <f t="shared" ca="1" si="7"/>
        <v>0</v>
      </c>
      <c r="X90" s="62">
        <f ca="1">IFERROR(__xludf.DUMMYFUNCTION("IMPORTRANGE(""https://docs.google.com/spreadsheets/d/1IYY_tgx_IHuhSq3AJ5eI5OnqOPBNLWSHKh2a30DoXe8/edit?usp=sharing"",""สุราษฎร์ธานี!J370"")"),0)</f>
        <v>0</v>
      </c>
      <c r="Y90" s="62">
        <f ca="1">IFERROR(__xludf.DUMMYFUNCTION("IMPORTRANGE(""https://docs.google.com/spreadsheets/d/1IYY_tgx_IHuhSq3AJ5eI5OnqOPBNLWSHKh2a30DoXe8/edit?usp=sharing"",""สุราษฎร์ธานี!J371"")"),0)</f>
        <v>0</v>
      </c>
      <c r="Z90" s="62">
        <f ca="1">IFERROR(__xludf.DUMMYFUNCTION("IMPORTRANGE(""https://docs.google.com/spreadsheets/d/1IYY_tgx_IHuhSq3AJ5eI5OnqOPBNLWSHKh2a30DoXe8/edit?usp=sharing"",""สุราษฎร์ธานี!J372"")"),0)</f>
        <v>0</v>
      </c>
      <c r="AA90" s="62">
        <f ca="1">IFERROR(__xludf.DUMMYFUNCTION("IMPORTRANGE(""https://docs.google.com/spreadsheets/d/1IYY_tgx_IHuhSq3AJ5eI5OnqOPBNLWSHKh2a30DoXe8/edit?usp=sharing"",""สุราษฎร์ธานี!J373"")"),0)</f>
        <v>0</v>
      </c>
      <c r="AB90" s="62">
        <f ca="1">IFERROR(__xludf.DUMMYFUNCTION("IMPORTRANGE(""https://docs.google.com/spreadsheets/d/1IYY_tgx_IHuhSq3AJ5eI5OnqOPBNLWSHKh2a30DoXe8/edit?usp=sharing"",""สุราษฎร์ธานี!J374"")"),0)</f>
        <v>0</v>
      </c>
      <c r="AC90" s="62">
        <f ca="1">IFERROR(__xludf.DUMMYFUNCTION("IMPORTRANGE(""https://docs.google.com/spreadsheets/d/1IYY_tgx_IHuhSq3AJ5eI5OnqOPBNLWSHKh2a30DoXe8/edit?usp=sharing"",""สุราษฎร์ธานี!J375"")"),0)</f>
        <v>0</v>
      </c>
      <c r="AD90" s="62">
        <f t="shared" ca="1" si="133"/>
        <v>0</v>
      </c>
      <c r="AE90" s="100">
        <f t="shared" ca="1" si="9"/>
        <v>0</v>
      </c>
      <c r="AF90" s="62">
        <f t="shared" ca="1" si="134"/>
        <v>0</v>
      </c>
      <c r="AG90" s="100">
        <f t="shared" ca="1" si="10"/>
        <v>0</v>
      </c>
      <c r="AH90" s="62">
        <f ca="1">IFERROR(__xludf.DUMMYFUNCTION("IMPORTRANGE(""https://docs.google.com/spreadsheets/d/1IYY_tgx_IHuhSq3AJ5eI5OnqOPBNLWSHKh2a30DoXe8/edit?usp=sharing"",""สุราษฎร์ธานี!J378"")"),0)</f>
        <v>0</v>
      </c>
      <c r="AI90" s="62">
        <f ca="1">IFERROR(__xludf.DUMMYFUNCTION("IMPORTRANGE(""https://docs.google.com/spreadsheets/d/1IYY_tgx_IHuhSq3AJ5eI5OnqOPBNLWSHKh2a30DoXe8/edit?usp=sharing"",""สุราษฎร์ธานี!J379"")"),0)</f>
        <v>0</v>
      </c>
      <c r="AJ90" s="62">
        <f ca="1">IFERROR(__xludf.DUMMYFUNCTION("IMPORTRANGE(""https://docs.google.com/spreadsheets/d/1IYY_tgx_IHuhSq3AJ5eI5OnqOPBNLWSHKh2a30DoXe8/edit?usp=sharing"",""สุราษฎร์ธานี!J380"")"),0)</f>
        <v>0</v>
      </c>
      <c r="AK90" s="62">
        <f ca="1">IFERROR(__xludf.DUMMYFUNCTION("IMPORTRANGE(""https://docs.google.com/spreadsheets/d/1IYY_tgx_IHuhSq3AJ5eI5OnqOPBNLWSHKh2a30DoXe8/edit?usp=sharing"",""สุราษฎร์ธานี!J381"")"),0)</f>
        <v>0</v>
      </c>
      <c r="AL90" s="62">
        <f ca="1">IFERROR(__xludf.DUMMYFUNCTION("IMPORTRANGE(""https://docs.google.com/spreadsheets/d/1IYY_tgx_IHuhSq3AJ5eI5OnqOPBNLWSHKh2a30DoXe8/edit?usp=sharing"",""สุราษฎร์ธานี!J384"")"),0)</f>
        <v>0</v>
      </c>
      <c r="AM90" s="62">
        <f ca="1">IFERROR(__xludf.DUMMYFUNCTION("IMPORTRANGE(""https://docs.google.com/spreadsheets/d/1IYY_tgx_IHuhSq3AJ5eI5OnqOPBNLWSHKh2a30DoXe8/edit?usp=sharing"",""สุราษฎร์ธานี!J385"")"),0)</f>
        <v>0</v>
      </c>
      <c r="AN90" s="62">
        <f ca="1">IFERROR(__xludf.DUMMYFUNCTION("IMPORTRANGE(""https://docs.google.com/spreadsheets/d/1IYY_tgx_IHuhSq3AJ5eI5OnqOPBNLWSHKh2a30DoXe8/edit?usp=sharing"",""สุราษฎร์ธานี!J386"")"),0)</f>
        <v>0</v>
      </c>
      <c r="AO90" s="62">
        <f ca="1">IFERROR(__xludf.DUMMYFUNCTION("IMPORTRANGE(""https://docs.google.com/spreadsheets/d/1IYY_tgx_IHuhSq3AJ5eI5OnqOPBNLWSHKh2a30DoXe8/edit?usp=sharing"",""สุราษฎร์ธานี!J387"")"),0)</f>
        <v>0</v>
      </c>
      <c r="AP90" s="62">
        <f ca="1">IFERROR(__xludf.DUMMYFUNCTION("IMPORTRANGE(""https://docs.google.com/spreadsheets/d/1IYY_tgx_IHuhSq3AJ5eI5OnqOPBNLWSHKh2a30DoXe8/edit?usp=sharing"",""สุราษฎร์ธานี!J388"")"),0)</f>
        <v>0</v>
      </c>
      <c r="AQ90" s="62">
        <f ca="1">IFERROR(__xludf.DUMMYFUNCTION("IMPORTRANGE(""https://docs.google.com/spreadsheets/d/1IYY_tgx_IHuhSq3AJ5eI5OnqOPBNLWSHKh2a30DoXe8/edit?usp=sharing"",""สุราษฎร์ธานี!J389"")"),0)</f>
        <v>0</v>
      </c>
      <c r="AR90" s="406">
        <v>565</v>
      </c>
      <c r="AS90" s="406">
        <v>6467</v>
      </c>
      <c r="AT90" s="406">
        <f t="shared" ca="1" si="135"/>
        <v>0</v>
      </c>
      <c r="AU90" s="406">
        <f t="shared" ca="1" si="12"/>
        <v>0</v>
      </c>
      <c r="AV90" s="406">
        <f t="shared" ca="1" si="136"/>
        <v>0</v>
      </c>
      <c r="AW90" s="406">
        <f t="shared" ca="1" si="13"/>
        <v>0</v>
      </c>
      <c r="AX90" s="62">
        <f ca="1">IFERROR(__xludf.DUMMYFUNCTION("IMPORTRANGE(""https://docs.google.com/spreadsheets/d/1IYY_tgx_IHuhSq3AJ5eI5OnqOPBNLWSHKh2a30DoXe8/edit?usp=sharing"",""สุราษฎร์ธานี!J395"")"),0)</f>
        <v>0</v>
      </c>
      <c r="AY90" s="62">
        <f ca="1">IFERROR(__xludf.DUMMYFUNCTION("IMPORTRANGE(""https://docs.google.com/spreadsheets/d/1IYY_tgx_IHuhSq3AJ5eI5OnqOPBNLWSHKh2a30DoXe8/edit?usp=sharing"",""สุราษฎร์ธานี!J396"")"),0)</f>
        <v>0</v>
      </c>
      <c r="AZ90" s="62">
        <f ca="1">IFERROR(__xludf.DUMMYFUNCTION("IMPORTRANGE(""https://docs.google.com/spreadsheets/d/1IYY_tgx_IHuhSq3AJ5eI5OnqOPBNLWSHKh2a30DoXe8/edit?usp=sharing"",""สุราษฎร์ธานี!J397"")"),0)</f>
        <v>0</v>
      </c>
      <c r="BA90" s="62">
        <f ca="1">IFERROR(__xludf.DUMMYFUNCTION("IMPORTRANGE(""https://docs.google.com/spreadsheets/d/1IYY_tgx_IHuhSq3AJ5eI5OnqOPBNLWSHKh2a30DoXe8/edit?usp=sharing"",""สุราษฎร์ธานี!J398"")"),0)</f>
        <v>0</v>
      </c>
      <c r="BB90" s="62">
        <f ca="1">IFERROR(__xludf.DUMMYFUNCTION("IMPORTRANGE(""https://docs.google.com/spreadsheets/d/1IYY_tgx_IHuhSq3AJ5eI5OnqOPBNLWSHKh2a30DoXe8/edit?usp=sharing"",""สุราษฎร์ธานี!J399"")"),0)</f>
        <v>0</v>
      </c>
      <c r="BC90" s="62">
        <f ca="1">IFERROR(__xludf.DUMMYFUNCTION("IMPORTRANGE(""https://docs.google.com/spreadsheets/d/1IYY_tgx_IHuhSq3AJ5eI5OnqOPBNLWSHKh2a30DoXe8/edit?usp=sharing"",""สุราษฎร์ธานี!J400"")"),0)</f>
        <v>0</v>
      </c>
      <c r="BD90" s="62">
        <f ca="1">IFERROR(__xludf.DUMMYFUNCTION("IMPORTRANGE(""https://docs.google.com/spreadsheets/d/1IYY_tgx_IHuhSq3AJ5eI5OnqOPBNLWSHKh2a30DoXe8/edit?usp=sharing"",""สุราษฎร์ธานี!J403"")"),0)</f>
        <v>0</v>
      </c>
      <c r="BE90" s="62">
        <f ca="1">IFERROR(__xludf.DUMMYFUNCTION("IMPORTRANGE(""https://docs.google.com/spreadsheets/d/1IYY_tgx_IHuhSq3AJ5eI5OnqOPBNLWSHKh2a30DoXe8/edit?usp=sharing"",""สุราษฎร์ธานี!J404"")"),0)</f>
        <v>0</v>
      </c>
      <c r="BF90" s="62">
        <f ca="1">IFERROR(__xludf.DUMMYFUNCTION("IMPORTRANGE(""https://docs.google.com/spreadsheets/d/1IYY_tgx_IHuhSq3AJ5eI5OnqOPBNLWSHKh2a30DoXe8/edit?usp=sharing"",""สุราษฎร์ธานี!J405"")"),0)</f>
        <v>0</v>
      </c>
      <c r="BG90" s="62">
        <f ca="1">IFERROR(__xludf.DUMMYFUNCTION("IMPORTRANGE(""https://docs.google.com/spreadsheets/d/1IYY_tgx_IHuhSq3AJ5eI5OnqOPBNLWSHKh2a30DoXe8/edit?usp=sharing"",""สุราษฎร์ธานี!J406"")"),0)</f>
        <v>0</v>
      </c>
      <c r="BH90" s="62">
        <f ca="1">IFERROR(__xludf.DUMMYFUNCTION("IMPORTRANGE(""https://docs.google.com/spreadsheets/d/1IYY_tgx_IHuhSq3AJ5eI5OnqOPBNLWSHKh2a30DoXe8/edit?usp=sharing"",""สุราษฎร์ธานี!J407"")"),0)</f>
        <v>0</v>
      </c>
      <c r="BI90" s="62">
        <f ca="1">IFERROR(__xludf.DUMMYFUNCTION("IMPORTRANGE(""https://docs.google.com/spreadsheets/d/1IYY_tgx_IHuhSq3AJ5eI5OnqOPBNLWSHKh2a30DoXe8/edit?usp=sharing"",""สุราษฎร์ธานี!J408"")"),0)</f>
        <v>0</v>
      </c>
      <c r="BJ90" s="406">
        <v>146061</v>
      </c>
      <c r="BK90" s="406">
        <v>11860</v>
      </c>
      <c r="BL90" s="406">
        <f t="shared" ca="1" si="137"/>
        <v>0</v>
      </c>
      <c r="BM90" s="407">
        <f t="shared" ca="1" si="15"/>
        <v>0</v>
      </c>
      <c r="BN90" s="406">
        <f t="shared" ca="1" si="138"/>
        <v>0</v>
      </c>
      <c r="BO90" s="407">
        <f t="shared" ca="1" si="16"/>
        <v>0</v>
      </c>
      <c r="BP90" s="62">
        <f ca="1">IFERROR(__xludf.DUMMYFUNCTION("IMPORTRANGE(""https://docs.google.com/spreadsheets/d/1IYY_tgx_IHuhSq3AJ5eI5OnqOPBNLWSHKh2a30DoXe8/edit?usp=sharing"",""สุราษฎร์ธานี!J412"")"),0)</f>
        <v>0</v>
      </c>
      <c r="BQ90" s="62">
        <f ca="1">IFERROR(__xludf.DUMMYFUNCTION("IMPORTRANGE(""https://docs.google.com/spreadsheets/d/1IYY_tgx_IHuhSq3AJ5eI5OnqOPBNLWSHKh2a30DoXe8/edit?usp=sharing"",""สุราษฎร์ธานี!J413"")"),0)</f>
        <v>0</v>
      </c>
      <c r="BR90" s="62">
        <f ca="1">IFERROR(__xludf.DUMMYFUNCTION("IMPORTRANGE(""https://docs.google.com/spreadsheets/d/1IYY_tgx_IHuhSq3AJ5eI5OnqOPBNLWSHKh2a30DoXe8/edit?usp=sharing"",""สุราษฎร์ธานี!J414"")"),0)</f>
        <v>0</v>
      </c>
      <c r="BS90" s="62">
        <f ca="1">IFERROR(__xludf.DUMMYFUNCTION("IMPORTRANGE(""https://docs.google.com/spreadsheets/d/1IYY_tgx_IHuhSq3AJ5eI5OnqOPBNLWSHKh2a30DoXe8/edit?usp=sharing"",""สุราษฎร์ธานี!J415"")"),0)</f>
        <v>0</v>
      </c>
      <c r="BT90" s="62">
        <f ca="1">IFERROR(__xludf.DUMMYFUNCTION("IMPORTRANGE(""https://docs.google.com/spreadsheets/d/1IYY_tgx_IHuhSq3AJ5eI5OnqOPBNLWSHKh2a30DoXe8/edit?usp=sharing"",""สุราษฎร์ธานี!J416"")"),0)</f>
        <v>0</v>
      </c>
      <c r="BU90" s="62">
        <f ca="1">IFERROR(__xludf.DUMMYFUNCTION("IMPORTRANGE(""https://docs.google.com/spreadsheets/d/1IYY_tgx_IHuhSq3AJ5eI5OnqOPBNLWSHKh2a30DoXe8/edit?usp=sharing"",""สุราษฎร์ธานี!J417"")"),0)</f>
        <v>0</v>
      </c>
      <c r="BV90" s="406">
        <f t="shared" ca="1" si="139"/>
        <v>0</v>
      </c>
      <c r="BW90" s="407">
        <f t="shared" ca="1" si="140"/>
        <v>0</v>
      </c>
      <c r="BX90" s="406">
        <f t="shared" ca="1" si="141"/>
        <v>0</v>
      </c>
      <c r="BY90" s="407">
        <f t="shared" ca="1" si="142"/>
        <v>0</v>
      </c>
      <c r="BZ90" s="62">
        <f ca="1">IFERROR(__xludf.DUMMYFUNCTION("IMPORTRANGE(""https://docs.google.com/spreadsheets/d/1IYY_tgx_IHuhSq3AJ5eI5OnqOPBNLWSHKh2a30DoXe8/edit?usp=sharing"",""สุราษฎร์ธานี!J420"")"),0)</f>
        <v>0</v>
      </c>
      <c r="CA90" s="62">
        <f ca="1">IFERROR(__xludf.DUMMYFUNCTION("IMPORTRANGE(""https://docs.google.com/spreadsheets/d/1IYY_tgx_IHuhSq3AJ5eI5OnqOPBNLWSHKh2a30DoXe8/edit?usp=sharing"",""สุราษฎร์ธานี!J421"")"),0)</f>
        <v>0</v>
      </c>
      <c r="CB90" s="62">
        <f ca="1">IFERROR(__xludf.DUMMYFUNCTION("IMPORTRANGE(""https://docs.google.com/spreadsheets/d/1IYY_tgx_IHuhSq3AJ5eI5OnqOPBNLWSHKh2a30DoXe8/edit?usp=sharing"",""สุราษฎร์ธานี!J422"")"),0)</f>
        <v>0</v>
      </c>
      <c r="CC90" s="62">
        <f ca="1">IFERROR(__xludf.DUMMYFUNCTION("IMPORTRANGE(""https://docs.google.com/spreadsheets/d/1IYY_tgx_IHuhSq3AJ5eI5OnqOPBNLWSHKh2a30DoXe8/edit?usp=sharing"",""สุราษฎร์ธานี!J423"")"),0)</f>
        <v>0</v>
      </c>
      <c r="CD90" s="62">
        <f ca="1">IFERROR(__xludf.DUMMYFUNCTION("IMPORTRANGE(""https://docs.google.com/spreadsheets/d/1IYY_tgx_IHuhSq3AJ5eI5OnqOPBNLWSHKh2a30DoXe8/edit?usp=sharing"",""สุราษฎร์ธานี!J424"")"),0)</f>
        <v>0</v>
      </c>
      <c r="CE90" s="424">
        <f ca="1">IFERROR(__xludf.DUMMYFUNCTION("IMPORTRANGE(""https://docs.google.com/spreadsheets/d/1IYY_tgx_IHuhSq3AJ5eI5OnqOPBNLWSHKh2a30DoXe8/edit?usp=sharing"",""สุราษฎร์ธานี!J425"")"),0)</f>
        <v>0</v>
      </c>
    </row>
    <row r="91" spans="1:83" ht="24" customHeight="1" x14ac:dyDescent="0.5">
      <c r="A91" s="772" t="s">
        <v>106</v>
      </c>
      <c r="B91" s="571"/>
      <c r="C91" s="37">
        <f t="shared" ref="C91:F91" si="143">+C92+C93+C94+C95+C96+C97+C98+C99+C100+C101+C102+C103+C104+C105</f>
        <v>10618950</v>
      </c>
      <c r="D91" s="35">
        <f t="shared" si="143"/>
        <v>0</v>
      </c>
      <c r="E91" s="35">
        <f t="shared" si="143"/>
        <v>10618950</v>
      </c>
      <c r="F91" s="35">
        <f t="shared" si="143"/>
        <v>0</v>
      </c>
      <c r="G91" s="92">
        <f t="shared" si="1"/>
        <v>0</v>
      </c>
      <c r="H91" s="35">
        <f t="shared" ref="H91:J91" si="144">+H92+H93+H94+H95+H96+H97+H98+H99+H100+H101+H102+H103+H104+H105</f>
        <v>0</v>
      </c>
      <c r="I91" s="35">
        <f t="shared" si="144"/>
        <v>0</v>
      </c>
      <c r="J91" s="35">
        <f t="shared" si="144"/>
        <v>0</v>
      </c>
      <c r="K91" s="92">
        <f t="shared" si="3"/>
        <v>0</v>
      </c>
      <c r="L91" s="35">
        <f>+L92+L93+L94+L95+L96+L97+L98+L99+L100+L101+L102+L103+L104+L105</f>
        <v>0</v>
      </c>
      <c r="M91" s="92">
        <f t="shared" si="4"/>
        <v>0</v>
      </c>
      <c r="N91" s="35">
        <f t="shared" ref="N91:T91" si="145">+N92+N93+N94+N95+N96+N97+N98+N99+N100+N101+N102+N103+N104+N105</f>
        <v>0</v>
      </c>
      <c r="O91" s="35">
        <f t="shared" si="145"/>
        <v>0</v>
      </c>
      <c r="P91" s="35">
        <f t="shared" si="145"/>
        <v>0</v>
      </c>
      <c r="Q91" s="35">
        <f t="shared" si="145"/>
        <v>0</v>
      </c>
      <c r="R91" s="35">
        <f t="shared" si="145"/>
        <v>0</v>
      </c>
      <c r="S91" s="35">
        <f t="shared" si="145"/>
        <v>0</v>
      </c>
      <c r="T91" s="35">
        <f t="shared" si="145"/>
        <v>0</v>
      </c>
      <c r="U91" s="35">
        <f t="shared" si="6"/>
        <v>0</v>
      </c>
      <c r="V91" s="35">
        <f>+V92+V93+V94+V95+V96+V97+V98+V99+V100+V101+V102+V103+V104+V105</f>
        <v>0</v>
      </c>
      <c r="W91" s="35">
        <f t="shared" si="7"/>
        <v>0</v>
      </c>
      <c r="X91" s="35">
        <f t="shared" ref="X91:AD91" si="146">+X92+X93+X94+X95+X96+X97+X98+X99+X100+X101+X102+X103+X104+X105</f>
        <v>0</v>
      </c>
      <c r="Y91" s="35">
        <f t="shared" si="146"/>
        <v>0</v>
      </c>
      <c r="Z91" s="35">
        <f t="shared" si="146"/>
        <v>0</v>
      </c>
      <c r="AA91" s="35">
        <f t="shared" si="146"/>
        <v>0</v>
      </c>
      <c r="AB91" s="35">
        <f t="shared" si="146"/>
        <v>0</v>
      </c>
      <c r="AC91" s="35">
        <f t="shared" si="146"/>
        <v>0</v>
      </c>
      <c r="AD91" s="35">
        <f t="shared" si="146"/>
        <v>0</v>
      </c>
      <c r="AE91" s="92">
        <f t="shared" si="9"/>
        <v>0</v>
      </c>
      <c r="AF91" s="35">
        <f>+AF92+AF93+AF94+AF95+AF96+AF97+AF98+AF99+AF100+AF101+AF102+AF103+AF104+AF105</f>
        <v>0</v>
      </c>
      <c r="AG91" s="92">
        <f t="shared" si="10"/>
        <v>0</v>
      </c>
      <c r="AH91" s="35">
        <f t="shared" ref="AH91:AT91" si="147">+AH92+AH93+AH94+AH95+AH96+AH97+AH98+AH99+AH100+AH101+AH102+AH103+AH104+AH105</f>
        <v>0</v>
      </c>
      <c r="AI91" s="35">
        <f t="shared" si="147"/>
        <v>0</v>
      </c>
      <c r="AJ91" s="35">
        <f t="shared" si="147"/>
        <v>0</v>
      </c>
      <c r="AK91" s="35">
        <f t="shared" si="147"/>
        <v>0</v>
      </c>
      <c r="AL91" s="35">
        <f t="shared" si="147"/>
        <v>0</v>
      </c>
      <c r="AM91" s="35">
        <f t="shared" si="147"/>
        <v>0</v>
      </c>
      <c r="AN91" s="35">
        <f t="shared" si="147"/>
        <v>0</v>
      </c>
      <c r="AO91" s="35">
        <f t="shared" si="147"/>
        <v>0</v>
      </c>
      <c r="AP91" s="35">
        <f t="shared" si="147"/>
        <v>0</v>
      </c>
      <c r="AQ91" s="35">
        <f t="shared" si="147"/>
        <v>0</v>
      </c>
      <c r="AR91" s="35">
        <f t="shared" si="147"/>
        <v>0</v>
      </c>
      <c r="AS91" s="35">
        <f t="shared" si="147"/>
        <v>0</v>
      </c>
      <c r="AT91" s="35">
        <f t="shared" si="147"/>
        <v>0</v>
      </c>
      <c r="AU91" s="35">
        <f t="shared" si="12"/>
        <v>0</v>
      </c>
      <c r="AV91" s="35">
        <f>+AV92+AV93+AV94+AV95+AV96+AV97+AV98+AV99+AV100+AV101+AV102+AV103+AV104+AV105</f>
        <v>0</v>
      </c>
      <c r="AW91" s="35">
        <f t="shared" si="13"/>
        <v>0</v>
      </c>
      <c r="AX91" s="35">
        <f t="shared" ref="AX91:BK91" si="148">+AX92+AX93+AX94+AX95+AX96+AX97+AX98+AX99+AX100+AX101+AX102+AX103+AX104+AX105</f>
        <v>0</v>
      </c>
      <c r="AY91" s="35">
        <f t="shared" si="148"/>
        <v>0</v>
      </c>
      <c r="AZ91" s="35">
        <f t="shared" si="148"/>
        <v>0</v>
      </c>
      <c r="BA91" s="35">
        <f t="shared" si="148"/>
        <v>0</v>
      </c>
      <c r="BB91" s="35">
        <f t="shared" si="148"/>
        <v>0</v>
      </c>
      <c r="BC91" s="35">
        <f t="shared" si="148"/>
        <v>0</v>
      </c>
      <c r="BD91" s="35">
        <f t="shared" si="148"/>
        <v>0</v>
      </c>
      <c r="BE91" s="35">
        <f t="shared" si="148"/>
        <v>0</v>
      </c>
      <c r="BF91" s="35">
        <f t="shared" si="148"/>
        <v>0</v>
      </c>
      <c r="BG91" s="35">
        <f t="shared" si="148"/>
        <v>0</v>
      </c>
      <c r="BH91" s="35">
        <f t="shared" si="148"/>
        <v>0</v>
      </c>
      <c r="BI91" s="35">
        <f t="shared" si="148"/>
        <v>0</v>
      </c>
      <c r="BJ91" s="35">
        <f t="shared" si="148"/>
        <v>0</v>
      </c>
      <c r="BK91" s="35">
        <f t="shared" si="148"/>
        <v>0</v>
      </c>
      <c r="BL91" s="35">
        <f t="shared" si="137"/>
        <v>0</v>
      </c>
      <c r="BM91" s="92">
        <f t="shared" ref="BM91:BN91" si="149">+BM92+BM93+BM94+BM95+BM96+BM97+BM98+BM99+BM100+BM101+BM102+BM103+BM104+BM105</f>
        <v>0</v>
      </c>
      <c r="BN91" s="35">
        <f t="shared" si="149"/>
        <v>0</v>
      </c>
      <c r="BO91" s="92">
        <f t="shared" si="16"/>
        <v>0</v>
      </c>
      <c r="BP91" s="35">
        <f t="shared" ref="BP91:BW91" si="150">+BP92+BP93+BP94+BP95+BP96+BP97+BP98+BP99+BP100+BP101+BP102+BP103+BP104+BP105</f>
        <v>0</v>
      </c>
      <c r="BQ91" s="35">
        <f t="shared" si="150"/>
        <v>0</v>
      </c>
      <c r="BR91" s="35">
        <f t="shared" si="150"/>
        <v>0</v>
      </c>
      <c r="BS91" s="35">
        <f t="shared" si="150"/>
        <v>0</v>
      </c>
      <c r="BT91" s="35">
        <f t="shared" si="150"/>
        <v>0</v>
      </c>
      <c r="BU91" s="35">
        <f t="shared" si="150"/>
        <v>0</v>
      </c>
      <c r="BV91" s="35">
        <f t="shared" si="150"/>
        <v>0</v>
      </c>
      <c r="BW91" s="92">
        <f t="shared" si="150"/>
        <v>0</v>
      </c>
      <c r="BX91" s="35"/>
      <c r="BY91" s="92"/>
      <c r="BZ91" s="35"/>
      <c r="CA91" s="35"/>
      <c r="CB91" s="35">
        <f t="shared" ref="CB91:CE91" si="151">+CB92+CB93+CB94+CB95+CB96+CB97+CB98+CB99+CB100+CB101+CB102+CB103+CB104+CB105</f>
        <v>0</v>
      </c>
      <c r="CC91" s="35">
        <f t="shared" si="151"/>
        <v>0</v>
      </c>
      <c r="CD91" s="35">
        <f t="shared" si="151"/>
        <v>0</v>
      </c>
      <c r="CE91" s="415">
        <f t="shared" si="151"/>
        <v>0</v>
      </c>
    </row>
    <row r="92" spans="1:83" ht="24" customHeight="1" x14ac:dyDescent="0.5">
      <c r="A92" s="283">
        <v>1</v>
      </c>
      <c r="B92" s="69" t="s">
        <v>107</v>
      </c>
      <c r="C92" s="396">
        <f t="shared" ref="C92:C105" si="152">+D92+E92</f>
        <v>0</v>
      </c>
      <c r="D92" s="48">
        <v>0</v>
      </c>
      <c r="E92" s="48">
        <v>0</v>
      </c>
      <c r="F92" s="98">
        <v>0</v>
      </c>
      <c r="G92" s="98">
        <f t="shared" si="1"/>
        <v>0</v>
      </c>
      <c r="H92" s="48">
        <v>0</v>
      </c>
      <c r="I92" s="48">
        <v>0</v>
      </c>
      <c r="J92" s="48">
        <f t="shared" ref="J92:J105" si="153">SUM(N92,P92,R92)</f>
        <v>0</v>
      </c>
      <c r="K92" s="98">
        <f t="shared" si="3"/>
        <v>0</v>
      </c>
      <c r="L92" s="48">
        <f t="shared" ref="L92:L105" si="154">SUM(O92,Q92,S92)</f>
        <v>0</v>
      </c>
      <c r="M92" s="98">
        <f t="shared" si="4"/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f t="shared" ref="T92:T105" si="155">SUM(X92,Z92,AB92)</f>
        <v>0</v>
      </c>
      <c r="U92" s="48">
        <f t="shared" si="6"/>
        <v>0</v>
      </c>
      <c r="V92" s="48">
        <f t="shared" ref="V92:V105" si="156">SUM(Y92,AA92,AC92)</f>
        <v>0</v>
      </c>
      <c r="W92" s="48">
        <f t="shared" si="7"/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f t="shared" ref="AD92:AD105" si="157">SUM(AH92,AJ92,AL92,AN92,AP92)</f>
        <v>0</v>
      </c>
      <c r="AE92" s="98">
        <f t="shared" si="9"/>
        <v>0</v>
      </c>
      <c r="AF92" s="48">
        <f t="shared" ref="AF92:AF105" si="158">SUM(AI92,AK92,AM92,AO92,AQ92)</f>
        <v>0</v>
      </c>
      <c r="AG92" s="98">
        <f t="shared" si="10"/>
        <v>0</v>
      </c>
      <c r="AH92" s="48">
        <v>0</v>
      </c>
      <c r="AI92" s="48">
        <v>0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0</v>
      </c>
      <c r="AP92" s="48">
        <v>0</v>
      </c>
      <c r="AQ92" s="48">
        <v>0</v>
      </c>
      <c r="AR92" s="48">
        <v>0</v>
      </c>
      <c r="AS92" s="48">
        <v>0</v>
      </c>
      <c r="AT92" s="48">
        <f t="shared" ref="AT92:AT105" si="159">SUM(AX92,AZ92,BB92,BD92,BF92,BH92)</f>
        <v>0</v>
      </c>
      <c r="AU92" s="48">
        <f t="shared" si="12"/>
        <v>0</v>
      </c>
      <c r="AV92" s="48">
        <f t="shared" ref="AV92:AV105" si="160">SUM(AY92,BA92,BC92,BE92,BG92,BI92)</f>
        <v>0</v>
      </c>
      <c r="AW92" s="48">
        <f t="shared" si="13"/>
        <v>0</v>
      </c>
      <c r="AX92" s="48">
        <v>0</v>
      </c>
      <c r="AY92" s="48">
        <v>0</v>
      </c>
      <c r="AZ92" s="48">
        <v>0</v>
      </c>
      <c r="BA92" s="48">
        <v>0</v>
      </c>
      <c r="BB92" s="48">
        <v>0</v>
      </c>
      <c r="BC92" s="48">
        <v>0</v>
      </c>
      <c r="BD92" s="48">
        <v>0</v>
      </c>
      <c r="BE92" s="48">
        <v>0</v>
      </c>
      <c r="BF92" s="48">
        <v>0</v>
      </c>
      <c r="BG92" s="48">
        <v>0</v>
      </c>
      <c r="BH92" s="48">
        <v>0</v>
      </c>
      <c r="BI92" s="48">
        <v>0</v>
      </c>
      <c r="BJ92" s="48">
        <v>0</v>
      </c>
      <c r="BK92" s="48">
        <v>0</v>
      </c>
      <c r="BL92" s="48">
        <f t="shared" si="137"/>
        <v>0</v>
      </c>
      <c r="BM92" s="98">
        <f t="shared" ref="BM92:BM114" si="161">IF(BJ92&gt;0,BL92*100/BJ92,0)</f>
        <v>0</v>
      </c>
      <c r="BN92" s="48">
        <f t="shared" ref="BN92:BN105" si="162">SUM(BQ92,BS92)</f>
        <v>0</v>
      </c>
      <c r="BO92" s="98">
        <f t="shared" si="16"/>
        <v>0</v>
      </c>
      <c r="BP92" s="48">
        <v>0</v>
      </c>
      <c r="BQ92" s="48">
        <v>0</v>
      </c>
      <c r="BR92" s="48">
        <v>0</v>
      </c>
      <c r="BS92" s="48">
        <v>0</v>
      </c>
      <c r="BT92" s="48">
        <v>0</v>
      </c>
      <c r="BU92" s="48">
        <v>0</v>
      </c>
      <c r="BV92" s="48">
        <f t="shared" ref="BV92:BV105" si="163">SUM(BZ92,CB92,CD92)</f>
        <v>0</v>
      </c>
      <c r="BW92" s="98">
        <f t="shared" ref="BW92:BW105" si="164">IF(BT92&gt;0,BV92*100/BT92,0)</f>
        <v>0</v>
      </c>
      <c r="BX92" s="48">
        <f t="shared" ref="BX92:BX105" si="165">SUM(CA92,CC92,CE92)</f>
        <v>0</v>
      </c>
      <c r="BY92" s="98">
        <f t="shared" ref="BY92:BY105" si="166">IF(BU92&gt;0,BX92*100/BU92,0)</f>
        <v>0</v>
      </c>
      <c r="BZ92" s="48">
        <v>0</v>
      </c>
      <c r="CA92" s="48">
        <v>0</v>
      </c>
      <c r="CB92" s="48">
        <v>0</v>
      </c>
      <c r="CC92" s="48">
        <v>0</v>
      </c>
      <c r="CD92" s="48">
        <v>0</v>
      </c>
      <c r="CE92" s="420">
        <v>0</v>
      </c>
    </row>
    <row r="93" spans="1:83" ht="24" customHeight="1" x14ac:dyDescent="0.5">
      <c r="A93" s="284">
        <v>2</v>
      </c>
      <c r="B93" s="71" t="s">
        <v>108</v>
      </c>
      <c r="C93" s="400">
        <f t="shared" si="152"/>
        <v>0</v>
      </c>
      <c r="D93" s="55">
        <v>0</v>
      </c>
      <c r="E93" s="55">
        <v>0</v>
      </c>
      <c r="F93" s="99">
        <v>0</v>
      </c>
      <c r="G93" s="99">
        <f t="shared" si="1"/>
        <v>0</v>
      </c>
      <c r="H93" s="55">
        <v>0</v>
      </c>
      <c r="I93" s="55">
        <v>0</v>
      </c>
      <c r="J93" s="55">
        <f t="shared" si="153"/>
        <v>0</v>
      </c>
      <c r="K93" s="99">
        <f t="shared" si="3"/>
        <v>0</v>
      </c>
      <c r="L93" s="55">
        <f t="shared" si="154"/>
        <v>0</v>
      </c>
      <c r="M93" s="99">
        <f t="shared" si="4"/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f t="shared" si="155"/>
        <v>0</v>
      </c>
      <c r="U93" s="55">
        <f t="shared" si="6"/>
        <v>0</v>
      </c>
      <c r="V93" s="55">
        <f t="shared" si="156"/>
        <v>0</v>
      </c>
      <c r="W93" s="55">
        <f t="shared" si="7"/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f t="shared" si="157"/>
        <v>0</v>
      </c>
      <c r="AE93" s="99">
        <f t="shared" si="9"/>
        <v>0</v>
      </c>
      <c r="AF93" s="55">
        <f t="shared" si="158"/>
        <v>0</v>
      </c>
      <c r="AG93" s="99">
        <f t="shared" si="10"/>
        <v>0</v>
      </c>
      <c r="AH93" s="55">
        <v>0</v>
      </c>
      <c r="AI93" s="55">
        <v>0</v>
      </c>
      <c r="AJ93" s="55">
        <v>0</v>
      </c>
      <c r="AK93" s="55">
        <v>0</v>
      </c>
      <c r="AL93" s="55">
        <v>0</v>
      </c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f t="shared" si="159"/>
        <v>0</v>
      </c>
      <c r="AU93" s="55">
        <f t="shared" si="12"/>
        <v>0</v>
      </c>
      <c r="AV93" s="55">
        <f t="shared" si="160"/>
        <v>0</v>
      </c>
      <c r="AW93" s="55">
        <f t="shared" si="13"/>
        <v>0</v>
      </c>
      <c r="AX93" s="55">
        <v>0</v>
      </c>
      <c r="AY93" s="55">
        <v>0</v>
      </c>
      <c r="AZ93" s="55">
        <v>0</v>
      </c>
      <c r="BA93" s="55">
        <v>0</v>
      </c>
      <c r="BB93" s="55">
        <v>0</v>
      </c>
      <c r="BC93" s="55">
        <v>0</v>
      </c>
      <c r="BD93" s="55">
        <v>0</v>
      </c>
      <c r="BE93" s="55">
        <v>0</v>
      </c>
      <c r="BF93" s="55">
        <v>0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f t="shared" si="137"/>
        <v>0</v>
      </c>
      <c r="BM93" s="99">
        <f t="shared" si="161"/>
        <v>0</v>
      </c>
      <c r="BN93" s="55">
        <f t="shared" si="162"/>
        <v>0</v>
      </c>
      <c r="BO93" s="99">
        <f t="shared" si="16"/>
        <v>0</v>
      </c>
      <c r="BP93" s="55">
        <v>0</v>
      </c>
      <c r="BQ93" s="55">
        <v>0</v>
      </c>
      <c r="BR93" s="55">
        <v>0</v>
      </c>
      <c r="BS93" s="55">
        <v>0</v>
      </c>
      <c r="BT93" s="55">
        <v>0</v>
      </c>
      <c r="BU93" s="55">
        <v>0</v>
      </c>
      <c r="BV93" s="55">
        <f t="shared" si="163"/>
        <v>0</v>
      </c>
      <c r="BW93" s="99">
        <f t="shared" si="164"/>
        <v>0</v>
      </c>
      <c r="BX93" s="55">
        <f t="shared" si="165"/>
        <v>0</v>
      </c>
      <c r="BY93" s="99">
        <f t="shared" si="166"/>
        <v>0</v>
      </c>
      <c r="BZ93" s="55">
        <v>0</v>
      </c>
      <c r="CA93" s="55">
        <v>0</v>
      </c>
      <c r="CB93" s="55">
        <v>0</v>
      </c>
      <c r="CC93" s="55">
        <v>0</v>
      </c>
      <c r="CD93" s="55">
        <v>0</v>
      </c>
      <c r="CE93" s="422">
        <v>0</v>
      </c>
    </row>
    <row r="94" spans="1:83" ht="24" customHeight="1" x14ac:dyDescent="0.5">
      <c r="A94" s="284">
        <v>3</v>
      </c>
      <c r="B94" s="71" t="s">
        <v>109</v>
      </c>
      <c r="C94" s="400">
        <f t="shared" si="152"/>
        <v>0</v>
      </c>
      <c r="D94" s="55">
        <v>0</v>
      </c>
      <c r="E94" s="55">
        <v>0</v>
      </c>
      <c r="F94" s="99">
        <v>0</v>
      </c>
      <c r="G94" s="99">
        <f t="shared" si="1"/>
        <v>0</v>
      </c>
      <c r="H94" s="55">
        <v>0</v>
      </c>
      <c r="I94" s="55">
        <v>0</v>
      </c>
      <c r="J94" s="55">
        <f t="shared" si="153"/>
        <v>0</v>
      </c>
      <c r="K94" s="99">
        <f t="shared" si="3"/>
        <v>0</v>
      </c>
      <c r="L94" s="55">
        <f t="shared" si="154"/>
        <v>0</v>
      </c>
      <c r="M94" s="99">
        <f t="shared" si="4"/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f t="shared" si="155"/>
        <v>0</v>
      </c>
      <c r="U94" s="55">
        <f t="shared" si="6"/>
        <v>0</v>
      </c>
      <c r="V94" s="55">
        <f t="shared" si="156"/>
        <v>0</v>
      </c>
      <c r="W94" s="55">
        <f t="shared" si="7"/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f t="shared" si="157"/>
        <v>0</v>
      </c>
      <c r="AE94" s="99">
        <f t="shared" si="9"/>
        <v>0</v>
      </c>
      <c r="AF94" s="55">
        <f t="shared" si="158"/>
        <v>0</v>
      </c>
      <c r="AG94" s="99">
        <f t="shared" si="10"/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f t="shared" si="159"/>
        <v>0</v>
      </c>
      <c r="AU94" s="55">
        <f t="shared" si="12"/>
        <v>0</v>
      </c>
      <c r="AV94" s="55">
        <f t="shared" si="160"/>
        <v>0</v>
      </c>
      <c r="AW94" s="55">
        <f t="shared" si="13"/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f t="shared" si="137"/>
        <v>0</v>
      </c>
      <c r="BM94" s="99">
        <f t="shared" si="161"/>
        <v>0</v>
      </c>
      <c r="BN94" s="55">
        <f t="shared" si="162"/>
        <v>0</v>
      </c>
      <c r="BO94" s="99">
        <f t="shared" si="16"/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f t="shared" si="163"/>
        <v>0</v>
      </c>
      <c r="BW94" s="99">
        <f t="shared" si="164"/>
        <v>0</v>
      </c>
      <c r="BX94" s="55">
        <f t="shared" si="165"/>
        <v>0</v>
      </c>
      <c r="BY94" s="99">
        <f t="shared" si="166"/>
        <v>0</v>
      </c>
      <c r="BZ94" s="55">
        <v>0</v>
      </c>
      <c r="CA94" s="55">
        <v>0</v>
      </c>
      <c r="CB94" s="55">
        <v>0</v>
      </c>
      <c r="CC94" s="55">
        <v>0</v>
      </c>
      <c r="CD94" s="55">
        <v>0</v>
      </c>
      <c r="CE94" s="422">
        <v>0</v>
      </c>
    </row>
    <row r="95" spans="1:83" ht="24" customHeight="1" x14ac:dyDescent="0.5">
      <c r="A95" s="284">
        <f t="shared" ref="A95:A105" si="167">+A94+1</f>
        <v>4</v>
      </c>
      <c r="B95" s="71" t="s">
        <v>110</v>
      </c>
      <c r="C95" s="400">
        <f t="shared" si="152"/>
        <v>0</v>
      </c>
      <c r="D95" s="55">
        <v>0</v>
      </c>
      <c r="E95" s="55">
        <v>0</v>
      </c>
      <c r="F95" s="99">
        <v>0</v>
      </c>
      <c r="G95" s="99">
        <f t="shared" si="1"/>
        <v>0</v>
      </c>
      <c r="H95" s="55">
        <v>0</v>
      </c>
      <c r="I95" s="55">
        <v>0</v>
      </c>
      <c r="J95" s="55">
        <f t="shared" si="153"/>
        <v>0</v>
      </c>
      <c r="K95" s="99">
        <f t="shared" si="3"/>
        <v>0</v>
      </c>
      <c r="L95" s="55">
        <f t="shared" si="154"/>
        <v>0</v>
      </c>
      <c r="M95" s="99">
        <f t="shared" si="4"/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f t="shared" si="155"/>
        <v>0</v>
      </c>
      <c r="U95" s="55">
        <f t="shared" si="6"/>
        <v>0</v>
      </c>
      <c r="V95" s="55">
        <f t="shared" si="156"/>
        <v>0</v>
      </c>
      <c r="W95" s="55">
        <f t="shared" si="7"/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f t="shared" si="157"/>
        <v>0</v>
      </c>
      <c r="AE95" s="99">
        <f t="shared" si="9"/>
        <v>0</v>
      </c>
      <c r="AF95" s="55">
        <f t="shared" si="158"/>
        <v>0</v>
      </c>
      <c r="AG95" s="99">
        <f t="shared" si="10"/>
        <v>0</v>
      </c>
      <c r="AH95" s="55">
        <v>0</v>
      </c>
      <c r="AI95" s="55">
        <v>0</v>
      </c>
      <c r="AJ95" s="55">
        <v>0</v>
      </c>
      <c r="AK95" s="55">
        <v>0</v>
      </c>
      <c r="AL95" s="55">
        <v>0</v>
      </c>
      <c r="AM95" s="55">
        <v>0</v>
      </c>
      <c r="AN95" s="55">
        <v>0</v>
      </c>
      <c r="AO95" s="55">
        <v>0</v>
      </c>
      <c r="AP95" s="55">
        <v>0</v>
      </c>
      <c r="AQ95" s="55">
        <v>0</v>
      </c>
      <c r="AR95" s="55">
        <v>0</v>
      </c>
      <c r="AS95" s="55">
        <v>0</v>
      </c>
      <c r="AT95" s="55">
        <f t="shared" si="159"/>
        <v>0</v>
      </c>
      <c r="AU95" s="55">
        <f t="shared" si="12"/>
        <v>0</v>
      </c>
      <c r="AV95" s="55">
        <f t="shared" si="160"/>
        <v>0</v>
      </c>
      <c r="AW95" s="55">
        <f t="shared" si="13"/>
        <v>0</v>
      </c>
      <c r="AX95" s="55">
        <v>0</v>
      </c>
      <c r="AY95" s="55">
        <v>0</v>
      </c>
      <c r="AZ95" s="55">
        <v>0</v>
      </c>
      <c r="BA95" s="55">
        <v>0</v>
      </c>
      <c r="BB95" s="55">
        <v>0</v>
      </c>
      <c r="BC95" s="55">
        <v>0</v>
      </c>
      <c r="BD95" s="55">
        <v>0</v>
      </c>
      <c r="BE95" s="55">
        <v>0</v>
      </c>
      <c r="BF95" s="55">
        <v>0</v>
      </c>
      <c r="BG95" s="55">
        <v>0</v>
      </c>
      <c r="BH95" s="55">
        <v>0</v>
      </c>
      <c r="BI95" s="55">
        <v>0</v>
      </c>
      <c r="BJ95" s="55">
        <v>0</v>
      </c>
      <c r="BK95" s="55">
        <v>0</v>
      </c>
      <c r="BL95" s="55">
        <f t="shared" si="137"/>
        <v>0</v>
      </c>
      <c r="BM95" s="99">
        <f t="shared" si="161"/>
        <v>0</v>
      </c>
      <c r="BN95" s="55">
        <f t="shared" si="162"/>
        <v>0</v>
      </c>
      <c r="BO95" s="99">
        <f t="shared" si="16"/>
        <v>0</v>
      </c>
      <c r="BP95" s="55">
        <v>0</v>
      </c>
      <c r="BQ95" s="55">
        <v>0</v>
      </c>
      <c r="BR95" s="55">
        <v>0</v>
      </c>
      <c r="BS95" s="55">
        <v>0</v>
      </c>
      <c r="BT95" s="55">
        <v>0</v>
      </c>
      <c r="BU95" s="55">
        <v>0</v>
      </c>
      <c r="BV95" s="55">
        <f t="shared" si="163"/>
        <v>0</v>
      </c>
      <c r="BW95" s="99">
        <f t="shared" si="164"/>
        <v>0</v>
      </c>
      <c r="BX95" s="55">
        <f t="shared" si="165"/>
        <v>0</v>
      </c>
      <c r="BY95" s="99">
        <f t="shared" si="166"/>
        <v>0</v>
      </c>
      <c r="BZ95" s="55">
        <v>0</v>
      </c>
      <c r="CA95" s="55">
        <v>0</v>
      </c>
      <c r="CB95" s="55">
        <v>0</v>
      </c>
      <c r="CC95" s="55">
        <v>0</v>
      </c>
      <c r="CD95" s="55">
        <v>0</v>
      </c>
      <c r="CE95" s="422">
        <v>0</v>
      </c>
    </row>
    <row r="96" spans="1:83" ht="24" customHeight="1" x14ac:dyDescent="0.5">
      <c r="A96" s="284">
        <f t="shared" si="167"/>
        <v>5</v>
      </c>
      <c r="B96" s="71" t="s">
        <v>111</v>
      </c>
      <c r="C96" s="400">
        <f t="shared" si="152"/>
        <v>0</v>
      </c>
      <c r="D96" s="55">
        <v>0</v>
      </c>
      <c r="E96" s="55">
        <v>0</v>
      </c>
      <c r="F96" s="99">
        <v>0</v>
      </c>
      <c r="G96" s="99">
        <f t="shared" si="1"/>
        <v>0</v>
      </c>
      <c r="H96" s="55">
        <v>0</v>
      </c>
      <c r="I96" s="55">
        <v>0</v>
      </c>
      <c r="J96" s="55">
        <f t="shared" si="153"/>
        <v>0</v>
      </c>
      <c r="K96" s="99">
        <f t="shared" si="3"/>
        <v>0</v>
      </c>
      <c r="L96" s="55">
        <f t="shared" si="154"/>
        <v>0</v>
      </c>
      <c r="M96" s="99">
        <f t="shared" si="4"/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f t="shared" si="155"/>
        <v>0</v>
      </c>
      <c r="U96" s="55">
        <f t="shared" si="6"/>
        <v>0</v>
      </c>
      <c r="V96" s="55">
        <f t="shared" si="156"/>
        <v>0</v>
      </c>
      <c r="W96" s="55">
        <f t="shared" si="7"/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f t="shared" si="157"/>
        <v>0</v>
      </c>
      <c r="AE96" s="99">
        <f t="shared" si="9"/>
        <v>0</v>
      </c>
      <c r="AF96" s="55">
        <f t="shared" si="158"/>
        <v>0</v>
      </c>
      <c r="AG96" s="99">
        <f t="shared" si="10"/>
        <v>0</v>
      </c>
      <c r="AH96" s="55">
        <v>0</v>
      </c>
      <c r="AI96" s="55">
        <v>0</v>
      </c>
      <c r="AJ96" s="55">
        <v>0</v>
      </c>
      <c r="AK96" s="55">
        <v>0</v>
      </c>
      <c r="AL96" s="55">
        <v>0</v>
      </c>
      <c r="AM96" s="55">
        <v>0</v>
      </c>
      <c r="AN96" s="55">
        <v>0</v>
      </c>
      <c r="AO96" s="55">
        <v>0</v>
      </c>
      <c r="AP96" s="55">
        <v>0</v>
      </c>
      <c r="AQ96" s="55">
        <v>0</v>
      </c>
      <c r="AR96" s="55">
        <v>0</v>
      </c>
      <c r="AS96" s="55">
        <v>0</v>
      </c>
      <c r="AT96" s="55">
        <f t="shared" si="159"/>
        <v>0</v>
      </c>
      <c r="AU96" s="55">
        <f t="shared" si="12"/>
        <v>0</v>
      </c>
      <c r="AV96" s="55">
        <f t="shared" si="160"/>
        <v>0</v>
      </c>
      <c r="AW96" s="55">
        <f t="shared" si="13"/>
        <v>0</v>
      </c>
      <c r="AX96" s="55">
        <v>0</v>
      </c>
      <c r="AY96" s="55">
        <v>0</v>
      </c>
      <c r="AZ96" s="55">
        <v>0</v>
      </c>
      <c r="BA96" s="55">
        <v>0</v>
      </c>
      <c r="BB96" s="55">
        <v>0</v>
      </c>
      <c r="BC96" s="55">
        <v>0</v>
      </c>
      <c r="BD96" s="55">
        <v>0</v>
      </c>
      <c r="BE96" s="55">
        <v>0</v>
      </c>
      <c r="BF96" s="55">
        <v>0</v>
      </c>
      <c r="BG96" s="55">
        <v>0</v>
      </c>
      <c r="BH96" s="55">
        <v>0</v>
      </c>
      <c r="BI96" s="55">
        <v>0</v>
      </c>
      <c r="BJ96" s="55">
        <v>0</v>
      </c>
      <c r="BK96" s="55">
        <v>0</v>
      </c>
      <c r="BL96" s="55">
        <f t="shared" si="137"/>
        <v>0</v>
      </c>
      <c r="BM96" s="99">
        <f t="shared" si="161"/>
        <v>0</v>
      </c>
      <c r="BN96" s="55">
        <f t="shared" si="162"/>
        <v>0</v>
      </c>
      <c r="BO96" s="99">
        <f t="shared" si="16"/>
        <v>0</v>
      </c>
      <c r="BP96" s="55">
        <v>0</v>
      </c>
      <c r="BQ96" s="55">
        <v>0</v>
      </c>
      <c r="BR96" s="55">
        <v>0</v>
      </c>
      <c r="BS96" s="55">
        <v>0</v>
      </c>
      <c r="BT96" s="55">
        <v>0</v>
      </c>
      <c r="BU96" s="55">
        <v>0</v>
      </c>
      <c r="BV96" s="55">
        <f t="shared" si="163"/>
        <v>0</v>
      </c>
      <c r="BW96" s="99">
        <f t="shared" si="164"/>
        <v>0</v>
      </c>
      <c r="BX96" s="55">
        <f t="shared" si="165"/>
        <v>0</v>
      </c>
      <c r="BY96" s="99">
        <f t="shared" si="166"/>
        <v>0</v>
      </c>
      <c r="BZ96" s="55">
        <v>0</v>
      </c>
      <c r="CA96" s="55">
        <v>0</v>
      </c>
      <c r="CB96" s="55">
        <v>0</v>
      </c>
      <c r="CC96" s="55">
        <v>0</v>
      </c>
      <c r="CD96" s="55">
        <v>0</v>
      </c>
      <c r="CE96" s="422">
        <v>0</v>
      </c>
    </row>
    <row r="97" spans="1:83" ht="24" customHeight="1" x14ac:dyDescent="0.5">
      <c r="A97" s="284">
        <f t="shared" si="167"/>
        <v>6</v>
      </c>
      <c r="B97" s="71" t="s">
        <v>112</v>
      </c>
      <c r="C97" s="400">
        <f t="shared" si="152"/>
        <v>1653800</v>
      </c>
      <c r="D97" s="55">
        <v>0</v>
      </c>
      <c r="E97" s="55">
        <v>1653800</v>
      </c>
      <c r="F97" s="99">
        <v>0</v>
      </c>
      <c r="G97" s="99">
        <f t="shared" si="1"/>
        <v>0</v>
      </c>
      <c r="H97" s="55">
        <v>0</v>
      </c>
      <c r="I97" s="55">
        <v>0</v>
      </c>
      <c r="J97" s="55">
        <f t="shared" si="153"/>
        <v>0</v>
      </c>
      <c r="K97" s="99">
        <f t="shared" si="3"/>
        <v>0</v>
      </c>
      <c r="L97" s="55">
        <f t="shared" si="154"/>
        <v>0</v>
      </c>
      <c r="M97" s="99">
        <f t="shared" si="4"/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f t="shared" si="155"/>
        <v>0</v>
      </c>
      <c r="U97" s="55">
        <f t="shared" si="6"/>
        <v>0</v>
      </c>
      <c r="V97" s="55">
        <f t="shared" si="156"/>
        <v>0</v>
      </c>
      <c r="W97" s="55">
        <f t="shared" si="7"/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f t="shared" si="157"/>
        <v>0</v>
      </c>
      <c r="AE97" s="99">
        <f t="shared" si="9"/>
        <v>0</v>
      </c>
      <c r="AF97" s="55">
        <f t="shared" si="158"/>
        <v>0</v>
      </c>
      <c r="AG97" s="99">
        <f t="shared" si="10"/>
        <v>0</v>
      </c>
      <c r="AH97" s="55">
        <v>0</v>
      </c>
      <c r="AI97" s="55">
        <v>0</v>
      </c>
      <c r="AJ97" s="55">
        <v>0</v>
      </c>
      <c r="AK97" s="55">
        <v>0</v>
      </c>
      <c r="AL97" s="55">
        <v>0</v>
      </c>
      <c r="AM97" s="55">
        <v>0</v>
      </c>
      <c r="AN97" s="55">
        <v>0</v>
      </c>
      <c r="AO97" s="55">
        <v>0</v>
      </c>
      <c r="AP97" s="55">
        <v>0</v>
      </c>
      <c r="AQ97" s="55">
        <v>0</v>
      </c>
      <c r="AR97" s="55">
        <v>0</v>
      </c>
      <c r="AS97" s="55">
        <v>0</v>
      </c>
      <c r="AT97" s="55">
        <f t="shared" si="159"/>
        <v>0</v>
      </c>
      <c r="AU97" s="55">
        <f t="shared" si="12"/>
        <v>0</v>
      </c>
      <c r="AV97" s="55">
        <f t="shared" si="160"/>
        <v>0</v>
      </c>
      <c r="AW97" s="55">
        <f t="shared" si="13"/>
        <v>0</v>
      </c>
      <c r="AX97" s="55">
        <v>0</v>
      </c>
      <c r="AY97" s="55">
        <v>0</v>
      </c>
      <c r="AZ97" s="55">
        <v>0</v>
      </c>
      <c r="BA97" s="55">
        <v>0</v>
      </c>
      <c r="BB97" s="55">
        <v>0</v>
      </c>
      <c r="BC97" s="55">
        <v>0</v>
      </c>
      <c r="BD97" s="55">
        <v>0</v>
      </c>
      <c r="BE97" s="55">
        <v>0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f t="shared" si="137"/>
        <v>0</v>
      </c>
      <c r="BM97" s="99">
        <f t="shared" si="161"/>
        <v>0</v>
      </c>
      <c r="BN97" s="55">
        <f t="shared" si="162"/>
        <v>0</v>
      </c>
      <c r="BO97" s="99">
        <f t="shared" si="16"/>
        <v>0</v>
      </c>
      <c r="BP97" s="55">
        <v>0</v>
      </c>
      <c r="BQ97" s="55">
        <v>0</v>
      </c>
      <c r="BR97" s="55">
        <v>0</v>
      </c>
      <c r="BS97" s="55">
        <v>0</v>
      </c>
      <c r="BT97" s="55">
        <v>0</v>
      </c>
      <c r="BU97" s="55">
        <v>0</v>
      </c>
      <c r="BV97" s="55">
        <f t="shared" si="163"/>
        <v>0</v>
      </c>
      <c r="BW97" s="99">
        <f t="shared" si="164"/>
        <v>0</v>
      </c>
      <c r="BX97" s="55">
        <f t="shared" si="165"/>
        <v>0</v>
      </c>
      <c r="BY97" s="99">
        <f t="shared" si="166"/>
        <v>0</v>
      </c>
      <c r="BZ97" s="55">
        <v>0</v>
      </c>
      <c r="CA97" s="55">
        <v>0</v>
      </c>
      <c r="CB97" s="55">
        <v>0</v>
      </c>
      <c r="CC97" s="55">
        <v>0</v>
      </c>
      <c r="CD97" s="55">
        <v>0</v>
      </c>
      <c r="CE97" s="422">
        <v>0</v>
      </c>
    </row>
    <row r="98" spans="1:83" ht="24" customHeight="1" x14ac:dyDescent="0.5">
      <c r="A98" s="284">
        <f t="shared" si="167"/>
        <v>7</v>
      </c>
      <c r="B98" s="71" t="s">
        <v>113</v>
      </c>
      <c r="C98" s="400">
        <f t="shared" si="152"/>
        <v>0</v>
      </c>
      <c r="D98" s="55">
        <v>0</v>
      </c>
      <c r="E98" s="55">
        <v>0</v>
      </c>
      <c r="F98" s="99">
        <v>0</v>
      </c>
      <c r="G98" s="99">
        <f t="shared" si="1"/>
        <v>0</v>
      </c>
      <c r="H98" s="55">
        <v>0</v>
      </c>
      <c r="I98" s="55">
        <v>0</v>
      </c>
      <c r="J98" s="55">
        <f t="shared" si="153"/>
        <v>0</v>
      </c>
      <c r="K98" s="99">
        <f t="shared" si="3"/>
        <v>0</v>
      </c>
      <c r="L98" s="55">
        <f t="shared" si="154"/>
        <v>0</v>
      </c>
      <c r="M98" s="99">
        <f t="shared" si="4"/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f t="shared" si="155"/>
        <v>0</v>
      </c>
      <c r="U98" s="55">
        <f t="shared" si="6"/>
        <v>0</v>
      </c>
      <c r="V98" s="55">
        <f t="shared" si="156"/>
        <v>0</v>
      </c>
      <c r="W98" s="55">
        <f t="shared" si="7"/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5">
        <v>0</v>
      </c>
      <c r="AD98" s="55">
        <f t="shared" si="157"/>
        <v>0</v>
      </c>
      <c r="AE98" s="99">
        <f t="shared" si="9"/>
        <v>0</v>
      </c>
      <c r="AF98" s="55">
        <f t="shared" si="158"/>
        <v>0</v>
      </c>
      <c r="AG98" s="99">
        <f t="shared" si="10"/>
        <v>0</v>
      </c>
      <c r="AH98" s="55">
        <v>0</v>
      </c>
      <c r="AI98" s="55">
        <v>0</v>
      </c>
      <c r="AJ98" s="55">
        <v>0</v>
      </c>
      <c r="AK98" s="55">
        <v>0</v>
      </c>
      <c r="AL98" s="55">
        <v>0</v>
      </c>
      <c r="AM98" s="55">
        <v>0</v>
      </c>
      <c r="AN98" s="55">
        <v>0</v>
      </c>
      <c r="AO98" s="55">
        <v>0</v>
      </c>
      <c r="AP98" s="55">
        <v>0</v>
      </c>
      <c r="AQ98" s="55">
        <v>0</v>
      </c>
      <c r="AR98" s="55">
        <v>0</v>
      </c>
      <c r="AS98" s="55">
        <v>0</v>
      </c>
      <c r="AT98" s="55">
        <f t="shared" si="159"/>
        <v>0</v>
      </c>
      <c r="AU98" s="55">
        <f t="shared" si="12"/>
        <v>0</v>
      </c>
      <c r="AV98" s="55">
        <f t="shared" si="160"/>
        <v>0</v>
      </c>
      <c r="AW98" s="55">
        <f t="shared" si="13"/>
        <v>0</v>
      </c>
      <c r="AX98" s="55">
        <v>0</v>
      </c>
      <c r="AY98" s="55">
        <v>0</v>
      </c>
      <c r="AZ98" s="55">
        <v>0</v>
      </c>
      <c r="BA98" s="55">
        <v>0</v>
      </c>
      <c r="BB98" s="55">
        <v>0</v>
      </c>
      <c r="BC98" s="55">
        <v>0</v>
      </c>
      <c r="BD98" s="55">
        <v>0</v>
      </c>
      <c r="BE98" s="55">
        <v>0</v>
      </c>
      <c r="BF98" s="55">
        <v>0</v>
      </c>
      <c r="BG98" s="55">
        <v>0</v>
      </c>
      <c r="BH98" s="55">
        <v>0</v>
      </c>
      <c r="BI98" s="55">
        <v>0</v>
      </c>
      <c r="BJ98" s="55">
        <v>0</v>
      </c>
      <c r="BK98" s="55">
        <v>0</v>
      </c>
      <c r="BL98" s="55">
        <f t="shared" si="137"/>
        <v>0</v>
      </c>
      <c r="BM98" s="99">
        <f t="shared" si="161"/>
        <v>0</v>
      </c>
      <c r="BN98" s="55">
        <f t="shared" si="162"/>
        <v>0</v>
      </c>
      <c r="BO98" s="99">
        <f t="shared" si="16"/>
        <v>0</v>
      </c>
      <c r="BP98" s="55">
        <v>0</v>
      </c>
      <c r="BQ98" s="55">
        <v>0</v>
      </c>
      <c r="BR98" s="55">
        <v>0</v>
      </c>
      <c r="BS98" s="55">
        <v>0</v>
      </c>
      <c r="BT98" s="55">
        <v>0</v>
      </c>
      <c r="BU98" s="55">
        <v>0</v>
      </c>
      <c r="BV98" s="55">
        <f t="shared" si="163"/>
        <v>0</v>
      </c>
      <c r="BW98" s="99">
        <f t="shared" si="164"/>
        <v>0</v>
      </c>
      <c r="BX98" s="55">
        <f t="shared" si="165"/>
        <v>0</v>
      </c>
      <c r="BY98" s="99">
        <f t="shared" si="166"/>
        <v>0</v>
      </c>
      <c r="BZ98" s="55">
        <v>0</v>
      </c>
      <c r="CA98" s="55">
        <v>0</v>
      </c>
      <c r="CB98" s="55">
        <v>0</v>
      </c>
      <c r="CC98" s="55">
        <v>0</v>
      </c>
      <c r="CD98" s="55">
        <v>0</v>
      </c>
      <c r="CE98" s="422">
        <v>0</v>
      </c>
    </row>
    <row r="99" spans="1:83" ht="24" customHeight="1" x14ac:dyDescent="0.5">
      <c r="A99" s="284">
        <f t="shared" si="167"/>
        <v>8</v>
      </c>
      <c r="B99" s="71" t="s">
        <v>114</v>
      </c>
      <c r="C99" s="400">
        <f t="shared" si="152"/>
        <v>0</v>
      </c>
      <c r="D99" s="55">
        <v>0</v>
      </c>
      <c r="E99" s="55">
        <v>0</v>
      </c>
      <c r="F99" s="99">
        <v>0</v>
      </c>
      <c r="G99" s="99">
        <f t="shared" si="1"/>
        <v>0</v>
      </c>
      <c r="H99" s="55">
        <v>0</v>
      </c>
      <c r="I99" s="55">
        <v>0</v>
      </c>
      <c r="J99" s="55">
        <f t="shared" si="153"/>
        <v>0</v>
      </c>
      <c r="K99" s="99">
        <f t="shared" si="3"/>
        <v>0</v>
      </c>
      <c r="L99" s="55">
        <f t="shared" si="154"/>
        <v>0</v>
      </c>
      <c r="M99" s="99">
        <f t="shared" si="4"/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f t="shared" si="155"/>
        <v>0</v>
      </c>
      <c r="U99" s="55">
        <f t="shared" si="6"/>
        <v>0</v>
      </c>
      <c r="V99" s="55">
        <f t="shared" si="156"/>
        <v>0</v>
      </c>
      <c r="W99" s="55">
        <f t="shared" si="7"/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f t="shared" si="157"/>
        <v>0</v>
      </c>
      <c r="AE99" s="99">
        <f t="shared" si="9"/>
        <v>0</v>
      </c>
      <c r="AF99" s="55">
        <f t="shared" si="158"/>
        <v>0</v>
      </c>
      <c r="AG99" s="99">
        <f t="shared" si="10"/>
        <v>0</v>
      </c>
      <c r="AH99" s="55">
        <v>0</v>
      </c>
      <c r="AI99" s="55">
        <v>0</v>
      </c>
      <c r="AJ99" s="55">
        <v>0</v>
      </c>
      <c r="AK99" s="55">
        <v>0</v>
      </c>
      <c r="AL99" s="55">
        <v>0</v>
      </c>
      <c r="AM99" s="55">
        <v>0</v>
      </c>
      <c r="AN99" s="55">
        <v>0</v>
      </c>
      <c r="AO99" s="55">
        <v>0</v>
      </c>
      <c r="AP99" s="55">
        <v>0</v>
      </c>
      <c r="AQ99" s="55">
        <v>0</v>
      </c>
      <c r="AR99" s="55">
        <v>0</v>
      </c>
      <c r="AS99" s="55">
        <v>0</v>
      </c>
      <c r="AT99" s="55">
        <f t="shared" si="159"/>
        <v>0</v>
      </c>
      <c r="AU99" s="55">
        <f t="shared" si="12"/>
        <v>0</v>
      </c>
      <c r="AV99" s="55">
        <f t="shared" si="160"/>
        <v>0</v>
      </c>
      <c r="AW99" s="55">
        <f t="shared" si="13"/>
        <v>0</v>
      </c>
      <c r="AX99" s="55">
        <v>0</v>
      </c>
      <c r="AY99" s="55">
        <v>0</v>
      </c>
      <c r="AZ99" s="55">
        <v>0</v>
      </c>
      <c r="BA99" s="55">
        <v>0</v>
      </c>
      <c r="BB99" s="55">
        <v>0</v>
      </c>
      <c r="BC99" s="55">
        <v>0</v>
      </c>
      <c r="BD99" s="55">
        <v>0</v>
      </c>
      <c r="BE99" s="55">
        <v>0</v>
      </c>
      <c r="BF99" s="55">
        <v>0</v>
      </c>
      <c r="BG99" s="55">
        <v>0</v>
      </c>
      <c r="BH99" s="55">
        <v>0</v>
      </c>
      <c r="BI99" s="55">
        <v>0</v>
      </c>
      <c r="BJ99" s="55">
        <v>0</v>
      </c>
      <c r="BK99" s="55">
        <v>0</v>
      </c>
      <c r="BL99" s="55">
        <f t="shared" si="137"/>
        <v>0</v>
      </c>
      <c r="BM99" s="99">
        <f t="shared" si="161"/>
        <v>0</v>
      </c>
      <c r="BN99" s="55">
        <f t="shared" si="162"/>
        <v>0</v>
      </c>
      <c r="BO99" s="99">
        <f t="shared" si="16"/>
        <v>0</v>
      </c>
      <c r="BP99" s="55">
        <v>0</v>
      </c>
      <c r="BQ99" s="55">
        <v>0</v>
      </c>
      <c r="BR99" s="55">
        <v>0</v>
      </c>
      <c r="BS99" s="55">
        <v>0</v>
      </c>
      <c r="BT99" s="55">
        <v>0</v>
      </c>
      <c r="BU99" s="55">
        <v>0</v>
      </c>
      <c r="BV99" s="55">
        <f t="shared" si="163"/>
        <v>0</v>
      </c>
      <c r="BW99" s="99">
        <f t="shared" si="164"/>
        <v>0</v>
      </c>
      <c r="BX99" s="55">
        <f t="shared" si="165"/>
        <v>0</v>
      </c>
      <c r="BY99" s="99">
        <f t="shared" si="166"/>
        <v>0</v>
      </c>
      <c r="BZ99" s="55">
        <v>0</v>
      </c>
      <c r="CA99" s="55">
        <v>0</v>
      </c>
      <c r="CB99" s="55">
        <v>0</v>
      </c>
      <c r="CC99" s="55">
        <v>0</v>
      </c>
      <c r="CD99" s="55">
        <v>0</v>
      </c>
      <c r="CE99" s="422">
        <v>0</v>
      </c>
    </row>
    <row r="100" spans="1:83" ht="24" customHeight="1" x14ac:dyDescent="0.5">
      <c r="A100" s="284">
        <f t="shared" si="167"/>
        <v>9</v>
      </c>
      <c r="B100" s="71" t="s">
        <v>115</v>
      </c>
      <c r="C100" s="400">
        <f t="shared" si="152"/>
        <v>0</v>
      </c>
      <c r="D100" s="55">
        <v>0</v>
      </c>
      <c r="E100" s="55">
        <v>0</v>
      </c>
      <c r="F100" s="99">
        <v>0</v>
      </c>
      <c r="G100" s="99">
        <f t="shared" si="1"/>
        <v>0</v>
      </c>
      <c r="H100" s="55">
        <v>0</v>
      </c>
      <c r="I100" s="55">
        <v>0</v>
      </c>
      <c r="J100" s="55">
        <f t="shared" si="153"/>
        <v>0</v>
      </c>
      <c r="K100" s="99">
        <f t="shared" si="3"/>
        <v>0</v>
      </c>
      <c r="L100" s="55">
        <f t="shared" si="154"/>
        <v>0</v>
      </c>
      <c r="M100" s="99">
        <f t="shared" si="4"/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f t="shared" si="155"/>
        <v>0</v>
      </c>
      <c r="U100" s="55">
        <f t="shared" si="6"/>
        <v>0</v>
      </c>
      <c r="V100" s="55">
        <f t="shared" si="156"/>
        <v>0</v>
      </c>
      <c r="W100" s="55">
        <f t="shared" si="7"/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0</v>
      </c>
      <c r="AD100" s="55">
        <f t="shared" si="157"/>
        <v>0</v>
      </c>
      <c r="AE100" s="99">
        <f t="shared" si="9"/>
        <v>0</v>
      </c>
      <c r="AF100" s="55">
        <f t="shared" si="158"/>
        <v>0</v>
      </c>
      <c r="AG100" s="99">
        <f t="shared" si="10"/>
        <v>0</v>
      </c>
      <c r="AH100" s="55">
        <v>0</v>
      </c>
      <c r="AI100" s="55">
        <v>0</v>
      </c>
      <c r="AJ100" s="55">
        <v>0</v>
      </c>
      <c r="AK100" s="55">
        <v>0</v>
      </c>
      <c r="AL100" s="55">
        <v>0</v>
      </c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f t="shared" si="159"/>
        <v>0</v>
      </c>
      <c r="AU100" s="55">
        <f t="shared" si="12"/>
        <v>0</v>
      </c>
      <c r="AV100" s="55">
        <f t="shared" si="160"/>
        <v>0</v>
      </c>
      <c r="AW100" s="55">
        <f t="shared" si="13"/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f t="shared" si="137"/>
        <v>0</v>
      </c>
      <c r="BM100" s="99">
        <f t="shared" si="161"/>
        <v>0</v>
      </c>
      <c r="BN100" s="55">
        <f t="shared" si="162"/>
        <v>0</v>
      </c>
      <c r="BO100" s="99">
        <f t="shared" si="16"/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f t="shared" si="163"/>
        <v>0</v>
      </c>
      <c r="BW100" s="99">
        <f t="shared" si="164"/>
        <v>0</v>
      </c>
      <c r="BX100" s="55">
        <f t="shared" si="165"/>
        <v>0</v>
      </c>
      <c r="BY100" s="99">
        <f t="shared" si="166"/>
        <v>0</v>
      </c>
      <c r="BZ100" s="55">
        <v>0</v>
      </c>
      <c r="CA100" s="55">
        <v>0</v>
      </c>
      <c r="CB100" s="55">
        <v>0</v>
      </c>
      <c r="CC100" s="55">
        <v>0</v>
      </c>
      <c r="CD100" s="55">
        <v>0</v>
      </c>
      <c r="CE100" s="422">
        <v>0</v>
      </c>
    </row>
    <row r="101" spans="1:83" ht="24" customHeight="1" x14ac:dyDescent="0.5">
      <c r="A101" s="284">
        <f t="shared" si="167"/>
        <v>10</v>
      </c>
      <c r="B101" s="71" t="s">
        <v>116</v>
      </c>
      <c r="C101" s="400">
        <f t="shared" si="152"/>
        <v>2870000</v>
      </c>
      <c r="D101" s="55">
        <v>0</v>
      </c>
      <c r="E101" s="55">
        <v>2870000</v>
      </c>
      <c r="F101" s="99">
        <v>0</v>
      </c>
      <c r="G101" s="99">
        <f t="shared" si="1"/>
        <v>0</v>
      </c>
      <c r="H101" s="55">
        <v>0</v>
      </c>
      <c r="I101" s="55">
        <v>0</v>
      </c>
      <c r="J101" s="55">
        <f t="shared" si="153"/>
        <v>0</v>
      </c>
      <c r="K101" s="99">
        <f t="shared" si="3"/>
        <v>0</v>
      </c>
      <c r="L101" s="55">
        <f t="shared" si="154"/>
        <v>0</v>
      </c>
      <c r="M101" s="99">
        <f t="shared" si="4"/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f t="shared" si="155"/>
        <v>0</v>
      </c>
      <c r="U101" s="55">
        <f t="shared" si="6"/>
        <v>0</v>
      </c>
      <c r="V101" s="55">
        <f t="shared" si="156"/>
        <v>0</v>
      </c>
      <c r="W101" s="55">
        <f t="shared" si="7"/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0</v>
      </c>
      <c r="AD101" s="55">
        <f t="shared" si="157"/>
        <v>0</v>
      </c>
      <c r="AE101" s="99">
        <f t="shared" si="9"/>
        <v>0</v>
      </c>
      <c r="AF101" s="55">
        <f t="shared" si="158"/>
        <v>0</v>
      </c>
      <c r="AG101" s="99">
        <f t="shared" si="10"/>
        <v>0</v>
      </c>
      <c r="AH101" s="55">
        <v>0</v>
      </c>
      <c r="AI101" s="55">
        <v>0</v>
      </c>
      <c r="AJ101" s="55">
        <v>0</v>
      </c>
      <c r="AK101" s="55">
        <v>0</v>
      </c>
      <c r="AL101" s="55">
        <v>0</v>
      </c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f t="shared" si="159"/>
        <v>0</v>
      </c>
      <c r="AU101" s="55">
        <f t="shared" si="12"/>
        <v>0</v>
      </c>
      <c r="AV101" s="55">
        <f t="shared" si="160"/>
        <v>0</v>
      </c>
      <c r="AW101" s="55">
        <f t="shared" si="13"/>
        <v>0</v>
      </c>
      <c r="AX101" s="55">
        <v>0</v>
      </c>
      <c r="AY101" s="55">
        <v>0</v>
      </c>
      <c r="AZ101" s="55">
        <v>0</v>
      </c>
      <c r="BA101" s="55">
        <v>0</v>
      </c>
      <c r="BB101" s="55">
        <v>0</v>
      </c>
      <c r="BC101" s="55">
        <v>0</v>
      </c>
      <c r="BD101" s="55">
        <v>0</v>
      </c>
      <c r="BE101" s="55">
        <v>0</v>
      </c>
      <c r="BF101" s="55">
        <v>0</v>
      </c>
      <c r="BG101" s="55">
        <v>0</v>
      </c>
      <c r="BH101" s="55">
        <v>0</v>
      </c>
      <c r="BI101" s="55">
        <v>0</v>
      </c>
      <c r="BJ101" s="55">
        <v>0</v>
      </c>
      <c r="BK101" s="55">
        <v>0</v>
      </c>
      <c r="BL101" s="55">
        <f t="shared" si="137"/>
        <v>0</v>
      </c>
      <c r="BM101" s="99">
        <f t="shared" si="161"/>
        <v>0</v>
      </c>
      <c r="BN101" s="55">
        <f t="shared" si="162"/>
        <v>0</v>
      </c>
      <c r="BO101" s="99">
        <f t="shared" si="16"/>
        <v>0</v>
      </c>
      <c r="BP101" s="55">
        <v>0</v>
      </c>
      <c r="BQ101" s="55">
        <v>0</v>
      </c>
      <c r="BR101" s="55">
        <v>0</v>
      </c>
      <c r="BS101" s="55">
        <v>0</v>
      </c>
      <c r="BT101" s="55">
        <v>0</v>
      </c>
      <c r="BU101" s="55">
        <v>0</v>
      </c>
      <c r="BV101" s="55">
        <f t="shared" si="163"/>
        <v>0</v>
      </c>
      <c r="BW101" s="99">
        <f t="shared" si="164"/>
        <v>0</v>
      </c>
      <c r="BX101" s="55">
        <f t="shared" si="165"/>
        <v>0</v>
      </c>
      <c r="BY101" s="99">
        <f t="shared" si="166"/>
        <v>0</v>
      </c>
      <c r="BZ101" s="55">
        <v>0</v>
      </c>
      <c r="CA101" s="55">
        <v>0</v>
      </c>
      <c r="CB101" s="55">
        <v>0</v>
      </c>
      <c r="CC101" s="55">
        <v>0</v>
      </c>
      <c r="CD101" s="55">
        <v>0</v>
      </c>
      <c r="CE101" s="422">
        <v>0</v>
      </c>
    </row>
    <row r="102" spans="1:83" ht="24" customHeight="1" x14ac:dyDescent="0.5">
      <c r="A102" s="284">
        <f t="shared" si="167"/>
        <v>11</v>
      </c>
      <c r="B102" s="71" t="s">
        <v>117</v>
      </c>
      <c r="C102" s="400">
        <f t="shared" si="152"/>
        <v>0</v>
      </c>
      <c r="D102" s="55">
        <v>0</v>
      </c>
      <c r="E102" s="55">
        <v>0</v>
      </c>
      <c r="F102" s="99">
        <v>0</v>
      </c>
      <c r="G102" s="99">
        <f t="shared" si="1"/>
        <v>0</v>
      </c>
      <c r="H102" s="55">
        <v>0</v>
      </c>
      <c r="I102" s="55">
        <v>0</v>
      </c>
      <c r="J102" s="55">
        <f t="shared" si="153"/>
        <v>0</v>
      </c>
      <c r="K102" s="99">
        <f t="shared" si="3"/>
        <v>0</v>
      </c>
      <c r="L102" s="55">
        <f t="shared" si="154"/>
        <v>0</v>
      </c>
      <c r="M102" s="99">
        <f t="shared" si="4"/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f t="shared" si="155"/>
        <v>0</v>
      </c>
      <c r="U102" s="55">
        <f t="shared" si="6"/>
        <v>0</v>
      </c>
      <c r="V102" s="55">
        <f t="shared" si="156"/>
        <v>0</v>
      </c>
      <c r="W102" s="55">
        <f t="shared" si="7"/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0</v>
      </c>
      <c r="AC102" s="55">
        <v>0</v>
      </c>
      <c r="AD102" s="55">
        <f t="shared" si="157"/>
        <v>0</v>
      </c>
      <c r="AE102" s="99">
        <f t="shared" si="9"/>
        <v>0</v>
      </c>
      <c r="AF102" s="55">
        <f t="shared" si="158"/>
        <v>0</v>
      </c>
      <c r="AG102" s="99">
        <f t="shared" si="10"/>
        <v>0</v>
      </c>
      <c r="AH102" s="55">
        <v>0</v>
      </c>
      <c r="AI102" s="55">
        <v>0</v>
      </c>
      <c r="AJ102" s="55">
        <v>0</v>
      </c>
      <c r="AK102" s="55">
        <v>0</v>
      </c>
      <c r="AL102" s="55">
        <v>0</v>
      </c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f t="shared" si="159"/>
        <v>0</v>
      </c>
      <c r="AU102" s="55">
        <f t="shared" si="12"/>
        <v>0</v>
      </c>
      <c r="AV102" s="55">
        <f t="shared" si="160"/>
        <v>0</v>
      </c>
      <c r="AW102" s="55">
        <f t="shared" si="13"/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f t="shared" si="137"/>
        <v>0</v>
      </c>
      <c r="BM102" s="99">
        <f t="shared" si="161"/>
        <v>0</v>
      </c>
      <c r="BN102" s="55">
        <f t="shared" si="162"/>
        <v>0</v>
      </c>
      <c r="BO102" s="99">
        <f t="shared" si="16"/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f t="shared" si="163"/>
        <v>0</v>
      </c>
      <c r="BW102" s="99">
        <f t="shared" si="164"/>
        <v>0</v>
      </c>
      <c r="BX102" s="55">
        <f t="shared" si="165"/>
        <v>0</v>
      </c>
      <c r="BY102" s="99">
        <f t="shared" si="166"/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422">
        <v>0</v>
      </c>
    </row>
    <row r="103" spans="1:83" ht="24" customHeight="1" x14ac:dyDescent="0.5">
      <c r="A103" s="284">
        <f t="shared" si="167"/>
        <v>12</v>
      </c>
      <c r="B103" s="71" t="s">
        <v>118</v>
      </c>
      <c r="C103" s="400">
        <f t="shared" si="152"/>
        <v>6095150</v>
      </c>
      <c r="D103" s="55">
        <v>0</v>
      </c>
      <c r="E103" s="55">
        <v>6095150</v>
      </c>
      <c r="F103" s="99">
        <v>0</v>
      </c>
      <c r="G103" s="99">
        <f t="shared" si="1"/>
        <v>0</v>
      </c>
      <c r="H103" s="55">
        <v>0</v>
      </c>
      <c r="I103" s="55">
        <v>0</v>
      </c>
      <c r="J103" s="55">
        <f t="shared" si="153"/>
        <v>0</v>
      </c>
      <c r="K103" s="99">
        <f t="shared" si="3"/>
        <v>0</v>
      </c>
      <c r="L103" s="55">
        <f t="shared" si="154"/>
        <v>0</v>
      </c>
      <c r="M103" s="99">
        <f t="shared" si="4"/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f t="shared" si="155"/>
        <v>0</v>
      </c>
      <c r="U103" s="55">
        <f t="shared" si="6"/>
        <v>0</v>
      </c>
      <c r="V103" s="55">
        <f t="shared" si="156"/>
        <v>0</v>
      </c>
      <c r="W103" s="55">
        <f t="shared" si="7"/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0</v>
      </c>
      <c r="AC103" s="55">
        <v>0</v>
      </c>
      <c r="AD103" s="55">
        <f t="shared" si="157"/>
        <v>0</v>
      </c>
      <c r="AE103" s="99">
        <f t="shared" si="9"/>
        <v>0</v>
      </c>
      <c r="AF103" s="55">
        <f t="shared" si="158"/>
        <v>0</v>
      </c>
      <c r="AG103" s="99">
        <f t="shared" si="10"/>
        <v>0</v>
      </c>
      <c r="AH103" s="55">
        <v>0</v>
      </c>
      <c r="AI103" s="55">
        <v>0</v>
      </c>
      <c r="AJ103" s="55">
        <v>0</v>
      </c>
      <c r="AK103" s="55">
        <v>0</v>
      </c>
      <c r="AL103" s="55">
        <v>0</v>
      </c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f t="shared" si="159"/>
        <v>0</v>
      </c>
      <c r="AU103" s="55">
        <f t="shared" si="12"/>
        <v>0</v>
      </c>
      <c r="AV103" s="55">
        <f t="shared" si="160"/>
        <v>0</v>
      </c>
      <c r="AW103" s="55">
        <f t="shared" si="13"/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0</v>
      </c>
      <c r="BH103" s="55">
        <v>0</v>
      </c>
      <c r="BI103" s="55">
        <v>0</v>
      </c>
      <c r="BJ103" s="55">
        <v>0</v>
      </c>
      <c r="BK103" s="55">
        <v>0</v>
      </c>
      <c r="BL103" s="55">
        <f t="shared" si="137"/>
        <v>0</v>
      </c>
      <c r="BM103" s="99">
        <f t="shared" si="161"/>
        <v>0</v>
      </c>
      <c r="BN103" s="55">
        <f t="shared" si="162"/>
        <v>0</v>
      </c>
      <c r="BO103" s="99">
        <f t="shared" si="16"/>
        <v>0</v>
      </c>
      <c r="BP103" s="55">
        <v>0</v>
      </c>
      <c r="BQ103" s="55">
        <v>0</v>
      </c>
      <c r="BR103" s="55">
        <v>0</v>
      </c>
      <c r="BS103" s="55">
        <v>0</v>
      </c>
      <c r="BT103" s="55">
        <v>0</v>
      </c>
      <c r="BU103" s="55">
        <v>0</v>
      </c>
      <c r="BV103" s="55">
        <f t="shared" si="163"/>
        <v>0</v>
      </c>
      <c r="BW103" s="99">
        <f t="shared" si="164"/>
        <v>0</v>
      </c>
      <c r="BX103" s="55">
        <f t="shared" si="165"/>
        <v>0</v>
      </c>
      <c r="BY103" s="99">
        <f t="shared" si="166"/>
        <v>0</v>
      </c>
      <c r="BZ103" s="55">
        <v>0</v>
      </c>
      <c r="CA103" s="55">
        <v>0</v>
      </c>
      <c r="CB103" s="55">
        <v>0</v>
      </c>
      <c r="CC103" s="55">
        <v>0</v>
      </c>
      <c r="CD103" s="55">
        <v>0</v>
      </c>
      <c r="CE103" s="422">
        <v>0</v>
      </c>
    </row>
    <row r="104" spans="1:83" ht="24" customHeight="1" x14ac:dyDescent="0.5">
      <c r="A104" s="284">
        <f t="shared" si="167"/>
        <v>13</v>
      </c>
      <c r="B104" s="71" t="s">
        <v>119</v>
      </c>
      <c r="C104" s="400">
        <f t="shared" si="152"/>
        <v>0</v>
      </c>
      <c r="D104" s="55">
        <v>0</v>
      </c>
      <c r="E104" s="55">
        <v>0</v>
      </c>
      <c r="F104" s="99">
        <v>0</v>
      </c>
      <c r="G104" s="99">
        <f t="shared" si="1"/>
        <v>0</v>
      </c>
      <c r="H104" s="55">
        <v>0</v>
      </c>
      <c r="I104" s="55">
        <v>0</v>
      </c>
      <c r="J104" s="55">
        <f t="shared" si="153"/>
        <v>0</v>
      </c>
      <c r="K104" s="99">
        <f t="shared" si="3"/>
        <v>0</v>
      </c>
      <c r="L104" s="55">
        <f t="shared" si="154"/>
        <v>0</v>
      </c>
      <c r="M104" s="99">
        <f t="shared" si="4"/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f t="shared" si="155"/>
        <v>0</v>
      </c>
      <c r="U104" s="55">
        <f t="shared" si="6"/>
        <v>0</v>
      </c>
      <c r="V104" s="55">
        <f t="shared" si="156"/>
        <v>0</v>
      </c>
      <c r="W104" s="55">
        <f t="shared" si="7"/>
        <v>0</v>
      </c>
      <c r="X104" s="55">
        <v>0</v>
      </c>
      <c r="Y104" s="55">
        <v>0</v>
      </c>
      <c r="Z104" s="55">
        <v>0</v>
      </c>
      <c r="AA104" s="55">
        <v>0</v>
      </c>
      <c r="AB104" s="55">
        <v>0</v>
      </c>
      <c r="AC104" s="55">
        <v>0</v>
      </c>
      <c r="AD104" s="55">
        <f t="shared" si="157"/>
        <v>0</v>
      </c>
      <c r="AE104" s="99">
        <f t="shared" si="9"/>
        <v>0</v>
      </c>
      <c r="AF104" s="55">
        <f t="shared" si="158"/>
        <v>0</v>
      </c>
      <c r="AG104" s="99">
        <f t="shared" si="10"/>
        <v>0</v>
      </c>
      <c r="AH104" s="55">
        <v>0</v>
      </c>
      <c r="AI104" s="55">
        <v>0</v>
      </c>
      <c r="AJ104" s="55">
        <v>0</v>
      </c>
      <c r="AK104" s="55">
        <v>0</v>
      </c>
      <c r="AL104" s="55">
        <v>0</v>
      </c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f t="shared" si="159"/>
        <v>0</v>
      </c>
      <c r="AU104" s="55">
        <f t="shared" si="12"/>
        <v>0</v>
      </c>
      <c r="AV104" s="55">
        <f t="shared" si="160"/>
        <v>0</v>
      </c>
      <c r="AW104" s="55">
        <f t="shared" si="13"/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f t="shared" si="137"/>
        <v>0</v>
      </c>
      <c r="BM104" s="99">
        <f t="shared" si="161"/>
        <v>0</v>
      </c>
      <c r="BN104" s="55">
        <f t="shared" si="162"/>
        <v>0</v>
      </c>
      <c r="BO104" s="99">
        <f t="shared" si="16"/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f t="shared" si="163"/>
        <v>0</v>
      </c>
      <c r="BW104" s="99">
        <f t="shared" si="164"/>
        <v>0</v>
      </c>
      <c r="BX104" s="55">
        <f t="shared" si="165"/>
        <v>0</v>
      </c>
      <c r="BY104" s="99">
        <f t="shared" si="166"/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422">
        <v>0</v>
      </c>
    </row>
    <row r="105" spans="1:83" ht="24" customHeight="1" x14ac:dyDescent="0.5">
      <c r="A105" s="285">
        <f t="shared" si="167"/>
        <v>14</v>
      </c>
      <c r="B105" s="73" t="s">
        <v>120</v>
      </c>
      <c r="C105" s="404">
        <f t="shared" si="152"/>
        <v>0</v>
      </c>
      <c r="D105" s="62">
        <v>0</v>
      </c>
      <c r="E105" s="62">
        <v>0</v>
      </c>
      <c r="F105" s="100">
        <v>0</v>
      </c>
      <c r="G105" s="100">
        <f t="shared" si="1"/>
        <v>0</v>
      </c>
      <c r="H105" s="62">
        <v>0</v>
      </c>
      <c r="I105" s="62">
        <v>0</v>
      </c>
      <c r="J105" s="62">
        <f t="shared" si="153"/>
        <v>0</v>
      </c>
      <c r="K105" s="100">
        <f t="shared" si="3"/>
        <v>0</v>
      </c>
      <c r="L105" s="62">
        <f t="shared" si="154"/>
        <v>0</v>
      </c>
      <c r="M105" s="100">
        <f t="shared" si="4"/>
        <v>0</v>
      </c>
      <c r="N105" s="62">
        <v>0</v>
      </c>
      <c r="O105" s="62">
        <v>0</v>
      </c>
      <c r="P105" s="62">
        <v>0</v>
      </c>
      <c r="Q105" s="62">
        <v>0</v>
      </c>
      <c r="R105" s="62">
        <v>0</v>
      </c>
      <c r="S105" s="62">
        <v>0</v>
      </c>
      <c r="T105" s="62">
        <f t="shared" si="155"/>
        <v>0</v>
      </c>
      <c r="U105" s="62">
        <f t="shared" si="6"/>
        <v>0</v>
      </c>
      <c r="V105" s="62">
        <f t="shared" si="156"/>
        <v>0</v>
      </c>
      <c r="W105" s="62">
        <f t="shared" si="7"/>
        <v>0</v>
      </c>
      <c r="X105" s="62">
        <v>0</v>
      </c>
      <c r="Y105" s="62">
        <v>0</v>
      </c>
      <c r="Z105" s="62">
        <v>0</v>
      </c>
      <c r="AA105" s="62">
        <v>0</v>
      </c>
      <c r="AB105" s="62">
        <v>0</v>
      </c>
      <c r="AC105" s="62">
        <v>0</v>
      </c>
      <c r="AD105" s="62">
        <f t="shared" si="157"/>
        <v>0</v>
      </c>
      <c r="AE105" s="100">
        <f t="shared" si="9"/>
        <v>0</v>
      </c>
      <c r="AF105" s="62">
        <f t="shared" si="158"/>
        <v>0</v>
      </c>
      <c r="AG105" s="100">
        <f t="shared" si="10"/>
        <v>0</v>
      </c>
      <c r="AH105" s="62">
        <v>0</v>
      </c>
      <c r="AI105" s="62">
        <v>0</v>
      </c>
      <c r="AJ105" s="62">
        <v>0</v>
      </c>
      <c r="AK105" s="62">
        <v>0</v>
      </c>
      <c r="AL105" s="62">
        <v>0</v>
      </c>
      <c r="AM105" s="62">
        <v>0</v>
      </c>
      <c r="AN105" s="62">
        <v>0</v>
      </c>
      <c r="AO105" s="62">
        <v>0</v>
      </c>
      <c r="AP105" s="62">
        <v>0</v>
      </c>
      <c r="AQ105" s="62">
        <v>0</v>
      </c>
      <c r="AR105" s="62">
        <v>0</v>
      </c>
      <c r="AS105" s="62">
        <v>0</v>
      </c>
      <c r="AT105" s="62">
        <f t="shared" si="159"/>
        <v>0</v>
      </c>
      <c r="AU105" s="62">
        <f t="shared" si="12"/>
        <v>0</v>
      </c>
      <c r="AV105" s="62">
        <f t="shared" si="160"/>
        <v>0</v>
      </c>
      <c r="AW105" s="62">
        <f t="shared" si="13"/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  <c r="BD105" s="62">
        <v>0</v>
      </c>
      <c r="BE105" s="62">
        <v>0</v>
      </c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62">
        <f t="shared" si="137"/>
        <v>0</v>
      </c>
      <c r="BM105" s="100">
        <f t="shared" si="161"/>
        <v>0</v>
      </c>
      <c r="BN105" s="62">
        <f t="shared" si="162"/>
        <v>0</v>
      </c>
      <c r="BO105" s="100">
        <f t="shared" si="16"/>
        <v>0</v>
      </c>
      <c r="BP105" s="62">
        <v>0</v>
      </c>
      <c r="BQ105" s="62">
        <v>0</v>
      </c>
      <c r="BR105" s="62">
        <v>0</v>
      </c>
      <c r="BS105" s="62">
        <v>0</v>
      </c>
      <c r="BT105" s="62">
        <v>0</v>
      </c>
      <c r="BU105" s="62">
        <v>0</v>
      </c>
      <c r="BV105" s="62">
        <f t="shared" si="163"/>
        <v>0</v>
      </c>
      <c r="BW105" s="100">
        <f t="shared" si="164"/>
        <v>0</v>
      </c>
      <c r="BX105" s="62">
        <f t="shared" si="165"/>
        <v>0</v>
      </c>
      <c r="BY105" s="100">
        <f t="shared" si="166"/>
        <v>0</v>
      </c>
      <c r="BZ105" s="62">
        <v>0</v>
      </c>
      <c r="CA105" s="62">
        <v>0</v>
      </c>
      <c r="CB105" s="62">
        <v>0</v>
      </c>
      <c r="CC105" s="62">
        <v>0</v>
      </c>
      <c r="CD105" s="62">
        <v>0</v>
      </c>
      <c r="CE105" s="424">
        <v>0</v>
      </c>
    </row>
    <row r="106" spans="1:83" ht="24" customHeight="1" x14ac:dyDescent="0.5">
      <c r="A106" s="772" t="s">
        <v>121</v>
      </c>
      <c r="B106" s="571"/>
      <c r="C106" s="37">
        <f t="shared" ref="C106:F106" si="168">+C107+C108+C109+C110+C111+C112+C113+C114</f>
        <v>0</v>
      </c>
      <c r="D106" s="35">
        <f t="shared" si="168"/>
        <v>0</v>
      </c>
      <c r="E106" s="35">
        <f t="shared" si="168"/>
        <v>0</v>
      </c>
      <c r="F106" s="35">
        <f t="shared" si="168"/>
        <v>0</v>
      </c>
      <c r="G106" s="92">
        <f t="shared" si="1"/>
        <v>0</v>
      </c>
      <c r="H106" s="35">
        <f t="shared" ref="H106:J106" si="169">+H107+H108+H109+H110+H111+H112+H113+H114</f>
        <v>0</v>
      </c>
      <c r="I106" s="35">
        <f t="shared" si="169"/>
        <v>0</v>
      </c>
      <c r="J106" s="35">
        <f t="shared" si="169"/>
        <v>0</v>
      </c>
      <c r="K106" s="92">
        <f t="shared" si="3"/>
        <v>0</v>
      </c>
      <c r="L106" s="35">
        <f>+L107+L108+L109+L110+L111+L112+L113+L114</f>
        <v>0</v>
      </c>
      <c r="M106" s="92">
        <f t="shared" si="4"/>
        <v>0</v>
      </c>
      <c r="N106" s="35">
        <f t="shared" ref="N106:T106" si="170">+N107+N108+N109+N110+N111+N112+N113+N114</f>
        <v>0</v>
      </c>
      <c r="O106" s="35">
        <f t="shared" si="170"/>
        <v>0</v>
      </c>
      <c r="P106" s="35">
        <f t="shared" si="170"/>
        <v>0</v>
      </c>
      <c r="Q106" s="35">
        <f t="shared" si="170"/>
        <v>0</v>
      </c>
      <c r="R106" s="35">
        <f t="shared" si="170"/>
        <v>0</v>
      </c>
      <c r="S106" s="35">
        <f t="shared" si="170"/>
        <v>0</v>
      </c>
      <c r="T106" s="35">
        <f t="shared" si="170"/>
        <v>0</v>
      </c>
      <c r="U106" s="35">
        <f t="shared" si="6"/>
        <v>0</v>
      </c>
      <c r="V106" s="35">
        <f>+V107+V108+V109+V110+V111+V112+V113+V114</f>
        <v>0</v>
      </c>
      <c r="W106" s="35">
        <f t="shared" si="7"/>
        <v>0</v>
      </c>
      <c r="X106" s="35">
        <f t="shared" ref="X106:AD106" si="171">+X107+X108+X109+X110+X111+X112+X113+X114</f>
        <v>0</v>
      </c>
      <c r="Y106" s="35">
        <f t="shared" si="171"/>
        <v>0</v>
      </c>
      <c r="Z106" s="35">
        <f t="shared" si="171"/>
        <v>0</v>
      </c>
      <c r="AA106" s="35">
        <f t="shared" si="171"/>
        <v>0</v>
      </c>
      <c r="AB106" s="35">
        <f t="shared" si="171"/>
        <v>0</v>
      </c>
      <c r="AC106" s="35">
        <f t="shared" si="171"/>
        <v>0</v>
      </c>
      <c r="AD106" s="35">
        <f t="shared" si="171"/>
        <v>0</v>
      </c>
      <c r="AE106" s="92">
        <f t="shared" si="9"/>
        <v>0</v>
      </c>
      <c r="AF106" s="35">
        <f>+AF107+AF108+AF109+AF110+AF111+AF112+AF113+AF114</f>
        <v>0</v>
      </c>
      <c r="AG106" s="92">
        <f t="shared" si="10"/>
        <v>0</v>
      </c>
      <c r="AH106" s="35">
        <f t="shared" ref="AH106:AT106" si="172">+AH107+AH108+AH109+AH110+AH111+AH112+AH113+AH114</f>
        <v>0</v>
      </c>
      <c r="AI106" s="35">
        <f t="shared" si="172"/>
        <v>0</v>
      </c>
      <c r="AJ106" s="35">
        <f t="shared" si="172"/>
        <v>0</v>
      </c>
      <c r="AK106" s="35">
        <f t="shared" si="172"/>
        <v>0</v>
      </c>
      <c r="AL106" s="35">
        <f t="shared" si="172"/>
        <v>0</v>
      </c>
      <c r="AM106" s="35">
        <f t="shared" si="172"/>
        <v>0</v>
      </c>
      <c r="AN106" s="35">
        <f t="shared" si="172"/>
        <v>0</v>
      </c>
      <c r="AO106" s="35">
        <f t="shared" si="172"/>
        <v>0</v>
      </c>
      <c r="AP106" s="35">
        <f t="shared" si="172"/>
        <v>0</v>
      </c>
      <c r="AQ106" s="35">
        <f t="shared" si="172"/>
        <v>0</v>
      </c>
      <c r="AR106" s="35">
        <f t="shared" si="172"/>
        <v>0</v>
      </c>
      <c r="AS106" s="35">
        <f t="shared" si="172"/>
        <v>0</v>
      </c>
      <c r="AT106" s="35">
        <f t="shared" si="172"/>
        <v>0</v>
      </c>
      <c r="AU106" s="35">
        <f t="shared" si="12"/>
        <v>0</v>
      </c>
      <c r="AV106" s="35">
        <f>+AV107+AV108+AV109+AV110+AV111+AV112+AV113+AV114</f>
        <v>0</v>
      </c>
      <c r="AW106" s="35">
        <f t="shared" si="13"/>
        <v>0</v>
      </c>
      <c r="AX106" s="35">
        <f t="shared" ref="AX106:BL106" si="173">+AX107+AX108+AX109+AX110+AX111+AX112+AX113+AX114</f>
        <v>0</v>
      </c>
      <c r="AY106" s="35">
        <f t="shared" si="173"/>
        <v>0</v>
      </c>
      <c r="AZ106" s="35">
        <f t="shared" si="173"/>
        <v>0</v>
      </c>
      <c r="BA106" s="35">
        <f t="shared" si="173"/>
        <v>0</v>
      </c>
      <c r="BB106" s="35">
        <f t="shared" si="173"/>
        <v>0</v>
      </c>
      <c r="BC106" s="35">
        <f t="shared" si="173"/>
        <v>0</v>
      </c>
      <c r="BD106" s="35">
        <f t="shared" si="173"/>
        <v>0</v>
      </c>
      <c r="BE106" s="35">
        <f t="shared" si="173"/>
        <v>0</v>
      </c>
      <c r="BF106" s="35">
        <f t="shared" si="173"/>
        <v>0</v>
      </c>
      <c r="BG106" s="35">
        <f t="shared" si="173"/>
        <v>0</v>
      </c>
      <c r="BH106" s="35">
        <f t="shared" si="173"/>
        <v>0</v>
      </c>
      <c r="BI106" s="35">
        <f t="shared" si="173"/>
        <v>0</v>
      </c>
      <c r="BJ106" s="35">
        <f t="shared" si="173"/>
        <v>0</v>
      </c>
      <c r="BK106" s="35">
        <f t="shared" si="173"/>
        <v>0</v>
      </c>
      <c r="BL106" s="35">
        <f t="shared" si="173"/>
        <v>0</v>
      </c>
      <c r="BM106" s="92">
        <f t="shared" si="161"/>
        <v>0</v>
      </c>
      <c r="BN106" s="35">
        <f>+BN107+BN108+BN109+BN110+BN111+BN112+BN113+BN114</f>
        <v>0</v>
      </c>
      <c r="BO106" s="92">
        <f t="shared" si="16"/>
        <v>0</v>
      </c>
      <c r="BP106" s="35">
        <f t="shared" ref="BP106:BW106" si="174">+BP107+BP108+BP109+BP110+BP111+BP112+BP113+BP114</f>
        <v>0</v>
      </c>
      <c r="BQ106" s="35">
        <f t="shared" si="174"/>
        <v>0</v>
      </c>
      <c r="BR106" s="35">
        <f t="shared" si="174"/>
        <v>0</v>
      </c>
      <c r="BS106" s="35">
        <f t="shared" si="174"/>
        <v>0</v>
      </c>
      <c r="BT106" s="35">
        <f t="shared" si="174"/>
        <v>0</v>
      </c>
      <c r="BU106" s="35">
        <f t="shared" si="174"/>
        <v>0</v>
      </c>
      <c r="BV106" s="35">
        <f t="shared" si="174"/>
        <v>0</v>
      </c>
      <c r="BW106" s="92">
        <f t="shared" si="174"/>
        <v>0</v>
      </c>
      <c r="BX106" s="35"/>
      <c r="BY106" s="92"/>
      <c r="BZ106" s="35"/>
      <c r="CA106" s="35"/>
      <c r="CB106" s="35">
        <f t="shared" ref="CB106:CE106" si="175">+CB107+CB108+CB109+CB110+CB111+CB112+CB113+CB114</f>
        <v>0</v>
      </c>
      <c r="CC106" s="35">
        <f t="shared" si="175"/>
        <v>0</v>
      </c>
      <c r="CD106" s="35">
        <f t="shared" si="175"/>
        <v>0</v>
      </c>
      <c r="CE106" s="415">
        <f t="shared" si="175"/>
        <v>0</v>
      </c>
    </row>
    <row r="107" spans="1:83" ht="24" customHeight="1" x14ac:dyDescent="0.5">
      <c r="A107" s="283">
        <v>1</v>
      </c>
      <c r="B107" s="69" t="s">
        <v>122</v>
      </c>
      <c r="C107" s="396">
        <f t="shared" ref="C107:C114" si="176">+D107+E107</f>
        <v>0</v>
      </c>
      <c r="D107" s="48">
        <v>0</v>
      </c>
      <c r="E107" s="48">
        <v>0</v>
      </c>
      <c r="F107" s="98">
        <v>0</v>
      </c>
      <c r="G107" s="98">
        <f t="shared" si="1"/>
        <v>0</v>
      </c>
      <c r="H107" s="48">
        <v>0</v>
      </c>
      <c r="I107" s="48">
        <v>0</v>
      </c>
      <c r="J107" s="48">
        <f t="shared" ref="J107:J114" si="177">SUM(N107,P107,R107)</f>
        <v>0</v>
      </c>
      <c r="K107" s="98">
        <f t="shared" si="3"/>
        <v>0</v>
      </c>
      <c r="L107" s="48">
        <f t="shared" ref="L107:L114" si="178">SUM(O107,Q107,S107)</f>
        <v>0</v>
      </c>
      <c r="M107" s="98">
        <f t="shared" si="4"/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f t="shared" ref="T107:T114" si="179">SUM(X107,Z107,AB107)</f>
        <v>0</v>
      </c>
      <c r="U107" s="48">
        <f t="shared" si="6"/>
        <v>0</v>
      </c>
      <c r="V107" s="48">
        <f t="shared" ref="V107:V114" si="180">SUM(Y107,AA107,AC107)</f>
        <v>0</v>
      </c>
      <c r="W107" s="48">
        <f t="shared" si="7"/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48">
        <v>0</v>
      </c>
      <c r="AD107" s="48">
        <f t="shared" ref="AD107:AD114" si="181">SUM(AH107,AJ107,AL107,AN107,AP107)</f>
        <v>0</v>
      </c>
      <c r="AE107" s="98">
        <f t="shared" si="9"/>
        <v>0</v>
      </c>
      <c r="AF107" s="48">
        <f t="shared" ref="AF107:AF114" si="182">SUM(AI107,AK107,AM107,AO107,AQ107)</f>
        <v>0</v>
      </c>
      <c r="AG107" s="98">
        <f t="shared" si="10"/>
        <v>0</v>
      </c>
      <c r="AH107" s="48">
        <v>0</v>
      </c>
      <c r="AI107" s="48">
        <v>0</v>
      </c>
      <c r="AJ107" s="48">
        <v>0</v>
      </c>
      <c r="AK107" s="48">
        <v>0</v>
      </c>
      <c r="AL107" s="48">
        <v>0</v>
      </c>
      <c r="AM107" s="48">
        <v>0</v>
      </c>
      <c r="AN107" s="48">
        <v>0</v>
      </c>
      <c r="AO107" s="48">
        <v>0</v>
      </c>
      <c r="AP107" s="48">
        <v>0</v>
      </c>
      <c r="AQ107" s="48">
        <v>0</v>
      </c>
      <c r="AR107" s="48">
        <v>0</v>
      </c>
      <c r="AS107" s="48">
        <v>0</v>
      </c>
      <c r="AT107" s="48">
        <f t="shared" ref="AT107:AT114" si="183">SUM(AX107,AZ107,BB107,BD107,BF107,BH107)</f>
        <v>0</v>
      </c>
      <c r="AU107" s="48">
        <f t="shared" si="12"/>
        <v>0</v>
      </c>
      <c r="AV107" s="48">
        <f t="shared" ref="AV107:AV114" si="184">SUM(AY107,BA107,BC107,BE107,BG107,BI107)</f>
        <v>0</v>
      </c>
      <c r="AW107" s="48">
        <f t="shared" si="13"/>
        <v>0</v>
      </c>
      <c r="AX107" s="48">
        <v>0</v>
      </c>
      <c r="AY107" s="48">
        <v>0</v>
      </c>
      <c r="AZ107" s="48">
        <v>0</v>
      </c>
      <c r="BA107" s="48">
        <v>0</v>
      </c>
      <c r="BB107" s="48">
        <v>0</v>
      </c>
      <c r="BC107" s="48">
        <v>0</v>
      </c>
      <c r="BD107" s="48">
        <v>0</v>
      </c>
      <c r="BE107" s="48">
        <v>0</v>
      </c>
      <c r="BF107" s="48">
        <v>0</v>
      </c>
      <c r="BG107" s="48">
        <v>0</v>
      </c>
      <c r="BH107" s="48">
        <v>0</v>
      </c>
      <c r="BI107" s="48">
        <v>0</v>
      </c>
      <c r="BJ107" s="48">
        <v>0</v>
      </c>
      <c r="BK107" s="48">
        <v>0</v>
      </c>
      <c r="BL107" s="48">
        <f t="shared" ref="BL107:BL114" si="185">SUM(BP107,BR107)</f>
        <v>0</v>
      </c>
      <c r="BM107" s="98">
        <f t="shared" si="161"/>
        <v>0</v>
      </c>
      <c r="BN107" s="48">
        <f t="shared" ref="BN107:BN114" si="186">SUM(BQ107,BS107)</f>
        <v>0</v>
      </c>
      <c r="BO107" s="98">
        <f t="shared" si="16"/>
        <v>0</v>
      </c>
      <c r="BP107" s="48">
        <v>0</v>
      </c>
      <c r="BQ107" s="48">
        <v>0</v>
      </c>
      <c r="BR107" s="48">
        <v>0</v>
      </c>
      <c r="BS107" s="48">
        <v>0</v>
      </c>
      <c r="BT107" s="48">
        <v>0</v>
      </c>
      <c r="BU107" s="48">
        <v>0</v>
      </c>
      <c r="BV107" s="48">
        <f t="shared" ref="BV107:BV114" si="187">SUM(BZ107,CB107,CD107)</f>
        <v>0</v>
      </c>
      <c r="BW107" s="98">
        <f t="shared" ref="BW107:BW114" si="188">IF(BT107&gt;0,BV107*100/BT107,0)</f>
        <v>0</v>
      </c>
      <c r="BX107" s="48">
        <f t="shared" ref="BX107:BX114" si="189">SUM(CA107,CC107,CE107)</f>
        <v>0</v>
      </c>
      <c r="BY107" s="98">
        <f t="shared" ref="BY107:BY114" si="190">IF(BU107&gt;0,BX107*100/BU107,0)</f>
        <v>0</v>
      </c>
      <c r="BZ107" s="48">
        <v>0</v>
      </c>
      <c r="CA107" s="48">
        <v>0</v>
      </c>
      <c r="CB107" s="48">
        <v>0</v>
      </c>
      <c r="CC107" s="48">
        <v>0</v>
      </c>
      <c r="CD107" s="48">
        <v>0</v>
      </c>
      <c r="CE107" s="420">
        <v>0</v>
      </c>
    </row>
    <row r="108" spans="1:83" ht="24" customHeight="1" x14ac:dyDescent="0.5">
      <c r="A108" s="284">
        <v>2</v>
      </c>
      <c r="B108" s="71" t="s">
        <v>123</v>
      </c>
      <c r="C108" s="400">
        <f t="shared" si="176"/>
        <v>0</v>
      </c>
      <c r="D108" s="55">
        <v>0</v>
      </c>
      <c r="E108" s="55">
        <v>0</v>
      </c>
      <c r="F108" s="99">
        <v>0</v>
      </c>
      <c r="G108" s="99">
        <f t="shared" si="1"/>
        <v>0</v>
      </c>
      <c r="H108" s="55">
        <v>0</v>
      </c>
      <c r="I108" s="55">
        <v>0</v>
      </c>
      <c r="J108" s="55">
        <f t="shared" si="177"/>
        <v>0</v>
      </c>
      <c r="K108" s="99">
        <f t="shared" si="3"/>
        <v>0</v>
      </c>
      <c r="L108" s="55">
        <f t="shared" si="178"/>
        <v>0</v>
      </c>
      <c r="M108" s="99">
        <f t="shared" si="4"/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f t="shared" si="179"/>
        <v>0</v>
      </c>
      <c r="U108" s="55">
        <f t="shared" si="6"/>
        <v>0</v>
      </c>
      <c r="V108" s="55">
        <f t="shared" si="180"/>
        <v>0</v>
      </c>
      <c r="W108" s="55">
        <f t="shared" si="7"/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  <c r="AC108" s="55">
        <v>0</v>
      </c>
      <c r="AD108" s="55">
        <f t="shared" si="181"/>
        <v>0</v>
      </c>
      <c r="AE108" s="99">
        <f t="shared" si="9"/>
        <v>0</v>
      </c>
      <c r="AF108" s="55">
        <f t="shared" si="182"/>
        <v>0</v>
      </c>
      <c r="AG108" s="99">
        <f t="shared" si="10"/>
        <v>0</v>
      </c>
      <c r="AH108" s="55">
        <v>0</v>
      </c>
      <c r="AI108" s="55">
        <v>0</v>
      </c>
      <c r="AJ108" s="55">
        <v>0</v>
      </c>
      <c r="AK108" s="55">
        <v>0</v>
      </c>
      <c r="AL108" s="55">
        <v>0</v>
      </c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f t="shared" si="183"/>
        <v>0</v>
      </c>
      <c r="AU108" s="55">
        <f t="shared" si="12"/>
        <v>0</v>
      </c>
      <c r="AV108" s="55">
        <f t="shared" si="184"/>
        <v>0</v>
      </c>
      <c r="AW108" s="55">
        <f t="shared" si="13"/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f t="shared" si="185"/>
        <v>0</v>
      </c>
      <c r="BM108" s="99">
        <f t="shared" si="161"/>
        <v>0</v>
      </c>
      <c r="BN108" s="55">
        <f t="shared" si="186"/>
        <v>0</v>
      </c>
      <c r="BO108" s="99">
        <f t="shared" si="16"/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f t="shared" si="187"/>
        <v>0</v>
      </c>
      <c r="BW108" s="99">
        <f t="shared" si="188"/>
        <v>0</v>
      </c>
      <c r="BX108" s="55">
        <f t="shared" si="189"/>
        <v>0</v>
      </c>
      <c r="BY108" s="99">
        <f t="shared" si="190"/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422">
        <v>0</v>
      </c>
    </row>
    <row r="109" spans="1:83" ht="24" customHeight="1" x14ac:dyDescent="0.5">
      <c r="A109" s="284">
        <v>3</v>
      </c>
      <c r="B109" s="71" t="s">
        <v>124</v>
      </c>
      <c r="C109" s="400">
        <f t="shared" si="176"/>
        <v>0</v>
      </c>
      <c r="D109" s="55">
        <v>0</v>
      </c>
      <c r="E109" s="55">
        <v>0</v>
      </c>
      <c r="F109" s="99">
        <v>0</v>
      </c>
      <c r="G109" s="99">
        <f t="shared" si="1"/>
        <v>0</v>
      </c>
      <c r="H109" s="55">
        <v>0</v>
      </c>
      <c r="I109" s="55">
        <v>0</v>
      </c>
      <c r="J109" s="55">
        <f t="shared" si="177"/>
        <v>0</v>
      </c>
      <c r="K109" s="99">
        <f t="shared" si="3"/>
        <v>0</v>
      </c>
      <c r="L109" s="55">
        <f t="shared" si="178"/>
        <v>0</v>
      </c>
      <c r="M109" s="99">
        <f t="shared" si="4"/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f t="shared" si="179"/>
        <v>0</v>
      </c>
      <c r="U109" s="55">
        <f t="shared" si="6"/>
        <v>0</v>
      </c>
      <c r="V109" s="55">
        <f t="shared" si="180"/>
        <v>0</v>
      </c>
      <c r="W109" s="55">
        <f t="shared" si="7"/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0</v>
      </c>
      <c r="AC109" s="55">
        <v>0</v>
      </c>
      <c r="AD109" s="55">
        <f t="shared" si="181"/>
        <v>0</v>
      </c>
      <c r="AE109" s="99">
        <f t="shared" si="9"/>
        <v>0</v>
      </c>
      <c r="AF109" s="55">
        <f t="shared" si="182"/>
        <v>0</v>
      </c>
      <c r="AG109" s="99">
        <f t="shared" si="10"/>
        <v>0</v>
      </c>
      <c r="AH109" s="55">
        <v>0</v>
      </c>
      <c r="AI109" s="55">
        <v>0</v>
      </c>
      <c r="AJ109" s="55">
        <v>0</v>
      </c>
      <c r="AK109" s="55">
        <v>0</v>
      </c>
      <c r="AL109" s="55">
        <v>0</v>
      </c>
      <c r="AM109" s="55">
        <v>0</v>
      </c>
      <c r="AN109" s="55">
        <v>0</v>
      </c>
      <c r="AO109" s="55">
        <v>0</v>
      </c>
      <c r="AP109" s="55">
        <v>0</v>
      </c>
      <c r="AQ109" s="55">
        <v>0</v>
      </c>
      <c r="AR109" s="55">
        <v>0</v>
      </c>
      <c r="AS109" s="55">
        <v>0</v>
      </c>
      <c r="AT109" s="55">
        <f t="shared" si="183"/>
        <v>0</v>
      </c>
      <c r="AU109" s="55">
        <f t="shared" si="12"/>
        <v>0</v>
      </c>
      <c r="AV109" s="55">
        <f t="shared" si="184"/>
        <v>0</v>
      </c>
      <c r="AW109" s="55">
        <f t="shared" si="13"/>
        <v>0</v>
      </c>
      <c r="AX109" s="55">
        <v>0</v>
      </c>
      <c r="AY109" s="55">
        <v>0</v>
      </c>
      <c r="AZ109" s="55">
        <v>0</v>
      </c>
      <c r="BA109" s="55">
        <v>0</v>
      </c>
      <c r="BB109" s="55">
        <v>0</v>
      </c>
      <c r="BC109" s="55">
        <v>0</v>
      </c>
      <c r="BD109" s="55">
        <v>0</v>
      </c>
      <c r="BE109" s="55">
        <v>0</v>
      </c>
      <c r="BF109" s="55">
        <v>0</v>
      </c>
      <c r="BG109" s="55">
        <v>0</v>
      </c>
      <c r="BH109" s="55">
        <v>0</v>
      </c>
      <c r="BI109" s="55">
        <v>0</v>
      </c>
      <c r="BJ109" s="55">
        <v>0</v>
      </c>
      <c r="BK109" s="55">
        <v>0</v>
      </c>
      <c r="BL109" s="55">
        <f t="shared" si="185"/>
        <v>0</v>
      </c>
      <c r="BM109" s="99">
        <f t="shared" si="161"/>
        <v>0</v>
      </c>
      <c r="BN109" s="55">
        <f t="shared" si="186"/>
        <v>0</v>
      </c>
      <c r="BO109" s="99">
        <f t="shared" si="16"/>
        <v>0</v>
      </c>
      <c r="BP109" s="55">
        <v>0</v>
      </c>
      <c r="BQ109" s="55">
        <v>0</v>
      </c>
      <c r="BR109" s="55">
        <v>0</v>
      </c>
      <c r="BS109" s="55">
        <v>0</v>
      </c>
      <c r="BT109" s="55">
        <v>0</v>
      </c>
      <c r="BU109" s="55">
        <v>0</v>
      </c>
      <c r="BV109" s="55">
        <f t="shared" si="187"/>
        <v>0</v>
      </c>
      <c r="BW109" s="99">
        <f t="shared" si="188"/>
        <v>0</v>
      </c>
      <c r="BX109" s="55">
        <f t="shared" si="189"/>
        <v>0</v>
      </c>
      <c r="BY109" s="99">
        <f t="shared" si="190"/>
        <v>0</v>
      </c>
      <c r="BZ109" s="55">
        <v>0</v>
      </c>
      <c r="CA109" s="55">
        <v>0</v>
      </c>
      <c r="CB109" s="55">
        <v>0</v>
      </c>
      <c r="CC109" s="55">
        <v>0</v>
      </c>
      <c r="CD109" s="55">
        <v>0</v>
      </c>
      <c r="CE109" s="422">
        <v>0</v>
      </c>
    </row>
    <row r="110" spans="1:83" ht="24" customHeight="1" x14ac:dyDescent="0.5">
      <c r="A110" s="284">
        <f t="shared" ref="A110:A112" si="191">+A109+1</f>
        <v>4</v>
      </c>
      <c r="B110" s="71" t="s">
        <v>125</v>
      </c>
      <c r="C110" s="400">
        <f t="shared" si="176"/>
        <v>0</v>
      </c>
      <c r="D110" s="55">
        <v>0</v>
      </c>
      <c r="E110" s="55">
        <v>0</v>
      </c>
      <c r="F110" s="99">
        <v>0</v>
      </c>
      <c r="G110" s="99">
        <f t="shared" si="1"/>
        <v>0</v>
      </c>
      <c r="H110" s="55">
        <v>0</v>
      </c>
      <c r="I110" s="55">
        <v>0</v>
      </c>
      <c r="J110" s="55">
        <f t="shared" si="177"/>
        <v>0</v>
      </c>
      <c r="K110" s="99">
        <f t="shared" si="3"/>
        <v>0</v>
      </c>
      <c r="L110" s="55">
        <f t="shared" si="178"/>
        <v>0</v>
      </c>
      <c r="M110" s="99">
        <f t="shared" si="4"/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f t="shared" si="179"/>
        <v>0</v>
      </c>
      <c r="U110" s="55">
        <f t="shared" si="6"/>
        <v>0</v>
      </c>
      <c r="V110" s="55">
        <f t="shared" si="180"/>
        <v>0</v>
      </c>
      <c r="W110" s="55">
        <f t="shared" si="7"/>
        <v>0</v>
      </c>
      <c r="X110" s="55">
        <v>0</v>
      </c>
      <c r="Y110" s="55">
        <v>0</v>
      </c>
      <c r="Z110" s="55">
        <v>0</v>
      </c>
      <c r="AA110" s="55">
        <v>0</v>
      </c>
      <c r="AB110" s="55">
        <v>0</v>
      </c>
      <c r="AC110" s="55">
        <v>0</v>
      </c>
      <c r="AD110" s="55">
        <f t="shared" si="181"/>
        <v>0</v>
      </c>
      <c r="AE110" s="99">
        <f t="shared" si="9"/>
        <v>0</v>
      </c>
      <c r="AF110" s="55">
        <f t="shared" si="182"/>
        <v>0</v>
      </c>
      <c r="AG110" s="99">
        <f t="shared" si="10"/>
        <v>0</v>
      </c>
      <c r="AH110" s="55">
        <v>0</v>
      </c>
      <c r="AI110" s="55">
        <v>0</v>
      </c>
      <c r="AJ110" s="55">
        <v>0</v>
      </c>
      <c r="AK110" s="55">
        <v>0</v>
      </c>
      <c r="AL110" s="55">
        <v>0</v>
      </c>
      <c r="AM110" s="55">
        <v>0</v>
      </c>
      <c r="AN110" s="55">
        <v>0</v>
      </c>
      <c r="AO110" s="55">
        <v>0</v>
      </c>
      <c r="AP110" s="55">
        <v>0</v>
      </c>
      <c r="AQ110" s="55">
        <v>0</v>
      </c>
      <c r="AR110" s="55">
        <v>0</v>
      </c>
      <c r="AS110" s="55">
        <v>0</v>
      </c>
      <c r="AT110" s="55">
        <f t="shared" si="183"/>
        <v>0</v>
      </c>
      <c r="AU110" s="55">
        <f t="shared" si="12"/>
        <v>0</v>
      </c>
      <c r="AV110" s="55">
        <f t="shared" si="184"/>
        <v>0</v>
      </c>
      <c r="AW110" s="55">
        <f t="shared" si="13"/>
        <v>0</v>
      </c>
      <c r="AX110" s="55">
        <v>0</v>
      </c>
      <c r="AY110" s="55">
        <v>0</v>
      </c>
      <c r="AZ110" s="55">
        <v>0</v>
      </c>
      <c r="BA110" s="55">
        <v>0</v>
      </c>
      <c r="BB110" s="55">
        <v>0</v>
      </c>
      <c r="BC110" s="55">
        <v>0</v>
      </c>
      <c r="BD110" s="55">
        <v>0</v>
      </c>
      <c r="BE110" s="55">
        <v>0</v>
      </c>
      <c r="BF110" s="55">
        <v>0</v>
      </c>
      <c r="BG110" s="55">
        <v>0</v>
      </c>
      <c r="BH110" s="55">
        <v>0</v>
      </c>
      <c r="BI110" s="55">
        <v>0</v>
      </c>
      <c r="BJ110" s="55">
        <v>0</v>
      </c>
      <c r="BK110" s="55">
        <v>0</v>
      </c>
      <c r="BL110" s="55">
        <f t="shared" si="185"/>
        <v>0</v>
      </c>
      <c r="BM110" s="99">
        <f t="shared" si="161"/>
        <v>0</v>
      </c>
      <c r="BN110" s="55">
        <f t="shared" si="186"/>
        <v>0</v>
      </c>
      <c r="BO110" s="99">
        <f t="shared" si="16"/>
        <v>0</v>
      </c>
      <c r="BP110" s="55">
        <v>0</v>
      </c>
      <c r="BQ110" s="55">
        <v>0</v>
      </c>
      <c r="BR110" s="55">
        <v>0</v>
      </c>
      <c r="BS110" s="55">
        <v>0</v>
      </c>
      <c r="BT110" s="55">
        <v>0</v>
      </c>
      <c r="BU110" s="55">
        <v>0</v>
      </c>
      <c r="BV110" s="55">
        <f t="shared" si="187"/>
        <v>0</v>
      </c>
      <c r="BW110" s="99">
        <f t="shared" si="188"/>
        <v>0</v>
      </c>
      <c r="BX110" s="55">
        <f t="shared" si="189"/>
        <v>0</v>
      </c>
      <c r="BY110" s="99">
        <f t="shared" si="190"/>
        <v>0</v>
      </c>
      <c r="BZ110" s="55">
        <v>0</v>
      </c>
      <c r="CA110" s="55">
        <v>0</v>
      </c>
      <c r="CB110" s="55">
        <v>0</v>
      </c>
      <c r="CC110" s="55">
        <v>0</v>
      </c>
      <c r="CD110" s="55">
        <v>0</v>
      </c>
      <c r="CE110" s="422">
        <v>0</v>
      </c>
    </row>
    <row r="111" spans="1:83" ht="24" customHeight="1" x14ac:dyDescent="0.5">
      <c r="A111" s="284">
        <f t="shared" si="191"/>
        <v>5</v>
      </c>
      <c r="B111" s="71" t="s">
        <v>126</v>
      </c>
      <c r="C111" s="400">
        <f t="shared" si="176"/>
        <v>0</v>
      </c>
      <c r="D111" s="55">
        <v>0</v>
      </c>
      <c r="E111" s="55">
        <v>0</v>
      </c>
      <c r="F111" s="99">
        <v>0</v>
      </c>
      <c r="G111" s="99">
        <f t="shared" si="1"/>
        <v>0</v>
      </c>
      <c r="H111" s="55">
        <v>0</v>
      </c>
      <c r="I111" s="55">
        <v>0</v>
      </c>
      <c r="J111" s="55">
        <f t="shared" si="177"/>
        <v>0</v>
      </c>
      <c r="K111" s="99">
        <f t="shared" si="3"/>
        <v>0</v>
      </c>
      <c r="L111" s="55">
        <f t="shared" si="178"/>
        <v>0</v>
      </c>
      <c r="M111" s="99">
        <f t="shared" si="4"/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f t="shared" si="179"/>
        <v>0</v>
      </c>
      <c r="U111" s="55">
        <f t="shared" si="6"/>
        <v>0</v>
      </c>
      <c r="V111" s="55">
        <f t="shared" si="180"/>
        <v>0</v>
      </c>
      <c r="W111" s="55">
        <f t="shared" si="7"/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0</v>
      </c>
      <c r="AD111" s="55">
        <f t="shared" si="181"/>
        <v>0</v>
      </c>
      <c r="AE111" s="99">
        <f t="shared" si="9"/>
        <v>0</v>
      </c>
      <c r="AF111" s="55">
        <f t="shared" si="182"/>
        <v>0</v>
      </c>
      <c r="AG111" s="99">
        <f t="shared" si="10"/>
        <v>0</v>
      </c>
      <c r="AH111" s="55">
        <v>0</v>
      </c>
      <c r="AI111" s="55">
        <v>0</v>
      </c>
      <c r="AJ111" s="55">
        <v>0</v>
      </c>
      <c r="AK111" s="55">
        <v>0</v>
      </c>
      <c r="AL111" s="55">
        <v>0</v>
      </c>
      <c r="AM111" s="55">
        <v>0</v>
      </c>
      <c r="AN111" s="55">
        <v>0</v>
      </c>
      <c r="AO111" s="55">
        <v>0</v>
      </c>
      <c r="AP111" s="55">
        <v>0</v>
      </c>
      <c r="AQ111" s="55">
        <v>0</v>
      </c>
      <c r="AR111" s="55">
        <v>0</v>
      </c>
      <c r="AS111" s="55">
        <v>0</v>
      </c>
      <c r="AT111" s="55">
        <f t="shared" si="183"/>
        <v>0</v>
      </c>
      <c r="AU111" s="55">
        <f t="shared" si="12"/>
        <v>0</v>
      </c>
      <c r="AV111" s="55">
        <f t="shared" si="184"/>
        <v>0</v>
      </c>
      <c r="AW111" s="55">
        <f t="shared" si="13"/>
        <v>0</v>
      </c>
      <c r="AX111" s="55">
        <v>0</v>
      </c>
      <c r="AY111" s="55">
        <v>0</v>
      </c>
      <c r="AZ111" s="55">
        <v>0</v>
      </c>
      <c r="BA111" s="55">
        <v>0</v>
      </c>
      <c r="BB111" s="55">
        <v>0</v>
      </c>
      <c r="BC111" s="55">
        <v>0</v>
      </c>
      <c r="BD111" s="55">
        <v>0</v>
      </c>
      <c r="BE111" s="55">
        <v>0</v>
      </c>
      <c r="BF111" s="55">
        <v>0</v>
      </c>
      <c r="BG111" s="55">
        <v>0</v>
      </c>
      <c r="BH111" s="55">
        <v>0</v>
      </c>
      <c r="BI111" s="55">
        <v>0</v>
      </c>
      <c r="BJ111" s="55">
        <v>0</v>
      </c>
      <c r="BK111" s="55">
        <v>0</v>
      </c>
      <c r="BL111" s="55">
        <f t="shared" si="185"/>
        <v>0</v>
      </c>
      <c r="BM111" s="99">
        <f t="shared" si="161"/>
        <v>0</v>
      </c>
      <c r="BN111" s="55">
        <f t="shared" si="186"/>
        <v>0</v>
      </c>
      <c r="BO111" s="99">
        <f t="shared" si="16"/>
        <v>0</v>
      </c>
      <c r="BP111" s="55">
        <v>0</v>
      </c>
      <c r="BQ111" s="55">
        <v>0</v>
      </c>
      <c r="BR111" s="55">
        <v>0</v>
      </c>
      <c r="BS111" s="55">
        <v>0</v>
      </c>
      <c r="BT111" s="55">
        <v>0</v>
      </c>
      <c r="BU111" s="55">
        <v>0</v>
      </c>
      <c r="BV111" s="55">
        <f t="shared" si="187"/>
        <v>0</v>
      </c>
      <c r="BW111" s="99">
        <f t="shared" si="188"/>
        <v>0</v>
      </c>
      <c r="BX111" s="55">
        <f t="shared" si="189"/>
        <v>0</v>
      </c>
      <c r="BY111" s="99">
        <f t="shared" si="190"/>
        <v>0</v>
      </c>
      <c r="BZ111" s="55">
        <v>0</v>
      </c>
      <c r="CA111" s="55">
        <v>0</v>
      </c>
      <c r="CB111" s="55">
        <v>0</v>
      </c>
      <c r="CC111" s="55">
        <v>0</v>
      </c>
      <c r="CD111" s="55">
        <v>0</v>
      </c>
      <c r="CE111" s="422">
        <v>0</v>
      </c>
    </row>
    <row r="112" spans="1:83" ht="24" customHeight="1" x14ac:dyDescent="0.5">
      <c r="A112" s="284">
        <f t="shared" si="191"/>
        <v>6</v>
      </c>
      <c r="B112" s="71" t="s">
        <v>127</v>
      </c>
      <c r="C112" s="400">
        <f t="shared" si="176"/>
        <v>0</v>
      </c>
      <c r="D112" s="55">
        <v>0</v>
      </c>
      <c r="E112" s="55">
        <v>0</v>
      </c>
      <c r="F112" s="99">
        <v>0</v>
      </c>
      <c r="G112" s="99">
        <f t="shared" si="1"/>
        <v>0</v>
      </c>
      <c r="H112" s="55">
        <v>0</v>
      </c>
      <c r="I112" s="55">
        <v>0</v>
      </c>
      <c r="J112" s="55">
        <f t="shared" si="177"/>
        <v>0</v>
      </c>
      <c r="K112" s="99">
        <f t="shared" si="3"/>
        <v>0</v>
      </c>
      <c r="L112" s="55">
        <f t="shared" si="178"/>
        <v>0</v>
      </c>
      <c r="M112" s="99">
        <f t="shared" si="4"/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f t="shared" si="179"/>
        <v>0</v>
      </c>
      <c r="U112" s="55">
        <f t="shared" si="6"/>
        <v>0</v>
      </c>
      <c r="V112" s="55">
        <f t="shared" si="180"/>
        <v>0</v>
      </c>
      <c r="W112" s="55">
        <f t="shared" si="7"/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0</v>
      </c>
      <c r="AC112" s="55">
        <v>0</v>
      </c>
      <c r="AD112" s="55">
        <f t="shared" si="181"/>
        <v>0</v>
      </c>
      <c r="AE112" s="99">
        <f t="shared" si="9"/>
        <v>0</v>
      </c>
      <c r="AF112" s="55">
        <f t="shared" si="182"/>
        <v>0</v>
      </c>
      <c r="AG112" s="99">
        <f t="shared" si="10"/>
        <v>0</v>
      </c>
      <c r="AH112" s="55">
        <v>0</v>
      </c>
      <c r="AI112" s="55">
        <v>0</v>
      </c>
      <c r="AJ112" s="55">
        <v>0</v>
      </c>
      <c r="AK112" s="55">
        <v>0</v>
      </c>
      <c r="AL112" s="55">
        <v>0</v>
      </c>
      <c r="AM112" s="55">
        <v>0</v>
      </c>
      <c r="AN112" s="55">
        <v>0</v>
      </c>
      <c r="AO112" s="55">
        <v>0</v>
      </c>
      <c r="AP112" s="55">
        <v>0</v>
      </c>
      <c r="AQ112" s="55">
        <v>0</v>
      </c>
      <c r="AR112" s="55">
        <v>0</v>
      </c>
      <c r="AS112" s="55">
        <v>0</v>
      </c>
      <c r="AT112" s="55">
        <f t="shared" si="183"/>
        <v>0</v>
      </c>
      <c r="AU112" s="55">
        <f t="shared" si="12"/>
        <v>0</v>
      </c>
      <c r="AV112" s="55">
        <f t="shared" si="184"/>
        <v>0</v>
      </c>
      <c r="AW112" s="55">
        <f t="shared" si="13"/>
        <v>0</v>
      </c>
      <c r="AX112" s="55">
        <v>0</v>
      </c>
      <c r="AY112" s="55">
        <v>0</v>
      </c>
      <c r="AZ112" s="55">
        <v>0</v>
      </c>
      <c r="BA112" s="55">
        <v>0</v>
      </c>
      <c r="BB112" s="55">
        <v>0</v>
      </c>
      <c r="BC112" s="55">
        <v>0</v>
      </c>
      <c r="BD112" s="55">
        <v>0</v>
      </c>
      <c r="BE112" s="55">
        <v>0</v>
      </c>
      <c r="BF112" s="55">
        <v>0</v>
      </c>
      <c r="BG112" s="55">
        <v>0</v>
      </c>
      <c r="BH112" s="55">
        <v>0</v>
      </c>
      <c r="BI112" s="55">
        <v>0</v>
      </c>
      <c r="BJ112" s="55">
        <v>0</v>
      </c>
      <c r="BK112" s="55">
        <v>0</v>
      </c>
      <c r="BL112" s="55">
        <f t="shared" si="185"/>
        <v>0</v>
      </c>
      <c r="BM112" s="99">
        <f t="shared" si="161"/>
        <v>0</v>
      </c>
      <c r="BN112" s="55">
        <f t="shared" si="186"/>
        <v>0</v>
      </c>
      <c r="BO112" s="99">
        <f t="shared" si="16"/>
        <v>0</v>
      </c>
      <c r="BP112" s="55">
        <v>0</v>
      </c>
      <c r="BQ112" s="55">
        <v>0</v>
      </c>
      <c r="BR112" s="55">
        <v>0</v>
      </c>
      <c r="BS112" s="55">
        <v>0</v>
      </c>
      <c r="BT112" s="55">
        <v>0</v>
      </c>
      <c r="BU112" s="55">
        <v>0</v>
      </c>
      <c r="BV112" s="55">
        <f t="shared" si="187"/>
        <v>0</v>
      </c>
      <c r="BW112" s="99">
        <f t="shared" si="188"/>
        <v>0</v>
      </c>
      <c r="BX112" s="55">
        <f t="shared" si="189"/>
        <v>0</v>
      </c>
      <c r="BY112" s="99">
        <f t="shared" si="190"/>
        <v>0</v>
      </c>
      <c r="BZ112" s="55">
        <v>0</v>
      </c>
      <c r="CA112" s="55">
        <v>0</v>
      </c>
      <c r="CB112" s="55">
        <v>0</v>
      </c>
      <c r="CC112" s="55">
        <v>0</v>
      </c>
      <c r="CD112" s="55">
        <v>0</v>
      </c>
      <c r="CE112" s="422">
        <v>0</v>
      </c>
    </row>
    <row r="113" spans="1:83" ht="24" customHeight="1" x14ac:dyDescent="0.5">
      <c r="A113" s="284">
        <v>7</v>
      </c>
      <c r="B113" s="71" t="s">
        <v>128</v>
      </c>
      <c r="C113" s="400">
        <f t="shared" si="176"/>
        <v>0</v>
      </c>
      <c r="D113" s="55">
        <v>0</v>
      </c>
      <c r="E113" s="55">
        <v>0</v>
      </c>
      <c r="F113" s="99">
        <v>0</v>
      </c>
      <c r="G113" s="99">
        <f t="shared" si="1"/>
        <v>0</v>
      </c>
      <c r="H113" s="55">
        <v>0</v>
      </c>
      <c r="I113" s="55">
        <v>0</v>
      </c>
      <c r="J113" s="55">
        <f t="shared" si="177"/>
        <v>0</v>
      </c>
      <c r="K113" s="99">
        <f t="shared" si="3"/>
        <v>0</v>
      </c>
      <c r="L113" s="55">
        <f t="shared" si="178"/>
        <v>0</v>
      </c>
      <c r="M113" s="99">
        <f t="shared" si="4"/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f t="shared" si="179"/>
        <v>0</v>
      </c>
      <c r="U113" s="55">
        <f t="shared" si="6"/>
        <v>0</v>
      </c>
      <c r="V113" s="55">
        <f t="shared" si="180"/>
        <v>0</v>
      </c>
      <c r="W113" s="55">
        <f t="shared" si="7"/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</v>
      </c>
      <c r="AC113" s="55">
        <v>0</v>
      </c>
      <c r="AD113" s="55">
        <f t="shared" si="181"/>
        <v>0</v>
      </c>
      <c r="AE113" s="99">
        <f t="shared" si="9"/>
        <v>0</v>
      </c>
      <c r="AF113" s="55">
        <f t="shared" si="182"/>
        <v>0</v>
      </c>
      <c r="AG113" s="99">
        <f t="shared" si="10"/>
        <v>0</v>
      </c>
      <c r="AH113" s="55">
        <v>0</v>
      </c>
      <c r="AI113" s="55">
        <v>0</v>
      </c>
      <c r="AJ113" s="55">
        <v>0</v>
      </c>
      <c r="AK113" s="55">
        <v>0</v>
      </c>
      <c r="AL113" s="55">
        <v>0</v>
      </c>
      <c r="AM113" s="55">
        <v>0</v>
      </c>
      <c r="AN113" s="55">
        <v>0</v>
      </c>
      <c r="AO113" s="55">
        <v>0</v>
      </c>
      <c r="AP113" s="55">
        <v>0</v>
      </c>
      <c r="AQ113" s="55">
        <v>0</v>
      </c>
      <c r="AR113" s="55">
        <v>0</v>
      </c>
      <c r="AS113" s="55">
        <v>0</v>
      </c>
      <c r="AT113" s="55">
        <f t="shared" si="183"/>
        <v>0</v>
      </c>
      <c r="AU113" s="55">
        <f t="shared" si="12"/>
        <v>0</v>
      </c>
      <c r="AV113" s="55">
        <f t="shared" si="184"/>
        <v>0</v>
      </c>
      <c r="AW113" s="55">
        <f t="shared" si="13"/>
        <v>0</v>
      </c>
      <c r="AX113" s="55">
        <v>0</v>
      </c>
      <c r="AY113" s="55">
        <v>0</v>
      </c>
      <c r="AZ113" s="55">
        <v>0</v>
      </c>
      <c r="BA113" s="55">
        <v>0</v>
      </c>
      <c r="BB113" s="55">
        <v>0</v>
      </c>
      <c r="BC113" s="55">
        <v>0</v>
      </c>
      <c r="BD113" s="55">
        <v>0</v>
      </c>
      <c r="BE113" s="55">
        <v>0</v>
      </c>
      <c r="BF113" s="55">
        <v>0</v>
      </c>
      <c r="BG113" s="55">
        <v>0</v>
      </c>
      <c r="BH113" s="55">
        <v>0</v>
      </c>
      <c r="BI113" s="55">
        <v>0</v>
      </c>
      <c r="BJ113" s="55">
        <v>0</v>
      </c>
      <c r="BK113" s="55">
        <v>0</v>
      </c>
      <c r="BL113" s="55">
        <f t="shared" si="185"/>
        <v>0</v>
      </c>
      <c r="BM113" s="99">
        <f t="shared" si="161"/>
        <v>0</v>
      </c>
      <c r="BN113" s="55">
        <f t="shared" si="186"/>
        <v>0</v>
      </c>
      <c r="BO113" s="99">
        <f t="shared" si="16"/>
        <v>0</v>
      </c>
      <c r="BP113" s="55">
        <v>0</v>
      </c>
      <c r="BQ113" s="55">
        <v>0</v>
      </c>
      <c r="BR113" s="55">
        <v>0</v>
      </c>
      <c r="BS113" s="55">
        <v>0</v>
      </c>
      <c r="BT113" s="55">
        <v>0</v>
      </c>
      <c r="BU113" s="55">
        <v>0</v>
      </c>
      <c r="BV113" s="55">
        <f t="shared" si="187"/>
        <v>0</v>
      </c>
      <c r="BW113" s="99">
        <f t="shared" si="188"/>
        <v>0</v>
      </c>
      <c r="BX113" s="55">
        <f t="shared" si="189"/>
        <v>0</v>
      </c>
      <c r="BY113" s="99">
        <f t="shared" si="190"/>
        <v>0</v>
      </c>
      <c r="BZ113" s="55">
        <v>0</v>
      </c>
      <c r="CA113" s="55">
        <v>0</v>
      </c>
      <c r="CB113" s="55">
        <v>0</v>
      </c>
      <c r="CC113" s="55">
        <v>0</v>
      </c>
      <c r="CD113" s="55">
        <v>0</v>
      </c>
      <c r="CE113" s="422">
        <v>0</v>
      </c>
    </row>
    <row r="114" spans="1:83" ht="24" customHeight="1" thickBot="1" x14ac:dyDescent="0.55000000000000004">
      <c r="A114" s="493">
        <v>8</v>
      </c>
      <c r="B114" s="494" t="s">
        <v>129</v>
      </c>
      <c r="C114" s="553">
        <f t="shared" si="176"/>
        <v>0</v>
      </c>
      <c r="D114" s="79">
        <v>0</v>
      </c>
      <c r="E114" s="79">
        <v>0</v>
      </c>
      <c r="F114" s="104">
        <v>0</v>
      </c>
      <c r="G114" s="104">
        <f t="shared" si="1"/>
        <v>0</v>
      </c>
      <c r="H114" s="79">
        <v>0</v>
      </c>
      <c r="I114" s="79">
        <v>0</v>
      </c>
      <c r="J114" s="79">
        <f t="shared" si="177"/>
        <v>0</v>
      </c>
      <c r="K114" s="104">
        <f t="shared" si="3"/>
        <v>0</v>
      </c>
      <c r="L114" s="79">
        <f t="shared" si="178"/>
        <v>0</v>
      </c>
      <c r="M114" s="104">
        <f t="shared" si="4"/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f t="shared" si="179"/>
        <v>0</v>
      </c>
      <c r="U114" s="79">
        <f t="shared" si="6"/>
        <v>0</v>
      </c>
      <c r="V114" s="79">
        <f t="shared" si="180"/>
        <v>0</v>
      </c>
      <c r="W114" s="79">
        <f t="shared" si="7"/>
        <v>0</v>
      </c>
      <c r="X114" s="79">
        <v>0</v>
      </c>
      <c r="Y114" s="79">
        <v>0</v>
      </c>
      <c r="Z114" s="79">
        <v>0</v>
      </c>
      <c r="AA114" s="79">
        <v>0</v>
      </c>
      <c r="AB114" s="79">
        <v>0</v>
      </c>
      <c r="AC114" s="79">
        <v>0</v>
      </c>
      <c r="AD114" s="79">
        <f t="shared" si="181"/>
        <v>0</v>
      </c>
      <c r="AE114" s="104">
        <f t="shared" si="9"/>
        <v>0</v>
      </c>
      <c r="AF114" s="79">
        <f t="shared" si="182"/>
        <v>0</v>
      </c>
      <c r="AG114" s="104">
        <f t="shared" si="10"/>
        <v>0</v>
      </c>
      <c r="AH114" s="79">
        <v>0</v>
      </c>
      <c r="AI114" s="79">
        <v>0</v>
      </c>
      <c r="AJ114" s="79">
        <v>0</v>
      </c>
      <c r="AK114" s="79">
        <v>0</v>
      </c>
      <c r="AL114" s="79">
        <v>0</v>
      </c>
      <c r="AM114" s="79">
        <v>0</v>
      </c>
      <c r="AN114" s="79">
        <v>0</v>
      </c>
      <c r="AO114" s="79">
        <v>0</v>
      </c>
      <c r="AP114" s="79">
        <v>0</v>
      </c>
      <c r="AQ114" s="79">
        <v>0</v>
      </c>
      <c r="AR114" s="79">
        <v>0</v>
      </c>
      <c r="AS114" s="79">
        <v>0</v>
      </c>
      <c r="AT114" s="79">
        <f t="shared" si="183"/>
        <v>0</v>
      </c>
      <c r="AU114" s="79">
        <f t="shared" si="12"/>
        <v>0</v>
      </c>
      <c r="AV114" s="79">
        <f t="shared" si="184"/>
        <v>0</v>
      </c>
      <c r="AW114" s="79">
        <f t="shared" si="13"/>
        <v>0</v>
      </c>
      <c r="AX114" s="79">
        <v>0</v>
      </c>
      <c r="AY114" s="79">
        <v>0</v>
      </c>
      <c r="AZ114" s="79">
        <v>0</v>
      </c>
      <c r="BA114" s="79">
        <v>0</v>
      </c>
      <c r="BB114" s="79">
        <v>0</v>
      </c>
      <c r="BC114" s="79">
        <v>0</v>
      </c>
      <c r="BD114" s="79">
        <v>0</v>
      </c>
      <c r="BE114" s="79">
        <v>0</v>
      </c>
      <c r="BF114" s="79">
        <v>0</v>
      </c>
      <c r="BG114" s="79">
        <v>0</v>
      </c>
      <c r="BH114" s="79">
        <v>0</v>
      </c>
      <c r="BI114" s="79">
        <v>0</v>
      </c>
      <c r="BJ114" s="79">
        <v>0</v>
      </c>
      <c r="BK114" s="79">
        <v>0</v>
      </c>
      <c r="BL114" s="79">
        <f t="shared" si="185"/>
        <v>0</v>
      </c>
      <c r="BM114" s="104">
        <f t="shared" si="161"/>
        <v>0</v>
      </c>
      <c r="BN114" s="79">
        <f t="shared" si="186"/>
        <v>0</v>
      </c>
      <c r="BO114" s="104">
        <f t="shared" si="16"/>
        <v>0</v>
      </c>
      <c r="BP114" s="79">
        <v>0</v>
      </c>
      <c r="BQ114" s="79">
        <v>0</v>
      </c>
      <c r="BR114" s="79">
        <v>0</v>
      </c>
      <c r="BS114" s="79">
        <v>0</v>
      </c>
      <c r="BT114" s="79">
        <v>0</v>
      </c>
      <c r="BU114" s="79">
        <v>0</v>
      </c>
      <c r="BV114" s="79">
        <f t="shared" si="187"/>
        <v>0</v>
      </c>
      <c r="BW114" s="104">
        <f t="shared" si="188"/>
        <v>0</v>
      </c>
      <c r="BX114" s="79">
        <f t="shared" si="189"/>
        <v>0</v>
      </c>
      <c r="BY114" s="104">
        <f t="shared" si="190"/>
        <v>0</v>
      </c>
      <c r="BZ114" s="79">
        <v>0</v>
      </c>
      <c r="CA114" s="79">
        <v>0</v>
      </c>
      <c r="CB114" s="79">
        <v>0</v>
      </c>
      <c r="CC114" s="79">
        <v>0</v>
      </c>
      <c r="CD114" s="79">
        <v>0</v>
      </c>
      <c r="CE114" s="426">
        <v>0</v>
      </c>
    </row>
    <row r="115" spans="1:83" s="203" customFormat="1" ht="24" customHeight="1" x14ac:dyDescent="0.55000000000000004">
      <c r="A115" s="467" t="s">
        <v>322</v>
      </c>
    </row>
    <row r="116" spans="1:83" ht="24" customHeight="1" x14ac:dyDescent="0.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8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3"/>
      <c r="AF116" s="3"/>
      <c r="AG116" s="8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83"/>
      <c r="BN116" s="3"/>
      <c r="BO116" s="83"/>
      <c r="BP116" s="3"/>
      <c r="BQ116" s="3"/>
      <c r="BR116" s="3"/>
      <c r="BS116" s="3"/>
      <c r="BT116" s="3"/>
      <c r="BU116" s="3"/>
      <c r="BV116" s="3"/>
      <c r="BW116" s="83"/>
      <c r="BX116" s="3"/>
      <c r="BY116" s="83"/>
      <c r="BZ116" s="3"/>
      <c r="CA116" s="3"/>
      <c r="CB116" s="3"/>
      <c r="CC116" s="3"/>
      <c r="CD116" s="3"/>
      <c r="CE116" s="3"/>
    </row>
    <row r="117" spans="1:83" ht="24" customHeight="1" x14ac:dyDescent="0.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8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3"/>
      <c r="AF117" s="3"/>
      <c r="AG117" s="8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83"/>
      <c r="BN117" s="3"/>
      <c r="BO117" s="83"/>
      <c r="BP117" s="3"/>
      <c r="BQ117" s="3"/>
      <c r="BR117" s="3"/>
      <c r="BS117" s="3"/>
      <c r="BT117" s="3"/>
      <c r="BU117" s="3"/>
      <c r="BV117" s="3"/>
      <c r="BW117" s="83"/>
      <c r="BX117" s="3"/>
      <c r="BY117" s="83"/>
      <c r="BZ117" s="3"/>
      <c r="CA117" s="3"/>
      <c r="CB117" s="3"/>
      <c r="CC117" s="3"/>
      <c r="CD117" s="3"/>
      <c r="CE117" s="3"/>
    </row>
    <row r="118" spans="1:83" ht="24" customHeight="1" x14ac:dyDescent="0.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8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3"/>
      <c r="AF118" s="3"/>
      <c r="AG118" s="8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83"/>
      <c r="BN118" s="3"/>
      <c r="BO118" s="83"/>
      <c r="BP118" s="3"/>
      <c r="BQ118" s="3"/>
      <c r="BR118" s="3"/>
      <c r="BS118" s="3"/>
      <c r="BT118" s="3"/>
      <c r="BU118" s="3"/>
      <c r="BV118" s="3"/>
      <c r="BW118" s="83"/>
      <c r="BX118" s="3"/>
      <c r="BY118" s="83"/>
      <c r="BZ118" s="3"/>
      <c r="CA118" s="3"/>
      <c r="CB118" s="3"/>
      <c r="CC118" s="3"/>
      <c r="CD118" s="3"/>
      <c r="CE118" s="3"/>
    </row>
    <row r="119" spans="1:83" ht="24" customHeight="1" x14ac:dyDescent="0.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8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3"/>
      <c r="AF119" s="3"/>
      <c r="AG119" s="8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83"/>
      <c r="BN119" s="3"/>
      <c r="BO119" s="83"/>
      <c r="BP119" s="3"/>
      <c r="BQ119" s="3"/>
      <c r="BR119" s="3"/>
      <c r="BS119" s="3"/>
      <c r="BT119" s="3"/>
      <c r="BU119" s="3"/>
      <c r="BV119" s="3"/>
      <c r="BW119" s="83"/>
      <c r="BX119" s="3"/>
      <c r="BY119" s="83"/>
      <c r="BZ119" s="3"/>
      <c r="CA119" s="3"/>
      <c r="CB119" s="3"/>
      <c r="CC119" s="3"/>
      <c r="CD119" s="3"/>
      <c r="CE119" s="3"/>
    </row>
    <row r="120" spans="1:83" ht="24" customHeight="1" x14ac:dyDescent="0.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8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3"/>
      <c r="AF120" s="3"/>
      <c r="AG120" s="8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83"/>
      <c r="BN120" s="3"/>
      <c r="BO120" s="83"/>
      <c r="BP120" s="3"/>
      <c r="BQ120" s="3"/>
      <c r="BR120" s="3"/>
      <c r="BS120" s="3"/>
      <c r="BT120" s="3"/>
      <c r="BU120" s="3"/>
      <c r="BV120" s="3"/>
      <c r="BW120" s="83"/>
      <c r="BX120" s="3"/>
      <c r="BY120" s="83"/>
      <c r="BZ120" s="3"/>
      <c r="CA120" s="3"/>
      <c r="CB120" s="3"/>
      <c r="CC120" s="3"/>
      <c r="CD120" s="3"/>
      <c r="CE120" s="3"/>
    </row>
    <row r="121" spans="1:83" ht="24" customHeight="1" x14ac:dyDescent="0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8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3"/>
      <c r="AF121" s="3"/>
      <c r="AG121" s="8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83"/>
      <c r="BN121" s="3"/>
      <c r="BO121" s="83"/>
      <c r="BP121" s="3"/>
      <c r="BQ121" s="3"/>
      <c r="BR121" s="3"/>
      <c r="BS121" s="3"/>
      <c r="BT121" s="3"/>
      <c r="BU121" s="3"/>
      <c r="BV121" s="3"/>
      <c r="BW121" s="83"/>
      <c r="BX121" s="3"/>
      <c r="BY121" s="83"/>
      <c r="BZ121" s="3"/>
      <c r="CA121" s="3"/>
      <c r="CB121" s="3"/>
      <c r="CC121" s="3"/>
      <c r="CD121" s="3"/>
      <c r="CE121" s="3"/>
    </row>
    <row r="122" spans="1:83" ht="24" customHeight="1" x14ac:dyDescent="0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8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3"/>
      <c r="AF122" s="3"/>
      <c r="AG122" s="8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83"/>
      <c r="BN122" s="3"/>
      <c r="BO122" s="83"/>
      <c r="BP122" s="3"/>
      <c r="BQ122" s="3"/>
      <c r="BR122" s="3"/>
      <c r="BS122" s="3"/>
      <c r="BT122" s="3"/>
      <c r="BU122" s="3"/>
      <c r="BV122" s="3"/>
      <c r="BW122" s="83"/>
      <c r="BX122" s="3"/>
      <c r="BY122" s="83"/>
      <c r="BZ122" s="3"/>
      <c r="CA122" s="3"/>
      <c r="CB122" s="3"/>
      <c r="CC122" s="3"/>
      <c r="CD122" s="3"/>
      <c r="CE122" s="3"/>
    </row>
    <row r="123" spans="1:83" ht="24" customHeight="1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8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3"/>
      <c r="AF123" s="3"/>
      <c r="AG123" s="8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83"/>
      <c r="BN123" s="3"/>
      <c r="BO123" s="83"/>
      <c r="BP123" s="3"/>
      <c r="BQ123" s="3"/>
      <c r="BR123" s="3"/>
      <c r="BS123" s="3"/>
      <c r="BT123" s="3"/>
      <c r="BU123" s="3"/>
      <c r="BV123" s="3"/>
      <c r="BW123" s="83"/>
      <c r="BX123" s="3"/>
      <c r="BY123" s="83"/>
      <c r="BZ123" s="3"/>
      <c r="CA123" s="3"/>
      <c r="CB123" s="3"/>
      <c r="CC123" s="3"/>
      <c r="CD123" s="3"/>
      <c r="CE123" s="3"/>
    </row>
    <row r="124" spans="1:83" ht="24" customHeight="1" x14ac:dyDescent="0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8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3"/>
      <c r="AF124" s="3"/>
      <c r="AG124" s="8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83"/>
      <c r="BN124" s="3"/>
      <c r="BO124" s="83"/>
      <c r="BP124" s="3"/>
      <c r="BQ124" s="3"/>
      <c r="BR124" s="3"/>
      <c r="BS124" s="3"/>
      <c r="BT124" s="3"/>
      <c r="BU124" s="3"/>
      <c r="BV124" s="3"/>
      <c r="BW124" s="83"/>
      <c r="BX124" s="3"/>
      <c r="BY124" s="83"/>
      <c r="BZ124" s="3"/>
      <c r="CA124" s="3"/>
      <c r="CB124" s="3"/>
      <c r="CC124" s="3"/>
      <c r="CD124" s="3"/>
      <c r="CE124" s="3"/>
    </row>
    <row r="125" spans="1:83" ht="24" customHeight="1" x14ac:dyDescent="0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8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3"/>
      <c r="AF125" s="3"/>
      <c r="AG125" s="8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83"/>
      <c r="BN125" s="3"/>
      <c r="BO125" s="83"/>
      <c r="BP125" s="3"/>
      <c r="BQ125" s="3"/>
      <c r="BR125" s="3"/>
      <c r="BS125" s="3"/>
      <c r="BT125" s="3"/>
      <c r="BU125" s="3"/>
      <c r="BV125" s="3"/>
      <c r="BW125" s="83"/>
      <c r="BX125" s="3"/>
      <c r="BY125" s="83"/>
      <c r="BZ125" s="3"/>
      <c r="CA125" s="3"/>
      <c r="CB125" s="3"/>
      <c r="CC125" s="3"/>
      <c r="CD125" s="3"/>
      <c r="CE125" s="3"/>
    </row>
    <row r="126" spans="1:83" ht="24" customHeight="1" x14ac:dyDescent="0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8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3"/>
      <c r="AF126" s="3"/>
      <c r="AG126" s="8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83"/>
      <c r="BN126" s="3"/>
      <c r="BO126" s="83"/>
      <c r="BP126" s="3"/>
      <c r="BQ126" s="3"/>
      <c r="BR126" s="3"/>
      <c r="BS126" s="3"/>
      <c r="BT126" s="3"/>
      <c r="BU126" s="3"/>
      <c r="BV126" s="3"/>
      <c r="BW126" s="83"/>
      <c r="BX126" s="3"/>
      <c r="BY126" s="83"/>
      <c r="BZ126" s="3"/>
      <c r="CA126" s="3"/>
      <c r="CB126" s="3"/>
      <c r="CC126" s="3"/>
      <c r="CD126" s="3"/>
      <c r="CE126" s="3"/>
    </row>
    <row r="127" spans="1:83" ht="24" customHeight="1" x14ac:dyDescent="0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8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3"/>
      <c r="AF127" s="3"/>
      <c r="AG127" s="8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83"/>
      <c r="BN127" s="3"/>
      <c r="BO127" s="83"/>
      <c r="BP127" s="3"/>
      <c r="BQ127" s="3"/>
      <c r="BR127" s="3"/>
      <c r="BS127" s="3"/>
      <c r="BT127" s="3"/>
      <c r="BU127" s="3"/>
      <c r="BV127" s="3"/>
      <c r="BW127" s="83"/>
      <c r="BX127" s="3"/>
      <c r="BY127" s="83"/>
      <c r="BZ127" s="3"/>
      <c r="CA127" s="3"/>
      <c r="CB127" s="3"/>
      <c r="CC127" s="3"/>
      <c r="CD127" s="3"/>
      <c r="CE127" s="3"/>
    </row>
    <row r="128" spans="1:83" ht="24" customHeight="1" x14ac:dyDescent="0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8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3"/>
      <c r="AF128" s="3"/>
      <c r="AG128" s="8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83"/>
      <c r="BN128" s="3"/>
      <c r="BO128" s="83"/>
      <c r="BP128" s="3"/>
      <c r="BQ128" s="3"/>
      <c r="BR128" s="3"/>
      <c r="BS128" s="3"/>
      <c r="BT128" s="3"/>
      <c r="BU128" s="3"/>
      <c r="BV128" s="3"/>
      <c r="BW128" s="83"/>
      <c r="BX128" s="3"/>
      <c r="BY128" s="83"/>
      <c r="BZ128" s="3"/>
      <c r="CA128" s="3"/>
      <c r="CB128" s="3"/>
      <c r="CC128" s="3"/>
      <c r="CD128" s="3"/>
      <c r="CE128" s="3"/>
    </row>
    <row r="129" spans="1:83" ht="24" customHeight="1" x14ac:dyDescent="0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8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3"/>
      <c r="AF129" s="3"/>
      <c r="AG129" s="8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83"/>
      <c r="BN129" s="3"/>
      <c r="BO129" s="83"/>
      <c r="BP129" s="3"/>
      <c r="BQ129" s="3"/>
      <c r="BR129" s="3"/>
      <c r="BS129" s="3"/>
      <c r="BT129" s="3"/>
      <c r="BU129" s="3"/>
      <c r="BV129" s="3"/>
      <c r="BW129" s="83"/>
      <c r="BX129" s="3"/>
      <c r="BY129" s="83"/>
      <c r="BZ129" s="3"/>
      <c r="CA129" s="3"/>
      <c r="CB129" s="3"/>
      <c r="CC129" s="3"/>
      <c r="CD129" s="3"/>
      <c r="CE129" s="3"/>
    </row>
    <row r="130" spans="1:83" ht="24" customHeight="1" x14ac:dyDescent="0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8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83"/>
      <c r="AF130" s="3"/>
      <c r="AG130" s="8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83"/>
      <c r="BN130" s="3"/>
      <c r="BO130" s="83"/>
      <c r="BP130" s="3"/>
      <c r="BQ130" s="3"/>
      <c r="BR130" s="3"/>
      <c r="BS130" s="3"/>
      <c r="BT130" s="3"/>
      <c r="BU130" s="3"/>
      <c r="BV130" s="3"/>
      <c r="BW130" s="83"/>
      <c r="BX130" s="3"/>
      <c r="BY130" s="83"/>
      <c r="BZ130" s="3"/>
      <c r="CA130" s="3"/>
      <c r="CB130" s="3"/>
      <c r="CC130" s="3"/>
      <c r="CD130" s="3"/>
      <c r="CE130" s="3"/>
    </row>
    <row r="131" spans="1:83" ht="24" customHeight="1" x14ac:dyDescent="0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8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83"/>
      <c r="AF131" s="3"/>
      <c r="AG131" s="8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83"/>
      <c r="BN131" s="3"/>
      <c r="BO131" s="83"/>
      <c r="BP131" s="3"/>
      <c r="BQ131" s="3"/>
      <c r="BR131" s="3"/>
      <c r="BS131" s="3"/>
      <c r="BT131" s="3"/>
      <c r="BU131" s="3"/>
      <c r="BV131" s="3"/>
      <c r="BW131" s="83"/>
      <c r="BX131" s="3"/>
      <c r="BY131" s="83"/>
      <c r="BZ131" s="3"/>
      <c r="CA131" s="3"/>
      <c r="CB131" s="3"/>
      <c r="CC131" s="3"/>
      <c r="CD131" s="3"/>
      <c r="CE131" s="3"/>
    </row>
    <row r="132" spans="1:83" ht="24" customHeight="1" x14ac:dyDescent="0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8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83"/>
      <c r="AF132" s="3"/>
      <c r="AG132" s="8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83"/>
      <c r="BN132" s="3"/>
      <c r="BO132" s="83"/>
      <c r="BP132" s="3"/>
      <c r="BQ132" s="3"/>
      <c r="BR132" s="3"/>
      <c r="BS132" s="3"/>
      <c r="BT132" s="3"/>
      <c r="BU132" s="3"/>
      <c r="BV132" s="3"/>
      <c r="BW132" s="83"/>
      <c r="BX132" s="3"/>
      <c r="BY132" s="83"/>
      <c r="BZ132" s="3"/>
      <c r="CA132" s="3"/>
      <c r="CB132" s="3"/>
      <c r="CC132" s="3"/>
      <c r="CD132" s="3"/>
      <c r="CE132" s="3"/>
    </row>
    <row r="133" spans="1:83" ht="24" customHeight="1" x14ac:dyDescent="0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8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83"/>
      <c r="AF133" s="3"/>
      <c r="AG133" s="8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83"/>
      <c r="BN133" s="3"/>
      <c r="BO133" s="83"/>
      <c r="BP133" s="3"/>
      <c r="BQ133" s="3"/>
      <c r="BR133" s="3"/>
      <c r="BS133" s="3"/>
      <c r="BT133" s="3"/>
      <c r="BU133" s="3"/>
      <c r="BV133" s="3"/>
      <c r="BW133" s="83"/>
      <c r="BX133" s="3"/>
      <c r="BY133" s="83"/>
      <c r="BZ133" s="3"/>
      <c r="CA133" s="3"/>
      <c r="CB133" s="3"/>
      <c r="CC133" s="3"/>
      <c r="CD133" s="3"/>
      <c r="CE133" s="3"/>
    </row>
    <row r="134" spans="1:83" ht="24" customHeight="1" x14ac:dyDescent="0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8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83"/>
      <c r="AF134" s="3"/>
      <c r="AG134" s="8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83"/>
      <c r="BN134" s="3"/>
      <c r="BO134" s="83"/>
      <c r="BP134" s="3"/>
      <c r="BQ134" s="3"/>
      <c r="BR134" s="3"/>
      <c r="BS134" s="3"/>
      <c r="BT134" s="3"/>
      <c r="BU134" s="3"/>
      <c r="BV134" s="3"/>
      <c r="BW134" s="83"/>
      <c r="BX134" s="3"/>
      <c r="BY134" s="83"/>
      <c r="BZ134" s="3"/>
      <c r="CA134" s="3"/>
      <c r="CB134" s="3"/>
      <c r="CC134" s="3"/>
      <c r="CD134" s="3"/>
      <c r="CE134" s="3"/>
    </row>
    <row r="135" spans="1:83" ht="24" customHeight="1" x14ac:dyDescent="0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8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83"/>
      <c r="AF135" s="3"/>
      <c r="AG135" s="8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83"/>
      <c r="BN135" s="3"/>
      <c r="BO135" s="83"/>
      <c r="BP135" s="3"/>
      <c r="BQ135" s="3"/>
      <c r="BR135" s="3"/>
      <c r="BS135" s="3"/>
      <c r="BT135" s="3"/>
      <c r="BU135" s="3"/>
      <c r="BV135" s="3"/>
      <c r="BW135" s="83"/>
      <c r="BX135" s="3"/>
      <c r="BY135" s="83"/>
      <c r="BZ135" s="3"/>
      <c r="CA135" s="3"/>
      <c r="CB135" s="3"/>
      <c r="CC135" s="3"/>
      <c r="CD135" s="3"/>
      <c r="CE135" s="3"/>
    </row>
    <row r="136" spans="1:83" ht="24" customHeight="1" x14ac:dyDescent="0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8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83"/>
      <c r="AF136" s="3"/>
      <c r="AG136" s="8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83"/>
      <c r="BN136" s="3"/>
      <c r="BO136" s="83"/>
      <c r="BP136" s="3"/>
      <c r="BQ136" s="3"/>
      <c r="BR136" s="3"/>
      <c r="BS136" s="3"/>
      <c r="BT136" s="3"/>
      <c r="BU136" s="3"/>
      <c r="BV136" s="3"/>
      <c r="BW136" s="83"/>
      <c r="BX136" s="3"/>
      <c r="BY136" s="83"/>
      <c r="BZ136" s="3"/>
      <c r="CA136" s="3"/>
      <c r="CB136" s="3"/>
      <c r="CC136" s="3"/>
      <c r="CD136" s="3"/>
      <c r="CE136" s="3"/>
    </row>
    <row r="137" spans="1:83" ht="24" customHeight="1" x14ac:dyDescent="0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8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83"/>
      <c r="AF137" s="3"/>
      <c r="AG137" s="8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83"/>
      <c r="BN137" s="3"/>
      <c r="BO137" s="83"/>
      <c r="BP137" s="3"/>
      <c r="BQ137" s="3"/>
      <c r="BR137" s="3"/>
      <c r="BS137" s="3"/>
      <c r="BT137" s="3"/>
      <c r="BU137" s="3"/>
      <c r="BV137" s="3"/>
      <c r="BW137" s="83"/>
      <c r="BX137" s="3"/>
      <c r="BY137" s="83"/>
      <c r="BZ137" s="3"/>
      <c r="CA137" s="3"/>
      <c r="CB137" s="3"/>
      <c r="CC137" s="3"/>
      <c r="CD137" s="3"/>
      <c r="CE137" s="3"/>
    </row>
    <row r="138" spans="1:83" ht="24" customHeight="1" x14ac:dyDescent="0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8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83"/>
      <c r="AF138" s="3"/>
      <c r="AG138" s="8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83"/>
      <c r="BN138" s="3"/>
      <c r="BO138" s="83"/>
      <c r="BP138" s="3"/>
      <c r="BQ138" s="3"/>
      <c r="BR138" s="3"/>
      <c r="BS138" s="3"/>
      <c r="BT138" s="3"/>
      <c r="BU138" s="3"/>
      <c r="BV138" s="3"/>
      <c r="BW138" s="83"/>
      <c r="BX138" s="3"/>
      <c r="BY138" s="83"/>
      <c r="BZ138" s="3"/>
      <c r="CA138" s="3"/>
      <c r="CB138" s="3"/>
      <c r="CC138" s="3"/>
      <c r="CD138" s="3"/>
      <c r="CE138" s="3"/>
    </row>
    <row r="139" spans="1:83" ht="24" customHeight="1" x14ac:dyDescent="0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8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83"/>
      <c r="AF139" s="3"/>
      <c r="AG139" s="8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83"/>
      <c r="BN139" s="3"/>
      <c r="BO139" s="83"/>
      <c r="BP139" s="3"/>
      <c r="BQ139" s="3"/>
      <c r="BR139" s="3"/>
      <c r="BS139" s="3"/>
      <c r="BT139" s="3"/>
      <c r="BU139" s="3"/>
      <c r="BV139" s="3"/>
      <c r="BW139" s="83"/>
      <c r="BX139" s="3"/>
      <c r="BY139" s="83"/>
      <c r="BZ139" s="3"/>
      <c r="CA139" s="3"/>
      <c r="CB139" s="3"/>
      <c r="CC139" s="3"/>
      <c r="CD139" s="3"/>
      <c r="CE139" s="3"/>
    </row>
    <row r="140" spans="1:83" ht="24" customHeight="1" x14ac:dyDescent="0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8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83"/>
      <c r="AF140" s="3"/>
      <c r="AG140" s="8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83"/>
      <c r="BN140" s="3"/>
      <c r="BO140" s="83"/>
      <c r="BP140" s="3"/>
      <c r="BQ140" s="3"/>
      <c r="BR140" s="3"/>
      <c r="BS140" s="3"/>
      <c r="BT140" s="3"/>
      <c r="BU140" s="3"/>
      <c r="BV140" s="3"/>
      <c r="BW140" s="83"/>
      <c r="BX140" s="3"/>
      <c r="BY140" s="83"/>
      <c r="BZ140" s="3"/>
      <c r="CA140" s="3"/>
      <c r="CB140" s="3"/>
      <c r="CC140" s="3"/>
      <c r="CD140" s="3"/>
      <c r="CE140" s="3"/>
    </row>
    <row r="141" spans="1:83" ht="24" customHeight="1" x14ac:dyDescent="0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8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83"/>
      <c r="AF141" s="3"/>
      <c r="AG141" s="8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83"/>
      <c r="BN141" s="3"/>
      <c r="BO141" s="83"/>
      <c r="BP141" s="3"/>
      <c r="BQ141" s="3"/>
      <c r="BR141" s="3"/>
      <c r="BS141" s="3"/>
      <c r="BT141" s="3"/>
      <c r="BU141" s="3"/>
      <c r="BV141" s="3"/>
      <c r="BW141" s="83"/>
      <c r="BX141" s="3"/>
      <c r="BY141" s="83"/>
      <c r="BZ141" s="3"/>
      <c r="CA141" s="3"/>
      <c r="CB141" s="3"/>
      <c r="CC141" s="3"/>
      <c r="CD141" s="3"/>
      <c r="CE141" s="3"/>
    </row>
    <row r="142" spans="1:83" ht="24" customHeight="1" x14ac:dyDescent="0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8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83"/>
      <c r="AF142" s="3"/>
      <c r="AG142" s="8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83"/>
      <c r="BN142" s="3"/>
      <c r="BO142" s="83"/>
      <c r="BP142" s="3"/>
      <c r="BQ142" s="3"/>
      <c r="BR142" s="3"/>
      <c r="BS142" s="3"/>
      <c r="BT142" s="3"/>
      <c r="BU142" s="3"/>
      <c r="BV142" s="3"/>
      <c r="BW142" s="83"/>
      <c r="BX142" s="3"/>
      <c r="BY142" s="83"/>
      <c r="BZ142" s="3"/>
      <c r="CA142" s="3"/>
      <c r="CB142" s="3"/>
      <c r="CC142" s="3"/>
      <c r="CD142" s="3"/>
      <c r="CE142" s="3"/>
    </row>
    <row r="143" spans="1:83" ht="24" customHeight="1" x14ac:dyDescent="0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8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83"/>
      <c r="AF143" s="3"/>
      <c r="AG143" s="8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83"/>
      <c r="BN143" s="3"/>
      <c r="BO143" s="83"/>
      <c r="BP143" s="3"/>
      <c r="BQ143" s="3"/>
      <c r="BR143" s="3"/>
      <c r="BS143" s="3"/>
      <c r="BT143" s="3"/>
      <c r="BU143" s="3"/>
      <c r="BV143" s="3"/>
      <c r="BW143" s="83"/>
      <c r="BX143" s="3"/>
      <c r="BY143" s="83"/>
      <c r="BZ143" s="3"/>
      <c r="CA143" s="3"/>
      <c r="CB143" s="3"/>
      <c r="CC143" s="3"/>
      <c r="CD143" s="3"/>
      <c r="CE143" s="3"/>
    </row>
    <row r="144" spans="1:83" ht="24" customHeight="1" x14ac:dyDescent="0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8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83"/>
      <c r="AF144" s="3"/>
      <c r="AG144" s="8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83"/>
      <c r="BN144" s="3"/>
      <c r="BO144" s="83"/>
      <c r="BP144" s="3"/>
      <c r="BQ144" s="3"/>
      <c r="BR144" s="3"/>
      <c r="BS144" s="3"/>
      <c r="BT144" s="3"/>
      <c r="BU144" s="3"/>
      <c r="BV144" s="3"/>
      <c r="BW144" s="83"/>
      <c r="BX144" s="3"/>
      <c r="BY144" s="83"/>
      <c r="BZ144" s="3"/>
      <c r="CA144" s="3"/>
      <c r="CB144" s="3"/>
      <c r="CC144" s="3"/>
      <c r="CD144" s="3"/>
      <c r="CE144" s="3"/>
    </row>
    <row r="145" spans="1:83" ht="24" customHeight="1" x14ac:dyDescent="0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8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83"/>
      <c r="AF145" s="3"/>
      <c r="AG145" s="8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83"/>
      <c r="BN145" s="3"/>
      <c r="BO145" s="83"/>
      <c r="BP145" s="3"/>
      <c r="BQ145" s="3"/>
      <c r="BR145" s="3"/>
      <c r="BS145" s="3"/>
      <c r="BT145" s="3"/>
      <c r="BU145" s="3"/>
      <c r="BV145" s="3"/>
      <c r="BW145" s="83"/>
      <c r="BX145" s="3"/>
      <c r="BY145" s="83"/>
      <c r="BZ145" s="3"/>
      <c r="CA145" s="3"/>
      <c r="CB145" s="3"/>
      <c r="CC145" s="3"/>
      <c r="CD145" s="3"/>
      <c r="CE145" s="3"/>
    </row>
    <row r="146" spans="1:83" ht="24" customHeight="1" x14ac:dyDescent="0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8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83"/>
      <c r="AF146" s="3"/>
      <c r="AG146" s="8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83"/>
      <c r="BN146" s="3"/>
      <c r="BO146" s="83"/>
      <c r="BP146" s="3"/>
      <c r="BQ146" s="3"/>
      <c r="BR146" s="3"/>
      <c r="BS146" s="3"/>
      <c r="BT146" s="3"/>
      <c r="BU146" s="3"/>
      <c r="BV146" s="3"/>
      <c r="BW146" s="83"/>
      <c r="BX146" s="3"/>
      <c r="BY146" s="83"/>
      <c r="BZ146" s="3"/>
      <c r="CA146" s="3"/>
      <c r="CB146" s="3"/>
      <c r="CC146" s="3"/>
      <c r="CD146" s="3"/>
      <c r="CE146" s="3"/>
    </row>
    <row r="147" spans="1:83" ht="24" customHeight="1" x14ac:dyDescent="0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8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83"/>
      <c r="AF147" s="3"/>
      <c r="AG147" s="8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83"/>
      <c r="BN147" s="3"/>
      <c r="BO147" s="83"/>
      <c r="BP147" s="3"/>
      <c r="BQ147" s="3"/>
      <c r="BR147" s="3"/>
      <c r="BS147" s="3"/>
      <c r="BT147" s="3"/>
      <c r="BU147" s="3"/>
      <c r="BV147" s="3"/>
      <c r="BW147" s="83"/>
      <c r="BX147" s="3"/>
      <c r="BY147" s="83"/>
      <c r="BZ147" s="3"/>
      <c r="CA147" s="3"/>
      <c r="CB147" s="3"/>
      <c r="CC147" s="3"/>
      <c r="CD147" s="3"/>
      <c r="CE147" s="3"/>
    </row>
    <row r="148" spans="1:83" ht="24" customHeight="1" x14ac:dyDescent="0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8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83"/>
      <c r="AF148" s="3"/>
      <c r="AG148" s="8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83"/>
      <c r="BN148" s="3"/>
      <c r="BO148" s="83"/>
      <c r="BP148" s="3"/>
      <c r="BQ148" s="3"/>
      <c r="BR148" s="3"/>
      <c r="BS148" s="3"/>
      <c r="BT148" s="3"/>
      <c r="BU148" s="3"/>
      <c r="BV148" s="3"/>
      <c r="BW148" s="83"/>
      <c r="BX148" s="3"/>
      <c r="BY148" s="83"/>
      <c r="BZ148" s="3"/>
      <c r="CA148" s="3"/>
      <c r="CB148" s="3"/>
      <c r="CC148" s="3"/>
      <c r="CD148" s="3"/>
      <c r="CE148" s="3"/>
    </row>
    <row r="149" spans="1:83" ht="24" customHeight="1" x14ac:dyDescent="0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8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83"/>
      <c r="AF149" s="3"/>
      <c r="AG149" s="8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83"/>
      <c r="BN149" s="3"/>
      <c r="BO149" s="83"/>
      <c r="BP149" s="3"/>
      <c r="BQ149" s="3"/>
      <c r="BR149" s="3"/>
      <c r="BS149" s="3"/>
      <c r="BT149" s="3"/>
      <c r="BU149" s="3"/>
      <c r="BV149" s="3"/>
      <c r="BW149" s="83"/>
      <c r="BX149" s="3"/>
      <c r="BY149" s="83"/>
      <c r="BZ149" s="3"/>
      <c r="CA149" s="3"/>
      <c r="CB149" s="3"/>
      <c r="CC149" s="3"/>
      <c r="CD149" s="3"/>
      <c r="CE149" s="3"/>
    </row>
    <row r="150" spans="1:83" ht="24" customHeight="1" x14ac:dyDescent="0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8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83"/>
      <c r="AF150" s="3"/>
      <c r="AG150" s="8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83"/>
      <c r="BN150" s="3"/>
      <c r="BO150" s="83"/>
      <c r="BP150" s="3"/>
      <c r="BQ150" s="3"/>
      <c r="BR150" s="3"/>
      <c r="BS150" s="3"/>
      <c r="BT150" s="3"/>
      <c r="BU150" s="3"/>
      <c r="BV150" s="3"/>
      <c r="BW150" s="83"/>
      <c r="BX150" s="3"/>
      <c r="BY150" s="83"/>
      <c r="BZ150" s="3"/>
      <c r="CA150" s="3"/>
      <c r="CB150" s="3"/>
      <c r="CC150" s="3"/>
      <c r="CD150" s="3"/>
      <c r="CE150" s="3"/>
    </row>
    <row r="151" spans="1:83" ht="24" customHeight="1" x14ac:dyDescent="0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8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83"/>
      <c r="AF151" s="3"/>
      <c r="AG151" s="8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83"/>
      <c r="BN151" s="3"/>
      <c r="BO151" s="83"/>
      <c r="BP151" s="3"/>
      <c r="BQ151" s="3"/>
      <c r="BR151" s="3"/>
      <c r="BS151" s="3"/>
      <c r="BT151" s="3"/>
      <c r="BU151" s="3"/>
      <c r="BV151" s="3"/>
      <c r="BW151" s="83"/>
      <c r="BX151" s="3"/>
      <c r="BY151" s="83"/>
      <c r="BZ151" s="3"/>
      <c r="CA151" s="3"/>
      <c r="CB151" s="3"/>
      <c r="CC151" s="3"/>
      <c r="CD151" s="3"/>
      <c r="CE151" s="3"/>
    </row>
    <row r="152" spans="1:83" ht="24" customHeight="1" x14ac:dyDescent="0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8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83"/>
      <c r="AF152" s="3"/>
      <c r="AG152" s="8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83"/>
      <c r="BN152" s="3"/>
      <c r="BO152" s="83"/>
      <c r="BP152" s="3"/>
      <c r="BQ152" s="3"/>
      <c r="BR152" s="3"/>
      <c r="BS152" s="3"/>
      <c r="BT152" s="3"/>
      <c r="BU152" s="3"/>
      <c r="BV152" s="3"/>
      <c r="BW152" s="83"/>
      <c r="BX152" s="3"/>
      <c r="BY152" s="83"/>
      <c r="BZ152" s="3"/>
      <c r="CA152" s="3"/>
      <c r="CB152" s="3"/>
      <c r="CC152" s="3"/>
      <c r="CD152" s="3"/>
      <c r="CE152" s="3"/>
    </row>
    <row r="153" spans="1:83" ht="24" customHeight="1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8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83"/>
      <c r="AF153" s="3"/>
      <c r="AG153" s="8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83"/>
      <c r="BN153" s="3"/>
      <c r="BO153" s="83"/>
      <c r="BP153" s="3"/>
      <c r="BQ153" s="3"/>
      <c r="BR153" s="3"/>
      <c r="BS153" s="3"/>
      <c r="BT153" s="3"/>
      <c r="BU153" s="3"/>
      <c r="BV153" s="3"/>
      <c r="BW153" s="83"/>
      <c r="BX153" s="3"/>
      <c r="BY153" s="83"/>
      <c r="BZ153" s="3"/>
      <c r="CA153" s="3"/>
      <c r="CB153" s="3"/>
      <c r="CC153" s="3"/>
      <c r="CD153" s="3"/>
      <c r="CE153" s="3"/>
    </row>
    <row r="154" spans="1:83" ht="24" customHeight="1" x14ac:dyDescent="0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8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83"/>
      <c r="AF154" s="3"/>
      <c r="AG154" s="8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83"/>
      <c r="BN154" s="3"/>
      <c r="BO154" s="83"/>
      <c r="BP154" s="3"/>
      <c r="BQ154" s="3"/>
      <c r="BR154" s="3"/>
      <c r="BS154" s="3"/>
      <c r="BT154" s="3"/>
      <c r="BU154" s="3"/>
      <c r="BV154" s="3"/>
      <c r="BW154" s="83"/>
      <c r="BX154" s="3"/>
      <c r="BY154" s="83"/>
      <c r="BZ154" s="3"/>
      <c r="CA154" s="3"/>
      <c r="CB154" s="3"/>
      <c r="CC154" s="3"/>
      <c r="CD154" s="3"/>
      <c r="CE154" s="3"/>
    </row>
    <row r="155" spans="1:83" ht="24" customHeight="1" x14ac:dyDescent="0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8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83"/>
      <c r="AF155" s="3"/>
      <c r="AG155" s="8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83"/>
      <c r="BN155" s="3"/>
      <c r="BO155" s="83"/>
      <c r="BP155" s="3"/>
      <c r="BQ155" s="3"/>
      <c r="BR155" s="3"/>
      <c r="BS155" s="3"/>
      <c r="BT155" s="3"/>
      <c r="BU155" s="3"/>
      <c r="BV155" s="3"/>
      <c r="BW155" s="83"/>
      <c r="BX155" s="3"/>
      <c r="BY155" s="83"/>
      <c r="BZ155" s="3"/>
      <c r="CA155" s="3"/>
      <c r="CB155" s="3"/>
      <c r="CC155" s="3"/>
      <c r="CD155" s="3"/>
      <c r="CE155" s="3"/>
    </row>
    <row r="156" spans="1:83" ht="24" customHeight="1" x14ac:dyDescent="0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8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83"/>
      <c r="AF156" s="3"/>
      <c r="AG156" s="8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83"/>
      <c r="BN156" s="3"/>
      <c r="BO156" s="83"/>
      <c r="BP156" s="3"/>
      <c r="BQ156" s="3"/>
      <c r="BR156" s="3"/>
      <c r="BS156" s="3"/>
      <c r="BT156" s="3"/>
      <c r="BU156" s="3"/>
      <c r="BV156" s="3"/>
      <c r="BW156" s="83"/>
      <c r="BX156" s="3"/>
      <c r="BY156" s="83"/>
      <c r="BZ156" s="3"/>
      <c r="CA156" s="3"/>
      <c r="CB156" s="3"/>
      <c r="CC156" s="3"/>
      <c r="CD156" s="3"/>
      <c r="CE156" s="3"/>
    </row>
    <row r="157" spans="1:83" ht="24" customHeight="1" x14ac:dyDescent="0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8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83"/>
      <c r="AF157" s="3"/>
      <c r="AG157" s="8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83"/>
      <c r="BN157" s="3"/>
      <c r="BO157" s="83"/>
      <c r="BP157" s="3"/>
      <c r="BQ157" s="3"/>
      <c r="BR157" s="3"/>
      <c r="BS157" s="3"/>
      <c r="BT157" s="3"/>
      <c r="BU157" s="3"/>
      <c r="BV157" s="3"/>
      <c r="BW157" s="83"/>
      <c r="BX157" s="3"/>
      <c r="BY157" s="83"/>
      <c r="BZ157" s="3"/>
      <c r="CA157" s="3"/>
      <c r="CB157" s="3"/>
      <c r="CC157" s="3"/>
      <c r="CD157" s="3"/>
      <c r="CE157" s="3"/>
    </row>
    <row r="158" spans="1:83" ht="24" customHeight="1" x14ac:dyDescent="0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8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83"/>
      <c r="AF158" s="3"/>
      <c r="AG158" s="8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83"/>
      <c r="BN158" s="3"/>
      <c r="BO158" s="83"/>
      <c r="BP158" s="3"/>
      <c r="BQ158" s="3"/>
      <c r="BR158" s="3"/>
      <c r="BS158" s="3"/>
      <c r="BT158" s="3"/>
      <c r="BU158" s="3"/>
      <c r="BV158" s="3"/>
      <c r="BW158" s="83"/>
      <c r="BX158" s="3"/>
      <c r="BY158" s="83"/>
      <c r="BZ158" s="3"/>
      <c r="CA158" s="3"/>
      <c r="CB158" s="3"/>
      <c r="CC158" s="3"/>
      <c r="CD158" s="3"/>
      <c r="CE158" s="3"/>
    </row>
    <row r="159" spans="1:83" ht="24" customHeight="1" x14ac:dyDescent="0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8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83"/>
      <c r="AF159" s="3"/>
      <c r="AG159" s="8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83"/>
      <c r="BN159" s="3"/>
      <c r="BO159" s="83"/>
      <c r="BP159" s="3"/>
      <c r="BQ159" s="3"/>
      <c r="BR159" s="3"/>
      <c r="BS159" s="3"/>
      <c r="BT159" s="3"/>
      <c r="BU159" s="3"/>
      <c r="BV159" s="3"/>
      <c r="BW159" s="83"/>
      <c r="BX159" s="3"/>
      <c r="BY159" s="83"/>
      <c r="BZ159" s="3"/>
      <c r="CA159" s="3"/>
      <c r="CB159" s="3"/>
      <c r="CC159" s="3"/>
      <c r="CD159" s="3"/>
      <c r="CE159" s="3"/>
    </row>
    <row r="160" spans="1:83" ht="24" customHeight="1" x14ac:dyDescent="0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8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83"/>
      <c r="AF160" s="3"/>
      <c r="AG160" s="8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83"/>
      <c r="BN160" s="3"/>
      <c r="BO160" s="83"/>
      <c r="BP160" s="3"/>
      <c r="BQ160" s="3"/>
      <c r="BR160" s="3"/>
      <c r="BS160" s="3"/>
      <c r="BT160" s="3"/>
      <c r="BU160" s="3"/>
      <c r="BV160" s="3"/>
      <c r="BW160" s="83"/>
      <c r="BX160" s="3"/>
      <c r="BY160" s="83"/>
      <c r="BZ160" s="3"/>
      <c r="CA160" s="3"/>
      <c r="CB160" s="3"/>
      <c r="CC160" s="3"/>
      <c r="CD160" s="3"/>
      <c r="CE160" s="3"/>
    </row>
    <row r="161" spans="1:83" ht="24" customHeight="1" x14ac:dyDescent="0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8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83"/>
      <c r="AF161" s="3"/>
      <c r="AG161" s="8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83"/>
      <c r="BN161" s="3"/>
      <c r="BO161" s="83"/>
      <c r="BP161" s="3"/>
      <c r="BQ161" s="3"/>
      <c r="BR161" s="3"/>
      <c r="BS161" s="3"/>
      <c r="BT161" s="3"/>
      <c r="BU161" s="3"/>
      <c r="BV161" s="3"/>
      <c r="BW161" s="83"/>
      <c r="BX161" s="3"/>
      <c r="BY161" s="83"/>
      <c r="BZ161" s="3"/>
      <c r="CA161" s="3"/>
      <c r="CB161" s="3"/>
      <c r="CC161" s="3"/>
      <c r="CD161" s="3"/>
      <c r="CE161" s="3"/>
    </row>
    <row r="162" spans="1:83" ht="24" customHeight="1" x14ac:dyDescent="0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8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83"/>
      <c r="AF162" s="3"/>
      <c r="AG162" s="8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83"/>
      <c r="BN162" s="3"/>
      <c r="BO162" s="83"/>
      <c r="BP162" s="3"/>
      <c r="BQ162" s="3"/>
      <c r="BR162" s="3"/>
      <c r="BS162" s="3"/>
      <c r="BT162" s="3"/>
      <c r="BU162" s="3"/>
      <c r="BV162" s="3"/>
      <c r="BW162" s="83"/>
      <c r="BX162" s="3"/>
      <c r="BY162" s="83"/>
      <c r="BZ162" s="3"/>
      <c r="CA162" s="3"/>
      <c r="CB162" s="3"/>
      <c r="CC162" s="3"/>
      <c r="CD162" s="3"/>
      <c r="CE162" s="3"/>
    </row>
    <row r="163" spans="1:83" ht="24" customHeight="1" x14ac:dyDescent="0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8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83"/>
      <c r="AF163" s="3"/>
      <c r="AG163" s="8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83"/>
      <c r="BN163" s="3"/>
      <c r="BO163" s="83"/>
      <c r="BP163" s="3"/>
      <c r="BQ163" s="3"/>
      <c r="BR163" s="3"/>
      <c r="BS163" s="3"/>
      <c r="BT163" s="3"/>
      <c r="BU163" s="3"/>
      <c r="BV163" s="3"/>
      <c r="BW163" s="83"/>
      <c r="BX163" s="3"/>
      <c r="BY163" s="83"/>
      <c r="BZ163" s="3"/>
      <c r="CA163" s="3"/>
      <c r="CB163" s="3"/>
      <c r="CC163" s="3"/>
      <c r="CD163" s="3"/>
      <c r="CE163" s="3"/>
    </row>
    <row r="164" spans="1:83" ht="24" customHeight="1" x14ac:dyDescent="0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8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83"/>
      <c r="AF164" s="3"/>
      <c r="AG164" s="8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83"/>
      <c r="BN164" s="3"/>
      <c r="BO164" s="83"/>
      <c r="BP164" s="3"/>
      <c r="BQ164" s="3"/>
      <c r="BR164" s="3"/>
      <c r="BS164" s="3"/>
      <c r="BT164" s="3"/>
      <c r="BU164" s="3"/>
      <c r="BV164" s="3"/>
      <c r="BW164" s="83"/>
      <c r="BX164" s="3"/>
      <c r="BY164" s="83"/>
      <c r="BZ164" s="3"/>
      <c r="CA164" s="3"/>
      <c r="CB164" s="3"/>
      <c r="CC164" s="3"/>
      <c r="CD164" s="3"/>
      <c r="CE164" s="3"/>
    </row>
    <row r="165" spans="1:83" ht="24" customHeight="1" x14ac:dyDescent="0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8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83"/>
      <c r="AF165" s="3"/>
      <c r="AG165" s="8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83"/>
      <c r="BN165" s="3"/>
      <c r="BO165" s="83"/>
      <c r="BP165" s="3"/>
      <c r="BQ165" s="3"/>
      <c r="BR165" s="3"/>
      <c r="BS165" s="3"/>
      <c r="BT165" s="3"/>
      <c r="BU165" s="3"/>
      <c r="BV165" s="3"/>
      <c r="BW165" s="83"/>
      <c r="BX165" s="3"/>
      <c r="BY165" s="83"/>
      <c r="BZ165" s="3"/>
      <c r="CA165" s="3"/>
      <c r="CB165" s="3"/>
      <c r="CC165" s="3"/>
      <c r="CD165" s="3"/>
      <c r="CE165" s="3"/>
    </row>
    <row r="166" spans="1:83" ht="24" customHeight="1" x14ac:dyDescent="0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8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83"/>
      <c r="AF166" s="3"/>
      <c r="AG166" s="8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83"/>
      <c r="BN166" s="3"/>
      <c r="BO166" s="83"/>
      <c r="BP166" s="3"/>
      <c r="BQ166" s="3"/>
      <c r="BR166" s="3"/>
      <c r="BS166" s="3"/>
      <c r="BT166" s="3"/>
      <c r="BU166" s="3"/>
      <c r="BV166" s="3"/>
      <c r="BW166" s="83"/>
      <c r="BX166" s="3"/>
      <c r="BY166" s="83"/>
      <c r="BZ166" s="3"/>
      <c r="CA166" s="3"/>
      <c r="CB166" s="3"/>
      <c r="CC166" s="3"/>
      <c r="CD166" s="3"/>
      <c r="CE166" s="3"/>
    </row>
    <row r="167" spans="1:83" ht="24" customHeight="1" x14ac:dyDescent="0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8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83"/>
      <c r="AF167" s="3"/>
      <c r="AG167" s="8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83"/>
      <c r="BN167" s="3"/>
      <c r="BO167" s="83"/>
      <c r="BP167" s="3"/>
      <c r="BQ167" s="3"/>
      <c r="BR167" s="3"/>
      <c r="BS167" s="3"/>
      <c r="BT167" s="3"/>
      <c r="BU167" s="3"/>
      <c r="BV167" s="3"/>
      <c r="BW167" s="83"/>
      <c r="BX167" s="3"/>
      <c r="BY167" s="83"/>
      <c r="BZ167" s="3"/>
      <c r="CA167" s="3"/>
      <c r="CB167" s="3"/>
      <c r="CC167" s="3"/>
      <c r="CD167" s="3"/>
      <c r="CE167" s="3"/>
    </row>
    <row r="168" spans="1:83" ht="24" customHeight="1" x14ac:dyDescent="0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8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83"/>
      <c r="AF168" s="3"/>
      <c r="AG168" s="8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83"/>
      <c r="BN168" s="3"/>
      <c r="BO168" s="83"/>
      <c r="BP168" s="3"/>
      <c r="BQ168" s="3"/>
      <c r="BR168" s="3"/>
      <c r="BS168" s="3"/>
      <c r="BT168" s="3"/>
      <c r="BU168" s="3"/>
      <c r="BV168" s="3"/>
      <c r="BW168" s="83"/>
      <c r="BX168" s="3"/>
      <c r="BY168" s="83"/>
      <c r="BZ168" s="3"/>
      <c r="CA168" s="3"/>
      <c r="CB168" s="3"/>
      <c r="CC168" s="3"/>
      <c r="CD168" s="3"/>
      <c r="CE168" s="3"/>
    </row>
    <row r="169" spans="1:83" ht="24" customHeight="1" x14ac:dyDescent="0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8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83"/>
      <c r="AF169" s="3"/>
      <c r="AG169" s="8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83"/>
      <c r="BN169" s="3"/>
      <c r="BO169" s="83"/>
      <c r="BP169" s="3"/>
      <c r="BQ169" s="3"/>
      <c r="BR169" s="3"/>
      <c r="BS169" s="3"/>
      <c r="BT169" s="3"/>
      <c r="BU169" s="3"/>
      <c r="BV169" s="3"/>
      <c r="BW169" s="83"/>
      <c r="BX169" s="3"/>
      <c r="BY169" s="83"/>
      <c r="BZ169" s="3"/>
      <c r="CA169" s="3"/>
      <c r="CB169" s="3"/>
      <c r="CC169" s="3"/>
      <c r="CD169" s="3"/>
      <c r="CE169" s="3"/>
    </row>
    <row r="170" spans="1:83" ht="24" customHeight="1" x14ac:dyDescent="0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8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83"/>
      <c r="AF170" s="3"/>
      <c r="AG170" s="8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83"/>
      <c r="BN170" s="3"/>
      <c r="BO170" s="83"/>
      <c r="BP170" s="3"/>
      <c r="BQ170" s="3"/>
      <c r="BR170" s="3"/>
      <c r="BS170" s="3"/>
      <c r="BT170" s="3"/>
      <c r="BU170" s="3"/>
      <c r="BV170" s="3"/>
      <c r="BW170" s="83"/>
      <c r="BX170" s="3"/>
      <c r="BY170" s="83"/>
      <c r="BZ170" s="3"/>
      <c r="CA170" s="3"/>
      <c r="CB170" s="3"/>
      <c r="CC170" s="3"/>
      <c r="CD170" s="3"/>
      <c r="CE170" s="3"/>
    </row>
    <row r="171" spans="1:83" ht="24" customHeight="1" x14ac:dyDescent="0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8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83"/>
      <c r="AF171" s="3"/>
      <c r="AG171" s="8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83"/>
      <c r="BN171" s="3"/>
      <c r="BO171" s="83"/>
      <c r="BP171" s="3"/>
      <c r="BQ171" s="3"/>
      <c r="BR171" s="3"/>
      <c r="BS171" s="3"/>
      <c r="BT171" s="3"/>
      <c r="BU171" s="3"/>
      <c r="BV171" s="3"/>
      <c r="BW171" s="83"/>
      <c r="BX171" s="3"/>
      <c r="BY171" s="83"/>
      <c r="BZ171" s="3"/>
      <c r="CA171" s="3"/>
      <c r="CB171" s="3"/>
      <c r="CC171" s="3"/>
      <c r="CD171" s="3"/>
      <c r="CE171" s="3"/>
    </row>
    <row r="172" spans="1:83" ht="24" customHeight="1" x14ac:dyDescent="0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8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83"/>
      <c r="AF172" s="3"/>
      <c r="AG172" s="8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83"/>
      <c r="BN172" s="3"/>
      <c r="BO172" s="83"/>
      <c r="BP172" s="3"/>
      <c r="BQ172" s="3"/>
      <c r="BR172" s="3"/>
      <c r="BS172" s="3"/>
      <c r="BT172" s="3"/>
      <c r="BU172" s="3"/>
      <c r="BV172" s="3"/>
      <c r="BW172" s="83"/>
      <c r="BX172" s="3"/>
      <c r="BY172" s="83"/>
      <c r="BZ172" s="3"/>
      <c r="CA172" s="3"/>
      <c r="CB172" s="3"/>
      <c r="CC172" s="3"/>
      <c r="CD172" s="3"/>
      <c r="CE172" s="3"/>
    </row>
    <row r="173" spans="1:83" ht="24" customHeight="1" x14ac:dyDescent="0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8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83"/>
      <c r="AF173" s="3"/>
      <c r="AG173" s="8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83"/>
      <c r="BN173" s="3"/>
      <c r="BO173" s="83"/>
      <c r="BP173" s="3"/>
      <c r="BQ173" s="3"/>
      <c r="BR173" s="3"/>
      <c r="BS173" s="3"/>
      <c r="BT173" s="3"/>
      <c r="BU173" s="3"/>
      <c r="BV173" s="3"/>
      <c r="BW173" s="83"/>
      <c r="BX173" s="3"/>
      <c r="BY173" s="83"/>
      <c r="BZ173" s="3"/>
      <c r="CA173" s="3"/>
      <c r="CB173" s="3"/>
      <c r="CC173" s="3"/>
      <c r="CD173" s="3"/>
      <c r="CE173" s="3"/>
    </row>
    <row r="174" spans="1:83" ht="24" customHeight="1" x14ac:dyDescent="0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8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83"/>
      <c r="AF174" s="3"/>
      <c r="AG174" s="8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83"/>
      <c r="BN174" s="3"/>
      <c r="BO174" s="83"/>
      <c r="BP174" s="3"/>
      <c r="BQ174" s="3"/>
      <c r="BR174" s="3"/>
      <c r="BS174" s="3"/>
      <c r="BT174" s="3"/>
      <c r="BU174" s="3"/>
      <c r="BV174" s="3"/>
      <c r="BW174" s="83"/>
      <c r="BX174" s="3"/>
      <c r="BY174" s="83"/>
      <c r="BZ174" s="3"/>
      <c r="CA174" s="3"/>
      <c r="CB174" s="3"/>
      <c r="CC174" s="3"/>
      <c r="CD174" s="3"/>
      <c r="CE174" s="3"/>
    </row>
    <row r="175" spans="1:83" ht="24" customHeight="1" x14ac:dyDescent="0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8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83"/>
      <c r="AF175" s="3"/>
      <c r="AG175" s="8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83"/>
      <c r="BN175" s="3"/>
      <c r="BO175" s="83"/>
      <c r="BP175" s="3"/>
      <c r="BQ175" s="3"/>
      <c r="BR175" s="3"/>
      <c r="BS175" s="3"/>
      <c r="BT175" s="3"/>
      <c r="BU175" s="3"/>
      <c r="BV175" s="3"/>
      <c r="BW175" s="83"/>
      <c r="BX175" s="3"/>
      <c r="BY175" s="83"/>
      <c r="BZ175" s="3"/>
      <c r="CA175" s="3"/>
      <c r="CB175" s="3"/>
      <c r="CC175" s="3"/>
      <c r="CD175" s="3"/>
      <c r="CE175" s="3"/>
    </row>
    <row r="176" spans="1:83" ht="24" customHeight="1" x14ac:dyDescent="0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8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83"/>
      <c r="AF176" s="3"/>
      <c r="AG176" s="8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83"/>
      <c r="BN176" s="3"/>
      <c r="BO176" s="83"/>
      <c r="BP176" s="3"/>
      <c r="BQ176" s="3"/>
      <c r="BR176" s="3"/>
      <c r="BS176" s="3"/>
      <c r="BT176" s="3"/>
      <c r="BU176" s="3"/>
      <c r="BV176" s="3"/>
      <c r="BW176" s="83"/>
      <c r="BX176" s="3"/>
      <c r="BY176" s="83"/>
      <c r="BZ176" s="3"/>
      <c r="CA176" s="3"/>
      <c r="CB176" s="3"/>
      <c r="CC176" s="3"/>
      <c r="CD176" s="3"/>
      <c r="CE176" s="3"/>
    </row>
    <row r="177" spans="1:83" ht="24" customHeight="1" x14ac:dyDescent="0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8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83"/>
      <c r="AF177" s="3"/>
      <c r="AG177" s="8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83"/>
      <c r="BN177" s="3"/>
      <c r="BO177" s="83"/>
      <c r="BP177" s="3"/>
      <c r="BQ177" s="3"/>
      <c r="BR177" s="3"/>
      <c r="BS177" s="3"/>
      <c r="BT177" s="3"/>
      <c r="BU177" s="3"/>
      <c r="BV177" s="3"/>
      <c r="BW177" s="83"/>
      <c r="BX177" s="3"/>
      <c r="BY177" s="83"/>
      <c r="BZ177" s="3"/>
      <c r="CA177" s="3"/>
      <c r="CB177" s="3"/>
      <c r="CC177" s="3"/>
      <c r="CD177" s="3"/>
      <c r="CE177" s="3"/>
    </row>
    <row r="178" spans="1:83" ht="24" customHeight="1" x14ac:dyDescent="0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8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83"/>
      <c r="AF178" s="3"/>
      <c r="AG178" s="8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83"/>
      <c r="BN178" s="3"/>
      <c r="BO178" s="83"/>
      <c r="BP178" s="3"/>
      <c r="BQ178" s="3"/>
      <c r="BR178" s="3"/>
      <c r="BS178" s="3"/>
      <c r="BT178" s="3"/>
      <c r="BU178" s="3"/>
      <c r="BV178" s="3"/>
      <c r="BW178" s="83"/>
      <c r="BX178" s="3"/>
      <c r="BY178" s="83"/>
      <c r="BZ178" s="3"/>
      <c r="CA178" s="3"/>
      <c r="CB178" s="3"/>
      <c r="CC178" s="3"/>
      <c r="CD178" s="3"/>
      <c r="CE178" s="3"/>
    </row>
    <row r="179" spans="1:83" ht="24" customHeight="1" x14ac:dyDescent="0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8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83"/>
      <c r="AF179" s="3"/>
      <c r="AG179" s="8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83"/>
      <c r="BN179" s="3"/>
      <c r="BO179" s="83"/>
      <c r="BP179" s="3"/>
      <c r="BQ179" s="3"/>
      <c r="BR179" s="3"/>
      <c r="BS179" s="3"/>
      <c r="BT179" s="3"/>
      <c r="BU179" s="3"/>
      <c r="BV179" s="3"/>
      <c r="BW179" s="83"/>
      <c r="BX179" s="3"/>
      <c r="BY179" s="83"/>
      <c r="BZ179" s="3"/>
      <c r="CA179" s="3"/>
      <c r="CB179" s="3"/>
      <c r="CC179" s="3"/>
      <c r="CD179" s="3"/>
      <c r="CE179" s="3"/>
    </row>
    <row r="180" spans="1:83" ht="24" customHeight="1" x14ac:dyDescent="0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8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83"/>
      <c r="AF180" s="3"/>
      <c r="AG180" s="8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83"/>
      <c r="BN180" s="3"/>
      <c r="BO180" s="83"/>
      <c r="BP180" s="3"/>
      <c r="BQ180" s="3"/>
      <c r="BR180" s="3"/>
      <c r="BS180" s="3"/>
      <c r="BT180" s="3"/>
      <c r="BU180" s="3"/>
      <c r="BV180" s="3"/>
      <c r="BW180" s="83"/>
      <c r="BX180" s="3"/>
      <c r="BY180" s="83"/>
      <c r="BZ180" s="3"/>
      <c r="CA180" s="3"/>
      <c r="CB180" s="3"/>
      <c r="CC180" s="3"/>
      <c r="CD180" s="3"/>
      <c r="CE180" s="3"/>
    </row>
    <row r="181" spans="1:83" ht="24" customHeight="1" x14ac:dyDescent="0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8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83"/>
      <c r="AF181" s="3"/>
      <c r="AG181" s="8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83"/>
      <c r="BN181" s="3"/>
      <c r="BO181" s="83"/>
      <c r="BP181" s="3"/>
      <c r="BQ181" s="3"/>
      <c r="BR181" s="3"/>
      <c r="BS181" s="3"/>
      <c r="BT181" s="3"/>
      <c r="BU181" s="3"/>
      <c r="BV181" s="3"/>
      <c r="BW181" s="83"/>
      <c r="BX181" s="3"/>
      <c r="BY181" s="83"/>
      <c r="BZ181" s="3"/>
      <c r="CA181" s="3"/>
      <c r="CB181" s="3"/>
      <c r="CC181" s="3"/>
      <c r="CD181" s="3"/>
      <c r="CE181" s="3"/>
    </row>
    <row r="182" spans="1:83" ht="24" customHeight="1" x14ac:dyDescent="0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8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83"/>
      <c r="AF182" s="3"/>
      <c r="AG182" s="8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83"/>
      <c r="BN182" s="3"/>
      <c r="BO182" s="83"/>
      <c r="BP182" s="3"/>
      <c r="BQ182" s="3"/>
      <c r="BR182" s="3"/>
      <c r="BS182" s="3"/>
      <c r="BT182" s="3"/>
      <c r="BU182" s="3"/>
      <c r="BV182" s="3"/>
      <c r="BW182" s="83"/>
      <c r="BX182" s="3"/>
      <c r="BY182" s="83"/>
      <c r="BZ182" s="3"/>
      <c r="CA182" s="3"/>
      <c r="CB182" s="3"/>
      <c r="CC182" s="3"/>
      <c r="CD182" s="3"/>
      <c r="CE182" s="3"/>
    </row>
    <row r="183" spans="1:83" ht="24" customHeight="1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8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83"/>
      <c r="AF183" s="3"/>
      <c r="AG183" s="8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83"/>
      <c r="BN183" s="3"/>
      <c r="BO183" s="83"/>
      <c r="BP183" s="3"/>
      <c r="BQ183" s="3"/>
      <c r="BR183" s="3"/>
      <c r="BS183" s="3"/>
      <c r="BT183" s="3"/>
      <c r="BU183" s="3"/>
      <c r="BV183" s="3"/>
      <c r="BW183" s="83"/>
      <c r="BX183" s="3"/>
      <c r="BY183" s="83"/>
      <c r="BZ183" s="3"/>
      <c r="CA183" s="3"/>
      <c r="CB183" s="3"/>
      <c r="CC183" s="3"/>
      <c r="CD183" s="3"/>
      <c r="CE183" s="3"/>
    </row>
    <row r="184" spans="1:83" ht="24" customHeight="1" x14ac:dyDescent="0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8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83"/>
      <c r="AF184" s="3"/>
      <c r="AG184" s="8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83"/>
      <c r="BN184" s="3"/>
      <c r="BO184" s="83"/>
      <c r="BP184" s="3"/>
      <c r="BQ184" s="3"/>
      <c r="BR184" s="3"/>
      <c r="BS184" s="3"/>
      <c r="BT184" s="3"/>
      <c r="BU184" s="3"/>
      <c r="BV184" s="3"/>
      <c r="BW184" s="83"/>
      <c r="BX184" s="3"/>
      <c r="BY184" s="83"/>
      <c r="BZ184" s="3"/>
      <c r="CA184" s="3"/>
      <c r="CB184" s="3"/>
      <c r="CC184" s="3"/>
      <c r="CD184" s="3"/>
      <c r="CE184" s="3"/>
    </row>
    <row r="185" spans="1:83" ht="24" customHeight="1" x14ac:dyDescent="0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8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83"/>
      <c r="AF185" s="3"/>
      <c r="AG185" s="8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83"/>
      <c r="BN185" s="3"/>
      <c r="BO185" s="83"/>
      <c r="BP185" s="3"/>
      <c r="BQ185" s="3"/>
      <c r="BR185" s="3"/>
      <c r="BS185" s="3"/>
      <c r="BT185" s="3"/>
      <c r="BU185" s="3"/>
      <c r="BV185" s="3"/>
      <c r="BW185" s="83"/>
      <c r="BX185" s="3"/>
      <c r="BY185" s="83"/>
      <c r="BZ185" s="3"/>
      <c r="CA185" s="3"/>
      <c r="CB185" s="3"/>
      <c r="CC185" s="3"/>
      <c r="CD185" s="3"/>
      <c r="CE185" s="3"/>
    </row>
    <row r="186" spans="1:83" ht="24" customHeight="1" x14ac:dyDescent="0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8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83"/>
      <c r="AF186" s="3"/>
      <c r="AG186" s="8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83"/>
      <c r="BN186" s="3"/>
      <c r="BO186" s="83"/>
      <c r="BP186" s="3"/>
      <c r="BQ186" s="3"/>
      <c r="BR186" s="3"/>
      <c r="BS186" s="3"/>
      <c r="BT186" s="3"/>
      <c r="BU186" s="3"/>
      <c r="BV186" s="3"/>
      <c r="BW186" s="83"/>
      <c r="BX186" s="3"/>
      <c r="BY186" s="83"/>
      <c r="BZ186" s="3"/>
      <c r="CA186" s="3"/>
      <c r="CB186" s="3"/>
      <c r="CC186" s="3"/>
      <c r="CD186" s="3"/>
      <c r="CE186" s="3"/>
    </row>
    <row r="187" spans="1:83" ht="24" customHeight="1" x14ac:dyDescent="0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8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83"/>
      <c r="AF187" s="3"/>
      <c r="AG187" s="8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83"/>
      <c r="BN187" s="3"/>
      <c r="BO187" s="83"/>
      <c r="BP187" s="3"/>
      <c r="BQ187" s="3"/>
      <c r="BR187" s="3"/>
      <c r="BS187" s="3"/>
      <c r="BT187" s="3"/>
      <c r="BU187" s="3"/>
      <c r="BV187" s="3"/>
      <c r="BW187" s="83"/>
      <c r="BX187" s="3"/>
      <c r="BY187" s="83"/>
      <c r="BZ187" s="3"/>
      <c r="CA187" s="3"/>
      <c r="CB187" s="3"/>
      <c r="CC187" s="3"/>
      <c r="CD187" s="3"/>
      <c r="CE187" s="3"/>
    </row>
    <row r="188" spans="1:83" ht="24" customHeight="1" x14ac:dyDescent="0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8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83"/>
      <c r="AF188" s="3"/>
      <c r="AG188" s="8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83"/>
      <c r="BN188" s="3"/>
      <c r="BO188" s="83"/>
      <c r="BP188" s="3"/>
      <c r="BQ188" s="3"/>
      <c r="BR188" s="3"/>
      <c r="BS188" s="3"/>
      <c r="BT188" s="3"/>
      <c r="BU188" s="3"/>
      <c r="BV188" s="3"/>
      <c r="BW188" s="83"/>
      <c r="BX188" s="3"/>
      <c r="BY188" s="83"/>
      <c r="BZ188" s="3"/>
      <c r="CA188" s="3"/>
      <c r="CB188" s="3"/>
      <c r="CC188" s="3"/>
      <c r="CD188" s="3"/>
      <c r="CE188" s="3"/>
    </row>
    <row r="189" spans="1:83" ht="24" customHeight="1" x14ac:dyDescent="0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8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83"/>
      <c r="AF189" s="3"/>
      <c r="AG189" s="8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83"/>
      <c r="BN189" s="3"/>
      <c r="BO189" s="83"/>
      <c r="BP189" s="3"/>
      <c r="BQ189" s="3"/>
      <c r="BR189" s="3"/>
      <c r="BS189" s="3"/>
      <c r="BT189" s="3"/>
      <c r="BU189" s="3"/>
      <c r="BV189" s="3"/>
      <c r="BW189" s="83"/>
      <c r="BX189" s="3"/>
      <c r="BY189" s="83"/>
      <c r="BZ189" s="3"/>
      <c r="CA189" s="3"/>
      <c r="CB189" s="3"/>
      <c r="CC189" s="3"/>
      <c r="CD189" s="3"/>
      <c r="CE189" s="3"/>
    </row>
    <row r="190" spans="1:83" ht="24" customHeight="1" x14ac:dyDescent="0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8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83"/>
      <c r="AF190" s="3"/>
      <c r="AG190" s="8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83"/>
      <c r="BN190" s="3"/>
      <c r="BO190" s="83"/>
      <c r="BP190" s="3"/>
      <c r="BQ190" s="3"/>
      <c r="BR190" s="3"/>
      <c r="BS190" s="3"/>
      <c r="BT190" s="3"/>
      <c r="BU190" s="3"/>
      <c r="BV190" s="3"/>
      <c r="BW190" s="83"/>
      <c r="BX190" s="3"/>
      <c r="BY190" s="83"/>
      <c r="BZ190" s="3"/>
      <c r="CA190" s="3"/>
      <c r="CB190" s="3"/>
      <c r="CC190" s="3"/>
      <c r="CD190" s="3"/>
      <c r="CE190" s="3"/>
    </row>
    <row r="191" spans="1:83" ht="24" customHeight="1" x14ac:dyDescent="0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8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83"/>
      <c r="AF191" s="3"/>
      <c r="AG191" s="8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83"/>
      <c r="BN191" s="3"/>
      <c r="BO191" s="83"/>
      <c r="BP191" s="3"/>
      <c r="BQ191" s="3"/>
      <c r="BR191" s="3"/>
      <c r="BS191" s="3"/>
      <c r="BT191" s="3"/>
      <c r="BU191" s="3"/>
      <c r="BV191" s="3"/>
      <c r="BW191" s="83"/>
      <c r="BX191" s="3"/>
      <c r="BY191" s="83"/>
      <c r="BZ191" s="3"/>
      <c r="CA191" s="3"/>
      <c r="CB191" s="3"/>
      <c r="CC191" s="3"/>
      <c r="CD191" s="3"/>
      <c r="CE191" s="3"/>
    </row>
    <row r="192" spans="1:83" ht="24" customHeight="1" x14ac:dyDescent="0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8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83"/>
      <c r="AF192" s="3"/>
      <c r="AG192" s="8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83"/>
      <c r="BN192" s="3"/>
      <c r="BO192" s="83"/>
      <c r="BP192" s="3"/>
      <c r="BQ192" s="3"/>
      <c r="BR192" s="3"/>
      <c r="BS192" s="3"/>
      <c r="BT192" s="3"/>
      <c r="BU192" s="3"/>
      <c r="BV192" s="3"/>
      <c r="BW192" s="83"/>
      <c r="BX192" s="3"/>
      <c r="BY192" s="83"/>
      <c r="BZ192" s="3"/>
      <c r="CA192" s="3"/>
      <c r="CB192" s="3"/>
      <c r="CC192" s="3"/>
      <c r="CD192" s="3"/>
      <c r="CE192" s="3"/>
    </row>
    <row r="193" spans="1:83" ht="24" customHeight="1" x14ac:dyDescent="0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8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83"/>
      <c r="AF193" s="3"/>
      <c r="AG193" s="8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83"/>
      <c r="BN193" s="3"/>
      <c r="BO193" s="83"/>
      <c r="BP193" s="3"/>
      <c r="BQ193" s="3"/>
      <c r="BR193" s="3"/>
      <c r="BS193" s="3"/>
      <c r="BT193" s="3"/>
      <c r="BU193" s="3"/>
      <c r="BV193" s="3"/>
      <c r="BW193" s="83"/>
      <c r="BX193" s="3"/>
      <c r="BY193" s="83"/>
      <c r="BZ193" s="3"/>
      <c r="CA193" s="3"/>
      <c r="CB193" s="3"/>
      <c r="CC193" s="3"/>
      <c r="CD193" s="3"/>
      <c r="CE193" s="3"/>
    </row>
    <row r="194" spans="1:83" ht="24" customHeight="1" x14ac:dyDescent="0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8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83"/>
      <c r="AF194" s="3"/>
      <c r="AG194" s="8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83"/>
      <c r="BN194" s="3"/>
      <c r="BO194" s="83"/>
      <c r="BP194" s="3"/>
      <c r="BQ194" s="3"/>
      <c r="BR194" s="3"/>
      <c r="BS194" s="3"/>
      <c r="BT194" s="3"/>
      <c r="BU194" s="3"/>
      <c r="BV194" s="3"/>
      <c r="BW194" s="83"/>
      <c r="BX194" s="3"/>
      <c r="BY194" s="83"/>
      <c r="BZ194" s="3"/>
      <c r="CA194" s="3"/>
      <c r="CB194" s="3"/>
      <c r="CC194" s="3"/>
      <c r="CD194" s="3"/>
      <c r="CE194" s="3"/>
    </row>
    <row r="195" spans="1:83" ht="24" customHeight="1" x14ac:dyDescent="0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8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83"/>
      <c r="AF195" s="3"/>
      <c r="AG195" s="8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83"/>
      <c r="BN195" s="3"/>
      <c r="BO195" s="83"/>
      <c r="BP195" s="3"/>
      <c r="BQ195" s="3"/>
      <c r="BR195" s="3"/>
      <c r="BS195" s="3"/>
      <c r="BT195" s="3"/>
      <c r="BU195" s="3"/>
      <c r="BV195" s="3"/>
      <c r="BW195" s="83"/>
      <c r="BX195" s="3"/>
      <c r="BY195" s="83"/>
      <c r="BZ195" s="3"/>
      <c r="CA195" s="3"/>
      <c r="CB195" s="3"/>
      <c r="CC195" s="3"/>
      <c r="CD195" s="3"/>
      <c r="CE195" s="3"/>
    </row>
    <row r="196" spans="1:83" ht="24" customHeight="1" x14ac:dyDescent="0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8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83"/>
      <c r="AF196" s="3"/>
      <c r="AG196" s="8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83"/>
      <c r="BN196" s="3"/>
      <c r="BO196" s="83"/>
      <c r="BP196" s="3"/>
      <c r="BQ196" s="3"/>
      <c r="BR196" s="3"/>
      <c r="BS196" s="3"/>
      <c r="BT196" s="3"/>
      <c r="BU196" s="3"/>
      <c r="BV196" s="3"/>
      <c r="BW196" s="83"/>
      <c r="BX196" s="3"/>
      <c r="BY196" s="83"/>
      <c r="BZ196" s="3"/>
      <c r="CA196" s="3"/>
      <c r="CB196" s="3"/>
      <c r="CC196" s="3"/>
      <c r="CD196" s="3"/>
      <c r="CE196" s="3"/>
    </row>
    <row r="197" spans="1:83" ht="24" customHeight="1" x14ac:dyDescent="0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8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83"/>
      <c r="AF197" s="3"/>
      <c r="AG197" s="8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83"/>
      <c r="BN197" s="3"/>
      <c r="BO197" s="83"/>
      <c r="BP197" s="3"/>
      <c r="BQ197" s="3"/>
      <c r="BR197" s="3"/>
      <c r="BS197" s="3"/>
      <c r="BT197" s="3"/>
      <c r="BU197" s="3"/>
      <c r="BV197" s="3"/>
      <c r="BW197" s="83"/>
      <c r="BX197" s="3"/>
      <c r="BY197" s="83"/>
      <c r="BZ197" s="3"/>
      <c r="CA197" s="3"/>
      <c r="CB197" s="3"/>
      <c r="CC197" s="3"/>
      <c r="CD197" s="3"/>
      <c r="CE197" s="3"/>
    </row>
    <row r="198" spans="1:83" ht="24" customHeight="1" x14ac:dyDescent="0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8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83"/>
      <c r="AF198" s="3"/>
      <c r="AG198" s="8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83"/>
      <c r="BN198" s="3"/>
      <c r="BO198" s="83"/>
      <c r="BP198" s="3"/>
      <c r="BQ198" s="3"/>
      <c r="BR198" s="3"/>
      <c r="BS198" s="3"/>
      <c r="BT198" s="3"/>
      <c r="BU198" s="3"/>
      <c r="BV198" s="3"/>
      <c r="BW198" s="83"/>
      <c r="BX198" s="3"/>
      <c r="BY198" s="83"/>
      <c r="BZ198" s="3"/>
      <c r="CA198" s="3"/>
      <c r="CB198" s="3"/>
      <c r="CC198" s="3"/>
      <c r="CD198" s="3"/>
      <c r="CE198" s="3"/>
    </row>
    <row r="199" spans="1:83" ht="24" customHeight="1" x14ac:dyDescent="0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8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83"/>
      <c r="AF199" s="3"/>
      <c r="AG199" s="8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83"/>
      <c r="BN199" s="3"/>
      <c r="BO199" s="83"/>
      <c r="BP199" s="3"/>
      <c r="BQ199" s="3"/>
      <c r="BR199" s="3"/>
      <c r="BS199" s="3"/>
      <c r="BT199" s="3"/>
      <c r="BU199" s="3"/>
      <c r="BV199" s="3"/>
      <c r="BW199" s="83"/>
      <c r="BX199" s="3"/>
      <c r="BY199" s="83"/>
      <c r="BZ199" s="3"/>
      <c r="CA199" s="3"/>
      <c r="CB199" s="3"/>
      <c r="CC199" s="3"/>
      <c r="CD199" s="3"/>
      <c r="CE199" s="3"/>
    </row>
    <row r="200" spans="1:83" ht="24" customHeight="1" x14ac:dyDescent="0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8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83"/>
      <c r="AF200" s="3"/>
      <c r="AG200" s="8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83"/>
      <c r="BN200" s="3"/>
      <c r="BO200" s="83"/>
      <c r="BP200" s="3"/>
      <c r="BQ200" s="3"/>
      <c r="BR200" s="3"/>
      <c r="BS200" s="3"/>
      <c r="BT200" s="3"/>
      <c r="BU200" s="3"/>
      <c r="BV200" s="3"/>
      <c r="BW200" s="83"/>
      <c r="BX200" s="3"/>
      <c r="BY200" s="83"/>
      <c r="BZ200" s="3"/>
      <c r="CA200" s="3"/>
      <c r="CB200" s="3"/>
      <c r="CC200" s="3"/>
      <c r="CD200" s="3"/>
      <c r="CE200" s="3"/>
    </row>
    <row r="201" spans="1:83" ht="24" customHeight="1" x14ac:dyDescent="0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8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83"/>
      <c r="AF201" s="3"/>
      <c r="AG201" s="8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83"/>
      <c r="BN201" s="3"/>
      <c r="BO201" s="83"/>
      <c r="BP201" s="3"/>
      <c r="BQ201" s="3"/>
      <c r="BR201" s="3"/>
      <c r="BS201" s="3"/>
      <c r="BT201" s="3"/>
      <c r="BU201" s="3"/>
      <c r="BV201" s="3"/>
      <c r="BW201" s="83"/>
      <c r="BX201" s="3"/>
      <c r="BY201" s="83"/>
      <c r="BZ201" s="3"/>
      <c r="CA201" s="3"/>
      <c r="CB201" s="3"/>
      <c r="CC201" s="3"/>
      <c r="CD201" s="3"/>
      <c r="CE201" s="3"/>
    </row>
    <row r="202" spans="1:83" ht="24" customHeight="1" x14ac:dyDescent="0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8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83"/>
      <c r="AF202" s="3"/>
      <c r="AG202" s="8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83"/>
      <c r="BN202" s="3"/>
      <c r="BO202" s="83"/>
      <c r="BP202" s="3"/>
      <c r="BQ202" s="3"/>
      <c r="BR202" s="3"/>
      <c r="BS202" s="3"/>
      <c r="BT202" s="3"/>
      <c r="BU202" s="3"/>
      <c r="BV202" s="3"/>
      <c r="BW202" s="83"/>
      <c r="BX202" s="3"/>
      <c r="BY202" s="83"/>
      <c r="BZ202" s="3"/>
      <c r="CA202" s="3"/>
      <c r="CB202" s="3"/>
      <c r="CC202" s="3"/>
      <c r="CD202" s="3"/>
      <c r="CE202" s="3"/>
    </row>
    <row r="203" spans="1:83" ht="24" customHeight="1" x14ac:dyDescent="0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8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83"/>
      <c r="AF203" s="3"/>
      <c r="AG203" s="8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83"/>
      <c r="BN203" s="3"/>
      <c r="BO203" s="83"/>
      <c r="BP203" s="3"/>
      <c r="BQ203" s="3"/>
      <c r="BR203" s="3"/>
      <c r="BS203" s="3"/>
      <c r="BT203" s="3"/>
      <c r="BU203" s="3"/>
      <c r="BV203" s="3"/>
      <c r="BW203" s="83"/>
      <c r="BX203" s="3"/>
      <c r="BY203" s="83"/>
      <c r="BZ203" s="3"/>
      <c r="CA203" s="3"/>
      <c r="CB203" s="3"/>
      <c r="CC203" s="3"/>
      <c r="CD203" s="3"/>
      <c r="CE203" s="3"/>
    </row>
    <row r="204" spans="1:83" ht="24" customHeight="1" x14ac:dyDescent="0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8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83"/>
      <c r="AF204" s="3"/>
      <c r="AG204" s="8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83"/>
      <c r="BN204" s="3"/>
      <c r="BO204" s="83"/>
      <c r="BP204" s="3"/>
      <c r="BQ204" s="3"/>
      <c r="BR204" s="3"/>
      <c r="BS204" s="3"/>
      <c r="BT204" s="3"/>
      <c r="BU204" s="3"/>
      <c r="BV204" s="3"/>
      <c r="BW204" s="83"/>
      <c r="BX204" s="3"/>
      <c r="BY204" s="83"/>
      <c r="BZ204" s="3"/>
      <c r="CA204" s="3"/>
      <c r="CB204" s="3"/>
      <c r="CC204" s="3"/>
      <c r="CD204" s="3"/>
      <c r="CE204" s="3"/>
    </row>
    <row r="205" spans="1:83" ht="24" customHeight="1" x14ac:dyDescent="0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8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83"/>
      <c r="AF205" s="3"/>
      <c r="AG205" s="8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83"/>
      <c r="BN205" s="3"/>
      <c r="BO205" s="83"/>
      <c r="BP205" s="3"/>
      <c r="BQ205" s="3"/>
      <c r="BR205" s="3"/>
      <c r="BS205" s="3"/>
      <c r="BT205" s="3"/>
      <c r="BU205" s="3"/>
      <c r="BV205" s="3"/>
      <c r="BW205" s="83"/>
      <c r="BX205" s="3"/>
      <c r="BY205" s="83"/>
      <c r="BZ205" s="3"/>
      <c r="CA205" s="3"/>
      <c r="CB205" s="3"/>
      <c r="CC205" s="3"/>
      <c r="CD205" s="3"/>
      <c r="CE205" s="3"/>
    </row>
    <row r="206" spans="1:83" ht="24" customHeight="1" x14ac:dyDescent="0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8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83"/>
      <c r="AF206" s="3"/>
      <c r="AG206" s="8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83"/>
      <c r="BN206" s="3"/>
      <c r="BO206" s="83"/>
      <c r="BP206" s="3"/>
      <c r="BQ206" s="3"/>
      <c r="BR206" s="3"/>
      <c r="BS206" s="3"/>
      <c r="BT206" s="3"/>
      <c r="BU206" s="3"/>
      <c r="BV206" s="3"/>
      <c r="BW206" s="83"/>
      <c r="BX206" s="3"/>
      <c r="BY206" s="83"/>
      <c r="BZ206" s="3"/>
      <c r="CA206" s="3"/>
      <c r="CB206" s="3"/>
      <c r="CC206" s="3"/>
      <c r="CD206" s="3"/>
      <c r="CE206" s="3"/>
    </row>
    <row r="207" spans="1:83" ht="24" customHeight="1" x14ac:dyDescent="0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8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83"/>
      <c r="AF207" s="3"/>
      <c r="AG207" s="8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83"/>
      <c r="BN207" s="3"/>
      <c r="BO207" s="83"/>
      <c r="BP207" s="3"/>
      <c r="BQ207" s="3"/>
      <c r="BR207" s="3"/>
      <c r="BS207" s="3"/>
      <c r="BT207" s="3"/>
      <c r="BU207" s="3"/>
      <c r="BV207" s="3"/>
      <c r="BW207" s="83"/>
      <c r="BX207" s="3"/>
      <c r="BY207" s="83"/>
      <c r="BZ207" s="3"/>
      <c r="CA207" s="3"/>
      <c r="CB207" s="3"/>
      <c r="CC207" s="3"/>
      <c r="CD207" s="3"/>
      <c r="CE207" s="3"/>
    </row>
    <row r="208" spans="1:83" ht="24" customHeight="1" x14ac:dyDescent="0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8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83"/>
      <c r="AF208" s="3"/>
      <c r="AG208" s="8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83"/>
      <c r="BN208" s="3"/>
      <c r="BO208" s="83"/>
      <c r="BP208" s="3"/>
      <c r="BQ208" s="3"/>
      <c r="BR208" s="3"/>
      <c r="BS208" s="3"/>
      <c r="BT208" s="3"/>
      <c r="BU208" s="3"/>
      <c r="BV208" s="3"/>
      <c r="BW208" s="83"/>
      <c r="BX208" s="3"/>
      <c r="BY208" s="83"/>
      <c r="BZ208" s="3"/>
      <c r="CA208" s="3"/>
      <c r="CB208" s="3"/>
      <c r="CC208" s="3"/>
      <c r="CD208" s="3"/>
      <c r="CE208" s="3"/>
    </row>
    <row r="209" spans="1:83" ht="24" customHeight="1" x14ac:dyDescent="0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8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83"/>
      <c r="AF209" s="3"/>
      <c r="AG209" s="8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83"/>
      <c r="BN209" s="3"/>
      <c r="BO209" s="83"/>
      <c r="BP209" s="3"/>
      <c r="BQ209" s="3"/>
      <c r="BR209" s="3"/>
      <c r="BS209" s="3"/>
      <c r="BT209" s="3"/>
      <c r="BU209" s="3"/>
      <c r="BV209" s="3"/>
      <c r="BW209" s="83"/>
      <c r="BX209" s="3"/>
      <c r="BY209" s="83"/>
      <c r="BZ209" s="3"/>
      <c r="CA209" s="3"/>
      <c r="CB209" s="3"/>
      <c r="CC209" s="3"/>
      <c r="CD209" s="3"/>
      <c r="CE209" s="3"/>
    </row>
    <row r="210" spans="1:83" ht="24" customHeight="1" x14ac:dyDescent="0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8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83"/>
      <c r="AF210" s="3"/>
      <c r="AG210" s="8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83"/>
      <c r="BN210" s="3"/>
      <c r="BO210" s="83"/>
      <c r="BP210" s="3"/>
      <c r="BQ210" s="3"/>
      <c r="BR210" s="3"/>
      <c r="BS210" s="3"/>
      <c r="BT210" s="3"/>
      <c r="BU210" s="3"/>
      <c r="BV210" s="3"/>
      <c r="BW210" s="83"/>
      <c r="BX210" s="3"/>
      <c r="BY210" s="83"/>
      <c r="BZ210" s="3"/>
      <c r="CA210" s="3"/>
      <c r="CB210" s="3"/>
      <c r="CC210" s="3"/>
      <c r="CD210" s="3"/>
      <c r="CE210" s="3"/>
    </row>
    <row r="211" spans="1:83" ht="24" customHeight="1" x14ac:dyDescent="0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8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83"/>
      <c r="AF211" s="3"/>
      <c r="AG211" s="8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83"/>
      <c r="BN211" s="3"/>
      <c r="BO211" s="83"/>
      <c r="BP211" s="3"/>
      <c r="BQ211" s="3"/>
      <c r="BR211" s="3"/>
      <c r="BS211" s="3"/>
      <c r="BT211" s="3"/>
      <c r="BU211" s="3"/>
      <c r="BV211" s="3"/>
      <c r="BW211" s="83"/>
      <c r="BX211" s="3"/>
      <c r="BY211" s="83"/>
      <c r="BZ211" s="3"/>
      <c r="CA211" s="3"/>
      <c r="CB211" s="3"/>
      <c r="CC211" s="3"/>
      <c r="CD211" s="3"/>
      <c r="CE211" s="3"/>
    </row>
    <row r="212" spans="1:83" ht="24" customHeight="1" x14ac:dyDescent="0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8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83"/>
      <c r="AF212" s="3"/>
      <c r="AG212" s="8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83"/>
      <c r="BN212" s="3"/>
      <c r="BO212" s="83"/>
      <c r="BP212" s="3"/>
      <c r="BQ212" s="3"/>
      <c r="BR212" s="3"/>
      <c r="BS212" s="3"/>
      <c r="BT212" s="3"/>
      <c r="BU212" s="3"/>
      <c r="BV212" s="3"/>
      <c r="BW212" s="83"/>
      <c r="BX212" s="3"/>
      <c r="BY212" s="83"/>
      <c r="BZ212" s="3"/>
      <c r="CA212" s="3"/>
      <c r="CB212" s="3"/>
      <c r="CC212" s="3"/>
      <c r="CD212" s="3"/>
      <c r="CE212" s="3"/>
    </row>
    <row r="213" spans="1:83" ht="24" customHeight="1" x14ac:dyDescent="0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8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83"/>
      <c r="AF213" s="3"/>
      <c r="AG213" s="8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83"/>
      <c r="BN213" s="3"/>
      <c r="BO213" s="83"/>
      <c r="BP213" s="3"/>
      <c r="BQ213" s="3"/>
      <c r="BR213" s="3"/>
      <c r="BS213" s="3"/>
      <c r="BT213" s="3"/>
      <c r="BU213" s="3"/>
      <c r="BV213" s="3"/>
      <c r="BW213" s="83"/>
      <c r="BX213" s="3"/>
      <c r="BY213" s="83"/>
      <c r="BZ213" s="3"/>
      <c r="CA213" s="3"/>
      <c r="CB213" s="3"/>
      <c r="CC213" s="3"/>
      <c r="CD213" s="3"/>
      <c r="CE213" s="3"/>
    </row>
    <row r="214" spans="1:83" ht="24" customHeight="1" x14ac:dyDescent="0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8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83"/>
      <c r="AF214" s="3"/>
      <c r="AG214" s="8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83"/>
      <c r="BN214" s="3"/>
      <c r="BO214" s="83"/>
      <c r="BP214" s="3"/>
      <c r="BQ214" s="3"/>
      <c r="BR214" s="3"/>
      <c r="BS214" s="3"/>
      <c r="BT214" s="3"/>
      <c r="BU214" s="3"/>
      <c r="BV214" s="3"/>
      <c r="BW214" s="83"/>
      <c r="BX214" s="3"/>
      <c r="BY214" s="83"/>
      <c r="BZ214" s="3"/>
      <c r="CA214" s="3"/>
      <c r="CB214" s="3"/>
      <c r="CC214" s="3"/>
      <c r="CD214" s="3"/>
      <c r="CE214" s="3"/>
    </row>
    <row r="215" spans="1:83" ht="24" customHeight="1" x14ac:dyDescent="0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8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83"/>
      <c r="AF215" s="3"/>
      <c r="AG215" s="8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83"/>
      <c r="BN215" s="3"/>
      <c r="BO215" s="83"/>
      <c r="BP215" s="3"/>
      <c r="BQ215" s="3"/>
      <c r="BR215" s="3"/>
      <c r="BS215" s="3"/>
      <c r="BT215" s="3"/>
      <c r="BU215" s="3"/>
      <c r="BV215" s="3"/>
      <c r="BW215" s="83"/>
      <c r="BX215" s="3"/>
      <c r="BY215" s="83"/>
      <c r="BZ215" s="3"/>
      <c r="CA215" s="3"/>
      <c r="CB215" s="3"/>
      <c r="CC215" s="3"/>
      <c r="CD215" s="3"/>
      <c r="CE215" s="3"/>
    </row>
    <row r="216" spans="1:83" ht="24" customHeight="1" x14ac:dyDescent="0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8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83"/>
      <c r="AF216" s="3"/>
      <c r="AG216" s="8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83"/>
      <c r="BN216" s="3"/>
      <c r="BO216" s="83"/>
      <c r="BP216" s="3"/>
      <c r="BQ216" s="3"/>
      <c r="BR216" s="3"/>
      <c r="BS216" s="3"/>
      <c r="BT216" s="3"/>
      <c r="BU216" s="3"/>
      <c r="BV216" s="3"/>
      <c r="BW216" s="83"/>
      <c r="BX216" s="3"/>
      <c r="BY216" s="83"/>
      <c r="BZ216" s="3"/>
      <c r="CA216" s="3"/>
      <c r="CB216" s="3"/>
      <c r="CC216" s="3"/>
      <c r="CD216" s="3"/>
      <c r="CE216" s="3"/>
    </row>
    <row r="217" spans="1:83" ht="24" customHeight="1" x14ac:dyDescent="0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8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83"/>
      <c r="AF217" s="3"/>
      <c r="AG217" s="8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83"/>
      <c r="BN217" s="3"/>
      <c r="BO217" s="83"/>
      <c r="BP217" s="3"/>
      <c r="BQ217" s="3"/>
      <c r="BR217" s="3"/>
      <c r="BS217" s="3"/>
      <c r="BT217" s="3"/>
      <c r="BU217" s="3"/>
      <c r="BV217" s="3"/>
      <c r="BW217" s="83"/>
      <c r="BX217" s="3"/>
      <c r="BY217" s="83"/>
      <c r="BZ217" s="3"/>
      <c r="CA217" s="3"/>
      <c r="CB217" s="3"/>
      <c r="CC217" s="3"/>
      <c r="CD217" s="3"/>
      <c r="CE217" s="3"/>
    </row>
    <row r="218" spans="1:83" ht="24" customHeight="1" x14ac:dyDescent="0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8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83"/>
      <c r="AF218" s="3"/>
      <c r="AG218" s="8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83"/>
      <c r="BN218" s="3"/>
      <c r="BO218" s="83"/>
      <c r="BP218" s="3"/>
      <c r="BQ218" s="3"/>
      <c r="BR218" s="3"/>
      <c r="BS218" s="3"/>
      <c r="BT218" s="3"/>
      <c r="BU218" s="3"/>
      <c r="BV218" s="3"/>
      <c r="BW218" s="83"/>
      <c r="BX218" s="3"/>
      <c r="BY218" s="83"/>
      <c r="BZ218" s="3"/>
      <c r="CA218" s="3"/>
      <c r="CB218" s="3"/>
      <c r="CC218" s="3"/>
      <c r="CD218" s="3"/>
      <c r="CE218" s="3"/>
    </row>
    <row r="219" spans="1:83" ht="24" customHeight="1" x14ac:dyDescent="0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8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83"/>
      <c r="AF219" s="3"/>
      <c r="AG219" s="8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83"/>
      <c r="BN219" s="3"/>
      <c r="BO219" s="83"/>
      <c r="BP219" s="3"/>
      <c r="BQ219" s="3"/>
      <c r="BR219" s="3"/>
      <c r="BS219" s="3"/>
      <c r="BT219" s="3"/>
      <c r="BU219" s="3"/>
      <c r="BV219" s="3"/>
      <c r="BW219" s="83"/>
      <c r="BX219" s="3"/>
      <c r="BY219" s="83"/>
      <c r="BZ219" s="3"/>
      <c r="CA219" s="3"/>
      <c r="CB219" s="3"/>
      <c r="CC219" s="3"/>
      <c r="CD219" s="3"/>
      <c r="CE219" s="3"/>
    </row>
    <row r="220" spans="1:83" ht="24" customHeight="1" x14ac:dyDescent="0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8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83"/>
      <c r="AF220" s="3"/>
      <c r="AG220" s="8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83"/>
      <c r="BN220" s="3"/>
      <c r="BO220" s="83"/>
      <c r="BP220" s="3"/>
      <c r="BQ220" s="3"/>
      <c r="BR220" s="3"/>
      <c r="BS220" s="3"/>
      <c r="BT220" s="3"/>
      <c r="BU220" s="3"/>
      <c r="BV220" s="3"/>
      <c r="BW220" s="83"/>
      <c r="BX220" s="3"/>
      <c r="BY220" s="83"/>
      <c r="BZ220" s="3"/>
      <c r="CA220" s="3"/>
      <c r="CB220" s="3"/>
      <c r="CC220" s="3"/>
      <c r="CD220" s="3"/>
      <c r="CE220" s="3"/>
    </row>
    <row r="221" spans="1:83" ht="24" customHeight="1" x14ac:dyDescent="0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8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83"/>
      <c r="AF221" s="3"/>
      <c r="AG221" s="8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83"/>
      <c r="BN221" s="3"/>
      <c r="BO221" s="83"/>
      <c r="BP221" s="3"/>
      <c r="BQ221" s="3"/>
      <c r="BR221" s="3"/>
      <c r="BS221" s="3"/>
      <c r="BT221" s="3"/>
      <c r="BU221" s="3"/>
      <c r="BV221" s="3"/>
      <c r="BW221" s="83"/>
      <c r="BX221" s="3"/>
      <c r="BY221" s="83"/>
      <c r="BZ221" s="3"/>
      <c r="CA221" s="3"/>
      <c r="CB221" s="3"/>
      <c r="CC221" s="3"/>
      <c r="CD221" s="3"/>
      <c r="CE221" s="3"/>
    </row>
    <row r="222" spans="1:83" ht="24" customHeight="1" x14ac:dyDescent="0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8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83"/>
      <c r="AF222" s="3"/>
      <c r="AG222" s="8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83"/>
      <c r="BN222" s="3"/>
      <c r="BO222" s="83"/>
      <c r="BP222" s="3"/>
      <c r="BQ222" s="3"/>
      <c r="BR222" s="3"/>
      <c r="BS222" s="3"/>
      <c r="BT222" s="3"/>
      <c r="BU222" s="3"/>
      <c r="BV222" s="3"/>
      <c r="BW222" s="83"/>
      <c r="BX222" s="3"/>
      <c r="BY222" s="83"/>
      <c r="BZ222" s="3"/>
      <c r="CA222" s="3"/>
      <c r="CB222" s="3"/>
      <c r="CC222" s="3"/>
      <c r="CD222" s="3"/>
      <c r="CE222" s="3"/>
    </row>
    <row r="223" spans="1:83" ht="24" customHeight="1" x14ac:dyDescent="0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8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83"/>
      <c r="AF223" s="3"/>
      <c r="AG223" s="8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83"/>
      <c r="BN223" s="3"/>
      <c r="BO223" s="83"/>
      <c r="BP223" s="3"/>
      <c r="BQ223" s="3"/>
      <c r="BR223" s="3"/>
      <c r="BS223" s="3"/>
      <c r="BT223" s="3"/>
      <c r="BU223" s="3"/>
      <c r="BV223" s="3"/>
      <c r="BW223" s="83"/>
      <c r="BX223" s="3"/>
      <c r="BY223" s="83"/>
      <c r="BZ223" s="3"/>
      <c r="CA223" s="3"/>
      <c r="CB223" s="3"/>
      <c r="CC223" s="3"/>
      <c r="CD223" s="3"/>
      <c r="CE223" s="3"/>
    </row>
    <row r="224" spans="1:83" ht="24" customHeight="1" x14ac:dyDescent="0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8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83"/>
      <c r="AF224" s="3"/>
      <c r="AG224" s="8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83"/>
      <c r="BN224" s="3"/>
      <c r="BO224" s="83"/>
      <c r="BP224" s="3"/>
      <c r="BQ224" s="3"/>
      <c r="BR224" s="3"/>
      <c r="BS224" s="3"/>
      <c r="BT224" s="3"/>
      <c r="BU224" s="3"/>
      <c r="BV224" s="3"/>
      <c r="BW224" s="83"/>
      <c r="BX224" s="3"/>
      <c r="BY224" s="83"/>
      <c r="BZ224" s="3"/>
      <c r="CA224" s="3"/>
      <c r="CB224" s="3"/>
      <c r="CC224" s="3"/>
      <c r="CD224" s="3"/>
      <c r="CE224" s="3"/>
    </row>
    <row r="225" spans="1:83" ht="24" customHeight="1" x14ac:dyDescent="0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8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83"/>
      <c r="AF225" s="3"/>
      <c r="AG225" s="8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83"/>
      <c r="BN225" s="3"/>
      <c r="BO225" s="83"/>
      <c r="BP225" s="3"/>
      <c r="BQ225" s="3"/>
      <c r="BR225" s="3"/>
      <c r="BS225" s="3"/>
      <c r="BT225" s="3"/>
      <c r="BU225" s="3"/>
      <c r="BV225" s="3"/>
      <c r="BW225" s="83"/>
      <c r="BX225" s="3"/>
      <c r="BY225" s="83"/>
      <c r="BZ225" s="3"/>
      <c r="CA225" s="3"/>
      <c r="CB225" s="3"/>
      <c r="CC225" s="3"/>
      <c r="CD225" s="3"/>
      <c r="CE225" s="3"/>
    </row>
    <row r="226" spans="1:83" ht="24" customHeight="1" x14ac:dyDescent="0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8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83"/>
      <c r="AF226" s="3"/>
      <c r="AG226" s="8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83"/>
      <c r="BN226" s="3"/>
      <c r="BO226" s="83"/>
      <c r="BP226" s="3"/>
      <c r="BQ226" s="3"/>
      <c r="BR226" s="3"/>
      <c r="BS226" s="3"/>
      <c r="BT226" s="3"/>
      <c r="BU226" s="3"/>
      <c r="BV226" s="3"/>
      <c r="BW226" s="83"/>
      <c r="BX226" s="3"/>
      <c r="BY226" s="83"/>
      <c r="BZ226" s="3"/>
      <c r="CA226" s="3"/>
      <c r="CB226" s="3"/>
      <c r="CC226" s="3"/>
      <c r="CD226" s="3"/>
      <c r="CE226" s="3"/>
    </row>
    <row r="227" spans="1:83" ht="24" customHeight="1" x14ac:dyDescent="0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8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83"/>
      <c r="AF227" s="3"/>
      <c r="AG227" s="8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83"/>
      <c r="BN227" s="3"/>
      <c r="BO227" s="83"/>
      <c r="BP227" s="3"/>
      <c r="BQ227" s="3"/>
      <c r="BR227" s="3"/>
      <c r="BS227" s="3"/>
      <c r="BT227" s="3"/>
      <c r="BU227" s="3"/>
      <c r="BV227" s="3"/>
      <c r="BW227" s="83"/>
      <c r="BX227" s="3"/>
      <c r="BY227" s="83"/>
      <c r="BZ227" s="3"/>
      <c r="CA227" s="3"/>
      <c r="CB227" s="3"/>
      <c r="CC227" s="3"/>
      <c r="CD227" s="3"/>
      <c r="CE227" s="3"/>
    </row>
    <row r="228" spans="1:83" ht="24" customHeight="1" x14ac:dyDescent="0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8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83"/>
      <c r="AF228" s="3"/>
      <c r="AG228" s="8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83"/>
      <c r="BN228" s="3"/>
      <c r="BO228" s="83"/>
      <c r="BP228" s="3"/>
      <c r="BQ228" s="3"/>
      <c r="BR228" s="3"/>
      <c r="BS228" s="3"/>
      <c r="BT228" s="3"/>
      <c r="BU228" s="3"/>
      <c r="BV228" s="3"/>
      <c r="BW228" s="83"/>
      <c r="BX228" s="3"/>
      <c r="BY228" s="83"/>
      <c r="BZ228" s="3"/>
      <c r="CA228" s="3"/>
      <c r="CB228" s="3"/>
      <c r="CC228" s="3"/>
      <c r="CD228" s="3"/>
      <c r="CE228" s="3"/>
    </row>
    <row r="229" spans="1:83" ht="24" customHeight="1" x14ac:dyDescent="0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8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83"/>
      <c r="AF229" s="3"/>
      <c r="AG229" s="8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83"/>
      <c r="BN229" s="3"/>
      <c r="BO229" s="83"/>
      <c r="BP229" s="3"/>
      <c r="BQ229" s="3"/>
      <c r="BR229" s="3"/>
      <c r="BS229" s="3"/>
      <c r="BT229" s="3"/>
      <c r="BU229" s="3"/>
      <c r="BV229" s="3"/>
      <c r="BW229" s="83"/>
      <c r="BX229" s="3"/>
      <c r="BY229" s="83"/>
      <c r="BZ229" s="3"/>
      <c r="CA229" s="3"/>
      <c r="CB229" s="3"/>
      <c r="CC229" s="3"/>
      <c r="CD229" s="3"/>
      <c r="CE229" s="3"/>
    </row>
    <row r="230" spans="1:83" ht="24" customHeight="1" x14ac:dyDescent="0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8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83"/>
      <c r="AF230" s="3"/>
      <c r="AG230" s="8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83"/>
      <c r="BN230" s="3"/>
      <c r="BO230" s="83"/>
      <c r="BP230" s="3"/>
      <c r="BQ230" s="3"/>
      <c r="BR230" s="3"/>
      <c r="BS230" s="3"/>
      <c r="BT230" s="3"/>
      <c r="BU230" s="3"/>
      <c r="BV230" s="3"/>
      <c r="BW230" s="83"/>
      <c r="BX230" s="3"/>
      <c r="BY230" s="83"/>
      <c r="BZ230" s="3"/>
      <c r="CA230" s="3"/>
      <c r="CB230" s="3"/>
      <c r="CC230" s="3"/>
      <c r="CD230" s="3"/>
      <c r="CE230" s="3"/>
    </row>
    <row r="231" spans="1:83" ht="24" customHeight="1" x14ac:dyDescent="0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8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83"/>
      <c r="AF231" s="3"/>
      <c r="AG231" s="8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83"/>
      <c r="BN231" s="3"/>
      <c r="BO231" s="83"/>
      <c r="BP231" s="3"/>
      <c r="BQ231" s="3"/>
      <c r="BR231" s="3"/>
      <c r="BS231" s="3"/>
      <c r="BT231" s="3"/>
      <c r="BU231" s="3"/>
      <c r="BV231" s="3"/>
      <c r="BW231" s="83"/>
      <c r="BX231" s="3"/>
      <c r="BY231" s="83"/>
      <c r="BZ231" s="3"/>
      <c r="CA231" s="3"/>
      <c r="CB231" s="3"/>
      <c r="CC231" s="3"/>
      <c r="CD231" s="3"/>
      <c r="CE231" s="3"/>
    </row>
    <row r="232" spans="1:83" ht="24" customHeight="1" x14ac:dyDescent="0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8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83"/>
      <c r="AF232" s="3"/>
      <c r="AG232" s="8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83"/>
      <c r="BN232" s="3"/>
      <c r="BO232" s="83"/>
      <c r="BP232" s="3"/>
      <c r="BQ232" s="3"/>
      <c r="BR232" s="3"/>
      <c r="BS232" s="3"/>
      <c r="BT232" s="3"/>
      <c r="BU232" s="3"/>
      <c r="BV232" s="3"/>
      <c r="BW232" s="83"/>
      <c r="BX232" s="3"/>
      <c r="BY232" s="83"/>
      <c r="BZ232" s="3"/>
      <c r="CA232" s="3"/>
      <c r="CB232" s="3"/>
      <c r="CC232" s="3"/>
      <c r="CD232" s="3"/>
      <c r="CE232" s="3"/>
    </row>
    <row r="233" spans="1:83" ht="24" customHeight="1" x14ac:dyDescent="0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8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83"/>
      <c r="AF233" s="3"/>
      <c r="AG233" s="8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83"/>
      <c r="BN233" s="3"/>
      <c r="BO233" s="83"/>
      <c r="BP233" s="3"/>
      <c r="BQ233" s="3"/>
      <c r="BR233" s="3"/>
      <c r="BS233" s="3"/>
      <c r="BT233" s="3"/>
      <c r="BU233" s="3"/>
      <c r="BV233" s="3"/>
      <c r="BW233" s="83"/>
      <c r="BX233" s="3"/>
      <c r="BY233" s="83"/>
      <c r="BZ233" s="3"/>
      <c r="CA233" s="3"/>
      <c r="CB233" s="3"/>
      <c r="CC233" s="3"/>
      <c r="CD233" s="3"/>
      <c r="CE233" s="3"/>
    </row>
    <row r="234" spans="1:83" ht="24" customHeight="1" x14ac:dyDescent="0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8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83"/>
      <c r="AF234" s="3"/>
      <c r="AG234" s="8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83"/>
      <c r="BN234" s="3"/>
      <c r="BO234" s="83"/>
      <c r="BP234" s="3"/>
      <c r="BQ234" s="3"/>
      <c r="BR234" s="3"/>
      <c r="BS234" s="3"/>
      <c r="BT234" s="3"/>
      <c r="BU234" s="3"/>
      <c r="BV234" s="3"/>
      <c r="BW234" s="83"/>
      <c r="BX234" s="3"/>
      <c r="BY234" s="83"/>
      <c r="BZ234" s="3"/>
      <c r="CA234" s="3"/>
      <c r="CB234" s="3"/>
      <c r="CC234" s="3"/>
      <c r="CD234" s="3"/>
      <c r="CE234" s="3"/>
    </row>
    <row r="235" spans="1:83" ht="24" customHeight="1" x14ac:dyDescent="0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8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83"/>
      <c r="AF235" s="3"/>
      <c r="AG235" s="8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83"/>
      <c r="BN235" s="3"/>
      <c r="BO235" s="83"/>
      <c r="BP235" s="3"/>
      <c r="BQ235" s="3"/>
      <c r="BR235" s="3"/>
      <c r="BS235" s="3"/>
      <c r="BT235" s="3"/>
      <c r="BU235" s="3"/>
      <c r="BV235" s="3"/>
      <c r="BW235" s="83"/>
      <c r="BX235" s="3"/>
      <c r="BY235" s="83"/>
      <c r="BZ235" s="3"/>
      <c r="CA235" s="3"/>
      <c r="CB235" s="3"/>
      <c r="CC235" s="3"/>
      <c r="CD235" s="3"/>
      <c r="CE235" s="3"/>
    </row>
    <row r="236" spans="1:83" ht="24" customHeight="1" x14ac:dyDescent="0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8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83"/>
      <c r="AF236" s="3"/>
      <c r="AG236" s="8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83"/>
      <c r="BN236" s="3"/>
      <c r="BO236" s="83"/>
      <c r="BP236" s="3"/>
      <c r="BQ236" s="3"/>
      <c r="BR236" s="3"/>
      <c r="BS236" s="3"/>
      <c r="BT236" s="3"/>
      <c r="BU236" s="3"/>
      <c r="BV236" s="3"/>
      <c r="BW236" s="83"/>
      <c r="BX236" s="3"/>
      <c r="BY236" s="83"/>
      <c r="BZ236" s="3"/>
      <c r="CA236" s="3"/>
      <c r="CB236" s="3"/>
      <c r="CC236" s="3"/>
      <c r="CD236" s="3"/>
      <c r="CE236" s="3"/>
    </row>
    <row r="237" spans="1:83" ht="24" customHeight="1" x14ac:dyDescent="0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8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83"/>
      <c r="AF237" s="3"/>
      <c r="AG237" s="8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83"/>
      <c r="BN237" s="3"/>
      <c r="BO237" s="83"/>
      <c r="BP237" s="3"/>
      <c r="BQ237" s="3"/>
      <c r="BR237" s="3"/>
      <c r="BS237" s="3"/>
      <c r="BT237" s="3"/>
      <c r="BU237" s="3"/>
      <c r="BV237" s="3"/>
      <c r="BW237" s="83"/>
      <c r="BX237" s="3"/>
      <c r="BY237" s="83"/>
      <c r="BZ237" s="3"/>
      <c r="CA237" s="3"/>
      <c r="CB237" s="3"/>
      <c r="CC237" s="3"/>
      <c r="CD237" s="3"/>
      <c r="CE237" s="3"/>
    </row>
    <row r="238" spans="1:83" ht="24" customHeight="1" x14ac:dyDescent="0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8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83"/>
      <c r="AF238" s="3"/>
      <c r="AG238" s="8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83"/>
      <c r="BN238" s="3"/>
      <c r="BO238" s="83"/>
      <c r="BP238" s="3"/>
      <c r="BQ238" s="3"/>
      <c r="BR238" s="3"/>
      <c r="BS238" s="3"/>
      <c r="BT238" s="3"/>
      <c r="BU238" s="3"/>
      <c r="BV238" s="3"/>
      <c r="BW238" s="83"/>
      <c r="BX238" s="3"/>
      <c r="BY238" s="83"/>
      <c r="BZ238" s="3"/>
      <c r="CA238" s="3"/>
      <c r="CB238" s="3"/>
      <c r="CC238" s="3"/>
      <c r="CD238" s="3"/>
      <c r="CE238" s="3"/>
    </row>
    <row r="239" spans="1:83" ht="24" customHeight="1" x14ac:dyDescent="0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8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83"/>
      <c r="AF239" s="3"/>
      <c r="AG239" s="8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83"/>
      <c r="BN239" s="3"/>
      <c r="BO239" s="83"/>
      <c r="BP239" s="3"/>
      <c r="BQ239" s="3"/>
      <c r="BR239" s="3"/>
      <c r="BS239" s="3"/>
      <c r="BT239" s="3"/>
      <c r="BU239" s="3"/>
      <c r="BV239" s="3"/>
      <c r="BW239" s="83"/>
      <c r="BX239" s="3"/>
      <c r="BY239" s="83"/>
      <c r="BZ239" s="3"/>
      <c r="CA239" s="3"/>
      <c r="CB239" s="3"/>
      <c r="CC239" s="3"/>
      <c r="CD239" s="3"/>
      <c r="CE239" s="3"/>
    </row>
    <row r="240" spans="1:83" ht="24" customHeight="1" x14ac:dyDescent="0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8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83"/>
      <c r="AF240" s="3"/>
      <c r="AG240" s="8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83"/>
      <c r="BN240" s="3"/>
      <c r="BO240" s="83"/>
      <c r="BP240" s="3"/>
      <c r="BQ240" s="3"/>
      <c r="BR240" s="3"/>
      <c r="BS240" s="3"/>
      <c r="BT240" s="3"/>
      <c r="BU240" s="3"/>
      <c r="BV240" s="3"/>
      <c r="BW240" s="83"/>
      <c r="BX240" s="3"/>
      <c r="BY240" s="83"/>
      <c r="BZ240" s="3"/>
      <c r="CA240" s="3"/>
      <c r="CB240" s="3"/>
      <c r="CC240" s="3"/>
      <c r="CD240" s="3"/>
      <c r="CE240" s="3"/>
    </row>
    <row r="241" spans="1:83" ht="24" customHeight="1" x14ac:dyDescent="0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8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83"/>
      <c r="AF241" s="3"/>
      <c r="AG241" s="8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83"/>
      <c r="BN241" s="3"/>
      <c r="BO241" s="83"/>
      <c r="BP241" s="3"/>
      <c r="BQ241" s="3"/>
      <c r="BR241" s="3"/>
      <c r="BS241" s="3"/>
      <c r="BT241" s="3"/>
      <c r="BU241" s="3"/>
      <c r="BV241" s="3"/>
      <c r="BW241" s="83"/>
      <c r="BX241" s="3"/>
      <c r="BY241" s="83"/>
      <c r="BZ241" s="3"/>
      <c r="CA241" s="3"/>
      <c r="CB241" s="3"/>
      <c r="CC241" s="3"/>
      <c r="CD241" s="3"/>
      <c r="CE241" s="3"/>
    </row>
    <row r="242" spans="1:83" ht="24" customHeight="1" x14ac:dyDescent="0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8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83"/>
      <c r="AF242" s="3"/>
      <c r="AG242" s="8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83"/>
      <c r="BN242" s="3"/>
      <c r="BO242" s="83"/>
      <c r="BP242" s="3"/>
      <c r="BQ242" s="3"/>
      <c r="BR242" s="3"/>
      <c r="BS242" s="3"/>
      <c r="BT242" s="3"/>
      <c r="BU242" s="3"/>
      <c r="BV242" s="3"/>
      <c r="BW242" s="83"/>
      <c r="BX242" s="3"/>
      <c r="BY242" s="83"/>
      <c r="BZ242" s="3"/>
      <c r="CA242" s="3"/>
      <c r="CB242" s="3"/>
      <c r="CC242" s="3"/>
      <c r="CD242" s="3"/>
      <c r="CE242" s="3"/>
    </row>
    <row r="243" spans="1:83" ht="24" customHeight="1" x14ac:dyDescent="0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8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83"/>
      <c r="AF243" s="3"/>
      <c r="AG243" s="8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83"/>
      <c r="BN243" s="3"/>
      <c r="BO243" s="83"/>
      <c r="BP243" s="3"/>
      <c r="BQ243" s="3"/>
      <c r="BR243" s="3"/>
      <c r="BS243" s="3"/>
      <c r="BT243" s="3"/>
      <c r="BU243" s="3"/>
      <c r="BV243" s="3"/>
      <c r="BW243" s="83"/>
      <c r="BX243" s="3"/>
      <c r="BY243" s="83"/>
      <c r="BZ243" s="3"/>
      <c r="CA243" s="3"/>
      <c r="CB243" s="3"/>
      <c r="CC243" s="3"/>
      <c r="CD243" s="3"/>
      <c r="CE243" s="3"/>
    </row>
    <row r="244" spans="1:83" ht="24" customHeight="1" x14ac:dyDescent="0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8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83"/>
      <c r="AF244" s="3"/>
      <c r="AG244" s="8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83"/>
      <c r="BN244" s="3"/>
      <c r="BO244" s="83"/>
      <c r="BP244" s="3"/>
      <c r="BQ244" s="3"/>
      <c r="BR244" s="3"/>
      <c r="BS244" s="3"/>
      <c r="BT244" s="3"/>
      <c r="BU244" s="3"/>
      <c r="BV244" s="3"/>
      <c r="BW244" s="83"/>
      <c r="BX244" s="3"/>
      <c r="BY244" s="83"/>
      <c r="BZ244" s="3"/>
      <c r="CA244" s="3"/>
      <c r="CB244" s="3"/>
      <c r="CC244" s="3"/>
      <c r="CD244" s="3"/>
      <c r="CE244" s="3"/>
    </row>
    <row r="245" spans="1:83" ht="24" customHeight="1" x14ac:dyDescent="0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8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83"/>
      <c r="AF245" s="3"/>
      <c r="AG245" s="8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83"/>
      <c r="BN245" s="3"/>
      <c r="BO245" s="83"/>
      <c r="BP245" s="3"/>
      <c r="BQ245" s="3"/>
      <c r="BR245" s="3"/>
      <c r="BS245" s="3"/>
      <c r="BT245" s="3"/>
      <c r="BU245" s="3"/>
      <c r="BV245" s="3"/>
      <c r="BW245" s="83"/>
      <c r="BX245" s="3"/>
      <c r="BY245" s="83"/>
      <c r="BZ245" s="3"/>
      <c r="CA245" s="3"/>
      <c r="CB245" s="3"/>
      <c r="CC245" s="3"/>
      <c r="CD245" s="3"/>
      <c r="CE245" s="3"/>
    </row>
    <row r="246" spans="1:83" ht="24" customHeight="1" x14ac:dyDescent="0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8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83"/>
      <c r="AF246" s="3"/>
      <c r="AG246" s="8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83"/>
      <c r="BN246" s="3"/>
      <c r="BO246" s="83"/>
      <c r="BP246" s="3"/>
      <c r="BQ246" s="3"/>
      <c r="BR246" s="3"/>
      <c r="BS246" s="3"/>
      <c r="BT246" s="3"/>
      <c r="BU246" s="3"/>
      <c r="BV246" s="3"/>
      <c r="BW246" s="83"/>
      <c r="BX246" s="3"/>
      <c r="BY246" s="83"/>
      <c r="BZ246" s="3"/>
      <c r="CA246" s="3"/>
      <c r="CB246" s="3"/>
      <c r="CC246" s="3"/>
      <c r="CD246" s="3"/>
      <c r="CE246" s="3"/>
    </row>
    <row r="247" spans="1:83" ht="24" customHeight="1" x14ac:dyDescent="0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8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83"/>
      <c r="AF247" s="3"/>
      <c r="AG247" s="8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83"/>
      <c r="BN247" s="3"/>
      <c r="BO247" s="83"/>
      <c r="BP247" s="3"/>
      <c r="BQ247" s="3"/>
      <c r="BR247" s="3"/>
      <c r="BS247" s="3"/>
      <c r="BT247" s="3"/>
      <c r="BU247" s="3"/>
      <c r="BV247" s="3"/>
      <c r="BW247" s="83"/>
      <c r="BX247" s="3"/>
      <c r="BY247" s="83"/>
      <c r="BZ247" s="3"/>
      <c r="CA247" s="3"/>
      <c r="CB247" s="3"/>
      <c r="CC247" s="3"/>
      <c r="CD247" s="3"/>
      <c r="CE247" s="3"/>
    </row>
    <row r="248" spans="1:83" ht="24" customHeight="1" x14ac:dyDescent="0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8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83"/>
      <c r="AF248" s="3"/>
      <c r="AG248" s="8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83"/>
      <c r="BN248" s="3"/>
      <c r="BO248" s="83"/>
      <c r="BP248" s="3"/>
      <c r="BQ248" s="3"/>
      <c r="BR248" s="3"/>
      <c r="BS248" s="3"/>
      <c r="BT248" s="3"/>
      <c r="BU248" s="3"/>
      <c r="BV248" s="3"/>
      <c r="BW248" s="83"/>
      <c r="BX248" s="3"/>
      <c r="BY248" s="83"/>
      <c r="BZ248" s="3"/>
      <c r="CA248" s="3"/>
      <c r="CB248" s="3"/>
      <c r="CC248" s="3"/>
      <c r="CD248" s="3"/>
      <c r="CE248" s="3"/>
    </row>
    <row r="249" spans="1:83" ht="24" customHeight="1" x14ac:dyDescent="0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8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83"/>
      <c r="AF249" s="3"/>
      <c r="AG249" s="8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83"/>
      <c r="BN249" s="3"/>
      <c r="BO249" s="83"/>
      <c r="BP249" s="3"/>
      <c r="BQ249" s="3"/>
      <c r="BR249" s="3"/>
      <c r="BS249" s="3"/>
      <c r="BT249" s="3"/>
      <c r="BU249" s="3"/>
      <c r="BV249" s="3"/>
      <c r="BW249" s="83"/>
      <c r="BX249" s="3"/>
      <c r="BY249" s="83"/>
      <c r="BZ249" s="3"/>
      <c r="CA249" s="3"/>
      <c r="CB249" s="3"/>
      <c r="CC249" s="3"/>
      <c r="CD249" s="3"/>
      <c r="CE249" s="3"/>
    </row>
    <row r="250" spans="1:83" ht="24" customHeight="1" x14ac:dyDescent="0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8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83"/>
      <c r="AF250" s="3"/>
      <c r="AG250" s="8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83"/>
      <c r="BN250" s="3"/>
      <c r="BO250" s="83"/>
      <c r="BP250" s="3"/>
      <c r="BQ250" s="3"/>
      <c r="BR250" s="3"/>
      <c r="BS250" s="3"/>
      <c r="BT250" s="3"/>
      <c r="BU250" s="3"/>
      <c r="BV250" s="3"/>
      <c r="BW250" s="83"/>
      <c r="BX250" s="3"/>
      <c r="BY250" s="83"/>
      <c r="BZ250" s="3"/>
      <c r="CA250" s="3"/>
      <c r="CB250" s="3"/>
      <c r="CC250" s="3"/>
      <c r="CD250" s="3"/>
      <c r="CE250" s="3"/>
    </row>
    <row r="251" spans="1:83" ht="24" customHeight="1" x14ac:dyDescent="0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8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83"/>
      <c r="AF251" s="3"/>
      <c r="AG251" s="8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83"/>
      <c r="BN251" s="3"/>
      <c r="BO251" s="83"/>
      <c r="BP251" s="3"/>
      <c r="BQ251" s="3"/>
      <c r="BR251" s="3"/>
      <c r="BS251" s="3"/>
      <c r="BT251" s="3"/>
      <c r="BU251" s="3"/>
      <c r="BV251" s="3"/>
      <c r="BW251" s="83"/>
      <c r="BX251" s="3"/>
      <c r="BY251" s="83"/>
      <c r="BZ251" s="3"/>
      <c r="CA251" s="3"/>
      <c r="CB251" s="3"/>
      <c r="CC251" s="3"/>
      <c r="CD251" s="3"/>
      <c r="CE251" s="3"/>
    </row>
    <row r="252" spans="1:83" ht="24" customHeight="1" x14ac:dyDescent="0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8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83"/>
      <c r="AF252" s="3"/>
      <c r="AG252" s="8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83"/>
      <c r="BN252" s="3"/>
      <c r="BO252" s="83"/>
      <c r="BP252" s="3"/>
      <c r="BQ252" s="3"/>
      <c r="BR252" s="3"/>
      <c r="BS252" s="3"/>
      <c r="BT252" s="3"/>
      <c r="BU252" s="3"/>
      <c r="BV252" s="3"/>
      <c r="BW252" s="83"/>
      <c r="BX252" s="3"/>
      <c r="BY252" s="83"/>
      <c r="BZ252" s="3"/>
      <c r="CA252" s="3"/>
      <c r="CB252" s="3"/>
      <c r="CC252" s="3"/>
      <c r="CD252" s="3"/>
      <c r="CE252" s="3"/>
    </row>
    <row r="253" spans="1:83" ht="24" customHeight="1" x14ac:dyDescent="0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8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83"/>
      <c r="AF253" s="3"/>
      <c r="AG253" s="8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83"/>
      <c r="BN253" s="3"/>
      <c r="BO253" s="83"/>
      <c r="BP253" s="3"/>
      <c r="BQ253" s="3"/>
      <c r="BR253" s="3"/>
      <c r="BS253" s="3"/>
      <c r="BT253" s="3"/>
      <c r="BU253" s="3"/>
      <c r="BV253" s="3"/>
      <c r="BW253" s="83"/>
      <c r="BX253" s="3"/>
      <c r="BY253" s="83"/>
      <c r="BZ253" s="3"/>
      <c r="CA253" s="3"/>
      <c r="CB253" s="3"/>
      <c r="CC253" s="3"/>
      <c r="CD253" s="3"/>
      <c r="CE253" s="3"/>
    </row>
    <row r="254" spans="1:83" ht="24" customHeight="1" x14ac:dyDescent="0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8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83"/>
      <c r="AF254" s="3"/>
      <c r="AG254" s="8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83"/>
      <c r="BN254" s="3"/>
      <c r="BO254" s="83"/>
      <c r="BP254" s="3"/>
      <c r="BQ254" s="3"/>
      <c r="BR254" s="3"/>
      <c r="BS254" s="3"/>
      <c r="BT254" s="3"/>
      <c r="BU254" s="3"/>
      <c r="BV254" s="3"/>
      <c r="BW254" s="83"/>
      <c r="BX254" s="3"/>
      <c r="BY254" s="83"/>
      <c r="BZ254" s="3"/>
      <c r="CA254" s="3"/>
      <c r="CB254" s="3"/>
      <c r="CC254" s="3"/>
      <c r="CD254" s="3"/>
      <c r="CE254" s="3"/>
    </row>
    <row r="255" spans="1:83" ht="24" customHeight="1" x14ac:dyDescent="0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8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83"/>
      <c r="AF255" s="3"/>
      <c r="AG255" s="8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83"/>
      <c r="BN255" s="3"/>
      <c r="BO255" s="83"/>
      <c r="BP255" s="3"/>
      <c r="BQ255" s="3"/>
      <c r="BR255" s="3"/>
      <c r="BS255" s="3"/>
      <c r="BT255" s="3"/>
      <c r="BU255" s="3"/>
      <c r="BV255" s="3"/>
      <c r="BW255" s="83"/>
      <c r="BX255" s="3"/>
      <c r="BY255" s="83"/>
      <c r="BZ255" s="3"/>
      <c r="CA255" s="3"/>
      <c r="CB255" s="3"/>
      <c r="CC255" s="3"/>
      <c r="CD255" s="3"/>
      <c r="CE255" s="3"/>
    </row>
    <row r="256" spans="1:83" ht="24" customHeight="1" x14ac:dyDescent="0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8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83"/>
      <c r="AF256" s="3"/>
      <c r="AG256" s="8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83"/>
      <c r="BN256" s="3"/>
      <c r="BO256" s="83"/>
      <c r="BP256" s="3"/>
      <c r="BQ256" s="3"/>
      <c r="BR256" s="3"/>
      <c r="BS256" s="3"/>
      <c r="BT256" s="3"/>
      <c r="BU256" s="3"/>
      <c r="BV256" s="3"/>
      <c r="BW256" s="83"/>
      <c r="BX256" s="3"/>
      <c r="BY256" s="83"/>
      <c r="BZ256" s="3"/>
      <c r="CA256" s="3"/>
      <c r="CB256" s="3"/>
      <c r="CC256" s="3"/>
      <c r="CD256" s="3"/>
      <c r="CE256" s="3"/>
    </row>
    <row r="257" spans="1:83" ht="24" customHeight="1" x14ac:dyDescent="0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8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83"/>
      <c r="AF257" s="3"/>
      <c r="AG257" s="8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83"/>
      <c r="BN257" s="3"/>
      <c r="BO257" s="83"/>
      <c r="BP257" s="3"/>
      <c r="BQ257" s="3"/>
      <c r="BR257" s="3"/>
      <c r="BS257" s="3"/>
      <c r="BT257" s="3"/>
      <c r="BU257" s="3"/>
      <c r="BV257" s="3"/>
      <c r="BW257" s="83"/>
      <c r="BX257" s="3"/>
      <c r="BY257" s="83"/>
      <c r="BZ257" s="3"/>
      <c r="CA257" s="3"/>
      <c r="CB257" s="3"/>
      <c r="CC257" s="3"/>
      <c r="CD257" s="3"/>
      <c r="CE257" s="3"/>
    </row>
    <row r="258" spans="1:83" ht="24" customHeight="1" x14ac:dyDescent="0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8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83"/>
      <c r="AF258" s="3"/>
      <c r="AG258" s="8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83"/>
      <c r="BN258" s="3"/>
      <c r="BO258" s="83"/>
      <c r="BP258" s="3"/>
      <c r="BQ258" s="3"/>
      <c r="BR258" s="3"/>
      <c r="BS258" s="3"/>
      <c r="BT258" s="3"/>
      <c r="BU258" s="3"/>
      <c r="BV258" s="3"/>
      <c r="BW258" s="83"/>
      <c r="BX258" s="3"/>
      <c r="BY258" s="83"/>
      <c r="BZ258" s="3"/>
      <c r="CA258" s="3"/>
      <c r="CB258" s="3"/>
      <c r="CC258" s="3"/>
      <c r="CD258" s="3"/>
      <c r="CE258" s="3"/>
    </row>
    <row r="259" spans="1:83" ht="24" customHeight="1" x14ac:dyDescent="0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8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83"/>
      <c r="AF259" s="3"/>
      <c r="AG259" s="8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83"/>
      <c r="BN259" s="3"/>
      <c r="BO259" s="83"/>
      <c r="BP259" s="3"/>
      <c r="BQ259" s="3"/>
      <c r="BR259" s="3"/>
      <c r="BS259" s="3"/>
      <c r="BT259" s="3"/>
      <c r="BU259" s="3"/>
      <c r="BV259" s="3"/>
      <c r="BW259" s="83"/>
      <c r="BX259" s="3"/>
      <c r="BY259" s="83"/>
      <c r="BZ259" s="3"/>
      <c r="CA259" s="3"/>
      <c r="CB259" s="3"/>
      <c r="CC259" s="3"/>
      <c r="CD259" s="3"/>
      <c r="CE259" s="3"/>
    </row>
    <row r="260" spans="1:83" ht="24" customHeight="1" x14ac:dyDescent="0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8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83"/>
      <c r="AF260" s="3"/>
      <c r="AG260" s="8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83"/>
      <c r="BN260" s="3"/>
      <c r="BO260" s="83"/>
      <c r="BP260" s="3"/>
      <c r="BQ260" s="3"/>
      <c r="BR260" s="3"/>
      <c r="BS260" s="3"/>
      <c r="BT260" s="3"/>
      <c r="BU260" s="3"/>
      <c r="BV260" s="3"/>
      <c r="BW260" s="83"/>
      <c r="BX260" s="3"/>
      <c r="BY260" s="83"/>
      <c r="BZ260" s="3"/>
      <c r="CA260" s="3"/>
      <c r="CB260" s="3"/>
      <c r="CC260" s="3"/>
      <c r="CD260" s="3"/>
      <c r="CE260" s="3"/>
    </row>
    <row r="261" spans="1:83" ht="24" customHeight="1" x14ac:dyDescent="0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8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83"/>
      <c r="AF261" s="3"/>
      <c r="AG261" s="8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83"/>
      <c r="BN261" s="3"/>
      <c r="BO261" s="83"/>
      <c r="BP261" s="3"/>
      <c r="BQ261" s="3"/>
      <c r="BR261" s="3"/>
      <c r="BS261" s="3"/>
      <c r="BT261" s="3"/>
      <c r="BU261" s="3"/>
      <c r="BV261" s="3"/>
      <c r="BW261" s="83"/>
      <c r="BX261" s="3"/>
      <c r="BY261" s="83"/>
      <c r="BZ261" s="3"/>
      <c r="CA261" s="3"/>
      <c r="CB261" s="3"/>
      <c r="CC261" s="3"/>
      <c r="CD261" s="3"/>
      <c r="CE261" s="3"/>
    </row>
    <row r="262" spans="1:83" ht="24" customHeight="1" x14ac:dyDescent="0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8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83"/>
      <c r="AF262" s="3"/>
      <c r="AG262" s="8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83"/>
      <c r="BN262" s="3"/>
      <c r="BO262" s="83"/>
      <c r="BP262" s="3"/>
      <c r="BQ262" s="3"/>
      <c r="BR262" s="3"/>
      <c r="BS262" s="3"/>
      <c r="BT262" s="3"/>
      <c r="BU262" s="3"/>
      <c r="BV262" s="3"/>
      <c r="BW262" s="83"/>
      <c r="BX262" s="3"/>
      <c r="BY262" s="83"/>
      <c r="BZ262" s="3"/>
      <c r="CA262" s="3"/>
      <c r="CB262" s="3"/>
      <c r="CC262" s="3"/>
      <c r="CD262" s="3"/>
      <c r="CE262" s="3"/>
    </row>
    <row r="263" spans="1:83" ht="24" customHeight="1" x14ac:dyDescent="0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8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83"/>
      <c r="AF263" s="3"/>
      <c r="AG263" s="8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83"/>
      <c r="BN263" s="3"/>
      <c r="BO263" s="83"/>
      <c r="BP263" s="3"/>
      <c r="BQ263" s="3"/>
      <c r="BR263" s="3"/>
      <c r="BS263" s="3"/>
      <c r="BT263" s="3"/>
      <c r="BU263" s="3"/>
      <c r="BV263" s="3"/>
      <c r="BW263" s="83"/>
      <c r="BX263" s="3"/>
      <c r="BY263" s="83"/>
      <c r="BZ263" s="3"/>
      <c r="CA263" s="3"/>
      <c r="CB263" s="3"/>
      <c r="CC263" s="3"/>
      <c r="CD263" s="3"/>
      <c r="CE263" s="3"/>
    </row>
    <row r="264" spans="1:83" ht="24" customHeight="1" x14ac:dyDescent="0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8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83"/>
      <c r="AF264" s="3"/>
      <c r="AG264" s="8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83"/>
      <c r="BN264" s="3"/>
      <c r="BO264" s="83"/>
      <c r="BP264" s="3"/>
      <c r="BQ264" s="3"/>
      <c r="BR264" s="3"/>
      <c r="BS264" s="3"/>
      <c r="BT264" s="3"/>
      <c r="BU264" s="3"/>
      <c r="BV264" s="3"/>
      <c r="BW264" s="83"/>
      <c r="BX264" s="3"/>
      <c r="BY264" s="83"/>
      <c r="BZ264" s="3"/>
      <c r="CA264" s="3"/>
      <c r="CB264" s="3"/>
      <c r="CC264" s="3"/>
      <c r="CD264" s="3"/>
      <c r="CE264" s="3"/>
    </row>
    <row r="265" spans="1:83" ht="24" customHeight="1" x14ac:dyDescent="0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8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83"/>
      <c r="AF265" s="3"/>
      <c r="AG265" s="8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83"/>
      <c r="BN265" s="3"/>
      <c r="BO265" s="83"/>
      <c r="BP265" s="3"/>
      <c r="BQ265" s="3"/>
      <c r="BR265" s="3"/>
      <c r="BS265" s="3"/>
      <c r="BT265" s="3"/>
      <c r="BU265" s="3"/>
      <c r="BV265" s="3"/>
      <c r="BW265" s="83"/>
      <c r="BX265" s="3"/>
      <c r="BY265" s="83"/>
      <c r="BZ265" s="3"/>
      <c r="CA265" s="3"/>
      <c r="CB265" s="3"/>
      <c r="CC265" s="3"/>
      <c r="CD265" s="3"/>
      <c r="CE265" s="3"/>
    </row>
    <row r="266" spans="1:83" ht="24" customHeight="1" x14ac:dyDescent="0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8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83"/>
      <c r="AF266" s="3"/>
      <c r="AG266" s="8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83"/>
      <c r="BN266" s="3"/>
      <c r="BO266" s="83"/>
      <c r="BP266" s="3"/>
      <c r="BQ266" s="3"/>
      <c r="BR266" s="3"/>
      <c r="BS266" s="3"/>
      <c r="BT266" s="3"/>
      <c r="BU266" s="3"/>
      <c r="BV266" s="3"/>
      <c r="BW266" s="83"/>
      <c r="BX266" s="3"/>
      <c r="BY266" s="83"/>
      <c r="BZ266" s="3"/>
      <c r="CA266" s="3"/>
      <c r="CB266" s="3"/>
      <c r="CC266" s="3"/>
      <c r="CD266" s="3"/>
      <c r="CE266" s="3"/>
    </row>
    <row r="267" spans="1:83" ht="24" customHeight="1" x14ac:dyDescent="0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8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83"/>
      <c r="AF267" s="3"/>
      <c r="AG267" s="8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83"/>
      <c r="BN267" s="3"/>
      <c r="BO267" s="83"/>
      <c r="BP267" s="3"/>
      <c r="BQ267" s="3"/>
      <c r="BR267" s="3"/>
      <c r="BS267" s="3"/>
      <c r="BT267" s="3"/>
      <c r="BU267" s="3"/>
      <c r="BV267" s="3"/>
      <c r="BW267" s="83"/>
      <c r="BX267" s="3"/>
      <c r="BY267" s="83"/>
      <c r="BZ267" s="3"/>
      <c r="CA267" s="3"/>
      <c r="CB267" s="3"/>
      <c r="CC267" s="3"/>
      <c r="CD267" s="3"/>
      <c r="CE267" s="3"/>
    </row>
    <row r="268" spans="1:83" ht="24" customHeight="1" x14ac:dyDescent="0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8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83"/>
      <c r="AF268" s="3"/>
      <c r="AG268" s="8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83"/>
      <c r="BN268" s="3"/>
      <c r="BO268" s="83"/>
      <c r="BP268" s="3"/>
      <c r="BQ268" s="3"/>
      <c r="BR268" s="3"/>
      <c r="BS268" s="3"/>
      <c r="BT268" s="3"/>
      <c r="BU268" s="3"/>
      <c r="BV268" s="3"/>
      <c r="BW268" s="83"/>
      <c r="BX268" s="3"/>
      <c r="BY268" s="83"/>
      <c r="BZ268" s="3"/>
      <c r="CA268" s="3"/>
      <c r="CB268" s="3"/>
      <c r="CC268" s="3"/>
      <c r="CD268" s="3"/>
      <c r="CE268" s="3"/>
    </row>
    <row r="269" spans="1:83" ht="24" customHeight="1" x14ac:dyDescent="0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8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83"/>
      <c r="AF269" s="3"/>
      <c r="AG269" s="8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83"/>
      <c r="BN269" s="3"/>
      <c r="BO269" s="83"/>
      <c r="BP269" s="3"/>
      <c r="BQ269" s="3"/>
      <c r="BR269" s="3"/>
      <c r="BS269" s="3"/>
      <c r="BT269" s="3"/>
      <c r="BU269" s="3"/>
      <c r="BV269" s="3"/>
      <c r="BW269" s="83"/>
      <c r="BX269" s="3"/>
      <c r="BY269" s="83"/>
      <c r="BZ269" s="3"/>
      <c r="CA269" s="3"/>
      <c r="CB269" s="3"/>
      <c r="CC269" s="3"/>
      <c r="CD269" s="3"/>
      <c r="CE269" s="3"/>
    </row>
    <row r="270" spans="1:83" ht="24" customHeight="1" x14ac:dyDescent="0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8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83"/>
      <c r="AF270" s="3"/>
      <c r="AG270" s="8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83"/>
      <c r="BN270" s="3"/>
      <c r="BO270" s="83"/>
      <c r="BP270" s="3"/>
      <c r="BQ270" s="3"/>
      <c r="BR270" s="3"/>
      <c r="BS270" s="3"/>
      <c r="BT270" s="3"/>
      <c r="BU270" s="3"/>
      <c r="BV270" s="3"/>
      <c r="BW270" s="83"/>
      <c r="BX270" s="3"/>
      <c r="BY270" s="83"/>
      <c r="BZ270" s="3"/>
      <c r="CA270" s="3"/>
      <c r="CB270" s="3"/>
      <c r="CC270" s="3"/>
      <c r="CD270" s="3"/>
      <c r="CE270" s="3"/>
    </row>
    <row r="271" spans="1:83" ht="24" customHeight="1" x14ac:dyDescent="0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8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83"/>
      <c r="AF271" s="3"/>
      <c r="AG271" s="8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83"/>
      <c r="BN271" s="3"/>
      <c r="BO271" s="83"/>
      <c r="BP271" s="3"/>
      <c r="BQ271" s="3"/>
      <c r="BR271" s="3"/>
      <c r="BS271" s="3"/>
      <c r="BT271" s="3"/>
      <c r="BU271" s="3"/>
      <c r="BV271" s="3"/>
      <c r="BW271" s="83"/>
      <c r="BX271" s="3"/>
      <c r="BY271" s="83"/>
      <c r="BZ271" s="3"/>
      <c r="CA271" s="3"/>
      <c r="CB271" s="3"/>
      <c r="CC271" s="3"/>
      <c r="CD271" s="3"/>
      <c r="CE271" s="3"/>
    </row>
    <row r="272" spans="1:83" ht="24" customHeight="1" x14ac:dyDescent="0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8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83"/>
      <c r="AF272" s="3"/>
      <c r="AG272" s="8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83"/>
      <c r="BN272" s="3"/>
      <c r="BO272" s="83"/>
      <c r="BP272" s="3"/>
      <c r="BQ272" s="3"/>
      <c r="BR272" s="3"/>
      <c r="BS272" s="3"/>
      <c r="BT272" s="3"/>
      <c r="BU272" s="3"/>
      <c r="BV272" s="3"/>
      <c r="BW272" s="83"/>
      <c r="BX272" s="3"/>
      <c r="BY272" s="83"/>
      <c r="BZ272" s="3"/>
      <c r="CA272" s="3"/>
      <c r="CB272" s="3"/>
      <c r="CC272" s="3"/>
      <c r="CD272" s="3"/>
      <c r="CE272" s="3"/>
    </row>
    <row r="273" spans="1:83" ht="24" customHeight="1" x14ac:dyDescent="0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8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83"/>
      <c r="AF273" s="3"/>
      <c r="AG273" s="8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83"/>
      <c r="BN273" s="3"/>
      <c r="BO273" s="83"/>
      <c r="BP273" s="3"/>
      <c r="BQ273" s="3"/>
      <c r="BR273" s="3"/>
      <c r="BS273" s="3"/>
      <c r="BT273" s="3"/>
      <c r="BU273" s="3"/>
      <c r="BV273" s="3"/>
      <c r="BW273" s="83"/>
      <c r="BX273" s="3"/>
      <c r="BY273" s="83"/>
      <c r="BZ273" s="3"/>
      <c r="CA273" s="3"/>
      <c r="CB273" s="3"/>
      <c r="CC273" s="3"/>
      <c r="CD273" s="3"/>
      <c r="CE273" s="3"/>
    </row>
    <row r="274" spans="1:83" ht="24" customHeight="1" x14ac:dyDescent="0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8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83"/>
      <c r="AF274" s="3"/>
      <c r="AG274" s="8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83"/>
      <c r="BN274" s="3"/>
      <c r="BO274" s="83"/>
      <c r="BP274" s="3"/>
      <c r="BQ274" s="3"/>
      <c r="BR274" s="3"/>
      <c r="BS274" s="3"/>
      <c r="BT274" s="3"/>
      <c r="BU274" s="3"/>
      <c r="BV274" s="3"/>
      <c r="BW274" s="83"/>
      <c r="BX274" s="3"/>
      <c r="BY274" s="83"/>
      <c r="BZ274" s="3"/>
      <c r="CA274" s="3"/>
      <c r="CB274" s="3"/>
      <c r="CC274" s="3"/>
      <c r="CD274" s="3"/>
      <c r="CE274" s="3"/>
    </row>
    <row r="275" spans="1:83" ht="24" customHeight="1" x14ac:dyDescent="0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8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83"/>
      <c r="AF275" s="3"/>
      <c r="AG275" s="8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83"/>
      <c r="BN275" s="3"/>
      <c r="BO275" s="83"/>
      <c r="BP275" s="3"/>
      <c r="BQ275" s="3"/>
      <c r="BR275" s="3"/>
      <c r="BS275" s="3"/>
      <c r="BT275" s="3"/>
      <c r="BU275" s="3"/>
      <c r="BV275" s="3"/>
      <c r="BW275" s="83"/>
      <c r="BX275" s="3"/>
      <c r="BY275" s="83"/>
      <c r="BZ275" s="3"/>
      <c r="CA275" s="3"/>
      <c r="CB275" s="3"/>
      <c r="CC275" s="3"/>
      <c r="CD275" s="3"/>
      <c r="CE275" s="3"/>
    </row>
    <row r="276" spans="1:83" ht="24" customHeight="1" x14ac:dyDescent="0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8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83"/>
      <c r="AF276" s="3"/>
      <c r="AG276" s="8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83"/>
      <c r="BN276" s="3"/>
      <c r="BO276" s="83"/>
      <c r="BP276" s="3"/>
      <c r="BQ276" s="3"/>
      <c r="BR276" s="3"/>
      <c r="BS276" s="3"/>
      <c r="BT276" s="3"/>
      <c r="BU276" s="3"/>
      <c r="BV276" s="3"/>
      <c r="BW276" s="83"/>
      <c r="BX276" s="3"/>
      <c r="BY276" s="83"/>
      <c r="BZ276" s="3"/>
      <c r="CA276" s="3"/>
      <c r="CB276" s="3"/>
      <c r="CC276" s="3"/>
      <c r="CD276" s="3"/>
      <c r="CE276" s="3"/>
    </row>
    <row r="277" spans="1:83" ht="24" customHeight="1" x14ac:dyDescent="0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8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83"/>
      <c r="AF277" s="3"/>
      <c r="AG277" s="8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83"/>
      <c r="BN277" s="3"/>
      <c r="BO277" s="83"/>
      <c r="BP277" s="3"/>
      <c r="BQ277" s="3"/>
      <c r="BR277" s="3"/>
      <c r="BS277" s="3"/>
      <c r="BT277" s="3"/>
      <c r="BU277" s="3"/>
      <c r="BV277" s="3"/>
      <c r="BW277" s="83"/>
      <c r="BX277" s="3"/>
      <c r="BY277" s="83"/>
      <c r="BZ277" s="3"/>
      <c r="CA277" s="3"/>
      <c r="CB277" s="3"/>
      <c r="CC277" s="3"/>
      <c r="CD277" s="3"/>
      <c r="CE277" s="3"/>
    </row>
    <row r="278" spans="1:83" ht="24" customHeight="1" x14ac:dyDescent="0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8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83"/>
      <c r="AF278" s="3"/>
      <c r="AG278" s="8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83"/>
      <c r="BN278" s="3"/>
      <c r="BO278" s="83"/>
      <c r="BP278" s="3"/>
      <c r="BQ278" s="3"/>
      <c r="BR278" s="3"/>
      <c r="BS278" s="3"/>
      <c r="BT278" s="3"/>
      <c r="BU278" s="3"/>
      <c r="BV278" s="3"/>
      <c r="BW278" s="83"/>
      <c r="BX278" s="3"/>
      <c r="BY278" s="83"/>
      <c r="BZ278" s="3"/>
      <c r="CA278" s="3"/>
      <c r="CB278" s="3"/>
      <c r="CC278" s="3"/>
      <c r="CD278" s="3"/>
      <c r="CE278" s="3"/>
    </row>
    <row r="279" spans="1:83" ht="24" customHeight="1" x14ac:dyDescent="0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8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83"/>
      <c r="AF279" s="3"/>
      <c r="AG279" s="8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83"/>
      <c r="BN279" s="3"/>
      <c r="BO279" s="83"/>
      <c r="BP279" s="3"/>
      <c r="BQ279" s="3"/>
      <c r="BR279" s="3"/>
      <c r="BS279" s="3"/>
      <c r="BT279" s="3"/>
      <c r="BU279" s="3"/>
      <c r="BV279" s="3"/>
      <c r="BW279" s="83"/>
      <c r="BX279" s="3"/>
      <c r="BY279" s="83"/>
      <c r="BZ279" s="3"/>
      <c r="CA279" s="3"/>
      <c r="CB279" s="3"/>
      <c r="CC279" s="3"/>
      <c r="CD279" s="3"/>
      <c r="CE279" s="3"/>
    </row>
    <row r="280" spans="1:83" ht="24" customHeight="1" x14ac:dyDescent="0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8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83"/>
      <c r="AF280" s="3"/>
      <c r="AG280" s="8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83"/>
      <c r="BN280" s="3"/>
      <c r="BO280" s="83"/>
      <c r="BP280" s="3"/>
      <c r="BQ280" s="3"/>
      <c r="BR280" s="3"/>
      <c r="BS280" s="3"/>
      <c r="BT280" s="3"/>
      <c r="BU280" s="3"/>
      <c r="BV280" s="3"/>
      <c r="BW280" s="83"/>
      <c r="BX280" s="3"/>
      <c r="BY280" s="83"/>
      <c r="BZ280" s="3"/>
      <c r="CA280" s="3"/>
      <c r="CB280" s="3"/>
      <c r="CC280" s="3"/>
      <c r="CD280" s="3"/>
      <c r="CE280" s="3"/>
    </row>
    <row r="281" spans="1:83" ht="24" customHeight="1" x14ac:dyDescent="0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8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83"/>
      <c r="AF281" s="3"/>
      <c r="AG281" s="8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83"/>
      <c r="BN281" s="3"/>
      <c r="BO281" s="83"/>
      <c r="BP281" s="3"/>
      <c r="BQ281" s="3"/>
      <c r="BR281" s="3"/>
      <c r="BS281" s="3"/>
      <c r="BT281" s="3"/>
      <c r="BU281" s="3"/>
      <c r="BV281" s="3"/>
      <c r="BW281" s="83"/>
      <c r="BX281" s="3"/>
      <c r="BY281" s="83"/>
      <c r="BZ281" s="3"/>
      <c r="CA281" s="3"/>
      <c r="CB281" s="3"/>
      <c r="CC281" s="3"/>
      <c r="CD281" s="3"/>
      <c r="CE281" s="3"/>
    </row>
    <row r="282" spans="1:83" ht="24" customHeight="1" x14ac:dyDescent="0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8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83"/>
      <c r="AF282" s="3"/>
      <c r="AG282" s="8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83"/>
      <c r="BN282" s="3"/>
      <c r="BO282" s="83"/>
      <c r="BP282" s="3"/>
      <c r="BQ282" s="3"/>
      <c r="BR282" s="3"/>
      <c r="BS282" s="3"/>
      <c r="BT282" s="3"/>
      <c r="BU282" s="3"/>
      <c r="BV282" s="3"/>
      <c r="BW282" s="83"/>
      <c r="BX282" s="3"/>
      <c r="BY282" s="83"/>
      <c r="BZ282" s="3"/>
      <c r="CA282" s="3"/>
      <c r="CB282" s="3"/>
      <c r="CC282" s="3"/>
      <c r="CD282" s="3"/>
      <c r="CE282" s="3"/>
    </row>
    <row r="283" spans="1:83" ht="24" customHeight="1" x14ac:dyDescent="0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8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83"/>
      <c r="AF283" s="3"/>
      <c r="AG283" s="8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83"/>
      <c r="BN283" s="3"/>
      <c r="BO283" s="83"/>
      <c r="BP283" s="3"/>
      <c r="BQ283" s="3"/>
      <c r="BR283" s="3"/>
      <c r="BS283" s="3"/>
      <c r="BT283" s="3"/>
      <c r="BU283" s="3"/>
      <c r="BV283" s="3"/>
      <c r="BW283" s="83"/>
      <c r="BX283" s="3"/>
      <c r="BY283" s="83"/>
      <c r="BZ283" s="3"/>
      <c r="CA283" s="3"/>
      <c r="CB283" s="3"/>
      <c r="CC283" s="3"/>
      <c r="CD283" s="3"/>
      <c r="CE283" s="3"/>
    </row>
    <row r="284" spans="1:83" ht="24" customHeight="1" x14ac:dyDescent="0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8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83"/>
      <c r="AF284" s="3"/>
      <c r="AG284" s="8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83"/>
      <c r="BN284" s="3"/>
      <c r="BO284" s="83"/>
      <c r="BP284" s="3"/>
      <c r="BQ284" s="3"/>
      <c r="BR284" s="3"/>
      <c r="BS284" s="3"/>
      <c r="BT284" s="3"/>
      <c r="BU284" s="3"/>
      <c r="BV284" s="3"/>
      <c r="BW284" s="83"/>
      <c r="BX284" s="3"/>
      <c r="BY284" s="83"/>
      <c r="BZ284" s="3"/>
      <c r="CA284" s="3"/>
      <c r="CB284" s="3"/>
      <c r="CC284" s="3"/>
      <c r="CD284" s="3"/>
      <c r="CE284" s="3"/>
    </row>
    <row r="285" spans="1:83" ht="24" customHeight="1" x14ac:dyDescent="0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8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83"/>
      <c r="AF285" s="3"/>
      <c r="AG285" s="8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83"/>
      <c r="BN285" s="3"/>
      <c r="BO285" s="83"/>
      <c r="BP285" s="3"/>
      <c r="BQ285" s="3"/>
      <c r="BR285" s="3"/>
      <c r="BS285" s="3"/>
      <c r="BT285" s="3"/>
      <c r="BU285" s="3"/>
      <c r="BV285" s="3"/>
      <c r="BW285" s="83"/>
      <c r="BX285" s="3"/>
      <c r="BY285" s="83"/>
      <c r="BZ285" s="3"/>
      <c r="CA285" s="3"/>
      <c r="CB285" s="3"/>
      <c r="CC285" s="3"/>
      <c r="CD285" s="3"/>
      <c r="CE285" s="3"/>
    </row>
    <row r="286" spans="1:83" ht="24" customHeight="1" x14ac:dyDescent="0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8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83"/>
      <c r="AF286" s="3"/>
      <c r="AG286" s="8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83"/>
      <c r="BN286" s="3"/>
      <c r="BO286" s="83"/>
      <c r="BP286" s="3"/>
      <c r="BQ286" s="3"/>
      <c r="BR286" s="3"/>
      <c r="BS286" s="3"/>
      <c r="BT286" s="3"/>
      <c r="BU286" s="3"/>
      <c r="BV286" s="3"/>
      <c r="BW286" s="83"/>
      <c r="BX286" s="3"/>
      <c r="BY286" s="83"/>
      <c r="BZ286" s="3"/>
      <c r="CA286" s="3"/>
      <c r="CB286" s="3"/>
      <c r="CC286" s="3"/>
      <c r="CD286" s="3"/>
      <c r="CE286" s="3"/>
    </row>
    <row r="287" spans="1:83" ht="24" customHeight="1" x14ac:dyDescent="0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8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83"/>
      <c r="AF287" s="3"/>
      <c r="AG287" s="8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83"/>
      <c r="BN287" s="3"/>
      <c r="BO287" s="83"/>
      <c r="BP287" s="3"/>
      <c r="BQ287" s="3"/>
      <c r="BR287" s="3"/>
      <c r="BS287" s="3"/>
      <c r="BT287" s="3"/>
      <c r="BU287" s="3"/>
      <c r="BV287" s="3"/>
      <c r="BW287" s="83"/>
      <c r="BX287" s="3"/>
      <c r="BY287" s="83"/>
      <c r="BZ287" s="3"/>
      <c r="CA287" s="3"/>
      <c r="CB287" s="3"/>
      <c r="CC287" s="3"/>
      <c r="CD287" s="3"/>
      <c r="CE287" s="3"/>
    </row>
    <row r="288" spans="1:83" ht="24" customHeight="1" x14ac:dyDescent="0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8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83"/>
      <c r="AF288" s="3"/>
      <c r="AG288" s="8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83"/>
      <c r="BN288" s="3"/>
      <c r="BO288" s="83"/>
      <c r="BP288" s="3"/>
      <c r="BQ288" s="3"/>
      <c r="BR288" s="3"/>
      <c r="BS288" s="3"/>
      <c r="BT288" s="3"/>
      <c r="BU288" s="3"/>
      <c r="BV288" s="3"/>
      <c r="BW288" s="83"/>
      <c r="BX288" s="3"/>
      <c r="BY288" s="83"/>
      <c r="BZ288" s="3"/>
      <c r="CA288" s="3"/>
      <c r="CB288" s="3"/>
      <c r="CC288" s="3"/>
      <c r="CD288" s="3"/>
      <c r="CE288" s="3"/>
    </row>
    <row r="289" spans="1:83" ht="24" customHeight="1" x14ac:dyDescent="0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8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83"/>
      <c r="AF289" s="3"/>
      <c r="AG289" s="8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83"/>
      <c r="BN289" s="3"/>
      <c r="BO289" s="83"/>
      <c r="BP289" s="3"/>
      <c r="BQ289" s="3"/>
      <c r="BR289" s="3"/>
      <c r="BS289" s="3"/>
      <c r="BT289" s="3"/>
      <c r="BU289" s="3"/>
      <c r="BV289" s="3"/>
      <c r="BW289" s="83"/>
      <c r="BX289" s="3"/>
      <c r="BY289" s="83"/>
      <c r="BZ289" s="3"/>
      <c r="CA289" s="3"/>
      <c r="CB289" s="3"/>
      <c r="CC289" s="3"/>
      <c r="CD289" s="3"/>
      <c r="CE289" s="3"/>
    </row>
    <row r="290" spans="1:83" ht="24" customHeight="1" x14ac:dyDescent="0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8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83"/>
      <c r="AF290" s="3"/>
      <c r="AG290" s="8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83"/>
      <c r="BN290" s="3"/>
      <c r="BO290" s="83"/>
      <c r="BP290" s="3"/>
      <c r="BQ290" s="3"/>
      <c r="BR290" s="3"/>
      <c r="BS290" s="3"/>
      <c r="BT290" s="3"/>
      <c r="BU290" s="3"/>
      <c r="BV290" s="3"/>
      <c r="BW290" s="83"/>
      <c r="BX290" s="3"/>
      <c r="BY290" s="83"/>
      <c r="BZ290" s="3"/>
      <c r="CA290" s="3"/>
      <c r="CB290" s="3"/>
      <c r="CC290" s="3"/>
      <c r="CD290" s="3"/>
      <c r="CE290" s="3"/>
    </row>
    <row r="291" spans="1:83" ht="24" customHeight="1" x14ac:dyDescent="0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8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83"/>
      <c r="AF291" s="3"/>
      <c r="AG291" s="8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83"/>
      <c r="BN291" s="3"/>
      <c r="BO291" s="83"/>
      <c r="BP291" s="3"/>
      <c r="BQ291" s="3"/>
      <c r="BR291" s="3"/>
      <c r="BS291" s="3"/>
      <c r="BT291" s="3"/>
      <c r="BU291" s="3"/>
      <c r="BV291" s="3"/>
      <c r="BW291" s="83"/>
      <c r="BX291" s="3"/>
      <c r="BY291" s="83"/>
      <c r="BZ291" s="3"/>
      <c r="CA291" s="3"/>
      <c r="CB291" s="3"/>
      <c r="CC291" s="3"/>
      <c r="CD291" s="3"/>
      <c r="CE291" s="3"/>
    </row>
    <row r="292" spans="1:83" ht="24" customHeight="1" x14ac:dyDescent="0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8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83"/>
      <c r="AF292" s="3"/>
      <c r="AG292" s="8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83"/>
      <c r="BN292" s="3"/>
      <c r="BO292" s="83"/>
      <c r="BP292" s="3"/>
      <c r="BQ292" s="3"/>
      <c r="BR292" s="3"/>
      <c r="BS292" s="3"/>
      <c r="BT292" s="3"/>
      <c r="BU292" s="3"/>
      <c r="BV292" s="3"/>
      <c r="BW292" s="83"/>
      <c r="BX292" s="3"/>
      <c r="BY292" s="83"/>
      <c r="BZ292" s="3"/>
      <c r="CA292" s="3"/>
      <c r="CB292" s="3"/>
      <c r="CC292" s="3"/>
      <c r="CD292" s="3"/>
      <c r="CE292" s="3"/>
    </row>
    <row r="293" spans="1:83" ht="24" customHeight="1" x14ac:dyDescent="0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8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83"/>
      <c r="AF293" s="3"/>
      <c r="AG293" s="8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83"/>
      <c r="BN293" s="3"/>
      <c r="BO293" s="83"/>
      <c r="BP293" s="3"/>
      <c r="BQ293" s="3"/>
      <c r="BR293" s="3"/>
      <c r="BS293" s="3"/>
      <c r="BT293" s="3"/>
      <c r="BU293" s="3"/>
      <c r="BV293" s="3"/>
      <c r="BW293" s="83"/>
      <c r="BX293" s="3"/>
      <c r="BY293" s="83"/>
      <c r="BZ293" s="3"/>
      <c r="CA293" s="3"/>
      <c r="CB293" s="3"/>
      <c r="CC293" s="3"/>
      <c r="CD293" s="3"/>
      <c r="CE293" s="3"/>
    </row>
    <row r="294" spans="1:83" ht="24" customHeight="1" x14ac:dyDescent="0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8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83"/>
      <c r="AF294" s="3"/>
      <c r="AG294" s="8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83"/>
      <c r="BN294" s="3"/>
      <c r="BO294" s="83"/>
      <c r="BP294" s="3"/>
      <c r="BQ294" s="3"/>
      <c r="BR294" s="3"/>
      <c r="BS294" s="3"/>
      <c r="BT294" s="3"/>
      <c r="BU294" s="3"/>
      <c r="BV294" s="3"/>
      <c r="BW294" s="83"/>
      <c r="BX294" s="3"/>
      <c r="BY294" s="83"/>
      <c r="BZ294" s="3"/>
      <c r="CA294" s="3"/>
      <c r="CB294" s="3"/>
      <c r="CC294" s="3"/>
      <c r="CD294" s="3"/>
      <c r="CE294" s="3"/>
    </row>
    <row r="295" spans="1:83" ht="24" customHeight="1" x14ac:dyDescent="0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8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83"/>
      <c r="AF295" s="3"/>
      <c r="AG295" s="8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83"/>
      <c r="BN295" s="3"/>
      <c r="BO295" s="83"/>
      <c r="BP295" s="3"/>
      <c r="BQ295" s="3"/>
      <c r="BR295" s="3"/>
      <c r="BS295" s="3"/>
      <c r="BT295" s="3"/>
      <c r="BU295" s="3"/>
      <c r="BV295" s="3"/>
      <c r="BW295" s="83"/>
      <c r="BX295" s="3"/>
      <c r="BY295" s="83"/>
      <c r="BZ295" s="3"/>
      <c r="CA295" s="3"/>
      <c r="CB295" s="3"/>
      <c r="CC295" s="3"/>
      <c r="CD295" s="3"/>
      <c r="CE295" s="3"/>
    </row>
    <row r="296" spans="1:83" ht="24" customHeight="1" x14ac:dyDescent="0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8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83"/>
      <c r="AF296" s="3"/>
      <c r="AG296" s="8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83"/>
      <c r="BN296" s="3"/>
      <c r="BO296" s="83"/>
      <c r="BP296" s="3"/>
      <c r="BQ296" s="3"/>
      <c r="BR296" s="3"/>
      <c r="BS296" s="3"/>
      <c r="BT296" s="3"/>
      <c r="BU296" s="3"/>
      <c r="BV296" s="3"/>
      <c r="BW296" s="83"/>
      <c r="BX296" s="3"/>
      <c r="BY296" s="83"/>
      <c r="BZ296" s="3"/>
      <c r="CA296" s="3"/>
      <c r="CB296" s="3"/>
      <c r="CC296" s="3"/>
      <c r="CD296" s="3"/>
      <c r="CE296" s="3"/>
    </row>
    <row r="297" spans="1:83" ht="24" customHeight="1" x14ac:dyDescent="0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8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83"/>
      <c r="AF297" s="3"/>
      <c r="AG297" s="8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83"/>
      <c r="BN297" s="3"/>
      <c r="BO297" s="83"/>
      <c r="BP297" s="3"/>
      <c r="BQ297" s="3"/>
      <c r="BR297" s="3"/>
      <c r="BS297" s="3"/>
      <c r="BT297" s="3"/>
      <c r="BU297" s="3"/>
      <c r="BV297" s="3"/>
      <c r="BW297" s="83"/>
      <c r="BX297" s="3"/>
      <c r="BY297" s="83"/>
      <c r="BZ297" s="3"/>
      <c r="CA297" s="3"/>
      <c r="CB297" s="3"/>
      <c r="CC297" s="3"/>
      <c r="CD297" s="3"/>
      <c r="CE297" s="3"/>
    </row>
    <row r="298" spans="1:83" ht="24" customHeight="1" x14ac:dyDescent="0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8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83"/>
      <c r="AF298" s="3"/>
      <c r="AG298" s="8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83"/>
      <c r="BN298" s="3"/>
      <c r="BO298" s="83"/>
      <c r="BP298" s="3"/>
      <c r="BQ298" s="3"/>
      <c r="BR298" s="3"/>
      <c r="BS298" s="3"/>
      <c r="BT298" s="3"/>
      <c r="BU298" s="3"/>
      <c r="BV298" s="3"/>
      <c r="BW298" s="83"/>
      <c r="BX298" s="3"/>
      <c r="BY298" s="83"/>
      <c r="BZ298" s="3"/>
      <c r="CA298" s="3"/>
      <c r="CB298" s="3"/>
      <c r="CC298" s="3"/>
      <c r="CD298" s="3"/>
      <c r="CE298" s="3"/>
    </row>
    <row r="299" spans="1:83" ht="24" customHeight="1" x14ac:dyDescent="0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8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83"/>
      <c r="AF299" s="3"/>
      <c r="AG299" s="8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83"/>
      <c r="BN299" s="3"/>
      <c r="BO299" s="83"/>
      <c r="BP299" s="3"/>
      <c r="BQ299" s="3"/>
      <c r="BR299" s="3"/>
      <c r="BS299" s="3"/>
      <c r="BT299" s="3"/>
      <c r="BU299" s="3"/>
      <c r="BV299" s="3"/>
      <c r="BW299" s="83"/>
      <c r="BX299" s="3"/>
      <c r="BY299" s="83"/>
      <c r="BZ299" s="3"/>
      <c r="CA299" s="3"/>
      <c r="CB299" s="3"/>
      <c r="CC299" s="3"/>
      <c r="CD299" s="3"/>
      <c r="CE299" s="3"/>
    </row>
    <row r="300" spans="1:83" ht="24" customHeight="1" x14ac:dyDescent="0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8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83"/>
      <c r="AF300" s="3"/>
      <c r="AG300" s="8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83"/>
      <c r="BN300" s="3"/>
      <c r="BO300" s="83"/>
      <c r="BP300" s="3"/>
      <c r="BQ300" s="3"/>
      <c r="BR300" s="3"/>
      <c r="BS300" s="3"/>
      <c r="BT300" s="3"/>
      <c r="BU300" s="3"/>
      <c r="BV300" s="3"/>
      <c r="BW300" s="83"/>
      <c r="BX300" s="3"/>
      <c r="BY300" s="83"/>
      <c r="BZ300" s="3"/>
      <c r="CA300" s="3"/>
      <c r="CB300" s="3"/>
      <c r="CC300" s="3"/>
      <c r="CD300" s="3"/>
      <c r="CE300" s="3"/>
    </row>
    <row r="301" spans="1:83" ht="24" customHeight="1" x14ac:dyDescent="0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8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83"/>
      <c r="AF301" s="3"/>
      <c r="AG301" s="8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83"/>
      <c r="BN301" s="3"/>
      <c r="BO301" s="83"/>
      <c r="BP301" s="3"/>
      <c r="BQ301" s="3"/>
      <c r="BR301" s="3"/>
      <c r="BS301" s="3"/>
      <c r="BT301" s="3"/>
      <c r="BU301" s="3"/>
      <c r="BV301" s="3"/>
      <c r="BW301" s="83"/>
      <c r="BX301" s="3"/>
      <c r="BY301" s="83"/>
      <c r="BZ301" s="3"/>
      <c r="CA301" s="3"/>
      <c r="CB301" s="3"/>
      <c r="CC301" s="3"/>
      <c r="CD301" s="3"/>
      <c r="CE301" s="3"/>
    </row>
    <row r="302" spans="1:83" ht="24" customHeight="1" x14ac:dyDescent="0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8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83"/>
      <c r="AF302" s="3"/>
      <c r="AG302" s="8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83"/>
      <c r="BN302" s="3"/>
      <c r="BO302" s="83"/>
      <c r="BP302" s="3"/>
      <c r="BQ302" s="3"/>
      <c r="BR302" s="3"/>
      <c r="BS302" s="3"/>
      <c r="BT302" s="3"/>
      <c r="BU302" s="3"/>
      <c r="BV302" s="3"/>
      <c r="BW302" s="83"/>
      <c r="BX302" s="3"/>
      <c r="BY302" s="83"/>
      <c r="BZ302" s="3"/>
      <c r="CA302" s="3"/>
      <c r="CB302" s="3"/>
      <c r="CC302" s="3"/>
      <c r="CD302" s="3"/>
      <c r="CE302" s="3"/>
    </row>
    <row r="303" spans="1:83" ht="24" customHeight="1" x14ac:dyDescent="0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8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83"/>
      <c r="AF303" s="3"/>
      <c r="AG303" s="8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83"/>
      <c r="BN303" s="3"/>
      <c r="BO303" s="83"/>
      <c r="BP303" s="3"/>
      <c r="BQ303" s="3"/>
      <c r="BR303" s="3"/>
      <c r="BS303" s="3"/>
      <c r="BT303" s="3"/>
      <c r="BU303" s="3"/>
      <c r="BV303" s="3"/>
      <c r="BW303" s="83"/>
      <c r="BX303" s="3"/>
      <c r="BY303" s="83"/>
      <c r="BZ303" s="3"/>
      <c r="CA303" s="3"/>
      <c r="CB303" s="3"/>
      <c r="CC303" s="3"/>
      <c r="CD303" s="3"/>
      <c r="CE303" s="3"/>
    </row>
    <row r="304" spans="1:83" ht="24" customHeight="1" x14ac:dyDescent="0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8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83"/>
      <c r="AF304" s="3"/>
      <c r="AG304" s="8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83"/>
      <c r="BN304" s="3"/>
      <c r="BO304" s="83"/>
      <c r="BP304" s="3"/>
      <c r="BQ304" s="3"/>
      <c r="BR304" s="3"/>
      <c r="BS304" s="3"/>
      <c r="BT304" s="3"/>
      <c r="BU304" s="3"/>
      <c r="BV304" s="3"/>
      <c r="BW304" s="83"/>
      <c r="BX304" s="3"/>
      <c r="BY304" s="83"/>
      <c r="BZ304" s="3"/>
      <c r="CA304" s="3"/>
      <c r="CB304" s="3"/>
      <c r="CC304" s="3"/>
      <c r="CD304" s="3"/>
      <c r="CE304" s="3"/>
    </row>
    <row r="305" spans="1:83" ht="24" customHeight="1" x14ac:dyDescent="0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8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83"/>
      <c r="AF305" s="3"/>
      <c r="AG305" s="8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83"/>
      <c r="BN305" s="3"/>
      <c r="BO305" s="83"/>
      <c r="BP305" s="3"/>
      <c r="BQ305" s="3"/>
      <c r="BR305" s="3"/>
      <c r="BS305" s="3"/>
      <c r="BT305" s="3"/>
      <c r="BU305" s="3"/>
      <c r="BV305" s="3"/>
      <c r="BW305" s="83"/>
      <c r="BX305" s="3"/>
      <c r="BY305" s="83"/>
      <c r="BZ305" s="3"/>
      <c r="CA305" s="3"/>
      <c r="CB305" s="3"/>
      <c r="CC305" s="3"/>
      <c r="CD305" s="3"/>
      <c r="CE305" s="3"/>
    </row>
    <row r="306" spans="1:83" ht="24" customHeight="1" x14ac:dyDescent="0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8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83"/>
      <c r="AF306" s="3"/>
      <c r="AG306" s="8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83"/>
      <c r="BN306" s="3"/>
      <c r="BO306" s="83"/>
      <c r="BP306" s="3"/>
      <c r="BQ306" s="3"/>
      <c r="BR306" s="3"/>
      <c r="BS306" s="3"/>
      <c r="BT306" s="3"/>
      <c r="BU306" s="3"/>
      <c r="BV306" s="3"/>
      <c r="BW306" s="83"/>
      <c r="BX306" s="3"/>
      <c r="BY306" s="83"/>
      <c r="BZ306" s="3"/>
      <c r="CA306" s="3"/>
      <c r="CB306" s="3"/>
      <c r="CC306" s="3"/>
      <c r="CD306" s="3"/>
      <c r="CE306" s="3"/>
    </row>
    <row r="307" spans="1:83" ht="24" customHeight="1" x14ac:dyDescent="0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8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83"/>
      <c r="AF307" s="3"/>
      <c r="AG307" s="8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83"/>
      <c r="BN307" s="3"/>
      <c r="BO307" s="83"/>
      <c r="BP307" s="3"/>
      <c r="BQ307" s="3"/>
      <c r="BR307" s="3"/>
      <c r="BS307" s="3"/>
      <c r="BT307" s="3"/>
      <c r="BU307" s="3"/>
      <c r="BV307" s="3"/>
      <c r="BW307" s="83"/>
      <c r="BX307" s="3"/>
      <c r="BY307" s="83"/>
      <c r="BZ307" s="3"/>
      <c r="CA307" s="3"/>
      <c r="CB307" s="3"/>
      <c r="CC307" s="3"/>
      <c r="CD307" s="3"/>
      <c r="CE307" s="3"/>
    </row>
    <row r="308" spans="1:83" ht="24" customHeight="1" x14ac:dyDescent="0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8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83"/>
      <c r="AF308" s="3"/>
      <c r="AG308" s="8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83"/>
      <c r="BN308" s="3"/>
      <c r="BO308" s="83"/>
      <c r="BP308" s="3"/>
      <c r="BQ308" s="3"/>
      <c r="BR308" s="3"/>
      <c r="BS308" s="3"/>
      <c r="BT308" s="3"/>
      <c r="BU308" s="3"/>
      <c r="BV308" s="3"/>
      <c r="BW308" s="83"/>
      <c r="BX308" s="3"/>
      <c r="BY308" s="83"/>
      <c r="BZ308" s="3"/>
      <c r="CA308" s="3"/>
      <c r="CB308" s="3"/>
      <c r="CC308" s="3"/>
      <c r="CD308" s="3"/>
      <c r="CE308" s="3"/>
    </row>
    <row r="309" spans="1:83" ht="24" customHeight="1" x14ac:dyDescent="0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8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83"/>
      <c r="AF309" s="3"/>
      <c r="AG309" s="8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83"/>
      <c r="BN309" s="3"/>
      <c r="BO309" s="83"/>
      <c r="BP309" s="3"/>
      <c r="BQ309" s="3"/>
      <c r="BR309" s="3"/>
      <c r="BS309" s="3"/>
      <c r="BT309" s="3"/>
      <c r="BU309" s="3"/>
      <c r="BV309" s="3"/>
      <c r="BW309" s="83"/>
      <c r="BX309" s="3"/>
      <c r="BY309" s="83"/>
      <c r="BZ309" s="3"/>
      <c r="CA309" s="3"/>
      <c r="CB309" s="3"/>
      <c r="CC309" s="3"/>
      <c r="CD309" s="3"/>
      <c r="CE309" s="3"/>
    </row>
    <row r="310" spans="1:83" ht="24" customHeight="1" x14ac:dyDescent="0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8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83"/>
      <c r="AF310" s="3"/>
      <c r="AG310" s="8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83"/>
      <c r="BN310" s="3"/>
      <c r="BO310" s="83"/>
      <c r="BP310" s="3"/>
      <c r="BQ310" s="3"/>
      <c r="BR310" s="3"/>
      <c r="BS310" s="3"/>
      <c r="BT310" s="3"/>
      <c r="BU310" s="3"/>
      <c r="BV310" s="3"/>
      <c r="BW310" s="83"/>
      <c r="BX310" s="3"/>
      <c r="BY310" s="83"/>
      <c r="BZ310" s="3"/>
      <c r="CA310" s="3"/>
      <c r="CB310" s="3"/>
      <c r="CC310" s="3"/>
      <c r="CD310" s="3"/>
      <c r="CE310" s="3"/>
    </row>
    <row r="311" spans="1:83" ht="24" customHeight="1" x14ac:dyDescent="0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8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83"/>
      <c r="AF311" s="3"/>
      <c r="AG311" s="8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83"/>
      <c r="BN311" s="3"/>
      <c r="BO311" s="83"/>
      <c r="BP311" s="3"/>
      <c r="BQ311" s="3"/>
      <c r="BR311" s="3"/>
      <c r="BS311" s="3"/>
      <c r="BT311" s="3"/>
      <c r="BU311" s="3"/>
      <c r="BV311" s="3"/>
      <c r="BW311" s="83"/>
      <c r="BX311" s="3"/>
      <c r="BY311" s="83"/>
      <c r="BZ311" s="3"/>
      <c r="CA311" s="3"/>
      <c r="CB311" s="3"/>
      <c r="CC311" s="3"/>
      <c r="CD311" s="3"/>
      <c r="CE311" s="3"/>
    </row>
    <row r="312" spans="1:83" ht="24" customHeight="1" x14ac:dyDescent="0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8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83"/>
      <c r="AF312" s="3"/>
      <c r="AG312" s="8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83"/>
      <c r="BN312" s="3"/>
      <c r="BO312" s="83"/>
      <c r="BP312" s="3"/>
      <c r="BQ312" s="3"/>
      <c r="BR312" s="3"/>
      <c r="BS312" s="3"/>
      <c r="BT312" s="3"/>
      <c r="BU312" s="3"/>
      <c r="BV312" s="3"/>
      <c r="BW312" s="83"/>
      <c r="BX312" s="3"/>
      <c r="BY312" s="83"/>
      <c r="BZ312" s="3"/>
      <c r="CA312" s="3"/>
      <c r="CB312" s="3"/>
      <c r="CC312" s="3"/>
      <c r="CD312" s="3"/>
      <c r="CE312" s="3"/>
    </row>
    <row r="313" spans="1:83" ht="24" customHeight="1" x14ac:dyDescent="0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8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83"/>
      <c r="AF313" s="3"/>
      <c r="AG313" s="8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83"/>
      <c r="BN313" s="3"/>
      <c r="BO313" s="83"/>
      <c r="BP313" s="3"/>
      <c r="BQ313" s="3"/>
      <c r="BR313" s="3"/>
      <c r="BS313" s="3"/>
      <c r="BT313" s="3"/>
      <c r="BU313" s="3"/>
      <c r="BV313" s="3"/>
      <c r="BW313" s="83"/>
      <c r="BX313" s="3"/>
      <c r="BY313" s="83"/>
      <c r="BZ313" s="3"/>
      <c r="CA313" s="3"/>
      <c r="CB313" s="3"/>
      <c r="CC313" s="3"/>
      <c r="CD313" s="3"/>
      <c r="CE313" s="3"/>
    </row>
    <row r="314" spans="1:83" ht="24" customHeight="1" x14ac:dyDescent="0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8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83"/>
      <c r="AF314" s="3"/>
      <c r="AG314" s="8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83"/>
      <c r="BN314" s="3"/>
      <c r="BO314" s="83"/>
      <c r="BP314" s="3"/>
      <c r="BQ314" s="3"/>
      <c r="BR314" s="3"/>
      <c r="BS314" s="3"/>
      <c r="BT314" s="3"/>
      <c r="BU314" s="3"/>
      <c r="BV314" s="3"/>
      <c r="BW314" s="83"/>
      <c r="BX314" s="3"/>
      <c r="BY314" s="83"/>
      <c r="BZ314" s="3"/>
      <c r="CA314" s="3"/>
      <c r="CB314" s="3"/>
      <c r="CC314" s="3"/>
      <c r="CD314" s="3"/>
      <c r="CE314" s="3"/>
    </row>
  </sheetData>
  <mergeCells count="67">
    <mergeCell ref="CD7:CE7"/>
    <mergeCell ref="BH6:BI7"/>
    <mergeCell ref="BT6:BU7"/>
    <mergeCell ref="BL7:BO7"/>
    <mergeCell ref="BP7:BQ7"/>
    <mergeCell ref="BR7:BS7"/>
    <mergeCell ref="BV7:BY7"/>
    <mergeCell ref="BZ7:CA7"/>
    <mergeCell ref="BL5:BU5"/>
    <mergeCell ref="BV5:CE5"/>
    <mergeCell ref="BV6:CE6"/>
    <mergeCell ref="A2:B6"/>
    <mergeCell ref="AR2:BI3"/>
    <mergeCell ref="BJ2:CE3"/>
    <mergeCell ref="AR4:BI4"/>
    <mergeCell ref="BJ4:CE4"/>
    <mergeCell ref="BL6:BS6"/>
    <mergeCell ref="BJ5:BK7"/>
    <mergeCell ref="AD6:AQ6"/>
    <mergeCell ref="AT6:AW7"/>
    <mergeCell ref="AX6:BC6"/>
    <mergeCell ref="BD6:BG6"/>
    <mergeCell ref="BF7:BG7"/>
    <mergeCell ref="CB7:CC7"/>
    <mergeCell ref="AB7:AC7"/>
    <mergeCell ref="J7:M7"/>
    <mergeCell ref="N7:O7"/>
    <mergeCell ref="H5:I7"/>
    <mergeCell ref="AT5:BI5"/>
    <mergeCell ref="AD7:AG7"/>
    <mergeCell ref="AH7:AI7"/>
    <mergeCell ref="AX7:AY7"/>
    <mergeCell ref="AZ7:BA7"/>
    <mergeCell ref="BB7:BC7"/>
    <mergeCell ref="BD7:BE7"/>
    <mergeCell ref="AD5:AQ5"/>
    <mergeCell ref="AR5:AS7"/>
    <mergeCell ref="AJ7:AK7"/>
    <mergeCell ref="AL7:AM7"/>
    <mergeCell ref="A76:B76"/>
    <mergeCell ref="A91:B91"/>
    <mergeCell ref="A106:B106"/>
    <mergeCell ref="C4:G5"/>
    <mergeCell ref="C6:E6"/>
    <mergeCell ref="F6:G6"/>
    <mergeCell ref="A7:B8"/>
    <mergeCell ref="D7:D8"/>
    <mergeCell ref="F7:G7"/>
    <mergeCell ref="A9:B9"/>
    <mergeCell ref="A15:B15"/>
    <mergeCell ref="A33:B33"/>
    <mergeCell ref="C2:S3"/>
    <mergeCell ref="H4:S4"/>
    <mergeCell ref="T2:AQ3"/>
    <mergeCell ref="T4:AQ4"/>
    <mergeCell ref="A54:B54"/>
    <mergeCell ref="J6:S6"/>
    <mergeCell ref="T6:AC6"/>
    <mergeCell ref="P7:Q7"/>
    <mergeCell ref="R7:S7"/>
    <mergeCell ref="T7:W7"/>
    <mergeCell ref="X7:Y7"/>
    <mergeCell ref="AN7:AO7"/>
    <mergeCell ref="AP7:AQ7"/>
    <mergeCell ref="J5:S5"/>
    <mergeCell ref="T5:AC5"/>
    <mergeCell ref="Z7:AA7"/>
  </mergeCells>
  <printOptions horizontalCentered="1"/>
  <pageMargins left="0.15" right="0.15" top="0.75" bottom="0.75" header="0.3" footer="0.3"/>
  <pageSetup paperSize="9" scale="60" orientation="landscape" r:id="rId1"/>
  <rowBreaks count="4" manualBreakCount="4">
    <brk id="32" max="16383" man="1"/>
    <brk id="53" max="16383" man="1"/>
    <brk id="75" max="16383" man="1"/>
    <brk id="90" max="16383" man="1"/>
  </rowBreaks>
  <colBreaks count="3" manualBreakCount="3">
    <brk id="19" max="1048575" man="1"/>
    <brk id="43" max="1048575" man="1"/>
    <brk id="61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D965"/>
  </sheetPr>
  <dimension ref="A1:Y1000"/>
  <sheetViews>
    <sheetView view="pageBreakPreview" topLeftCell="A7" zoomScale="130" zoomScaleNormal="100" zoomScaleSheetLayoutView="130" workbookViewId="0">
      <pane xSplit="2" topLeftCell="C1" activePane="topRight" state="frozen"/>
      <selection activeCell="Z5" sqref="Z5:AB6"/>
      <selection pane="topRight" activeCell="Z5" sqref="Z5:AB6"/>
    </sheetView>
  </sheetViews>
  <sheetFormatPr defaultColWidth="12.625" defaultRowHeight="24" customHeight="1" x14ac:dyDescent="0.5"/>
  <cols>
    <col min="1" max="1" width="4.375" style="6" customWidth="1"/>
    <col min="2" max="2" width="27.75" style="6" customWidth="1"/>
    <col min="3" max="6" width="10.75" style="6" customWidth="1"/>
    <col min="7" max="7" width="13.875" style="6" customWidth="1"/>
    <col min="8" max="10" width="15.125" style="6" customWidth="1"/>
    <col min="11" max="11" width="25.875" style="6" customWidth="1"/>
    <col min="12" max="16384" width="12.625" style="6"/>
  </cols>
  <sheetData>
    <row r="1" spans="1:25" ht="24" customHeight="1" thickBot="1" x14ac:dyDescent="0.55000000000000004">
      <c r="A1" s="257" t="s">
        <v>324</v>
      </c>
      <c r="B1" s="258"/>
      <c r="C1" s="319"/>
      <c r="D1" s="319"/>
      <c r="E1" s="319"/>
      <c r="F1" s="319"/>
      <c r="G1" s="319"/>
      <c r="H1" s="258"/>
      <c r="I1" s="431"/>
      <c r="J1" s="259"/>
      <c r="K1" s="43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</row>
    <row r="2" spans="1:25" ht="24" customHeight="1" x14ac:dyDescent="0.5">
      <c r="A2" s="752" t="s">
        <v>0</v>
      </c>
      <c r="B2" s="814"/>
      <c r="C2" s="753" t="s">
        <v>277</v>
      </c>
      <c r="D2" s="814"/>
      <c r="E2" s="814"/>
      <c r="F2" s="814"/>
      <c r="G2" s="814"/>
      <c r="H2" s="814"/>
      <c r="I2" s="814"/>
      <c r="J2" s="814"/>
      <c r="K2" s="755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24" customHeight="1" x14ac:dyDescent="0.5">
      <c r="A3" s="878"/>
      <c r="B3" s="853"/>
      <c r="C3" s="756"/>
      <c r="D3" s="669"/>
      <c r="E3" s="669"/>
      <c r="F3" s="669"/>
      <c r="G3" s="669"/>
      <c r="H3" s="669"/>
      <c r="I3" s="669"/>
      <c r="J3" s="669"/>
      <c r="K3" s="757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5" ht="24" customHeight="1" x14ac:dyDescent="0.5">
      <c r="A4" s="878"/>
      <c r="B4" s="853"/>
      <c r="C4" s="758" t="s">
        <v>202</v>
      </c>
      <c r="D4" s="817"/>
      <c r="E4" s="817"/>
      <c r="F4" s="817"/>
      <c r="G4" s="822"/>
      <c r="H4" s="856" t="s">
        <v>278</v>
      </c>
      <c r="I4" s="819"/>
      <c r="J4" s="819"/>
      <c r="K4" s="82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 ht="24" customHeight="1" x14ac:dyDescent="0.5">
      <c r="A5" s="878"/>
      <c r="B5" s="853"/>
      <c r="C5" s="756"/>
      <c r="D5" s="669"/>
      <c r="E5" s="669"/>
      <c r="F5" s="669"/>
      <c r="G5" s="824"/>
      <c r="H5" s="879" t="s">
        <v>16</v>
      </c>
      <c r="I5" s="881" t="s">
        <v>326</v>
      </c>
      <c r="J5" s="854"/>
      <c r="K5" s="882" t="s">
        <v>327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</row>
    <row r="6" spans="1:25" ht="24" customHeight="1" x14ac:dyDescent="0.5">
      <c r="A6" s="878"/>
      <c r="B6" s="853"/>
      <c r="C6" s="768" t="s">
        <v>6</v>
      </c>
      <c r="D6" s="819"/>
      <c r="E6" s="812"/>
      <c r="F6" s="835" t="s">
        <v>7</v>
      </c>
      <c r="G6" s="822"/>
      <c r="H6" s="880"/>
      <c r="I6" s="823"/>
      <c r="J6" s="824"/>
      <c r="K6" s="883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</row>
    <row r="7" spans="1:25" ht="24" customHeight="1" x14ac:dyDescent="0.5">
      <c r="A7" s="773" t="s">
        <v>207</v>
      </c>
      <c r="B7" s="767"/>
      <c r="C7" s="495" t="s">
        <v>12</v>
      </c>
      <c r="D7" s="885" t="s">
        <v>13</v>
      </c>
      <c r="E7" s="496" t="s">
        <v>14</v>
      </c>
      <c r="F7" s="838" t="s">
        <v>15</v>
      </c>
      <c r="G7" s="824"/>
      <c r="H7" s="880"/>
      <c r="I7" s="847" t="s">
        <v>17</v>
      </c>
      <c r="J7" s="819"/>
      <c r="K7" s="820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</row>
    <row r="8" spans="1:25" ht="24" customHeight="1" thickBot="1" x14ac:dyDescent="0.55000000000000004">
      <c r="A8" s="775"/>
      <c r="B8" s="884"/>
      <c r="C8" s="427"/>
      <c r="D8" s="683"/>
      <c r="E8" s="428"/>
      <c r="F8" s="14" t="s">
        <v>18</v>
      </c>
      <c r="G8" s="14" t="s">
        <v>19</v>
      </c>
      <c r="H8" s="497" t="s">
        <v>22</v>
      </c>
      <c r="I8" s="429" t="s">
        <v>21</v>
      </c>
      <c r="J8" s="430" t="s">
        <v>19</v>
      </c>
      <c r="K8" s="498" t="s">
        <v>21</v>
      </c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</row>
    <row r="9" spans="1:25" ht="24" customHeight="1" x14ac:dyDescent="0.5">
      <c r="A9" s="886" t="s">
        <v>24</v>
      </c>
      <c r="B9" s="669"/>
      <c r="C9" s="326">
        <f t="shared" ref="C9:E9" si="0">C10+C11</f>
        <v>4016300</v>
      </c>
      <c r="D9" s="432">
        <f t="shared" si="0"/>
        <v>0</v>
      </c>
      <c r="E9" s="267">
        <f t="shared" si="0"/>
        <v>4016300</v>
      </c>
      <c r="F9" s="242">
        <f ca="1">+F10+F11</f>
        <v>288270.02</v>
      </c>
      <c r="G9" s="243">
        <f t="shared" ref="G9:G114" ca="1" si="1">IF(C9&gt;0,F9*100/C9,0)</f>
        <v>7.1775021786221149</v>
      </c>
      <c r="H9" s="499">
        <f t="shared" ref="H9:I9" si="2">+H10</f>
        <v>1584</v>
      </c>
      <c r="I9" s="500">
        <f t="shared" ca="1" si="2"/>
        <v>291</v>
      </c>
      <c r="J9" s="501">
        <f t="shared" ref="J9:J10" ca="1" si="3">IF(H9&gt;0,I9*100/H9,0)</f>
        <v>18.371212121212121</v>
      </c>
      <c r="K9" s="413">
        <f ca="1">+K10</f>
        <v>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4" customHeight="1" x14ac:dyDescent="0.5">
      <c r="A10" s="502" t="s">
        <v>25</v>
      </c>
      <c r="B10" s="503"/>
      <c r="C10" s="248">
        <f t="shared" ref="C10:F10" si="4">+C15+C33+C54+C76</f>
        <v>2472520</v>
      </c>
      <c r="D10" s="481">
        <f t="shared" si="4"/>
        <v>0</v>
      </c>
      <c r="E10" s="481">
        <f t="shared" si="4"/>
        <v>2472520</v>
      </c>
      <c r="F10" s="481">
        <f t="shared" ca="1" si="4"/>
        <v>288270.02</v>
      </c>
      <c r="G10" s="482">
        <f t="shared" ca="1" si="1"/>
        <v>11.658956044844935</v>
      </c>
      <c r="H10" s="66">
        <f t="shared" ref="H10:I10" si="5">+H15+H33+H54+H76</f>
        <v>1584</v>
      </c>
      <c r="I10" s="66">
        <f t="shared" ca="1" si="5"/>
        <v>291</v>
      </c>
      <c r="J10" s="101">
        <f t="shared" ca="1" si="3"/>
        <v>18.371212121212121</v>
      </c>
      <c r="K10" s="414">
        <f ca="1">+K15+K33+K54+K76</f>
        <v>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spans="1:25" ht="24" customHeight="1" x14ac:dyDescent="0.5">
      <c r="A11" s="504" t="s">
        <v>26</v>
      </c>
      <c r="B11" s="34"/>
      <c r="C11" s="250">
        <f t="shared" ref="C11:F11" si="6">+C12+C13</f>
        <v>1543780</v>
      </c>
      <c r="D11" s="35">
        <f t="shared" si="6"/>
        <v>0</v>
      </c>
      <c r="E11" s="35">
        <f t="shared" si="6"/>
        <v>1543780</v>
      </c>
      <c r="F11" s="35">
        <f t="shared" si="6"/>
        <v>0</v>
      </c>
      <c r="G11" s="92">
        <f t="shared" si="1"/>
        <v>0</v>
      </c>
      <c r="H11" s="35">
        <f t="shared" ref="H11:I11" si="7">+H12+H13</f>
        <v>0</v>
      </c>
      <c r="I11" s="35">
        <f t="shared" si="7"/>
        <v>0</v>
      </c>
      <c r="J11" s="92">
        <f t="shared" ref="J11:J14" si="8">IF(H11&gt;0,#REF!*100/H11,0)</f>
        <v>0</v>
      </c>
      <c r="K11" s="415">
        <f>+K12+K13</f>
        <v>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5" ht="24" customHeight="1" x14ac:dyDescent="0.5">
      <c r="A12" s="504" t="s">
        <v>27</v>
      </c>
      <c r="B12" s="34"/>
      <c r="C12" s="250">
        <f t="shared" ref="C12:F12" si="9">+C91</f>
        <v>1543780</v>
      </c>
      <c r="D12" s="35">
        <f t="shared" si="9"/>
        <v>0</v>
      </c>
      <c r="E12" s="35">
        <f t="shared" si="9"/>
        <v>1543780</v>
      </c>
      <c r="F12" s="35">
        <f t="shared" si="9"/>
        <v>0</v>
      </c>
      <c r="G12" s="92">
        <f t="shared" si="1"/>
        <v>0</v>
      </c>
      <c r="H12" s="35">
        <f t="shared" ref="H12:I12" si="10">+H91</f>
        <v>0</v>
      </c>
      <c r="I12" s="35">
        <f t="shared" si="10"/>
        <v>0</v>
      </c>
      <c r="J12" s="92">
        <f t="shared" si="8"/>
        <v>0</v>
      </c>
      <c r="K12" s="415">
        <f>+K91</f>
        <v>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</row>
    <row r="13" spans="1:25" ht="24" customHeight="1" x14ac:dyDescent="0.5">
      <c r="A13" s="504" t="s">
        <v>28</v>
      </c>
      <c r="B13" s="34"/>
      <c r="C13" s="250">
        <f t="shared" ref="C13:E13" si="11">+C106</f>
        <v>0</v>
      </c>
      <c r="D13" s="35">
        <f t="shared" si="11"/>
        <v>0</v>
      </c>
      <c r="E13" s="35">
        <f t="shared" si="11"/>
        <v>0</v>
      </c>
      <c r="F13" s="35"/>
      <c r="G13" s="92">
        <f t="shared" si="1"/>
        <v>0</v>
      </c>
      <c r="H13" s="35">
        <f t="shared" ref="H13:I13" si="12">+H106</f>
        <v>0</v>
      </c>
      <c r="I13" s="35">
        <f t="shared" si="12"/>
        <v>0</v>
      </c>
      <c r="J13" s="92">
        <f t="shared" si="8"/>
        <v>0</v>
      </c>
      <c r="K13" s="415">
        <f>+K106</f>
        <v>0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1:25" ht="24" customHeight="1" x14ac:dyDescent="0.5">
      <c r="A14" s="505" t="s">
        <v>208</v>
      </c>
      <c r="B14" s="252"/>
      <c r="C14" s="253">
        <v>0</v>
      </c>
      <c r="D14" s="506">
        <v>0</v>
      </c>
      <c r="E14" s="506">
        <v>0</v>
      </c>
      <c r="F14" s="506"/>
      <c r="G14" s="507">
        <f t="shared" si="1"/>
        <v>0</v>
      </c>
      <c r="H14" s="506">
        <v>0</v>
      </c>
      <c r="I14" s="506">
        <v>0</v>
      </c>
      <c r="J14" s="507">
        <f t="shared" si="8"/>
        <v>0</v>
      </c>
      <c r="K14" s="416">
        <v>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</row>
    <row r="15" spans="1:25" ht="24" customHeight="1" x14ac:dyDescent="0.5">
      <c r="A15" s="566" t="s">
        <v>30</v>
      </c>
      <c r="B15" s="819"/>
      <c r="C15" s="255">
        <f t="shared" ref="C15:F15" si="13">SUM(C16:C32)</f>
        <v>595700</v>
      </c>
      <c r="D15" s="66">
        <f t="shared" si="13"/>
        <v>0</v>
      </c>
      <c r="E15" s="66">
        <f t="shared" si="13"/>
        <v>595700</v>
      </c>
      <c r="F15" s="101">
        <f t="shared" ca="1" si="13"/>
        <v>98130</v>
      </c>
      <c r="G15" s="101">
        <f t="shared" ca="1" si="1"/>
        <v>16.473056907839517</v>
      </c>
      <c r="H15" s="66">
        <f t="shared" ref="H15:I15" si="14">SUM(H16:H32)</f>
        <v>388</v>
      </c>
      <c r="I15" s="66">
        <f t="shared" ca="1" si="14"/>
        <v>90</v>
      </c>
      <c r="J15" s="101">
        <f t="shared" ref="J15:J90" ca="1" si="15">IF(H15&gt;0,I15*100/H15,0)</f>
        <v>23.195876288659793</v>
      </c>
      <c r="K15" s="414">
        <f ca="1">SUM(K16:K32)</f>
        <v>0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</row>
    <row r="16" spans="1:25" ht="24" customHeight="1" x14ac:dyDescent="0.5">
      <c r="A16" s="508">
        <v>1</v>
      </c>
      <c r="B16" s="269" t="s">
        <v>31</v>
      </c>
      <c r="C16" s="270">
        <f t="shared" ref="C16:C32" si="16">+D16+E16</f>
        <v>34350</v>
      </c>
      <c r="D16" s="48">
        <v>0</v>
      </c>
      <c r="E16" s="48">
        <v>34350</v>
      </c>
      <c r="F16" s="98">
        <f ca="1">IFERROR(__xludf.DUMMYFUNCTION("IMPORTRANGE(""https://docs.google.com/spreadsheets/d/11923uPwbBZFjjGgGUA6NLw09EwE0CqkOc4q9oUmW1yo/edit?usp=sharing"",""กำแพงเพชร!M428"")"),0)</f>
        <v>0</v>
      </c>
      <c r="G16" s="98">
        <f t="shared" ca="1" si="1"/>
        <v>0</v>
      </c>
      <c r="H16" s="398">
        <v>22</v>
      </c>
      <c r="I16" s="48">
        <f ca="1">IFERROR(__xludf.DUMMYFUNCTION("IMPORTRANGE(""https://docs.google.com/spreadsheets/d/11923uPwbBZFjjGgGUA6NLw09EwE0CqkOc4q9oUmW1yo/edit?usp=sharing"",""กำแพงเพชร!J440"")"),0)</f>
        <v>0</v>
      </c>
      <c r="J16" s="399">
        <f t="shared" ca="1" si="15"/>
        <v>0</v>
      </c>
      <c r="K16" s="420">
        <f ca="1">IFERROR(__xludf.DUMMYFUNCTION("IMPORTRANGE(""https://docs.google.com/spreadsheets/d/11923uPwbBZFjjGgGUA6NLw09EwE0CqkOc4q9oUmW1yo/edit?usp=sharing"",""กำแพงเพชร!J441"")"),0)</f>
        <v>0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</row>
    <row r="17" spans="1:25" ht="24" customHeight="1" x14ac:dyDescent="0.5">
      <c r="A17" s="509">
        <v>2</v>
      </c>
      <c r="B17" s="274" t="s">
        <v>32</v>
      </c>
      <c r="C17" s="275">
        <f t="shared" si="16"/>
        <v>41150</v>
      </c>
      <c r="D17" s="55">
        <v>0</v>
      </c>
      <c r="E17" s="55">
        <v>41150</v>
      </c>
      <c r="F17" s="99">
        <f ca="1">IFERROR(__xludf.DUMMYFUNCTION("IMPORTRANGE(""https://docs.google.com/spreadsheets/d/11923uPwbBZFjjGgGUA6NLw09EwE0CqkOc4q9oUmW1yo/edit?usp=sharing"",""เชียงราย!M428"")"),0)</f>
        <v>0</v>
      </c>
      <c r="G17" s="99">
        <f t="shared" ca="1" si="1"/>
        <v>0</v>
      </c>
      <c r="H17" s="402">
        <v>30</v>
      </c>
      <c r="I17" s="55">
        <f ca="1">IFERROR(__xludf.DUMMYFUNCTION("IMPORTRANGE(""https://docs.google.com/spreadsheets/d/11923uPwbBZFjjGgGUA6NLw09EwE0CqkOc4q9oUmW1yo/edit?usp=sharing"",""เชียงราย!J440"")"),0)</f>
        <v>0</v>
      </c>
      <c r="J17" s="403">
        <f t="shared" ca="1" si="15"/>
        <v>0</v>
      </c>
      <c r="K17" s="422">
        <f ca="1">IFERROR(__xludf.DUMMYFUNCTION("IMPORTRANGE(""https://docs.google.com/spreadsheets/d/11923uPwbBZFjjGgGUA6NLw09EwE0CqkOc4q9oUmW1yo/edit?usp=sharing"",""เชียงราย!J441"")"),0)</f>
        <v>0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24" customHeight="1" x14ac:dyDescent="0.5">
      <c r="A18" s="509">
        <v>3</v>
      </c>
      <c r="B18" s="274" t="s">
        <v>33</v>
      </c>
      <c r="C18" s="275">
        <f t="shared" si="16"/>
        <v>37740</v>
      </c>
      <c r="D18" s="55">
        <v>0</v>
      </c>
      <c r="E18" s="55">
        <v>37740</v>
      </c>
      <c r="F18" s="99">
        <f ca="1">IFERROR(__xludf.DUMMYFUNCTION("IMPORTRANGE(""https://docs.google.com/spreadsheets/d/11923uPwbBZFjjGgGUA6NLw09EwE0CqkOc4q9oUmW1yo/edit?usp=sharing"",""เชียงใหม่!M428"")"),2100)</f>
        <v>2100</v>
      </c>
      <c r="G18" s="99">
        <f t="shared" ca="1" si="1"/>
        <v>5.5643879173290935</v>
      </c>
      <c r="H18" s="402">
        <v>26</v>
      </c>
      <c r="I18" s="55">
        <f ca="1">IFERROR(__xludf.DUMMYFUNCTION("IMPORTRANGE(""https://docs.google.com/spreadsheets/d/11923uPwbBZFjjGgGUA6NLw09EwE0CqkOc4q9oUmW1yo/edit?usp=sharing"",""เชียงใหม่!J440"")"),0)</f>
        <v>0</v>
      </c>
      <c r="J18" s="403">
        <f t="shared" ca="1" si="15"/>
        <v>0</v>
      </c>
      <c r="K18" s="422">
        <f ca="1">IFERROR(__xludf.DUMMYFUNCTION("IMPORTRANGE(""https://docs.google.com/spreadsheets/d/11923uPwbBZFjjGgGUA6NLw09EwE0CqkOc4q9oUmW1yo/edit?usp=sharing"",""เชียงใหม่!J441"")"),0)</f>
        <v>0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24" customHeight="1" x14ac:dyDescent="0.5">
      <c r="A19" s="509">
        <v>4</v>
      </c>
      <c r="B19" s="274" t="s">
        <v>34</v>
      </c>
      <c r="C19" s="275">
        <f t="shared" si="16"/>
        <v>34340</v>
      </c>
      <c r="D19" s="55">
        <v>0</v>
      </c>
      <c r="E19" s="55">
        <v>34340</v>
      </c>
      <c r="F19" s="99">
        <f ca="1">IFERROR(__xludf.DUMMYFUNCTION("IMPORTRANGE(""https://docs.google.com/spreadsheets/d/11923uPwbBZFjjGgGUA6NLw09EwE0CqkOc4q9oUmW1yo/edit?usp=sharing"",""ตาก!M428"")"),14540)</f>
        <v>14540</v>
      </c>
      <c r="G19" s="99">
        <f t="shared" ca="1" si="1"/>
        <v>42.341292952824695</v>
      </c>
      <c r="H19" s="402">
        <v>22</v>
      </c>
      <c r="I19" s="55">
        <f ca="1">IFERROR(__xludf.DUMMYFUNCTION("IMPORTRANGE(""https://docs.google.com/spreadsheets/d/11923uPwbBZFjjGgGUA6NLw09EwE0CqkOc4q9oUmW1yo/edit?usp=sharing"",""ตาก!J440"")"),22)</f>
        <v>22</v>
      </c>
      <c r="J19" s="403">
        <f t="shared" ca="1" si="15"/>
        <v>100</v>
      </c>
      <c r="K19" s="422">
        <f ca="1">IFERROR(__xludf.DUMMYFUNCTION("IMPORTRANGE(""https://docs.google.com/spreadsheets/d/11923uPwbBZFjjGgGUA6NLw09EwE0CqkOc4q9oUmW1yo/edit?usp=sharing"",""ตาก!J441"")"),0)</f>
        <v>0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24" customHeight="1" x14ac:dyDescent="0.5">
      <c r="A20" s="509">
        <v>5</v>
      </c>
      <c r="B20" s="274" t="s">
        <v>35</v>
      </c>
      <c r="C20" s="275">
        <f t="shared" si="16"/>
        <v>34340</v>
      </c>
      <c r="D20" s="55">
        <v>0</v>
      </c>
      <c r="E20" s="55">
        <v>34340</v>
      </c>
      <c r="F20" s="99">
        <f ca="1">IFERROR(__xludf.DUMMYFUNCTION("IMPORTRANGE(""https://docs.google.com/spreadsheets/d/11923uPwbBZFjjGgGUA6NLw09EwE0CqkOc4q9oUmW1yo/edit?usp=sharing"",""นครสวรรค์!M428"")"),0)</f>
        <v>0</v>
      </c>
      <c r="G20" s="99">
        <f t="shared" ca="1" si="1"/>
        <v>0</v>
      </c>
      <c r="H20" s="402">
        <v>22</v>
      </c>
      <c r="I20" s="55">
        <f ca="1">IFERROR(__xludf.DUMMYFUNCTION("IMPORTRANGE(""https://docs.google.com/spreadsheets/d/11923uPwbBZFjjGgGUA6NLw09EwE0CqkOc4q9oUmW1yo/edit?usp=sharing"",""นครสวรรค์!J440"")"),0)</f>
        <v>0</v>
      </c>
      <c r="J20" s="403">
        <f t="shared" ca="1" si="15"/>
        <v>0</v>
      </c>
      <c r="K20" s="422">
        <f ca="1">IFERROR(__xludf.DUMMYFUNCTION("IMPORTRANGE(""https://docs.google.com/spreadsheets/d/11923uPwbBZFjjGgGUA6NLw09EwE0CqkOc4q9oUmW1yo/edit?usp=sharing"",""นครสวรรค์!J441"")"),0)</f>
        <v>0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24" customHeight="1" x14ac:dyDescent="0.5">
      <c r="A21" s="509">
        <v>6</v>
      </c>
      <c r="B21" s="274" t="s">
        <v>36</v>
      </c>
      <c r="C21" s="275">
        <f t="shared" si="16"/>
        <v>34340</v>
      </c>
      <c r="D21" s="55">
        <v>0</v>
      </c>
      <c r="E21" s="55">
        <v>34340</v>
      </c>
      <c r="F21" s="99">
        <f ca="1">IFERROR(__xludf.DUMMYFUNCTION("IMPORTRANGE(""https://docs.google.com/spreadsheets/d/11923uPwbBZFjjGgGUA6NLw09EwE0CqkOc4q9oUmW1yo/edit?usp=sharing"",""น่าน!M428"")"),5060)</f>
        <v>5060</v>
      </c>
      <c r="G21" s="99">
        <f t="shared" ca="1" si="1"/>
        <v>14.735002912055911</v>
      </c>
      <c r="H21" s="402">
        <v>22</v>
      </c>
      <c r="I21" s="55">
        <f ca="1">IFERROR(__xludf.DUMMYFUNCTION("IMPORTRANGE(""https://docs.google.com/spreadsheets/d/11923uPwbBZFjjGgGUA6NLw09EwE0CqkOc4q9oUmW1yo/edit?usp=sharing"",""น่าน!J440"")"),0)</f>
        <v>0</v>
      </c>
      <c r="J21" s="403">
        <f t="shared" ca="1" si="15"/>
        <v>0</v>
      </c>
      <c r="K21" s="422">
        <f ca="1">IFERROR(__xludf.DUMMYFUNCTION("IMPORTRANGE(""https://docs.google.com/spreadsheets/d/11923uPwbBZFjjGgGUA6NLw09EwE0CqkOc4q9oUmW1yo/edit?usp=sharing"",""น่าน!J441"")"),0)</f>
        <v>0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24" customHeight="1" x14ac:dyDescent="0.5">
      <c r="A22" s="509">
        <v>7</v>
      </c>
      <c r="B22" s="274" t="s">
        <v>37</v>
      </c>
      <c r="C22" s="275">
        <f t="shared" si="16"/>
        <v>34340</v>
      </c>
      <c r="D22" s="55">
        <v>0</v>
      </c>
      <c r="E22" s="55">
        <v>34340</v>
      </c>
      <c r="F22" s="99">
        <f ca="1">IFERROR(__xludf.DUMMYFUNCTION("IMPORTRANGE(""https://docs.google.com/spreadsheets/d/11923uPwbBZFjjGgGUA6NLw09EwE0CqkOc4q9oUmW1yo/edit?usp=sharing"",""พะเยา!M428"")"),6140)</f>
        <v>6140</v>
      </c>
      <c r="G22" s="99">
        <f t="shared" ca="1" si="1"/>
        <v>17.880023296447291</v>
      </c>
      <c r="H22" s="402">
        <v>22</v>
      </c>
      <c r="I22" s="55">
        <f ca="1">IFERROR(__xludf.DUMMYFUNCTION("IMPORTRANGE(""https://docs.google.com/spreadsheets/d/11923uPwbBZFjjGgGUA6NLw09EwE0CqkOc4q9oUmW1yo/edit?usp=sharing"",""พะเยา!J440"")"),0)</f>
        <v>0</v>
      </c>
      <c r="J22" s="403">
        <f t="shared" ca="1" si="15"/>
        <v>0</v>
      </c>
      <c r="K22" s="422">
        <f ca="1">IFERROR(__xludf.DUMMYFUNCTION("IMPORTRANGE(""https://docs.google.com/spreadsheets/d/11923uPwbBZFjjGgGUA6NLw09EwE0CqkOc4q9oUmW1yo/edit?usp=sharing"",""พะเยา!J441"")"),0)</f>
        <v>0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24" customHeight="1" x14ac:dyDescent="0.5">
      <c r="A23" s="509">
        <v>8</v>
      </c>
      <c r="B23" s="274" t="s">
        <v>38</v>
      </c>
      <c r="C23" s="275">
        <f t="shared" si="16"/>
        <v>34340</v>
      </c>
      <c r="D23" s="55">
        <v>0</v>
      </c>
      <c r="E23" s="55">
        <v>34340</v>
      </c>
      <c r="F23" s="99">
        <f ca="1">IFERROR(__xludf.DUMMYFUNCTION("IMPORTRANGE(""https://docs.google.com/spreadsheets/d/11923uPwbBZFjjGgGUA6NLw09EwE0CqkOc4q9oUmW1yo/edit?usp=sharing"",""พิจิตร!M428"")"),1000)</f>
        <v>1000</v>
      </c>
      <c r="G23" s="99">
        <f t="shared" ca="1" si="1"/>
        <v>2.9120559114735003</v>
      </c>
      <c r="H23" s="402">
        <v>22</v>
      </c>
      <c r="I23" s="55">
        <f ca="1">IFERROR(__xludf.DUMMYFUNCTION("IMPORTRANGE(""https://docs.google.com/spreadsheets/d/11923uPwbBZFjjGgGUA6NLw09EwE0CqkOc4q9oUmW1yo/edit?usp=sharing"",""พิจิตร!J440"")"),0)</f>
        <v>0</v>
      </c>
      <c r="J23" s="403">
        <f t="shared" ca="1" si="15"/>
        <v>0</v>
      </c>
      <c r="K23" s="422">
        <f ca="1">IFERROR(__xludf.DUMMYFUNCTION("IMPORTRANGE(""https://docs.google.com/spreadsheets/d/11923uPwbBZFjjGgGUA6NLw09EwE0CqkOc4q9oUmW1yo/edit?usp=sharing"",""พิจิตร!J441"")"),0)</f>
        <v>0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24" customHeight="1" x14ac:dyDescent="0.5">
      <c r="A24" s="509">
        <v>9</v>
      </c>
      <c r="B24" s="274" t="s">
        <v>39</v>
      </c>
      <c r="C24" s="275">
        <f t="shared" si="16"/>
        <v>34340</v>
      </c>
      <c r="D24" s="55">
        <v>0</v>
      </c>
      <c r="E24" s="55">
        <v>34340</v>
      </c>
      <c r="F24" s="99">
        <f ca="1">IFERROR(__xludf.DUMMYFUNCTION("IMPORTRANGE(""https://docs.google.com/spreadsheets/d/11923uPwbBZFjjGgGUA6NLw09EwE0CqkOc4q9oUmW1yo/edit?usp=sharing"",""พิษณุโลก!M428"")"),0)</f>
        <v>0</v>
      </c>
      <c r="G24" s="99">
        <f t="shared" ca="1" si="1"/>
        <v>0</v>
      </c>
      <c r="H24" s="402">
        <v>22</v>
      </c>
      <c r="I24" s="55">
        <f ca="1">IFERROR(__xludf.DUMMYFUNCTION("IMPORTRANGE(""https://docs.google.com/spreadsheets/d/11923uPwbBZFjjGgGUA6NLw09EwE0CqkOc4q9oUmW1yo/edit?usp=sharing"",""พิษณุโลก!J440"")"),0)</f>
        <v>0</v>
      </c>
      <c r="J24" s="403">
        <f t="shared" ca="1" si="15"/>
        <v>0</v>
      </c>
      <c r="K24" s="422">
        <f ca="1">IFERROR(__xludf.DUMMYFUNCTION("IMPORTRANGE(""https://docs.google.com/spreadsheets/d/11923uPwbBZFjjGgGUA6NLw09EwE0CqkOc4q9oUmW1yo/edit?usp=sharing"",""พิษณุโลก!J441"")"),0)</f>
        <v>0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24" customHeight="1" x14ac:dyDescent="0.5">
      <c r="A25" s="509">
        <v>10</v>
      </c>
      <c r="B25" s="274" t="s">
        <v>40</v>
      </c>
      <c r="C25" s="275">
        <f t="shared" si="16"/>
        <v>34340</v>
      </c>
      <c r="D25" s="55">
        <v>0</v>
      </c>
      <c r="E25" s="55">
        <v>34340</v>
      </c>
      <c r="F25" s="99">
        <f ca="1">IFERROR(__xludf.DUMMYFUNCTION("IMPORTRANGE(""https://docs.google.com/spreadsheets/d/11923uPwbBZFjjGgGUA6NLw09EwE0CqkOc4q9oUmW1yo/edit?usp=sharing"",""เพชรบูรณ์!M428"")"),17161)</f>
        <v>17161</v>
      </c>
      <c r="G25" s="99">
        <f t="shared" ca="1" si="1"/>
        <v>49.973791496796736</v>
      </c>
      <c r="H25" s="402">
        <v>22</v>
      </c>
      <c r="I25" s="55">
        <f ca="1">IFERROR(__xludf.DUMMYFUNCTION("IMPORTRANGE(""https://docs.google.com/spreadsheets/d/11923uPwbBZFjjGgGUA6NLw09EwE0CqkOc4q9oUmW1yo/edit?usp=sharing"",""เพชรบูรณ์!J440"")"),22)</f>
        <v>22</v>
      </c>
      <c r="J25" s="403">
        <f t="shared" ca="1" si="15"/>
        <v>100</v>
      </c>
      <c r="K25" s="422">
        <f ca="1">IFERROR(__xludf.DUMMYFUNCTION("IMPORTRANGE(""https://docs.google.com/spreadsheets/d/11923uPwbBZFjjGgGUA6NLw09EwE0CqkOc4q9oUmW1yo/edit?usp=sharing"",""เพชรบูรณ์!J441"")"),0)</f>
        <v>0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24" customHeight="1" x14ac:dyDescent="0.5">
      <c r="A26" s="509">
        <v>11</v>
      </c>
      <c r="B26" s="274" t="s">
        <v>41</v>
      </c>
      <c r="C26" s="275">
        <f t="shared" si="16"/>
        <v>34340</v>
      </c>
      <c r="D26" s="55">
        <v>0</v>
      </c>
      <c r="E26" s="55">
        <v>34340</v>
      </c>
      <c r="F26" s="99">
        <f ca="1">IFERROR(__xludf.DUMMYFUNCTION("IMPORTRANGE(""https://docs.google.com/spreadsheets/d/11923uPwbBZFjjGgGUA6NLw09EwE0CqkOc4q9oUmW1yo/edit?usp=sharing"",""แพร่!M428"")"),0)</f>
        <v>0</v>
      </c>
      <c r="G26" s="99">
        <f t="shared" ca="1" si="1"/>
        <v>0</v>
      </c>
      <c r="H26" s="402">
        <v>22</v>
      </c>
      <c r="I26" s="55">
        <f ca="1">IFERROR(__xludf.DUMMYFUNCTION("IMPORTRANGE(""https://docs.google.com/spreadsheets/d/11923uPwbBZFjjGgGUA6NLw09EwE0CqkOc4q9oUmW1yo/edit?usp=sharing"",""แพร่!J440"")"),0)</f>
        <v>0</v>
      </c>
      <c r="J26" s="403">
        <f t="shared" ca="1" si="15"/>
        <v>0</v>
      </c>
      <c r="K26" s="422">
        <f ca="1">IFERROR(__xludf.DUMMYFUNCTION("IMPORTRANGE(""https://docs.google.com/spreadsheets/d/11923uPwbBZFjjGgGUA6NLw09EwE0CqkOc4q9oUmW1yo/edit?usp=sharing"",""แพร่!J441"")"),0)</f>
        <v>0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spans="1:25" ht="24" customHeight="1" x14ac:dyDescent="0.5">
      <c r="A27" s="509">
        <v>12</v>
      </c>
      <c r="B27" s="274" t="s">
        <v>42</v>
      </c>
      <c r="C27" s="275">
        <f t="shared" si="16"/>
        <v>34340</v>
      </c>
      <c r="D27" s="55">
        <v>0</v>
      </c>
      <c r="E27" s="55">
        <v>34340</v>
      </c>
      <c r="F27" s="99">
        <f ca="1">IFERROR(__xludf.DUMMYFUNCTION("IMPORTRANGE(""https://docs.google.com/spreadsheets/d/11923uPwbBZFjjGgGUA6NLw09EwE0CqkOc4q9oUmW1yo/edit?usp=sharing"",""แม่ฮ่องสอน!M428"")"),0)</f>
        <v>0</v>
      </c>
      <c r="G27" s="99">
        <f t="shared" ca="1" si="1"/>
        <v>0</v>
      </c>
      <c r="H27" s="402">
        <v>22</v>
      </c>
      <c r="I27" s="55">
        <f ca="1">IFERROR(__xludf.DUMMYFUNCTION("IMPORTRANGE(""https://docs.google.com/spreadsheets/d/11923uPwbBZFjjGgGUA6NLw09EwE0CqkOc4q9oUmW1yo/edit?usp=sharing"",""แม่ฮ่องสอน!J440"")"),0)</f>
        <v>0</v>
      </c>
      <c r="J27" s="403">
        <f t="shared" ca="1" si="15"/>
        <v>0</v>
      </c>
      <c r="K27" s="422">
        <f ca="1">IFERROR(__xludf.DUMMYFUNCTION("IMPORTRANGE(""https://docs.google.com/spreadsheets/d/11923uPwbBZFjjGgGUA6NLw09EwE0CqkOc4q9oUmW1yo/edit?usp=sharing"",""แม่ฮ่องสอน!J441"")"),0)</f>
        <v>0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1:25" ht="24" customHeight="1" x14ac:dyDescent="0.5">
      <c r="A28" s="509">
        <v>13</v>
      </c>
      <c r="B28" s="274" t="s">
        <v>43</v>
      </c>
      <c r="C28" s="275">
        <f t="shared" si="16"/>
        <v>34340</v>
      </c>
      <c r="D28" s="55">
        <v>0</v>
      </c>
      <c r="E28" s="55">
        <v>34340</v>
      </c>
      <c r="F28" s="99">
        <f ca="1">IFERROR(__xludf.DUMMYFUNCTION("IMPORTRANGE(""https://docs.google.com/spreadsheets/d/11923uPwbBZFjjGgGUA6NLw09EwE0CqkOc4q9oUmW1yo/edit?usp=sharing"",""ลำปาง!M428"")"),0)</f>
        <v>0</v>
      </c>
      <c r="G28" s="99">
        <f t="shared" ca="1" si="1"/>
        <v>0</v>
      </c>
      <c r="H28" s="402">
        <v>22</v>
      </c>
      <c r="I28" s="55">
        <f ca="1">IFERROR(__xludf.DUMMYFUNCTION("IMPORTRANGE(""https://docs.google.com/spreadsheets/d/11923uPwbBZFjjGgGUA6NLw09EwE0CqkOc4q9oUmW1yo/edit?usp=sharing"",""ลำปาง!J440"")"),0)</f>
        <v>0</v>
      </c>
      <c r="J28" s="403">
        <f t="shared" ca="1" si="15"/>
        <v>0</v>
      </c>
      <c r="K28" s="422">
        <f ca="1">IFERROR(__xludf.DUMMYFUNCTION("IMPORTRANGE(""https://docs.google.com/spreadsheets/d/11923uPwbBZFjjGgGUA6NLw09EwE0CqkOc4q9oUmW1yo/edit?usp=sharing"",""ลำปาง!J441"")"),0)</f>
        <v>0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24" customHeight="1" x14ac:dyDescent="0.5">
      <c r="A29" s="509">
        <v>14</v>
      </c>
      <c r="B29" s="274" t="s">
        <v>44</v>
      </c>
      <c r="C29" s="275">
        <f t="shared" si="16"/>
        <v>34340</v>
      </c>
      <c r="D29" s="55">
        <v>0</v>
      </c>
      <c r="E29" s="55">
        <v>34340</v>
      </c>
      <c r="F29" s="99">
        <f ca="1">IFERROR(__xludf.DUMMYFUNCTION("IMPORTRANGE(""https://docs.google.com/spreadsheets/d/11923uPwbBZFjjGgGUA6NLw09EwE0CqkOc4q9oUmW1yo/edit?usp=sharing"",""ลำพูน!M428"")"),0)</f>
        <v>0</v>
      </c>
      <c r="G29" s="99">
        <f t="shared" ca="1" si="1"/>
        <v>0</v>
      </c>
      <c r="H29" s="402">
        <v>22</v>
      </c>
      <c r="I29" s="55">
        <f ca="1">IFERROR(__xludf.DUMMYFUNCTION("IMPORTRANGE(""https://docs.google.com/spreadsheets/d/11923uPwbBZFjjGgGUA6NLw09EwE0CqkOc4q9oUmW1yo/edit?usp=sharing"",""ลำพูน!J440"")"),0)</f>
        <v>0</v>
      </c>
      <c r="J29" s="403">
        <f t="shared" ca="1" si="15"/>
        <v>0</v>
      </c>
      <c r="K29" s="422">
        <f ca="1">IFERROR(__xludf.DUMMYFUNCTION("IMPORTRANGE(""https://docs.google.com/spreadsheets/d/11923uPwbBZFjjGgGUA6NLw09EwE0CqkOc4q9oUmW1yo/edit?usp=sharing"",""ลำพูน!J441"")"),0)</f>
        <v>0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spans="1:25" ht="24" customHeight="1" x14ac:dyDescent="0.5">
      <c r="A30" s="509">
        <v>15</v>
      </c>
      <c r="B30" s="274" t="s">
        <v>45</v>
      </c>
      <c r="C30" s="275">
        <f t="shared" si="16"/>
        <v>34340</v>
      </c>
      <c r="D30" s="55">
        <v>0</v>
      </c>
      <c r="E30" s="55">
        <v>34340</v>
      </c>
      <c r="F30" s="99">
        <f ca="1">IFERROR(__xludf.DUMMYFUNCTION("IMPORTRANGE(""https://docs.google.com/spreadsheets/d/11923uPwbBZFjjGgGUA6NLw09EwE0CqkOc4q9oUmW1yo/edit?usp=sharing"",""สุโขทัย!M428"")"),0)</f>
        <v>0</v>
      </c>
      <c r="G30" s="99">
        <f t="shared" ca="1" si="1"/>
        <v>0</v>
      </c>
      <c r="H30" s="402">
        <v>22</v>
      </c>
      <c r="I30" s="55">
        <f ca="1">IFERROR(__xludf.DUMMYFUNCTION("IMPORTRANGE(""https://docs.google.com/spreadsheets/d/11923uPwbBZFjjGgGUA6NLw09EwE0CqkOc4q9oUmW1yo/edit?usp=sharing"",""สุโขทัย!J440"")"),0)</f>
        <v>0</v>
      </c>
      <c r="J30" s="403">
        <f t="shared" ca="1" si="15"/>
        <v>0</v>
      </c>
      <c r="K30" s="422">
        <f ca="1">IFERROR(__xludf.DUMMYFUNCTION("IMPORTRANGE(""https://docs.google.com/spreadsheets/d/11923uPwbBZFjjGgGUA6NLw09EwE0CqkOc4q9oUmW1yo/edit?usp=sharing"",""สุโขทัย!J441"")"),0)</f>
        <v>0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5" ht="24" customHeight="1" x14ac:dyDescent="0.5">
      <c r="A31" s="509">
        <v>16</v>
      </c>
      <c r="B31" s="274" t="s">
        <v>46</v>
      </c>
      <c r="C31" s="275">
        <f t="shared" si="16"/>
        <v>34340</v>
      </c>
      <c r="D31" s="55">
        <v>0</v>
      </c>
      <c r="E31" s="55">
        <v>34340</v>
      </c>
      <c r="F31" s="99">
        <f ca="1">IFERROR(__xludf.DUMMYFUNCTION("IMPORTRANGE(""https://docs.google.com/spreadsheets/d/11923uPwbBZFjjGgGUA6NLw09EwE0CqkOc4q9oUmW1yo/edit?usp=sharing"",""อุตรดิตถ์!M428"")"),21839)</f>
        <v>21839</v>
      </c>
      <c r="G31" s="99">
        <f t="shared" ca="1" si="1"/>
        <v>63.596389050669771</v>
      </c>
      <c r="H31" s="402">
        <v>22</v>
      </c>
      <c r="I31" s="55">
        <f ca="1">IFERROR(__xludf.DUMMYFUNCTION("IMPORTRANGE(""https://docs.google.com/spreadsheets/d/11923uPwbBZFjjGgGUA6NLw09EwE0CqkOc4q9oUmW1yo/edit?usp=sharing"",""อุตรดิตถ์!J440"")"),22)</f>
        <v>22</v>
      </c>
      <c r="J31" s="403">
        <f t="shared" ca="1" si="15"/>
        <v>100</v>
      </c>
      <c r="K31" s="422">
        <f ca="1">IFERROR(__xludf.DUMMYFUNCTION("IMPORTRANGE(""https://docs.google.com/spreadsheets/d/11923uPwbBZFjjGgGUA6NLw09EwE0CqkOc4q9oUmW1yo/edit?usp=sharing"",""อุตรดิตถ์!J441"")"),0)</f>
        <v>0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spans="1:25" ht="24" customHeight="1" x14ac:dyDescent="0.5">
      <c r="A32" s="510">
        <v>17</v>
      </c>
      <c r="B32" s="279" t="s">
        <v>47</v>
      </c>
      <c r="C32" s="280">
        <f t="shared" si="16"/>
        <v>36040</v>
      </c>
      <c r="D32" s="62">
        <v>0</v>
      </c>
      <c r="E32" s="62">
        <v>36040</v>
      </c>
      <c r="F32" s="100">
        <f ca="1">IFERROR(__xludf.DUMMYFUNCTION("IMPORTRANGE(""https://docs.google.com/spreadsheets/d/11923uPwbBZFjjGgGUA6NLw09EwE0CqkOc4q9oUmW1yo/edit?usp=sharing"",""อุทัยธานี!M428"")"),30290)</f>
        <v>30290</v>
      </c>
      <c r="G32" s="100">
        <f t="shared" ca="1" si="1"/>
        <v>84.04550499445061</v>
      </c>
      <c r="H32" s="406">
        <v>24</v>
      </c>
      <c r="I32" s="62">
        <f ca="1">IFERROR(__xludf.DUMMYFUNCTION("IMPORTRANGE(""https://docs.google.com/spreadsheets/d/11923uPwbBZFjjGgGUA6NLw09EwE0CqkOc4q9oUmW1yo/edit?usp=sharing"",""อุทัยธานี!J440"")"),24)</f>
        <v>24</v>
      </c>
      <c r="J32" s="407">
        <f t="shared" ca="1" si="15"/>
        <v>100</v>
      </c>
      <c r="K32" s="424">
        <f ca="1">IFERROR(__xludf.DUMMYFUNCTION("IMPORTRANGE(""https://docs.google.com/spreadsheets/d/11923uPwbBZFjjGgGUA6NLw09EwE0CqkOc4q9oUmW1yo/edit?usp=sharing"",""อุทัยธานี!J441"")"),0)</f>
        <v>0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ht="24" customHeight="1" x14ac:dyDescent="0.5">
      <c r="A33" s="670" t="s">
        <v>48</v>
      </c>
      <c r="B33" s="669"/>
      <c r="C33" s="255">
        <f t="shared" ref="C33:F33" si="17">SUM(C34:C53)</f>
        <v>705510</v>
      </c>
      <c r="D33" s="66">
        <f t="shared" si="17"/>
        <v>0</v>
      </c>
      <c r="E33" s="66">
        <f t="shared" si="17"/>
        <v>705510</v>
      </c>
      <c r="F33" s="101">
        <f t="shared" ca="1" si="17"/>
        <v>44470</v>
      </c>
      <c r="G33" s="101">
        <f t="shared" ca="1" si="1"/>
        <v>6.3032416266247111</v>
      </c>
      <c r="H33" s="66">
        <f t="shared" ref="H33:I33" si="18">SUM(H34:H53)</f>
        <v>462</v>
      </c>
      <c r="I33" s="66">
        <f t="shared" ca="1" si="18"/>
        <v>46</v>
      </c>
      <c r="J33" s="101">
        <f t="shared" ca="1" si="15"/>
        <v>9.9567099567099575</v>
      </c>
      <c r="K33" s="414">
        <f ca="1">SUM(K34:K53)</f>
        <v>0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:25" ht="24" customHeight="1" x14ac:dyDescent="0.5">
      <c r="A34" s="508">
        <v>1</v>
      </c>
      <c r="B34" s="269" t="s">
        <v>49</v>
      </c>
      <c r="C34" s="270">
        <f t="shared" ref="C34:C53" si="19">+D34+E34</f>
        <v>31800</v>
      </c>
      <c r="D34" s="48">
        <v>0</v>
      </c>
      <c r="E34" s="48">
        <v>31800</v>
      </c>
      <c r="F34" s="98">
        <f ca="1">IFERROR(__xludf.DUMMYFUNCTION("IMPORTRANGE(""https://docs.google.com/spreadsheets/d/1XL5vhW3sbDhbH9Cz0tuDiY8C3ctxq1tqvaCgkFb8cCA/edit?usp=sharing"",""กาฬสินธุ์!M428"")"),0)</f>
        <v>0</v>
      </c>
      <c r="G34" s="98">
        <f t="shared" ca="1" si="1"/>
        <v>0</v>
      </c>
      <c r="H34" s="398">
        <v>19</v>
      </c>
      <c r="I34" s="48">
        <f ca="1">IFERROR(__xludf.DUMMYFUNCTION("IMPORTRANGE(""https://docs.google.com/spreadsheets/d/1XL5vhW3sbDhbH9Cz0tuDiY8C3ctxq1tqvaCgkFb8cCA/edit?usp=sharing"",""กาฬสินธุ์!J440"")"),0)</f>
        <v>0</v>
      </c>
      <c r="J34" s="399">
        <f t="shared" ca="1" si="15"/>
        <v>0</v>
      </c>
      <c r="K34" s="420">
        <f ca="1">IFERROR(__xludf.DUMMYFUNCTION("IMPORTRANGE(""https://docs.google.com/spreadsheets/d/1XL5vhW3sbDhbH9Cz0tuDiY8C3ctxq1tqvaCgkFb8cCA/edit?usp=sharing"",""กาฬสินธุ์!J441"")"),0)</f>
        <v>0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24" customHeight="1" x14ac:dyDescent="0.5">
      <c r="A35" s="509">
        <v>2</v>
      </c>
      <c r="B35" s="274" t="s">
        <v>50</v>
      </c>
      <c r="C35" s="275">
        <f t="shared" si="19"/>
        <v>37740</v>
      </c>
      <c r="D35" s="55">
        <v>0</v>
      </c>
      <c r="E35" s="55">
        <v>37740</v>
      </c>
      <c r="F35" s="99">
        <f ca="1">IFERROR(__xludf.DUMMYFUNCTION("IMPORTRANGE(""https://docs.google.com/spreadsheets/d/1XL5vhW3sbDhbH9Cz0tuDiY8C3ctxq1tqvaCgkFb8cCA/edit?usp=sharing"",""ขอนแก่น!M428"")"),0)</f>
        <v>0</v>
      </c>
      <c r="G35" s="99">
        <f t="shared" ca="1" si="1"/>
        <v>0</v>
      </c>
      <c r="H35" s="402">
        <v>26</v>
      </c>
      <c r="I35" s="55">
        <f ca="1">IFERROR(__xludf.DUMMYFUNCTION("IMPORTRANGE(""https://docs.google.com/spreadsheets/d/1XL5vhW3sbDhbH9Cz0tuDiY8C3ctxq1tqvaCgkFb8cCA/edit?usp=sharing"",""ขอนแก่น!J440"")"),0)</f>
        <v>0</v>
      </c>
      <c r="J35" s="403">
        <f t="shared" ca="1" si="15"/>
        <v>0</v>
      </c>
      <c r="K35" s="422">
        <f ca="1">IFERROR(__xludf.DUMMYFUNCTION("IMPORTRANGE(""https://docs.google.com/spreadsheets/d/1XL5vhW3sbDhbH9Cz0tuDiY8C3ctxq1tqvaCgkFb8cCA/edit?usp=sharing"",""ขอนแก่น!J441"")"),0)</f>
        <v>0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ht="24" customHeight="1" x14ac:dyDescent="0.5">
      <c r="A36" s="509">
        <v>3</v>
      </c>
      <c r="B36" s="274" t="s">
        <v>51</v>
      </c>
      <c r="C36" s="275">
        <f t="shared" si="19"/>
        <v>37740</v>
      </c>
      <c r="D36" s="55">
        <v>0</v>
      </c>
      <c r="E36" s="55">
        <v>37740</v>
      </c>
      <c r="F36" s="99">
        <f ca="1">IFERROR(__xludf.DUMMYFUNCTION("IMPORTRANGE(""https://docs.google.com/spreadsheets/d/1XL5vhW3sbDhbH9Cz0tuDiY8C3ctxq1tqvaCgkFb8cCA/edit?usp=sharing"",""ชัยภูมิ!M428"")"),0)</f>
        <v>0</v>
      </c>
      <c r="G36" s="99">
        <f t="shared" ca="1" si="1"/>
        <v>0</v>
      </c>
      <c r="H36" s="402">
        <v>26</v>
      </c>
      <c r="I36" s="55">
        <f ca="1">IFERROR(__xludf.DUMMYFUNCTION("IMPORTRANGE(""https://docs.google.com/spreadsheets/d/1XL5vhW3sbDhbH9Cz0tuDiY8C3ctxq1tqvaCgkFb8cCA/edit?usp=sharing"",""ชัยภูมิ!J440"")"),0)</f>
        <v>0</v>
      </c>
      <c r="J36" s="403">
        <f t="shared" ca="1" si="15"/>
        <v>0</v>
      </c>
      <c r="K36" s="422">
        <f ca="1">IFERROR(__xludf.DUMMYFUNCTION("IMPORTRANGE(""https://docs.google.com/spreadsheets/d/1XL5vhW3sbDhbH9Cz0tuDiY8C3ctxq1tqvaCgkFb8cCA/edit?usp=sharing"",""ชัยภูมิ!J441"")"),0)</f>
        <v>0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ht="24" customHeight="1" x14ac:dyDescent="0.5">
      <c r="A37" s="509">
        <v>4</v>
      </c>
      <c r="B37" s="274" t="s">
        <v>52</v>
      </c>
      <c r="C37" s="275">
        <f t="shared" si="19"/>
        <v>34340</v>
      </c>
      <c r="D37" s="55">
        <v>0</v>
      </c>
      <c r="E37" s="55">
        <v>34340</v>
      </c>
      <c r="F37" s="99">
        <f ca="1">IFERROR(__xludf.DUMMYFUNCTION("IMPORTRANGE(""https://docs.google.com/spreadsheets/d/1XL5vhW3sbDhbH9Cz0tuDiY8C3ctxq1tqvaCgkFb8cCA/edit?usp=sharing"",""นครพนม!M428"")"),0)</f>
        <v>0</v>
      </c>
      <c r="G37" s="99">
        <f t="shared" ca="1" si="1"/>
        <v>0</v>
      </c>
      <c r="H37" s="402">
        <v>22</v>
      </c>
      <c r="I37" s="55">
        <f ca="1">IFERROR(__xludf.DUMMYFUNCTION("IMPORTRANGE(""https://docs.google.com/spreadsheets/d/1XL5vhW3sbDhbH9Cz0tuDiY8C3ctxq1tqvaCgkFb8cCA/edit?usp=sharing"",""นครพนม!J440"")"),0)</f>
        <v>0</v>
      </c>
      <c r="J37" s="403">
        <f t="shared" ca="1" si="15"/>
        <v>0</v>
      </c>
      <c r="K37" s="422">
        <f ca="1">IFERROR(__xludf.DUMMYFUNCTION("IMPORTRANGE(""https://docs.google.com/spreadsheets/d/1XL5vhW3sbDhbH9Cz0tuDiY8C3ctxq1tqvaCgkFb8cCA/edit?usp=sharing"",""นครพนม!J441"")"),0)</f>
        <v>0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:25" ht="24" customHeight="1" x14ac:dyDescent="0.5">
      <c r="A38" s="509">
        <v>5</v>
      </c>
      <c r="B38" s="274" t="s">
        <v>53</v>
      </c>
      <c r="C38" s="275">
        <f t="shared" si="19"/>
        <v>36040</v>
      </c>
      <c r="D38" s="55">
        <v>0</v>
      </c>
      <c r="E38" s="55">
        <v>36040</v>
      </c>
      <c r="F38" s="99">
        <f ca="1">IFERROR(__xludf.DUMMYFUNCTION("IMPORTRANGE(""https://docs.google.com/spreadsheets/d/1XL5vhW3sbDhbH9Cz0tuDiY8C3ctxq1tqvaCgkFb8cCA/edit?usp=sharing"",""นครราชสีมา!M428"")"),26050)</f>
        <v>26050</v>
      </c>
      <c r="G38" s="99">
        <f t="shared" ca="1" si="1"/>
        <v>72.280799112097668</v>
      </c>
      <c r="H38" s="402">
        <v>24</v>
      </c>
      <c r="I38" s="55">
        <f ca="1">IFERROR(__xludf.DUMMYFUNCTION("IMPORTRANGE(""https://docs.google.com/spreadsheets/d/1XL5vhW3sbDhbH9Cz0tuDiY8C3ctxq1tqvaCgkFb8cCA/edit?usp=sharing"",""นครราชสีมา!J440"")"),24)</f>
        <v>24</v>
      </c>
      <c r="J38" s="403">
        <f t="shared" ca="1" si="15"/>
        <v>100</v>
      </c>
      <c r="K38" s="422">
        <f ca="1">IFERROR(__xludf.DUMMYFUNCTION("IMPORTRANGE(""https://docs.google.com/spreadsheets/d/1XL5vhW3sbDhbH9Cz0tuDiY8C3ctxq1tqvaCgkFb8cCA/edit?usp=sharing"",""นครราชสีมา!J441"")"),0)</f>
        <v>0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5" ht="24" customHeight="1" x14ac:dyDescent="0.5">
      <c r="A39" s="509">
        <v>6</v>
      </c>
      <c r="B39" s="274" t="s">
        <v>54</v>
      </c>
      <c r="C39" s="275">
        <f t="shared" si="19"/>
        <v>41140</v>
      </c>
      <c r="D39" s="55">
        <v>0</v>
      </c>
      <c r="E39" s="55">
        <v>41140</v>
      </c>
      <c r="F39" s="99">
        <f ca="1">IFERROR(__xludf.DUMMYFUNCTION("IMPORTRANGE(""https://docs.google.com/spreadsheets/d/1XL5vhW3sbDhbH9Cz0tuDiY8C3ctxq1tqvaCgkFb8cCA/edit?usp=sharing"",""บึงกาฬ!M428"")"),0)</f>
        <v>0</v>
      </c>
      <c r="G39" s="99">
        <f t="shared" ca="1" si="1"/>
        <v>0</v>
      </c>
      <c r="H39" s="402">
        <v>30</v>
      </c>
      <c r="I39" s="55">
        <f ca="1">IFERROR(__xludf.DUMMYFUNCTION("IMPORTRANGE(""https://docs.google.com/spreadsheets/d/1XL5vhW3sbDhbH9Cz0tuDiY8C3ctxq1tqvaCgkFb8cCA/edit?usp=sharing"",""บึงกาฬ!J440"")"),0)</f>
        <v>0</v>
      </c>
      <c r="J39" s="403">
        <f t="shared" ca="1" si="15"/>
        <v>0</v>
      </c>
      <c r="K39" s="422">
        <f ca="1">IFERROR(__xludf.DUMMYFUNCTION("IMPORTRANGE(""https://docs.google.com/spreadsheets/d/1XL5vhW3sbDhbH9Cz0tuDiY8C3ctxq1tqvaCgkFb8cCA/edit?usp=sharing"",""บึงกาฬ!J441"")"),0)</f>
        <v>0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5" ht="24" customHeight="1" x14ac:dyDescent="0.5">
      <c r="A40" s="509">
        <v>7</v>
      </c>
      <c r="B40" s="274" t="s">
        <v>55</v>
      </c>
      <c r="C40" s="275">
        <f t="shared" si="19"/>
        <v>34340</v>
      </c>
      <c r="D40" s="55">
        <v>0</v>
      </c>
      <c r="E40" s="55">
        <v>34340</v>
      </c>
      <c r="F40" s="99">
        <f ca="1">IFERROR(__xludf.DUMMYFUNCTION("IMPORTRANGE(""https://docs.google.com/spreadsheets/d/1XL5vhW3sbDhbH9Cz0tuDiY8C3ctxq1tqvaCgkFb8cCA/edit?usp=sharing"",""บุรีรัมย์!M428"")"),0)</f>
        <v>0</v>
      </c>
      <c r="G40" s="99">
        <f t="shared" ca="1" si="1"/>
        <v>0</v>
      </c>
      <c r="H40" s="402">
        <v>22</v>
      </c>
      <c r="I40" s="55">
        <f ca="1">IFERROR(__xludf.DUMMYFUNCTION("IMPORTRANGE(""https://docs.google.com/spreadsheets/d/1XL5vhW3sbDhbH9Cz0tuDiY8C3ctxq1tqvaCgkFb8cCA/edit?usp=sharing"",""บุรีรัมย์!J440"")"),0)</f>
        <v>0</v>
      </c>
      <c r="J40" s="403">
        <f t="shared" ca="1" si="15"/>
        <v>0</v>
      </c>
      <c r="K40" s="422">
        <f ca="1">IFERROR(__xludf.DUMMYFUNCTION("IMPORTRANGE(""https://docs.google.com/spreadsheets/d/1XL5vhW3sbDhbH9Cz0tuDiY8C3ctxq1tqvaCgkFb8cCA/edit?usp=sharing"",""บุรีรัมย์!J441"")"),0)</f>
        <v>0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1:25" ht="24" customHeight="1" x14ac:dyDescent="0.5">
      <c r="A41" s="509">
        <v>8</v>
      </c>
      <c r="B41" s="274" t="s">
        <v>56</v>
      </c>
      <c r="C41" s="275">
        <f t="shared" si="19"/>
        <v>34340</v>
      </c>
      <c r="D41" s="55">
        <v>0</v>
      </c>
      <c r="E41" s="55">
        <v>34340</v>
      </c>
      <c r="F41" s="99">
        <f ca="1">IFERROR(__xludf.DUMMYFUNCTION("IMPORTRANGE(""https://docs.google.com/spreadsheets/d/1XL5vhW3sbDhbH9Cz0tuDiY8C3ctxq1tqvaCgkFb8cCA/edit?usp=sharing"",""มหาสารคาม!M428"")"),0)</f>
        <v>0</v>
      </c>
      <c r="G41" s="99">
        <f t="shared" ca="1" si="1"/>
        <v>0</v>
      </c>
      <c r="H41" s="402">
        <v>22</v>
      </c>
      <c r="I41" s="55">
        <f ca="1">IFERROR(__xludf.DUMMYFUNCTION("IMPORTRANGE(""https://docs.google.com/spreadsheets/d/1XL5vhW3sbDhbH9Cz0tuDiY8C3ctxq1tqvaCgkFb8cCA/edit?usp=sharing"",""มหาสารคาม!J440"")"),0)</f>
        <v>0</v>
      </c>
      <c r="J41" s="403">
        <f t="shared" ca="1" si="15"/>
        <v>0</v>
      </c>
      <c r="K41" s="422">
        <f ca="1">IFERROR(__xludf.DUMMYFUNCTION("IMPORTRANGE(""https://docs.google.com/spreadsheets/d/1XL5vhW3sbDhbH9Cz0tuDiY8C3ctxq1tqvaCgkFb8cCA/edit?usp=sharing"",""มหาสารคาม!J441"")"),0)</f>
        <v>0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24" customHeight="1" x14ac:dyDescent="0.5">
      <c r="A42" s="509">
        <v>9</v>
      </c>
      <c r="B42" s="274" t="s">
        <v>57</v>
      </c>
      <c r="C42" s="275">
        <f t="shared" si="19"/>
        <v>34340</v>
      </c>
      <c r="D42" s="55">
        <v>0</v>
      </c>
      <c r="E42" s="55">
        <v>34340</v>
      </c>
      <c r="F42" s="99">
        <f ca="1">IFERROR(__xludf.DUMMYFUNCTION("IMPORTRANGE(""https://docs.google.com/spreadsheets/d/1XL5vhW3sbDhbH9Cz0tuDiY8C3ctxq1tqvaCgkFb8cCA/edit?usp=sharing"",""มุกดาหาร!M428"")"),18420)</f>
        <v>18420</v>
      </c>
      <c r="G42" s="99">
        <f t="shared" ca="1" si="1"/>
        <v>53.640069889341873</v>
      </c>
      <c r="H42" s="402">
        <v>22</v>
      </c>
      <c r="I42" s="55">
        <f ca="1">IFERROR(__xludf.DUMMYFUNCTION("IMPORTRANGE(""https://docs.google.com/spreadsheets/d/1XL5vhW3sbDhbH9Cz0tuDiY8C3ctxq1tqvaCgkFb8cCA/edit?usp=sharing"",""มุกดาหาร!J440"")"),22)</f>
        <v>22</v>
      </c>
      <c r="J42" s="403">
        <f t="shared" ca="1" si="15"/>
        <v>100</v>
      </c>
      <c r="K42" s="422">
        <f ca="1">IFERROR(__xludf.DUMMYFUNCTION("IMPORTRANGE(""https://docs.google.com/spreadsheets/d/1XL5vhW3sbDhbH9Cz0tuDiY8C3ctxq1tqvaCgkFb8cCA/edit?usp=sharing"",""มุกดาหาร!J441"")"),0)</f>
        <v>0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24" customHeight="1" x14ac:dyDescent="0.5">
      <c r="A43" s="509">
        <v>10</v>
      </c>
      <c r="B43" s="274" t="s">
        <v>58</v>
      </c>
      <c r="C43" s="275">
        <f t="shared" si="19"/>
        <v>34340</v>
      </c>
      <c r="D43" s="55">
        <v>0</v>
      </c>
      <c r="E43" s="55">
        <v>34340</v>
      </c>
      <c r="F43" s="99">
        <f ca="1">IFERROR(__xludf.DUMMYFUNCTION("IMPORTRANGE(""https://docs.google.com/spreadsheets/d/1XL5vhW3sbDhbH9Cz0tuDiY8C3ctxq1tqvaCgkFb8cCA/edit?usp=sharing"",""ยโสธร!M428"")"),0)</f>
        <v>0</v>
      </c>
      <c r="G43" s="99">
        <f t="shared" ca="1" si="1"/>
        <v>0</v>
      </c>
      <c r="H43" s="402">
        <v>22</v>
      </c>
      <c r="I43" s="55">
        <f ca="1">IFERROR(__xludf.DUMMYFUNCTION("IMPORTRANGE(""https://docs.google.com/spreadsheets/d/1XL5vhW3sbDhbH9Cz0tuDiY8C3ctxq1tqvaCgkFb8cCA/edit?usp=sharing"",""ยโสธร!J440"")"),0)</f>
        <v>0</v>
      </c>
      <c r="J43" s="403">
        <f t="shared" ca="1" si="15"/>
        <v>0</v>
      </c>
      <c r="K43" s="422">
        <f ca="1">IFERROR(__xludf.DUMMYFUNCTION("IMPORTRANGE(""https://docs.google.com/spreadsheets/d/1XL5vhW3sbDhbH9Cz0tuDiY8C3ctxq1tqvaCgkFb8cCA/edit?usp=sharing"",""ยโสธร!J441"")"),0)</f>
        <v>0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24" customHeight="1" x14ac:dyDescent="0.5">
      <c r="A44" s="509">
        <v>11</v>
      </c>
      <c r="B44" s="274" t="s">
        <v>59</v>
      </c>
      <c r="C44" s="275">
        <f t="shared" si="19"/>
        <v>34340</v>
      </c>
      <c r="D44" s="55">
        <v>0</v>
      </c>
      <c r="E44" s="55">
        <v>34340</v>
      </c>
      <c r="F44" s="99">
        <f ca="1">IFERROR(__xludf.DUMMYFUNCTION("IMPORTRANGE(""https://docs.google.com/spreadsheets/d/1XL5vhW3sbDhbH9Cz0tuDiY8C3ctxq1tqvaCgkFb8cCA/edit?usp=sharing"",""ร้อยเอ็ด!M428"")"),0)</f>
        <v>0</v>
      </c>
      <c r="G44" s="99">
        <f t="shared" ca="1" si="1"/>
        <v>0</v>
      </c>
      <c r="H44" s="402">
        <v>22</v>
      </c>
      <c r="I44" s="55">
        <f ca="1">IFERROR(__xludf.DUMMYFUNCTION("IMPORTRANGE(""https://docs.google.com/spreadsheets/d/1XL5vhW3sbDhbH9Cz0tuDiY8C3ctxq1tqvaCgkFb8cCA/edit?usp=sharing"",""ร้อยเอ็ด!J440"")"),0)</f>
        <v>0</v>
      </c>
      <c r="J44" s="403">
        <f t="shared" ca="1" si="15"/>
        <v>0</v>
      </c>
      <c r="K44" s="422">
        <f ca="1">IFERROR(__xludf.DUMMYFUNCTION("IMPORTRANGE(""https://docs.google.com/spreadsheets/d/1XL5vhW3sbDhbH9Cz0tuDiY8C3ctxq1tqvaCgkFb8cCA/edit?usp=sharing"",""ร้อยเอ็ด!J441"")"),0)</f>
        <v>0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5" spans="1:25" ht="24" customHeight="1" x14ac:dyDescent="0.5">
      <c r="A45" s="509">
        <v>12</v>
      </c>
      <c r="B45" s="274" t="s">
        <v>60</v>
      </c>
      <c r="C45" s="275">
        <f t="shared" si="19"/>
        <v>34340</v>
      </c>
      <c r="D45" s="55">
        <v>0</v>
      </c>
      <c r="E45" s="55">
        <v>34340</v>
      </c>
      <c r="F45" s="99">
        <f ca="1">IFERROR(__xludf.DUMMYFUNCTION("IMPORTRANGE(""https://docs.google.com/spreadsheets/d/1XL5vhW3sbDhbH9Cz0tuDiY8C3ctxq1tqvaCgkFb8cCA/edit?usp=sharing"",""เลย!M428"")"),0)</f>
        <v>0</v>
      </c>
      <c r="G45" s="99">
        <f t="shared" ca="1" si="1"/>
        <v>0</v>
      </c>
      <c r="H45" s="402">
        <v>22</v>
      </c>
      <c r="I45" s="55">
        <f ca="1">IFERROR(__xludf.DUMMYFUNCTION("IMPORTRANGE(""https://docs.google.com/spreadsheets/d/1XL5vhW3sbDhbH9Cz0tuDiY8C3ctxq1tqvaCgkFb8cCA/edit?usp=sharing"",""เลย!J440"")"),0)</f>
        <v>0</v>
      </c>
      <c r="J45" s="403">
        <f t="shared" ca="1" si="15"/>
        <v>0</v>
      </c>
      <c r="K45" s="422">
        <f ca="1">IFERROR(__xludf.DUMMYFUNCTION("IMPORTRANGE(""https://docs.google.com/spreadsheets/d/1XL5vhW3sbDhbH9Cz0tuDiY8C3ctxq1tqvaCgkFb8cCA/edit?usp=sharing"",""เลย!J441"")"),0)</f>
        <v>0</v>
      </c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ht="24" customHeight="1" x14ac:dyDescent="0.5">
      <c r="A46" s="509">
        <v>13</v>
      </c>
      <c r="B46" s="274" t="s">
        <v>61</v>
      </c>
      <c r="C46" s="275">
        <f t="shared" si="19"/>
        <v>32640</v>
      </c>
      <c r="D46" s="55">
        <v>0</v>
      </c>
      <c r="E46" s="55">
        <v>32640</v>
      </c>
      <c r="F46" s="99">
        <f ca="1">IFERROR(__xludf.DUMMYFUNCTION("IMPORTRANGE(""https://docs.google.com/spreadsheets/d/1XL5vhW3sbDhbH9Cz0tuDiY8C3ctxq1tqvaCgkFb8cCA/edit?usp=sharing"",""ศรีสะเกษ!M428"")"),0)</f>
        <v>0</v>
      </c>
      <c r="G46" s="99">
        <f t="shared" ca="1" si="1"/>
        <v>0</v>
      </c>
      <c r="H46" s="402">
        <v>20</v>
      </c>
      <c r="I46" s="55">
        <f ca="1">IFERROR(__xludf.DUMMYFUNCTION("IMPORTRANGE(""https://docs.google.com/spreadsheets/d/1XL5vhW3sbDhbH9Cz0tuDiY8C3ctxq1tqvaCgkFb8cCA/edit?usp=sharing"",""ศรีสะเกษ!J440"")"),0)</f>
        <v>0</v>
      </c>
      <c r="J46" s="403">
        <f t="shared" ca="1" si="15"/>
        <v>0</v>
      </c>
      <c r="K46" s="422">
        <f ca="1">IFERROR(__xludf.DUMMYFUNCTION("IMPORTRANGE(""https://docs.google.com/spreadsheets/d/1XL5vhW3sbDhbH9Cz0tuDiY8C3ctxq1tqvaCgkFb8cCA/edit?usp=sharing"",""ศรีสะเกษ!J441"")"),0)</f>
        <v>0</v>
      </c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ht="24" customHeight="1" x14ac:dyDescent="0.5">
      <c r="A47" s="509">
        <v>14</v>
      </c>
      <c r="B47" s="274" t="s">
        <v>62</v>
      </c>
      <c r="C47" s="275">
        <f t="shared" si="19"/>
        <v>37740</v>
      </c>
      <c r="D47" s="55">
        <v>0</v>
      </c>
      <c r="E47" s="55">
        <v>37740</v>
      </c>
      <c r="F47" s="99">
        <f ca="1">IFERROR(__xludf.DUMMYFUNCTION("IMPORTRANGE(""https://docs.google.com/spreadsheets/d/1XL5vhW3sbDhbH9Cz0tuDiY8C3ctxq1tqvaCgkFb8cCA/edit?usp=sharing"",""สกลนคร!M428"")"),0)</f>
        <v>0</v>
      </c>
      <c r="G47" s="99">
        <f t="shared" ca="1" si="1"/>
        <v>0</v>
      </c>
      <c r="H47" s="402">
        <v>26</v>
      </c>
      <c r="I47" s="55">
        <f ca="1">IFERROR(__xludf.DUMMYFUNCTION("IMPORTRANGE(""https://docs.google.com/spreadsheets/d/1XL5vhW3sbDhbH9Cz0tuDiY8C3ctxq1tqvaCgkFb8cCA/edit?usp=sharing"",""สกลนคร!J440"")"),0)</f>
        <v>0</v>
      </c>
      <c r="J47" s="403">
        <f t="shared" ca="1" si="15"/>
        <v>0</v>
      </c>
      <c r="K47" s="422">
        <f ca="1">IFERROR(__xludf.DUMMYFUNCTION("IMPORTRANGE(""https://docs.google.com/spreadsheets/d/1XL5vhW3sbDhbH9Cz0tuDiY8C3ctxq1tqvaCgkFb8cCA/edit?usp=sharing"",""สกลนคร!J441"")"),0)</f>
        <v>0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ht="24" customHeight="1" x14ac:dyDescent="0.5">
      <c r="A48" s="509">
        <v>15</v>
      </c>
      <c r="B48" s="274" t="s">
        <v>63</v>
      </c>
      <c r="C48" s="275">
        <f t="shared" si="19"/>
        <v>34340</v>
      </c>
      <c r="D48" s="55">
        <v>0</v>
      </c>
      <c r="E48" s="55">
        <v>34340</v>
      </c>
      <c r="F48" s="99">
        <f ca="1">IFERROR(__xludf.DUMMYFUNCTION("IMPORTRANGE(""https://docs.google.com/spreadsheets/d/1XL5vhW3sbDhbH9Cz0tuDiY8C3ctxq1tqvaCgkFb8cCA/edit?usp=sharing"",""สุรินทร์!M428"")"),0)</f>
        <v>0</v>
      </c>
      <c r="G48" s="99">
        <f t="shared" ca="1" si="1"/>
        <v>0</v>
      </c>
      <c r="H48" s="402">
        <v>22</v>
      </c>
      <c r="I48" s="55">
        <f ca="1">IFERROR(__xludf.DUMMYFUNCTION("IMPORTRANGE(""https://docs.google.com/spreadsheets/d/1XL5vhW3sbDhbH9Cz0tuDiY8C3ctxq1tqvaCgkFb8cCA/edit?usp=sharing"",""สุรินทร์!J440"")"),0)</f>
        <v>0</v>
      </c>
      <c r="J48" s="403">
        <f t="shared" ca="1" si="15"/>
        <v>0</v>
      </c>
      <c r="K48" s="422">
        <f ca="1">IFERROR(__xludf.DUMMYFUNCTION("IMPORTRANGE(""https://docs.google.com/spreadsheets/d/1XL5vhW3sbDhbH9Cz0tuDiY8C3ctxq1tqvaCgkFb8cCA/edit?usp=sharing"",""สุรินทร์!J441"")"),0)</f>
        <v>0</v>
      </c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24" customHeight="1" x14ac:dyDescent="0.5">
      <c r="A49" s="509">
        <v>16</v>
      </c>
      <c r="B49" s="274" t="s">
        <v>64</v>
      </c>
      <c r="C49" s="275">
        <f t="shared" si="19"/>
        <v>34340</v>
      </c>
      <c r="D49" s="55">
        <v>0</v>
      </c>
      <c r="E49" s="55">
        <v>34340</v>
      </c>
      <c r="F49" s="99">
        <f ca="1">IFERROR(__xludf.DUMMYFUNCTION("IMPORTRANGE(""https://docs.google.com/spreadsheets/d/1XL5vhW3sbDhbH9Cz0tuDiY8C3ctxq1tqvaCgkFb8cCA/edit?usp=sharing"",""หนองคาย!M428"")"),0)</f>
        <v>0</v>
      </c>
      <c r="G49" s="99">
        <f t="shared" ca="1" si="1"/>
        <v>0</v>
      </c>
      <c r="H49" s="402">
        <v>22</v>
      </c>
      <c r="I49" s="55">
        <f ca="1">IFERROR(__xludf.DUMMYFUNCTION("IMPORTRANGE(""https://docs.google.com/spreadsheets/d/1XL5vhW3sbDhbH9Cz0tuDiY8C3ctxq1tqvaCgkFb8cCA/edit?usp=sharing"",""หนองคาย!J440"")"),0)</f>
        <v>0</v>
      </c>
      <c r="J49" s="403">
        <f t="shared" ca="1" si="15"/>
        <v>0</v>
      </c>
      <c r="K49" s="422">
        <f ca="1">IFERROR(__xludf.DUMMYFUNCTION("IMPORTRANGE(""https://docs.google.com/spreadsheets/d/1XL5vhW3sbDhbH9Cz0tuDiY8C3ctxq1tqvaCgkFb8cCA/edit?usp=sharing"",""หนองคาย!J441"")"),0)</f>
        <v>0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24" customHeight="1" x14ac:dyDescent="0.5">
      <c r="A50" s="509">
        <v>17</v>
      </c>
      <c r="B50" s="274" t="s">
        <v>65</v>
      </c>
      <c r="C50" s="275">
        <f t="shared" si="19"/>
        <v>34340</v>
      </c>
      <c r="D50" s="55">
        <v>0</v>
      </c>
      <c r="E50" s="55">
        <v>34340</v>
      </c>
      <c r="F50" s="99">
        <f ca="1">IFERROR(__xludf.DUMMYFUNCTION("IMPORTRANGE(""https://docs.google.com/spreadsheets/d/1XL5vhW3sbDhbH9Cz0tuDiY8C3ctxq1tqvaCgkFb8cCA/edit?usp=sharing"",""หนองบัวลำภู!M428"")"),0)</f>
        <v>0</v>
      </c>
      <c r="G50" s="99">
        <f t="shared" ca="1" si="1"/>
        <v>0</v>
      </c>
      <c r="H50" s="402">
        <v>22</v>
      </c>
      <c r="I50" s="55">
        <f ca="1">IFERROR(__xludf.DUMMYFUNCTION("IMPORTRANGE(""https://docs.google.com/spreadsheets/d/1XL5vhW3sbDhbH9Cz0tuDiY8C3ctxq1tqvaCgkFb8cCA/edit?usp=sharing"",""หนองบัวลำภู!J440"")"),0)</f>
        <v>0</v>
      </c>
      <c r="J50" s="403">
        <f t="shared" ca="1" si="15"/>
        <v>0</v>
      </c>
      <c r="K50" s="422">
        <f ca="1">IFERROR(__xludf.DUMMYFUNCTION("IMPORTRANGE(""https://docs.google.com/spreadsheets/d/1XL5vhW3sbDhbH9Cz0tuDiY8C3ctxq1tqvaCgkFb8cCA/edit?usp=sharing"",""หนองบัวลำภู!J441"")"),0)</f>
        <v>0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 ht="24" customHeight="1" x14ac:dyDescent="0.5">
      <c r="A51" s="509">
        <v>18</v>
      </c>
      <c r="B51" s="274" t="s">
        <v>66</v>
      </c>
      <c r="C51" s="275">
        <f t="shared" si="19"/>
        <v>34340</v>
      </c>
      <c r="D51" s="55">
        <v>0</v>
      </c>
      <c r="E51" s="55">
        <v>34340</v>
      </c>
      <c r="F51" s="99">
        <f ca="1">IFERROR(__xludf.DUMMYFUNCTION("IMPORTRANGE(""https://docs.google.com/spreadsheets/d/1XL5vhW3sbDhbH9Cz0tuDiY8C3ctxq1tqvaCgkFb8cCA/edit?usp=sharing"",""อำนาจเจริญ!M428"")"),0)</f>
        <v>0</v>
      </c>
      <c r="G51" s="99">
        <f t="shared" ca="1" si="1"/>
        <v>0</v>
      </c>
      <c r="H51" s="402">
        <v>22</v>
      </c>
      <c r="I51" s="55">
        <f ca="1">IFERROR(__xludf.DUMMYFUNCTION("IMPORTRANGE(""https://docs.google.com/spreadsheets/d/1XL5vhW3sbDhbH9Cz0tuDiY8C3ctxq1tqvaCgkFb8cCA/edit?usp=sharing"",""อำนาจเจริญ!J440"")"),0)</f>
        <v>0</v>
      </c>
      <c r="J51" s="403">
        <f t="shared" ca="1" si="15"/>
        <v>0</v>
      </c>
      <c r="K51" s="422">
        <f ca="1">IFERROR(__xludf.DUMMYFUNCTION("IMPORTRANGE(""https://docs.google.com/spreadsheets/d/1XL5vhW3sbDhbH9Cz0tuDiY8C3ctxq1tqvaCgkFb8cCA/edit?usp=sharing"",""อำนาจเจริญ!J441"")"),0)</f>
        <v>0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 ht="24" customHeight="1" x14ac:dyDescent="0.5">
      <c r="A52" s="509">
        <v>19</v>
      </c>
      <c r="B52" s="274" t="s">
        <v>67</v>
      </c>
      <c r="C52" s="275">
        <f t="shared" si="19"/>
        <v>36890</v>
      </c>
      <c r="D52" s="55">
        <v>0</v>
      </c>
      <c r="E52" s="55">
        <v>36890</v>
      </c>
      <c r="F52" s="99">
        <f ca="1">IFERROR(__xludf.DUMMYFUNCTION("IMPORTRANGE(""https://docs.google.com/spreadsheets/d/1XL5vhW3sbDhbH9Cz0tuDiY8C3ctxq1tqvaCgkFb8cCA/edit?usp=sharing"",""อุดรธานี!M428"")"),0)</f>
        <v>0</v>
      </c>
      <c r="G52" s="99">
        <f t="shared" ca="1" si="1"/>
        <v>0</v>
      </c>
      <c r="H52" s="402">
        <v>25</v>
      </c>
      <c r="I52" s="55">
        <f ca="1">IFERROR(__xludf.DUMMYFUNCTION("IMPORTRANGE(""https://docs.google.com/spreadsheets/d/1XL5vhW3sbDhbH9Cz0tuDiY8C3ctxq1tqvaCgkFb8cCA/edit?usp=sharing"",""อุดรธานี!J440"")"),0)</f>
        <v>0</v>
      </c>
      <c r="J52" s="403">
        <f t="shared" ca="1" si="15"/>
        <v>0</v>
      </c>
      <c r="K52" s="422">
        <f ca="1">IFERROR(__xludf.DUMMYFUNCTION("IMPORTRANGE(""https://docs.google.com/spreadsheets/d/1XL5vhW3sbDhbH9Cz0tuDiY8C3ctxq1tqvaCgkFb8cCA/edit?usp=sharing"",""อุดรธานี!J441"")"),0)</f>
        <v>0</v>
      </c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  <row r="53" spans="1:25" ht="24" customHeight="1" x14ac:dyDescent="0.5">
      <c r="A53" s="510">
        <v>20</v>
      </c>
      <c r="B53" s="279" t="s">
        <v>68</v>
      </c>
      <c r="C53" s="280">
        <f t="shared" si="19"/>
        <v>36040</v>
      </c>
      <c r="D53" s="62">
        <v>0</v>
      </c>
      <c r="E53" s="62">
        <v>36040</v>
      </c>
      <c r="F53" s="100">
        <f ca="1">IFERROR(__xludf.DUMMYFUNCTION("IMPORTRANGE(""https://docs.google.com/spreadsheets/d/1XL5vhW3sbDhbH9Cz0tuDiY8C3ctxq1tqvaCgkFb8cCA/edit?usp=sharing"",""อุบลราชธานี!M428"")"),0)</f>
        <v>0</v>
      </c>
      <c r="G53" s="100">
        <f t="shared" ca="1" si="1"/>
        <v>0</v>
      </c>
      <c r="H53" s="406">
        <v>24</v>
      </c>
      <c r="I53" s="62">
        <f ca="1">IFERROR(__xludf.DUMMYFUNCTION("IMPORTRANGE(""https://docs.google.com/spreadsheets/d/1XL5vhW3sbDhbH9Cz0tuDiY8C3ctxq1tqvaCgkFb8cCA/edit?usp=sharing"",""อุบลราชธานี!J440"")"),0)</f>
        <v>0</v>
      </c>
      <c r="J53" s="407">
        <f t="shared" ca="1" si="15"/>
        <v>0</v>
      </c>
      <c r="K53" s="424">
        <f ca="1">IFERROR(__xludf.DUMMYFUNCTION("IMPORTRANGE(""https://docs.google.com/spreadsheets/d/1XL5vhW3sbDhbH9Cz0tuDiY8C3ctxq1tqvaCgkFb8cCA/edit?usp=sharing"",""อุบลราชธานี!J441"")"),0)</f>
        <v>0</v>
      </c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</row>
    <row r="54" spans="1:25" ht="24" customHeight="1" x14ac:dyDescent="0.5">
      <c r="A54" s="887" t="s">
        <v>69</v>
      </c>
      <c r="B54" s="669"/>
      <c r="C54" s="255">
        <f t="shared" ref="C54:F54" si="20">SUM(C55:C75)</f>
        <v>703290</v>
      </c>
      <c r="D54" s="66">
        <f t="shared" si="20"/>
        <v>0</v>
      </c>
      <c r="E54" s="66">
        <f t="shared" si="20"/>
        <v>703290</v>
      </c>
      <c r="F54" s="101">
        <f t="shared" ca="1" si="20"/>
        <v>86560.02</v>
      </c>
      <c r="G54" s="101">
        <f t="shared" ca="1" si="1"/>
        <v>12.307870153137397</v>
      </c>
      <c r="H54" s="66">
        <f t="shared" ref="H54:I54" si="21">SUM(H55:H75)</f>
        <v>441</v>
      </c>
      <c r="I54" s="66">
        <f t="shared" ca="1" si="21"/>
        <v>97</v>
      </c>
      <c r="J54" s="101">
        <f t="shared" ca="1" si="15"/>
        <v>21.995464852607711</v>
      </c>
      <c r="K54" s="414">
        <f ca="1">SUM(K55:K75)</f>
        <v>0</v>
      </c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5" ht="24" customHeight="1" x14ac:dyDescent="0.5">
      <c r="A55" s="508">
        <v>1</v>
      </c>
      <c r="B55" s="269" t="s">
        <v>70</v>
      </c>
      <c r="C55" s="270">
        <f t="shared" ref="C55:C75" si="22">+D55+E55</f>
        <v>39440</v>
      </c>
      <c r="D55" s="48">
        <v>0</v>
      </c>
      <c r="E55" s="48">
        <v>39440</v>
      </c>
      <c r="F55" s="98">
        <f ca="1">IFERROR(__xludf.DUMMYFUNCTION("IMPORTRANGE(""https://docs.google.com/spreadsheets/d/1SX6NBoVAgQJ6U1MVXOaj8PK2l7WJ3RER9xtqwdhxkhw/edit?usp=sharing"",""กาญจนบุรี!M428"")"),0)</f>
        <v>0</v>
      </c>
      <c r="G55" s="98">
        <f t="shared" ca="1" si="1"/>
        <v>0</v>
      </c>
      <c r="H55" s="398">
        <v>28</v>
      </c>
      <c r="I55" s="48">
        <f ca="1">IFERROR(__xludf.DUMMYFUNCTION("IMPORTRANGE(""https://docs.google.com/spreadsheets/d/1SX6NBoVAgQJ6U1MVXOaj8PK2l7WJ3RER9xtqwdhxkhw/edit?usp=sharing"",""กาญจนบุรี!J440"")"),0)</f>
        <v>0</v>
      </c>
      <c r="J55" s="399">
        <f t="shared" ca="1" si="15"/>
        <v>0</v>
      </c>
      <c r="K55" s="420">
        <f ca="1">IFERROR(__xludf.DUMMYFUNCTION("IMPORTRANGE(""https://docs.google.com/spreadsheets/d/1SX6NBoVAgQJ6U1MVXOaj8PK2l7WJ3RER9xtqwdhxkhw/edit?usp=sharing"",""กาญจนบุรี!J441"")"),0)</f>
        <v>0</v>
      </c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  <row r="56" spans="1:25" ht="24" customHeight="1" x14ac:dyDescent="0.5">
      <c r="A56" s="509">
        <v>2</v>
      </c>
      <c r="B56" s="274" t="s">
        <v>71</v>
      </c>
      <c r="C56" s="275">
        <f t="shared" si="22"/>
        <v>34340</v>
      </c>
      <c r="D56" s="55">
        <v>0</v>
      </c>
      <c r="E56" s="55">
        <v>34340</v>
      </c>
      <c r="F56" s="99">
        <f ca="1">IFERROR(__xludf.DUMMYFUNCTION("IMPORTRANGE(""https://docs.google.com/spreadsheets/d/1SX6NBoVAgQJ6U1MVXOaj8PK2l7WJ3RER9xtqwdhxkhw/edit?usp=sharing"",""จันทบุรี!M428"")"),14680)</f>
        <v>14680</v>
      </c>
      <c r="G56" s="99">
        <f t="shared" ca="1" si="1"/>
        <v>42.748980780430983</v>
      </c>
      <c r="H56" s="402">
        <v>22</v>
      </c>
      <c r="I56" s="55">
        <f ca="1">IFERROR(__xludf.DUMMYFUNCTION("IMPORTRANGE(""https://docs.google.com/spreadsheets/d/1SX6NBoVAgQJ6U1MVXOaj8PK2l7WJ3RER9xtqwdhxkhw/edit?usp=sharing"",""จันทบุรี!J440"")"),22)</f>
        <v>22</v>
      </c>
      <c r="J56" s="403">
        <f t="shared" ca="1" si="15"/>
        <v>100</v>
      </c>
      <c r="K56" s="422">
        <f ca="1">IFERROR(__xludf.DUMMYFUNCTION("IMPORTRANGE(""https://docs.google.com/spreadsheets/d/1SX6NBoVAgQJ6U1MVXOaj8PK2l7WJ3RER9xtqwdhxkhw/edit?usp=sharing"",""จันทบุรี!J441"")"),0)</f>
        <v>0</v>
      </c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</row>
    <row r="57" spans="1:25" ht="24" customHeight="1" x14ac:dyDescent="0.5">
      <c r="A57" s="509">
        <v>3</v>
      </c>
      <c r="B57" s="274" t="s">
        <v>72</v>
      </c>
      <c r="C57" s="275">
        <f t="shared" si="22"/>
        <v>34340</v>
      </c>
      <c r="D57" s="55">
        <v>0</v>
      </c>
      <c r="E57" s="55">
        <v>34340</v>
      </c>
      <c r="F57" s="99">
        <f ca="1">IFERROR(__xludf.DUMMYFUNCTION("IMPORTRANGE(""https://docs.google.com/spreadsheets/d/1SX6NBoVAgQJ6U1MVXOaj8PK2l7WJ3RER9xtqwdhxkhw/edit?usp=sharing"",""ฉะเชิงเทรา!M428"")"),0)</f>
        <v>0</v>
      </c>
      <c r="G57" s="99">
        <f t="shared" ca="1" si="1"/>
        <v>0</v>
      </c>
      <c r="H57" s="402">
        <v>22</v>
      </c>
      <c r="I57" s="55">
        <f ca="1">IFERROR(__xludf.DUMMYFUNCTION("IMPORTRANGE(""https://docs.google.com/spreadsheets/d/1SX6NBoVAgQJ6U1MVXOaj8PK2l7WJ3RER9xtqwdhxkhw/edit?usp=sharing"",""ฉะเชิงเทรา!J440"")"),0)</f>
        <v>0</v>
      </c>
      <c r="J57" s="403">
        <f t="shared" ca="1" si="15"/>
        <v>0</v>
      </c>
      <c r="K57" s="422">
        <f ca="1">IFERROR(__xludf.DUMMYFUNCTION("IMPORTRANGE(""https://docs.google.com/spreadsheets/d/1SX6NBoVAgQJ6U1MVXOaj8PK2l7WJ3RER9xtqwdhxkhw/edit?usp=sharing"",""ฉะเชิงเทรา!J441"")"),0)</f>
        <v>0</v>
      </c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</row>
    <row r="58" spans="1:25" ht="24" customHeight="1" x14ac:dyDescent="0.5">
      <c r="A58" s="509">
        <v>4</v>
      </c>
      <c r="B58" s="274" t="s">
        <v>73</v>
      </c>
      <c r="C58" s="275">
        <f t="shared" si="22"/>
        <v>32640</v>
      </c>
      <c r="D58" s="55">
        <v>0</v>
      </c>
      <c r="E58" s="55">
        <v>32640</v>
      </c>
      <c r="F58" s="99">
        <f ca="1">IFERROR(__xludf.DUMMYFUNCTION("IMPORTRANGE(""https://docs.google.com/spreadsheets/d/1SX6NBoVAgQJ6U1MVXOaj8PK2l7WJ3RER9xtqwdhxkhw/edit?usp=sharing"",""ชลบุรี!M428"")"),0)</f>
        <v>0</v>
      </c>
      <c r="G58" s="99">
        <f t="shared" ca="1" si="1"/>
        <v>0</v>
      </c>
      <c r="H58" s="402">
        <v>20</v>
      </c>
      <c r="I58" s="55">
        <f ca="1">IFERROR(__xludf.DUMMYFUNCTION("IMPORTRANGE(""https://docs.google.com/spreadsheets/d/1SX6NBoVAgQJ6U1MVXOaj8PK2l7WJ3RER9xtqwdhxkhw/edit?usp=sharing"",""ชลบุรี!J440"")"),0)</f>
        <v>0</v>
      </c>
      <c r="J58" s="403">
        <f t="shared" ca="1" si="15"/>
        <v>0</v>
      </c>
      <c r="K58" s="422">
        <f ca="1">IFERROR(__xludf.DUMMYFUNCTION("IMPORTRANGE(""https://docs.google.com/spreadsheets/d/1SX6NBoVAgQJ6U1MVXOaj8PK2l7WJ3RER9xtqwdhxkhw/edit?usp=sharing"",""ชลบุรี!J441"")"),0)</f>
        <v>0</v>
      </c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</row>
    <row r="59" spans="1:25" ht="24" customHeight="1" x14ac:dyDescent="0.5">
      <c r="A59" s="509">
        <v>5</v>
      </c>
      <c r="B59" s="274" t="s">
        <v>74</v>
      </c>
      <c r="C59" s="275">
        <f t="shared" si="22"/>
        <v>34340</v>
      </c>
      <c r="D59" s="55">
        <v>0</v>
      </c>
      <c r="E59" s="55">
        <v>34340</v>
      </c>
      <c r="F59" s="99">
        <f ca="1">IFERROR(__xludf.DUMMYFUNCTION("IMPORTRANGE(""https://docs.google.com/spreadsheets/d/1SX6NBoVAgQJ6U1MVXOaj8PK2l7WJ3RER9xtqwdhxkhw/edit?usp=sharing"",""ชัยนาท!M428"")"),0)</f>
        <v>0</v>
      </c>
      <c r="G59" s="99">
        <f t="shared" ca="1" si="1"/>
        <v>0</v>
      </c>
      <c r="H59" s="402">
        <v>22</v>
      </c>
      <c r="I59" s="55">
        <f ca="1">IFERROR(__xludf.DUMMYFUNCTION("IMPORTRANGE(""https://docs.google.com/spreadsheets/d/1SX6NBoVAgQJ6U1MVXOaj8PK2l7WJ3RER9xtqwdhxkhw/edit?usp=sharing"",""ชัยนาท!J440"")"),0)</f>
        <v>0</v>
      </c>
      <c r="J59" s="403">
        <f t="shared" ca="1" si="15"/>
        <v>0</v>
      </c>
      <c r="K59" s="422">
        <f ca="1">IFERROR(__xludf.DUMMYFUNCTION("IMPORTRANGE(""https://docs.google.com/spreadsheets/d/1SX6NBoVAgQJ6U1MVXOaj8PK2l7WJ3RER9xtqwdhxkhw/edit?usp=sharing"",""ชัยนาท!J441"")"),0)</f>
        <v>0</v>
      </c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</row>
    <row r="60" spans="1:25" ht="24" customHeight="1" x14ac:dyDescent="0.5">
      <c r="A60" s="509">
        <v>6</v>
      </c>
      <c r="B60" s="274" t="s">
        <v>75</v>
      </c>
      <c r="C60" s="275">
        <f t="shared" si="22"/>
        <v>34340</v>
      </c>
      <c r="D60" s="55">
        <v>0</v>
      </c>
      <c r="E60" s="55">
        <v>34340</v>
      </c>
      <c r="F60" s="99">
        <f ca="1">IFERROR(__xludf.DUMMYFUNCTION("IMPORTRANGE(""https://docs.google.com/spreadsheets/d/1SX6NBoVAgQJ6U1MVXOaj8PK2l7WJ3RER9xtqwdhxkhw/edit?usp=sharing"",""ตราด!M428"")"),19408)</f>
        <v>19408</v>
      </c>
      <c r="G60" s="99">
        <f t="shared" ca="1" si="1"/>
        <v>56.517181129877692</v>
      </c>
      <c r="H60" s="402">
        <v>22</v>
      </c>
      <c r="I60" s="55">
        <f ca="1">IFERROR(__xludf.DUMMYFUNCTION("IMPORTRANGE(""https://docs.google.com/spreadsheets/d/1SX6NBoVAgQJ6U1MVXOaj8PK2l7WJ3RER9xtqwdhxkhw/edit?usp=sharing"",""ตราด!J440"")"),22)</f>
        <v>22</v>
      </c>
      <c r="J60" s="403">
        <f t="shared" ca="1" si="15"/>
        <v>100</v>
      </c>
      <c r="K60" s="422">
        <f ca="1">IFERROR(__xludf.DUMMYFUNCTION("IMPORTRANGE(""https://docs.google.com/spreadsheets/d/1SX6NBoVAgQJ6U1MVXOaj8PK2l7WJ3RER9xtqwdhxkhw/edit?usp=sharing"",""ตราด!J441"")"),0)</f>
        <v>0</v>
      </c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</row>
    <row r="61" spans="1:25" ht="24" customHeight="1" x14ac:dyDescent="0.5">
      <c r="A61" s="509">
        <v>7</v>
      </c>
      <c r="B61" s="274" t="s">
        <v>76</v>
      </c>
      <c r="C61" s="275">
        <f t="shared" si="22"/>
        <v>34340</v>
      </c>
      <c r="D61" s="55">
        <v>0</v>
      </c>
      <c r="E61" s="55">
        <v>34340</v>
      </c>
      <c r="F61" s="99">
        <f ca="1">IFERROR(__xludf.DUMMYFUNCTION("IMPORTRANGE(""https://docs.google.com/spreadsheets/d/1SX6NBoVAgQJ6U1MVXOaj8PK2l7WJ3RER9xtqwdhxkhw/edit?usp=sharing"",""นครนายก!M428"")"),0)</f>
        <v>0</v>
      </c>
      <c r="G61" s="99">
        <f t="shared" ca="1" si="1"/>
        <v>0</v>
      </c>
      <c r="H61" s="402">
        <v>22</v>
      </c>
      <c r="I61" s="55">
        <f ca="1">IFERROR(__xludf.DUMMYFUNCTION("IMPORTRANGE(""https://docs.google.com/spreadsheets/d/1SX6NBoVAgQJ6U1MVXOaj8PK2l7WJ3RER9xtqwdhxkhw/edit?usp=sharing"",""นครนายก!J440"")"),0)</f>
        <v>0</v>
      </c>
      <c r="J61" s="403">
        <f t="shared" ca="1" si="15"/>
        <v>0</v>
      </c>
      <c r="K61" s="422">
        <f ca="1">IFERROR(__xludf.DUMMYFUNCTION("IMPORTRANGE(""https://docs.google.com/spreadsheets/d/1SX6NBoVAgQJ6U1MVXOaj8PK2l7WJ3RER9xtqwdhxkhw/edit?usp=sharing"",""นครนายก!J441"")"),0)</f>
        <v>0</v>
      </c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</row>
    <row r="62" spans="1:25" ht="24" customHeight="1" x14ac:dyDescent="0.5">
      <c r="A62" s="509">
        <v>8</v>
      </c>
      <c r="B62" s="274" t="s">
        <v>77</v>
      </c>
      <c r="C62" s="275">
        <f t="shared" si="22"/>
        <v>32640</v>
      </c>
      <c r="D62" s="55">
        <v>0</v>
      </c>
      <c r="E62" s="55">
        <v>32640</v>
      </c>
      <c r="F62" s="99">
        <f ca="1">IFERROR(__xludf.DUMMYFUNCTION("IMPORTRANGE(""https://docs.google.com/spreadsheets/d/1SX6NBoVAgQJ6U1MVXOaj8PK2l7WJ3RER9xtqwdhxkhw/edit?usp=sharing"",""นครปฐม!M428"")"),0)</f>
        <v>0</v>
      </c>
      <c r="G62" s="99">
        <f t="shared" ca="1" si="1"/>
        <v>0</v>
      </c>
      <c r="H62" s="402">
        <v>20</v>
      </c>
      <c r="I62" s="55">
        <f ca="1">IFERROR(__xludf.DUMMYFUNCTION("IMPORTRANGE(""https://docs.google.com/spreadsheets/d/1SX6NBoVAgQJ6U1MVXOaj8PK2l7WJ3RER9xtqwdhxkhw/edit?usp=sharing"",""นครปฐม!J440"")"),0)</f>
        <v>0</v>
      </c>
      <c r="J62" s="403">
        <f t="shared" ca="1" si="15"/>
        <v>0</v>
      </c>
      <c r="K62" s="422">
        <f ca="1">IFERROR(__xludf.DUMMYFUNCTION("IMPORTRANGE(""https://docs.google.com/spreadsheets/d/1SX6NBoVAgQJ6U1MVXOaj8PK2l7WJ3RER9xtqwdhxkhw/edit?usp=sharing"",""นครปฐม!J441"")"),0)</f>
        <v>0</v>
      </c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</row>
    <row r="63" spans="1:25" ht="24" customHeight="1" x14ac:dyDescent="0.5">
      <c r="A63" s="509">
        <v>9</v>
      </c>
      <c r="B63" s="274" t="s">
        <v>78</v>
      </c>
      <c r="C63" s="275">
        <f t="shared" si="22"/>
        <v>34340</v>
      </c>
      <c r="D63" s="55">
        <v>0</v>
      </c>
      <c r="E63" s="55">
        <v>34340</v>
      </c>
      <c r="F63" s="99">
        <f ca="1">IFERROR(__xludf.DUMMYFUNCTION("IMPORTRANGE(""https://docs.google.com/spreadsheets/d/1SX6NBoVAgQJ6U1MVXOaj8PK2l7WJ3RER9xtqwdhxkhw/edit?usp=sharing"",""ปทุมธานี!M428"")"),22527.02)</f>
        <v>22527.02</v>
      </c>
      <c r="G63" s="99">
        <f t="shared" ca="1" si="1"/>
        <v>65.599941758881769</v>
      </c>
      <c r="H63" s="402">
        <v>22</v>
      </c>
      <c r="I63" s="55">
        <f ca="1">IFERROR(__xludf.DUMMYFUNCTION("IMPORTRANGE(""https://docs.google.com/spreadsheets/d/1SX6NBoVAgQJ6U1MVXOaj8PK2l7WJ3RER9xtqwdhxkhw/edit?usp=sharing"",""ปทุมธานี!J440"")"),22)</f>
        <v>22</v>
      </c>
      <c r="J63" s="403">
        <f t="shared" ca="1" si="15"/>
        <v>100</v>
      </c>
      <c r="K63" s="422">
        <f ca="1">IFERROR(__xludf.DUMMYFUNCTION("IMPORTRANGE(""https://docs.google.com/spreadsheets/d/1SX6NBoVAgQJ6U1MVXOaj8PK2l7WJ3RER9xtqwdhxkhw/edit?usp=sharing"",""ปทุมธานี!J441"")"),0)</f>
        <v>0</v>
      </c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</row>
    <row r="64" spans="1:25" ht="24" customHeight="1" x14ac:dyDescent="0.5">
      <c r="A64" s="509">
        <v>10</v>
      </c>
      <c r="B64" s="274" t="s">
        <v>79</v>
      </c>
      <c r="C64" s="275">
        <f t="shared" si="22"/>
        <v>34340</v>
      </c>
      <c r="D64" s="55">
        <v>0</v>
      </c>
      <c r="E64" s="55">
        <v>34340</v>
      </c>
      <c r="F64" s="99">
        <f ca="1">IFERROR(__xludf.DUMMYFUNCTION("IMPORTRANGE(""https://docs.google.com/spreadsheets/d/1SX6NBoVAgQJ6U1MVXOaj8PK2l7WJ3RER9xtqwdhxkhw/edit?usp=sharing"",""ประจวบคีรีขันธ์!M428"")"),0)</f>
        <v>0</v>
      </c>
      <c r="G64" s="99">
        <f t="shared" ca="1" si="1"/>
        <v>0</v>
      </c>
      <c r="H64" s="402">
        <v>22</v>
      </c>
      <c r="I64" s="55">
        <f ca="1">IFERROR(__xludf.DUMMYFUNCTION("IMPORTRANGE(""https://docs.google.com/spreadsheets/d/1SX6NBoVAgQJ6U1MVXOaj8PK2l7WJ3RER9xtqwdhxkhw/edit?usp=sharing"",""ประจวบคีรีขันธ์!J440"")"),0)</f>
        <v>0</v>
      </c>
      <c r="J64" s="403">
        <f t="shared" ca="1" si="15"/>
        <v>0</v>
      </c>
      <c r="K64" s="422">
        <f ca="1">IFERROR(__xludf.DUMMYFUNCTION("IMPORTRANGE(""https://docs.google.com/spreadsheets/d/1SX6NBoVAgQJ6U1MVXOaj8PK2l7WJ3RER9xtqwdhxkhw/edit?usp=sharing"",""ประจวบคีรีขันธ์!J441"")"),0)</f>
        <v>0</v>
      </c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</row>
    <row r="65" spans="1:25" ht="24" customHeight="1" x14ac:dyDescent="0.5">
      <c r="A65" s="509">
        <v>11</v>
      </c>
      <c r="B65" s="274" t="s">
        <v>80</v>
      </c>
      <c r="C65" s="275">
        <f t="shared" si="22"/>
        <v>34340</v>
      </c>
      <c r="D65" s="55">
        <v>0</v>
      </c>
      <c r="E65" s="55">
        <v>34340</v>
      </c>
      <c r="F65" s="99">
        <f ca="1">IFERROR(__xludf.DUMMYFUNCTION("IMPORTRANGE(""https://docs.google.com/spreadsheets/d/1SX6NBoVAgQJ6U1MVXOaj8PK2l7WJ3RER9xtqwdhxkhw/edit?usp=sharing"",""ปราจีนบุรี!M428"")"),0)</f>
        <v>0</v>
      </c>
      <c r="G65" s="99">
        <f t="shared" ca="1" si="1"/>
        <v>0</v>
      </c>
      <c r="H65" s="402">
        <v>22</v>
      </c>
      <c r="I65" s="55">
        <f ca="1">IFERROR(__xludf.DUMMYFUNCTION("IMPORTRANGE(""https://docs.google.com/spreadsheets/d/1SX6NBoVAgQJ6U1MVXOaj8PK2l7WJ3RER9xtqwdhxkhw/edit?usp=sharing"",""ปราจีนบุรี!J440"")"),0)</f>
        <v>0</v>
      </c>
      <c r="J65" s="403">
        <f t="shared" ca="1" si="15"/>
        <v>0</v>
      </c>
      <c r="K65" s="422">
        <f ca="1">IFERROR(__xludf.DUMMYFUNCTION("IMPORTRANGE(""https://docs.google.com/spreadsheets/d/1SX6NBoVAgQJ6U1MVXOaj8PK2l7WJ3RER9xtqwdhxkhw/edit?usp=sharing"",""ปราจีนบุรี!J441"")"),0)</f>
        <v>0</v>
      </c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</row>
    <row r="66" spans="1:25" ht="24" customHeight="1" x14ac:dyDescent="0.5">
      <c r="A66" s="509">
        <v>12</v>
      </c>
      <c r="B66" s="274" t="s">
        <v>81</v>
      </c>
      <c r="C66" s="275">
        <f t="shared" si="22"/>
        <v>34340</v>
      </c>
      <c r="D66" s="55">
        <v>0</v>
      </c>
      <c r="E66" s="55">
        <v>34340</v>
      </c>
      <c r="F66" s="99">
        <f ca="1">IFERROR(__xludf.DUMMYFUNCTION("IMPORTRANGE(""https://docs.google.com/spreadsheets/d/1SX6NBoVAgQJ6U1MVXOaj8PK2l7WJ3RER9xtqwdhxkhw/edit?usp=sharing"",""พระนครศรีอยุธยา!M428"")"),0)</f>
        <v>0</v>
      </c>
      <c r="G66" s="99">
        <f t="shared" ca="1" si="1"/>
        <v>0</v>
      </c>
      <c r="H66" s="402">
        <v>22</v>
      </c>
      <c r="I66" s="55">
        <f ca="1">IFERROR(__xludf.DUMMYFUNCTION("IMPORTRANGE(""https://docs.google.com/spreadsheets/d/1SX6NBoVAgQJ6U1MVXOaj8PK2l7WJ3RER9xtqwdhxkhw/edit?usp=sharing"",""พระนครศรีอยุธยา!J440"")"),0)</f>
        <v>0</v>
      </c>
      <c r="J66" s="403">
        <f t="shared" ca="1" si="15"/>
        <v>0</v>
      </c>
      <c r="K66" s="422">
        <f ca="1">IFERROR(__xludf.DUMMYFUNCTION("IMPORTRANGE(""https://docs.google.com/spreadsheets/d/1SX6NBoVAgQJ6U1MVXOaj8PK2l7WJ3RER9xtqwdhxkhw/edit?usp=sharing"",""พระนครศรีอยุธยา!J441"")"),0)</f>
        <v>0</v>
      </c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</row>
    <row r="67" spans="1:25" ht="24" customHeight="1" x14ac:dyDescent="0.5">
      <c r="A67" s="509">
        <v>13</v>
      </c>
      <c r="B67" s="274" t="s">
        <v>82</v>
      </c>
      <c r="C67" s="275">
        <f t="shared" si="22"/>
        <v>34340</v>
      </c>
      <c r="D67" s="55">
        <v>0</v>
      </c>
      <c r="E67" s="55">
        <v>34340</v>
      </c>
      <c r="F67" s="99">
        <f ca="1">IFERROR(__xludf.DUMMYFUNCTION("IMPORTRANGE(""https://docs.google.com/spreadsheets/d/1SX6NBoVAgQJ6U1MVXOaj8PK2l7WJ3RER9xtqwdhxkhw/edit?usp=sharing"",""เพชรบุรี!M428"")"),0)</f>
        <v>0</v>
      </c>
      <c r="G67" s="99">
        <f t="shared" ca="1" si="1"/>
        <v>0</v>
      </c>
      <c r="H67" s="402">
        <v>22</v>
      </c>
      <c r="I67" s="55">
        <f ca="1">IFERROR(__xludf.DUMMYFUNCTION("IMPORTRANGE(""https://docs.google.com/spreadsheets/d/1SX6NBoVAgQJ6U1MVXOaj8PK2l7WJ3RER9xtqwdhxkhw/edit?usp=sharing"",""เพชรบุรี!J440"")"),1)</f>
        <v>1</v>
      </c>
      <c r="J67" s="403">
        <f t="shared" ca="1" si="15"/>
        <v>4.5454545454545459</v>
      </c>
      <c r="K67" s="422">
        <f ca="1">IFERROR(__xludf.DUMMYFUNCTION("IMPORTRANGE(""https://docs.google.com/spreadsheets/d/1SX6NBoVAgQJ6U1MVXOaj8PK2l7WJ3RER9xtqwdhxkhw/edit?usp=sharing"",""เพชรบุรี!J441"")"),0)</f>
        <v>0</v>
      </c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</row>
    <row r="68" spans="1:25" ht="24" customHeight="1" x14ac:dyDescent="0.5">
      <c r="A68" s="509">
        <v>14</v>
      </c>
      <c r="B68" s="274" t="s">
        <v>83</v>
      </c>
      <c r="C68" s="275">
        <f t="shared" si="22"/>
        <v>34340</v>
      </c>
      <c r="D68" s="55">
        <v>0</v>
      </c>
      <c r="E68" s="55">
        <v>34340</v>
      </c>
      <c r="F68" s="99">
        <f ca="1">IFERROR(__xludf.DUMMYFUNCTION("IMPORTRANGE(""https://docs.google.com/spreadsheets/d/1SX6NBoVAgQJ6U1MVXOaj8PK2l7WJ3RER9xtqwdhxkhw/edit?usp=sharing"",""ระยอง!M428"")"),0)</f>
        <v>0</v>
      </c>
      <c r="G68" s="99">
        <f t="shared" ca="1" si="1"/>
        <v>0</v>
      </c>
      <c r="H68" s="402">
        <v>22</v>
      </c>
      <c r="I68" s="55">
        <f ca="1">IFERROR(__xludf.DUMMYFUNCTION("IMPORTRANGE(""https://docs.google.com/spreadsheets/d/1SX6NBoVAgQJ6U1MVXOaj8PK2l7WJ3RER9xtqwdhxkhw/edit?usp=sharing"",""ระยอง!J440"")"),0)</f>
        <v>0</v>
      </c>
      <c r="J68" s="403">
        <f t="shared" ca="1" si="15"/>
        <v>0</v>
      </c>
      <c r="K68" s="422">
        <f ca="1">IFERROR(__xludf.DUMMYFUNCTION("IMPORTRANGE(""https://docs.google.com/spreadsheets/d/1SX6NBoVAgQJ6U1MVXOaj8PK2l7WJ3RER9xtqwdhxkhw/edit?usp=sharing"",""ระยอง!J441"")"),0)</f>
        <v>0</v>
      </c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  <row r="69" spans="1:25" ht="24" customHeight="1" x14ac:dyDescent="0.5">
      <c r="A69" s="509">
        <v>15</v>
      </c>
      <c r="B69" s="274" t="s">
        <v>84</v>
      </c>
      <c r="C69" s="275">
        <f t="shared" si="22"/>
        <v>34340</v>
      </c>
      <c r="D69" s="55">
        <v>0</v>
      </c>
      <c r="E69" s="55">
        <v>34340</v>
      </c>
      <c r="F69" s="99">
        <f ca="1">IFERROR(__xludf.DUMMYFUNCTION("IMPORTRANGE(""https://docs.google.com/spreadsheets/d/1SX6NBoVAgQJ6U1MVXOaj8PK2l7WJ3RER9xtqwdhxkhw/edit?usp=sharing"",""ราชบุรี!M428"")"),0)</f>
        <v>0</v>
      </c>
      <c r="G69" s="99">
        <f t="shared" ca="1" si="1"/>
        <v>0</v>
      </c>
      <c r="H69" s="402">
        <v>22</v>
      </c>
      <c r="I69" s="55">
        <f ca="1">IFERROR(__xludf.DUMMYFUNCTION("IMPORTRANGE(""https://docs.google.com/spreadsheets/d/1SX6NBoVAgQJ6U1MVXOaj8PK2l7WJ3RER9xtqwdhxkhw/edit?usp=sharing"",""ราชบุรี!J440"")"),0)</f>
        <v>0</v>
      </c>
      <c r="J69" s="403">
        <f t="shared" ca="1" si="15"/>
        <v>0</v>
      </c>
      <c r="K69" s="422">
        <f ca="1">IFERROR(__xludf.DUMMYFUNCTION("IMPORTRANGE(""https://docs.google.com/spreadsheets/d/1SX6NBoVAgQJ6U1MVXOaj8PK2l7WJ3RER9xtqwdhxkhw/edit?usp=sharing"",""ราชบุรี!J441"")"),0)</f>
        <v>0</v>
      </c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</row>
    <row r="70" spans="1:25" ht="24" customHeight="1" x14ac:dyDescent="0.5">
      <c r="A70" s="509">
        <v>16</v>
      </c>
      <c r="B70" s="274" t="s">
        <v>85</v>
      </c>
      <c r="C70" s="275">
        <f t="shared" si="22"/>
        <v>34340</v>
      </c>
      <c r="D70" s="55">
        <v>0</v>
      </c>
      <c r="E70" s="55">
        <v>34340</v>
      </c>
      <c r="F70" s="99">
        <f ca="1">IFERROR(__xludf.DUMMYFUNCTION("IMPORTRANGE(""https://docs.google.com/spreadsheets/d/1SX6NBoVAgQJ6U1MVXOaj8PK2l7WJ3RER9xtqwdhxkhw/edit?usp=sharing"",""ลพบุรี!M428"")"),0)</f>
        <v>0</v>
      </c>
      <c r="G70" s="99">
        <f t="shared" ca="1" si="1"/>
        <v>0</v>
      </c>
      <c r="H70" s="402">
        <v>22</v>
      </c>
      <c r="I70" s="55">
        <f ca="1">IFERROR(__xludf.DUMMYFUNCTION("IMPORTRANGE(""https://docs.google.com/spreadsheets/d/1SX6NBoVAgQJ6U1MVXOaj8PK2l7WJ3RER9xtqwdhxkhw/edit?usp=sharing"",""ลพบุรี!J440"")"),0)</f>
        <v>0</v>
      </c>
      <c r="J70" s="403">
        <f t="shared" ca="1" si="15"/>
        <v>0</v>
      </c>
      <c r="K70" s="422">
        <f ca="1">IFERROR(__xludf.DUMMYFUNCTION("IMPORTRANGE(""https://docs.google.com/spreadsheets/d/1SX6NBoVAgQJ6U1MVXOaj8PK2l7WJ3RER9xtqwdhxkhw/edit?usp=sharing"",""ลพบุรี!J441"")"),0)</f>
        <v>0</v>
      </c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</row>
    <row r="71" spans="1:25" ht="24" customHeight="1" x14ac:dyDescent="0.5">
      <c r="A71" s="509">
        <v>17</v>
      </c>
      <c r="B71" s="274" t="s">
        <v>86</v>
      </c>
      <c r="C71" s="275">
        <f t="shared" si="22"/>
        <v>34340</v>
      </c>
      <c r="D71" s="55">
        <v>0</v>
      </c>
      <c r="E71" s="55">
        <v>34340</v>
      </c>
      <c r="F71" s="99">
        <f ca="1">IFERROR(__xludf.DUMMYFUNCTION("IMPORTRANGE(""https://docs.google.com/spreadsheets/d/1SX6NBoVAgQJ6U1MVXOaj8PK2l7WJ3RER9xtqwdhxkhw/edit?usp=sharing"",""สระแก้ว!M428"")"),0)</f>
        <v>0</v>
      </c>
      <c r="G71" s="99">
        <f t="shared" ca="1" si="1"/>
        <v>0</v>
      </c>
      <c r="H71" s="402">
        <v>22</v>
      </c>
      <c r="I71" s="55">
        <f ca="1">IFERROR(__xludf.DUMMYFUNCTION("IMPORTRANGE(""https://docs.google.com/spreadsheets/d/1SX6NBoVAgQJ6U1MVXOaj8PK2l7WJ3RER9xtqwdhxkhw/edit?usp=sharing"",""สระแก้ว!J440"")"),0)</f>
        <v>0</v>
      </c>
      <c r="J71" s="403">
        <f t="shared" ca="1" si="15"/>
        <v>0</v>
      </c>
      <c r="K71" s="422">
        <f ca="1">IFERROR(__xludf.DUMMYFUNCTION("IMPORTRANGE(""https://docs.google.com/spreadsheets/d/1SX6NBoVAgQJ6U1MVXOaj8PK2l7WJ3RER9xtqwdhxkhw/edit?usp=sharing"",""สระแก้ว!J441"")"),0)</f>
        <v>0</v>
      </c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</row>
    <row r="72" spans="1:25" ht="24" customHeight="1" x14ac:dyDescent="0.5">
      <c r="A72" s="509">
        <v>18</v>
      </c>
      <c r="B72" s="274" t="s">
        <v>87</v>
      </c>
      <c r="C72" s="275">
        <f t="shared" si="22"/>
        <v>35190</v>
      </c>
      <c r="D72" s="55">
        <v>0</v>
      </c>
      <c r="E72" s="55">
        <v>35190</v>
      </c>
      <c r="F72" s="99">
        <f ca="1">IFERROR(__xludf.DUMMYFUNCTION("IMPORTRANGE(""https://docs.google.com/spreadsheets/d/1SX6NBoVAgQJ6U1MVXOaj8PK2l7WJ3RER9xtqwdhxkhw/edit?usp=sharing"",""สระบุรี!M428"")"),0)</f>
        <v>0</v>
      </c>
      <c r="G72" s="99">
        <f t="shared" ca="1" si="1"/>
        <v>0</v>
      </c>
      <c r="H72" s="402">
        <v>23</v>
      </c>
      <c r="I72" s="55">
        <f ca="1">IFERROR(__xludf.DUMMYFUNCTION("IMPORTRANGE(""https://docs.google.com/spreadsheets/d/1SX6NBoVAgQJ6U1MVXOaj8PK2l7WJ3RER9xtqwdhxkhw/edit?usp=sharing"",""สระบุรี!J440"")"),0)</f>
        <v>0</v>
      </c>
      <c r="J72" s="403">
        <f t="shared" ca="1" si="15"/>
        <v>0</v>
      </c>
      <c r="K72" s="422">
        <f ca="1">IFERROR(__xludf.DUMMYFUNCTION("IMPORTRANGE(""https://docs.google.com/spreadsheets/d/1SX6NBoVAgQJ6U1MVXOaj8PK2l7WJ3RER9xtqwdhxkhw/edit?usp=sharing"",""สระบุรี!J441"")"),0)</f>
        <v>0</v>
      </c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</row>
    <row r="73" spans="1:25" ht="24" customHeight="1" x14ac:dyDescent="0.5">
      <c r="A73" s="509">
        <v>19</v>
      </c>
      <c r="B73" s="274" t="s">
        <v>88</v>
      </c>
      <c r="C73" s="275">
        <f t="shared" si="22"/>
        <v>24140</v>
      </c>
      <c r="D73" s="55">
        <v>0</v>
      </c>
      <c r="E73" s="55">
        <v>24140</v>
      </c>
      <c r="F73" s="99">
        <f ca="1">IFERROR(__xludf.DUMMYFUNCTION("IMPORTRANGE(""https://docs.google.com/spreadsheets/d/1SX6NBoVAgQJ6U1MVXOaj8PK2l7WJ3RER9xtqwdhxkhw/edit?usp=sharing"",""สิงห์บุรี!M428"")"),0)</f>
        <v>0</v>
      </c>
      <c r="G73" s="99">
        <f t="shared" ca="1" si="1"/>
        <v>0</v>
      </c>
      <c r="H73" s="402">
        <v>10</v>
      </c>
      <c r="I73" s="55">
        <f ca="1">IFERROR(__xludf.DUMMYFUNCTION("IMPORTRANGE(""https://docs.google.com/spreadsheets/d/1SX6NBoVAgQJ6U1MVXOaj8PK2l7WJ3RER9xtqwdhxkhw/edit?usp=sharing"",""สิงห์บุรี!J440"")"),8)</f>
        <v>8</v>
      </c>
      <c r="J73" s="403">
        <f t="shared" ca="1" si="15"/>
        <v>80</v>
      </c>
      <c r="K73" s="422">
        <f ca="1">IFERROR(__xludf.DUMMYFUNCTION("IMPORTRANGE(""https://docs.google.com/spreadsheets/d/1SX6NBoVAgQJ6U1MVXOaj8PK2l7WJ3RER9xtqwdhxkhw/edit?usp=sharing"",""สิงห์บุรี!J441"")"),0)</f>
        <v>0</v>
      </c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</row>
    <row r="74" spans="1:25" ht="24" customHeight="1" x14ac:dyDescent="0.5">
      <c r="A74" s="509">
        <v>20</v>
      </c>
      <c r="B74" s="274" t="s">
        <v>89</v>
      </c>
      <c r="C74" s="275">
        <f t="shared" si="22"/>
        <v>34340</v>
      </c>
      <c r="D74" s="55">
        <v>0</v>
      </c>
      <c r="E74" s="55">
        <v>34340</v>
      </c>
      <c r="F74" s="99">
        <f ca="1">IFERROR(__xludf.DUMMYFUNCTION("IMPORTRANGE(""https://docs.google.com/spreadsheets/d/1SX6NBoVAgQJ6U1MVXOaj8PK2l7WJ3RER9xtqwdhxkhw/edit?usp=sharing"",""สุพรรณบุรี!M428"")"),29945)</f>
        <v>29945</v>
      </c>
      <c r="G74" s="99">
        <f t="shared" ca="1" si="1"/>
        <v>87.201514269073968</v>
      </c>
      <c r="H74" s="402">
        <v>22</v>
      </c>
      <c r="I74" s="55">
        <f ca="1">IFERROR(__xludf.DUMMYFUNCTION("IMPORTRANGE(""https://docs.google.com/spreadsheets/d/1SX6NBoVAgQJ6U1MVXOaj8PK2l7WJ3RER9xtqwdhxkhw/edit?usp=sharing"",""สุพรรณบุรี!J440"")"),22)</f>
        <v>22</v>
      </c>
      <c r="J74" s="403">
        <f t="shared" ca="1" si="15"/>
        <v>100</v>
      </c>
      <c r="K74" s="422">
        <f ca="1">IFERROR(__xludf.DUMMYFUNCTION("IMPORTRANGE(""https://docs.google.com/spreadsheets/d/1SX6NBoVAgQJ6U1MVXOaj8PK2l7WJ3RER9xtqwdhxkhw/edit?usp=sharing"",""สุพรรณบุรี!J441"")"),0)</f>
        <v>0</v>
      </c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</row>
    <row r="75" spans="1:25" ht="24" customHeight="1" x14ac:dyDescent="0.5">
      <c r="A75" s="510">
        <v>21</v>
      </c>
      <c r="B75" s="279" t="s">
        <v>90</v>
      </c>
      <c r="C75" s="280">
        <f t="shared" si="22"/>
        <v>24140</v>
      </c>
      <c r="D75" s="62">
        <v>0</v>
      </c>
      <c r="E75" s="62">
        <v>24140</v>
      </c>
      <c r="F75" s="100">
        <f ca="1">IFERROR(__xludf.DUMMYFUNCTION("IMPORTRANGE(""https://docs.google.com/spreadsheets/d/1SX6NBoVAgQJ6U1MVXOaj8PK2l7WJ3RER9xtqwdhxkhw/edit?usp=sharing"",""อ่างทอง!M428"")"),0)</f>
        <v>0</v>
      </c>
      <c r="G75" s="100">
        <f t="shared" ca="1" si="1"/>
        <v>0</v>
      </c>
      <c r="H75" s="406">
        <v>10</v>
      </c>
      <c r="I75" s="62">
        <f ca="1">IFERROR(__xludf.DUMMYFUNCTION("IMPORTRANGE(""https://docs.google.com/spreadsheets/d/1SX6NBoVAgQJ6U1MVXOaj8PK2l7WJ3RER9xtqwdhxkhw/edit?usp=sharing"",""อ่างทอง!J440"")"),0)</f>
        <v>0</v>
      </c>
      <c r="J75" s="407">
        <f t="shared" ca="1" si="15"/>
        <v>0</v>
      </c>
      <c r="K75" s="424">
        <f ca="1">IFERROR(__xludf.DUMMYFUNCTION("IMPORTRANGE(""https://docs.google.com/spreadsheets/d/1SX6NBoVAgQJ6U1MVXOaj8PK2l7WJ3RER9xtqwdhxkhw/edit?usp=sharing"",""อ่างทอง!J441"")"),0)</f>
        <v>0</v>
      </c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</row>
    <row r="76" spans="1:25" ht="24" customHeight="1" x14ac:dyDescent="0.5">
      <c r="A76" s="566" t="s">
        <v>91</v>
      </c>
      <c r="B76" s="819"/>
      <c r="C76" s="255">
        <f t="shared" ref="C76:F76" si="23">SUM(C77:C90)</f>
        <v>468020</v>
      </c>
      <c r="D76" s="66">
        <f t="shared" si="23"/>
        <v>0</v>
      </c>
      <c r="E76" s="66">
        <f t="shared" si="23"/>
        <v>468020</v>
      </c>
      <c r="F76" s="101">
        <f t="shared" ca="1" si="23"/>
        <v>59110</v>
      </c>
      <c r="G76" s="101">
        <f t="shared" ca="1" si="1"/>
        <v>12.629802145207469</v>
      </c>
      <c r="H76" s="66">
        <f t="shared" ref="H76:I76" si="24">SUM(H77:H90)</f>
        <v>293</v>
      </c>
      <c r="I76" s="66">
        <f t="shared" ca="1" si="24"/>
        <v>58</v>
      </c>
      <c r="J76" s="101">
        <f t="shared" ca="1" si="15"/>
        <v>19.795221843003414</v>
      </c>
      <c r="K76" s="414">
        <f ca="1">SUM(K77:K90)</f>
        <v>0</v>
      </c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</row>
    <row r="77" spans="1:25" ht="24" customHeight="1" x14ac:dyDescent="0.5">
      <c r="A77" s="508">
        <v>1</v>
      </c>
      <c r="B77" s="269" t="s">
        <v>92</v>
      </c>
      <c r="C77" s="270">
        <f t="shared" ref="C77:C90" si="25">+D77+E77</f>
        <v>34340</v>
      </c>
      <c r="D77" s="48">
        <v>0</v>
      </c>
      <c r="E77" s="48">
        <v>34340</v>
      </c>
      <c r="F77" s="98">
        <f ca="1">IFERROR(__xludf.DUMMYFUNCTION("IMPORTRANGE(""https://docs.google.com/spreadsheets/d/1IYY_tgx_IHuhSq3AJ5eI5OnqOPBNLWSHKh2a30DoXe8/edit?usp=sharing"",""กระบี่!M428"")"),1960)</f>
        <v>1960</v>
      </c>
      <c r="G77" s="98">
        <f t="shared" ca="1" si="1"/>
        <v>5.7076295864880606</v>
      </c>
      <c r="H77" s="398">
        <v>22</v>
      </c>
      <c r="I77" s="48">
        <f ca="1">IFERROR(__xludf.DUMMYFUNCTION("IMPORTRANGE(""https://docs.google.com/spreadsheets/d/1IYY_tgx_IHuhSq3AJ5eI5OnqOPBNLWSHKh2a30DoXe8/edit?usp=sharing"",""กระบี่!J440"")"),0)</f>
        <v>0</v>
      </c>
      <c r="J77" s="399">
        <f t="shared" ca="1" si="15"/>
        <v>0</v>
      </c>
      <c r="K77" s="420">
        <f ca="1">IFERROR(__xludf.DUMMYFUNCTION("IMPORTRANGE(""https://docs.google.com/spreadsheets/d/1IYY_tgx_IHuhSq3AJ5eI5OnqOPBNLWSHKh2a30DoXe8/edit?usp=sharing"",""กระบี่!J441"")"),0)</f>
        <v>0</v>
      </c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</row>
    <row r="78" spans="1:25" ht="24" customHeight="1" x14ac:dyDescent="0.5">
      <c r="A78" s="509">
        <v>2</v>
      </c>
      <c r="B78" s="274" t="s">
        <v>93</v>
      </c>
      <c r="C78" s="275">
        <f t="shared" si="25"/>
        <v>37740</v>
      </c>
      <c r="D78" s="55">
        <v>0</v>
      </c>
      <c r="E78" s="55">
        <v>37740</v>
      </c>
      <c r="F78" s="99">
        <f ca="1">IFERROR(__xludf.DUMMYFUNCTION("IMPORTRANGE(""https://docs.google.com/spreadsheets/d/1IYY_tgx_IHuhSq3AJ5eI5OnqOPBNLWSHKh2a30DoXe8/edit?usp=sharing"",""ชุมพร!M428"")"),0)</f>
        <v>0</v>
      </c>
      <c r="G78" s="99">
        <f t="shared" ca="1" si="1"/>
        <v>0</v>
      </c>
      <c r="H78" s="402">
        <v>26</v>
      </c>
      <c r="I78" s="55">
        <f ca="1">IFERROR(__xludf.DUMMYFUNCTION("IMPORTRANGE(""https://docs.google.com/spreadsheets/d/1IYY_tgx_IHuhSq3AJ5eI5OnqOPBNLWSHKh2a30DoXe8/edit?usp=sharing"",""ชุมพร!J440"")"),0)</f>
        <v>0</v>
      </c>
      <c r="J78" s="403">
        <f t="shared" ca="1" si="15"/>
        <v>0</v>
      </c>
      <c r="K78" s="422">
        <f ca="1">IFERROR(__xludf.DUMMYFUNCTION("IMPORTRANGE(""https://docs.google.com/spreadsheets/d/1IYY_tgx_IHuhSq3AJ5eI5OnqOPBNLWSHKh2a30DoXe8/edit?usp=sharing"",""ชุมพร!J441"")"),0)</f>
        <v>0</v>
      </c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</row>
    <row r="79" spans="1:25" ht="24" customHeight="1" x14ac:dyDescent="0.5">
      <c r="A79" s="509">
        <v>3</v>
      </c>
      <c r="B79" s="274" t="s">
        <v>94</v>
      </c>
      <c r="C79" s="275">
        <f t="shared" si="25"/>
        <v>34340</v>
      </c>
      <c r="D79" s="55">
        <v>0</v>
      </c>
      <c r="E79" s="55">
        <v>34340</v>
      </c>
      <c r="F79" s="99">
        <f ca="1">IFERROR(__xludf.DUMMYFUNCTION("IMPORTRANGE(""https://docs.google.com/spreadsheets/d/1IYY_tgx_IHuhSq3AJ5eI5OnqOPBNLWSHKh2a30DoXe8/edit?usp=sharing"",""ตรัง!M428"")"),13390)</f>
        <v>13390</v>
      </c>
      <c r="G79" s="99">
        <f t="shared" ca="1" si="1"/>
        <v>38.992428654630167</v>
      </c>
      <c r="H79" s="402">
        <v>22</v>
      </c>
      <c r="I79" s="55">
        <f ca="1">IFERROR(__xludf.DUMMYFUNCTION("IMPORTRANGE(""https://docs.google.com/spreadsheets/d/1IYY_tgx_IHuhSq3AJ5eI5OnqOPBNLWSHKh2a30DoXe8/edit?usp=sharing"",""ตรัง!J440"")"),22)</f>
        <v>22</v>
      </c>
      <c r="J79" s="403">
        <f t="shared" ca="1" si="15"/>
        <v>100</v>
      </c>
      <c r="K79" s="422">
        <f ca="1">IFERROR(__xludf.DUMMYFUNCTION("IMPORTRANGE(""https://docs.google.com/spreadsheets/d/1IYY_tgx_IHuhSq3AJ5eI5OnqOPBNLWSHKh2a30DoXe8/edit?usp=sharing"",""ตรัง!J441"")"),0)</f>
        <v>0</v>
      </c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</row>
    <row r="80" spans="1:25" ht="24" customHeight="1" x14ac:dyDescent="0.5">
      <c r="A80" s="509">
        <v>4</v>
      </c>
      <c r="B80" s="274" t="s">
        <v>95</v>
      </c>
      <c r="C80" s="275">
        <f t="shared" si="25"/>
        <v>37740</v>
      </c>
      <c r="D80" s="55">
        <v>0</v>
      </c>
      <c r="E80" s="55">
        <v>37740</v>
      </c>
      <c r="F80" s="99">
        <f ca="1">IFERROR(__xludf.DUMMYFUNCTION("IMPORTRANGE(""https://docs.google.com/spreadsheets/d/1IYY_tgx_IHuhSq3AJ5eI5OnqOPBNLWSHKh2a30DoXe8/edit?usp=sharing"",""นครศรีธรรมราช!M428"")"),4280)</f>
        <v>4280</v>
      </c>
      <c r="G80" s="99">
        <f t="shared" ca="1" si="1"/>
        <v>11.340752517223105</v>
      </c>
      <c r="H80" s="402">
        <v>26</v>
      </c>
      <c r="I80" s="55">
        <f ca="1">IFERROR(__xludf.DUMMYFUNCTION("IMPORTRANGE(""https://docs.google.com/spreadsheets/d/1IYY_tgx_IHuhSq3AJ5eI5OnqOPBNLWSHKh2a30DoXe8/edit?usp=sharing"",""นครศรีธรรมราช!J440"")"),0)</f>
        <v>0</v>
      </c>
      <c r="J80" s="403">
        <f t="shared" ca="1" si="15"/>
        <v>0</v>
      </c>
      <c r="K80" s="422">
        <f ca="1">IFERROR(__xludf.DUMMYFUNCTION("IMPORTRANGE(""https://docs.google.com/spreadsheets/d/1IYY_tgx_IHuhSq3AJ5eI5OnqOPBNLWSHKh2a30DoXe8/edit?usp=sharing"",""นครศรีธรรมราช!J441"")"),0)</f>
        <v>0</v>
      </c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</row>
    <row r="81" spans="1:25" ht="24" customHeight="1" x14ac:dyDescent="0.5">
      <c r="A81" s="509">
        <v>5</v>
      </c>
      <c r="B81" s="274" t="s">
        <v>96</v>
      </c>
      <c r="C81" s="275">
        <f t="shared" si="25"/>
        <v>32640</v>
      </c>
      <c r="D81" s="55">
        <v>0</v>
      </c>
      <c r="E81" s="55">
        <v>32640</v>
      </c>
      <c r="F81" s="99">
        <f ca="1">IFERROR(__xludf.DUMMYFUNCTION("IMPORTRANGE(""https://docs.google.com/spreadsheets/d/1IYY_tgx_IHuhSq3AJ5eI5OnqOPBNLWSHKh2a30DoXe8/edit?usp=sharing"",""นราธิวาส!M428"")"),25680)</f>
        <v>25680</v>
      </c>
      <c r="G81" s="99">
        <f t="shared" ca="1" si="1"/>
        <v>78.67647058823529</v>
      </c>
      <c r="H81" s="402">
        <v>20</v>
      </c>
      <c r="I81" s="55">
        <f ca="1">IFERROR(__xludf.DUMMYFUNCTION("IMPORTRANGE(""https://docs.google.com/spreadsheets/d/1IYY_tgx_IHuhSq3AJ5eI5OnqOPBNLWSHKh2a30DoXe8/edit?usp=sharing"",""นราธิวาส!J440"")"),0)</f>
        <v>0</v>
      </c>
      <c r="J81" s="403">
        <f t="shared" ca="1" si="15"/>
        <v>0</v>
      </c>
      <c r="K81" s="422">
        <f ca="1">IFERROR(__xludf.DUMMYFUNCTION("IMPORTRANGE(""https://docs.google.com/spreadsheets/d/1IYY_tgx_IHuhSq3AJ5eI5OnqOPBNLWSHKh2a30DoXe8/edit?usp=sharing"",""นราธิวาส!J441"")"),0)</f>
        <v>0</v>
      </c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</row>
    <row r="82" spans="1:25" ht="24" customHeight="1" x14ac:dyDescent="0.5">
      <c r="A82" s="509">
        <v>6</v>
      </c>
      <c r="B82" s="274" t="s">
        <v>97</v>
      </c>
      <c r="C82" s="275">
        <f t="shared" si="25"/>
        <v>32640</v>
      </c>
      <c r="D82" s="55">
        <v>0</v>
      </c>
      <c r="E82" s="55">
        <v>32640</v>
      </c>
      <c r="F82" s="99">
        <f ca="1">IFERROR(__xludf.DUMMYFUNCTION("IMPORTRANGE(""https://docs.google.com/spreadsheets/d/1IYY_tgx_IHuhSq3AJ5eI5OnqOPBNLWSHKh2a30DoXe8/edit?usp=sharing"",""ปัตตานี!M428"")"),0)</f>
        <v>0</v>
      </c>
      <c r="G82" s="99">
        <f t="shared" ca="1" si="1"/>
        <v>0</v>
      </c>
      <c r="H82" s="402">
        <v>20</v>
      </c>
      <c r="I82" s="55">
        <f ca="1">IFERROR(__xludf.DUMMYFUNCTION("IMPORTRANGE(""https://docs.google.com/spreadsheets/d/1IYY_tgx_IHuhSq3AJ5eI5OnqOPBNLWSHKh2a30DoXe8/edit?usp=sharing"",""ปัตตานี!J440"")"),0)</f>
        <v>0</v>
      </c>
      <c r="J82" s="403">
        <f t="shared" ca="1" si="15"/>
        <v>0</v>
      </c>
      <c r="K82" s="422">
        <f ca="1">IFERROR(__xludf.DUMMYFUNCTION("IMPORTRANGE(""https://docs.google.com/spreadsheets/d/1IYY_tgx_IHuhSq3AJ5eI5OnqOPBNLWSHKh2a30DoXe8/edit?usp=sharing"",""ปัตตานี!J441"")"),0)</f>
        <v>0</v>
      </c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</row>
    <row r="83" spans="1:25" ht="24" customHeight="1" x14ac:dyDescent="0.5">
      <c r="A83" s="509">
        <v>7</v>
      </c>
      <c r="B83" s="274" t="s">
        <v>98</v>
      </c>
      <c r="C83" s="275">
        <f t="shared" si="25"/>
        <v>36040</v>
      </c>
      <c r="D83" s="55">
        <v>0</v>
      </c>
      <c r="E83" s="55">
        <v>36040</v>
      </c>
      <c r="F83" s="99">
        <f ca="1">IFERROR(__xludf.DUMMYFUNCTION("IMPORTRANGE(""https://docs.google.com/spreadsheets/d/1IYY_tgx_IHuhSq3AJ5eI5OnqOPBNLWSHKh2a30DoXe8/edit?usp=sharing"",""พังงา!M428"")"),1840)</f>
        <v>1840</v>
      </c>
      <c r="G83" s="99">
        <f t="shared" ca="1" si="1"/>
        <v>5.105438401775805</v>
      </c>
      <c r="H83" s="402">
        <v>24</v>
      </c>
      <c r="I83" s="55">
        <f ca="1">IFERROR(__xludf.DUMMYFUNCTION("IMPORTRANGE(""https://docs.google.com/spreadsheets/d/1IYY_tgx_IHuhSq3AJ5eI5OnqOPBNLWSHKh2a30DoXe8/edit?usp=sharing"",""พังงา!J440"")"),0)</f>
        <v>0</v>
      </c>
      <c r="J83" s="403">
        <f t="shared" ca="1" si="15"/>
        <v>0</v>
      </c>
      <c r="K83" s="422">
        <f ca="1">IFERROR(__xludf.DUMMYFUNCTION("IMPORTRANGE(""https://docs.google.com/spreadsheets/d/1IYY_tgx_IHuhSq3AJ5eI5OnqOPBNLWSHKh2a30DoXe8/edit?usp=sharing"",""พังงา!J441"")"),0)</f>
        <v>0</v>
      </c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</row>
    <row r="84" spans="1:25" ht="24" customHeight="1" x14ac:dyDescent="0.5">
      <c r="A84" s="509">
        <v>8</v>
      </c>
      <c r="B84" s="274" t="s">
        <v>99</v>
      </c>
      <c r="C84" s="275">
        <f t="shared" si="25"/>
        <v>32640</v>
      </c>
      <c r="D84" s="55">
        <v>0</v>
      </c>
      <c r="E84" s="55">
        <v>32640</v>
      </c>
      <c r="F84" s="99">
        <f ca="1">IFERROR(__xludf.DUMMYFUNCTION("IMPORTRANGE(""https://docs.google.com/spreadsheets/d/1IYY_tgx_IHuhSq3AJ5eI5OnqOPBNLWSHKh2a30DoXe8/edit?usp=sharing"",""พัทลุง!M428"")"),11960)</f>
        <v>11960</v>
      </c>
      <c r="G84" s="99">
        <f t="shared" ca="1" si="1"/>
        <v>36.642156862745097</v>
      </c>
      <c r="H84" s="402">
        <v>20</v>
      </c>
      <c r="I84" s="55">
        <f ca="1">IFERROR(__xludf.DUMMYFUNCTION("IMPORTRANGE(""https://docs.google.com/spreadsheets/d/1IYY_tgx_IHuhSq3AJ5eI5OnqOPBNLWSHKh2a30DoXe8/edit?usp=sharing"",""พัทลุง!J440"")"),20)</f>
        <v>20</v>
      </c>
      <c r="J84" s="403">
        <f t="shared" ca="1" si="15"/>
        <v>100</v>
      </c>
      <c r="K84" s="422">
        <f ca="1">IFERROR(__xludf.DUMMYFUNCTION("IMPORTRANGE(""https://docs.google.com/spreadsheets/d/1IYY_tgx_IHuhSq3AJ5eI5OnqOPBNLWSHKh2a30DoXe8/edit?usp=sharing"",""พัทลุง!J441"")"),0)</f>
        <v>0</v>
      </c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</row>
    <row r="85" spans="1:25" ht="24" customHeight="1" x14ac:dyDescent="0.5">
      <c r="A85" s="509">
        <v>9</v>
      </c>
      <c r="B85" s="274" t="s">
        <v>100</v>
      </c>
      <c r="C85" s="275">
        <f t="shared" si="25"/>
        <v>26700</v>
      </c>
      <c r="D85" s="55">
        <v>0</v>
      </c>
      <c r="E85" s="55">
        <v>26700</v>
      </c>
      <c r="F85" s="99">
        <f ca="1">IFERROR(__xludf.DUMMYFUNCTION("IMPORTRANGE(""https://docs.google.com/spreadsheets/d/1IYY_tgx_IHuhSq3AJ5eI5OnqOPBNLWSHKh2a30DoXe8/edit?usp=sharing"",""ภูเก็ต!M428"")"),0)</f>
        <v>0</v>
      </c>
      <c r="G85" s="99">
        <f t="shared" ca="1" si="1"/>
        <v>0</v>
      </c>
      <c r="H85" s="402">
        <v>13</v>
      </c>
      <c r="I85" s="55">
        <f ca="1">IFERROR(__xludf.DUMMYFUNCTION("IMPORTRANGE(""https://docs.google.com/spreadsheets/d/1IYY_tgx_IHuhSq3AJ5eI5OnqOPBNLWSHKh2a30DoXe8/edit?usp=sharing"",""ภูเก็ต!J440"")"),0)</f>
        <v>0</v>
      </c>
      <c r="J85" s="403">
        <f t="shared" ca="1" si="15"/>
        <v>0</v>
      </c>
      <c r="K85" s="422">
        <f ca="1">IFERROR(__xludf.DUMMYFUNCTION("IMPORTRANGE(""https://docs.google.com/spreadsheets/d/1IYY_tgx_IHuhSq3AJ5eI5OnqOPBNLWSHKh2a30DoXe8/edit?usp=sharing"",""ภูเก็ต!J441"")"),0)</f>
        <v>0</v>
      </c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</row>
    <row r="86" spans="1:25" ht="24" customHeight="1" x14ac:dyDescent="0.5">
      <c r="A86" s="509">
        <v>10</v>
      </c>
      <c r="B86" s="274" t="s">
        <v>101</v>
      </c>
      <c r="C86" s="275">
        <f t="shared" si="25"/>
        <v>29240</v>
      </c>
      <c r="D86" s="55">
        <v>0</v>
      </c>
      <c r="E86" s="55">
        <v>29240</v>
      </c>
      <c r="F86" s="99">
        <f ca="1">IFERROR(__xludf.DUMMYFUNCTION("IMPORTRANGE(""https://docs.google.com/spreadsheets/d/1IYY_tgx_IHuhSq3AJ5eI5OnqOPBNLWSHKh2a30DoXe8/edit?usp=sharing"",""ยะลา!M428"")"),0)</f>
        <v>0</v>
      </c>
      <c r="G86" s="99">
        <f t="shared" ca="1" si="1"/>
        <v>0</v>
      </c>
      <c r="H86" s="402">
        <v>16</v>
      </c>
      <c r="I86" s="55">
        <f ca="1">IFERROR(__xludf.DUMMYFUNCTION("IMPORTRANGE(""https://docs.google.com/spreadsheets/d/1IYY_tgx_IHuhSq3AJ5eI5OnqOPBNLWSHKh2a30DoXe8/edit?usp=sharing"",""ยะลา!J440"")"),16)</f>
        <v>16</v>
      </c>
      <c r="J86" s="403">
        <f t="shared" ca="1" si="15"/>
        <v>100</v>
      </c>
      <c r="K86" s="422">
        <f ca="1">IFERROR(__xludf.DUMMYFUNCTION("IMPORTRANGE(""https://docs.google.com/spreadsheets/d/1IYY_tgx_IHuhSq3AJ5eI5OnqOPBNLWSHKh2a30DoXe8/edit?usp=sharing"",""ยะลา!J441"")"),0)</f>
        <v>0</v>
      </c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</row>
    <row r="87" spans="1:25" ht="24" customHeight="1" x14ac:dyDescent="0.5">
      <c r="A87" s="509">
        <v>11</v>
      </c>
      <c r="B87" s="274" t="s">
        <v>102</v>
      </c>
      <c r="C87" s="275">
        <f t="shared" si="25"/>
        <v>32640</v>
      </c>
      <c r="D87" s="55">
        <v>0</v>
      </c>
      <c r="E87" s="55">
        <v>32640</v>
      </c>
      <c r="F87" s="99">
        <f ca="1">IFERROR(__xludf.DUMMYFUNCTION("IMPORTRANGE(""https://docs.google.com/spreadsheets/d/1IYY_tgx_IHuhSq3AJ5eI5OnqOPBNLWSHKh2a30DoXe8/edit?usp=sharing"",""ระนอง!M428"")"),0)</f>
        <v>0</v>
      </c>
      <c r="G87" s="99">
        <f t="shared" ca="1" si="1"/>
        <v>0</v>
      </c>
      <c r="H87" s="402">
        <v>20</v>
      </c>
      <c r="I87" s="55">
        <f ca="1">IFERROR(__xludf.DUMMYFUNCTION("IMPORTRANGE(""https://docs.google.com/spreadsheets/d/1IYY_tgx_IHuhSq3AJ5eI5OnqOPBNLWSHKh2a30DoXe8/edit?usp=sharing"",""ระนอง!J440"")"),0)</f>
        <v>0</v>
      </c>
      <c r="J87" s="403">
        <f t="shared" ca="1" si="15"/>
        <v>0</v>
      </c>
      <c r="K87" s="422">
        <f ca="1">IFERROR(__xludf.DUMMYFUNCTION("IMPORTRANGE(""https://docs.google.com/spreadsheets/d/1IYY_tgx_IHuhSq3AJ5eI5OnqOPBNLWSHKh2a30DoXe8/edit?usp=sharing"",""ระนอง!J441"")"),0)</f>
        <v>0</v>
      </c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</row>
    <row r="88" spans="1:25" ht="24" customHeight="1" x14ac:dyDescent="0.5">
      <c r="A88" s="509">
        <v>12</v>
      </c>
      <c r="B88" s="274" t="s">
        <v>103</v>
      </c>
      <c r="C88" s="275">
        <f t="shared" si="25"/>
        <v>32640</v>
      </c>
      <c r="D88" s="55">
        <v>0</v>
      </c>
      <c r="E88" s="55">
        <v>32640</v>
      </c>
      <c r="F88" s="99">
        <f ca="1">IFERROR(__xludf.DUMMYFUNCTION("IMPORTRANGE(""https://docs.google.com/spreadsheets/d/1IYY_tgx_IHuhSq3AJ5eI5OnqOPBNLWSHKh2a30DoXe8/edit?usp=sharing"",""สงขลา!M428"")"),0)</f>
        <v>0</v>
      </c>
      <c r="G88" s="99">
        <f t="shared" ca="1" si="1"/>
        <v>0</v>
      </c>
      <c r="H88" s="402">
        <v>20</v>
      </c>
      <c r="I88" s="55">
        <f ca="1">IFERROR(__xludf.DUMMYFUNCTION("IMPORTRANGE(""https://docs.google.com/spreadsheets/d/1IYY_tgx_IHuhSq3AJ5eI5OnqOPBNLWSHKh2a30DoXe8/edit?usp=sharing"",""สงขลา!J440"")"),0)</f>
        <v>0</v>
      </c>
      <c r="J88" s="403">
        <f t="shared" ca="1" si="15"/>
        <v>0</v>
      </c>
      <c r="K88" s="422">
        <f ca="1">IFERROR(__xludf.DUMMYFUNCTION("IMPORTRANGE(""https://docs.google.com/spreadsheets/d/1IYY_tgx_IHuhSq3AJ5eI5OnqOPBNLWSHKh2a30DoXe8/edit?usp=sharing"",""สงขลา!J441"")"),0)</f>
        <v>0</v>
      </c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</row>
    <row r="89" spans="1:25" ht="24" customHeight="1" x14ac:dyDescent="0.5">
      <c r="A89" s="509">
        <v>13</v>
      </c>
      <c r="B89" s="274" t="s">
        <v>104</v>
      </c>
      <c r="C89" s="275">
        <f t="shared" si="25"/>
        <v>32640</v>
      </c>
      <c r="D89" s="55">
        <v>0</v>
      </c>
      <c r="E89" s="55">
        <v>32640</v>
      </c>
      <c r="F89" s="99">
        <f ca="1">IFERROR(__xludf.DUMMYFUNCTION("IMPORTRANGE(""https://docs.google.com/spreadsheets/d/1IYY_tgx_IHuhSq3AJ5eI5OnqOPBNLWSHKh2a30DoXe8/edit?usp=sharing"",""สตูล!M428"")"),0)</f>
        <v>0</v>
      </c>
      <c r="G89" s="99">
        <f t="shared" ca="1" si="1"/>
        <v>0</v>
      </c>
      <c r="H89" s="402">
        <v>20</v>
      </c>
      <c r="I89" s="55">
        <f ca="1">IFERROR(__xludf.DUMMYFUNCTION("IMPORTRANGE(""https://docs.google.com/spreadsheets/d/1IYY_tgx_IHuhSq3AJ5eI5OnqOPBNLWSHKh2a30DoXe8/edit?usp=sharing"",""สตูล!J440"")"),0)</f>
        <v>0</v>
      </c>
      <c r="J89" s="403">
        <f t="shared" ca="1" si="15"/>
        <v>0</v>
      </c>
      <c r="K89" s="422">
        <f ca="1">IFERROR(__xludf.DUMMYFUNCTION("IMPORTRANGE(""https://docs.google.com/spreadsheets/d/1IYY_tgx_IHuhSq3AJ5eI5OnqOPBNLWSHKh2a30DoXe8/edit?usp=sharing"",""สตูล!J441"")"),0)</f>
        <v>0</v>
      </c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</row>
    <row r="90" spans="1:25" ht="24" customHeight="1" x14ac:dyDescent="0.5">
      <c r="A90" s="510">
        <v>14</v>
      </c>
      <c r="B90" s="279" t="s">
        <v>105</v>
      </c>
      <c r="C90" s="280">
        <f t="shared" si="25"/>
        <v>36040</v>
      </c>
      <c r="D90" s="62">
        <v>0</v>
      </c>
      <c r="E90" s="62">
        <v>36040</v>
      </c>
      <c r="F90" s="100">
        <f ca="1">IFERROR(__xludf.DUMMYFUNCTION("IMPORTRANGE(""https://docs.google.com/spreadsheets/d/1IYY_tgx_IHuhSq3AJ5eI5OnqOPBNLWSHKh2a30DoXe8/edit?usp=sharing"",""สุราษฎร์ธานี!M428"")"),0)</f>
        <v>0</v>
      </c>
      <c r="G90" s="100">
        <f t="shared" ca="1" si="1"/>
        <v>0</v>
      </c>
      <c r="H90" s="406">
        <v>24</v>
      </c>
      <c r="I90" s="62">
        <f ca="1">IFERROR(__xludf.DUMMYFUNCTION("IMPORTRANGE(""https://docs.google.com/spreadsheets/d/1IYY_tgx_IHuhSq3AJ5eI5OnqOPBNLWSHKh2a30DoXe8/edit?usp=sharing"",""สุราษฎร์ธานี!J440"")"),0)</f>
        <v>0</v>
      </c>
      <c r="J90" s="407">
        <f t="shared" ca="1" si="15"/>
        <v>0</v>
      </c>
      <c r="K90" s="424">
        <f ca="1">IFERROR(__xludf.DUMMYFUNCTION("IMPORTRANGE(""https://docs.google.com/spreadsheets/d/1IYY_tgx_IHuhSq3AJ5eI5OnqOPBNLWSHKh2a30DoXe8/edit?usp=sharing"",""สุราษฎร์ธานี!J441"")"),0)</f>
        <v>0</v>
      </c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</row>
    <row r="91" spans="1:25" ht="24" customHeight="1" x14ac:dyDescent="0.5">
      <c r="A91" s="572" t="s">
        <v>106</v>
      </c>
      <c r="B91" s="819"/>
      <c r="C91" s="250">
        <f t="shared" ref="C91:F91" si="26">+C92+C93+C94+C95+C96+C97+C98+C99+C100+C101+C102+C103+C104+C105</f>
        <v>1543780</v>
      </c>
      <c r="D91" s="35">
        <f t="shared" si="26"/>
        <v>0</v>
      </c>
      <c r="E91" s="35">
        <f t="shared" si="26"/>
        <v>1543780</v>
      </c>
      <c r="F91" s="35">
        <f t="shared" si="26"/>
        <v>0</v>
      </c>
      <c r="G91" s="92">
        <f t="shared" si="1"/>
        <v>0</v>
      </c>
      <c r="H91" s="35">
        <f t="shared" ref="H91:I91" si="27">+H92+H93+H94+H95+H96+H97+H98+H99+H100+H101+H102+H103+H104+H105</f>
        <v>0</v>
      </c>
      <c r="I91" s="35">
        <f t="shared" si="27"/>
        <v>0</v>
      </c>
      <c r="J91" s="92">
        <f>IF(H91&gt;0,#REF!*100/H91,0)</f>
        <v>0</v>
      </c>
      <c r="K91" s="415">
        <f>+K92+K93+K94+K95+K96+K97+K98+K99+K100+K101+K102+K103+K104+K105</f>
        <v>0</v>
      </c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</row>
    <row r="92" spans="1:25" ht="24" customHeight="1" x14ac:dyDescent="0.5">
      <c r="A92" s="68">
        <v>1</v>
      </c>
      <c r="B92" s="69" t="s">
        <v>107</v>
      </c>
      <c r="C92" s="270">
        <f t="shared" ref="C92:C105" si="28">+D92+E92</f>
        <v>0</v>
      </c>
      <c r="D92" s="48">
        <v>0</v>
      </c>
      <c r="E92" s="48">
        <v>0</v>
      </c>
      <c r="F92" s="98">
        <v>0</v>
      </c>
      <c r="G92" s="98">
        <f t="shared" si="1"/>
        <v>0</v>
      </c>
      <c r="H92" s="398">
        <v>0</v>
      </c>
      <c r="I92" s="48">
        <v>0</v>
      </c>
      <c r="J92" s="399">
        <f t="shared" ref="J92:J105" si="29">IF(H92&gt;0,I92*100/H92,0)</f>
        <v>0</v>
      </c>
      <c r="K92" s="420">
        <v>0</v>
      </c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</row>
    <row r="93" spans="1:25" ht="24" customHeight="1" x14ac:dyDescent="0.5">
      <c r="A93" s="70">
        <v>2</v>
      </c>
      <c r="B93" s="71" t="s">
        <v>108</v>
      </c>
      <c r="C93" s="275">
        <f t="shared" si="28"/>
        <v>0</v>
      </c>
      <c r="D93" s="55">
        <v>0</v>
      </c>
      <c r="E93" s="55">
        <v>0</v>
      </c>
      <c r="F93" s="99">
        <v>0</v>
      </c>
      <c r="G93" s="99">
        <f t="shared" si="1"/>
        <v>0</v>
      </c>
      <c r="H93" s="402">
        <v>0</v>
      </c>
      <c r="I93" s="55">
        <v>0</v>
      </c>
      <c r="J93" s="403">
        <f t="shared" si="29"/>
        <v>0</v>
      </c>
      <c r="K93" s="422">
        <v>0</v>
      </c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</row>
    <row r="94" spans="1:25" ht="24" customHeight="1" x14ac:dyDescent="0.5">
      <c r="A94" s="70">
        <v>3</v>
      </c>
      <c r="B94" s="71" t="s">
        <v>109</v>
      </c>
      <c r="C94" s="275">
        <f t="shared" si="28"/>
        <v>0</v>
      </c>
      <c r="D94" s="55">
        <v>0</v>
      </c>
      <c r="E94" s="55">
        <v>0</v>
      </c>
      <c r="F94" s="99">
        <v>0</v>
      </c>
      <c r="G94" s="99">
        <f t="shared" si="1"/>
        <v>0</v>
      </c>
      <c r="H94" s="402">
        <v>0</v>
      </c>
      <c r="I94" s="55">
        <v>0</v>
      </c>
      <c r="J94" s="403">
        <f t="shared" si="29"/>
        <v>0</v>
      </c>
      <c r="K94" s="422">
        <v>0</v>
      </c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</row>
    <row r="95" spans="1:25" ht="24" customHeight="1" x14ac:dyDescent="0.5">
      <c r="A95" s="70">
        <f t="shared" ref="A95:A105" si="30">+A94+1</f>
        <v>4</v>
      </c>
      <c r="B95" s="71" t="s">
        <v>110</v>
      </c>
      <c r="C95" s="275">
        <f t="shared" si="28"/>
        <v>0</v>
      </c>
      <c r="D95" s="55">
        <v>0</v>
      </c>
      <c r="E95" s="55">
        <v>0</v>
      </c>
      <c r="F95" s="99">
        <v>0</v>
      </c>
      <c r="G95" s="99">
        <f t="shared" si="1"/>
        <v>0</v>
      </c>
      <c r="H95" s="402">
        <v>0</v>
      </c>
      <c r="I95" s="55">
        <v>0</v>
      </c>
      <c r="J95" s="403">
        <f t="shared" si="29"/>
        <v>0</v>
      </c>
      <c r="K95" s="422">
        <v>0</v>
      </c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</row>
    <row r="96" spans="1:25" ht="24" customHeight="1" x14ac:dyDescent="0.5">
      <c r="A96" s="70">
        <f t="shared" si="30"/>
        <v>5</v>
      </c>
      <c r="B96" s="71" t="s">
        <v>111</v>
      </c>
      <c r="C96" s="275">
        <f t="shared" si="28"/>
        <v>0</v>
      </c>
      <c r="D96" s="55">
        <v>0</v>
      </c>
      <c r="E96" s="55">
        <v>0</v>
      </c>
      <c r="F96" s="99">
        <v>0</v>
      </c>
      <c r="G96" s="99">
        <f t="shared" si="1"/>
        <v>0</v>
      </c>
      <c r="H96" s="402">
        <v>0</v>
      </c>
      <c r="I96" s="55">
        <v>0</v>
      </c>
      <c r="J96" s="403">
        <f t="shared" si="29"/>
        <v>0</v>
      </c>
      <c r="K96" s="422">
        <v>0</v>
      </c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</row>
    <row r="97" spans="1:25" ht="24" customHeight="1" x14ac:dyDescent="0.5">
      <c r="A97" s="70">
        <f t="shared" si="30"/>
        <v>6</v>
      </c>
      <c r="B97" s="71" t="s">
        <v>112</v>
      </c>
      <c r="C97" s="275">
        <f t="shared" si="28"/>
        <v>0</v>
      </c>
      <c r="D97" s="55">
        <v>0</v>
      </c>
      <c r="E97" s="55">
        <v>0</v>
      </c>
      <c r="F97" s="99">
        <v>0</v>
      </c>
      <c r="G97" s="99">
        <f t="shared" si="1"/>
        <v>0</v>
      </c>
      <c r="H97" s="402">
        <v>0</v>
      </c>
      <c r="I97" s="55">
        <v>0</v>
      </c>
      <c r="J97" s="403">
        <f t="shared" si="29"/>
        <v>0</v>
      </c>
      <c r="K97" s="422">
        <v>0</v>
      </c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</row>
    <row r="98" spans="1:25" ht="24" customHeight="1" x14ac:dyDescent="0.5">
      <c r="A98" s="70">
        <f t="shared" si="30"/>
        <v>7</v>
      </c>
      <c r="B98" s="71" t="s">
        <v>113</v>
      </c>
      <c r="C98" s="275">
        <f t="shared" si="28"/>
        <v>1543780</v>
      </c>
      <c r="D98" s="55">
        <v>0</v>
      </c>
      <c r="E98" s="55">
        <v>1543780</v>
      </c>
      <c r="F98" s="99">
        <v>0</v>
      </c>
      <c r="G98" s="99">
        <f t="shared" si="1"/>
        <v>0</v>
      </c>
      <c r="H98" s="402">
        <v>0</v>
      </c>
      <c r="I98" s="55">
        <v>0</v>
      </c>
      <c r="J98" s="403">
        <f t="shared" si="29"/>
        <v>0</v>
      </c>
      <c r="K98" s="422">
        <v>0</v>
      </c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</row>
    <row r="99" spans="1:25" ht="24" customHeight="1" x14ac:dyDescent="0.5">
      <c r="A99" s="70">
        <f t="shared" si="30"/>
        <v>8</v>
      </c>
      <c r="B99" s="71" t="s">
        <v>114</v>
      </c>
      <c r="C99" s="275">
        <f t="shared" si="28"/>
        <v>0</v>
      </c>
      <c r="D99" s="55">
        <v>0</v>
      </c>
      <c r="E99" s="55">
        <v>0</v>
      </c>
      <c r="F99" s="99">
        <v>0</v>
      </c>
      <c r="G99" s="99">
        <f t="shared" si="1"/>
        <v>0</v>
      </c>
      <c r="H99" s="402">
        <v>0</v>
      </c>
      <c r="I99" s="55">
        <v>0</v>
      </c>
      <c r="J99" s="403">
        <f t="shared" si="29"/>
        <v>0</v>
      </c>
      <c r="K99" s="422">
        <v>0</v>
      </c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</row>
    <row r="100" spans="1:25" ht="24" customHeight="1" x14ac:dyDescent="0.5">
      <c r="A100" s="70">
        <f t="shared" si="30"/>
        <v>9</v>
      </c>
      <c r="B100" s="71" t="s">
        <v>115</v>
      </c>
      <c r="C100" s="275">
        <f t="shared" si="28"/>
        <v>0</v>
      </c>
      <c r="D100" s="55">
        <v>0</v>
      </c>
      <c r="E100" s="55">
        <v>0</v>
      </c>
      <c r="F100" s="99">
        <v>0</v>
      </c>
      <c r="G100" s="99">
        <f t="shared" si="1"/>
        <v>0</v>
      </c>
      <c r="H100" s="402">
        <v>0</v>
      </c>
      <c r="I100" s="55">
        <v>0</v>
      </c>
      <c r="J100" s="403">
        <f t="shared" si="29"/>
        <v>0</v>
      </c>
      <c r="K100" s="422">
        <v>0</v>
      </c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</row>
    <row r="101" spans="1:25" ht="24" customHeight="1" x14ac:dyDescent="0.5">
      <c r="A101" s="70">
        <f t="shared" si="30"/>
        <v>10</v>
      </c>
      <c r="B101" s="71" t="s">
        <v>116</v>
      </c>
      <c r="C101" s="275">
        <f t="shared" si="28"/>
        <v>0</v>
      </c>
      <c r="D101" s="55">
        <v>0</v>
      </c>
      <c r="E101" s="55">
        <v>0</v>
      </c>
      <c r="F101" s="99">
        <v>0</v>
      </c>
      <c r="G101" s="99">
        <f t="shared" si="1"/>
        <v>0</v>
      </c>
      <c r="H101" s="402">
        <v>0</v>
      </c>
      <c r="I101" s="55">
        <v>0</v>
      </c>
      <c r="J101" s="403">
        <f t="shared" si="29"/>
        <v>0</v>
      </c>
      <c r="K101" s="422">
        <v>0</v>
      </c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</row>
    <row r="102" spans="1:25" ht="24" customHeight="1" x14ac:dyDescent="0.5">
      <c r="A102" s="70">
        <f t="shared" si="30"/>
        <v>11</v>
      </c>
      <c r="B102" s="71" t="s">
        <v>117</v>
      </c>
      <c r="C102" s="275">
        <f t="shared" si="28"/>
        <v>0</v>
      </c>
      <c r="D102" s="55">
        <v>0</v>
      </c>
      <c r="E102" s="55">
        <v>0</v>
      </c>
      <c r="F102" s="99">
        <v>0</v>
      </c>
      <c r="G102" s="99">
        <f t="shared" si="1"/>
        <v>0</v>
      </c>
      <c r="H102" s="402">
        <v>0</v>
      </c>
      <c r="I102" s="55">
        <v>0</v>
      </c>
      <c r="J102" s="403">
        <f t="shared" si="29"/>
        <v>0</v>
      </c>
      <c r="K102" s="422">
        <v>0</v>
      </c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</row>
    <row r="103" spans="1:25" ht="24" customHeight="1" x14ac:dyDescent="0.5">
      <c r="A103" s="70">
        <f t="shared" si="30"/>
        <v>12</v>
      </c>
      <c r="B103" s="71" t="s">
        <v>118</v>
      </c>
      <c r="C103" s="275">
        <f t="shared" si="28"/>
        <v>0</v>
      </c>
      <c r="D103" s="55">
        <v>0</v>
      </c>
      <c r="E103" s="55">
        <v>0</v>
      </c>
      <c r="F103" s="99">
        <v>0</v>
      </c>
      <c r="G103" s="99">
        <f t="shared" si="1"/>
        <v>0</v>
      </c>
      <c r="H103" s="402">
        <v>0</v>
      </c>
      <c r="I103" s="55">
        <v>0</v>
      </c>
      <c r="J103" s="403">
        <f t="shared" si="29"/>
        <v>0</v>
      </c>
      <c r="K103" s="422">
        <v>0</v>
      </c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</row>
    <row r="104" spans="1:25" ht="24" customHeight="1" x14ac:dyDescent="0.5">
      <c r="A104" s="70">
        <f t="shared" si="30"/>
        <v>13</v>
      </c>
      <c r="B104" s="71" t="s">
        <v>119</v>
      </c>
      <c r="C104" s="275">
        <f t="shared" si="28"/>
        <v>0</v>
      </c>
      <c r="D104" s="55">
        <v>0</v>
      </c>
      <c r="E104" s="55">
        <v>0</v>
      </c>
      <c r="F104" s="99">
        <v>0</v>
      </c>
      <c r="G104" s="99">
        <f t="shared" si="1"/>
        <v>0</v>
      </c>
      <c r="H104" s="402">
        <v>0</v>
      </c>
      <c r="I104" s="55">
        <v>0</v>
      </c>
      <c r="J104" s="403">
        <f t="shared" si="29"/>
        <v>0</v>
      </c>
      <c r="K104" s="422">
        <v>0</v>
      </c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</row>
    <row r="105" spans="1:25" ht="24" customHeight="1" x14ac:dyDescent="0.5">
      <c r="A105" s="72">
        <f t="shared" si="30"/>
        <v>14</v>
      </c>
      <c r="B105" s="73" t="s">
        <v>120</v>
      </c>
      <c r="C105" s="280">
        <f t="shared" si="28"/>
        <v>0</v>
      </c>
      <c r="D105" s="62">
        <v>0</v>
      </c>
      <c r="E105" s="62">
        <v>0</v>
      </c>
      <c r="F105" s="100">
        <v>0</v>
      </c>
      <c r="G105" s="100">
        <f t="shared" si="1"/>
        <v>0</v>
      </c>
      <c r="H105" s="406">
        <v>0</v>
      </c>
      <c r="I105" s="62">
        <v>0</v>
      </c>
      <c r="J105" s="407">
        <f t="shared" si="29"/>
        <v>0</v>
      </c>
      <c r="K105" s="424">
        <v>0</v>
      </c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</row>
    <row r="106" spans="1:25" ht="24" customHeight="1" x14ac:dyDescent="0.5">
      <c r="A106" s="572" t="s">
        <v>121</v>
      </c>
      <c r="B106" s="819"/>
      <c r="C106" s="250">
        <f t="shared" ref="C106:F106" si="31">+C107+C108+C109+C110+C111+C112+C113+C114</f>
        <v>0</v>
      </c>
      <c r="D106" s="35">
        <f t="shared" si="31"/>
        <v>0</v>
      </c>
      <c r="E106" s="35">
        <f t="shared" si="31"/>
        <v>0</v>
      </c>
      <c r="F106" s="35">
        <f t="shared" si="31"/>
        <v>0</v>
      </c>
      <c r="G106" s="92">
        <f t="shared" si="1"/>
        <v>0</v>
      </c>
      <c r="H106" s="35">
        <f t="shared" ref="H106:I106" si="32">+H107+H108+H109+H110+H111+H112+H113+H114</f>
        <v>0</v>
      </c>
      <c r="I106" s="35">
        <f t="shared" si="32"/>
        <v>0</v>
      </c>
      <c r="J106" s="92">
        <f>IF(H106&gt;0,#REF!*100/H106,0)</f>
        <v>0</v>
      </c>
      <c r="K106" s="415">
        <f>+K107+K108+K109+K110+K111+K112+K113+K114</f>
        <v>0</v>
      </c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</row>
    <row r="107" spans="1:25" ht="24" customHeight="1" x14ac:dyDescent="0.5">
      <c r="A107" s="68">
        <v>1</v>
      </c>
      <c r="B107" s="69" t="s">
        <v>122</v>
      </c>
      <c r="C107" s="270">
        <f t="shared" ref="C107:C114" si="33">+D107+E107</f>
        <v>0</v>
      </c>
      <c r="D107" s="48">
        <v>0</v>
      </c>
      <c r="E107" s="48">
        <v>0</v>
      </c>
      <c r="F107" s="98">
        <v>0</v>
      </c>
      <c r="G107" s="98">
        <f t="shared" si="1"/>
        <v>0</v>
      </c>
      <c r="H107" s="398">
        <v>0</v>
      </c>
      <c r="I107" s="48">
        <v>0</v>
      </c>
      <c r="J107" s="399">
        <f t="shared" ref="J107:J114" si="34">IF(H107&gt;0,I107*100/H107,0)</f>
        <v>0</v>
      </c>
      <c r="K107" s="420">
        <v>0</v>
      </c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</row>
    <row r="108" spans="1:25" ht="24" customHeight="1" x14ac:dyDescent="0.5">
      <c r="A108" s="70">
        <v>2</v>
      </c>
      <c r="B108" s="71" t="s">
        <v>123</v>
      </c>
      <c r="C108" s="275">
        <f t="shared" si="33"/>
        <v>0</v>
      </c>
      <c r="D108" s="55">
        <v>0</v>
      </c>
      <c r="E108" s="55">
        <v>0</v>
      </c>
      <c r="F108" s="99">
        <v>0</v>
      </c>
      <c r="G108" s="99">
        <f t="shared" si="1"/>
        <v>0</v>
      </c>
      <c r="H108" s="402">
        <v>0</v>
      </c>
      <c r="I108" s="55">
        <v>0</v>
      </c>
      <c r="J108" s="403">
        <f t="shared" si="34"/>
        <v>0</v>
      </c>
      <c r="K108" s="422">
        <v>0</v>
      </c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</row>
    <row r="109" spans="1:25" ht="24" customHeight="1" x14ac:dyDescent="0.5">
      <c r="A109" s="70">
        <v>3</v>
      </c>
      <c r="B109" s="71" t="s">
        <v>124</v>
      </c>
      <c r="C109" s="275">
        <f t="shared" si="33"/>
        <v>0</v>
      </c>
      <c r="D109" s="55">
        <v>0</v>
      </c>
      <c r="E109" s="55">
        <v>0</v>
      </c>
      <c r="F109" s="99">
        <v>0</v>
      </c>
      <c r="G109" s="99">
        <f t="shared" si="1"/>
        <v>0</v>
      </c>
      <c r="H109" s="402">
        <v>0</v>
      </c>
      <c r="I109" s="55">
        <v>0</v>
      </c>
      <c r="J109" s="403">
        <f t="shared" si="34"/>
        <v>0</v>
      </c>
      <c r="K109" s="422">
        <v>0</v>
      </c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</row>
    <row r="110" spans="1:25" ht="24" customHeight="1" x14ac:dyDescent="0.5">
      <c r="A110" s="70">
        <f t="shared" ref="A110:A112" si="35">+A109+1</f>
        <v>4</v>
      </c>
      <c r="B110" s="71" t="s">
        <v>125</v>
      </c>
      <c r="C110" s="275">
        <f t="shared" si="33"/>
        <v>0</v>
      </c>
      <c r="D110" s="55">
        <v>0</v>
      </c>
      <c r="E110" s="55">
        <v>0</v>
      </c>
      <c r="F110" s="99">
        <v>0</v>
      </c>
      <c r="G110" s="99">
        <f t="shared" si="1"/>
        <v>0</v>
      </c>
      <c r="H110" s="402">
        <v>0</v>
      </c>
      <c r="I110" s="55">
        <v>0</v>
      </c>
      <c r="J110" s="403">
        <f t="shared" si="34"/>
        <v>0</v>
      </c>
      <c r="K110" s="422">
        <v>0</v>
      </c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</row>
    <row r="111" spans="1:25" ht="24" customHeight="1" x14ac:dyDescent="0.5">
      <c r="A111" s="70">
        <f t="shared" si="35"/>
        <v>5</v>
      </c>
      <c r="B111" s="71" t="s">
        <v>126</v>
      </c>
      <c r="C111" s="275">
        <f t="shared" si="33"/>
        <v>0</v>
      </c>
      <c r="D111" s="55">
        <v>0</v>
      </c>
      <c r="E111" s="55">
        <v>0</v>
      </c>
      <c r="F111" s="99">
        <v>0</v>
      </c>
      <c r="G111" s="99">
        <f t="shared" si="1"/>
        <v>0</v>
      </c>
      <c r="H111" s="402">
        <v>0</v>
      </c>
      <c r="I111" s="55">
        <v>0</v>
      </c>
      <c r="J111" s="403">
        <f t="shared" si="34"/>
        <v>0</v>
      </c>
      <c r="K111" s="422">
        <v>0</v>
      </c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</row>
    <row r="112" spans="1:25" ht="24" customHeight="1" x14ac:dyDescent="0.5">
      <c r="A112" s="70">
        <f t="shared" si="35"/>
        <v>6</v>
      </c>
      <c r="B112" s="71" t="s">
        <v>127</v>
      </c>
      <c r="C112" s="275">
        <f t="shared" si="33"/>
        <v>0</v>
      </c>
      <c r="D112" s="55">
        <v>0</v>
      </c>
      <c r="E112" s="55">
        <v>0</v>
      </c>
      <c r="F112" s="99">
        <v>0</v>
      </c>
      <c r="G112" s="99">
        <f t="shared" si="1"/>
        <v>0</v>
      </c>
      <c r="H112" s="402">
        <v>0</v>
      </c>
      <c r="I112" s="55">
        <v>0</v>
      </c>
      <c r="J112" s="403">
        <f t="shared" si="34"/>
        <v>0</v>
      </c>
      <c r="K112" s="422">
        <v>0</v>
      </c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</row>
    <row r="113" spans="1:25" ht="24" customHeight="1" x14ac:dyDescent="0.5">
      <c r="A113" s="70">
        <v>7</v>
      </c>
      <c r="B113" s="71" t="s">
        <v>128</v>
      </c>
      <c r="C113" s="275">
        <f t="shared" si="33"/>
        <v>0</v>
      </c>
      <c r="D113" s="55">
        <v>0</v>
      </c>
      <c r="E113" s="55">
        <v>0</v>
      </c>
      <c r="F113" s="99">
        <v>0</v>
      </c>
      <c r="G113" s="99">
        <f t="shared" si="1"/>
        <v>0</v>
      </c>
      <c r="H113" s="402">
        <v>0</v>
      </c>
      <c r="I113" s="55">
        <v>0</v>
      </c>
      <c r="J113" s="403">
        <f t="shared" si="34"/>
        <v>0</v>
      </c>
      <c r="K113" s="422">
        <v>0</v>
      </c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</row>
    <row r="114" spans="1:25" ht="24" customHeight="1" thickBot="1" x14ac:dyDescent="0.55000000000000004">
      <c r="A114" s="76">
        <v>8</v>
      </c>
      <c r="B114" s="494" t="s">
        <v>129</v>
      </c>
      <c r="C114" s="286">
        <f t="shared" si="33"/>
        <v>0</v>
      </c>
      <c r="D114" s="79">
        <v>0</v>
      </c>
      <c r="E114" s="79">
        <v>0</v>
      </c>
      <c r="F114" s="104">
        <v>0</v>
      </c>
      <c r="G114" s="104">
        <f t="shared" si="1"/>
        <v>0</v>
      </c>
      <c r="H114" s="433">
        <v>0</v>
      </c>
      <c r="I114" s="79">
        <v>0</v>
      </c>
      <c r="J114" s="434">
        <f t="shared" si="34"/>
        <v>0</v>
      </c>
      <c r="K114" s="426">
        <v>0</v>
      </c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</row>
    <row r="115" spans="1:25" s="203" customFormat="1" ht="24" customHeight="1" x14ac:dyDescent="0.55000000000000004">
      <c r="A115" s="467" t="s">
        <v>322</v>
      </c>
    </row>
    <row r="116" spans="1:25" ht="24" customHeight="1" x14ac:dyDescent="0.5">
      <c r="A116" s="3"/>
      <c r="B116" s="3"/>
      <c r="C116" s="3"/>
      <c r="D116" s="3"/>
      <c r="E116" s="3"/>
      <c r="F116" s="3"/>
      <c r="G116" s="3"/>
      <c r="H116" s="3"/>
      <c r="I116" s="435"/>
      <c r="J116" s="4"/>
      <c r="K116" s="435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</row>
    <row r="117" spans="1:25" ht="24" customHeight="1" x14ac:dyDescent="0.5">
      <c r="A117" s="3"/>
      <c r="B117" s="3"/>
      <c r="C117" s="3"/>
      <c r="D117" s="3"/>
      <c r="E117" s="3"/>
      <c r="F117" s="3"/>
      <c r="G117" s="3"/>
      <c r="H117" s="3"/>
      <c r="I117" s="435"/>
      <c r="J117" s="4"/>
      <c r="K117" s="435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</row>
    <row r="118" spans="1:25" ht="24" customHeight="1" x14ac:dyDescent="0.5">
      <c r="A118" s="3"/>
      <c r="B118" s="3"/>
      <c r="C118" s="3"/>
      <c r="D118" s="3"/>
      <c r="E118" s="3"/>
      <c r="F118" s="3"/>
      <c r="G118" s="3"/>
      <c r="H118" s="3"/>
      <c r="I118" s="435"/>
      <c r="J118" s="4"/>
      <c r="K118" s="435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</row>
    <row r="119" spans="1:25" ht="24" customHeight="1" x14ac:dyDescent="0.5">
      <c r="A119" s="3"/>
      <c r="B119" s="3"/>
      <c r="C119" s="3"/>
      <c r="D119" s="3"/>
      <c r="E119" s="3"/>
      <c r="F119" s="3"/>
      <c r="G119" s="3"/>
      <c r="H119" s="3"/>
      <c r="I119" s="435"/>
      <c r="J119" s="4"/>
      <c r="K119" s="435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</row>
    <row r="120" spans="1:25" ht="24" customHeight="1" x14ac:dyDescent="0.5">
      <c r="A120" s="3"/>
      <c r="B120" s="3"/>
      <c r="C120" s="3"/>
      <c r="D120" s="3"/>
      <c r="E120" s="3"/>
      <c r="F120" s="3"/>
      <c r="G120" s="3"/>
      <c r="H120" s="3"/>
      <c r="I120" s="435"/>
      <c r="J120" s="4"/>
      <c r="K120" s="435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</row>
    <row r="121" spans="1:25" ht="24" customHeight="1" x14ac:dyDescent="0.5">
      <c r="A121" s="3"/>
      <c r="B121" s="3"/>
      <c r="C121" s="3"/>
      <c r="D121" s="3"/>
      <c r="E121" s="3"/>
      <c r="F121" s="3"/>
      <c r="G121" s="3"/>
      <c r="H121" s="3"/>
      <c r="I121" s="435"/>
      <c r="J121" s="4"/>
      <c r="K121" s="435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</row>
    <row r="122" spans="1:25" ht="24" customHeight="1" x14ac:dyDescent="0.5">
      <c r="A122" s="3"/>
      <c r="B122" s="3"/>
      <c r="C122" s="3"/>
      <c r="D122" s="3"/>
      <c r="E122" s="3"/>
      <c r="F122" s="3"/>
      <c r="G122" s="3"/>
      <c r="H122" s="3"/>
      <c r="I122" s="435"/>
      <c r="J122" s="4"/>
      <c r="K122" s="435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</row>
    <row r="123" spans="1:25" ht="24" customHeight="1" x14ac:dyDescent="0.5">
      <c r="A123" s="3"/>
      <c r="B123" s="3"/>
      <c r="C123" s="3"/>
      <c r="D123" s="3"/>
      <c r="E123" s="3"/>
      <c r="F123" s="3"/>
      <c r="G123" s="3"/>
      <c r="H123" s="3"/>
      <c r="I123" s="435"/>
      <c r="J123" s="4"/>
      <c r="K123" s="435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</row>
    <row r="124" spans="1:25" ht="24" customHeight="1" x14ac:dyDescent="0.5">
      <c r="A124" s="3"/>
      <c r="B124" s="3"/>
      <c r="C124" s="3"/>
      <c r="D124" s="3"/>
      <c r="E124" s="3"/>
      <c r="F124" s="3"/>
      <c r="G124" s="3"/>
      <c r="H124" s="3"/>
      <c r="I124" s="435"/>
      <c r="J124" s="4"/>
      <c r="K124" s="435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</row>
    <row r="125" spans="1:25" ht="24" customHeight="1" x14ac:dyDescent="0.5">
      <c r="A125" s="3"/>
      <c r="B125" s="3"/>
      <c r="C125" s="3"/>
      <c r="D125" s="3"/>
      <c r="E125" s="3"/>
      <c r="F125" s="3"/>
      <c r="G125" s="3"/>
      <c r="H125" s="3"/>
      <c r="I125" s="435"/>
      <c r="J125" s="4"/>
      <c r="K125" s="435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</row>
    <row r="126" spans="1:25" ht="24" customHeight="1" x14ac:dyDescent="0.5">
      <c r="A126" s="3"/>
      <c r="B126" s="3"/>
      <c r="C126" s="3"/>
      <c r="D126" s="3"/>
      <c r="E126" s="3"/>
      <c r="F126" s="3"/>
      <c r="G126" s="3"/>
      <c r="H126" s="3"/>
      <c r="I126" s="435"/>
      <c r="J126" s="4"/>
      <c r="K126" s="435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</row>
    <row r="127" spans="1:25" ht="24" customHeight="1" x14ac:dyDescent="0.5">
      <c r="A127" s="3"/>
      <c r="B127" s="3"/>
      <c r="C127" s="3"/>
      <c r="D127" s="3"/>
      <c r="E127" s="3"/>
      <c r="F127" s="3"/>
      <c r="G127" s="3"/>
      <c r="H127" s="3"/>
      <c r="I127" s="435"/>
      <c r="J127" s="4"/>
      <c r="K127" s="435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</row>
    <row r="128" spans="1:25" ht="24" customHeight="1" x14ac:dyDescent="0.5">
      <c r="A128" s="3"/>
      <c r="B128" s="3"/>
      <c r="C128" s="3"/>
      <c r="D128" s="3"/>
      <c r="E128" s="3"/>
      <c r="F128" s="3"/>
      <c r="G128" s="3"/>
      <c r="H128" s="3"/>
      <c r="I128" s="435"/>
      <c r="J128" s="4"/>
      <c r="K128" s="435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</row>
    <row r="129" spans="1:25" ht="24" customHeight="1" x14ac:dyDescent="0.5">
      <c r="A129" s="3"/>
      <c r="B129" s="3"/>
      <c r="C129" s="3"/>
      <c r="D129" s="3"/>
      <c r="E129" s="3"/>
      <c r="F129" s="3"/>
      <c r="G129" s="3"/>
      <c r="H129" s="3"/>
      <c r="I129" s="435"/>
      <c r="J129" s="4"/>
      <c r="K129" s="435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</row>
    <row r="130" spans="1:25" ht="24" customHeight="1" x14ac:dyDescent="0.5">
      <c r="A130" s="3"/>
      <c r="B130" s="3"/>
      <c r="C130" s="3"/>
      <c r="D130" s="3"/>
      <c r="E130" s="3"/>
      <c r="F130" s="3"/>
      <c r="G130" s="3"/>
      <c r="H130" s="3"/>
      <c r="I130" s="435"/>
      <c r="J130" s="4"/>
      <c r="K130" s="435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</row>
    <row r="131" spans="1:25" ht="24" customHeight="1" x14ac:dyDescent="0.5">
      <c r="A131" s="3"/>
      <c r="B131" s="3"/>
      <c r="C131" s="3"/>
      <c r="D131" s="3"/>
      <c r="E131" s="3"/>
      <c r="F131" s="3"/>
      <c r="G131" s="3"/>
      <c r="H131" s="3"/>
      <c r="I131" s="435"/>
      <c r="J131" s="4"/>
      <c r="K131" s="435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</row>
    <row r="132" spans="1:25" ht="24" customHeight="1" x14ac:dyDescent="0.5">
      <c r="A132" s="3"/>
      <c r="B132" s="3"/>
      <c r="C132" s="3"/>
      <c r="D132" s="3"/>
      <c r="E132" s="3"/>
      <c r="F132" s="3"/>
      <c r="G132" s="3"/>
      <c r="H132" s="3"/>
      <c r="I132" s="435"/>
      <c r="J132" s="4"/>
      <c r="K132" s="435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</row>
    <row r="133" spans="1:25" ht="24" customHeight="1" x14ac:dyDescent="0.5">
      <c r="A133" s="3"/>
      <c r="B133" s="3"/>
      <c r="C133" s="3"/>
      <c r="D133" s="3"/>
      <c r="E133" s="3"/>
      <c r="F133" s="3"/>
      <c r="G133" s="3"/>
      <c r="H133" s="3"/>
      <c r="I133" s="435"/>
      <c r="J133" s="4"/>
      <c r="K133" s="435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</row>
    <row r="134" spans="1:25" ht="24" customHeight="1" x14ac:dyDescent="0.5">
      <c r="A134" s="3"/>
      <c r="B134" s="3"/>
      <c r="C134" s="3"/>
      <c r="D134" s="3"/>
      <c r="E134" s="3"/>
      <c r="F134" s="3"/>
      <c r="G134" s="3"/>
      <c r="H134" s="3"/>
      <c r="I134" s="435"/>
      <c r="J134" s="4"/>
      <c r="K134" s="435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</row>
    <row r="135" spans="1:25" ht="24" customHeight="1" x14ac:dyDescent="0.5">
      <c r="A135" s="3"/>
      <c r="B135" s="3"/>
      <c r="C135" s="3"/>
      <c r="D135" s="3"/>
      <c r="E135" s="3"/>
      <c r="F135" s="3"/>
      <c r="G135" s="3"/>
      <c r="H135" s="3"/>
      <c r="I135" s="435"/>
      <c r="J135" s="4"/>
      <c r="K135" s="435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</row>
    <row r="136" spans="1:25" ht="24" customHeight="1" x14ac:dyDescent="0.5">
      <c r="A136" s="3"/>
      <c r="B136" s="3"/>
      <c r="C136" s="3"/>
      <c r="D136" s="3"/>
      <c r="E136" s="3"/>
      <c r="F136" s="3"/>
      <c r="G136" s="3"/>
      <c r="H136" s="3"/>
      <c r="I136" s="435"/>
      <c r="J136" s="4"/>
      <c r="K136" s="435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</row>
    <row r="137" spans="1:25" ht="24" customHeight="1" x14ac:dyDescent="0.5">
      <c r="A137" s="3"/>
      <c r="B137" s="3"/>
      <c r="C137" s="3"/>
      <c r="D137" s="3"/>
      <c r="E137" s="3"/>
      <c r="F137" s="3"/>
      <c r="G137" s="3"/>
      <c r="H137" s="3"/>
      <c r="I137" s="435"/>
      <c r="J137" s="4"/>
      <c r="K137" s="435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</row>
    <row r="138" spans="1:25" ht="24" customHeight="1" x14ac:dyDescent="0.5">
      <c r="A138" s="3"/>
      <c r="B138" s="3"/>
      <c r="C138" s="3"/>
      <c r="D138" s="3"/>
      <c r="E138" s="3"/>
      <c r="F138" s="3"/>
      <c r="G138" s="3"/>
      <c r="H138" s="3"/>
      <c r="I138" s="435"/>
      <c r="J138" s="4"/>
      <c r="K138" s="435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</row>
    <row r="139" spans="1:25" ht="24" customHeight="1" x14ac:dyDescent="0.5">
      <c r="A139" s="3"/>
      <c r="B139" s="3"/>
      <c r="C139" s="3"/>
      <c r="D139" s="3"/>
      <c r="E139" s="3"/>
      <c r="F139" s="3"/>
      <c r="G139" s="3"/>
      <c r="H139" s="3"/>
      <c r="I139" s="435"/>
      <c r="J139" s="4"/>
      <c r="K139" s="435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</row>
    <row r="140" spans="1:25" ht="24" customHeight="1" x14ac:dyDescent="0.5">
      <c r="A140" s="3"/>
      <c r="B140" s="3"/>
      <c r="C140" s="3"/>
      <c r="D140" s="3"/>
      <c r="E140" s="3"/>
      <c r="F140" s="3"/>
      <c r="G140" s="3"/>
      <c r="H140" s="3"/>
      <c r="I140" s="435"/>
      <c r="J140" s="4"/>
      <c r="K140" s="435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</row>
    <row r="141" spans="1:25" ht="24" customHeight="1" x14ac:dyDescent="0.5">
      <c r="A141" s="3"/>
      <c r="B141" s="3"/>
      <c r="C141" s="3"/>
      <c r="D141" s="3"/>
      <c r="E141" s="3"/>
      <c r="F141" s="3"/>
      <c r="G141" s="3"/>
      <c r="H141" s="3"/>
      <c r="I141" s="435"/>
      <c r="J141" s="4"/>
      <c r="K141" s="435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</row>
    <row r="142" spans="1:25" ht="24" customHeight="1" x14ac:dyDescent="0.5">
      <c r="A142" s="3"/>
      <c r="B142" s="3"/>
      <c r="C142" s="3"/>
      <c r="D142" s="3"/>
      <c r="E142" s="3"/>
      <c r="F142" s="3"/>
      <c r="G142" s="3"/>
      <c r="H142" s="3"/>
      <c r="I142" s="435"/>
      <c r="J142" s="4"/>
      <c r="K142" s="435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</row>
    <row r="143" spans="1:25" ht="24" customHeight="1" x14ac:dyDescent="0.5">
      <c r="A143" s="3"/>
      <c r="B143" s="3"/>
      <c r="C143" s="3"/>
      <c r="D143" s="3"/>
      <c r="E143" s="3"/>
      <c r="F143" s="3"/>
      <c r="G143" s="3"/>
      <c r="H143" s="3"/>
      <c r="I143" s="435"/>
      <c r="J143" s="4"/>
      <c r="K143" s="435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</row>
    <row r="144" spans="1:25" ht="24" customHeight="1" x14ac:dyDescent="0.5">
      <c r="A144" s="3"/>
      <c r="B144" s="3"/>
      <c r="C144" s="3"/>
      <c r="D144" s="3"/>
      <c r="E144" s="3"/>
      <c r="F144" s="3"/>
      <c r="G144" s="3"/>
      <c r="H144" s="3"/>
      <c r="I144" s="435"/>
      <c r="J144" s="4"/>
      <c r="K144" s="435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</row>
    <row r="145" spans="1:25" ht="24" customHeight="1" x14ac:dyDescent="0.5">
      <c r="A145" s="3"/>
      <c r="B145" s="3"/>
      <c r="C145" s="3"/>
      <c r="D145" s="3"/>
      <c r="E145" s="3"/>
      <c r="F145" s="3"/>
      <c r="G145" s="3"/>
      <c r="H145" s="3"/>
      <c r="I145" s="435"/>
      <c r="J145" s="4"/>
      <c r="K145" s="435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</row>
    <row r="146" spans="1:25" ht="24" customHeight="1" x14ac:dyDescent="0.5">
      <c r="A146" s="3"/>
      <c r="B146" s="3"/>
      <c r="C146" s="3"/>
      <c r="D146" s="3"/>
      <c r="E146" s="3"/>
      <c r="F146" s="3"/>
      <c r="G146" s="3"/>
      <c r="H146" s="3"/>
      <c r="I146" s="435"/>
      <c r="J146" s="4"/>
      <c r="K146" s="435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</row>
    <row r="147" spans="1:25" ht="24" customHeight="1" x14ac:dyDescent="0.5">
      <c r="A147" s="3"/>
      <c r="B147" s="3"/>
      <c r="C147" s="3"/>
      <c r="D147" s="3"/>
      <c r="E147" s="3"/>
      <c r="F147" s="3"/>
      <c r="G147" s="3"/>
      <c r="H147" s="3"/>
      <c r="I147" s="435"/>
      <c r="J147" s="4"/>
      <c r="K147" s="435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</row>
    <row r="148" spans="1:25" ht="24" customHeight="1" x14ac:dyDescent="0.5">
      <c r="A148" s="3"/>
      <c r="B148" s="3"/>
      <c r="C148" s="3"/>
      <c r="D148" s="3"/>
      <c r="E148" s="3"/>
      <c r="F148" s="3"/>
      <c r="G148" s="3"/>
      <c r="H148" s="3"/>
      <c r="I148" s="435"/>
      <c r="J148" s="4"/>
      <c r="K148" s="435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</row>
    <row r="149" spans="1:25" ht="24" customHeight="1" x14ac:dyDescent="0.5">
      <c r="A149" s="3"/>
      <c r="B149" s="3"/>
      <c r="C149" s="3"/>
      <c r="D149" s="3"/>
      <c r="E149" s="3"/>
      <c r="F149" s="3"/>
      <c r="G149" s="3"/>
      <c r="H149" s="3"/>
      <c r="I149" s="435"/>
      <c r="J149" s="4"/>
      <c r="K149" s="435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</row>
    <row r="150" spans="1:25" ht="24" customHeight="1" x14ac:dyDescent="0.5">
      <c r="A150" s="3"/>
      <c r="B150" s="3"/>
      <c r="C150" s="3"/>
      <c r="D150" s="3"/>
      <c r="E150" s="3"/>
      <c r="F150" s="3"/>
      <c r="G150" s="3"/>
      <c r="H150" s="3"/>
      <c r="I150" s="435"/>
      <c r="J150" s="4"/>
      <c r="K150" s="435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</row>
    <row r="151" spans="1:25" ht="24" customHeight="1" x14ac:dyDescent="0.5">
      <c r="A151" s="3"/>
      <c r="B151" s="3"/>
      <c r="C151" s="3"/>
      <c r="D151" s="3"/>
      <c r="E151" s="3"/>
      <c r="F151" s="3"/>
      <c r="G151" s="3"/>
      <c r="H151" s="3"/>
      <c r="I151" s="435"/>
      <c r="J151" s="4"/>
      <c r="K151" s="435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</row>
    <row r="152" spans="1:25" ht="24" customHeight="1" x14ac:dyDescent="0.5">
      <c r="A152" s="3"/>
      <c r="B152" s="3"/>
      <c r="C152" s="3"/>
      <c r="D152" s="3"/>
      <c r="E152" s="3"/>
      <c r="F152" s="3"/>
      <c r="G152" s="3"/>
      <c r="H152" s="3"/>
      <c r="I152" s="435"/>
      <c r="J152" s="4"/>
      <c r="K152" s="435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</row>
    <row r="153" spans="1:25" ht="24" customHeight="1" x14ac:dyDescent="0.5">
      <c r="A153" s="3"/>
      <c r="B153" s="3"/>
      <c r="C153" s="3"/>
      <c r="D153" s="3"/>
      <c r="E153" s="3"/>
      <c r="F153" s="3"/>
      <c r="G153" s="3"/>
      <c r="H153" s="3"/>
      <c r="I153" s="435"/>
      <c r="J153" s="4"/>
      <c r="K153" s="435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</row>
    <row r="154" spans="1:25" ht="24" customHeight="1" x14ac:dyDescent="0.5">
      <c r="A154" s="3"/>
      <c r="B154" s="3"/>
      <c r="C154" s="3"/>
      <c r="D154" s="3"/>
      <c r="E154" s="3"/>
      <c r="F154" s="3"/>
      <c r="G154" s="3"/>
      <c r="H154" s="3"/>
      <c r="I154" s="435"/>
      <c r="J154" s="4"/>
      <c r="K154" s="435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</row>
    <row r="155" spans="1:25" ht="24" customHeight="1" x14ac:dyDescent="0.5">
      <c r="A155" s="3"/>
      <c r="B155" s="3"/>
      <c r="C155" s="3"/>
      <c r="D155" s="3"/>
      <c r="E155" s="3"/>
      <c r="F155" s="3"/>
      <c r="G155" s="3"/>
      <c r="H155" s="3"/>
      <c r="I155" s="435"/>
      <c r="J155" s="4"/>
      <c r="K155" s="435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</row>
    <row r="156" spans="1:25" ht="24" customHeight="1" x14ac:dyDescent="0.5">
      <c r="A156" s="3"/>
      <c r="B156" s="3"/>
      <c r="C156" s="3"/>
      <c r="D156" s="3"/>
      <c r="E156" s="3"/>
      <c r="F156" s="3"/>
      <c r="G156" s="3"/>
      <c r="H156" s="3"/>
      <c r="I156" s="435"/>
      <c r="J156" s="4"/>
      <c r="K156" s="435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</row>
    <row r="157" spans="1:25" ht="24" customHeight="1" x14ac:dyDescent="0.5">
      <c r="A157" s="3"/>
      <c r="B157" s="3"/>
      <c r="C157" s="3"/>
      <c r="D157" s="3"/>
      <c r="E157" s="3"/>
      <c r="F157" s="3"/>
      <c r="G157" s="3"/>
      <c r="H157" s="3"/>
      <c r="I157" s="435"/>
      <c r="J157" s="4"/>
      <c r="K157" s="435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</row>
    <row r="158" spans="1:25" ht="24" customHeight="1" x14ac:dyDescent="0.5">
      <c r="A158" s="3"/>
      <c r="B158" s="3"/>
      <c r="C158" s="3"/>
      <c r="D158" s="3"/>
      <c r="E158" s="3"/>
      <c r="F158" s="3"/>
      <c r="G158" s="3"/>
      <c r="H158" s="3"/>
      <c r="I158" s="435"/>
      <c r="J158" s="4"/>
      <c r="K158" s="435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</row>
    <row r="159" spans="1:25" ht="24" customHeight="1" x14ac:dyDescent="0.5">
      <c r="A159" s="3"/>
      <c r="B159" s="3"/>
      <c r="C159" s="3"/>
      <c r="D159" s="3"/>
      <c r="E159" s="3"/>
      <c r="F159" s="3"/>
      <c r="G159" s="3"/>
      <c r="H159" s="3"/>
      <c r="I159" s="435"/>
      <c r="J159" s="4"/>
      <c r="K159" s="435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</row>
    <row r="160" spans="1:25" ht="24" customHeight="1" x14ac:dyDescent="0.5">
      <c r="A160" s="3"/>
      <c r="B160" s="3"/>
      <c r="C160" s="3"/>
      <c r="D160" s="3"/>
      <c r="E160" s="3"/>
      <c r="F160" s="3"/>
      <c r="G160" s="3"/>
      <c r="H160" s="3"/>
      <c r="I160" s="435"/>
      <c r="J160" s="4"/>
      <c r="K160" s="435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</row>
    <row r="161" spans="1:25" ht="24" customHeight="1" x14ac:dyDescent="0.5">
      <c r="A161" s="3"/>
      <c r="B161" s="3"/>
      <c r="C161" s="3"/>
      <c r="D161" s="3"/>
      <c r="E161" s="3"/>
      <c r="F161" s="3"/>
      <c r="G161" s="3"/>
      <c r="H161" s="3"/>
      <c r="I161" s="435"/>
      <c r="J161" s="4"/>
      <c r="K161" s="435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</row>
    <row r="162" spans="1:25" ht="24" customHeight="1" x14ac:dyDescent="0.5">
      <c r="A162" s="3"/>
      <c r="B162" s="3"/>
      <c r="C162" s="3"/>
      <c r="D162" s="3"/>
      <c r="E162" s="3"/>
      <c r="F162" s="3"/>
      <c r="G162" s="3"/>
      <c r="H162" s="3"/>
      <c r="I162" s="435"/>
      <c r="J162" s="4"/>
      <c r="K162" s="435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</row>
    <row r="163" spans="1:25" ht="24" customHeight="1" x14ac:dyDescent="0.5">
      <c r="A163" s="3"/>
      <c r="B163" s="3"/>
      <c r="C163" s="3"/>
      <c r="D163" s="3"/>
      <c r="E163" s="3"/>
      <c r="F163" s="3"/>
      <c r="G163" s="3"/>
      <c r="H163" s="3"/>
      <c r="I163" s="435"/>
      <c r="J163" s="4"/>
      <c r="K163" s="435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</row>
    <row r="164" spans="1:25" ht="24" customHeight="1" x14ac:dyDescent="0.5">
      <c r="A164" s="3"/>
      <c r="B164" s="3"/>
      <c r="C164" s="3"/>
      <c r="D164" s="3"/>
      <c r="E164" s="3"/>
      <c r="F164" s="3"/>
      <c r="G164" s="3"/>
      <c r="H164" s="3"/>
      <c r="I164" s="435"/>
      <c r="J164" s="4"/>
      <c r="K164" s="435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</row>
    <row r="165" spans="1:25" ht="24" customHeight="1" x14ac:dyDescent="0.5">
      <c r="A165" s="3"/>
      <c r="B165" s="3"/>
      <c r="C165" s="3"/>
      <c r="D165" s="3"/>
      <c r="E165" s="3"/>
      <c r="F165" s="3"/>
      <c r="G165" s="3"/>
      <c r="H165" s="3"/>
      <c r="I165" s="435"/>
      <c r="J165" s="4"/>
      <c r="K165" s="435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</row>
    <row r="166" spans="1:25" ht="24" customHeight="1" x14ac:dyDescent="0.5">
      <c r="A166" s="3"/>
      <c r="B166" s="3"/>
      <c r="C166" s="3"/>
      <c r="D166" s="3"/>
      <c r="E166" s="3"/>
      <c r="F166" s="3"/>
      <c r="G166" s="3"/>
      <c r="H166" s="3"/>
      <c r="I166" s="435"/>
      <c r="J166" s="4"/>
      <c r="K166" s="435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</row>
    <row r="167" spans="1:25" ht="24" customHeight="1" x14ac:dyDescent="0.5">
      <c r="A167" s="3"/>
      <c r="B167" s="3"/>
      <c r="C167" s="3"/>
      <c r="D167" s="3"/>
      <c r="E167" s="3"/>
      <c r="F167" s="3"/>
      <c r="G167" s="3"/>
      <c r="H167" s="3"/>
      <c r="I167" s="435"/>
      <c r="J167" s="4"/>
      <c r="K167" s="435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</row>
    <row r="168" spans="1:25" ht="24" customHeight="1" x14ac:dyDescent="0.5">
      <c r="A168" s="3"/>
      <c r="B168" s="3"/>
      <c r="C168" s="3"/>
      <c r="D168" s="3"/>
      <c r="E168" s="3"/>
      <c r="F168" s="3"/>
      <c r="G168" s="3"/>
      <c r="H168" s="3"/>
      <c r="I168" s="435"/>
      <c r="J168" s="4"/>
      <c r="K168" s="435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</row>
    <row r="169" spans="1:25" ht="24" customHeight="1" x14ac:dyDescent="0.5">
      <c r="A169" s="3"/>
      <c r="B169" s="3"/>
      <c r="C169" s="3"/>
      <c r="D169" s="3"/>
      <c r="E169" s="3"/>
      <c r="F169" s="3"/>
      <c r="G169" s="3"/>
      <c r="H169" s="3"/>
      <c r="I169" s="435"/>
      <c r="J169" s="4"/>
      <c r="K169" s="435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</row>
    <row r="170" spans="1:25" ht="24" customHeight="1" x14ac:dyDescent="0.5">
      <c r="A170" s="3"/>
      <c r="B170" s="3"/>
      <c r="C170" s="3"/>
      <c r="D170" s="3"/>
      <c r="E170" s="3"/>
      <c r="F170" s="3"/>
      <c r="G170" s="3"/>
      <c r="H170" s="3"/>
      <c r="I170" s="435"/>
      <c r="J170" s="4"/>
      <c r="K170" s="435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</row>
    <row r="171" spans="1:25" ht="24" customHeight="1" x14ac:dyDescent="0.5">
      <c r="A171" s="3"/>
      <c r="B171" s="3"/>
      <c r="C171" s="3"/>
      <c r="D171" s="3"/>
      <c r="E171" s="3"/>
      <c r="F171" s="3"/>
      <c r="G171" s="3"/>
      <c r="H171" s="3"/>
      <c r="I171" s="435"/>
      <c r="J171" s="4"/>
      <c r="K171" s="435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</row>
    <row r="172" spans="1:25" ht="24" customHeight="1" x14ac:dyDescent="0.5">
      <c r="A172" s="3"/>
      <c r="B172" s="3"/>
      <c r="C172" s="3"/>
      <c r="D172" s="3"/>
      <c r="E172" s="3"/>
      <c r="F172" s="3"/>
      <c r="G172" s="3"/>
      <c r="H172" s="3"/>
      <c r="I172" s="435"/>
      <c r="J172" s="4"/>
      <c r="K172" s="435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</row>
    <row r="173" spans="1:25" ht="24" customHeight="1" x14ac:dyDescent="0.5">
      <c r="A173" s="3"/>
      <c r="B173" s="3"/>
      <c r="C173" s="3"/>
      <c r="D173" s="3"/>
      <c r="E173" s="3"/>
      <c r="F173" s="3"/>
      <c r="G173" s="3"/>
      <c r="H173" s="3"/>
      <c r="I173" s="435"/>
      <c r="J173" s="4"/>
      <c r="K173" s="435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</row>
    <row r="174" spans="1:25" ht="24" customHeight="1" x14ac:dyDescent="0.5">
      <c r="A174" s="3"/>
      <c r="B174" s="3"/>
      <c r="C174" s="3"/>
      <c r="D174" s="3"/>
      <c r="E174" s="3"/>
      <c r="F174" s="3"/>
      <c r="G174" s="3"/>
      <c r="H174" s="3"/>
      <c r="I174" s="435"/>
      <c r="J174" s="4"/>
      <c r="K174" s="435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</row>
    <row r="175" spans="1:25" ht="24" customHeight="1" x14ac:dyDescent="0.5">
      <c r="A175" s="3"/>
      <c r="B175" s="3"/>
      <c r="C175" s="3"/>
      <c r="D175" s="3"/>
      <c r="E175" s="3"/>
      <c r="F175" s="3"/>
      <c r="G175" s="3"/>
      <c r="H175" s="3"/>
      <c r="I175" s="435"/>
      <c r="J175" s="4"/>
      <c r="K175" s="435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</row>
    <row r="176" spans="1:25" ht="24" customHeight="1" x14ac:dyDescent="0.5">
      <c r="A176" s="3"/>
      <c r="B176" s="3"/>
      <c r="C176" s="3"/>
      <c r="D176" s="3"/>
      <c r="E176" s="3"/>
      <c r="F176" s="3"/>
      <c r="G176" s="3"/>
      <c r="H176" s="3"/>
      <c r="I176" s="435"/>
      <c r="J176" s="4"/>
      <c r="K176" s="435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</row>
    <row r="177" spans="1:25" ht="24" customHeight="1" x14ac:dyDescent="0.5">
      <c r="A177" s="3"/>
      <c r="B177" s="3"/>
      <c r="C177" s="3"/>
      <c r="D177" s="3"/>
      <c r="E177" s="3"/>
      <c r="F177" s="3"/>
      <c r="G177" s="3"/>
      <c r="H177" s="3"/>
      <c r="I177" s="435"/>
      <c r="J177" s="4"/>
      <c r="K177" s="435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</row>
    <row r="178" spans="1:25" ht="24" customHeight="1" x14ac:dyDescent="0.5">
      <c r="A178" s="3"/>
      <c r="B178" s="3"/>
      <c r="C178" s="3"/>
      <c r="D178" s="3"/>
      <c r="E178" s="3"/>
      <c r="F178" s="3"/>
      <c r="G178" s="3"/>
      <c r="H178" s="3"/>
      <c r="I178" s="435"/>
      <c r="J178" s="4"/>
      <c r="K178" s="435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</row>
    <row r="179" spans="1:25" ht="24" customHeight="1" x14ac:dyDescent="0.5">
      <c r="A179" s="3"/>
      <c r="B179" s="3"/>
      <c r="C179" s="3"/>
      <c r="D179" s="3"/>
      <c r="E179" s="3"/>
      <c r="F179" s="3"/>
      <c r="G179" s="3"/>
      <c r="H179" s="3"/>
      <c r="I179" s="435"/>
      <c r="J179" s="4"/>
      <c r="K179" s="435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</row>
    <row r="180" spans="1:25" ht="24" customHeight="1" x14ac:dyDescent="0.5">
      <c r="A180" s="3"/>
      <c r="B180" s="3"/>
      <c r="C180" s="3"/>
      <c r="D180" s="3"/>
      <c r="E180" s="3"/>
      <c r="F180" s="3"/>
      <c r="G180" s="3"/>
      <c r="H180" s="3"/>
      <c r="I180" s="435"/>
      <c r="J180" s="4"/>
      <c r="K180" s="435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</row>
    <row r="181" spans="1:25" ht="24" customHeight="1" x14ac:dyDescent="0.5">
      <c r="A181" s="3"/>
      <c r="B181" s="3"/>
      <c r="C181" s="3"/>
      <c r="D181" s="3"/>
      <c r="E181" s="3"/>
      <c r="F181" s="3"/>
      <c r="G181" s="3"/>
      <c r="H181" s="3"/>
      <c r="I181" s="435"/>
      <c r="J181" s="4"/>
      <c r="K181" s="435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</row>
    <row r="182" spans="1:25" ht="24" customHeight="1" x14ac:dyDescent="0.5">
      <c r="A182" s="3"/>
      <c r="B182" s="3"/>
      <c r="C182" s="3"/>
      <c r="D182" s="3"/>
      <c r="E182" s="3"/>
      <c r="F182" s="3"/>
      <c r="G182" s="3"/>
      <c r="H182" s="3"/>
      <c r="I182" s="435"/>
      <c r="J182" s="4"/>
      <c r="K182" s="435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</row>
    <row r="183" spans="1:25" ht="24" customHeight="1" x14ac:dyDescent="0.5">
      <c r="A183" s="3"/>
      <c r="B183" s="3"/>
      <c r="C183" s="3"/>
      <c r="D183" s="3"/>
      <c r="E183" s="3"/>
      <c r="F183" s="3"/>
      <c r="G183" s="3"/>
      <c r="H183" s="3"/>
      <c r="I183" s="435"/>
      <c r="J183" s="4"/>
      <c r="K183" s="435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</row>
    <row r="184" spans="1:25" ht="24" customHeight="1" x14ac:dyDescent="0.5">
      <c r="A184" s="3"/>
      <c r="B184" s="3"/>
      <c r="C184" s="3"/>
      <c r="D184" s="3"/>
      <c r="E184" s="3"/>
      <c r="F184" s="3"/>
      <c r="G184" s="3"/>
      <c r="H184" s="3"/>
      <c r="I184" s="435"/>
      <c r="J184" s="4"/>
      <c r="K184" s="435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</row>
    <row r="185" spans="1:25" ht="24" customHeight="1" x14ac:dyDescent="0.5">
      <c r="A185" s="3"/>
      <c r="B185" s="3"/>
      <c r="C185" s="3"/>
      <c r="D185" s="3"/>
      <c r="E185" s="3"/>
      <c r="F185" s="3"/>
      <c r="G185" s="3"/>
      <c r="H185" s="3"/>
      <c r="I185" s="435"/>
      <c r="J185" s="4"/>
      <c r="K185" s="435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</row>
    <row r="186" spans="1:25" ht="24" customHeight="1" x14ac:dyDescent="0.5">
      <c r="A186" s="3"/>
      <c r="B186" s="3"/>
      <c r="C186" s="3"/>
      <c r="D186" s="3"/>
      <c r="E186" s="3"/>
      <c r="F186" s="3"/>
      <c r="G186" s="3"/>
      <c r="H186" s="3"/>
      <c r="I186" s="435"/>
      <c r="J186" s="4"/>
      <c r="K186" s="435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</row>
    <row r="187" spans="1:25" ht="24" customHeight="1" x14ac:dyDescent="0.5">
      <c r="A187" s="3"/>
      <c r="B187" s="3"/>
      <c r="C187" s="3"/>
      <c r="D187" s="3"/>
      <c r="E187" s="3"/>
      <c r="F187" s="3"/>
      <c r="G187" s="3"/>
      <c r="H187" s="3"/>
      <c r="I187" s="435"/>
      <c r="J187" s="4"/>
      <c r="K187" s="435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</row>
    <row r="188" spans="1:25" ht="24" customHeight="1" x14ac:dyDescent="0.5">
      <c r="A188" s="3"/>
      <c r="B188" s="3"/>
      <c r="C188" s="3"/>
      <c r="D188" s="3"/>
      <c r="E188" s="3"/>
      <c r="F188" s="3"/>
      <c r="G188" s="3"/>
      <c r="H188" s="3"/>
      <c r="I188" s="435"/>
      <c r="J188" s="4"/>
      <c r="K188" s="435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</row>
    <row r="189" spans="1:25" ht="24" customHeight="1" x14ac:dyDescent="0.5">
      <c r="A189" s="3"/>
      <c r="B189" s="3"/>
      <c r="C189" s="3"/>
      <c r="D189" s="3"/>
      <c r="E189" s="3"/>
      <c r="F189" s="3"/>
      <c r="G189" s="3"/>
      <c r="H189" s="3"/>
      <c r="I189" s="435"/>
      <c r="J189" s="4"/>
      <c r="K189" s="435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</row>
    <row r="190" spans="1:25" ht="24" customHeight="1" x14ac:dyDescent="0.5">
      <c r="A190" s="3"/>
      <c r="B190" s="3"/>
      <c r="C190" s="3"/>
      <c r="D190" s="3"/>
      <c r="E190" s="3"/>
      <c r="F190" s="3"/>
      <c r="G190" s="3"/>
      <c r="H190" s="3"/>
      <c r="I190" s="435"/>
      <c r="J190" s="4"/>
      <c r="K190" s="435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</row>
    <row r="191" spans="1:25" ht="24" customHeight="1" x14ac:dyDescent="0.5">
      <c r="A191" s="3"/>
      <c r="B191" s="3"/>
      <c r="C191" s="3"/>
      <c r="D191" s="3"/>
      <c r="E191" s="3"/>
      <c r="F191" s="3"/>
      <c r="G191" s="3"/>
      <c r="H191" s="3"/>
      <c r="I191" s="435"/>
      <c r="J191" s="4"/>
      <c r="K191" s="435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</row>
    <row r="192" spans="1:25" ht="24" customHeight="1" x14ac:dyDescent="0.5">
      <c r="A192" s="3"/>
      <c r="B192" s="3"/>
      <c r="C192" s="3"/>
      <c r="D192" s="3"/>
      <c r="E192" s="3"/>
      <c r="F192" s="3"/>
      <c r="G192" s="3"/>
      <c r="H192" s="3"/>
      <c r="I192" s="435"/>
      <c r="J192" s="4"/>
      <c r="K192" s="435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</row>
    <row r="193" spans="1:25" ht="24" customHeight="1" x14ac:dyDescent="0.5">
      <c r="A193" s="3"/>
      <c r="B193" s="3"/>
      <c r="C193" s="3"/>
      <c r="D193" s="3"/>
      <c r="E193" s="3"/>
      <c r="F193" s="3"/>
      <c r="G193" s="3"/>
      <c r="H193" s="3"/>
      <c r="I193" s="435"/>
      <c r="J193" s="4"/>
      <c r="K193" s="435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</row>
    <row r="194" spans="1:25" ht="24" customHeight="1" x14ac:dyDescent="0.5">
      <c r="A194" s="3"/>
      <c r="B194" s="3"/>
      <c r="C194" s="3"/>
      <c r="D194" s="3"/>
      <c r="E194" s="3"/>
      <c r="F194" s="3"/>
      <c r="G194" s="3"/>
      <c r="H194" s="3"/>
      <c r="I194" s="435"/>
      <c r="J194" s="4"/>
      <c r="K194" s="435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</row>
    <row r="195" spans="1:25" ht="24" customHeight="1" x14ac:dyDescent="0.5">
      <c r="A195" s="3"/>
      <c r="B195" s="3"/>
      <c r="C195" s="3"/>
      <c r="D195" s="3"/>
      <c r="E195" s="3"/>
      <c r="F195" s="3"/>
      <c r="G195" s="3"/>
      <c r="H195" s="3"/>
      <c r="I195" s="435"/>
      <c r="J195" s="4"/>
      <c r="K195" s="435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</row>
    <row r="196" spans="1:25" ht="24" customHeight="1" x14ac:dyDescent="0.5">
      <c r="A196" s="3"/>
      <c r="B196" s="3"/>
      <c r="C196" s="3"/>
      <c r="D196" s="3"/>
      <c r="E196" s="3"/>
      <c r="F196" s="3"/>
      <c r="G196" s="3"/>
      <c r="H196" s="3"/>
      <c r="I196" s="435"/>
      <c r="J196" s="4"/>
      <c r="K196" s="435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</row>
    <row r="197" spans="1:25" ht="24" customHeight="1" x14ac:dyDescent="0.5">
      <c r="A197" s="3"/>
      <c r="B197" s="3"/>
      <c r="C197" s="3"/>
      <c r="D197" s="3"/>
      <c r="E197" s="3"/>
      <c r="F197" s="3"/>
      <c r="G197" s="3"/>
      <c r="H197" s="3"/>
      <c r="I197" s="435"/>
      <c r="J197" s="4"/>
      <c r="K197" s="435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</row>
    <row r="198" spans="1:25" ht="24" customHeight="1" x14ac:dyDescent="0.5">
      <c r="A198" s="3"/>
      <c r="B198" s="3"/>
      <c r="C198" s="3"/>
      <c r="D198" s="3"/>
      <c r="E198" s="3"/>
      <c r="F198" s="3"/>
      <c r="G198" s="3"/>
      <c r="H198" s="3"/>
      <c r="I198" s="435"/>
      <c r="J198" s="4"/>
      <c r="K198" s="435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</row>
    <row r="199" spans="1:25" ht="24" customHeight="1" x14ac:dyDescent="0.5">
      <c r="A199" s="3"/>
      <c r="B199" s="3"/>
      <c r="C199" s="3"/>
      <c r="D199" s="3"/>
      <c r="E199" s="3"/>
      <c r="F199" s="3"/>
      <c r="G199" s="3"/>
      <c r="H199" s="3"/>
      <c r="I199" s="435"/>
      <c r="J199" s="4"/>
      <c r="K199" s="435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</row>
    <row r="200" spans="1:25" ht="24" customHeight="1" x14ac:dyDescent="0.5">
      <c r="A200" s="3"/>
      <c r="B200" s="3"/>
      <c r="C200" s="3"/>
      <c r="D200" s="3"/>
      <c r="E200" s="3"/>
      <c r="F200" s="3"/>
      <c r="G200" s="3"/>
      <c r="H200" s="3"/>
      <c r="I200" s="435"/>
      <c r="J200" s="4"/>
      <c r="K200" s="435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</row>
    <row r="201" spans="1:25" ht="24" customHeight="1" x14ac:dyDescent="0.5">
      <c r="A201" s="3"/>
      <c r="B201" s="3"/>
      <c r="C201" s="3"/>
      <c r="D201" s="3"/>
      <c r="E201" s="3"/>
      <c r="F201" s="3"/>
      <c r="G201" s="3"/>
      <c r="H201" s="3"/>
      <c r="I201" s="435"/>
      <c r="J201" s="4"/>
      <c r="K201" s="435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</row>
    <row r="202" spans="1:25" ht="24" customHeight="1" x14ac:dyDescent="0.5">
      <c r="A202" s="3"/>
      <c r="B202" s="3"/>
      <c r="C202" s="3"/>
      <c r="D202" s="3"/>
      <c r="E202" s="3"/>
      <c r="F202" s="3"/>
      <c r="G202" s="3"/>
      <c r="H202" s="3"/>
      <c r="I202" s="435"/>
      <c r="J202" s="4"/>
      <c r="K202" s="435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</row>
    <row r="203" spans="1:25" ht="24" customHeight="1" x14ac:dyDescent="0.5">
      <c r="A203" s="3"/>
      <c r="B203" s="3"/>
      <c r="C203" s="3"/>
      <c r="D203" s="3"/>
      <c r="E203" s="3"/>
      <c r="F203" s="3"/>
      <c r="G203" s="3"/>
      <c r="H203" s="3"/>
      <c r="I203" s="435"/>
      <c r="J203" s="4"/>
      <c r="K203" s="435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</row>
    <row r="204" spans="1:25" ht="24" customHeight="1" x14ac:dyDescent="0.5">
      <c r="A204" s="3"/>
      <c r="B204" s="3"/>
      <c r="C204" s="3"/>
      <c r="D204" s="3"/>
      <c r="E204" s="3"/>
      <c r="F204" s="3"/>
      <c r="G204" s="3"/>
      <c r="H204" s="3"/>
      <c r="I204" s="435"/>
      <c r="J204" s="4"/>
      <c r="K204" s="435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</row>
    <row r="205" spans="1:25" ht="24" customHeight="1" x14ac:dyDescent="0.5">
      <c r="A205" s="3"/>
      <c r="B205" s="3"/>
      <c r="C205" s="3"/>
      <c r="D205" s="3"/>
      <c r="E205" s="3"/>
      <c r="F205" s="3"/>
      <c r="G205" s="3"/>
      <c r="H205" s="3"/>
      <c r="I205" s="435"/>
      <c r="J205" s="4"/>
      <c r="K205" s="435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</row>
    <row r="206" spans="1:25" ht="24" customHeight="1" x14ac:dyDescent="0.5">
      <c r="A206" s="3"/>
      <c r="B206" s="3"/>
      <c r="C206" s="3"/>
      <c r="D206" s="3"/>
      <c r="E206" s="3"/>
      <c r="F206" s="3"/>
      <c r="G206" s="3"/>
      <c r="H206" s="3"/>
      <c r="I206" s="435"/>
      <c r="J206" s="4"/>
      <c r="K206" s="435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</row>
    <row r="207" spans="1:25" ht="24" customHeight="1" x14ac:dyDescent="0.5">
      <c r="A207" s="3"/>
      <c r="B207" s="3"/>
      <c r="C207" s="3"/>
      <c r="D207" s="3"/>
      <c r="E207" s="3"/>
      <c r="F207" s="3"/>
      <c r="G207" s="3"/>
      <c r="H207" s="3"/>
      <c r="I207" s="435"/>
      <c r="J207" s="4"/>
      <c r="K207" s="435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</row>
    <row r="208" spans="1:25" ht="24" customHeight="1" x14ac:dyDescent="0.5">
      <c r="A208" s="3"/>
      <c r="B208" s="3"/>
      <c r="C208" s="3"/>
      <c r="D208" s="3"/>
      <c r="E208" s="3"/>
      <c r="F208" s="3"/>
      <c r="G208" s="3"/>
      <c r="H208" s="3"/>
      <c r="I208" s="435"/>
      <c r="J208" s="4"/>
      <c r="K208" s="435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</row>
    <row r="209" spans="1:25" ht="24" customHeight="1" x14ac:dyDescent="0.5">
      <c r="A209" s="3"/>
      <c r="B209" s="3"/>
      <c r="C209" s="3"/>
      <c r="D209" s="3"/>
      <c r="E209" s="3"/>
      <c r="F209" s="3"/>
      <c r="G209" s="3"/>
      <c r="H209" s="3"/>
      <c r="I209" s="435"/>
      <c r="J209" s="4"/>
      <c r="K209" s="435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</row>
    <row r="210" spans="1:25" ht="24" customHeight="1" x14ac:dyDescent="0.5">
      <c r="A210" s="3"/>
      <c r="B210" s="3"/>
      <c r="C210" s="3"/>
      <c r="D210" s="3"/>
      <c r="E210" s="3"/>
      <c r="F210" s="3"/>
      <c r="G210" s="3"/>
      <c r="H210" s="3"/>
      <c r="I210" s="435"/>
      <c r="J210" s="4"/>
      <c r="K210" s="435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</row>
    <row r="211" spans="1:25" ht="24" customHeight="1" x14ac:dyDescent="0.5">
      <c r="A211" s="3"/>
      <c r="B211" s="3"/>
      <c r="C211" s="3"/>
      <c r="D211" s="3"/>
      <c r="E211" s="3"/>
      <c r="F211" s="3"/>
      <c r="G211" s="3"/>
      <c r="H211" s="3"/>
      <c r="I211" s="435"/>
      <c r="J211" s="4"/>
      <c r="K211" s="435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</row>
    <row r="212" spans="1:25" ht="24" customHeight="1" x14ac:dyDescent="0.5">
      <c r="A212" s="3"/>
      <c r="B212" s="3"/>
      <c r="C212" s="3"/>
      <c r="D212" s="3"/>
      <c r="E212" s="3"/>
      <c r="F212" s="3"/>
      <c r="G212" s="3"/>
      <c r="H212" s="3"/>
      <c r="I212" s="435"/>
      <c r="J212" s="4"/>
      <c r="K212" s="435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</row>
    <row r="213" spans="1:25" ht="24" customHeight="1" x14ac:dyDescent="0.5">
      <c r="A213" s="3"/>
      <c r="B213" s="3"/>
      <c r="C213" s="3"/>
      <c r="D213" s="3"/>
      <c r="E213" s="3"/>
      <c r="F213" s="3"/>
      <c r="G213" s="3"/>
      <c r="H213" s="3"/>
      <c r="I213" s="435"/>
      <c r="J213" s="4"/>
      <c r="K213" s="435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</row>
    <row r="214" spans="1:25" ht="24" customHeight="1" x14ac:dyDescent="0.5">
      <c r="A214" s="3"/>
      <c r="B214" s="3"/>
      <c r="C214" s="3"/>
      <c r="D214" s="3"/>
      <c r="E214" s="3"/>
      <c r="F214" s="3"/>
      <c r="G214" s="3"/>
      <c r="H214" s="3"/>
      <c r="I214" s="435"/>
      <c r="J214" s="4"/>
      <c r="K214" s="435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</row>
    <row r="215" spans="1:25" ht="24" customHeight="1" x14ac:dyDescent="0.5">
      <c r="A215" s="3"/>
      <c r="B215" s="3"/>
      <c r="C215" s="3"/>
      <c r="D215" s="3"/>
      <c r="E215" s="3"/>
      <c r="F215" s="3"/>
      <c r="G215" s="3"/>
      <c r="H215" s="3"/>
      <c r="I215" s="435"/>
      <c r="J215" s="4"/>
      <c r="K215" s="435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</row>
    <row r="216" spans="1:25" ht="24" customHeight="1" x14ac:dyDescent="0.5">
      <c r="A216" s="3"/>
      <c r="B216" s="3"/>
      <c r="C216" s="3"/>
      <c r="D216" s="3"/>
      <c r="E216" s="3"/>
      <c r="F216" s="3"/>
      <c r="G216" s="3"/>
      <c r="H216" s="3"/>
      <c r="I216" s="435"/>
      <c r="J216" s="4"/>
      <c r="K216" s="435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</row>
    <row r="217" spans="1:25" ht="24" customHeight="1" x14ac:dyDescent="0.5">
      <c r="A217" s="3"/>
      <c r="B217" s="3"/>
      <c r="C217" s="3"/>
      <c r="D217" s="3"/>
      <c r="E217" s="3"/>
      <c r="F217" s="3"/>
      <c r="G217" s="3"/>
      <c r="H217" s="3"/>
      <c r="I217" s="435"/>
      <c r="J217" s="4"/>
      <c r="K217" s="435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</row>
    <row r="218" spans="1:25" ht="24" customHeight="1" x14ac:dyDescent="0.5">
      <c r="A218" s="3"/>
      <c r="B218" s="3"/>
      <c r="C218" s="3"/>
      <c r="D218" s="3"/>
      <c r="E218" s="3"/>
      <c r="F218" s="3"/>
      <c r="G218" s="3"/>
      <c r="H218" s="3"/>
      <c r="I218" s="435"/>
      <c r="J218" s="4"/>
      <c r="K218" s="435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</row>
    <row r="219" spans="1:25" ht="24" customHeight="1" x14ac:dyDescent="0.5">
      <c r="A219" s="3"/>
      <c r="B219" s="3"/>
      <c r="C219" s="3"/>
      <c r="D219" s="3"/>
      <c r="E219" s="3"/>
      <c r="F219" s="3"/>
      <c r="G219" s="3"/>
      <c r="H219" s="3"/>
      <c r="I219" s="435"/>
      <c r="J219" s="4"/>
      <c r="K219" s="435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</row>
    <row r="220" spans="1:25" ht="24" customHeight="1" x14ac:dyDescent="0.5">
      <c r="A220" s="3"/>
      <c r="B220" s="3"/>
      <c r="C220" s="3"/>
      <c r="D220" s="3"/>
      <c r="E220" s="3"/>
      <c r="F220" s="3"/>
      <c r="G220" s="3"/>
      <c r="H220" s="3"/>
      <c r="I220" s="435"/>
      <c r="J220" s="4"/>
      <c r="K220" s="435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</row>
    <row r="221" spans="1:25" ht="24" customHeight="1" x14ac:dyDescent="0.5">
      <c r="A221" s="3"/>
      <c r="B221" s="3"/>
      <c r="C221" s="3"/>
      <c r="D221" s="3"/>
      <c r="E221" s="3"/>
      <c r="F221" s="3"/>
      <c r="G221" s="3"/>
      <c r="H221" s="3"/>
      <c r="I221" s="435"/>
      <c r="J221" s="4"/>
      <c r="K221" s="435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</row>
    <row r="222" spans="1:25" ht="24" customHeight="1" x14ac:dyDescent="0.5">
      <c r="A222" s="3"/>
      <c r="B222" s="3"/>
      <c r="C222" s="3"/>
      <c r="D222" s="3"/>
      <c r="E222" s="3"/>
      <c r="F222" s="3"/>
      <c r="G222" s="3"/>
      <c r="H222" s="3"/>
      <c r="I222" s="435"/>
      <c r="J222" s="4"/>
      <c r="K222" s="435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</row>
    <row r="223" spans="1:25" ht="24" customHeight="1" x14ac:dyDescent="0.5">
      <c r="A223" s="3"/>
      <c r="B223" s="3"/>
      <c r="C223" s="3"/>
      <c r="D223" s="3"/>
      <c r="E223" s="3"/>
      <c r="F223" s="3"/>
      <c r="G223" s="3"/>
      <c r="H223" s="3"/>
      <c r="I223" s="435"/>
      <c r="J223" s="4"/>
      <c r="K223" s="435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</row>
    <row r="224" spans="1:25" ht="24" customHeight="1" x14ac:dyDescent="0.5">
      <c r="A224" s="3"/>
      <c r="B224" s="3"/>
      <c r="C224" s="3"/>
      <c r="D224" s="3"/>
      <c r="E224" s="3"/>
      <c r="F224" s="3"/>
      <c r="G224" s="3"/>
      <c r="H224" s="3"/>
      <c r="I224" s="435"/>
      <c r="J224" s="4"/>
      <c r="K224" s="435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</row>
    <row r="225" spans="1:25" ht="24" customHeight="1" x14ac:dyDescent="0.5">
      <c r="A225" s="3"/>
      <c r="B225" s="3"/>
      <c r="C225" s="3"/>
      <c r="D225" s="3"/>
      <c r="E225" s="3"/>
      <c r="F225" s="3"/>
      <c r="G225" s="3"/>
      <c r="H225" s="3"/>
      <c r="I225" s="435"/>
      <c r="J225" s="4"/>
      <c r="K225" s="435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</row>
    <row r="226" spans="1:25" ht="24" customHeight="1" x14ac:dyDescent="0.5">
      <c r="A226" s="3"/>
      <c r="B226" s="3"/>
      <c r="C226" s="3"/>
      <c r="D226" s="3"/>
      <c r="E226" s="3"/>
      <c r="F226" s="3"/>
      <c r="G226" s="3"/>
      <c r="H226" s="3"/>
      <c r="I226" s="435"/>
      <c r="J226" s="4"/>
      <c r="K226" s="435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</row>
    <row r="227" spans="1:25" ht="24" customHeight="1" x14ac:dyDescent="0.5">
      <c r="A227" s="3"/>
      <c r="B227" s="3"/>
      <c r="C227" s="3"/>
      <c r="D227" s="3"/>
      <c r="E227" s="3"/>
      <c r="F227" s="3"/>
      <c r="G227" s="3"/>
      <c r="H227" s="3"/>
      <c r="I227" s="435"/>
      <c r="J227" s="4"/>
      <c r="K227" s="435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</row>
    <row r="228" spans="1:25" ht="24" customHeight="1" x14ac:dyDescent="0.5">
      <c r="A228" s="3"/>
      <c r="B228" s="3"/>
      <c r="C228" s="3"/>
      <c r="D228" s="3"/>
      <c r="E228" s="3"/>
      <c r="F228" s="3"/>
      <c r="G228" s="3"/>
      <c r="H228" s="3"/>
      <c r="I228" s="435"/>
      <c r="J228" s="4"/>
      <c r="K228" s="435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</row>
    <row r="229" spans="1:25" ht="24" customHeight="1" x14ac:dyDescent="0.5">
      <c r="A229" s="3"/>
      <c r="B229" s="3"/>
      <c r="C229" s="3"/>
      <c r="D229" s="3"/>
      <c r="E229" s="3"/>
      <c r="F229" s="3"/>
      <c r="G229" s="3"/>
      <c r="H229" s="3"/>
      <c r="I229" s="435"/>
      <c r="J229" s="4"/>
      <c r="K229" s="435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</row>
    <row r="230" spans="1:25" ht="24" customHeight="1" x14ac:dyDescent="0.5">
      <c r="A230" s="3"/>
      <c r="B230" s="3"/>
      <c r="C230" s="3"/>
      <c r="D230" s="3"/>
      <c r="E230" s="3"/>
      <c r="F230" s="3"/>
      <c r="G230" s="3"/>
      <c r="H230" s="3"/>
      <c r="I230" s="435"/>
      <c r="J230" s="4"/>
      <c r="K230" s="435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</row>
    <row r="231" spans="1:25" ht="24" customHeight="1" x14ac:dyDescent="0.5">
      <c r="A231" s="3"/>
      <c r="B231" s="3"/>
      <c r="C231" s="3"/>
      <c r="D231" s="3"/>
      <c r="E231" s="3"/>
      <c r="F231" s="3"/>
      <c r="G231" s="3"/>
      <c r="H231" s="3"/>
      <c r="I231" s="435"/>
      <c r="J231" s="4"/>
      <c r="K231" s="435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</row>
    <row r="232" spans="1:25" ht="24" customHeight="1" x14ac:dyDescent="0.5">
      <c r="A232" s="3"/>
      <c r="B232" s="3"/>
      <c r="C232" s="3"/>
      <c r="D232" s="3"/>
      <c r="E232" s="3"/>
      <c r="F232" s="3"/>
      <c r="G232" s="3"/>
      <c r="H232" s="3"/>
      <c r="I232" s="435"/>
      <c r="J232" s="4"/>
      <c r="K232" s="435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</row>
    <row r="233" spans="1:25" ht="24" customHeight="1" x14ac:dyDescent="0.5">
      <c r="A233" s="3"/>
      <c r="B233" s="3"/>
      <c r="C233" s="3"/>
      <c r="D233" s="3"/>
      <c r="E233" s="3"/>
      <c r="F233" s="3"/>
      <c r="G233" s="3"/>
      <c r="H233" s="3"/>
      <c r="I233" s="435"/>
      <c r="J233" s="4"/>
      <c r="K233" s="435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</row>
    <row r="234" spans="1:25" ht="24" customHeight="1" x14ac:dyDescent="0.5">
      <c r="A234" s="3"/>
      <c r="B234" s="3"/>
      <c r="C234" s="3"/>
      <c r="D234" s="3"/>
      <c r="E234" s="3"/>
      <c r="F234" s="3"/>
      <c r="G234" s="3"/>
      <c r="H234" s="3"/>
      <c r="I234" s="435"/>
      <c r="J234" s="4"/>
      <c r="K234" s="435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</row>
    <row r="235" spans="1:25" ht="24" customHeight="1" x14ac:dyDescent="0.5">
      <c r="A235" s="3"/>
      <c r="B235" s="3"/>
      <c r="C235" s="3"/>
      <c r="D235" s="3"/>
      <c r="E235" s="3"/>
      <c r="F235" s="3"/>
      <c r="G235" s="3"/>
      <c r="H235" s="3"/>
      <c r="I235" s="435"/>
      <c r="J235" s="4"/>
      <c r="K235" s="435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</row>
    <row r="236" spans="1:25" ht="24" customHeight="1" x14ac:dyDescent="0.5">
      <c r="A236" s="3"/>
      <c r="B236" s="3"/>
      <c r="C236" s="3"/>
      <c r="D236" s="3"/>
      <c r="E236" s="3"/>
      <c r="F236" s="3"/>
      <c r="G236" s="3"/>
      <c r="H236" s="3"/>
      <c r="I236" s="435"/>
      <c r="J236" s="4"/>
      <c r="K236" s="435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</row>
    <row r="237" spans="1:25" ht="24" customHeight="1" x14ac:dyDescent="0.5">
      <c r="A237" s="3"/>
      <c r="B237" s="3"/>
      <c r="C237" s="3"/>
      <c r="D237" s="3"/>
      <c r="E237" s="3"/>
      <c r="F237" s="3"/>
      <c r="G237" s="3"/>
      <c r="H237" s="3"/>
      <c r="I237" s="435"/>
      <c r="J237" s="4"/>
      <c r="K237" s="435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</row>
    <row r="238" spans="1:25" ht="24" customHeight="1" x14ac:dyDescent="0.5">
      <c r="A238" s="3"/>
      <c r="B238" s="3"/>
      <c r="C238" s="3"/>
      <c r="D238" s="3"/>
      <c r="E238" s="3"/>
      <c r="F238" s="3"/>
      <c r="G238" s="3"/>
      <c r="H238" s="3"/>
      <c r="I238" s="435"/>
      <c r="J238" s="4"/>
      <c r="K238" s="435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</row>
    <row r="239" spans="1:25" ht="24" customHeight="1" x14ac:dyDescent="0.5">
      <c r="A239" s="3"/>
      <c r="B239" s="3"/>
      <c r="C239" s="3"/>
      <c r="D239" s="3"/>
      <c r="E239" s="3"/>
      <c r="F239" s="3"/>
      <c r="G239" s="3"/>
      <c r="H239" s="3"/>
      <c r="I239" s="435"/>
      <c r="J239" s="4"/>
      <c r="K239" s="435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</row>
    <row r="240" spans="1:25" ht="24" customHeight="1" x14ac:dyDescent="0.5">
      <c r="A240" s="3"/>
      <c r="B240" s="3"/>
      <c r="C240" s="3"/>
      <c r="D240" s="3"/>
      <c r="E240" s="3"/>
      <c r="F240" s="3"/>
      <c r="G240" s="3"/>
      <c r="H240" s="3"/>
      <c r="I240" s="435"/>
      <c r="J240" s="4"/>
      <c r="K240" s="435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</row>
    <row r="241" spans="1:25" ht="24" customHeight="1" x14ac:dyDescent="0.5">
      <c r="A241" s="3"/>
      <c r="B241" s="3"/>
      <c r="C241" s="3"/>
      <c r="D241" s="3"/>
      <c r="E241" s="3"/>
      <c r="F241" s="3"/>
      <c r="G241" s="3"/>
      <c r="H241" s="3"/>
      <c r="I241" s="435"/>
      <c r="J241" s="4"/>
      <c r="K241" s="435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</row>
    <row r="242" spans="1:25" ht="24" customHeight="1" x14ac:dyDescent="0.5">
      <c r="A242" s="3"/>
      <c r="B242" s="3"/>
      <c r="C242" s="3"/>
      <c r="D242" s="3"/>
      <c r="E242" s="3"/>
      <c r="F242" s="3"/>
      <c r="G242" s="3"/>
      <c r="H242" s="3"/>
      <c r="I242" s="435"/>
      <c r="J242" s="4"/>
      <c r="K242" s="435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</row>
    <row r="243" spans="1:25" ht="24" customHeight="1" x14ac:dyDescent="0.5">
      <c r="A243" s="3"/>
      <c r="B243" s="3"/>
      <c r="C243" s="3"/>
      <c r="D243" s="3"/>
      <c r="E243" s="3"/>
      <c r="F243" s="3"/>
      <c r="G243" s="3"/>
      <c r="H243" s="3"/>
      <c r="I243" s="435"/>
      <c r="J243" s="4"/>
      <c r="K243" s="435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</row>
    <row r="244" spans="1:25" ht="24" customHeight="1" x14ac:dyDescent="0.5">
      <c r="A244" s="3"/>
      <c r="B244" s="3"/>
      <c r="C244" s="3"/>
      <c r="D244" s="3"/>
      <c r="E244" s="3"/>
      <c r="F244" s="3"/>
      <c r="G244" s="3"/>
      <c r="H244" s="3"/>
      <c r="I244" s="435"/>
      <c r="J244" s="4"/>
      <c r="K244" s="435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</row>
    <row r="245" spans="1:25" ht="24" customHeight="1" x14ac:dyDescent="0.5">
      <c r="A245" s="3"/>
      <c r="B245" s="3"/>
      <c r="C245" s="3"/>
      <c r="D245" s="3"/>
      <c r="E245" s="3"/>
      <c r="F245" s="3"/>
      <c r="G245" s="3"/>
      <c r="H245" s="3"/>
      <c r="I245" s="435"/>
      <c r="J245" s="4"/>
      <c r="K245" s="435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</row>
    <row r="246" spans="1:25" ht="24" customHeight="1" x14ac:dyDescent="0.5">
      <c r="A246" s="3"/>
      <c r="B246" s="3"/>
      <c r="C246" s="3"/>
      <c r="D246" s="3"/>
      <c r="E246" s="3"/>
      <c r="F246" s="3"/>
      <c r="G246" s="3"/>
      <c r="H246" s="3"/>
      <c r="I246" s="435"/>
      <c r="J246" s="4"/>
      <c r="K246" s="435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</row>
    <row r="247" spans="1:25" ht="24" customHeight="1" x14ac:dyDescent="0.5">
      <c r="A247" s="3"/>
      <c r="B247" s="3"/>
      <c r="C247" s="3"/>
      <c r="D247" s="3"/>
      <c r="E247" s="3"/>
      <c r="F247" s="3"/>
      <c r="G247" s="3"/>
      <c r="H247" s="3"/>
      <c r="I247" s="435"/>
      <c r="J247" s="4"/>
      <c r="K247" s="435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</row>
    <row r="248" spans="1:25" ht="24" customHeight="1" x14ac:dyDescent="0.5">
      <c r="A248" s="3"/>
      <c r="B248" s="3"/>
      <c r="C248" s="3"/>
      <c r="D248" s="3"/>
      <c r="E248" s="3"/>
      <c r="F248" s="3"/>
      <c r="G248" s="3"/>
      <c r="H248" s="3"/>
      <c r="I248" s="435"/>
      <c r="J248" s="4"/>
      <c r="K248" s="435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</row>
    <row r="249" spans="1:25" ht="24" customHeight="1" x14ac:dyDescent="0.5">
      <c r="A249" s="3"/>
      <c r="B249" s="3"/>
      <c r="C249" s="3"/>
      <c r="D249" s="3"/>
      <c r="E249" s="3"/>
      <c r="F249" s="3"/>
      <c r="G249" s="3"/>
      <c r="H249" s="3"/>
      <c r="I249" s="435"/>
      <c r="J249" s="4"/>
      <c r="K249" s="435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</row>
    <row r="250" spans="1:25" ht="24" customHeight="1" x14ac:dyDescent="0.5">
      <c r="A250" s="3"/>
      <c r="B250" s="3"/>
      <c r="C250" s="3"/>
      <c r="D250" s="3"/>
      <c r="E250" s="3"/>
      <c r="F250" s="3"/>
      <c r="G250" s="3"/>
      <c r="H250" s="3"/>
      <c r="I250" s="435"/>
      <c r="J250" s="4"/>
      <c r="K250" s="435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</row>
    <row r="251" spans="1:25" ht="24" customHeight="1" x14ac:dyDescent="0.5">
      <c r="A251" s="3"/>
      <c r="B251" s="3"/>
      <c r="C251" s="3"/>
      <c r="D251" s="3"/>
      <c r="E251" s="3"/>
      <c r="F251" s="3"/>
      <c r="G251" s="3"/>
      <c r="H251" s="3"/>
      <c r="I251" s="435"/>
      <c r="J251" s="4"/>
      <c r="K251" s="435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</row>
    <row r="252" spans="1:25" ht="24" customHeight="1" x14ac:dyDescent="0.5">
      <c r="A252" s="3"/>
      <c r="B252" s="3"/>
      <c r="C252" s="3"/>
      <c r="D252" s="3"/>
      <c r="E252" s="3"/>
      <c r="F252" s="3"/>
      <c r="G252" s="3"/>
      <c r="H252" s="3"/>
      <c r="I252" s="435"/>
      <c r="J252" s="4"/>
      <c r="K252" s="435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</row>
    <row r="253" spans="1:25" ht="24" customHeight="1" x14ac:dyDescent="0.5">
      <c r="A253" s="3"/>
      <c r="B253" s="3"/>
      <c r="C253" s="3"/>
      <c r="D253" s="3"/>
      <c r="E253" s="3"/>
      <c r="F253" s="3"/>
      <c r="G253" s="3"/>
      <c r="H253" s="3"/>
      <c r="I253" s="435"/>
      <c r="J253" s="4"/>
      <c r="K253" s="435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</row>
    <row r="254" spans="1:25" ht="24" customHeight="1" x14ac:dyDescent="0.5">
      <c r="A254" s="3"/>
      <c r="B254" s="3"/>
      <c r="C254" s="3"/>
      <c r="D254" s="3"/>
      <c r="E254" s="3"/>
      <c r="F254" s="3"/>
      <c r="G254" s="3"/>
      <c r="H254" s="3"/>
      <c r="I254" s="435"/>
      <c r="J254" s="4"/>
      <c r="K254" s="435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</row>
    <row r="255" spans="1:25" ht="24" customHeight="1" x14ac:dyDescent="0.5">
      <c r="A255" s="3"/>
      <c r="B255" s="3"/>
      <c r="C255" s="3"/>
      <c r="D255" s="3"/>
      <c r="E255" s="3"/>
      <c r="F255" s="3"/>
      <c r="G255" s="3"/>
      <c r="H255" s="3"/>
      <c r="I255" s="435"/>
      <c r="J255" s="4"/>
      <c r="K255" s="435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</row>
    <row r="256" spans="1:25" ht="24" customHeight="1" x14ac:dyDescent="0.5">
      <c r="A256" s="3"/>
      <c r="B256" s="3"/>
      <c r="C256" s="3"/>
      <c r="D256" s="3"/>
      <c r="E256" s="3"/>
      <c r="F256" s="3"/>
      <c r="G256" s="3"/>
      <c r="H256" s="3"/>
      <c r="I256" s="435"/>
      <c r="J256" s="4"/>
      <c r="K256" s="435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</row>
    <row r="257" spans="1:25" ht="24" customHeight="1" x14ac:dyDescent="0.5">
      <c r="A257" s="3"/>
      <c r="B257" s="3"/>
      <c r="C257" s="3"/>
      <c r="D257" s="3"/>
      <c r="E257" s="3"/>
      <c r="F257" s="3"/>
      <c r="G257" s="3"/>
      <c r="H257" s="3"/>
      <c r="I257" s="435"/>
      <c r="J257" s="4"/>
      <c r="K257" s="435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</row>
    <row r="258" spans="1:25" ht="24" customHeight="1" x14ac:dyDescent="0.5">
      <c r="A258" s="3"/>
      <c r="B258" s="3"/>
      <c r="C258" s="3"/>
      <c r="D258" s="3"/>
      <c r="E258" s="3"/>
      <c r="F258" s="3"/>
      <c r="G258" s="3"/>
      <c r="H258" s="3"/>
      <c r="I258" s="435"/>
      <c r="J258" s="4"/>
      <c r="K258" s="435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</row>
    <row r="259" spans="1:25" ht="24" customHeight="1" x14ac:dyDescent="0.5">
      <c r="A259" s="3"/>
      <c r="B259" s="3"/>
      <c r="C259" s="3"/>
      <c r="D259" s="3"/>
      <c r="E259" s="3"/>
      <c r="F259" s="3"/>
      <c r="G259" s="3"/>
      <c r="H259" s="3"/>
      <c r="I259" s="435"/>
      <c r="J259" s="4"/>
      <c r="K259" s="435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</row>
    <row r="260" spans="1:25" ht="24" customHeight="1" x14ac:dyDescent="0.5">
      <c r="A260" s="3"/>
      <c r="B260" s="3"/>
      <c r="C260" s="3"/>
      <c r="D260" s="3"/>
      <c r="E260" s="3"/>
      <c r="F260" s="3"/>
      <c r="G260" s="3"/>
      <c r="H260" s="3"/>
      <c r="I260" s="435"/>
      <c r="J260" s="4"/>
      <c r="K260" s="435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</row>
    <row r="261" spans="1:25" ht="24" customHeight="1" x14ac:dyDescent="0.5">
      <c r="A261" s="3"/>
      <c r="B261" s="3"/>
      <c r="C261" s="3"/>
      <c r="D261" s="3"/>
      <c r="E261" s="3"/>
      <c r="F261" s="3"/>
      <c r="G261" s="3"/>
      <c r="H261" s="3"/>
      <c r="I261" s="435"/>
      <c r="J261" s="4"/>
      <c r="K261" s="435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</row>
    <row r="262" spans="1:25" ht="24" customHeight="1" x14ac:dyDescent="0.5">
      <c r="A262" s="3"/>
      <c r="B262" s="3"/>
      <c r="C262" s="3"/>
      <c r="D262" s="3"/>
      <c r="E262" s="3"/>
      <c r="F262" s="3"/>
      <c r="G262" s="3"/>
      <c r="H262" s="3"/>
      <c r="I262" s="435"/>
      <c r="J262" s="4"/>
      <c r="K262" s="435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</row>
    <row r="263" spans="1:25" ht="24" customHeight="1" x14ac:dyDescent="0.5">
      <c r="A263" s="3"/>
      <c r="B263" s="3"/>
      <c r="C263" s="3"/>
      <c r="D263" s="3"/>
      <c r="E263" s="3"/>
      <c r="F263" s="3"/>
      <c r="G263" s="3"/>
      <c r="H263" s="3"/>
      <c r="I263" s="435"/>
      <c r="J263" s="4"/>
      <c r="K263" s="435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</row>
    <row r="264" spans="1:25" ht="24" customHeight="1" x14ac:dyDescent="0.5">
      <c r="A264" s="3"/>
      <c r="B264" s="3"/>
      <c r="C264" s="3"/>
      <c r="D264" s="3"/>
      <c r="E264" s="3"/>
      <c r="F264" s="3"/>
      <c r="G264" s="3"/>
      <c r="H264" s="3"/>
      <c r="I264" s="435"/>
      <c r="J264" s="4"/>
      <c r="K264" s="435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</row>
    <row r="265" spans="1:25" ht="24" customHeight="1" x14ac:dyDescent="0.5">
      <c r="A265" s="3"/>
      <c r="B265" s="3"/>
      <c r="C265" s="3"/>
      <c r="D265" s="3"/>
      <c r="E265" s="3"/>
      <c r="F265" s="3"/>
      <c r="G265" s="3"/>
      <c r="H265" s="3"/>
      <c r="I265" s="435"/>
      <c r="J265" s="4"/>
      <c r="K265" s="435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</row>
    <row r="266" spans="1:25" ht="24" customHeight="1" x14ac:dyDescent="0.5">
      <c r="A266" s="3"/>
      <c r="B266" s="3"/>
      <c r="C266" s="3"/>
      <c r="D266" s="3"/>
      <c r="E266" s="3"/>
      <c r="F266" s="3"/>
      <c r="G266" s="3"/>
      <c r="H266" s="3"/>
      <c r="I266" s="435"/>
      <c r="J266" s="4"/>
      <c r="K266" s="435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</row>
    <row r="267" spans="1:25" ht="24" customHeight="1" x14ac:dyDescent="0.5">
      <c r="A267" s="3"/>
      <c r="B267" s="3"/>
      <c r="C267" s="3"/>
      <c r="D267" s="3"/>
      <c r="E267" s="3"/>
      <c r="F267" s="3"/>
      <c r="G267" s="3"/>
      <c r="H267" s="3"/>
      <c r="I267" s="435"/>
      <c r="J267" s="4"/>
      <c r="K267" s="435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</row>
    <row r="268" spans="1:25" ht="24" customHeight="1" x14ac:dyDescent="0.5">
      <c r="A268" s="3"/>
      <c r="B268" s="3"/>
      <c r="C268" s="3"/>
      <c r="D268" s="3"/>
      <c r="E268" s="3"/>
      <c r="F268" s="3"/>
      <c r="G268" s="3"/>
      <c r="H268" s="3"/>
      <c r="I268" s="435"/>
      <c r="J268" s="4"/>
      <c r="K268" s="435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</row>
    <row r="269" spans="1:25" ht="24" customHeight="1" x14ac:dyDescent="0.5">
      <c r="A269" s="3"/>
      <c r="B269" s="3"/>
      <c r="C269" s="3"/>
      <c r="D269" s="3"/>
      <c r="E269" s="3"/>
      <c r="F269" s="3"/>
      <c r="G269" s="3"/>
      <c r="H269" s="3"/>
      <c r="I269" s="435"/>
      <c r="J269" s="4"/>
      <c r="K269" s="435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</row>
    <row r="270" spans="1:25" ht="24" customHeight="1" x14ac:dyDescent="0.5">
      <c r="A270" s="3"/>
      <c r="B270" s="3"/>
      <c r="C270" s="3"/>
      <c r="D270" s="3"/>
      <c r="E270" s="3"/>
      <c r="F270" s="3"/>
      <c r="G270" s="3"/>
      <c r="H270" s="3"/>
      <c r="I270" s="435"/>
      <c r="J270" s="4"/>
      <c r="K270" s="435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</row>
    <row r="271" spans="1:25" ht="24" customHeight="1" x14ac:dyDescent="0.5">
      <c r="A271" s="3"/>
      <c r="B271" s="3"/>
      <c r="C271" s="3"/>
      <c r="D271" s="3"/>
      <c r="E271" s="3"/>
      <c r="F271" s="3"/>
      <c r="G271" s="3"/>
      <c r="H271" s="3"/>
      <c r="I271" s="435"/>
      <c r="J271" s="4"/>
      <c r="K271" s="435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</row>
    <row r="272" spans="1:25" ht="24" customHeight="1" x14ac:dyDescent="0.5">
      <c r="A272" s="3"/>
      <c r="B272" s="3"/>
      <c r="C272" s="3"/>
      <c r="D272" s="3"/>
      <c r="E272" s="3"/>
      <c r="F272" s="3"/>
      <c r="G272" s="3"/>
      <c r="H272" s="3"/>
      <c r="I272" s="435"/>
      <c r="J272" s="4"/>
      <c r="K272" s="435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</row>
    <row r="273" spans="1:25" ht="24" customHeight="1" x14ac:dyDescent="0.5">
      <c r="A273" s="3"/>
      <c r="B273" s="3"/>
      <c r="C273" s="3"/>
      <c r="D273" s="3"/>
      <c r="E273" s="3"/>
      <c r="F273" s="3"/>
      <c r="G273" s="3"/>
      <c r="H273" s="3"/>
      <c r="I273" s="435"/>
      <c r="J273" s="4"/>
      <c r="K273" s="435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</row>
    <row r="274" spans="1:25" ht="24" customHeight="1" x14ac:dyDescent="0.5">
      <c r="A274" s="3"/>
      <c r="B274" s="3"/>
      <c r="C274" s="3"/>
      <c r="D274" s="3"/>
      <c r="E274" s="3"/>
      <c r="F274" s="3"/>
      <c r="G274" s="3"/>
      <c r="H274" s="3"/>
      <c r="I274" s="435"/>
      <c r="J274" s="4"/>
      <c r="K274" s="435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</row>
    <row r="275" spans="1:25" ht="24" customHeight="1" x14ac:dyDescent="0.5">
      <c r="A275" s="3"/>
      <c r="B275" s="3"/>
      <c r="C275" s="3"/>
      <c r="D275" s="3"/>
      <c r="E275" s="3"/>
      <c r="F275" s="3"/>
      <c r="G275" s="3"/>
      <c r="H275" s="3"/>
      <c r="I275" s="435"/>
      <c r="J275" s="4"/>
      <c r="K275" s="435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</row>
    <row r="276" spans="1:25" ht="24" customHeight="1" x14ac:dyDescent="0.5">
      <c r="A276" s="3"/>
      <c r="B276" s="3"/>
      <c r="C276" s="3"/>
      <c r="D276" s="3"/>
      <c r="E276" s="3"/>
      <c r="F276" s="3"/>
      <c r="G276" s="3"/>
      <c r="H276" s="3"/>
      <c r="I276" s="435"/>
      <c r="J276" s="4"/>
      <c r="K276" s="435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</row>
    <row r="277" spans="1:25" ht="24" customHeight="1" x14ac:dyDescent="0.5">
      <c r="A277" s="3"/>
      <c r="B277" s="3"/>
      <c r="C277" s="3"/>
      <c r="D277" s="3"/>
      <c r="E277" s="3"/>
      <c r="F277" s="3"/>
      <c r="G277" s="3"/>
      <c r="H277" s="3"/>
      <c r="I277" s="435"/>
      <c r="J277" s="4"/>
      <c r="K277" s="435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</row>
    <row r="278" spans="1:25" ht="24" customHeight="1" x14ac:dyDescent="0.5">
      <c r="A278" s="3"/>
      <c r="B278" s="3"/>
      <c r="C278" s="3"/>
      <c r="D278" s="3"/>
      <c r="E278" s="3"/>
      <c r="F278" s="3"/>
      <c r="G278" s="3"/>
      <c r="H278" s="3"/>
      <c r="I278" s="435"/>
      <c r="J278" s="4"/>
      <c r="K278" s="435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</row>
    <row r="279" spans="1:25" ht="24" customHeight="1" x14ac:dyDescent="0.5">
      <c r="A279" s="3"/>
      <c r="B279" s="3"/>
      <c r="C279" s="3"/>
      <c r="D279" s="3"/>
      <c r="E279" s="3"/>
      <c r="F279" s="3"/>
      <c r="G279" s="3"/>
      <c r="H279" s="3"/>
      <c r="I279" s="435"/>
      <c r="J279" s="4"/>
      <c r="K279" s="435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</row>
    <row r="280" spans="1:25" ht="24" customHeight="1" x14ac:dyDescent="0.5">
      <c r="A280" s="3"/>
      <c r="B280" s="3"/>
      <c r="C280" s="3"/>
      <c r="D280" s="3"/>
      <c r="E280" s="3"/>
      <c r="F280" s="3"/>
      <c r="G280" s="3"/>
      <c r="H280" s="3"/>
      <c r="I280" s="435"/>
      <c r="J280" s="4"/>
      <c r="K280" s="435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</row>
    <row r="281" spans="1:25" ht="24" customHeight="1" x14ac:dyDescent="0.5">
      <c r="A281" s="3"/>
      <c r="B281" s="3"/>
      <c r="C281" s="3"/>
      <c r="D281" s="3"/>
      <c r="E281" s="3"/>
      <c r="F281" s="3"/>
      <c r="G281" s="3"/>
      <c r="H281" s="3"/>
      <c r="I281" s="435"/>
      <c r="J281" s="4"/>
      <c r="K281" s="435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</row>
    <row r="282" spans="1:25" ht="24" customHeight="1" x14ac:dyDescent="0.5">
      <c r="A282" s="3"/>
      <c r="B282" s="3"/>
      <c r="C282" s="3"/>
      <c r="D282" s="3"/>
      <c r="E282" s="3"/>
      <c r="F282" s="3"/>
      <c r="G282" s="3"/>
      <c r="H282" s="3"/>
      <c r="I282" s="435"/>
      <c r="J282" s="4"/>
      <c r="K282" s="435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</row>
    <row r="283" spans="1:25" ht="24" customHeight="1" x14ac:dyDescent="0.5">
      <c r="A283" s="3"/>
      <c r="B283" s="3"/>
      <c r="C283" s="3"/>
      <c r="D283" s="3"/>
      <c r="E283" s="3"/>
      <c r="F283" s="3"/>
      <c r="G283" s="3"/>
      <c r="H283" s="3"/>
      <c r="I283" s="435"/>
      <c r="J283" s="4"/>
      <c r="K283" s="435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</row>
    <row r="284" spans="1:25" ht="24" customHeight="1" x14ac:dyDescent="0.5">
      <c r="A284" s="3"/>
      <c r="B284" s="3"/>
      <c r="C284" s="3"/>
      <c r="D284" s="3"/>
      <c r="E284" s="3"/>
      <c r="F284" s="3"/>
      <c r="G284" s="3"/>
      <c r="H284" s="3"/>
      <c r="I284" s="435"/>
      <c r="J284" s="4"/>
      <c r="K284" s="435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</row>
    <row r="285" spans="1:25" ht="24" customHeight="1" x14ac:dyDescent="0.5">
      <c r="A285" s="3"/>
      <c r="B285" s="3"/>
      <c r="C285" s="3"/>
      <c r="D285" s="3"/>
      <c r="E285" s="3"/>
      <c r="F285" s="3"/>
      <c r="G285" s="3"/>
      <c r="H285" s="3"/>
      <c r="I285" s="435"/>
      <c r="J285" s="4"/>
      <c r="K285" s="435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</row>
    <row r="286" spans="1:25" ht="24" customHeight="1" x14ac:dyDescent="0.5">
      <c r="A286" s="3"/>
      <c r="B286" s="3"/>
      <c r="C286" s="3"/>
      <c r="D286" s="3"/>
      <c r="E286" s="3"/>
      <c r="F286" s="3"/>
      <c r="G286" s="3"/>
      <c r="H286" s="3"/>
      <c r="I286" s="435"/>
      <c r="J286" s="4"/>
      <c r="K286" s="435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</row>
    <row r="287" spans="1:25" ht="24" customHeight="1" x14ac:dyDescent="0.5">
      <c r="A287" s="3"/>
      <c r="B287" s="3"/>
      <c r="C287" s="3"/>
      <c r="D287" s="3"/>
      <c r="E287" s="3"/>
      <c r="F287" s="3"/>
      <c r="G287" s="3"/>
      <c r="H287" s="3"/>
      <c r="I287" s="435"/>
      <c r="J287" s="4"/>
      <c r="K287" s="435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</row>
    <row r="288" spans="1:25" ht="24" customHeight="1" x14ac:dyDescent="0.5">
      <c r="A288" s="3"/>
      <c r="B288" s="3"/>
      <c r="C288" s="3"/>
      <c r="D288" s="3"/>
      <c r="E288" s="3"/>
      <c r="F288" s="3"/>
      <c r="G288" s="3"/>
      <c r="H288" s="3"/>
      <c r="I288" s="435"/>
      <c r="J288" s="4"/>
      <c r="K288" s="435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</row>
    <row r="289" spans="1:25" ht="24" customHeight="1" x14ac:dyDescent="0.5">
      <c r="A289" s="3"/>
      <c r="B289" s="3"/>
      <c r="C289" s="3"/>
      <c r="D289" s="3"/>
      <c r="E289" s="3"/>
      <c r="F289" s="3"/>
      <c r="G289" s="3"/>
      <c r="H289" s="3"/>
      <c r="I289" s="435"/>
      <c r="J289" s="4"/>
      <c r="K289" s="435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</row>
    <row r="290" spans="1:25" ht="24" customHeight="1" x14ac:dyDescent="0.5">
      <c r="A290" s="3"/>
      <c r="B290" s="3"/>
      <c r="C290" s="3"/>
      <c r="D290" s="3"/>
      <c r="E290" s="3"/>
      <c r="F290" s="3"/>
      <c r="G290" s="3"/>
      <c r="H290" s="3"/>
      <c r="I290" s="435"/>
      <c r="J290" s="4"/>
      <c r="K290" s="435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</row>
    <row r="291" spans="1:25" ht="24" customHeight="1" x14ac:dyDescent="0.5">
      <c r="A291" s="3"/>
      <c r="B291" s="3"/>
      <c r="C291" s="3"/>
      <c r="D291" s="3"/>
      <c r="E291" s="3"/>
      <c r="F291" s="3"/>
      <c r="G291" s="3"/>
      <c r="H291" s="3"/>
      <c r="I291" s="435"/>
      <c r="J291" s="4"/>
      <c r="K291" s="435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</row>
    <row r="292" spans="1:25" ht="24" customHeight="1" x14ac:dyDescent="0.5">
      <c r="A292" s="3"/>
      <c r="B292" s="3"/>
      <c r="C292" s="3"/>
      <c r="D292" s="3"/>
      <c r="E292" s="3"/>
      <c r="F292" s="3"/>
      <c r="G292" s="3"/>
      <c r="H292" s="3"/>
      <c r="I292" s="435"/>
      <c r="J292" s="4"/>
      <c r="K292" s="435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</row>
    <row r="293" spans="1:25" ht="24" customHeight="1" x14ac:dyDescent="0.5">
      <c r="A293" s="3"/>
      <c r="B293" s="3"/>
      <c r="C293" s="3"/>
      <c r="D293" s="3"/>
      <c r="E293" s="3"/>
      <c r="F293" s="3"/>
      <c r="G293" s="3"/>
      <c r="H293" s="3"/>
      <c r="I293" s="435"/>
      <c r="J293" s="4"/>
      <c r="K293" s="435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</row>
    <row r="294" spans="1:25" ht="24" customHeight="1" x14ac:dyDescent="0.5">
      <c r="A294" s="3"/>
      <c r="B294" s="3"/>
      <c r="C294" s="3"/>
      <c r="D294" s="3"/>
      <c r="E294" s="3"/>
      <c r="F294" s="3"/>
      <c r="G294" s="3"/>
      <c r="H294" s="3"/>
      <c r="I294" s="435"/>
      <c r="J294" s="4"/>
      <c r="K294" s="435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</row>
    <row r="295" spans="1:25" ht="24" customHeight="1" x14ac:dyDescent="0.5">
      <c r="A295" s="3"/>
      <c r="B295" s="3"/>
      <c r="C295" s="3"/>
      <c r="D295" s="3"/>
      <c r="E295" s="3"/>
      <c r="F295" s="3"/>
      <c r="G295" s="3"/>
      <c r="H295" s="3"/>
      <c r="I295" s="435"/>
      <c r="J295" s="4"/>
      <c r="K295" s="435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</row>
    <row r="296" spans="1:25" ht="24" customHeight="1" x14ac:dyDescent="0.5">
      <c r="A296" s="3"/>
      <c r="B296" s="3"/>
      <c r="C296" s="3"/>
      <c r="D296" s="3"/>
      <c r="E296" s="3"/>
      <c r="F296" s="3"/>
      <c r="G296" s="3"/>
      <c r="H296" s="3"/>
      <c r="I296" s="435"/>
      <c r="J296" s="4"/>
      <c r="K296" s="435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</row>
    <row r="297" spans="1:25" ht="24" customHeight="1" x14ac:dyDescent="0.5">
      <c r="A297" s="3"/>
      <c r="B297" s="3"/>
      <c r="C297" s="3"/>
      <c r="D297" s="3"/>
      <c r="E297" s="3"/>
      <c r="F297" s="3"/>
      <c r="G297" s="3"/>
      <c r="H297" s="3"/>
      <c r="I297" s="435"/>
      <c r="J297" s="4"/>
      <c r="K297" s="435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</row>
    <row r="298" spans="1:25" ht="24" customHeight="1" x14ac:dyDescent="0.5">
      <c r="A298" s="3"/>
      <c r="B298" s="3"/>
      <c r="C298" s="3"/>
      <c r="D298" s="3"/>
      <c r="E298" s="3"/>
      <c r="F298" s="3"/>
      <c r="G298" s="3"/>
      <c r="H298" s="3"/>
      <c r="I298" s="435"/>
      <c r="J298" s="4"/>
      <c r="K298" s="435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</row>
    <row r="299" spans="1:25" ht="24" customHeight="1" x14ac:dyDescent="0.5">
      <c r="A299" s="3"/>
      <c r="B299" s="3"/>
      <c r="C299" s="3"/>
      <c r="D299" s="3"/>
      <c r="E299" s="3"/>
      <c r="F299" s="3"/>
      <c r="G299" s="3"/>
      <c r="H299" s="3"/>
      <c r="I299" s="435"/>
      <c r="J299" s="4"/>
      <c r="K299" s="435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</row>
    <row r="300" spans="1:25" ht="24" customHeight="1" x14ac:dyDescent="0.5">
      <c r="A300" s="3"/>
      <c r="B300" s="3"/>
      <c r="C300" s="3"/>
      <c r="D300" s="3"/>
      <c r="E300" s="3"/>
      <c r="F300" s="3"/>
      <c r="G300" s="3"/>
      <c r="H300" s="3"/>
      <c r="I300" s="435"/>
      <c r="J300" s="4"/>
      <c r="K300" s="435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</row>
    <row r="301" spans="1:25" ht="24" customHeight="1" x14ac:dyDescent="0.5">
      <c r="A301" s="3"/>
      <c r="B301" s="3"/>
      <c r="C301" s="3"/>
      <c r="D301" s="3"/>
      <c r="E301" s="3"/>
      <c r="F301" s="3"/>
      <c r="G301" s="3"/>
      <c r="H301" s="3"/>
      <c r="I301" s="435"/>
      <c r="J301" s="4"/>
      <c r="K301" s="435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</row>
    <row r="302" spans="1:25" ht="24" customHeight="1" x14ac:dyDescent="0.5">
      <c r="A302" s="3"/>
      <c r="B302" s="3"/>
      <c r="C302" s="3"/>
      <c r="D302" s="3"/>
      <c r="E302" s="3"/>
      <c r="F302" s="3"/>
      <c r="G302" s="3"/>
      <c r="H302" s="3"/>
      <c r="I302" s="435"/>
      <c r="J302" s="4"/>
      <c r="K302" s="435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</row>
    <row r="303" spans="1:25" ht="24" customHeight="1" x14ac:dyDescent="0.5">
      <c r="A303" s="3"/>
      <c r="B303" s="3"/>
      <c r="C303" s="3"/>
      <c r="D303" s="3"/>
      <c r="E303" s="3"/>
      <c r="F303" s="3"/>
      <c r="G303" s="3"/>
      <c r="H303" s="3"/>
      <c r="I303" s="435"/>
      <c r="J303" s="4"/>
      <c r="K303" s="435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</row>
    <row r="304" spans="1:25" ht="24" customHeight="1" x14ac:dyDescent="0.5">
      <c r="A304" s="3"/>
      <c r="B304" s="3"/>
      <c r="C304" s="3"/>
      <c r="D304" s="3"/>
      <c r="E304" s="3"/>
      <c r="F304" s="3"/>
      <c r="G304" s="3"/>
      <c r="H304" s="3"/>
      <c r="I304" s="435"/>
      <c r="J304" s="4"/>
      <c r="K304" s="435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</row>
    <row r="305" spans="1:25" ht="24" customHeight="1" x14ac:dyDescent="0.5">
      <c r="A305" s="3"/>
      <c r="B305" s="3"/>
      <c r="C305" s="3"/>
      <c r="D305" s="3"/>
      <c r="E305" s="3"/>
      <c r="F305" s="3"/>
      <c r="G305" s="3"/>
      <c r="H305" s="3"/>
      <c r="I305" s="435"/>
      <c r="J305" s="4"/>
      <c r="K305" s="435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</row>
    <row r="306" spans="1:25" ht="24" customHeight="1" x14ac:dyDescent="0.5">
      <c r="A306" s="3"/>
      <c r="B306" s="3"/>
      <c r="C306" s="3"/>
      <c r="D306" s="3"/>
      <c r="E306" s="3"/>
      <c r="F306" s="3"/>
      <c r="G306" s="3"/>
      <c r="H306" s="3"/>
      <c r="I306" s="435"/>
      <c r="J306" s="4"/>
      <c r="K306" s="435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</row>
    <row r="307" spans="1:25" ht="24" customHeight="1" x14ac:dyDescent="0.5">
      <c r="A307" s="3"/>
      <c r="B307" s="3"/>
      <c r="C307" s="3"/>
      <c r="D307" s="3"/>
      <c r="E307" s="3"/>
      <c r="F307" s="3"/>
      <c r="G307" s="3"/>
      <c r="H307" s="3"/>
      <c r="I307" s="435"/>
      <c r="J307" s="4"/>
      <c r="K307" s="435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</row>
    <row r="308" spans="1:25" ht="24" customHeight="1" x14ac:dyDescent="0.5">
      <c r="A308" s="3"/>
      <c r="B308" s="3"/>
      <c r="C308" s="3"/>
      <c r="D308" s="3"/>
      <c r="E308" s="3"/>
      <c r="F308" s="3"/>
      <c r="G308" s="3"/>
      <c r="H308" s="3"/>
      <c r="I308" s="435"/>
      <c r="J308" s="4"/>
      <c r="K308" s="435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</row>
    <row r="309" spans="1:25" ht="24" customHeight="1" x14ac:dyDescent="0.5">
      <c r="A309" s="3"/>
      <c r="B309" s="3"/>
      <c r="C309" s="3"/>
      <c r="D309" s="3"/>
      <c r="E309" s="3"/>
      <c r="F309" s="3"/>
      <c r="G309" s="3"/>
      <c r="H309" s="3"/>
      <c r="I309" s="435"/>
      <c r="J309" s="4"/>
      <c r="K309" s="435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</row>
    <row r="310" spans="1:25" ht="24" customHeight="1" x14ac:dyDescent="0.5">
      <c r="A310" s="3"/>
      <c r="B310" s="3"/>
      <c r="C310" s="3"/>
      <c r="D310" s="3"/>
      <c r="E310" s="3"/>
      <c r="F310" s="3"/>
      <c r="G310" s="3"/>
      <c r="H310" s="3"/>
      <c r="I310" s="435"/>
      <c r="J310" s="4"/>
      <c r="K310" s="435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</row>
    <row r="311" spans="1:25" ht="24" customHeight="1" x14ac:dyDescent="0.5">
      <c r="A311" s="3"/>
      <c r="B311" s="3"/>
      <c r="C311" s="3"/>
      <c r="D311" s="3"/>
      <c r="E311" s="3"/>
      <c r="F311" s="3"/>
      <c r="G311" s="3"/>
      <c r="H311" s="3"/>
      <c r="I311" s="435"/>
      <c r="J311" s="4"/>
      <c r="K311" s="435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</row>
    <row r="312" spans="1:25" ht="24" customHeight="1" x14ac:dyDescent="0.5">
      <c r="A312" s="3"/>
      <c r="B312" s="3"/>
      <c r="C312" s="3"/>
      <c r="D312" s="3"/>
      <c r="E312" s="3"/>
      <c r="F312" s="3"/>
      <c r="G312" s="3"/>
      <c r="H312" s="3"/>
      <c r="I312" s="435"/>
      <c r="J312" s="4"/>
      <c r="K312" s="435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</row>
    <row r="313" spans="1:25" ht="24" customHeight="1" x14ac:dyDescent="0.5">
      <c r="A313" s="3"/>
      <c r="B313" s="3"/>
      <c r="C313" s="3"/>
      <c r="D313" s="3"/>
      <c r="E313" s="3"/>
      <c r="F313" s="3"/>
      <c r="G313" s="3"/>
      <c r="H313" s="3"/>
      <c r="I313" s="435"/>
      <c r="J313" s="4"/>
      <c r="K313" s="435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</row>
    <row r="314" spans="1:25" ht="24" customHeight="1" x14ac:dyDescent="0.5">
      <c r="A314" s="3"/>
      <c r="B314" s="3"/>
      <c r="C314" s="3"/>
      <c r="D314" s="3"/>
      <c r="E314" s="3"/>
      <c r="F314" s="3"/>
      <c r="G314" s="3"/>
      <c r="H314" s="3"/>
      <c r="I314" s="435"/>
      <c r="J314" s="4"/>
      <c r="K314" s="435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</row>
    <row r="315" spans="1:25" ht="24" customHeight="1" x14ac:dyDescent="0.5">
      <c r="A315" s="81"/>
      <c r="B315" s="81"/>
      <c r="C315" s="81"/>
      <c r="D315" s="81"/>
      <c r="E315" s="81"/>
      <c r="F315" s="81"/>
      <c r="G315" s="81"/>
      <c r="H315" s="81"/>
      <c r="I315" s="436"/>
      <c r="J315" s="289"/>
      <c r="K315" s="436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</row>
    <row r="316" spans="1:25" ht="24" customHeight="1" x14ac:dyDescent="0.5">
      <c r="A316" s="81"/>
      <c r="B316" s="81"/>
      <c r="C316" s="81"/>
      <c r="D316" s="81"/>
      <c r="E316" s="81"/>
      <c r="F316" s="81"/>
      <c r="G316" s="81"/>
      <c r="H316" s="81"/>
      <c r="I316" s="436"/>
      <c r="J316" s="289"/>
      <c r="K316" s="436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</row>
    <row r="317" spans="1:25" ht="24" customHeight="1" x14ac:dyDescent="0.5">
      <c r="A317" s="81"/>
      <c r="B317" s="81"/>
      <c r="C317" s="81"/>
      <c r="D317" s="81"/>
      <c r="E317" s="81"/>
      <c r="F317" s="81"/>
      <c r="G317" s="81"/>
      <c r="H317" s="81"/>
      <c r="I317" s="436"/>
      <c r="J317" s="289"/>
      <c r="K317" s="436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</row>
    <row r="318" spans="1:25" ht="24" customHeight="1" x14ac:dyDescent="0.5">
      <c r="A318" s="81"/>
      <c r="B318" s="81"/>
      <c r="C318" s="81"/>
      <c r="D318" s="81"/>
      <c r="E318" s="81"/>
      <c r="F318" s="81"/>
      <c r="G318" s="81"/>
      <c r="H318" s="81"/>
      <c r="I318" s="436"/>
      <c r="J318" s="289"/>
      <c r="K318" s="436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</row>
    <row r="319" spans="1:25" ht="24" customHeight="1" x14ac:dyDescent="0.5">
      <c r="A319" s="81"/>
      <c r="B319" s="81"/>
      <c r="C319" s="81"/>
      <c r="D319" s="81"/>
      <c r="E319" s="81"/>
      <c r="F319" s="81"/>
      <c r="G319" s="81"/>
      <c r="H319" s="81"/>
      <c r="I319" s="436"/>
      <c r="J319" s="289"/>
      <c r="K319" s="436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</row>
    <row r="320" spans="1:25" ht="24" customHeight="1" x14ac:dyDescent="0.5">
      <c r="A320" s="81"/>
      <c r="B320" s="81"/>
      <c r="C320" s="81"/>
      <c r="D320" s="81"/>
      <c r="E320" s="81"/>
      <c r="F320" s="81"/>
      <c r="G320" s="81"/>
      <c r="H320" s="81"/>
      <c r="I320" s="436"/>
      <c r="J320" s="289"/>
      <c r="K320" s="436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</row>
    <row r="321" spans="1:25" ht="24" customHeight="1" x14ac:dyDescent="0.5">
      <c r="A321" s="81"/>
      <c r="B321" s="81"/>
      <c r="C321" s="81"/>
      <c r="D321" s="81"/>
      <c r="E321" s="81"/>
      <c r="F321" s="81"/>
      <c r="G321" s="81"/>
      <c r="H321" s="81"/>
      <c r="I321" s="436"/>
      <c r="J321" s="289"/>
      <c r="K321" s="436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</row>
    <row r="322" spans="1:25" ht="24" customHeight="1" x14ac:dyDescent="0.5">
      <c r="A322" s="81"/>
      <c r="B322" s="81"/>
      <c r="C322" s="81"/>
      <c r="D322" s="81"/>
      <c r="E322" s="81"/>
      <c r="F322" s="81"/>
      <c r="G322" s="81"/>
      <c r="H322" s="81"/>
      <c r="I322" s="436"/>
      <c r="J322" s="289"/>
      <c r="K322" s="436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</row>
    <row r="323" spans="1:25" ht="24" customHeight="1" x14ac:dyDescent="0.5">
      <c r="A323" s="81"/>
      <c r="B323" s="81"/>
      <c r="C323" s="81"/>
      <c r="D323" s="81"/>
      <c r="E323" s="81"/>
      <c r="F323" s="81"/>
      <c r="G323" s="81"/>
      <c r="H323" s="81"/>
      <c r="I323" s="436"/>
      <c r="J323" s="289"/>
      <c r="K323" s="436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</row>
    <row r="324" spans="1:25" ht="24" customHeight="1" x14ac:dyDescent="0.5">
      <c r="A324" s="81"/>
      <c r="B324" s="81"/>
      <c r="C324" s="81"/>
      <c r="D324" s="81"/>
      <c r="E324" s="81"/>
      <c r="F324" s="81"/>
      <c r="G324" s="81"/>
      <c r="H324" s="81"/>
      <c r="I324" s="436"/>
      <c r="J324" s="289"/>
      <c r="K324" s="436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</row>
    <row r="325" spans="1:25" ht="24" customHeight="1" x14ac:dyDescent="0.5">
      <c r="A325" s="81"/>
      <c r="B325" s="81"/>
      <c r="C325" s="81"/>
      <c r="D325" s="81"/>
      <c r="E325" s="81"/>
      <c r="F325" s="81"/>
      <c r="G325" s="81"/>
      <c r="H325" s="81"/>
      <c r="I325" s="436"/>
      <c r="J325" s="289"/>
      <c r="K325" s="436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</row>
    <row r="326" spans="1:25" ht="24" customHeight="1" x14ac:dyDescent="0.5">
      <c r="A326" s="81"/>
      <c r="B326" s="81"/>
      <c r="C326" s="81"/>
      <c r="D326" s="81"/>
      <c r="E326" s="81"/>
      <c r="F326" s="81"/>
      <c r="G326" s="81"/>
      <c r="H326" s="81"/>
      <c r="I326" s="436"/>
      <c r="J326" s="289"/>
      <c r="K326" s="436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</row>
    <row r="327" spans="1:25" ht="24" customHeight="1" x14ac:dyDescent="0.5">
      <c r="A327" s="81"/>
      <c r="B327" s="81"/>
      <c r="C327" s="81"/>
      <c r="D327" s="81"/>
      <c r="E327" s="81"/>
      <c r="F327" s="81"/>
      <c r="G327" s="81"/>
      <c r="H327" s="81"/>
      <c r="I327" s="436"/>
      <c r="J327" s="289"/>
      <c r="K327" s="436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</row>
    <row r="328" spans="1:25" ht="24" customHeight="1" x14ac:dyDescent="0.5">
      <c r="A328" s="81"/>
      <c r="B328" s="81"/>
      <c r="C328" s="81"/>
      <c r="D328" s="81"/>
      <c r="E328" s="81"/>
      <c r="F328" s="81"/>
      <c r="G328" s="81"/>
      <c r="H328" s="81"/>
      <c r="I328" s="436"/>
      <c r="J328" s="289"/>
      <c r="K328" s="436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</row>
    <row r="329" spans="1:25" ht="24" customHeight="1" x14ac:dyDescent="0.5">
      <c r="A329" s="81"/>
      <c r="B329" s="81"/>
      <c r="C329" s="81"/>
      <c r="D329" s="81"/>
      <c r="E329" s="81"/>
      <c r="F329" s="81"/>
      <c r="G329" s="81"/>
      <c r="H329" s="81"/>
      <c r="I329" s="436"/>
      <c r="J329" s="289"/>
      <c r="K329" s="436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</row>
    <row r="330" spans="1:25" ht="24" customHeight="1" x14ac:dyDescent="0.5">
      <c r="A330" s="81"/>
      <c r="B330" s="81"/>
      <c r="C330" s="81"/>
      <c r="D330" s="81"/>
      <c r="E330" s="81"/>
      <c r="F330" s="81"/>
      <c r="G330" s="81"/>
      <c r="H330" s="81"/>
      <c r="I330" s="436"/>
      <c r="J330" s="289"/>
      <c r="K330" s="436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</row>
    <row r="331" spans="1:25" ht="24" customHeight="1" x14ac:dyDescent="0.5">
      <c r="A331" s="81"/>
      <c r="B331" s="81"/>
      <c r="C331" s="81"/>
      <c r="D331" s="81"/>
      <c r="E331" s="81"/>
      <c r="F331" s="81"/>
      <c r="G331" s="81"/>
      <c r="H331" s="81"/>
      <c r="I331" s="436"/>
      <c r="J331" s="289"/>
      <c r="K331" s="436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</row>
    <row r="332" spans="1:25" ht="24" customHeight="1" x14ac:dyDescent="0.5">
      <c r="A332" s="81"/>
      <c r="B332" s="81"/>
      <c r="C332" s="81"/>
      <c r="D332" s="81"/>
      <c r="E332" s="81"/>
      <c r="F332" s="81"/>
      <c r="G332" s="81"/>
      <c r="H332" s="81"/>
      <c r="I332" s="436"/>
      <c r="J332" s="289"/>
      <c r="K332" s="436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</row>
    <row r="333" spans="1:25" ht="24" customHeight="1" x14ac:dyDescent="0.5">
      <c r="A333" s="81"/>
      <c r="B333" s="81"/>
      <c r="C333" s="81"/>
      <c r="D333" s="81"/>
      <c r="E333" s="81"/>
      <c r="F333" s="81"/>
      <c r="G333" s="81"/>
      <c r="H333" s="81"/>
      <c r="I333" s="436"/>
      <c r="J333" s="289"/>
      <c r="K333" s="436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</row>
    <row r="334" spans="1:25" ht="24" customHeight="1" x14ac:dyDescent="0.5">
      <c r="A334" s="81"/>
      <c r="B334" s="81"/>
      <c r="C334" s="81"/>
      <c r="D334" s="81"/>
      <c r="E334" s="81"/>
      <c r="F334" s="81"/>
      <c r="G334" s="81"/>
      <c r="H334" s="81"/>
      <c r="I334" s="436"/>
      <c r="J334" s="289"/>
      <c r="K334" s="436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</row>
    <row r="335" spans="1:25" ht="24" customHeight="1" x14ac:dyDescent="0.5">
      <c r="A335" s="81"/>
      <c r="B335" s="81"/>
      <c r="C335" s="81"/>
      <c r="D335" s="81"/>
      <c r="E335" s="81"/>
      <c r="F335" s="81"/>
      <c r="G335" s="81"/>
      <c r="H335" s="81"/>
      <c r="I335" s="436"/>
      <c r="J335" s="289"/>
      <c r="K335" s="436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</row>
    <row r="336" spans="1:25" ht="24" customHeight="1" x14ac:dyDescent="0.5">
      <c r="A336" s="81"/>
      <c r="B336" s="81"/>
      <c r="C336" s="81"/>
      <c r="D336" s="81"/>
      <c r="E336" s="81"/>
      <c r="F336" s="81"/>
      <c r="G336" s="81"/>
      <c r="H336" s="81"/>
      <c r="I336" s="436"/>
      <c r="J336" s="289"/>
      <c r="K336" s="436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</row>
    <row r="337" spans="1:25" ht="24" customHeight="1" x14ac:dyDescent="0.5">
      <c r="A337" s="81"/>
      <c r="B337" s="81"/>
      <c r="C337" s="81"/>
      <c r="D337" s="81"/>
      <c r="E337" s="81"/>
      <c r="F337" s="81"/>
      <c r="G337" s="81"/>
      <c r="H337" s="81"/>
      <c r="I337" s="436"/>
      <c r="J337" s="289"/>
      <c r="K337" s="436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</row>
    <row r="338" spans="1:25" ht="24" customHeight="1" x14ac:dyDescent="0.5">
      <c r="A338" s="81"/>
      <c r="B338" s="81"/>
      <c r="C338" s="81"/>
      <c r="D338" s="81"/>
      <c r="E338" s="81"/>
      <c r="F338" s="81"/>
      <c r="G338" s="81"/>
      <c r="H338" s="81"/>
      <c r="I338" s="436"/>
      <c r="J338" s="289"/>
      <c r="K338" s="436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</row>
    <row r="339" spans="1:25" ht="24" customHeight="1" x14ac:dyDescent="0.5">
      <c r="A339" s="81"/>
      <c r="B339" s="81"/>
      <c r="C339" s="81"/>
      <c r="D339" s="81"/>
      <c r="E339" s="81"/>
      <c r="F339" s="81"/>
      <c r="G339" s="81"/>
      <c r="H339" s="81"/>
      <c r="I339" s="436"/>
      <c r="J339" s="289"/>
      <c r="K339" s="436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</row>
    <row r="340" spans="1:25" ht="24" customHeight="1" x14ac:dyDescent="0.5">
      <c r="A340" s="81"/>
      <c r="B340" s="81"/>
      <c r="C340" s="81"/>
      <c r="D340" s="81"/>
      <c r="E340" s="81"/>
      <c r="F340" s="81"/>
      <c r="G340" s="81"/>
      <c r="H340" s="81"/>
      <c r="I340" s="436"/>
      <c r="J340" s="289"/>
      <c r="K340" s="436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</row>
    <row r="341" spans="1:25" ht="24" customHeight="1" x14ac:dyDescent="0.5">
      <c r="A341" s="81"/>
      <c r="B341" s="81"/>
      <c r="C341" s="81"/>
      <c r="D341" s="81"/>
      <c r="E341" s="81"/>
      <c r="F341" s="81"/>
      <c r="G341" s="81"/>
      <c r="H341" s="81"/>
      <c r="I341" s="436"/>
      <c r="J341" s="289"/>
      <c r="K341" s="436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</row>
    <row r="342" spans="1:25" ht="24" customHeight="1" x14ac:dyDescent="0.5">
      <c r="A342" s="81"/>
      <c r="B342" s="81"/>
      <c r="C342" s="81"/>
      <c r="D342" s="81"/>
      <c r="E342" s="81"/>
      <c r="F342" s="81"/>
      <c r="G342" s="81"/>
      <c r="H342" s="81"/>
      <c r="I342" s="436"/>
      <c r="J342" s="289"/>
      <c r="K342" s="436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</row>
    <row r="343" spans="1:25" ht="24" customHeight="1" x14ac:dyDescent="0.5">
      <c r="A343" s="81"/>
      <c r="B343" s="81"/>
      <c r="C343" s="81"/>
      <c r="D343" s="81"/>
      <c r="E343" s="81"/>
      <c r="F343" s="81"/>
      <c r="G343" s="81"/>
      <c r="H343" s="81"/>
      <c r="I343" s="436"/>
      <c r="J343" s="289"/>
      <c r="K343" s="436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</row>
    <row r="344" spans="1:25" ht="24" customHeight="1" x14ac:dyDescent="0.5">
      <c r="A344" s="81"/>
      <c r="B344" s="81"/>
      <c r="C344" s="81"/>
      <c r="D344" s="81"/>
      <c r="E344" s="81"/>
      <c r="F344" s="81"/>
      <c r="G344" s="81"/>
      <c r="H344" s="81"/>
      <c r="I344" s="436"/>
      <c r="J344" s="289"/>
      <c r="K344" s="436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</row>
    <row r="345" spans="1:25" ht="24" customHeight="1" x14ac:dyDescent="0.5">
      <c r="A345" s="81"/>
      <c r="B345" s="81"/>
      <c r="C345" s="81"/>
      <c r="D345" s="81"/>
      <c r="E345" s="81"/>
      <c r="F345" s="81"/>
      <c r="G345" s="81"/>
      <c r="H345" s="81"/>
      <c r="I345" s="436"/>
      <c r="J345" s="289"/>
      <c r="K345" s="436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</row>
    <row r="346" spans="1:25" ht="24" customHeight="1" x14ac:dyDescent="0.5">
      <c r="A346" s="81"/>
      <c r="B346" s="81"/>
      <c r="C346" s="81"/>
      <c r="D346" s="81"/>
      <c r="E346" s="81"/>
      <c r="F346" s="81"/>
      <c r="G346" s="81"/>
      <c r="H346" s="81"/>
      <c r="I346" s="436"/>
      <c r="J346" s="289"/>
      <c r="K346" s="436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</row>
    <row r="347" spans="1:25" ht="24" customHeight="1" x14ac:dyDescent="0.5">
      <c r="A347" s="81"/>
      <c r="B347" s="81"/>
      <c r="C347" s="81"/>
      <c r="D347" s="81"/>
      <c r="E347" s="81"/>
      <c r="F347" s="81"/>
      <c r="G347" s="81"/>
      <c r="H347" s="81"/>
      <c r="I347" s="436"/>
      <c r="J347" s="289"/>
      <c r="K347" s="436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</row>
    <row r="348" spans="1:25" ht="24" customHeight="1" x14ac:dyDescent="0.5">
      <c r="A348" s="81"/>
      <c r="B348" s="81"/>
      <c r="C348" s="81"/>
      <c r="D348" s="81"/>
      <c r="E348" s="81"/>
      <c r="F348" s="81"/>
      <c r="G348" s="81"/>
      <c r="H348" s="81"/>
      <c r="I348" s="436"/>
      <c r="J348" s="289"/>
      <c r="K348" s="436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</row>
    <row r="349" spans="1:25" ht="24" customHeight="1" x14ac:dyDescent="0.5">
      <c r="A349" s="81"/>
      <c r="B349" s="81"/>
      <c r="C349" s="81"/>
      <c r="D349" s="81"/>
      <c r="E349" s="81"/>
      <c r="F349" s="81"/>
      <c r="G349" s="81"/>
      <c r="H349" s="81"/>
      <c r="I349" s="436"/>
      <c r="J349" s="289"/>
      <c r="K349" s="436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</row>
    <row r="350" spans="1:25" ht="24" customHeight="1" x14ac:dyDescent="0.5">
      <c r="A350" s="81"/>
      <c r="B350" s="81"/>
      <c r="C350" s="81"/>
      <c r="D350" s="81"/>
      <c r="E350" s="81"/>
      <c r="F350" s="81"/>
      <c r="G350" s="81"/>
      <c r="H350" s="81"/>
      <c r="I350" s="436"/>
      <c r="J350" s="289"/>
      <c r="K350" s="436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</row>
    <row r="351" spans="1:25" ht="24" customHeight="1" x14ac:dyDescent="0.5">
      <c r="A351" s="81"/>
      <c r="B351" s="81"/>
      <c r="C351" s="81"/>
      <c r="D351" s="81"/>
      <c r="E351" s="81"/>
      <c r="F351" s="81"/>
      <c r="G351" s="81"/>
      <c r="H351" s="81"/>
      <c r="I351" s="436"/>
      <c r="J351" s="289"/>
      <c r="K351" s="436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</row>
    <row r="352" spans="1:25" ht="24" customHeight="1" x14ac:dyDescent="0.5">
      <c r="A352" s="81"/>
      <c r="B352" s="81"/>
      <c r="C352" s="81"/>
      <c r="D352" s="81"/>
      <c r="E352" s="81"/>
      <c r="F352" s="81"/>
      <c r="G352" s="81"/>
      <c r="H352" s="81"/>
      <c r="I352" s="436"/>
      <c r="J352" s="289"/>
      <c r="K352" s="436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</row>
    <row r="353" spans="1:25" ht="24" customHeight="1" x14ac:dyDescent="0.5">
      <c r="A353" s="81"/>
      <c r="B353" s="81"/>
      <c r="C353" s="81"/>
      <c r="D353" s="81"/>
      <c r="E353" s="81"/>
      <c r="F353" s="81"/>
      <c r="G353" s="81"/>
      <c r="H353" s="81"/>
      <c r="I353" s="436"/>
      <c r="J353" s="289"/>
      <c r="K353" s="436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</row>
    <row r="354" spans="1:25" ht="24" customHeight="1" x14ac:dyDescent="0.5">
      <c r="A354" s="81"/>
      <c r="B354" s="81"/>
      <c r="C354" s="81"/>
      <c r="D354" s="81"/>
      <c r="E354" s="81"/>
      <c r="F354" s="81"/>
      <c r="G354" s="81"/>
      <c r="H354" s="81"/>
      <c r="I354" s="436"/>
      <c r="J354" s="289"/>
      <c r="K354" s="436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</row>
    <row r="355" spans="1:25" ht="24" customHeight="1" x14ac:dyDescent="0.5">
      <c r="A355" s="81"/>
      <c r="B355" s="81"/>
      <c r="C355" s="81"/>
      <c r="D355" s="81"/>
      <c r="E355" s="81"/>
      <c r="F355" s="81"/>
      <c r="G355" s="81"/>
      <c r="H355" s="81"/>
      <c r="I355" s="436"/>
      <c r="J355" s="289"/>
      <c r="K355" s="436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</row>
    <row r="356" spans="1:25" ht="24" customHeight="1" x14ac:dyDescent="0.5">
      <c r="A356" s="81"/>
      <c r="B356" s="81"/>
      <c r="C356" s="81"/>
      <c r="D356" s="81"/>
      <c r="E356" s="81"/>
      <c r="F356" s="81"/>
      <c r="G356" s="81"/>
      <c r="H356" s="81"/>
      <c r="I356" s="436"/>
      <c r="J356" s="289"/>
      <c r="K356" s="436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</row>
    <row r="357" spans="1:25" ht="24" customHeight="1" x14ac:dyDescent="0.5">
      <c r="A357" s="81"/>
      <c r="B357" s="81"/>
      <c r="C357" s="81"/>
      <c r="D357" s="81"/>
      <c r="E357" s="81"/>
      <c r="F357" s="81"/>
      <c r="G357" s="81"/>
      <c r="H357" s="81"/>
      <c r="I357" s="436"/>
      <c r="J357" s="289"/>
      <c r="K357" s="436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</row>
    <row r="358" spans="1:25" ht="24" customHeight="1" x14ac:dyDescent="0.5">
      <c r="A358" s="81"/>
      <c r="B358" s="81"/>
      <c r="C358" s="81"/>
      <c r="D358" s="81"/>
      <c r="E358" s="81"/>
      <c r="F358" s="81"/>
      <c r="G358" s="81"/>
      <c r="H358" s="81"/>
      <c r="I358" s="436"/>
      <c r="J358" s="289"/>
      <c r="K358" s="436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</row>
    <row r="359" spans="1:25" ht="24" customHeight="1" x14ac:dyDescent="0.5">
      <c r="A359" s="81"/>
      <c r="B359" s="81"/>
      <c r="C359" s="81"/>
      <c r="D359" s="81"/>
      <c r="E359" s="81"/>
      <c r="F359" s="81"/>
      <c r="G359" s="81"/>
      <c r="H359" s="81"/>
      <c r="I359" s="436"/>
      <c r="J359" s="289"/>
      <c r="K359" s="436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</row>
    <row r="360" spans="1:25" ht="24" customHeight="1" x14ac:dyDescent="0.5">
      <c r="A360" s="81"/>
      <c r="B360" s="81"/>
      <c r="C360" s="81"/>
      <c r="D360" s="81"/>
      <c r="E360" s="81"/>
      <c r="F360" s="81"/>
      <c r="G360" s="81"/>
      <c r="H360" s="81"/>
      <c r="I360" s="436"/>
      <c r="J360" s="289"/>
      <c r="K360" s="436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</row>
    <row r="361" spans="1:25" ht="24" customHeight="1" x14ac:dyDescent="0.5">
      <c r="A361" s="81"/>
      <c r="B361" s="81"/>
      <c r="C361" s="81"/>
      <c r="D361" s="81"/>
      <c r="E361" s="81"/>
      <c r="F361" s="81"/>
      <c r="G361" s="81"/>
      <c r="H361" s="81"/>
      <c r="I361" s="436"/>
      <c r="J361" s="289"/>
      <c r="K361" s="436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</row>
    <row r="362" spans="1:25" ht="24" customHeight="1" x14ac:dyDescent="0.5">
      <c r="A362" s="81"/>
      <c r="B362" s="81"/>
      <c r="C362" s="81"/>
      <c r="D362" s="81"/>
      <c r="E362" s="81"/>
      <c r="F362" s="81"/>
      <c r="G362" s="81"/>
      <c r="H362" s="81"/>
      <c r="I362" s="436"/>
      <c r="J362" s="289"/>
      <c r="K362" s="436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</row>
    <row r="363" spans="1:25" ht="24" customHeight="1" x14ac:dyDescent="0.5">
      <c r="A363" s="81"/>
      <c r="B363" s="81"/>
      <c r="C363" s="81"/>
      <c r="D363" s="81"/>
      <c r="E363" s="81"/>
      <c r="F363" s="81"/>
      <c r="G363" s="81"/>
      <c r="H363" s="81"/>
      <c r="I363" s="436"/>
      <c r="J363" s="289"/>
      <c r="K363" s="436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</row>
    <row r="364" spans="1:25" ht="24" customHeight="1" x14ac:dyDescent="0.5">
      <c r="A364" s="81"/>
      <c r="B364" s="81"/>
      <c r="C364" s="81"/>
      <c r="D364" s="81"/>
      <c r="E364" s="81"/>
      <c r="F364" s="81"/>
      <c r="G364" s="81"/>
      <c r="H364" s="81"/>
      <c r="I364" s="436"/>
      <c r="J364" s="289"/>
      <c r="K364" s="436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</row>
    <row r="365" spans="1:25" ht="24" customHeight="1" x14ac:dyDescent="0.5">
      <c r="A365" s="81"/>
      <c r="B365" s="81"/>
      <c r="C365" s="81"/>
      <c r="D365" s="81"/>
      <c r="E365" s="81"/>
      <c r="F365" s="81"/>
      <c r="G365" s="81"/>
      <c r="H365" s="81"/>
      <c r="I365" s="436"/>
      <c r="J365" s="289"/>
      <c r="K365" s="436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</row>
    <row r="366" spans="1:25" ht="24" customHeight="1" x14ac:dyDescent="0.5">
      <c r="A366" s="81"/>
      <c r="B366" s="81"/>
      <c r="C366" s="81"/>
      <c r="D366" s="81"/>
      <c r="E366" s="81"/>
      <c r="F366" s="81"/>
      <c r="G366" s="81"/>
      <c r="H366" s="81"/>
      <c r="I366" s="436"/>
      <c r="J366" s="289"/>
      <c r="K366" s="436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</row>
    <row r="367" spans="1:25" ht="24" customHeight="1" x14ac:dyDescent="0.5">
      <c r="A367" s="81"/>
      <c r="B367" s="81"/>
      <c r="C367" s="81"/>
      <c r="D367" s="81"/>
      <c r="E367" s="81"/>
      <c r="F367" s="81"/>
      <c r="G367" s="81"/>
      <c r="H367" s="81"/>
      <c r="I367" s="436"/>
      <c r="J367" s="289"/>
      <c r="K367" s="436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</row>
    <row r="368" spans="1:25" ht="24" customHeight="1" x14ac:dyDescent="0.5">
      <c r="A368" s="81"/>
      <c r="B368" s="81"/>
      <c r="C368" s="81"/>
      <c r="D368" s="81"/>
      <c r="E368" s="81"/>
      <c r="F368" s="81"/>
      <c r="G368" s="81"/>
      <c r="H368" s="81"/>
      <c r="I368" s="436"/>
      <c r="J368" s="289"/>
      <c r="K368" s="436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</row>
    <row r="369" spans="1:25" ht="24" customHeight="1" x14ac:dyDescent="0.5">
      <c r="A369" s="81"/>
      <c r="B369" s="81"/>
      <c r="C369" s="81"/>
      <c r="D369" s="81"/>
      <c r="E369" s="81"/>
      <c r="F369" s="81"/>
      <c r="G369" s="81"/>
      <c r="H369" s="81"/>
      <c r="I369" s="436"/>
      <c r="J369" s="289"/>
      <c r="K369" s="436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</row>
    <row r="370" spans="1:25" ht="24" customHeight="1" x14ac:dyDescent="0.5">
      <c r="A370" s="81"/>
      <c r="B370" s="81"/>
      <c r="C370" s="81"/>
      <c r="D370" s="81"/>
      <c r="E370" s="81"/>
      <c r="F370" s="81"/>
      <c r="G370" s="81"/>
      <c r="H370" s="81"/>
      <c r="I370" s="436"/>
      <c r="J370" s="289"/>
      <c r="K370" s="436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</row>
    <row r="371" spans="1:25" ht="24" customHeight="1" x14ac:dyDescent="0.5">
      <c r="A371" s="81"/>
      <c r="B371" s="81"/>
      <c r="C371" s="81"/>
      <c r="D371" s="81"/>
      <c r="E371" s="81"/>
      <c r="F371" s="81"/>
      <c r="G371" s="81"/>
      <c r="H371" s="81"/>
      <c r="I371" s="436"/>
      <c r="J371" s="289"/>
      <c r="K371" s="436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</row>
    <row r="372" spans="1:25" ht="24" customHeight="1" x14ac:dyDescent="0.5">
      <c r="A372" s="81"/>
      <c r="B372" s="81"/>
      <c r="C372" s="81"/>
      <c r="D372" s="81"/>
      <c r="E372" s="81"/>
      <c r="F372" s="81"/>
      <c r="G372" s="81"/>
      <c r="H372" s="81"/>
      <c r="I372" s="436"/>
      <c r="J372" s="289"/>
      <c r="K372" s="436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</row>
    <row r="373" spans="1:25" ht="24" customHeight="1" x14ac:dyDescent="0.5">
      <c r="A373" s="81"/>
      <c r="B373" s="81"/>
      <c r="C373" s="81"/>
      <c r="D373" s="81"/>
      <c r="E373" s="81"/>
      <c r="F373" s="81"/>
      <c r="G373" s="81"/>
      <c r="H373" s="81"/>
      <c r="I373" s="436"/>
      <c r="J373" s="289"/>
      <c r="K373" s="436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</row>
    <row r="374" spans="1:25" ht="24" customHeight="1" x14ac:dyDescent="0.5">
      <c r="A374" s="81"/>
      <c r="B374" s="81"/>
      <c r="C374" s="81"/>
      <c r="D374" s="81"/>
      <c r="E374" s="81"/>
      <c r="F374" s="81"/>
      <c r="G374" s="81"/>
      <c r="H374" s="81"/>
      <c r="I374" s="436"/>
      <c r="J374" s="289"/>
      <c r="K374" s="436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</row>
    <row r="375" spans="1:25" ht="24" customHeight="1" x14ac:dyDescent="0.5">
      <c r="A375" s="81"/>
      <c r="B375" s="81"/>
      <c r="C375" s="81"/>
      <c r="D375" s="81"/>
      <c r="E375" s="81"/>
      <c r="F375" s="81"/>
      <c r="G375" s="81"/>
      <c r="H375" s="81"/>
      <c r="I375" s="436"/>
      <c r="J375" s="289"/>
      <c r="K375" s="436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</row>
    <row r="376" spans="1:25" ht="24" customHeight="1" x14ac:dyDescent="0.5">
      <c r="A376" s="81"/>
      <c r="B376" s="81"/>
      <c r="C376" s="81"/>
      <c r="D376" s="81"/>
      <c r="E376" s="81"/>
      <c r="F376" s="81"/>
      <c r="G376" s="81"/>
      <c r="H376" s="81"/>
      <c r="I376" s="436"/>
      <c r="J376" s="289"/>
      <c r="K376" s="436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</row>
    <row r="377" spans="1:25" ht="24" customHeight="1" x14ac:dyDescent="0.5">
      <c r="A377" s="81"/>
      <c r="B377" s="81"/>
      <c r="C377" s="81"/>
      <c r="D377" s="81"/>
      <c r="E377" s="81"/>
      <c r="F377" s="81"/>
      <c r="G377" s="81"/>
      <c r="H377" s="81"/>
      <c r="I377" s="436"/>
      <c r="J377" s="289"/>
      <c r="K377" s="436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</row>
    <row r="378" spans="1:25" ht="24" customHeight="1" x14ac:dyDescent="0.5">
      <c r="A378" s="81"/>
      <c r="B378" s="81"/>
      <c r="C378" s="81"/>
      <c r="D378" s="81"/>
      <c r="E378" s="81"/>
      <c r="F378" s="81"/>
      <c r="G378" s="81"/>
      <c r="H378" s="81"/>
      <c r="I378" s="436"/>
      <c r="J378" s="289"/>
      <c r="K378" s="436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</row>
    <row r="379" spans="1:25" ht="24" customHeight="1" x14ac:dyDescent="0.5">
      <c r="A379" s="81"/>
      <c r="B379" s="81"/>
      <c r="C379" s="81"/>
      <c r="D379" s="81"/>
      <c r="E379" s="81"/>
      <c r="F379" s="81"/>
      <c r="G379" s="81"/>
      <c r="H379" s="81"/>
      <c r="I379" s="436"/>
      <c r="J379" s="289"/>
      <c r="K379" s="436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</row>
    <row r="380" spans="1:25" ht="24" customHeight="1" x14ac:dyDescent="0.5">
      <c r="A380" s="81"/>
      <c r="B380" s="81"/>
      <c r="C380" s="81"/>
      <c r="D380" s="81"/>
      <c r="E380" s="81"/>
      <c r="F380" s="81"/>
      <c r="G380" s="81"/>
      <c r="H380" s="81"/>
      <c r="I380" s="436"/>
      <c r="J380" s="289"/>
      <c r="K380" s="436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</row>
    <row r="381" spans="1:25" ht="24" customHeight="1" x14ac:dyDescent="0.5">
      <c r="A381" s="81"/>
      <c r="B381" s="81"/>
      <c r="C381" s="81"/>
      <c r="D381" s="81"/>
      <c r="E381" s="81"/>
      <c r="F381" s="81"/>
      <c r="G381" s="81"/>
      <c r="H381" s="81"/>
      <c r="I381" s="436"/>
      <c r="J381" s="289"/>
      <c r="K381" s="436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</row>
    <row r="382" spans="1:25" ht="24" customHeight="1" x14ac:dyDescent="0.5">
      <c r="A382" s="81"/>
      <c r="B382" s="81"/>
      <c r="C382" s="81"/>
      <c r="D382" s="81"/>
      <c r="E382" s="81"/>
      <c r="F382" s="81"/>
      <c r="G382" s="81"/>
      <c r="H382" s="81"/>
      <c r="I382" s="436"/>
      <c r="J382" s="289"/>
      <c r="K382" s="436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</row>
    <row r="383" spans="1:25" ht="24" customHeight="1" x14ac:dyDescent="0.5">
      <c r="A383" s="81"/>
      <c r="B383" s="81"/>
      <c r="C383" s="81"/>
      <c r="D383" s="81"/>
      <c r="E383" s="81"/>
      <c r="F383" s="81"/>
      <c r="G383" s="81"/>
      <c r="H383" s="81"/>
      <c r="I383" s="436"/>
      <c r="J383" s="289"/>
      <c r="K383" s="436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</row>
    <row r="384" spans="1:25" ht="24" customHeight="1" x14ac:dyDescent="0.5">
      <c r="A384" s="81"/>
      <c r="B384" s="81"/>
      <c r="C384" s="81"/>
      <c r="D384" s="81"/>
      <c r="E384" s="81"/>
      <c r="F384" s="81"/>
      <c r="G384" s="81"/>
      <c r="H384" s="81"/>
      <c r="I384" s="436"/>
      <c r="J384" s="289"/>
      <c r="K384" s="436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</row>
    <row r="385" spans="1:25" ht="24" customHeight="1" x14ac:dyDescent="0.5">
      <c r="A385" s="81"/>
      <c r="B385" s="81"/>
      <c r="C385" s="81"/>
      <c r="D385" s="81"/>
      <c r="E385" s="81"/>
      <c r="F385" s="81"/>
      <c r="G385" s="81"/>
      <c r="H385" s="81"/>
      <c r="I385" s="436"/>
      <c r="J385" s="289"/>
      <c r="K385" s="436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</row>
    <row r="386" spans="1:25" ht="24" customHeight="1" x14ac:dyDescent="0.5">
      <c r="A386" s="81"/>
      <c r="B386" s="81"/>
      <c r="C386" s="81"/>
      <c r="D386" s="81"/>
      <c r="E386" s="81"/>
      <c r="F386" s="81"/>
      <c r="G386" s="81"/>
      <c r="H386" s="81"/>
      <c r="I386" s="436"/>
      <c r="J386" s="289"/>
      <c r="K386" s="436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</row>
    <row r="387" spans="1:25" ht="24" customHeight="1" x14ac:dyDescent="0.5">
      <c r="A387" s="81"/>
      <c r="B387" s="81"/>
      <c r="C387" s="81"/>
      <c r="D387" s="81"/>
      <c r="E387" s="81"/>
      <c r="F387" s="81"/>
      <c r="G387" s="81"/>
      <c r="H387" s="81"/>
      <c r="I387" s="436"/>
      <c r="J387" s="289"/>
      <c r="K387" s="436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</row>
    <row r="388" spans="1:25" ht="24" customHeight="1" x14ac:dyDescent="0.5">
      <c r="A388" s="81"/>
      <c r="B388" s="81"/>
      <c r="C388" s="81"/>
      <c r="D388" s="81"/>
      <c r="E388" s="81"/>
      <c r="F388" s="81"/>
      <c r="G388" s="81"/>
      <c r="H388" s="81"/>
      <c r="I388" s="436"/>
      <c r="J388" s="289"/>
      <c r="K388" s="436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</row>
    <row r="389" spans="1:25" ht="24" customHeight="1" x14ac:dyDescent="0.5">
      <c r="A389" s="81"/>
      <c r="B389" s="81"/>
      <c r="C389" s="81"/>
      <c r="D389" s="81"/>
      <c r="E389" s="81"/>
      <c r="F389" s="81"/>
      <c r="G389" s="81"/>
      <c r="H389" s="81"/>
      <c r="I389" s="436"/>
      <c r="J389" s="289"/>
      <c r="K389" s="436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</row>
    <row r="390" spans="1:25" ht="24" customHeight="1" x14ac:dyDescent="0.5">
      <c r="A390" s="81"/>
      <c r="B390" s="81"/>
      <c r="C390" s="81"/>
      <c r="D390" s="81"/>
      <c r="E390" s="81"/>
      <c r="F390" s="81"/>
      <c r="G390" s="81"/>
      <c r="H390" s="81"/>
      <c r="I390" s="436"/>
      <c r="J390" s="289"/>
      <c r="K390" s="436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</row>
    <row r="391" spans="1:25" ht="24" customHeight="1" x14ac:dyDescent="0.5">
      <c r="A391" s="81"/>
      <c r="B391" s="81"/>
      <c r="C391" s="81"/>
      <c r="D391" s="81"/>
      <c r="E391" s="81"/>
      <c r="F391" s="81"/>
      <c r="G391" s="81"/>
      <c r="H391" s="81"/>
      <c r="I391" s="436"/>
      <c r="J391" s="289"/>
      <c r="K391" s="436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</row>
    <row r="392" spans="1:25" ht="24" customHeight="1" x14ac:dyDescent="0.5">
      <c r="A392" s="81"/>
      <c r="B392" s="81"/>
      <c r="C392" s="81"/>
      <c r="D392" s="81"/>
      <c r="E392" s="81"/>
      <c r="F392" s="81"/>
      <c r="G392" s="81"/>
      <c r="H392" s="81"/>
      <c r="I392" s="436"/>
      <c r="J392" s="289"/>
      <c r="K392" s="436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</row>
    <row r="393" spans="1:25" ht="24" customHeight="1" x14ac:dyDescent="0.5">
      <c r="A393" s="81"/>
      <c r="B393" s="81"/>
      <c r="C393" s="81"/>
      <c r="D393" s="81"/>
      <c r="E393" s="81"/>
      <c r="F393" s="81"/>
      <c r="G393" s="81"/>
      <c r="H393" s="81"/>
      <c r="I393" s="436"/>
      <c r="J393" s="289"/>
      <c r="K393" s="436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</row>
    <row r="394" spans="1:25" ht="24" customHeight="1" x14ac:dyDescent="0.5">
      <c r="A394" s="81"/>
      <c r="B394" s="81"/>
      <c r="C394" s="81"/>
      <c r="D394" s="81"/>
      <c r="E394" s="81"/>
      <c r="F394" s="81"/>
      <c r="G394" s="81"/>
      <c r="H394" s="81"/>
      <c r="I394" s="436"/>
      <c r="J394" s="289"/>
      <c r="K394" s="436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</row>
    <row r="395" spans="1:25" ht="24" customHeight="1" x14ac:dyDescent="0.5">
      <c r="A395" s="81"/>
      <c r="B395" s="81"/>
      <c r="C395" s="81"/>
      <c r="D395" s="81"/>
      <c r="E395" s="81"/>
      <c r="F395" s="81"/>
      <c r="G395" s="81"/>
      <c r="H395" s="81"/>
      <c r="I395" s="436"/>
      <c r="J395" s="289"/>
      <c r="K395" s="436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</row>
    <row r="396" spans="1:25" ht="24" customHeight="1" x14ac:dyDescent="0.5">
      <c r="A396" s="81"/>
      <c r="B396" s="81"/>
      <c r="C396" s="81"/>
      <c r="D396" s="81"/>
      <c r="E396" s="81"/>
      <c r="F396" s="81"/>
      <c r="G396" s="81"/>
      <c r="H396" s="81"/>
      <c r="I396" s="436"/>
      <c r="J396" s="289"/>
      <c r="K396" s="436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</row>
    <row r="397" spans="1:25" ht="24" customHeight="1" x14ac:dyDescent="0.5">
      <c r="A397" s="81"/>
      <c r="B397" s="81"/>
      <c r="C397" s="81"/>
      <c r="D397" s="81"/>
      <c r="E397" s="81"/>
      <c r="F397" s="81"/>
      <c r="G397" s="81"/>
      <c r="H397" s="81"/>
      <c r="I397" s="436"/>
      <c r="J397" s="289"/>
      <c r="K397" s="436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</row>
    <row r="398" spans="1:25" ht="24" customHeight="1" x14ac:dyDescent="0.5">
      <c r="A398" s="81"/>
      <c r="B398" s="81"/>
      <c r="C398" s="81"/>
      <c r="D398" s="81"/>
      <c r="E398" s="81"/>
      <c r="F398" s="81"/>
      <c r="G398" s="81"/>
      <c r="H398" s="81"/>
      <c r="I398" s="436"/>
      <c r="J398" s="289"/>
      <c r="K398" s="436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</row>
    <row r="399" spans="1:25" ht="24" customHeight="1" x14ac:dyDescent="0.5">
      <c r="A399" s="81"/>
      <c r="B399" s="81"/>
      <c r="C399" s="81"/>
      <c r="D399" s="81"/>
      <c r="E399" s="81"/>
      <c r="F399" s="81"/>
      <c r="G399" s="81"/>
      <c r="H399" s="81"/>
      <c r="I399" s="436"/>
      <c r="J399" s="289"/>
      <c r="K399" s="436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</row>
    <row r="400" spans="1:25" ht="24" customHeight="1" x14ac:dyDescent="0.5">
      <c r="A400" s="81"/>
      <c r="B400" s="81"/>
      <c r="C400" s="81"/>
      <c r="D400" s="81"/>
      <c r="E400" s="81"/>
      <c r="F400" s="81"/>
      <c r="G400" s="81"/>
      <c r="H400" s="81"/>
      <c r="I400" s="436"/>
      <c r="J400" s="289"/>
      <c r="K400" s="436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</row>
    <row r="401" spans="1:25" ht="24" customHeight="1" x14ac:dyDescent="0.5">
      <c r="A401" s="81"/>
      <c r="B401" s="81"/>
      <c r="C401" s="81"/>
      <c r="D401" s="81"/>
      <c r="E401" s="81"/>
      <c r="F401" s="81"/>
      <c r="G401" s="81"/>
      <c r="H401" s="81"/>
      <c r="I401" s="436"/>
      <c r="J401" s="289"/>
      <c r="K401" s="436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</row>
    <row r="402" spans="1:25" ht="24" customHeight="1" x14ac:dyDescent="0.5">
      <c r="A402" s="81"/>
      <c r="B402" s="81"/>
      <c r="C402" s="81"/>
      <c r="D402" s="81"/>
      <c r="E402" s="81"/>
      <c r="F402" s="81"/>
      <c r="G402" s="81"/>
      <c r="H402" s="81"/>
      <c r="I402" s="436"/>
      <c r="J402" s="289"/>
      <c r="K402" s="436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</row>
    <row r="403" spans="1:25" ht="24" customHeight="1" x14ac:dyDescent="0.5">
      <c r="A403" s="81"/>
      <c r="B403" s="81"/>
      <c r="C403" s="81"/>
      <c r="D403" s="81"/>
      <c r="E403" s="81"/>
      <c r="F403" s="81"/>
      <c r="G403" s="81"/>
      <c r="H403" s="81"/>
      <c r="I403" s="436"/>
      <c r="J403" s="289"/>
      <c r="K403" s="436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</row>
    <row r="404" spans="1:25" ht="24" customHeight="1" x14ac:dyDescent="0.5">
      <c r="A404" s="81"/>
      <c r="B404" s="81"/>
      <c r="C404" s="81"/>
      <c r="D404" s="81"/>
      <c r="E404" s="81"/>
      <c r="F404" s="81"/>
      <c r="G404" s="81"/>
      <c r="H404" s="81"/>
      <c r="I404" s="436"/>
      <c r="J404" s="289"/>
      <c r="K404" s="436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</row>
    <row r="405" spans="1:25" ht="24" customHeight="1" x14ac:dyDescent="0.5">
      <c r="A405" s="81"/>
      <c r="B405" s="81"/>
      <c r="C405" s="81"/>
      <c r="D405" s="81"/>
      <c r="E405" s="81"/>
      <c r="F405" s="81"/>
      <c r="G405" s="81"/>
      <c r="H405" s="81"/>
      <c r="I405" s="436"/>
      <c r="J405" s="289"/>
      <c r="K405" s="436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</row>
    <row r="406" spans="1:25" ht="24" customHeight="1" x14ac:dyDescent="0.5">
      <c r="A406" s="81"/>
      <c r="B406" s="81"/>
      <c r="C406" s="81"/>
      <c r="D406" s="81"/>
      <c r="E406" s="81"/>
      <c r="F406" s="81"/>
      <c r="G406" s="81"/>
      <c r="H406" s="81"/>
      <c r="I406" s="436"/>
      <c r="J406" s="289"/>
      <c r="K406" s="436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</row>
    <row r="407" spans="1:25" ht="24" customHeight="1" x14ac:dyDescent="0.5">
      <c r="A407" s="81"/>
      <c r="B407" s="81"/>
      <c r="C407" s="81"/>
      <c r="D407" s="81"/>
      <c r="E407" s="81"/>
      <c r="F407" s="81"/>
      <c r="G407" s="81"/>
      <c r="H407" s="81"/>
      <c r="I407" s="436"/>
      <c r="J407" s="289"/>
      <c r="K407" s="436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</row>
    <row r="408" spans="1:25" ht="24" customHeight="1" x14ac:dyDescent="0.5">
      <c r="A408" s="81"/>
      <c r="B408" s="81"/>
      <c r="C408" s="81"/>
      <c r="D408" s="81"/>
      <c r="E408" s="81"/>
      <c r="F408" s="81"/>
      <c r="G408" s="81"/>
      <c r="H408" s="81"/>
      <c r="I408" s="436"/>
      <c r="J408" s="289"/>
      <c r="K408" s="436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</row>
    <row r="409" spans="1:25" ht="24" customHeight="1" x14ac:dyDescent="0.5">
      <c r="A409" s="81"/>
      <c r="B409" s="81"/>
      <c r="C409" s="81"/>
      <c r="D409" s="81"/>
      <c r="E409" s="81"/>
      <c r="F409" s="81"/>
      <c r="G409" s="81"/>
      <c r="H409" s="81"/>
      <c r="I409" s="436"/>
      <c r="J409" s="289"/>
      <c r="K409" s="436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</row>
    <row r="410" spans="1:25" ht="24" customHeight="1" x14ac:dyDescent="0.5">
      <c r="A410" s="81"/>
      <c r="B410" s="81"/>
      <c r="C410" s="81"/>
      <c r="D410" s="81"/>
      <c r="E410" s="81"/>
      <c r="F410" s="81"/>
      <c r="G410" s="81"/>
      <c r="H410" s="81"/>
      <c r="I410" s="436"/>
      <c r="J410" s="289"/>
      <c r="K410" s="436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</row>
    <row r="411" spans="1:25" ht="24" customHeight="1" x14ac:dyDescent="0.5">
      <c r="A411" s="81"/>
      <c r="B411" s="81"/>
      <c r="C411" s="81"/>
      <c r="D411" s="81"/>
      <c r="E411" s="81"/>
      <c r="F411" s="81"/>
      <c r="G411" s="81"/>
      <c r="H411" s="81"/>
      <c r="I411" s="436"/>
      <c r="J411" s="289"/>
      <c r="K411" s="436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</row>
    <row r="412" spans="1:25" ht="24" customHeight="1" x14ac:dyDescent="0.5">
      <c r="A412" s="81"/>
      <c r="B412" s="81"/>
      <c r="C412" s="81"/>
      <c r="D412" s="81"/>
      <c r="E412" s="81"/>
      <c r="F412" s="81"/>
      <c r="G412" s="81"/>
      <c r="H412" s="81"/>
      <c r="I412" s="436"/>
      <c r="J412" s="289"/>
      <c r="K412" s="436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</row>
    <row r="413" spans="1:25" ht="24" customHeight="1" x14ac:dyDescent="0.5">
      <c r="A413" s="81"/>
      <c r="B413" s="81"/>
      <c r="C413" s="81"/>
      <c r="D413" s="81"/>
      <c r="E413" s="81"/>
      <c r="F413" s="81"/>
      <c r="G413" s="81"/>
      <c r="H413" s="81"/>
      <c r="I413" s="436"/>
      <c r="J413" s="289"/>
      <c r="K413" s="436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</row>
    <row r="414" spans="1:25" ht="24" customHeight="1" x14ac:dyDescent="0.5">
      <c r="A414" s="81"/>
      <c r="B414" s="81"/>
      <c r="C414" s="81"/>
      <c r="D414" s="81"/>
      <c r="E414" s="81"/>
      <c r="F414" s="81"/>
      <c r="G414" s="81"/>
      <c r="H414" s="81"/>
      <c r="I414" s="436"/>
      <c r="J414" s="289"/>
      <c r="K414" s="436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</row>
    <row r="415" spans="1:25" ht="24" customHeight="1" x14ac:dyDescent="0.5">
      <c r="A415" s="81"/>
      <c r="B415" s="81"/>
      <c r="C415" s="81"/>
      <c r="D415" s="81"/>
      <c r="E415" s="81"/>
      <c r="F415" s="81"/>
      <c r="G415" s="81"/>
      <c r="H415" s="81"/>
      <c r="I415" s="436"/>
      <c r="J415" s="289"/>
      <c r="K415" s="436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</row>
    <row r="416" spans="1:25" ht="24" customHeight="1" x14ac:dyDescent="0.5">
      <c r="A416" s="81"/>
      <c r="B416" s="81"/>
      <c r="C416" s="81"/>
      <c r="D416" s="81"/>
      <c r="E416" s="81"/>
      <c r="F416" s="81"/>
      <c r="G416" s="81"/>
      <c r="H416" s="81"/>
      <c r="I416" s="436"/>
      <c r="J416" s="289"/>
      <c r="K416" s="436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</row>
    <row r="417" spans="1:25" ht="24" customHeight="1" x14ac:dyDescent="0.5">
      <c r="A417" s="81"/>
      <c r="B417" s="81"/>
      <c r="C417" s="81"/>
      <c r="D417" s="81"/>
      <c r="E417" s="81"/>
      <c r="F417" s="81"/>
      <c r="G417" s="81"/>
      <c r="H417" s="81"/>
      <c r="I417" s="436"/>
      <c r="J417" s="289"/>
      <c r="K417" s="436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</row>
    <row r="418" spans="1:25" ht="24" customHeight="1" x14ac:dyDescent="0.5">
      <c r="A418" s="81"/>
      <c r="B418" s="81"/>
      <c r="C418" s="81"/>
      <c r="D418" s="81"/>
      <c r="E418" s="81"/>
      <c r="F418" s="81"/>
      <c r="G418" s="81"/>
      <c r="H418" s="81"/>
      <c r="I418" s="436"/>
      <c r="J418" s="289"/>
      <c r="K418" s="436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</row>
    <row r="419" spans="1:25" ht="24" customHeight="1" x14ac:dyDescent="0.5">
      <c r="A419" s="81"/>
      <c r="B419" s="81"/>
      <c r="C419" s="81"/>
      <c r="D419" s="81"/>
      <c r="E419" s="81"/>
      <c r="F419" s="81"/>
      <c r="G419" s="81"/>
      <c r="H419" s="81"/>
      <c r="I419" s="436"/>
      <c r="J419" s="289"/>
      <c r="K419" s="436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</row>
    <row r="420" spans="1:25" ht="24" customHeight="1" x14ac:dyDescent="0.5">
      <c r="A420" s="81"/>
      <c r="B420" s="81"/>
      <c r="C420" s="81"/>
      <c r="D420" s="81"/>
      <c r="E420" s="81"/>
      <c r="F420" s="81"/>
      <c r="G420" s="81"/>
      <c r="H420" s="81"/>
      <c r="I420" s="436"/>
      <c r="J420" s="289"/>
      <c r="K420" s="436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</row>
    <row r="421" spans="1:25" ht="24" customHeight="1" x14ac:dyDescent="0.5">
      <c r="A421" s="81"/>
      <c r="B421" s="81"/>
      <c r="C421" s="81"/>
      <c r="D421" s="81"/>
      <c r="E421" s="81"/>
      <c r="F421" s="81"/>
      <c r="G421" s="81"/>
      <c r="H421" s="81"/>
      <c r="I421" s="436"/>
      <c r="J421" s="289"/>
      <c r="K421" s="436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</row>
    <row r="422" spans="1:25" ht="24" customHeight="1" x14ac:dyDescent="0.5">
      <c r="A422" s="81"/>
      <c r="B422" s="81"/>
      <c r="C422" s="81"/>
      <c r="D422" s="81"/>
      <c r="E422" s="81"/>
      <c r="F422" s="81"/>
      <c r="G422" s="81"/>
      <c r="H422" s="81"/>
      <c r="I422" s="436"/>
      <c r="J422" s="289"/>
      <c r="K422" s="436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</row>
    <row r="423" spans="1:25" ht="24" customHeight="1" x14ac:dyDescent="0.5">
      <c r="A423" s="81"/>
      <c r="B423" s="81"/>
      <c r="C423" s="81"/>
      <c r="D423" s="81"/>
      <c r="E423" s="81"/>
      <c r="F423" s="81"/>
      <c r="G423" s="81"/>
      <c r="H423" s="81"/>
      <c r="I423" s="436"/>
      <c r="J423" s="289"/>
      <c r="K423" s="436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</row>
    <row r="424" spans="1:25" ht="24" customHeight="1" x14ac:dyDescent="0.5">
      <c r="A424" s="81"/>
      <c r="B424" s="81"/>
      <c r="C424" s="81"/>
      <c r="D424" s="81"/>
      <c r="E424" s="81"/>
      <c r="F424" s="81"/>
      <c r="G424" s="81"/>
      <c r="H424" s="81"/>
      <c r="I424" s="436"/>
      <c r="J424" s="289"/>
      <c r="K424" s="436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</row>
    <row r="425" spans="1:25" ht="24" customHeight="1" x14ac:dyDescent="0.5">
      <c r="A425" s="81"/>
      <c r="B425" s="81"/>
      <c r="C425" s="81"/>
      <c r="D425" s="81"/>
      <c r="E425" s="81"/>
      <c r="F425" s="81"/>
      <c r="G425" s="81"/>
      <c r="H425" s="81"/>
      <c r="I425" s="436"/>
      <c r="J425" s="289"/>
      <c r="K425" s="436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</row>
    <row r="426" spans="1:25" ht="24" customHeight="1" x14ac:dyDescent="0.5">
      <c r="A426" s="81"/>
      <c r="B426" s="81"/>
      <c r="C426" s="81"/>
      <c r="D426" s="81"/>
      <c r="E426" s="81"/>
      <c r="F426" s="81"/>
      <c r="G426" s="81"/>
      <c r="H426" s="81"/>
      <c r="I426" s="436"/>
      <c r="J426" s="289"/>
      <c r="K426" s="436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</row>
    <row r="427" spans="1:25" ht="24" customHeight="1" x14ac:dyDescent="0.5">
      <c r="A427" s="81"/>
      <c r="B427" s="81"/>
      <c r="C427" s="81"/>
      <c r="D427" s="81"/>
      <c r="E427" s="81"/>
      <c r="F427" s="81"/>
      <c r="G427" s="81"/>
      <c r="H427" s="81"/>
      <c r="I427" s="436"/>
      <c r="J427" s="289"/>
      <c r="K427" s="436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</row>
    <row r="428" spans="1:25" ht="24" customHeight="1" x14ac:dyDescent="0.5">
      <c r="A428" s="81"/>
      <c r="B428" s="81"/>
      <c r="C428" s="81"/>
      <c r="D428" s="81"/>
      <c r="E428" s="81"/>
      <c r="F428" s="81"/>
      <c r="G428" s="81"/>
      <c r="H428" s="81"/>
      <c r="I428" s="436"/>
      <c r="J428" s="289"/>
      <c r="K428" s="436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</row>
    <row r="429" spans="1:25" ht="24" customHeight="1" x14ac:dyDescent="0.5">
      <c r="A429" s="81"/>
      <c r="B429" s="81"/>
      <c r="C429" s="81"/>
      <c r="D429" s="81"/>
      <c r="E429" s="81"/>
      <c r="F429" s="81"/>
      <c r="G429" s="81"/>
      <c r="H429" s="81"/>
      <c r="I429" s="436"/>
      <c r="J429" s="289"/>
      <c r="K429" s="436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</row>
    <row r="430" spans="1:25" ht="24" customHeight="1" x14ac:dyDescent="0.5">
      <c r="A430" s="81"/>
      <c r="B430" s="81"/>
      <c r="C430" s="81"/>
      <c r="D430" s="81"/>
      <c r="E430" s="81"/>
      <c r="F430" s="81"/>
      <c r="G430" s="81"/>
      <c r="H430" s="81"/>
      <c r="I430" s="436"/>
      <c r="J430" s="289"/>
      <c r="K430" s="436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</row>
    <row r="431" spans="1:25" ht="24" customHeight="1" x14ac:dyDescent="0.5">
      <c r="A431" s="81"/>
      <c r="B431" s="81"/>
      <c r="C431" s="81"/>
      <c r="D431" s="81"/>
      <c r="E431" s="81"/>
      <c r="F431" s="81"/>
      <c r="G431" s="81"/>
      <c r="H431" s="81"/>
      <c r="I431" s="436"/>
      <c r="J431" s="289"/>
      <c r="K431" s="436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</row>
    <row r="432" spans="1:25" ht="24" customHeight="1" x14ac:dyDescent="0.5">
      <c r="A432" s="81"/>
      <c r="B432" s="81"/>
      <c r="C432" s="81"/>
      <c r="D432" s="81"/>
      <c r="E432" s="81"/>
      <c r="F432" s="81"/>
      <c r="G432" s="81"/>
      <c r="H432" s="81"/>
      <c r="I432" s="436"/>
      <c r="J432" s="289"/>
      <c r="K432" s="436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</row>
    <row r="433" spans="1:25" ht="24" customHeight="1" x14ac:dyDescent="0.5">
      <c r="A433" s="81"/>
      <c r="B433" s="81"/>
      <c r="C433" s="81"/>
      <c r="D433" s="81"/>
      <c r="E433" s="81"/>
      <c r="F433" s="81"/>
      <c r="G433" s="81"/>
      <c r="H433" s="81"/>
      <c r="I433" s="436"/>
      <c r="J433" s="289"/>
      <c r="K433" s="436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</row>
    <row r="434" spans="1:25" ht="24" customHeight="1" x14ac:dyDescent="0.5">
      <c r="A434" s="81"/>
      <c r="B434" s="81"/>
      <c r="C434" s="81"/>
      <c r="D434" s="81"/>
      <c r="E434" s="81"/>
      <c r="F434" s="81"/>
      <c r="G434" s="81"/>
      <c r="H434" s="81"/>
      <c r="I434" s="436"/>
      <c r="J434" s="289"/>
      <c r="K434" s="436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</row>
    <row r="435" spans="1:25" ht="24" customHeight="1" x14ac:dyDescent="0.5">
      <c r="A435" s="81"/>
      <c r="B435" s="81"/>
      <c r="C435" s="81"/>
      <c r="D435" s="81"/>
      <c r="E435" s="81"/>
      <c r="F435" s="81"/>
      <c r="G435" s="81"/>
      <c r="H435" s="81"/>
      <c r="I435" s="436"/>
      <c r="J435" s="289"/>
      <c r="K435" s="436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</row>
    <row r="436" spans="1:25" ht="24" customHeight="1" x14ac:dyDescent="0.5">
      <c r="A436" s="81"/>
      <c r="B436" s="81"/>
      <c r="C436" s="81"/>
      <c r="D436" s="81"/>
      <c r="E436" s="81"/>
      <c r="F436" s="81"/>
      <c r="G436" s="81"/>
      <c r="H436" s="81"/>
      <c r="I436" s="436"/>
      <c r="J436" s="289"/>
      <c r="K436" s="436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</row>
    <row r="437" spans="1:25" ht="24" customHeight="1" x14ac:dyDescent="0.5">
      <c r="A437" s="81"/>
      <c r="B437" s="81"/>
      <c r="C437" s="81"/>
      <c r="D437" s="81"/>
      <c r="E437" s="81"/>
      <c r="F437" s="81"/>
      <c r="G437" s="81"/>
      <c r="H437" s="81"/>
      <c r="I437" s="436"/>
      <c r="J437" s="289"/>
      <c r="K437" s="436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</row>
    <row r="438" spans="1:25" ht="24" customHeight="1" x14ac:dyDescent="0.5">
      <c r="A438" s="81"/>
      <c r="B438" s="81"/>
      <c r="C438" s="81"/>
      <c r="D438" s="81"/>
      <c r="E438" s="81"/>
      <c r="F438" s="81"/>
      <c r="G438" s="81"/>
      <c r="H438" s="81"/>
      <c r="I438" s="436"/>
      <c r="J438" s="289"/>
      <c r="K438" s="436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</row>
    <row r="439" spans="1:25" ht="24" customHeight="1" x14ac:dyDescent="0.5">
      <c r="A439" s="81"/>
      <c r="B439" s="81"/>
      <c r="C439" s="81"/>
      <c r="D439" s="81"/>
      <c r="E439" s="81"/>
      <c r="F439" s="81"/>
      <c r="G439" s="81"/>
      <c r="H439" s="81"/>
      <c r="I439" s="436"/>
      <c r="J439" s="289"/>
      <c r="K439" s="436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</row>
    <row r="440" spans="1:25" ht="24" customHeight="1" x14ac:dyDescent="0.5">
      <c r="A440" s="81"/>
      <c r="B440" s="81"/>
      <c r="C440" s="81"/>
      <c r="D440" s="81"/>
      <c r="E440" s="81"/>
      <c r="F440" s="81"/>
      <c r="G440" s="81"/>
      <c r="H440" s="81"/>
      <c r="I440" s="436"/>
      <c r="J440" s="289"/>
      <c r="K440" s="436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</row>
    <row r="441" spans="1:25" ht="24" customHeight="1" x14ac:dyDescent="0.5">
      <c r="A441" s="81"/>
      <c r="B441" s="81"/>
      <c r="C441" s="81"/>
      <c r="D441" s="81"/>
      <c r="E441" s="81"/>
      <c r="F441" s="81"/>
      <c r="G441" s="81"/>
      <c r="H441" s="81"/>
      <c r="I441" s="436"/>
      <c r="J441" s="289"/>
      <c r="K441" s="436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</row>
    <row r="442" spans="1:25" ht="24" customHeight="1" x14ac:dyDescent="0.5">
      <c r="A442" s="81"/>
      <c r="B442" s="81"/>
      <c r="C442" s="81"/>
      <c r="D442" s="81"/>
      <c r="E442" s="81"/>
      <c r="F442" s="81"/>
      <c r="G442" s="81"/>
      <c r="H442" s="81"/>
      <c r="I442" s="436"/>
      <c r="J442" s="289"/>
      <c r="K442" s="436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</row>
    <row r="443" spans="1:25" ht="24" customHeight="1" x14ac:dyDescent="0.5">
      <c r="A443" s="81"/>
      <c r="B443" s="81"/>
      <c r="C443" s="81"/>
      <c r="D443" s="81"/>
      <c r="E443" s="81"/>
      <c r="F443" s="81"/>
      <c r="G443" s="81"/>
      <c r="H443" s="81"/>
      <c r="I443" s="436"/>
      <c r="J443" s="289"/>
      <c r="K443" s="436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</row>
    <row r="444" spans="1:25" ht="24" customHeight="1" x14ac:dyDescent="0.5">
      <c r="A444" s="81"/>
      <c r="B444" s="81"/>
      <c r="C444" s="81"/>
      <c r="D444" s="81"/>
      <c r="E444" s="81"/>
      <c r="F444" s="81"/>
      <c r="G444" s="81"/>
      <c r="H444" s="81"/>
      <c r="I444" s="436"/>
      <c r="J444" s="289"/>
      <c r="K444" s="436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</row>
    <row r="445" spans="1:25" ht="24" customHeight="1" x14ac:dyDescent="0.5">
      <c r="A445" s="81"/>
      <c r="B445" s="81"/>
      <c r="C445" s="81"/>
      <c r="D445" s="81"/>
      <c r="E445" s="81"/>
      <c r="F445" s="81"/>
      <c r="G445" s="81"/>
      <c r="H445" s="81"/>
      <c r="I445" s="436"/>
      <c r="J445" s="289"/>
      <c r="K445" s="436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</row>
    <row r="446" spans="1:25" ht="24" customHeight="1" x14ac:dyDescent="0.5">
      <c r="A446" s="81"/>
      <c r="B446" s="81"/>
      <c r="C446" s="81"/>
      <c r="D446" s="81"/>
      <c r="E446" s="81"/>
      <c r="F446" s="81"/>
      <c r="G446" s="81"/>
      <c r="H446" s="81"/>
      <c r="I446" s="436"/>
      <c r="J446" s="289"/>
      <c r="K446" s="436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</row>
    <row r="447" spans="1:25" ht="24" customHeight="1" x14ac:dyDescent="0.5">
      <c r="A447" s="81"/>
      <c r="B447" s="81"/>
      <c r="C447" s="81"/>
      <c r="D447" s="81"/>
      <c r="E447" s="81"/>
      <c r="F447" s="81"/>
      <c r="G447" s="81"/>
      <c r="H447" s="81"/>
      <c r="I447" s="436"/>
      <c r="J447" s="289"/>
      <c r="K447" s="436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</row>
    <row r="448" spans="1:25" ht="24" customHeight="1" x14ac:dyDescent="0.5">
      <c r="A448" s="81"/>
      <c r="B448" s="81"/>
      <c r="C448" s="81"/>
      <c r="D448" s="81"/>
      <c r="E448" s="81"/>
      <c r="F448" s="81"/>
      <c r="G448" s="81"/>
      <c r="H448" s="81"/>
      <c r="I448" s="436"/>
      <c r="J448" s="289"/>
      <c r="K448" s="436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</row>
    <row r="449" spans="1:25" ht="24" customHeight="1" x14ac:dyDescent="0.5">
      <c r="A449" s="81"/>
      <c r="B449" s="81"/>
      <c r="C449" s="81"/>
      <c r="D449" s="81"/>
      <c r="E449" s="81"/>
      <c r="F449" s="81"/>
      <c r="G449" s="81"/>
      <c r="H449" s="81"/>
      <c r="I449" s="436"/>
      <c r="J449" s="289"/>
      <c r="K449" s="436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</row>
    <row r="450" spans="1:25" ht="24" customHeight="1" x14ac:dyDescent="0.5">
      <c r="A450" s="81"/>
      <c r="B450" s="81"/>
      <c r="C450" s="81"/>
      <c r="D450" s="81"/>
      <c r="E450" s="81"/>
      <c r="F450" s="81"/>
      <c r="G450" s="81"/>
      <c r="H450" s="81"/>
      <c r="I450" s="436"/>
      <c r="J450" s="289"/>
      <c r="K450" s="436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</row>
    <row r="451" spans="1:25" ht="24" customHeight="1" x14ac:dyDescent="0.5">
      <c r="A451" s="81"/>
      <c r="B451" s="81"/>
      <c r="C451" s="81"/>
      <c r="D451" s="81"/>
      <c r="E451" s="81"/>
      <c r="F451" s="81"/>
      <c r="G451" s="81"/>
      <c r="H451" s="81"/>
      <c r="I451" s="436"/>
      <c r="J451" s="289"/>
      <c r="K451" s="436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</row>
    <row r="452" spans="1:25" ht="24" customHeight="1" x14ac:dyDescent="0.5">
      <c r="A452" s="81"/>
      <c r="B452" s="81"/>
      <c r="C452" s="81"/>
      <c r="D452" s="81"/>
      <c r="E452" s="81"/>
      <c r="F452" s="81"/>
      <c r="G452" s="81"/>
      <c r="H452" s="81"/>
      <c r="I452" s="436"/>
      <c r="J452" s="289"/>
      <c r="K452" s="436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</row>
    <row r="453" spans="1:25" ht="24" customHeight="1" x14ac:dyDescent="0.5">
      <c r="A453" s="81"/>
      <c r="B453" s="81"/>
      <c r="C453" s="81"/>
      <c r="D453" s="81"/>
      <c r="E453" s="81"/>
      <c r="F453" s="81"/>
      <c r="G453" s="81"/>
      <c r="H453" s="81"/>
      <c r="I453" s="436"/>
      <c r="J453" s="289"/>
      <c r="K453" s="436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</row>
    <row r="454" spans="1:25" ht="24" customHeight="1" x14ac:dyDescent="0.5">
      <c r="A454" s="81"/>
      <c r="B454" s="81"/>
      <c r="C454" s="81"/>
      <c r="D454" s="81"/>
      <c r="E454" s="81"/>
      <c r="F454" s="81"/>
      <c r="G454" s="81"/>
      <c r="H454" s="81"/>
      <c r="I454" s="436"/>
      <c r="J454" s="289"/>
      <c r="K454" s="436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</row>
    <row r="455" spans="1:25" ht="24" customHeight="1" x14ac:dyDescent="0.5">
      <c r="A455" s="81"/>
      <c r="B455" s="81"/>
      <c r="C455" s="81"/>
      <c r="D455" s="81"/>
      <c r="E455" s="81"/>
      <c r="F455" s="81"/>
      <c r="G455" s="81"/>
      <c r="H455" s="81"/>
      <c r="I455" s="436"/>
      <c r="J455" s="289"/>
      <c r="K455" s="436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</row>
    <row r="456" spans="1:25" ht="24" customHeight="1" x14ac:dyDescent="0.5">
      <c r="A456" s="81"/>
      <c r="B456" s="81"/>
      <c r="C456" s="81"/>
      <c r="D456" s="81"/>
      <c r="E456" s="81"/>
      <c r="F456" s="81"/>
      <c r="G456" s="81"/>
      <c r="H456" s="81"/>
      <c r="I456" s="436"/>
      <c r="J456" s="289"/>
      <c r="K456" s="436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</row>
    <row r="457" spans="1:25" ht="24" customHeight="1" x14ac:dyDescent="0.5">
      <c r="A457" s="81"/>
      <c r="B457" s="81"/>
      <c r="C457" s="81"/>
      <c r="D457" s="81"/>
      <c r="E457" s="81"/>
      <c r="F457" s="81"/>
      <c r="G457" s="81"/>
      <c r="H457" s="81"/>
      <c r="I457" s="436"/>
      <c r="J457" s="289"/>
      <c r="K457" s="436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</row>
    <row r="458" spans="1:25" ht="24" customHeight="1" x14ac:dyDescent="0.5">
      <c r="A458" s="81"/>
      <c r="B458" s="81"/>
      <c r="C458" s="81"/>
      <c r="D458" s="81"/>
      <c r="E458" s="81"/>
      <c r="F458" s="81"/>
      <c r="G458" s="81"/>
      <c r="H458" s="81"/>
      <c r="I458" s="436"/>
      <c r="J458" s="289"/>
      <c r="K458" s="436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</row>
    <row r="459" spans="1:25" ht="24" customHeight="1" x14ac:dyDescent="0.5">
      <c r="A459" s="81"/>
      <c r="B459" s="81"/>
      <c r="C459" s="81"/>
      <c r="D459" s="81"/>
      <c r="E459" s="81"/>
      <c r="F459" s="81"/>
      <c r="G459" s="81"/>
      <c r="H459" s="81"/>
      <c r="I459" s="436"/>
      <c r="J459" s="289"/>
      <c r="K459" s="436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</row>
    <row r="460" spans="1:25" ht="24" customHeight="1" x14ac:dyDescent="0.5">
      <c r="A460" s="81"/>
      <c r="B460" s="81"/>
      <c r="C460" s="81"/>
      <c r="D460" s="81"/>
      <c r="E460" s="81"/>
      <c r="F460" s="81"/>
      <c r="G460" s="81"/>
      <c r="H460" s="81"/>
      <c r="I460" s="436"/>
      <c r="J460" s="289"/>
      <c r="K460" s="436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</row>
    <row r="461" spans="1:25" ht="24" customHeight="1" x14ac:dyDescent="0.5">
      <c r="A461" s="81"/>
      <c r="B461" s="81"/>
      <c r="C461" s="81"/>
      <c r="D461" s="81"/>
      <c r="E461" s="81"/>
      <c r="F461" s="81"/>
      <c r="G461" s="81"/>
      <c r="H461" s="81"/>
      <c r="I461" s="436"/>
      <c r="J461" s="289"/>
      <c r="K461" s="436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</row>
    <row r="462" spans="1:25" ht="24" customHeight="1" x14ac:dyDescent="0.5">
      <c r="A462" s="81"/>
      <c r="B462" s="81"/>
      <c r="C462" s="81"/>
      <c r="D462" s="81"/>
      <c r="E462" s="81"/>
      <c r="F462" s="81"/>
      <c r="G462" s="81"/>
      <c r="H462" s="81"/>
      <c r="I462" s="436"/>
      <c r="J462" s="289"/>
      <c r="K462" s="436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</row>
    <row r="463" spans="1:25" ht="24" customHeight="1" x14ac:dyDescent="0.5">
      <c r="A463" s="81"/>
      <c r="B463" s="81"/>
      <c r="C463" s="81"/>
      <c r="D463" s="81"/>
      <c r="E463" s="81"/>
      <c r="F463" s="81"/>
      <c r="G463" s="81"/>
      <c r="H463" s="81"/>
      <c r="I463" s="436"/>
      <c r="J463" s="289"/>
      <c r="K463" s="436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</row>
    <row r="464" spans="1:25" ht="24" customHeight="1" x14ac:dyDescent="0.5">
      <c r="A464" s="81"/>
      <c r="B464" s="81"/>
      <c r="C464" s="81"/>
      <c r="D464" s="81"/>
      <c r="E464" s="81"/>
      <c r="F464" s="81"/>
      <c r="G464" s="81"/>
      <c r="H464" s="81"/>
      <c r="I464" s="436"/>
      <c r="J464" s="289"/>
      <c r="K464" s="436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</row>
    <row r="465" spans="1:25" ht="24" customHeight="1" x14ac:dyDescent="0.5">
      <c r="A465" s="81"/>
      <c r="B465" s="81"/>
      <c r="C465" s="81"/>
      <c r="D465" s="81"/>
      <c r="E465" s="81"/>
      <c r="F465" s="81"/>
      <c r="G465" s="81"/>
      <c r="H465" s="81"/>
      <c r="I465" s="436"/>
      <c r="J465" s="289"/>
      <c r="K465" s="436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</row>
    <row r="466" spans="1:25" ht="24" customHeight="1" x14ac:dyDescent="0.5">
      <c r="A466" s="81"/>
      <c r="B466" s="81"/>
      <c r="C466" s="81"/>
      <c r="D466" s="81"/>
      <c r="E466" s="81"/>
      <c r="F466" s="81"/>
      <c r="G466" s="81"/>
      <c r="H466" s="81"/>
      <c r="I466" s="436"/>
      <c r="J466" s="289"/>
      <c r="K466" s="436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</row>
    <row r="467" spans="1:25" ht="24" customHeight="1" x14ac:dyDescent="0.5">
      <c r="A467" s="81"/>
      <c r="B467" s="81"/>
      <c r="C467" s="81"/>
      <c r="D467" s="81"/>
      <c r="E467" s="81"/>
      <c r="F467" s="81"/>
      <c r="G467" s="81"/>
      <c r="H467" s="81"/>
      <c r="I467" s="436"/>
      <c r="J467" s="289"/>
      <c r="K467" s="436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</row>
    <row r="468" spans="1:25" ht="24" customHeight="1" x14ac:dyDescent="0.5">
      <c r="A468" s="81"/>
      <c r="B468" s="81"/>
      <c r="C468" s="81"/>
      <c r="D468" s="81"/>
      <c r="E468" s="81"/>
      <c r="F468" s="81"/>
      <c r="G468" s="81"/>
      <c r="H468" s="81"/>
      <c r="I468" s="436"/>
      <c r="J468" s="289"/>
      <c r="K468" s="436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</row>
    <row r="469" spans="1:25" ht="24" customHeight="1" x14ac:dyDescent="0.5">
      <c r="A469" s="81"/>
      <c r="B469" s="81"/>
      <c r="C469" s="81"/>
      <c r="D469" s="81"/>
      <c r="E469" s="81"/>
      <c r="F469" s="81"/>
      <c r="G469" s="81"/>
      <c r="H469" s="81"/>
      <c r="I469" s="436"/>
      <c r="J469" s="289"/>
      <c r="K469" s="436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</row>
    <row r="470" spans="1:25" ht="24" customHeight="1" x14ac:dyDescent="0.5">
      <c r="A470" s="81"/>
      <c r="B470" s="81"/>
      <c r="C470" s="81"/>
      <c r="D470" s="81"/>
      <c r="E470" s="81"/>
      <c r="F470" s="81"/>
      <c r="G470" s="81"/>
      <c r="H470" s="81"/>
      <c r="I470" s="436"/>
      <c r="J470" s="289"/>
      <c r="K470" s="436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</row>
    <row r="471" spans="1:25" ht="24" customHeight="1" x14ac:dyDescent="0.5">
      <c r="A471" s="81"/>
      <c r="B471" s="81"/>
      <c r="C471" s="81"/>
      <c r="D471" s="81"/>
      <c r="E471" s="81"/>
      <c r="F471" s="81"/>
      <c r="G471" s="81"/>
      <c r="H471" s="81"/>
      <c r="I471" s="436"/>
      <c r="J471" s="289"/>
      <c r="K471" s="436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</row>
    <row r="472" spans="1:25" ht="24" customHeight="1" x14ac:dyDescent="0.5">
      <c r="A472" s="81"/>
      <c r="B472" s="81"/>
      <c r="C472" s="81"/>
      <c r="D472" s="81"/>
      <c r="E472" s="81"/>
      <c r="F472" s="81"/>
      <c r="G472" s="81"/>
      <c r="H472" s="81"/>
      <c r="I472" s="436"/>
      <c r="J472" s="289"/>
      <c r="K472" s="436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</row>
    <row r="473" spans="1:25" ht="24" customHeight="1" x14ac:dyDescent="0.5">
      <c r="A473" s="81"/>
      <c r="B473" s="81"/>
      <c r="C473" s="81"/>
      <c r="D473" s="81"/>
      <c r="E473" s="81"/>
      <c r="F473" s="81"/>
      <c r="G473" s="81"/>
      <c r="H473" s="81"/>
      <c r="I473" s="436"/>
      <c r="J473" s="289"/>
      <c r="K473" s="436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</row>
    <row r="474" spans="1:25" ht="24" customHeight="1" x14ac:dyDescent="0.5">
      <c r="A474" s="81"/>
      <c r="B474" s="81"/>
      <c r="C474" s="81"/>
      <c r="D474" s="81"/>
      <c r="E474" s="81"/>
      <c r="F474" s="81"/>
      <c r="G474" s="81"/>
      <c r="H474" s="81"/>
      <c r="I474" s="436"/>
      <c r="J474" s="289"/>
      <c r="K474" s="436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</row>
    <row r="475" spans="1:25" ht="24" customHeight="1" x14ac:dyDescent="0.5">
      <c r="A475" s="81"/>
      <c r="B475" s="81"/>
      <c r="C475" s="81"/>
      <c r="D475" s="81"/>
      <c r="E475" s="81"/>
      <c r="F475" s="81"/>
      <c r="G475" s="81"/>
      <c r="H475" s="81"/>
      <c r="I475" s="436"/>
      <c r="J475" s="289"/>
      <c r="K475" s="436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</row>
    <row r="476" spans="1:25" ht="24" customHeight="1" x14ac:dyDescent="0.5">
      <c r="A476" s="81"/>
      <c r="B476" s="81"/>
      <c r="C476" s="81"/>
      <c r="D476" s="81"/>
      <c r="E476" s="81"/>
      <c r="F476" s="81"/>
      <c r="G476" s="81"/>
      <c r="H476" s="81"/>
      <c r="I476" s="436"/>
      <c r="J476" s="289"/>
      <c r="K476" s="436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</row>
    <row r="477" spans="1:25" ht="24" customHeight="1" x14ac:dyDescent="0.5">
      <c r="A477" s="81"/>
      <c r="B477" s="81"/>
      <c r="C477" s="81"/>
      <c r="D477" s="81"/>
      <c r="E477" s="81"/>
      <c r="F477" s="81"/>
      <c r="G477" s="81"/>
      <c r="H477" s="81"/>
      <c r="I477" s="436"/>
      <c r="J477" s="289"/>
      <c r="K477" s="436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</row>
    <row r="478" spans="1:25" ht="24" customHeight="1" x14ac:dyDescent="0.5">
      <c r="A478" s="81"/>
      <c r="B478" s="81"/>
      <c r="C478" s="81"/>
      <c r="D478" s="81"/>
      <c r="E478" s="81"/>
      <c r="F478" s="81"/>
      <c r="G478" s="81"/>
      <c r="H478" s="81"/>
      <c r="I478" s="436"/>
      <c r="J478" s="289"/>
      <c r="K478" s="436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</row>
    <row r="479" spans="1:25" ht="24" customHeight="1" x14ac:dyDescent="0.5">
      <c r="A479" s="81"/>
      <c r="B479" s="81"/>
      <c r="C479" s="81"/>
      <c r="D479" s="81"/>
      <c r="E479" s="81"/>
      <c r="F479" s="81"/>
      <c r="G479" s="81"/>
      <c r="H479" s="81"/>
      <c r="I479" s="436"/>
      <c r="J479" s="289"/>
      <c r="K479" s="436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</row>
    <row r="480" spans="1:25" ht="24" customHeight="1" x14ac:dyDescent="0.5">
      <c r="A480" s="81"/>
      <c r="B480" s="81"/>
      <c r="C480" s="81"/>
      <c r="D480" s="81"/>
      <c r="E480" s="81"/>
      <c r="F480" s="81"/>
      <c r="G480" s="81"/>
      <c r="H480" s="81"/>
      <c r="I480" s="436"/>
      <c r="J480" s="289"/>
      <c r="K480" s="436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</row>
    <row r="481" spans="1:25" ht="24" customHeight="1" x14ac:dyDescent="0.5">
      <c r="A481" s="81"/>
      <c r="B481" s="81"/>
      <c r="C481" s="81"/>
      <c r="D481" s="81"/>
      <c r="E481" s="81"/>
      <c r="F481" s="81"/>
      <c r="G481" s="81"/>
      <c r="H481" s="81"/>
      <c r="I481" s="436"/>
      <c r="J481" s="289"/>
      <c r="K481" s="436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</row>
    <row r="482" spans="1:25" ht="24" customHeight="1" x14ac:dyDescent="0.5">
      <c r="A482" s="81"/>
      <c r="B482" s="81"/>
      <c r="C482" s="81"/>
      <c r="D482" s="81"/>
      <c r="E482" s="81"/>
      <c r="F482" s="81"/>
      <c r="G482" s="81"/>
      <c r="H482" s="81"/>
      <c r="I482" s="436"/>
      <c r="J482" s="289"/>
      <c r="K482" s="436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</row>
    <row r="483" spans="1:25" ht="24" customHeight="1" x14ac:dyDescent="0.5">
      <c r="A483" s="81"/>
      <c r="B483" s="81"/>
      <c r="C483" s="81"/>
      <c r="D483" s="81"/>
      <c r="E483" s="81"/>
      <c r="F483" s="81"/>
      <c r="G483" s="81"/>
      <c r="H483" s="81"/>
      <c r="I483" s="436"/>
      <c r="J483" s="289"/>
      <c r="K483" s="436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</row>
    <row r="484" spans="1:25" ht="24" customHeight="1" x14ac:dyDescent="0.5">
      <c r="A484" s="81"/>
      <c r="B484" s="81"/>
      <c r="C484" s="81"/>
      <c r="D484" s="81"/>
      <c r="E484" s="81"/>
      <c r="F484" s="81"/>
      <c r="G484" s="81"/>
      <c r="H484" s="81"/>
      <c r="I484" s="436"/>
      <c r="J484" s="289"/>
      <c r="K484" s="436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</row>
    <row r="485" spans="1:25" ht="24" customHeight="1" x14ac:dyDescent="0.5">
      <c r="A485" s="81"/>
      <c r="B485" s="81"/>
      <c r="C485" s="81"/>
      <c r="D485" s="81"/>
      <c r="E485" s="81"/>
      <c r="F485" s="81"/>
      <c r="G485" s="81"/>
      <c r="H485" s="81"/>
      <c r="I485" s="436"/>
      <c r="J485" s="289"/>
      <c r="K485" s="436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</row>
    <row r="486" spans="1:25" ht="24" customHeight="1" x14ac:dyDescent="0.5">
      <c r="A486" s="81"/>
      <c r="B486" s="81"/>
      <c r="C486" s="81"/>
      <c r="D486" s="81"/>
      <c r="E486" s="81"/>
      <c r="F486" s="81"/>
      <c r="G486" s="81"/>
      <c r="H486" s="81"/>
      <c r="I486" s="436"/>
      <c r="J486" s="289"/>
      <c r="K486" s="436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</row>
    <row r="487" spans="1:25" ht="24" customHeight="1" x14ac:dyDescent="0.5">
      <c r="A487" s="81"/>
      <c r="B487" s="81"/>
      <c r="C487" s="81"/>
      <c r="D487" s="81"/>
      <c r="E487" s="81"/>
      <c r="F487" s="81"/>
      <c r="G487" s="81"/>
      <c r="H487" s="81"/>
      <c r="I487" s="436"/>
      <c r="J487" s="289"/>
      <c r="K487" s="436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</row>
    <row r="488" spans="1:25" ht="24" customHeight="1" x14ac:dyDescent="0.5">
      <c r="A488" s="81"/>
      <c r="B488" s="81"/>
      <c r="C488" s="81"/>
      <c r="D488" s="81"/>
      <c r="E488" s="81"/>
      <c r="F488" s="81"/>
      <c r="G488" s="81"/>
      <c r="H488" s="81"/>
      <c r="I488" s="436"/>
      <c r="J488" s="289"/>
      <c r="K488" s="436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</row>
    <row r="489" spans="1:25" ht="24" customHeight="1" x14ac:dyDescent="0.5">
      <c r="A489" s="81"/>
      <c r="B489" s="81"/>
      <c r="C489" s="81"/>
      <c r="D489" s="81"/>
      <c r="E489" s="81"/>
      <c r="F489" s="81"/>
      <c r="G489" s="81"/>
      <c r="H489" s="81"/>
      <c r="I489" s="436"/>
      <c r="J489" s="289"/>
      <c r="K489" s="436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</row>
    <row r="490" spans="1:25" ht="24" customHeight="1" x14ac:dyDescent="0.5">
      <c r="A490" s="81"/>
      <c r="B490" s="81"/>
      <c r="C490" s="81"/>
      <c r="D490" s="81"/>
      <c r="E490" s="81"/>
      <c r="F490" s="81"/>
      <c r="G490" s="81"/>
      <c r="H490" s="81"/>
      <c r="I490" s="436"/>
      <c r="J490" s="289"/>
      <c r="K490" s="436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</row>
    <row r="491" spans="1:25" ht="24" customHeight="1" x14ac:dyDescent="0.5">
      <c r="A491" s="81"/>
      <c r="B491" s="81"/>
      <c r="C491" s="81"/>
      <c r="D491" s="81"/>
      <c r="E491" s="81"/>
      <c r="F491" s="81"/>
      <c r="G491" s="81"/>
      <c r="H491" s="81"/>
      <c r="I491" s="436"/>
      <c r="J491" s="289"/>
      <c r="K491" s="436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</row>
    <row r="492" spans="1:25" ht="24" customHeight="1" x14ac:dyDescent="0.5">
      <c r="A492" s="81"/>
      <c r="B492" s="81"/>
      <c r="C492" s="81"/>
      <c r="D492" s="81"/>
      <c r="E492" s="81"/>
      <c r="F492" s="81"/>
      <c r="G492" s="81"/>
      <c r="H492" s="81"/>
      <c r="I492" s="436"/>
      <c r="J492" s="289"/>
      <c r="K492" s="436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</row>
    <row r="493" spans="1:25" ht="24" customHeight="1" x14ac:dyDescent="0.5">
      <c r="A493" s="81"/>
      <c r="B493" s="81"/>
      <c r="C493" s="81"/>
      <c r="D493" s="81"/>
      <c r="E493" s="81"/>
      <c r="F493" s="81"/>
      <c r="G493" s="81"/>
      <c r="H493" s="81"/>
      <c r="I493" s="436"/>
      <c r="J493" s="289"/>
      <c r="K493" s="436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</row>
    <row r="494" spans="1:25" ht="24" customHeight="1" x14ac:dyDescent="0.5">
      <c r="A494" s="81"/>
      <c r="B494" s="81"/>
      <c r="C494" s="81"/>
      <c r="D494" s="81"/>
      <c r="E494" s="81"/>
      <c r="F494" s="81"/>
      <c r="G494" s="81"/>
      <c r="H494" s="81"/>
      <c r="I494" s="436"/>
      <c r="J494" s="289"/>
      <c r="K494" s="436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</row>
    <row r="495" spans="1:25" ht="24" customHeight="1" x14ac:dyDescent="0.5">
      <c r="A495" s="81"/>
      <c r="B495" s="81"/>
      <c r="C495" s="81"/>
      <c r="D495" s="81"/>
      <c r="E495" s="81"/>
      <c r="F495" s="81"/>
      <c r="G495" s="81"/>
      <c r="H495" s="81"/>
      <c r="I495" s="436"/>
      <c r="J495" s="289"/>
      <c r="K495" s="436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</row>
    <row r="496" spans="1:25" ht="24" customHeight="1" x14ac:dyDescent="0.5">
      <c r="A496" s="81"/>
      <c r="B496" s="81"/>
      <c r="C496" s="81"/>
      <c r="D496" s="81"/>
      <c r="E496" s="81"/>
      <c r="F496" s="81"/>
      <c r="G496" s="81"/>
      <c r="H496" s="81"/>
      <c r="I496" s="436"/>
      <c r="J496" s="289"/>
      <c r="K496" s="436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</row>
    <row r="497" spans="1:25" ht="24" customHeight="1" x14ac:dyDescent="0.5">
      <c r="A497" s="81"/>
      <c r="B497" s="81"/>
      <c r="C497" s="81"/>
      <c r="D497" s="81"/>
      <c r="E497" s="81"/>
      <c r="F497" s="81"/>
      <c r="G497" s="81"/>
      <c r="H497" s="81"/>
      <c r="I497" s="436"/>
      <c r="J497" s="289"/>
      <c r="K497" s="436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</row>
    <row r="498" spans="1:25" ht="24" customHeight="1" x14ac:dyDescent="0.5">
      <c r="A498" s="81"/>
      <c r="B498" s="81"/>
      <c r="C498" s="81"/>
      <c r="D498" s="81"/>
      <c r="E498" s="81"/>
      <c r="F498" s="81"/>
      <c r="G498" s="81"/>
      <c r="H498" s="81"/>
      <c r="I498" s="436"/>
      <c r="J498" s="289"/>
      <c r="K498" s="436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</row>
    <row r="499" spans="1:25" ht="24" customHeight="1" x14ac:dyDescent="0.5">
      <c r="A499" s="81"/>
      <c r="B499" s="81"/>
      <c r="C499" s="81"/>
      <c r="D499" s="81"/>
      <c r="E499" s="81"/>
      <c r="F499" s="81"/>
      <c r="G499" s="81"/>
      <c r="H499" s="81"/>
      <c r="I499" s="436"/>
      <c r="J499" s="289"/>
      <c r="K499" s="436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</row>
    <row r="500" spans="1:25" ht="24" customHeight="1" x14ac:dyDescent="0.5">
      <c r="A500" s="81"/>
      <c r="B500" s="81"/>
      <c r="C500" s="81"/>
      <c r="D500" s="81"/>
      <c r="E500" s="81"/>
      <c r="F500" s="81"/>
      <c r="G500" s="81"/>
      <c r="H500" s="81"/>
      <c r="I500" s="436"/>
      <c r="J500" s="289"/>
      <c r="K500" s="436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</row>
    <row r="501" spans="1:25" ht="24" customHeight="1" x14ac:dyDescent="0.5">
      <c r="A501" s="81"/>
      <c r="B501" s="81"/>
      <c r="C501" s="81"/>
      <c r="D501" s="81"/>
      <c r="E501" s="81"/>
      <c r="F501" s="81"/>
      <c r="G501" s="81"/>
      <c r="H501" s="81"/>
      <c r="I501" s="436"/>
      <c r="J501" s="289"/>
      <c r="K501" s="436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</row>
    <row r="502" spans="1:25" ht="24" customHeight="1" x14ac:dyDescent="0.5">
      <c r="A502" s="81"/>
      <c r="B502" s="81"/>
      <c r="C502" s="81"/>
      <c r="D502" s="81"/>
      <c r="E502" s="81"/>
      <c r="F502" s="81"/>
      <c r="G502" s="81"/>
      <c r="H502" s="81"/>
      <c r="I502" s="436"/>
      <c r="J502" s="289"/>
      <c r="K502" s="436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</row>
    <row r="503" spans="1:25" ht="24" customHeight="1" x14ac:dyDescent="0.5">
      <c r="A503" s="81"/>
      <c r="B503" s="81"/>
      <c r="C503" s="81"/>
      <c r="D503" s="81"/>
      <c r="E503" s="81"/>
      <c r="F503" s="81"/>
      <c r="G503" s="81"/>
      <c r="H503" s="81"/>
      <c r="I503" s="436"/>
      <c r="J503" s="289"/>
      <c r="K503" s="436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</row>
    <row r="504" spans="1:25" ht="24" customHeight="1" x14ac:dyDescent="0.5">
      <c r="A504" s="81"/>
      <c r="B504" s="81"/>
      <c r="C504" s="81"/>
      <c r="D504" s="81"/>
      <c r="E504" s="81"/>
      <c r="F504" s="81"/>
      <c r="G504" s="81"/>
      <c r="H504" s="81"/>
      <c r="I504" s="436"/>
      <c r="J504" s="289"/>
      <c r="K504" s="436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</row>
    <row r="505" spans="1:25" ht="24" customHeight="1" x14ac:dyDescent="0.5">
      <c r="A505" s="81"/>
      <c r="B505" s="81"/>
      <c r="C505" s="81"/>
      <c r="D505" s="81"/>
      <c r="E505" s="81"/>
      <c r="F505" s="81"/>
      <c r="G505" s="81"/>
      <c r="H505" s="81"/>
      <c r="I505" s="436"/>
      <c r="J505" s="289"/>
      <c r="K505" s="436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</row>
    <row r="506" spans="1:25" ht="24" customHeight="1" x14ac:dyDescent="0.5">
      <c r="A506" s="81"/>
      <c r="B506" s="81"/>
      <c r="C506" s="81"/>
      <c r="D506" s="81"/>
      <c r="E506" s="81"/>
      <c r="F506" s="81"/>
      <c r="G506" s="81"/>
      <c r="H506" s="81"/>
      <c r="I506" s="436"/>
      <c r="J506" s="289"/>
      <c r="K506" s="436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</row>
    <row r="507" spans="1:25" ht="24" customHeight="1" x14ac:dyDescent="0.5">
      <c r="A507" s="81"/>
      <c r="B507" s="81"/>
      <c r="C507" s="81"/>
      <c r="D507" s="81"/>
      <c r="E507" s="81"/>
      <c r="F507" s="81"/>
      <c r="G507" s="81"/>
      <c r="H507" s="81"/>
      <c r="I507" s="436"/>
      <c r="J507" s="289"/>
      <c r="K507" s="436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</row>
    <row r="508" spans="1:25" ht="24" customHeight="1" x14ac:dyDescent="0.5">
      <c r="A508" s="81"/>
      <c r="B508" s="81"/>
      <c r="C508" s="81"/>
      <c r="D508" s="81"/>
      <c r="E508" s="81"/>
      <c r="F508" s="81"/>
      <c r="G508" s="81"/>
      <c r="H508" s="81"/>
      <c r="I508" s="436"/>
      <c r="J508" s="289"/>
      <c r="K508" s="436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</row>
    <row r="509" spans="1:25" ht="24" customHeight="1" x14ac:dyDescent="0.5">
      <c r="A509" s="81"/>
      <c r="B509" s="81"/>
      <c r="C509" s="81"/>
      <c r="D509" s="81"/>
      <c r="E509" s="81"/>
      <c r="F509" s="81"/>
      <c r="G509" s="81"/>
      <c r="H509" s="81"/>
      <c r="I509" s="436"/>
      <c r="J509" s="289"/>
      <c r="K509" s="436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</row>
    <row r="510" spans="1:25" ht="24" customHeight="1" x14ac:dyDescent="0.5">
      <c r="A510" s="81"/>
      <c r="B510" s="81"/>
      <c r="C510" s="81"/>
      <c r="D510" s="81"/>
      <c r="E510" s="81"/>
      <c r="F510" s="81"/>
      <c r="G510" s="81"/>
      <c r="H510" s="81"/>
      <c r="I510" s="436"/>
      <c r="J510" s="289"/>
      <c r="K510" s="436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</row>
    <row r="511" spans="1:25" ht="24" customHeight="1" x14ac:dyDescent="0.5">
      <c r="A511" s="81"/>
      <c r="B511" s="81"/>
      <c r="C511" s="81"/>
      <c r="D511" s="81"/>
      <c r="E511" s="81"/>
      <c r="F511" s="81"/>
      <c r="G511" s="81"/>
      <c r="H511" s="81"/>
      <c r="I511" s="436"/>
      <c r="J511" s="289"/>
      <c r="K511" s="436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</row>
    <row r="512" spans="1:25" ht="24" customHeight="1" x14ac:dyDescent="0.5">
      <c r="A512" s="81"/>
      <c r="B512" s="81"/>
      <c r="C512" s="81"/>
      <c r="D512" s="81"/>
      <c r="E512" s="81"/>
      <c r="F512" s="81"/>
      <c r="G512" s="81"/>
      <c r="H512" s="81"/>
      <c r="I512" s="436"/>
      <c r="J512" s="289"/>
      <c r="K512" s="436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</row>
    <row r="513" spans="1:25" ht="24" customHeight="1" x14ac:dyDescent="0.5">
      <c r="A513" s="81"/>
      <c r="B513" s="81"/>
      <c r="C513" s="81"/>
      <c r="D513" s="81"/>
      <c r="E513" s="81"/>
      <c r="F513" s="81"/>
      <c r="G513" s="81"/>
      <c r="H513" s="81"/>
      <c r="I513" s="436"/>
      <c r="J513" s="289"/>
      <c r="K513" s="436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</row>
    <row r="514" spans="1:25" ht="24" customHeight="1" x14ac:dyDescent="0.5">
      <c r="A514" s="81"/>
      <c r="B514" s="81"/>
      <c r="C514" s="81"/>
      <c r="D514" s="81"/>
      <c r="E514" s="81"/>
      <c r="F514" s="81"/>
      <c r="G514" s="81"/>
      <c r="H514" s="81"/>
      <c r="I514" s="436"/>
      <c r="J514" s="289"/>
      <c r="K514" s="436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</row>
    <row r="515" spans="1:25" ht="24" customHeight="1" x14ac:dyDescent="0.5">
      <c r="A515" s="81"/>
      <c r="B515" s="81"/>
      <c r="C515" s="81"/>
      <c r="D515" s="81"/>
      <c r="E515" s="81"/>
      <c r="F515" s="81"/>
      <c r="G515" s="81"/>
      <c r="H515" s="81"/>
      <c r="I515" s="436"/>
      <c r="J515" s="289"/>
      <c r="K515" s="436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</row>
    <row r="516" spans="1:25" ht="24" customHeight="1" x14ac:dyDescent="0.5">
      <c r="A516" s="81"/>
      <c r="B516" s="81"/>
      <c r="C516" s="81"/>
      <c r="D516" s="81"/>
      <c r="E516" s="81"/>
      <c r="F516" s="81"/>
      <c r="G516" s="81"/>
      <c r="H516" s="81"/>
      <c r="I516" s="436"/>
      <c r="J516" s="289"/>
      <c r="K516" s="436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</row>
    <row r="517" spans="1:25" ht="24" customHeight="1" x14ac:dyDescent="0.5">
      <c r="A517" s="81"/>
      <c r="B517" s="81"/>
      <c r="C517" s="81"/>
      <c r="D517" s="81"/>
      <c r="E517" s="81"/>
      <c r="F517" s="81"/>
      <c r="G517" s="81"/>
      <c r="H517" s="81"/>
      <c r="I517" s="436"/>
      <c r="J517" s="289"/>
      <c r="K517" s="436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</row>
    <row r="518" spans="1:25" ht="24" customHeight="1" x14ac:dyDescent="0.5">
      <c r="A518" s="81"/>
      <c r="B518" s="81"/>
      <c r="C518" s="81"/>
      <c r="D518" s="81"/>
      <c r="E518" s="81"/>
      <c r="F518" s="81"/>
      <c r="G518" s="81"/>
      <c r="H518" s="81"/>
      <c r="I518" s="436"/>
      <c r="J518" s="289"/>
      <c r="K518" s="436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</row>
    <row r="519" spans="1:25" ht="24" customHeight="1" x14ac:dyDescent="0.5">
      <c r="A519" s="81"/>
      <c r="B519" s="81"/>
      <c r="C519" s="81"/>
      <c r="D519" s="81"/>
      <c r="E519" s="81"/>
      <c r="F519" s="81"/>
      <c r="G519" s="81"/>
      <c r="H519" s="81"/>
      <c r="I519" s="436"/>
      <c r="J519" s="289"/>
      <c r="K519" s="436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</row>
    <row r="520" spans="1:25" ht="24" customHeight="1" x14ac:dyDescent="0.5">
      <c r="A520" s="81"/>
      <c r="B520" s="81"/>
      <c r="C520" s="81"/>
      <c r="D520" s="81"/>
      <c r="E520" s="81"/>
      <c r="F520" s="81"/>
      <c r="G520" s="81"/>
      <c r="H520" s="81"/>
      <c r="I520" s="436"/>
      <c r="J520" s="289"/>
      <c r="K520" s="436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</row>
    <row r="521" spans="1:25" ht="24" customHeight="1" x14ac:dyDescent="0.5">
      <c r="A521" s="81"/>
      <c r="B521" s="81"/>
      <c r="C521" s="81"/>
      <c r="D521" s="81"/>
      <c r="E521" s="81"/>
      <c r="F521" s="81"/>
      <c r="G521" s="81"/>
      <c r="H521" s="81"/>
      <c r="I521" s="436"/>
      <c r="J521" s="289"/>
      <c r="K521" s="436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</row>
    <row r="522" spans="1:25" ht="24" customHeight="1" x14ac:dyDescent="0.5">
      <c r="A522" s="81"/>
      <c r="B522" s="81"/>
      <c r="C522" s="81"/>
      <c r="D522" s="81"/>
      <c r="E522" s="81"/>
      <c r="F522" s="81"/>
      <c r="G522" s="81"/>
      <c r="H522" s="81"/>
      <c r="I522" s="436"/>
      <c r="J522" s="289"/>
      <c r="K522" s="436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</row>
    <row r="523" spans="1:25" ht="24" customHeight="1" x14ac:dyDescent="0.5">
      <c r="A523" s="81"/>
      <c r="B523" s="81"/>
      <c r="C523" s="81"/>
      <c r="D523" s="81"/>
      <c r="E523" s="81"/>
      <c r="F523" s="81"/>
      <c r="G523" s="81"/>
      <c r="H523" s="81"/>
      <c r="I523" s="436"/>
      <c r="J523" s="289"/>
      <c r="K523" s="436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</row>
    <row r="524" spans="1:25" ht="24" customHeight="1" x14ac:dyDescent="0.5">
      <c r="A524" s="81"/>
      <c r="B524" s="81"/>
      <c r="C524" s="81"/>
      <c r="D524" s="81"/>
      <c r="E524" s="81"/>
      <c r="F524" s="81"/>
      <c r="G524" s="81"/>
      <c r="H524" s="81"/>
      <c r="I524" s="436"/>
      <c r="J524" s="289"/>
      <c r="K524" s="436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</row>
    <row r="525" spans="1:25" ht="24" customHeight="1" x14ac:dyDescent="0.5">
      <c r="A525" s="81"/>
      <c r="B525" s="81"/>
      <c r="C525" s="81"/>
      <c r="D525" s="81"/>
      <c r="E525" s="81"/>
      <c r="F525" s="81"/>
      <c r="G525" s="81"/>
      <c r="H525" s="81"/>
      <c r="I525" s="436"/>
      <c r="J525" s="289"/>
      <c r="K525" s="436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</row>
    <row r="526" spans="1:25" ht="24" customHeight="1" x14ac:dyDescent="0.5">
      <c r="A526" s="81"/>
      <c r="B526" s="81"/>
      <c r="C526" s="81"/>
      <c r="D526" s="81"/>
      <c r="E526" s="81"/>
      <c r="F526" s="81"/>
      <c r="G526" s="81"/>
      <c r="H526" s="81"/>
      <c r="I526" s="436"/>
      <c r="J526" s="289"/>
      <c r="K526" s="436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</row>
    <row r="527" spans="1:25" ht="24" customHeight="1" x14ac:dyDescent="0.5">
      <c r="A527" s="81"/>
      <c r="B527" s="81"/>
      <c r="C527" s="81"/>
      <c r="D527" s="81"/>
      <c r="E527" s="81"/>
      <c r="F527" s="81"/>
      <c r="G527" s="81"/>
      <c r="H527" s="81"/>
      <c r="I527" s="436"/>
      <c r="J527" s="289"/>
      <c r="K527" s="436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</row>
    <row r="528" spans="1:25" ht="24" customHeight="1" x14ac:dyDescent="0.5">
      <c r="A528" s="81"/>
      <c r="B528" s="81"/>
      <c r="C528" s="81"/>
      <c r="D528" s="81"/>
      <c r="E528" s="81"/>
      <c r="F528" s="81"/>
      <c r="G528" s="81"/>
      <c r="H528" s="81"/>
      <c r="I528" s="436"/>
      <c r="J528" s="289"/>
      <c r="K528" s="436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</row>
    <row r="529" spans="1:25" ht="24" customHeight="1" x14ac:dyDescent="0.5">
      <c r="A529" s="81"/>
      <c r="B529" s="81"/>
      <c r="C529" s="81"/>
      <c r="D529" s="81"/>
      <c r="E529" s="81"/>
      <c r="F529" s="81"/>
      <c r="G529" s="81"/>
      <c r="H529" s="81"/>
      <c r="I529" s="436"/>
      <c r="J529" s="289"/>
      <c r="K529" s="436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</row>
    <row r="530" spans="1:25" ht="24" customHeight="1" x14ac:dyDescent="0.5">
      <c r="A530" s="81"/>
      <c r="B530" s="81"/>
      <c r="C530" s="81"/>
      <c r="D530" s="81"/>
      <c r="E530" s="81"/>
      <c r="F530" s="81"/>
      <c r="G530" s="81"/>
      <c r="H530" s="81"/>
      <c r="I530" s="436"/>
      <c r="J530" s="289"/>
      <c r="K530" s="436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</row>
    <row r="531" spans="1:25" ht="24" customHeight="1" x14ac:dyDescent="0.5">
      <c r="A531" s="81"/>
      <c r="B531" s="81"/>
      <c r="C531" s="81"/>
      <c r="D531" s="81"/>
      <c r="E531" s="81"/>
      <c r="F531" s="81"/>
      <c r="G531" s="81"/>
      <c r="H531" s="81"/>
      <c r="I531" s="436"/>
      <c r="J531" s="289"/>
      <c r="K531" s="436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</row>
    <row r="532" spans="1:25" ht="24" customHeight="1" x14ac:dyDescent="0.5">
      <c r="A532" s="81"/>
      <c r="B532" s="81"/>
      <c r="C532" s="81"/>
      <c r="D532" s="81"/>
      <c r="E532" s="81"/>
      <c r="F532" s="81"/>
      <c r="G532" s="81"/>
      <c r="H532" s="81"/>
      <c r="I532" s="436"/>
      <c r="J532" s="289"/>
      <c r="K532" s="436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</row>
    <row r="533" spans="1:25" ht="24" customHeight="1" x14ac:dyDescent="0.5">
      <c r="A533" s="81"/>
      <c r="B533" s="81"/>
      <c r="C533" s="81"/>
      <c r="D533" s="81"/>
      <c r="E533" s="81"/>
      <c r="F533" s="81"/>
      <c r="G533" s="81"/>
      <c r="H533" s="81"/>
      <c r="I533" s="436"/>
      <c r="J533" s="289"/>
      <c r="K533" s="436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</row>
    <row r="534" spans="1:25" ht="24" customHeight="1" x14ac:dyDescent="0.5">
      <c r="A534" s="81"/>
      <c r="B534" s="81"/>
      <c r="C534" s="81"/>
      <c r="D534" s="81"/>
      <c r="E534" s="81"/>
      <c r="F534" s="81"/>
      <c r="G534" s="81"/>
      <c r="H534" s="81"/>
      <c r="I534" s="436"/>
      <c r="J534" s="289"/>
      <c r="K534" s="436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</row>
    <row r="535" spans="1:25" ht="24" customHeight="1" x14ac:dyDescent="0.5">
      <c r="A535" s="81"/>
      <c r="B535" s="81"/>
      <c r="C535" s="81"/>
      <c r="D535" s="81"/>
      <c r="E535" s="81"/>
      <c r="F535" s="81"/>
      <c r="G535" s="81"/>
      <c r="H535" s="81"/>
      <c r="I535" s="436"/>
      <c r="J535" s="289"/>
      <c r="K535" s="436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</row>
    <row r="536" spans="1:25" ht="24" customHeight="1" x14ac:dyDescent="0.5">
      <c r="A536" s="81"/>
      <c r="B536" s="81"/>
      <c r="C536" s="81"/>
      <c r="D536" s="81"/>
      <c r="E536" s="81"/>
      <c r="F536" s="81"/>
      <c r="G536" s="81"/>
      <c r="H536" s="81"/>
      <c r="I536" s="436"/>
      <c r="J536" s="289"/>
      <c r="K536" s="436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</row>
    <row r="537" spans="1:25" ht="24" customHeight="1" x14ac:dyDescent="0.5">
      <c r="A537" s="81"/>
      <c r="B537" s="81"/>
      <c r="C537" s="81"/>
      <c r="D537" s="81"/>
      <c r="E537" s="81"/>
      <c r="F537" s="81"/>
      <c r="G537" s="81"/>
      <c r="H537" s="81"/>
      <c r="I537" s="436"/>
      <c r="J537" s="289"/>
      <c r="K537" s="436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</row>
    <row r="538" spans="1:25" ht="24" customHeight="1" x14ac:dyDescent="0.5">
      <c r="A538" s="81"/>
      <c r="B538" s="81"/>
      <c r="C538" s="81"/>
      <c r="D538" s="81"/>
      <c r="E538" s="81"/>
      <c r="F538" s="81"/>
      <c r="G538" s="81"/>
      <c r="H538" s="81"/>
      <c r="I538" s="436"/>
      <c r="J538" s="289"/>
      <c r="K538" s="436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</row>
    <row r="539" spans="1:25" ht="24" customHeight="1" x14ac:dyDescent="0.5">
      <c r="A539" s="81"/>
      <c r="B539" s="81"/>
      <c r="C539" s="81"/>
      <c r="D539" s="81"/>
      <c r="E539" s="81"/>
      <c r="F539" s="81"/>
      <c r="G539" s="81"/>
      <c r="H539" s="81"/>
      <c r="I539" s="436"/>
      <c r="J539" s="289"/>
      <c r="K539" s="436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</row>
    <row r="540" spans="1:25" ht="24" customHeight="1" x14ac:dyDescent="0.5">
      <c r="A540" s="81"/>
      <c r="B540" s="81"/>
      <c r="C540" s="81"/>
      <c r="D540" s="81"/>
      <c r="E540" s="81"/>
      <c r="F540" s="81"/>
      <c r="G540" s="81"/>
      <c r="H540" s="81"/>
      <c r="I540" s="436"/>
      <c r="J540" s="289"/>
      <c r="K540" s="436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</row>
    <row r="541" spans="1:25" ht="24" customHeight="1" x14ac:dyDescent="0.5">
      <c r="A541" s="81"/>
      <c r="B541" s="81"/>
      <c r="C541" s="81"/>
      <c r="D541" s="81"/>
      <c r="E541" s="81"/>
      <c r="F541" s="81"/>
      <c r="G541" s="81"/>
      <c r="H541" s="81"/>
      <c r="I541" s="436"/>
      <c r="J541" s="289"/>
      <c r="K541" s="436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</row>
    <row r="542" spans="1:25" ht="24" customHeight="1" x14ac:dyDescent="0.5">
      <c r="A542" s="81"/>
      <c r="B542" s="81"/>
      <c r="C542" s="81"/>
      <c r="D542" s="81"/>
      <c r="E542" s="81"/>
      <c r="F542" s="81"/>
      <c r="G542" s="81"/>
      <c r="H542" s="81"/>
      <c r="I542" s="436"/>
      <c r="J542" s="289"/>
      <c r="K542" s="436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</row>
    <row r="543" spans="1:25" ht="24" customHeight="1" x14ac:dyDescent="0.5">
      <c r="A543" s="81"/>
      <c r="B543" s="81"/>
      <c r="C543" s="81"/>
      <c r="D543" s="81"/>
      <c r="E543" s="81"/>
      <c r="F543" s="81"/>
      <c r="G543" s="81"/>
      <c r="H543" s="81"/>
      <c r="I543" s="436"/>
      <c r="J543" s="289"/>
      <c r="K543" s="436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</row>
    <row r="544" spans="1:25" ht="24" customHeight="1" x14ac:dyDescent="0.5">
      <c r="A544" s="81"/>
      <c r="B544" s="81"/>
      <c r="C544" s="81"/>
      <c r="D544" s="81"/>
      <c r="E544" s="81"/>
      <c r="F544" s="81"/>
      <c r="G544" s="81"/>
      <c r="H544" s="81"/>
      <c r="I544" s="436"/>
      <c r="J544" s="289"/>
      <c r="K544" s="436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</row>
    <row r="545" spans="1:25" ht="24" customHeight="1" x14ac:dyDescent="0.5">
      <c r="A545" s="81"/>
      <c r="B545" s="81"/>
      <c r="C545" s="81"/>
      <c r="D545" s="81"/>
      <c r="E545" s="81"/>
      <c r="F545" s="81"/>
      <c r="G545" s="81"/>
      <c r="H545" s="81"/>
      <c r="I545" s="436"/>
      <c r="J545" s="289"/>
      <c r="K545" s="436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</row>
    <row r="546" spans="1:25" ht="24" customHeight="1" x14ac:dyDescent="0.5">
      <c r="A546" s="81"/>
      <c r="B546" s="81"/>
      <c r="C546" s="81"/>
      <c r="D546" s="81"/>
      <c r="E546" s="81"/>
      <c r="F546" s="81"/>
      <c r="G546" s="81"/>
      <c r="H546" s="81"/>
      <c r="I546" s="436"/>
      <c r="J546" s="289"/>
      <c r="K546" s="436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</row>
    <row r="547" spans="1:25" ht="24" customHeight="1" x14ac:dyDescent="0.5">
      <c r="A547" s="81"/>
      <c r="B547" s="81"/>
      <c r="C547" s="81"/>
      <c r="D547" s="81"/>
      <c r="E547" s="81"/>
      <c r="F547" s="81"/>
      <c r="G547" s="81"/>
      <c r="H547" s="81"/>
      <c r="I547" s="436"/>
      <c r="J547" s="289"/>
      <c r="K547" s="436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</row>
    <row r="548" spans="1:25" ht="24" customHeight="1" x14ac:dyDescent="0.5">
      <c r="A548" s="81"/>
      <c r="B548" s="81"/>
      <c r="C548" s="81"/>
      <c r="D548" s="81"/>
      <c r="E548" s="81"/>
      <c r="F548" s="81"/>
      <c r="G548" s="81"/>
      <c r="H548" s="81"/>
      <c r="I548" s="436"/>
      <c r="J548" s="289"/>
      <c r="K548" s="436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</row>
    <row r="549" spans="1:25" ht="24" customHeight="1" x14ac:dyDescent="0.5">
      <c r="A549" s="81"/>
      <c r="B549" s="81"/>
      <c r="C549" s="81"/>
      <c r="D549" s="81"/>
      <c r="E549" s="81"/>
      <c r="F549" s="81"/>
      <c r="G549" s="81"/>
      <c r="H549" s="81"/>
      <c r="I549" s="436"/>
      <c r="J549" s="289"/>
      <c r="K549" s="436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</row>
    <row r="550" spans="1:25" ht="24" customHeight="1" x14ac:dyDescent="0.5">
      <c r="A550" s="81"/>
      <c r="B550" s="81"/>
      <c r="C550" s="81"/>
      <c r="D550" s="81"/>
      <c r="E550" s="81"/>
      <c r="F550" s="81"/>
      <c r="G550" s="81"/>
      <c r="H550" s="81"/>
      <c r="I550" s="436"/>
      <c r="J550" s="289"/>
      <c r="K550" s="436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</row>
    <row r="551" spans="1:25" ht="24" customHeight="1" x14ac:dyDescent="0.5">
      <c r="A551" s="81"/>
      <c r="B551" s="81"/>
      <c r="C551" s="81"/>
      <c r="D551" s="81"/>
      <c r="E551" s="81"/>
      <c r="F551" s="81"/>
      <c r="G551" s="81"/>
      <c r="H551" s="81"/>
      <c r="I551" s="436"/>
      <c r="J551" s="289"/>
      <c r="K551" s="436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</row>
    <row r="552" spans="1:25" ht="24" customHeight="1" x14ac:dyDescent="0.5">
      <c r="A552" s="81"/>
      <c r="B552" s="81"/>
      <c r="C552" s="81"/>
      <c r="D552" s="81"/>
      <c r="E552" s="81"/>
      <c r="F552" s="81"/>
      <c r="G552" s="81"/>
      <c r="H552" s="81"/>
      <c r="I552" s="436"/>
      <c r="J552" s="289"/>
      <c r="K552" s="436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</row>
    <row r="553" spans="1:25" ht="24" customHeight="1" x14ac:dyDescent="0.5">
      <c r="A553" s="81"/>
      <c r="B553" s="81"/>
      <c r="C553" s="81"/>
      <c r="D553" s="81"/>
      <c r="E553" s="81"/>
      <c r="F553" s="81"/>
      <c r="G553" s="81"/>
      <c r="H553" s="81"/>
      <c r="I553" s="436"/>
      <c r="J553" s="289"/>
      <c r="K553" s="436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</row>
    <row r="554" spans="1:25" ht="24" customHeight="1" x14ac:dyDescent="0.5">
      <c r="A554" s="81"/>
      <c r="B554" s="81"/>
      <c r="C554" s="81"/>
      <c r="D554" s="81"/>
      <c r="E554" s="81"/>
      <c r="F554" s="81"/>
      <c r="G554" s="81"/>
      <c r="H554" s="81"/>
      <c r="I554" s="436"/>
      <c r="J554" s="289"/>
      <c r="K554" s="436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</row>
    <row r="555" spans="1:25" ht="24" customHeight="1" x14ac:dyDescent="0.5">
      <c r="A555" s="81"/>
      <c r="B555" s="81"/>
      <c r="C555" s="81"/>
      <c r="D555" s="81"/>
      <c r="E555" s="81"/>
      <c r="F555" s="81"/>
      <c r="G555" s="81"/>
      <c r="H555" s="81"/>
      <c r="I555" s="436"/>
      <c r="J555" s="289"/>
      <c r="K555" s="436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</row>
    <row r="556" spans="1:25" ht="24" customHeight="1" x14ac:dyDescent="0.5">
      <c r="A556" s="81"/>
      <c r="B556" s="81"/>
      <c r="C556" s="81"/>
      <c r="D556" s="81"/>
      <c r="E556" s="81"/>
      <c r="F556" s="81"/>
      <c r="G556" s="81"/>
      <c r="H556" s="81"/>
      <c r="I556" s="436"/>
      <c r="J556" s="289"/>
      <c r="K556" s="436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</row>
    <row r="557" spans="1:25" ht="24" customHeight="1" x14ac:dyDescent="0.5">
      <c r="A557" s="81"/>
      <c r="B557" s="81"/>
      <c r="C557" s="81"/>
      <c r="D557" s="81"/>
      <c r="E557" s="81"/>
      <c r="F557" s="81"/>
      <c r="G557" s="81"/>
      <c r="H557" s="81"/>
      <c r="I557" s="436"/>
      <c r="J557" s="289"/>
      <c r="K557" s="436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</row>
    <row r="558" spans="1:25" ht="24" customHeight="1" x14ac:dyDescent="0.5">
      <c r="A558" s="81"/>
      <c r="B558" s="81"/>
      <c r="C558" s="81"/>
      <c r="D558" s="81"/>
      <c r="E558" s="81"/>
      <c r="F558" s="81"/>
      <c r="G558" s="81"/>
      <c r="H558" s="81"/>
      <c r="I558" s="436"/>
      <c r="J558" s="289"/>
      <c r="K558" s="436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</row>
    <row r="559" spans="1:25" ht="24" customHeight="1" x14ac:dyDescent="0.5">
      <c r="A559" s="81"/>
      <c r="B559" s="81"/>
      <c r="C559" s="81"/>
      <c r="D559" s="81"/>
      <c r="E559" s="81"/>
      <c r="F559" s="81"/>
      <c r="G559" s="81"/>
      <c r="H559" s="81"/>
      <c r="I559" s="436"/>
      <c r="J559" s="289"/>
      <c r="K559" s="436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</row>
    <row r="560" spans="1:25" ht="24" customHeight="1" x14ac:dyDescent="0.5">
      <c r="A560" s="81"/>
      <c r="B560" s="81"/>
      <c r="C560" s="81"/>
      <c r="D560" s="81"/>
      <c r="E560" s="81"/>
      <c r="F560" s="81"/>
      <c r="G560" s="81"/>
      <c r="H560" s="81"/>
      <c r="I560" s="436"/>
      <c r="J560" s="289"/>
      <c r="K560" s="436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</row>
    <row r="561" spans="1:25" ht="24" customHeight="1" x14ac:dyDescent="0.5">
      <c r="A561" s="81"/>
      <c r="B561" s="81"/>
      <c r="C561" s="81"/>
      <c r="D561" s="81"/>
      <c r="E561" s="81"/>
      <c r="F561" s="81"/>
      <c r="G561" s="81"/>
      <c r="H561" s="81"/>
      <c r="I561" s="436"/>
      <c r="J561" s="289"/>
      <c r="K561" s="436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</row>
    <row r="562" spans="1:25" ht="24" customHeight="1" x14ac:dyDescent="0.5">
      <c r="A562" s="81"/>
      <c r="B562" s="81"/>
      <c r="C562" s="81"/>
      <c r="D562" s="81"/>
      <c r="E562" s="81"/>
      <c r="F562" s="81"/>
      <c r="G562" s="81"/>
      <c r="H562" s="81"/>
      <c r="I562" s="436"/>
      <c r="J562" s="289"/>
      <c r="K562" s="436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</row>
    <row r="563" spans="1:25" ht="24" customHeight="1" x14ac:dyDescent="0.5">
      <c r="A563" s="81"/>
      <c r="B563" s="81"/>
      <c r="C563" s="81"/>
      <c r="D563" s="81"/>
      <c r="E563" s="81"/>
      <c r="F563" s="81"/>
      <c r="G563" s="81"/>
      <c r="H563" s="81"/>
      <c r="I563" s="436"/>
      <c r="J563" s="289"/>
      <c r="K563" s="436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</row>
    <row r="564" spans="1:25" ht="24" customHeight="1" x14ac:dyDescent="0.5">
      <c r="A564" s="81"/>
      <c r="B564" s="81"/>
      <c r="C564" s="81"/>
      <c r="D564" s="81"/>
      <c r="E564" s="81"/>
      <c r="F564" s="81"/>
      <c r="G564" s="81"/>
      <c r="H564" s="81"/>
      <c r="I564" s="436"/>
      <c r="J564" s="289"/>
      <c r="K564" s="436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</row>
    <row r="565" spans="1:25" ht="24" customHeight="1" x14ac:dyDescent="0.5">
      <c r="A565" s="81"/>
      <c r="B565" s="81"/>
      <c r="C565" s="81"/>
      <c r="D565" s="81"/>
      <c r="E565" s="81"/>
      <c r="F565" s="81"/>
      <c r="G565" s="81"/>
      <c r="H565" s="81"/>
      <c r="I565" s="436"/>
      <c r="J565" s="289"/>
      <c r="K565" s="436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</row>
    <row r="566" spans="1:25" ht="24" customHeight="1" x14ac:dyDescent="0.5">
      <c r="A566" s="81"/>
      <c r="B566" s="81"/>
      <c r="C566" s="81"/>
      <c r="D566" s="81"/>
      <c r="E566" s="81"/>
      <c r="F566" s="81"/>
      <c r="G566" s="81"/>
      <c r="H566" s="81"/>
      <c r="I566" s="436"/>
      <c r="J566" s="289"/>
      <c r="K566" s="436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</row>
    <row r="567" spans="1:25" ht="24" customHeight="1" x14ac:dyDescent="0.5">
      <c r="A567" s="81"/>
      <c r="B567" s="81"/>
      <c r="C567" s="81"/>
      <c r="D567" s="81"/>
      <c r="E567" s="81"/>
      <c r="F567" s="81"/>
      <c r="G567" s="81"/>
      <c r="H567" s="81"/>
      <c r="I567" s="436"/>
      <c r="J567" s="289"/>
      <c r="K567" s="436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</row>
    <row r="568" spans="1:25" ht="24" customHeight="1" x14ac:dyDescent="0.5">
      <c r="A568" s="81"/>
      <c r="B568" s="81"/>
      <c r="C568" s="81"/>
      <c r="D568" s="81"/>
      <c r="E568" s="81"/>
      <c r="F568" s="81"/>
      <c r="G568" s="81"/>
      <c r="H568" s="81"/>
      <c r="I568" s="436"/>
      <c r="J568" s="289"/>
      <c r="K568" s="436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</row>
    <row r="569" spans="1:25" ht="24" customHeight="1" x14ac:dyDescent="0.5">
      <c r="A569" s="81"/>
      <c r="B569" s="81"/>
      <c r="C569" s="81"/>
      <c r="D569" s="81"/>
      <c r="E569" s="81"/>
      <c r="F569" s="81"/>
      <c r="G569" s="81"/>
      <c r="H569" s="81"/>
      <c r="I569" s="436"/>
      <c r="J569" s="289"/>
      <c r="K569" s="436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</row>
    <row r="570" spans="1:25" ht="24" customHeight="1" x14ac:dyDescent="0.5">
      <c r="A570" s="81"/>
      <c r="B570" s="81"/>
      <c r="C570" s="81"/>
      <c r="D570" s="81"/>
      <c r="E570" s="81"/>
      <c r="F570" s="81"/>
      <c r="G570" s="81"/>
      <c r="H570" s="81"/>
      <c r="I570" s="436"/>
      <c r="J570" s="289"/>
      <c r="K570" s="436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</row>
    <row r="571" spans="1:25" ht="24" customHeight="1" x14ac:dyDescent="0.5">
      <c r="A571" s="81"/>
      <c r="B571" s="81"/>
      <c r="C571" s="81"/>
      <c r="D571" s="81"/>
      <c r="E571" s="81"/>
      <c r="F571" s="81"/>
      <c r="G571" s="81"/>
      <c r="H571" s="81"/>
      <c r="I571" s="436"/>
      <c r="J571" s="289"/>
      <c r="K571" s="436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</row>
    <row r="572" spans="1:25" ht="24" customHeight="1" x14ac:dyDescent="0.5">
      <c r="A572" s="81"/>
      <c r="B572" s="81"/>
      <c r="C572" s="81"/>
      <c r="D572" s="81"/>
      <c r="E572" s="81"/>
      <c r="F572" s="81"/>
      <c r="G572" s="81"/>
      <c r="H572" s="81"/>
      <c r="I572" s="436"/>
      <c r="J572" s="289"/>
      <c r="K572" s="436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</row>
    <row r="573" spans="1:25" ht="24" customHeight="1" x14ac:dyDescent="0.5">
      <c r="A573" s="81"/>
      <c r="B573" s="81"/>
      <c r="C573" s="81"/>
      <c r="D573" s="81"/>
      <c r="E573" s="81"/>
      <c r="F573" s="81"/>
      <c r="G573" s="81"/>
      <c r="H573" s="81"/>
      <c r="I573" s="436"/>
      <c r="J573" s="289"/>
      <c r="K573" s="436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</row>
    <row r="574" spans="1:25" ht="24" customHeight="1" x14ac:dyDescent="0.5">
      <c r="A574" s="81"/>
      <c r="B574" s="81"/>
      <c r="C574" s="81"/>
      <c r="D574" s="81"/>
      <c r="E574" s="81"/>
      <c r="F574" s="81"/>
      <c r="G574" s="81"/>
      <c r="H574" s="81"/>
      <c r="I574" s="436"/>
      <c r="J574" s="289"/>
      <c r="K574" s="436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</row>
    <row r="575" spans="1:25" ht="24" customHeight="1" x14ac:dyDescent="0.5">
      <c r="A575" s="81"/>
      <c r="B575" s="81"/>
      <c r="C575" s="81"/>
      <c r="D575" s="81"/>
      <c r="E575" s="81"/>
      <c r="F575" s="81"/>
      <c r="G575" s="81"/>
      <c r="H575" s="81"/>
      <c r="I575" s="436"/>
      <c r="J575" s="289"/>
      <c r="K575" s="436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</row>
    <row r="576" spans="1:25" ht="24" customHeight="1" x14ac:dyDescent="0.5">
      <c r="A576" s="81"/>
      <c r="B576" s="81"/>
      <c r="C576" s="81"/>
      <c r="D576" s="81"/>
      <c r="E576" s="81"/>
      <c r="F576" s="81"/>
      <c r="G576" s="81"/>
      <c r="H576" s="81"/>
      <c r="I576" s="436"/>
      <c r="J576" s="289"/>
      <c r="K576" s="436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</row>
    <row r="577" spans="1:25" ht="24" customHeight="1" x14ac:dyDescent="0.5">
      <c r="A577" s="81"/>
      <c r="B577" s="81"/>
      <c r="C577" s="81"/>
      <c r="D577" s="81"/>
      <c r="E577" s="81"/>
      <c r="F577" s="81"/>
      <c r="G577" s="81"/>
      <c r="H577" s="81"/>
      <c r="I577" s="436"/>
      <c r="J577" s="289"/>
      <c r="K577" s="436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</row>
    <row r="578" spans="1:25" ht="24" customHeight="1" x14ac:dyDescent="0.5">
      <c r="A578" s="81"/>
      <c r="B578" s="81"/>
      <c r="C578" s="81"/>
      <c r="D578" s="81"/>
      <c r="E578" s="81"/>
      <c r="F578" s="81"/>
      <c r="G578" s="81"/>
      <c r="H578" s="81"/>
      <c r="I578" s="436"/>
      <c r="J578" s="289"/>
      <c r="K578" s="436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</row>
    <row r="579" spans="1:25" ht="24" customHeight="1" x14ac:dyDescent="0.5">
      <c r="A579" s="81"/>
      <c r="B579" s="81"/>
      <c r="C579" s="81"/>
      <c r="D579" s="81"/>
      <c r="E579" s="81"/>
      <c r="F579" s="81"/>
      <c r="G579" s="81"/>
      <c r="H579" s="81"/>
      <c r="I579" s="436"/>
      <c r="J579" s="289"/>
      <c r="K579" s="436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</row>
    <row r="580" spans="1:25" ht="24" customHeight="1" x14ac:dyDescent="0.5">
      <c r="A580" s="81"/>
      <c r="B580" s="81"/>
      <c r="C580" s="81"/>
      <c r="D580" s="81"/>
      <c r="E580" s="81"/>
      <c r="F580" s="81"/>
      <c r="G580" s="81"/>
      <c r="H580" s="81"/>
      <c r="I580" s="436"/>
      <c r="J580" s="289"/>
      <c r="K580" s="436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</row>
    <row r="581" spans="1:25" ht="24" customHeight="1" x14ac:dyDescent="0.5">
      <c r="A581" s="81"/>
      <c r="B581" s="81"/>
      <c r="C581" s="81"/>
      <c r="D581" s="81"/>
      <c r="E581" s="81"/>
      <c r="F581" s="81"/>
      <c r="G581" s="81"/>
      <c r="H581" s="81"/>
      <c r="I581" s="436"/>
      <c r="J581" s="289"/>
      <c r="K581" s="436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</row>
    <row r="582" spans="1:25" ht="24" customHeight="1" x14ac:dyDescent="0.5">
      <c r="A582" s="81"/>
      <c r="B582" s="81"/>
      <c r="C582" s="81"/>
      <c r="D582" s="81"/>
      <c r="E582" s="81"/>
      <c r="F582" s="81"/>
      <c r="G582" s="81"/>
      <c r="H582" s="81"/>
      <c r="I582" s="436"/>
      <c r="J582" s="289"/>
      <c r="K582" s="436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</row>
    <row r="583" spans="1:25" ht="24" customHeight="1" x14ac:dyDescent="0.5">
      <c r="A583" s="81"/>
      <c r="B583" s="81"/>
      <c r="C583" s="81"/>
      <c r="D583" s="81"/>
      <c r="E583" s="81"/>
      <c r="F583" s="81"/>
      <c r="G583" s="81"/>
      <c r="H583" s="81"/>
      <c r="I583" s="436"/>
      <c r="J583" s="289"/>
      <c r="K583" s="436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</row>
    <row r="584" spans="1:25" ht="24" customHeight="1" x14ac:dyDescent="0.5">
      <c r="A584" s="81"/>
      <c r="B584" s="81"/>
      <c r="C584" s="81"/>
      <c r="D584" s="81"/>
      <c r="E584" s="81"/>
      <c r="F584" s="81"/>
      <c r="G584" s="81"/>
      <c r="H584" s="81"/>
      <c r="I584" s="436"/>
      <c r="J584" s="289"/>
      <c r="K584" s="436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</row>
    <row r="585" spans="1:25" ht="24" customHeight="1" x14ac:dyDescent="0.5">
      <c r="A585" s="81"/>
      <c r="B585" s="81"/>
      <c r="C585" s="81"/>
      <c r="D585" s="81"/>
      <c r="E585" s="81"/>
      <c r="F585" s="81"/>
      <c r="G585" s="81"/>
      <c r="H585" s="81"/>
      <c r="I585" s="436"/>
      <c r="J585" s="289"/>
      <c r="K585" s="436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</row>
    <row r="586" spans="1:25" ht="24" customHeight="1" x14ac:dyDescent="0.5">
      <c r="A586" s="81"/>
      <c r="B586" s="81"/>
      <c r="C586" s="81"/>
      <c r="D586" s="81"/>
      <c r="E586" s="81"/>
      <c r="F586" s="81"/>
      <c r="G586" s="81"/>
      <c r="H586" s="81"/>
      <c r="I586" s="436"/>
      <c r="J586" s="289"/>
      <c r="K586" s="436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</row>
    <row r="587" spans="1:25" ht="24" customHeight="1" x14ac:dyDescent="0.5">
      <c r="A587" s="81"/>
      <c r="B587" s="81"/>
      <c r="C587" s="81"/>
      <c r="D587" s="81"/>
      <c r="E587" s="81"/>
      <c r="F587" s="81"/>
      <c r="G587" s="81"/>
      <c r="H587" s="81"/>
      <c r="I587" s="436"/>
      <c r="J587" s="289"/>
      <c r="K587" s="436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</row>
    <row r="588" spans="1:25" ht="24" customHeight="1" x14ac:dyDescent="0.5">
      <c r="A588" s="81"/>
      <c r="B588" s="81"/>
      <c r="C588" s="81"/>
      <c r="D588" s="81"/>
      <c r="E588" s="81"/>
      <c r="F588" s="81"/>
      <c r="G588" s="81"/>
      <c r="H588" s="81"/>
      <c r="I588" s="436"/>
      <c r="J588" s="289"/>
      <c r="K588" s="436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</row>
    <row r="589" spans="1:25" ht="24" customHeight="1" x14ac:dyDescent="0.5">
      <c r="A589" s="81"/>
      <c r="B589" s="81"/>
      <c r="C589" s="81"/>
      <c r="D589" s="81"/>
      <c r="E589" s="81"/>
      <c r="F589" s="81"/>
      <c r="G589" s="81"/>
      <c r="H589" s="81"/>
      <c r="I589" s="436"/>
      <c r="J589" s="289"/>
      <c r="K589" s="436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</row>
    <row r="590" spans="1:25" ht="24" customHeight="1" x14ac:dyDescent="0.5">
      <c r="A590" s="81"/>
      <c r="B590" s="81"/>
      <c r="C590" s="81"/>
      <c r="D590" s="81"/>
      <c r="E590" s="81"/>
      <c r="F590" s="81"/>
      <c r="G590" s="81"/>
      <c r="H590" s="81"/>
      <c r="I590" s="436"/>
      <c r="J590" s="289"/>
      <c r="K590" s="436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</row>
    <row r="591" spans="1:25" ht="24" customHeight="1" x14ac:dyDescent="0.5">
      <c r="A591" s="81"/>
      <c r="B591" s="81"/>
      <c r="C591" s="81"/>
      <c r="D591" s="81"/>
      <c r="E591" s="81"/>
      <c r="F591" s="81"/>
      <c r="G591" s="81"/>
      <c r="H591" s="81"/>
      <c r="I591" s="436"/>
      <c r="J591" s="289"/>
      <c r="K591" s="436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</row>
    <row r="592" spans="1:25" ht="24" customHeight="1" x14ac:dyDescent="0.5">
      <c r="A592" s="81"/>
      <c r="B592" s="81"/>
      <c r="C592" s="81"/>
      <c r="D592" s="81"/>
      <c r="E592" s="81"/>
      <c r="F592" s="81"/>
      <c r="G592" s="81"/>
      <c r="H592" s="81"/>
      <c r="I592" s="436"/>
      <c r="J592" s="289"/>
      <c r="K592" s="436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</row>
    <row r="593" spans="1:25" ht="24" customHeight="1" x14ac:dyDescent="0.5">
      <c r="A593" s="81"/>
      <c r="B593" s="81"/>
      <c r="C593" s="81"/>
      <c r="D593" s="81"/>
      <c r="E593" s="81"/>
      <c r="F593" s="81"/>
      <c r="G593" s="81"/>
      <c r="H593" s="81"/>
      <c r="I593" s="436"/>
      <c r="J593" s="289"/>
      <c r="K593" s="436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</row>
    <row r="594" spans="1:25" ht="24" customHeight="1" x14ac:dyDescent="0.5">
      <c r="A594" s="81"/>
      <c r="B594" s="81"/>
      <c r="C594" s="81"/>
      <c r="D594" s="81"/>
      <c r="E594" s="81"/>
      <c r="F594" s="81"/>
      <c r="G594" s="81"/>
      <c r="H594" s="81"/>
      <c r="I594" s="436"/>
      <c r="J594" s="289"/>
      <c r="K594" s="436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</row>
    <row r="595" spans="1:25" ht="24" customHeight="1" x14ac:dyDescent="0.5">
      <c r="A595" s="81"/>
      <c r="B595" s="81"/>
      <c r="C595" s="81"/>
      <c r="D595" s="81"/>
      <c r="E595" s="81"/>
      <c r="F595" s="81"/>
      <c r="G595" s="81"/>
      <c r="H595" s="81"/>
      <c r="I595" s="436"/>
      <c r="J595" s="289"/>
      <c r="K595" s="436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</row>
    <row r="596" spans="1:25" ht="24" customHeight="1" x14ac:dyDescent="0.5">
      <c r="A596" s="81"/>
      <c r="B596" s="81"/>
      <c r="C596" s="81"/>
      <c r="D596" s="81"/>
      <c r="E596" s="81"/>
      <c r="F596" s="81"/>
      <c r="G596" s="81"/>
      <c r="H596" s="81"/>
      <c r="I596" s="436"/>
      <c r="J596" s="289"/>
      <c r="K596" s="436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</row>
    <row r="597" spans="1:25" ht="24" customHeight="1" x14ac:dyDescent="0.5">
      <c r="A597" s="81"/>
      <c r="B597" s="81"/>
      <c r="C597" s="81"/>
      <c r="D597" s="81"/>
      <c r="E597" s="81"/>
      <c r="F597" s="81"/>
      <c r="G597" s="81"/>
      <c r="H597" s="81"/>
      <c r="I597" s="436"/>
      <c r="J597" s="289"/>
      <c r="K597" s="436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</row>
    <row r="598" spans="1:25" ht="24" customHeight="1" x14ac:dyDescent="0.5">
      <c r="A598" s="81"/>
      <c r="B598" s="81"/>
      <c r="C598" s="81"/>
      <c r="D598" s="81"/>
      <c r="E598" s="81"/>
      <c r="F598" s="81"/>
      <c r="G598" s="81"/>
      <c r="H598" s="81"/>
      <c r="I598" s="436"/>
      <c r="J598" s="289"/>
      <c r="K598" s="436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</row>
    <row r="599" spans="1:25" ht="24" customHeight="1" x14ac:dyDescent="0.5">
      <c r="A599" s="81"/>
      <c r="B599" s="81"/>
      <c r="C599" s="81"/>
      <c r="D599" s="81"/>
      <c r="E599" s="81"/>
      <c r="F599" s="81"/>
      <c r="G599" s="81"/>
      <c r="H599" s="81"/>
      <c r="I599" s="436"/>
      <c r="J599" s="289"/>
      <c r="K599" s="436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</row>
    <row r="600" spans="1:25" ht="24" customHeight="1" x14ac:dyDescent="0.5">
      <c r="A600" s="81"/>
      <c r="B600" s="81"/>
      <c r="C600" s="81"/>
      <c r="D600" s="81"/>
      <c r="E600" s="81"/>
      <c r="F600" s="81"/>
      <c r="G600" s="81"/>
      <c r="H600" s="81"/>
      <c r="I600" s="436"/>
      <c r="J600" s="289"/>
      <c r="K600" s="436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</row>
    <row r="601" spans="1:25" ht="24" customHeight="1" x14ac:dyDescent="0.5">
      <c r="A601" s="81"/>
      <c r="B601" s="81"/>
      <c r="C601" s="81"/>
      <c r="D601" s="81"/>
      <c r="E601" s="81"/>
      <c r="F601" s="81"/>
      <c r="G601" s="81"/>
      <c r="H601" s="81"/>
      <c r="I601" s="436"/>
      <c r="J601" s="289"/>
      <c r="K601" s="436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</row>
    <row r="602" spans="1:25" ht="24" customHeight="1" x14ac:dyDescent="0.5">
      <c r="A602" s="81"/>
      <c r="B602" s="81"/>
      <c r="C602" s="81"/>
      <c r="D602" s="81"/>
      <c r="E602" s="81"/>
      <c r="F602" s="81"/>
      <c r="G602" s="81"/>
      <c r="H602" s="81"/>
      <c r="I602" s="436"/>
      <c r="J602" s="289"/>
      <c r="K602" s="436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</row>
    <row r="603" spans="1:25" ht="24" customHeight="1" x14ac:dyDescent="0.5">
      <c r="A603" s="81"/>
      <c r="B603" s="81"/>
      <c r="C603" s="81"/>
      <c r="D603" s="81"/>
      <c r="E603" s="81"/>
      <c r="F603" s="81"/>
      <c r="G603" s="81"/>
      <c r="H603" s="81"/>
      <c r="I603" s="436"/>
      <c r="J603" s="289"/>
      <c r="K603" s="436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</row>
    <row r="604" spans="1:25" ht="24" customHeight="1" x14ac:dyDescent="0.5">
      <c r="A604" s="81"/>
      <c r="B604" s="81"/>
      <c r="C604" s="81"/>
      <c r="D604" s="81"/>
      <c r="E604" s="81"/>
      <c r="F604" s="81"/>
      <c r="G604" s="81"/>
      <c r="H604" s="81"/>
      <c r="I604" s="436"/>
      <c r="J604" s="289"/>
      <c r="K604" s="436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</row>
    <row r="605" spans="1:25" ht="24" customHeight="1" x14ac:dyDescent="0.5">
      <c r="A605" s="81"/>
      <c r="B605" s="81"/>
      <c r="C605" s="81"/>
      <c r="D605" s="81"/>
      <c r="E605" s="81"/>
      <c r="F605" s="81"/>
      <c r="G605" s="81"/>
      <c r="H605" s="81"/>
      <c r="I605" s="436"/>
      <c r="J605" s="289"/>
      <c r="K605" s="436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</row>
    <row r="606" spans="1:25" ht="24" customHeight="1" x14ac:dyDescent="0.5">
      <c r="A606" s="81"/>
      <c r="B606" s="81"/>
      <c r="C606" s="81"/>
      <c r="D606" s="81"/>
      <c r="E606" s="81"/>
      <c r="F606" s="81"/>
      <c r="G606" s="81"/>
      <c r="H606" s="81"/>
      <c r="I606" s="436"/>
      <c r="J606" s="289"/>
      <c r="K606" s="436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</row>
    <row r="607" spans="1:25" ht="24" customHeight="1" x14ac:dyDescent="0.5">
      <c r="A607" s="81"/>
      <c r="B607" s="81"/>
      <c r="C607" s="81"/>
      <c r="D607" s="81"/>
      <c r="E607" s="81"/>
      <c r="F607" s="81"/>
      <c r="G607" s="81"/>
      <c r="H607" s="81"/>
      <c r="I607" s="436"/>
      <c r="J607" s="289"/>
      <c r="K607" s="436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</row>
    <row r="608" spans="1:25" ht="24" customHeight="1" x14ac:dyDescent="0.5">
      <c r="A608" s="81"/>
      <c r="B608" s="81"/>
      <c r="C608" s="81"/>
      <c r="D608" s="81"/>
      <c r="E608" s="81"/>
      <c r="F608" s="81"/>
      <c r="G608" s="81"/>
      <c r="H608" s="81"/>
      <c r="I608" s="436"/>
      <c r="J608" s="289"/>
      <c r="K608" s="436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</row>
    <row r="609" spans="1:25" ht="24" customHeight="1" x14ac:dyDescent="0.5">
      <c r="A609" s="81"/>
      <c r="B609" s="81"/>
      <c r="C609" s="81"/>
      <c r="D609" s="81"/>
      <c r="E609" s="81"/>
      <c r="F609" s="81"/>
      <c r="G609" s="81"/>
      <c r="H609" s="81"/>
      <c r="I609" s="436"/>
      <c r="J609" s="289"/>
      <c r="K609" s="436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</row>
    <row r="610" spans="1:25" ht="24" customHeight="1" x14ac:dyDescent="0.5">
      <c r="A610" s="81"/>
      <c r="B610" s="81"/>
      <c r="C610" s="81"/>
      <c r="D610" s="81"/>
      <c r="E610" s="81"/>
      <c r="F610" s="81"/>
      <c r="G610" s="81"/>
      <c r="H610" s="81"/>
      <c r="I610" s="436"/>
      <c r="J610" s="289"/>
      <c r="K610" s="436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</row>
    <row r="611" spans="1:25" ht="24" customHeight="1" x14ac:dyDescent="0.5">
      <c r="A611" s="81"/>
      <c r="B611" s="81"/>
      <c r="C611" s="81"/>
      <c r="D611" s="81"/>
      <c r="E611" s="81"/>
      <c r="F611" s="81"/>
      <c r="G611" s="81"/>
      <c r="H611" s="81"/>
      <c r="I611" s="436"/>
      <c r="J611" s="289"/>
      <c r="K611" s="436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</row>
    <row r="612" spans="1:25" ht="24" customHeight="1" x14ac:dyDescent="0.5">
      <c r="A612" s="81"/>
      <c r="B612" s="81"/>
      <c r="C612" s="81"/>
      <c r="D612" s="81"/>
      <c r="E612" s="81"/>
      <c r="F612" s="81"/>
      <c r="G612" s="81"/>
      <c r="H612" s="81"/>
      <c r="I612" s="436"/>
      <c r="J612" s="289"/>
      <c r="K612" s="436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</row>
    <row r="613" spans="1:25" ht="24" customHeight="1" x14ac:dyDescent="0.5">
      <c r="A613" s="81"/>
      <c r="B613" s="81"/>
      <c r="C613" s="81"/>
      <c r="D613" s="81"/>
      <c r="E613" s="81"/>
      <c r="F613" s="81"/>
      <c r="G613" s="81"/>
      <c r="H613" s="81"/>
      <c r="I613" s="436"/>
      <c r="J613" s="289"/>
      <c r="K613" s="436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</row>
    <row r="614" spans="1:25" ht="24" customHeight="1" x14ac:dyDescent="0.5">
      <c r="A614" s="81"/>
      <c r="B614" s="81"/>
      <c r="C614" s="81"/>
      <c r="D614" s="81"/>
      <c r="E614" s="81"/>
      <c r="F614" s="81"/>
      <c r="G614" s="81"/>
      <c r="H614" s="81"/>
      <c r="I614" s="436"/>
      <c r="J614" s="289"/>
      <c r="K614" s="436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</row>
    <row r="615" spans="1:25" ht="24" customHeight="1" x14ac:dyDescent="0.5">
      <c r="A615" s="81"/>
      <c r="B615" s="81"/>
      <c r="C615" s="81"/>
      <c r="D615" s="81"/>
      <c r="E615" s="81"/>
      <c r="F615" s="81"/>
      <c r="G615" s="81"/>
      <c r="H615" s="81"/>
      <c r="I615" s="436"/>
      <c r="J615" s="289"/>
      <c r="K615" s="436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</row>
    <row r="616" spans="1:25" ht="24" customHeight="1" x14ac:dyDescent="0.5">
      <c r="A616" s="81"/>
      <c r="B616" s="81"/>
      <c r="C616" s="81"/>
      <c r="D616" s="81"/>
      <c r="E616" s="81"/>
      <c r="F616" s="81"/>
      <c r="G616" s="81"/>
      <c r="H616" s="81"/>
      <c r="I616" s="436"/>
      <c r="J616" s="289"/>
      <c r="K616" s="436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</row>
    <row r="617" spans="1:25" ht="24" customHeight="1" x14ac:dyDescent="0.5">
      <c r="A617" s="81"/>
      <c r="B617" s="81"/>
      <c r="C617" s="81"/>
      <c r="D617" s="81"/>
      <c r="E617" s="81"/>
      <c r="F617" s="81"/>
      <c r="G617" s="81"/>
      <c r="H617" s="81"/>
      <c r="I617" s="436"/>
      <c r="J617" s="289"/>
      <c r="K617" s="436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</row>
    <row r="618" spans="1:25" ht="24" customHeight="1" x14ac:dyDescent="0.5">
      <c r="A618" s="81"/>
      <c r="B618" s="81"/>
      <c r="C618" s="81"/>
      <c r="D618" s="81"/>
      <c r="E618" s="81"/>
      <c r="F618" s="81"/>
      <c r="G618" s="81"/>
      <c r="H618" s="81"/>
      <c r="I618" s="436"/>
      <c r="J618" s="289"/>
      <c r="K618" s="436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</row>
    <row r="619" spans="1:25" ht="24" customHeight="1" x14ac:dyDescent="0.5">
      <c r="A619" s="81"/>
      <c r="B619" s="81"/>
      <c r="C619" s="81"/>
      <c r="D619" s="81"/>
      <c r="E619" s="81"/>
      <c r="F619" s="81"/>
      <c r="G619" s="81"/>
      <c r="H619" s="81"/>
      <c r="I619" s="436"/>
      <c r="J619" s="289"/>
      <c r="K619" s="436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</row>
    <row r="620" spans="1:25" ht="24" customHeight="1" x14ac:dyDescent="0.5">
      <c r="A620" s="81"/>
      <c r="B620" s="81"/>
      <c r="C620" s="81"/>
      <c r="D620" s="81"/>
      <c r="E620" s="81"/>
      <c r="F620" s="81"/>
      <c r="G620" s="81"/>
      <c r="H620" s="81"/>
      <c r="I620" s="436"/>
      <c r="J620" s="289"/>
      <c r="K620" s="436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</row>
    <row r="621" spans="1:25" ht="24" customHeight="1" x14ac:dyDescent="0.5">
      <c r="A621" s="81"/>
      <c r="B621" s="81"/>
      <c r="C621" s="81"/>
      <c r="D621" s="81"/>
      <c r="E621" s="81"/>
      <c r="F621" s="81"/>
      <c r="G621" s="81"/>
      <c r="H621" s="81"/>
      <c r="I621" s="436"/>
      <c r="J621" s="289"/>
      <c r="K621" s="436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</row>
    <row r="622" spans="1:25" ht="24" customHeight="1" x14ac:dyDescent="0.5">
      <c r="A622" s="81"/>
      <c r="B622" s="81"/>
      <c r="C622" s="81"/>
      <c r="D622" s="81"/>
      <c r="E622" s="81"/>
      <c r="F622" s="81"/>
      <c r="G622" s="81"/>
      <c r="H622" s="81"/>
      <c r="I622" s="436"/>
      <c r="J622" s="289"/>
      <c r="K622" s="436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</row>
    <row r="623" spans="1:25" ht="24" customHeight="1" x14ac:dyDescent="0.5">
      <c r="A623" s="81"/>
      <c r="B623" s="81"/>
      <c r="C623" s="81"/>
      <c r="D623" s="81"/>
      <c r="E623" s="81"/>
      <c r="F623" s="81"/>
      <c r="G623" s="81"/>
      <c r="H623" s="81"/>
      <c r="I623" s="436"/>
      <c r="J623" s="289"/>
      <c r="K623" s="436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</row>
    <row r="624" spans="1:25" ht="24" customHeight="1" x14ac:dyDescent="0.5">
      <c r="A624" s="81"/>
      <c r="B624" s="81"/>
      <c r="C624" s="81"/>
      <c r="D624" s="81"/>
      <c r="E624" s="81"/>
      <c r="F624" s="81"/>
      <c r="G624" s="81"/>
      <c r="H624" s="81"/>
      <c r="I624" s="436"/>
      <c r="J624" s="289"/>
      <c r="K624" s="436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</row>
    <row r="625" spans="1:25" ht="24" customHeight="1" x14ac:dyDescent="0.5">
      <c r="A625" s="81"/>
      <c r="B625" s="81"/>
      <c r="C625" s="81"/>
      <c r="D625" s="81"/>
      <c r="E625" s="81"/>
      <c r="F625" s="81"/>
      <c r="G625" s="81"/>
      <c r="H625" s="81"/>
      <c r="I625" s="436"/>
      <c r="J625" s="289"/>
      <c r="K625" s="436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</row>
    <row r="626" spans="1:25" ht="24" customHeight="1" x14ac:dyDescent="0.5">
      <c r="A626" s="81"/>
      <c r="B626" s="81"/>
      <c r="C626" s="81"/>
      <c r="D626" s="81"/>
      <c r="E626" s="81"/>
      <c r="F626" s="81"/>
      <c r="G626" s="81"/>
      <c r="H626" s="81"/>
      <c r="I626" s="436"/>
      <c r="J626" s="289"/>
      <c r="K626" s="436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</row>
    <row r="627" spans="1:25" ht="24" customHeight="1" x14ac:dyDescent="0.5">
      <c r="A627" s="81"/>
      <c r="B627" s="81"/>
      <c r="C627" s="81"/>
      <c r="D627" s="81"/>
      <c r="E627" s="81"/>
      <c r="F627" s="81"/>
      <c r="G627" s="81"/>
      <c r="H627" s="81"/>
      <c r="I627" s="436"/>
      <c r="J627" s="289"/>
      <c r="K627" s="436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</row>
    <row r="628" spans="1:25" ht="24" customHeight="1" x14ac:dyDescent="0.5">
      <c r="A628" s="81"/>
      <c r="B628" s="81"/>
      <c r="C628" s="81"/>
      <c r="D628" s="81"/>
      <c r="E628" s="81"/>
      <c r="F628" s="81"/>
      <c r="G628" s="81"/>
      <c r="H628" s="81"/>
      <c r="I628" s="436"/>
      <c r="J628" s="289"/>
      <c r="K628" s="436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</row>
    <row r="629" spans="1:25" ht="24" customHeight="1" x14ac:dyDescent="0.5">
      <c r="A629" s="81"/>
      <c r="B629" s="81"/>
      <c r="C629" s="81"/>
      <c r="D629" s="81"/>
      <c r="E629" s="81"/>
      <c r="F629" s="81"/>
      <c r="G629" s="81"/>
      <c r="H629" s="81"/>
      <c r="I629" s="436"/>
      <c r="J629" s="289"/>
      <c r="K629" s="436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</row>
    <row r="630" spans="1:25" ht="24" customHeight="1" x14ac:dyDescent="0.5">
      <c r="A630" s="81"/>
      <c r="B630" s="81"/>
      <c r="C630" s="81"/>
      <c r="D630" s="81"/>
      <c r="E630" s="81"/>
      <c r="F630" s="81"/>
      <c r="G630" s="81"/>
      <c r="H630" s="81"/>
      <c r="I630" s="436"/>
      <c r="J630" s="289"/>
      <c r="K630" s="436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</row>
    <row r="631" spans="1:25" ht="24" customHeight="1" x14ac:dyDescent="0.5">
      <c r="A631" s="81"/>
      <c r="B631" s="81"/>
      <c r="C631" s="81"/>
      <c r="D631" s="81"/>
      <c r="E631" s="81"/>
      <c r="F631" s="81"/>
      <c r="G631" s="81"/>
      <c r="H631" s="81"/>
      <c r="I631" s="436"/>
      <c r="J631" s="289"/>
      <c r="K631" s="436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</row>
    <row r="632" spans="1:25" ht="24" customHeight="1" x14ac:dyDescent="0.5">
      <c r="A632" s="81"/>
      <c r="B632" s="81"/>
      <c r="C632" s="81"/>
      <c r="D632" s="81"/>
      <c r="E632" s="81"/>
      <c r="F632" s="81"/>
      <c r="G632" s="81"/>
      <c r="H632" s="81"/>
      <c r="I632" s="436"/>
      <c r="J632" s="289"/>
      <c r="K632" s="436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</row>
    <row r="633" spans="1:25" ht="24" customHeight="1" x14ac:dyDescent="0.5">
      <c r="A633" s="81"/>
      <c r="B633" s="81"/>
      <c r="C633" s="81"/>
      <c r="D633" s="81"/>
      <c r="E633" s="81"/>
      <c r="F633" s="81"/>
      <c r="G633" s="81"/>
      <c r="H633" s="81"/>
      <c r="I633" s="436"/>
      <c r="J633" s="289"/>
      <c r="K633" s="436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</row>
    <row r="634" spans="1:25" ht="24" customHeight="1" x14ac:dyDescent="0.5">
      <c r="A634" s="81"/>
      <c r="B634" s="81"/>
      <c r="C634" s="81"/>
      <c r="D634" s="81"/>
      <c r="E634" s="81"/>
      <c r="F634" s="81"/>
      <c r="G634" s="81"/>
      <c r="H634" s="81"/>
      <c r="I634" s="436"/>
      <c r="J634" s="289"/>
      <c r="K634" s="436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</row>
    <row r="635" spans="1:25" ht="24" customHeight="1" x14ac:dyDescent="0.5">
      <c r="A635" s="81"/>
      <c r="B635" s="81"/>
      <c r="C635" s="81"/>
      <c r="D635" s="81"/>
      <c r="E635" s="81"/>
      <c r="F635" s="81"/>
      <c r="G635" s="81"/>
      <c r="H635" s="81"/>
      <c r="I635" s="436"/>
      <c r="J635" s="289"/>
      <c r="K635" s="436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</row>
    <row r="636" spans="1:25" ht="24" customHeight="1" x14ac:dyDescent="0.5">
      <c r="A636" s="81"/>
      <c r="B636" s="81"/>
      <c r="C636" s="81"/>
      <c r="D636" s="81"/>
      <c r="E636" s="81"/>
      <c r="F636" s="81"/>
      <c r="G636" s="81"/>
      <c r="H636" s="81"/>
      <c r="I636" s="436"/>
      <c r="J636" s="289"/>
      <c r="K636" s="436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</row>
    <row r="637" spans="1:25" ht="24" customHeight="1" x14ac:dyDescent="0.5">
      <c r="A637" s="81"/>
      <c r="B637" s="81"/>
      <c r="C637" s="81"/>
      <c r="D637" s="81"/>
      <c r="E637" s="81"/>
      <c r="F637" s="81"/>
      <c r="G637" s="81"/>
      <c r="H637" s="81"/>
      <c r="I637" s="436"/>
      <c r="J637" s="289"/>
      <c r="K637" s="436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</row>
    <row r="638" spans="1:25" ht="24" customHeight="1" x14ac:dyDescent="0.5">
      <c r="A638" s="81"/>
      <c r="B638" s="81"/>
      <c r="C638" s="81"/>
      <c r="D638" s="81"/>
      <c r="E638" s="81"/>
      <c r="F638" s="81"/>
      <c r="G638" s="81"/>
      <c r="H638" s="81"/>
      <c r="I638" s="436"/>
      <c r="J638" s="289"/>
      <c r="K638" s="436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</row>
    <row r="639" spans="1:25" ht="24" customHeight="1" x14ac:dyDescent="0.5">
      <c r="A639" s="81"/>
      <c r="B639" s="81"/>
      <c r="C639" s="81"/>
      <c r="D639" s="81"/>
      <c r="E639" s="81"/>
      <c r="F639" s="81"/>
      <c r="G639" s="81"/>
      <c r="H639" s="81"/>
      <c r="I639" s="436"/>
      <c r="J639" s="289"/>
      <c r="K639" s="436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</row>
    <row r="640" spans="1:25" ht="24" customHeight="1" x14ac:dyDescent="0.5">
      <c r="A640" s="81"/>
      <c r="B640" s="81"/>
      <c r="C640" s="81"/>
      <c r="D640" s="81"/>
      <c r="E640" s="81"/>
      <c r="F640" s="81"/>
      <c r="G640" s="81"/>
      <c r="H640" s="81"/>
      <c r="I640" s="436"/>
      <c r="J640" s="289"/>
      <c r="K640" s="436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</row>
    <row r="641" spans="1:25" ht="24" customHeight="1" x14ac:dyDescent="0.5">
      <c r="A641" s="81"/>
      <c r="B641" s="81"/>
      <c r="C641" s="81"/>
      <c r="D641" s="81"/>
      <c r="E641" s="81"/>
      <c r="F641" s="81"/>
      <c r="G641" s="81"/>
      <c r="H641" s="81"/>
      <c r="I641" s="436"/>
      <c r="J641" s="289"/>
      <c r="K641" s="436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</row>
    <row r="642" spans="1:25" ht="24" customHeight="1" x14ac:dyDescent="0.5">
      <c r="A642" s="81"/>
      <c r="B642" s="81"/>
      <c r="C642" s="81"/>
      <c r="D642" s="81"/>
      <c r="E642" s="81"/>
      <c r="F642" s="81"/>
      <c r="G642" s="81"/>
      <c r="H642" s="81"/>
      <c r="I642" s="436"/>
      <c r="J642" s="289"/>
      <c r="K642" s="436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</row>
    <row r="643" spans="1:25" ht="24" customHeight="1" x14ac:dyDescent="0.5">
      <c r="A643" s="81"/>
      <c r="B643" s="81"/>
      <c r="C643" s="81"/>
      <c r="D643" s="81"/>
      <c r="E643" s="81"/>
      <c r="F643" s="81"/>
      <c r="G643" s="81"/>
      <c r="H643" s="81"/>
      <c r="I643" s="436"/>
      <c r="J643" s="289"/>
      <c r="K643" s="436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</row>
    <row r="644" spans="1:25" ht="24" customHeight="1" x14ac:dyDescent="0.5">
      <c r="A644" s="81"/>
      <c r="B644" s="81"/>
      <c r="C644" s="81"/>
      <c r="D644" s="81"/>
      <c r="E644" s="81"/>
      <c r="F644" s="81"/>
      <c r="G644" s="81"/>
      <c r="H644" s="81"/>
      <c r="I644" s="436"/>
      <c r="J644" s="289"/>
      <c r="K644" s="436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</row>
    <row r="645" spans="1:25" ht="24" customHeight="1" x14ac:dyDescent="0.5">
      <c r="A645" s="81"/>
      <c r="B645" s="81"/>
      <c r="C645" s="81"/>
      <c r="D645" s="81"/>
      <c r="E645" s="81"/>
      <c r="F645" s="81"/>
      <c r="G645" s="81"/>
      <c r="H645" s="81"/>
      <c r="I645" s="436"/>
      <c r="J645" s="289"/>
      <c r="K645" s="436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</row>
    <row r="646" spans="1:25" ht="24" customHeight="1" x14ac:dyDescent="0.5">
      <c r="A646" s="81"/>
      <c r="B646" s="81"/>
      <c r="C646" s="81"/>
      <c r="D646" s="81"/>
      <c r="E646" s="81"/>
      <c r="F646" s="81"/>
      <c r="G646" s="81"/>
      <c r="H646" s="81"/>
      <c r="I646" s="436"/>
      <c r="J646" s="289"/>
      <c r="K646" s="436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</row>
    <row r="647" spans="1:25" ht="24" customHeight="1" x14ac:dyDescent="0.5">
      <c r="A647" s="81"/>
      <c r="B647" s="81"/>
      <c r="C647" s="81"/>
      <c r="D647" s="81"/>
      <c r="E647" s="81"/>
      <c r="F647" s="81"/>
      <c r="G647" s="81"/>
      <c r="H647" s="81"/>
      <c r="I647" s="436"/>
      <c r="J647" s="289"/>
      <c r="K647" s="436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</row>
    <row r="648" spans="1:25" ht="24" customHeight="1" x14ac:dyDescent="0.5">
      <c r="A648" s="81"/>
      <c r="B648" s="81"/>
      <c r="C648" s="81"/>
      <c r="D648" s="81"/>
      <c r="E648" s="81"/>
      <c r="F648" s="81"/>
      <c r="G648" s="81"/>
      <c r="H648" s="81"/>
      <c r="I648" s="436"/>
      <c r="J648" s="289"/>
      <c r="K648" s="436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</row>
    <row r="649" spans="1:25" ht="24" customHeight="1" x14ac:dyDescent="0.5">
      <c r="A649" s="81"/>
      <c r="B649" s="81"/>
      <c r="C649" s="81"/>
      <c r="D649" s="81"/>
      <c r="E649" s="81"/>
      <c r="F649" s="81"/>
      <c r="G649" s="81"/>
      <c r="H649" s="81"/>
      <c r="I649" s="436"/>
      <c r="J649" s="289"/>
      <c r="K649" s="436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</row>
    <row r="650" spans="1:25" ht="24" customHeight="1" x14ac:dyDescent="0.5">
      <c r="A650" s="81"/>
      <c r="B650" s="81"/>
      <c r="C650" s="81"/>
      <c r="D650" s="81"/>
      <c r="E650" s="81"/>
      <c r="F650" s="81"/>
      <c r="G650" s="81"/>
      <c r="H650" s="81"/>
      <c r="I650" s="436"/>
      <c r="J650" s="289"/>
      <c r="K650" s="436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</row>
    <row r="651" spans="1:25" ht="24" customHeight="1" x14ac:dyDescent="0.5">
      <c r="A651" s="81"/>
      <c r="B651" s="81"/>
      <c r="C651" s="81"/>
      <c r="D651" s="81"/>
      <c r="E651" s="81"/>
      <c r="F651" s="81"/>
      <c r="G651" s="81"/>
      <c r="H651" s="81"/>
      <c r="I651" s="436"/>
      <c r="J651" s="289"/>
      <c r="K651" s="436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</row>
    <row r="652" spans="1:25" ht="24" customHeight="1" x14ac:dyDescent="0.5">
      <c r="A652" s="81"/>
      <c r="B652" s="81"/>
      <c r="C652" s="81"/>
      <c r="D652" s="81"/>
      <c r="E652" s="81"/>
      <c r="F652" s="81"/>
      <c r="G652" s="81"/>
      <c r="H652" s="81"/>
      <c r="I652" s="436"/>
      <c r="J652" s="289"/>
      <c r="K652" s="436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</row>
    <row r="653" spans="1:25" ht="24" customHeight="1" x14ac:dyDescent="0.5">
      <c r="A653" s="81"/>
      <c r="B653" s="81"/>
      <c r="C653" s="81"/>
      <c r="D653" s="81"/>
      <c r="E653" s="81"/>
      <c r="F653" s="81"/>
      <c r="G653" s="81"/>
      <c r="H653" s="81"/>
      <c r="I653" s="436"/>
      <c r="J653" s="289"/>
      <c r="K653" s="436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</row>
    <row r="654" spans="1:25" ht="24" customHeight="1" x14ac:dyDescent="0.5">
      <c r="A654" s="81"/>
      <c r="B654" s="81"/>
      <c r="C654" s="81"/>
      <c r="D654" s="81"/>
      <c r="E654" s="81"/>
      <c r="F654" s="81"/>
      <c r="G654" s="81"/>
      <c r="H654" s="81"/>
      <c r="I654" s="436"/>
      <c r="J654" s="289"/>
      <c r="K654" s="436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</row>
    <row r="655" spans="1:25" ht="24" customHeight="1" x14ac:dyDescent="0.5">
      <c r="A655" s="81"/>
      <c r="B655" s="81"/>
      <c r="C655" s="81"/>
      <c r="D655" s="81"/>
      <c r="E655" s="81"/>
      <c r="F655" s="81"/>
      <c r="G655" s="81"/>
      <c r="H655" s="81"/>
      <c r="I655" s="436"/>
      <c r="J655" s="289"/>
      <c r="K655" s="436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</row>
    <row r="656" spans="1:25" ht="24" customHeight="1" x14ac:dyDescent="0.5">
      <c r="A656" s="81"/>
      <c r="B656" s="81"/>
      <c r="C656" s="81"/>
      <c r="D656" s="81"/>
      <c r="E656" s="81"/>
      <c r="F656" s="81"/>
      <c r="G656" s="81"/>
      <c r="H656" s="81"/>
      <c r="I656" s="436"/>
      <c r="J656" s="289"/>
      <c r="K656" s="436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</row>
    <row r="657" spans="1:25" ht="24" customHeight="1" x14ac:dyDescent="0.5">
      <c r="A657" s="81"/>
      <c r="B657" s="81"/>
      <c r="C657" s="81"/>
      <c r="D657" s="81"/>
      <c r="E657" s="81"/>
      <c r="F657" s="81"/>
      <c r="G657" s="81"/>
      <c r="H657" s="81"/>
      <c r="I657" s="436"/>
      <c r="J657" s="289"/>
      <c r="K657" s="436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</row>
    <row r="658" spans="1:25" ht="24" customHeight="1" x14ac:dyDescent="0.5">
      <c r="A658" s="81"/>
      <c r="B658" s="81"/>
      <c r="C658" s="81"/>
      <c r="D658" s="81"/>
      <c r="E658" s="81"/>
      <c r="F658" s="81"/>
      <c r="G658" s="81"/>
      <c r="H658" s="81"/>
      <c r="I658" s="436"/>
      <c r="J658" s="289"/>
      <c r="K658" s="436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</row>
    <row r="659" spans="1:25" ht="24" customHeight="1" x14ac:dyDescent="0.5">
      <c r="A659" s="81"/>
      <c r="B659" s="81"/>
      <c r="C659" s="81"/>
      <c r="D659" s="81"/>
      <c r="E659" s="81"/>
      <c r="F659" s="81"/>
      <c r="G659" s="81"/>
      <c r="H659" s="81"/>
      <c r="I659" s="436"/>
      <c r="J659" s="289"/>
      <c r="K659" s="436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</row>
    <row r="660" spans="1:25" ht="24" customHeight="1" x14ac:dyDescent="0.5">
      <c r="A660" s="81"/>
      <c r="B660" s="81"/>
      <c r="C660" s="81"/>
      <c r="D660" s="81"/>
      <c r="E660" s="81"/>
      <c r="F660" s="81"/>
      <c r="G660" s="81"/>
      <c r="H660" s="81"/>
      <c r="I660" s="436"/>
      <c r="J660" s="289"/>
      <c r="K660" s="436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</row>
    <row r="661" spans="1:25" ht="24" customHeight="1" x14ac:dyDescent="0.5">
      <c r="A661" s="81"/>
      <c r="B661" s="81"/>
      <c r="C661" s="81"/>
      <c r="D661" s="81"/>
      <c r="E661" s="81"/>
      <c r="F661" s="81"/>
      <c r="G661" s="81"/>
      <c r="H661" s="81"/>
      <c r="I661" s="436"/>
      <c r="J661" s="289"/>
      <c r="K661" s="436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</row>
    <row r="662" spans="1:25" ht="24" customHeight="1" x14ac:dyDescent="0.5">
      <c r="A662" s="81"/>
      <c r="B662" s="81"/>
      <c r="C662" s="81"/>
      <c r="D662" s="81"/>
      <c r="E662" s="81"/>
      <c r="F662" s="81"/>
      <c r="G662" s="81"/>
      <c r="H662" s="81"/>
      <c r="I662" s="436"/>
      <c r="J662" s="289"/>
      <c r="K662" s="436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</row>
    <row r="663" spans="1:25" ht="24" customHeight="1" x14ac:dyDescent="0.5">
      <c r="A663" s="81"/>
      <c r="B663" s="81"/>
      <c r="C663" s="81"/>
      <c r="D663" s="81"/>
      <c r="E663" s="81"/>
      <c r="F663" s="81"/>
      <c r="G663" s="81"/>
      <c r="H663" s="81"/>
      <c r="I663" s="436"/>
      <c r="J663" s="289"/>
      <c r="K663" s="436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</row>
    <row r="664" spans="1:25" ht="24" customHeight="1" x14ac:dyDescent="0.5">
      <c r="A664" s="81"/>
      <c r="B664" s="81"/>
      <c r="C664" s="81"/>
      <c r="D664" s="81"/>
      <c r="E664" s="81"/>
      <c r="F664" s="81"/>
      <c r="G664" s="81"/>
      <c r="H664" s="81"/>
      <c r="I664" s="436"/>
      <c r="J664" s="289"/>
      <c r="K664" s="436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</row>
    <row r="665" spans="1:25" ht="24" customHeight="1" x14ac:dyDescent="0.5">
      <c r="A665" s="81"/>
      <c r="B665" s="81"/>
      <c r="C665" s="81"/>
      <c r="D665" s="81"/>
      <c r="E665" s="81"/>
      <c r="F665" s="81"/>
      <c r="G665" s="81"/>
      <c r="H665" s="81"/>
      <c r="I665" s="436"/>
      <c r="J665" s="289"/>
      <c r="K665" s="436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</row>
    <row r="666" spans="1:25" ht="24" customHeight="1" x14ac:dyDescent="0.5">
      <c r="A666" s="81"/>
      <c r="B666" s="81"/>
      <c r="C666" s="81"/>
      <c r="D666" s="81"/>
      <c r="E666" s="81"/>
      <c r="F666" s="81"/>
      <c r="G666" s="81"/>
      <c r="H666" s="81"/>
      <c r="I666" s="436"/>
      <c r="J666" s="289"/>
      <c r="K666" s="436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</row>
    <row r="667" spans="1:25" ht="24" customHeight="1" x14ac:dyDescent="0.5">
      <c r="A667" s="81"/>
      <c r="B667" s="81"/>
      <c r="C667" s="81"/>
      <c r="D667" s="81"/>
      <c r="E667" s="81"/>
      <c r="F667" s="81"/>
      <c r="G667" s="81"/>
      <c r="H667" s="81"/>
      <c r="I667" s="436"/>
      <c r="J667" s="289"/>
      <c r="K667" s="436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</row>
    <row r="668" spans="1:25" ht="24" customHeight="1" x14ac:dyDescent="0.5">
      <c r="A668" s="81"/>
      <c r="B668" s="81"/>
      <c r="C668" s="81"/>
      <c r="D668" s="81"/>
      <c r="E668" s="81"/>
      <c r="F668" s="81"/>
      <c r="G668" s="81"/>
      <c r="H668" s="81"/>
      <c r="I668" s="436"/>
      <c r="J668" s="289"/>
      <c r="K668" s="436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</row>
    <row r="669" spans="1:25" ht="24" customHeight="1" x14ac:dyDescent="0.5">
      <c r="A669" s="81"/>
      <c r="B669" s="81"/>
      <c r="C669" s="81"/>
      <c r="D669" s="81"/>
      <c r="E669" s="81"/>
      <c r="F669" s="81"/>
      <c r="G669" s="81"/>
      <c r="H669" s="81"/>
      <c r="I669" s="436"/>
      <c r="J669" s="289"/>
      <c r="K669" s="436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</row>
    <row r="670" spans="1:25" ht="24" customHeight="1" x14ac:dyDescent="0.5">
      <c r="A670" s="81"/>
      <c r="B670" s="81"/>
      <c r="C670" s="81"/>
      <c r="D670" s="81"/>
      <c r="E670" s="81"/>
      <c r="F670" s="81"/>
      <c r="G670" s="81"/>
      <c r="H670" s="81"/>
      <c r="I670" s="436"/>
      <c r="J670" s="289"/>
      <c r="K670" s="436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</row>
    <row r="671" spans="1:25" ht="24" customHeight="1" x14ac:dyDescent="0.5">
      <c r="A671" s="81"/>
      <c r="B671" s="81"/>
      <c r="C671" s="81"/>
      <c r="D671" s="81"/>
      <c r="E671" s="81"/>
      <c r="F671" s="81"/>
      <c r="G671" s="81"/>
      <c r="H671" s="81"/>
      <c r="I671" s="436"/>
      <c r="J671" s="289"/>
      <c r="K671" s="436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</row>
    <row r="672" spans="1:25" ht="24" customHeight="1" x14ac:dyDescent="0.5">
      <c r="A672" s="81"/>
      <c r="B672" s="81"/>
      <c r="C672" s="81"/>
      <c r="D672" s="81"/>
      <c r="E672" s="81"/>
      <c r="F672" s="81"/>
      <c r="G672" s="81"/>
      <c r="H672" s="81"/>
      <c r="I672" s="436"/>
      <c r="J672" s="289"/>
      <c r="K672" s="436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</row>
    <row r="673" spans="1:25" ht="24" customHeight="1" x14ac:dyDescent="0.5">
      <c r="A673" s="81"/>
      <c r="B673" s="81"/>
      <c r="C673" s="81"/>
      <c r="D673" s="81"/>
      <c r="E673" s="81"/>
      <c r="F673" s="81"/>
      <c r="G673" s="81"/>
      <c r="H673" s="81"/>
      <c r="I673" s="436"/>
      <c r="J673" s="289"/>
      <c r="K673" s="436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</row>
    <row r="674" spans="1:25" ht="24" customHeight="1" x14ac:dyDescent="0.5">
      <c r="A674" s="81"/>
      <c r="B674" s="81"/>
      <c r="C674" s="81"/>
      <c r="D674" s="81"/>
      <c r="E674" s="81"/>
      <c r="F674" s="81"/>
      <c r="G674" s="81"/>
      <c r="H674" s="81"/>
      <c r="I674" s="436"/>
      <c r="J674" s="289"/>
      <c r="K674" s="436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</row>
    <row r="675" spans="1:25" ht="24" customHeight="1" x14ac:dyDescent="0.5">
      <c r="A675" s="81"/>
      <c r="B675" s="81"/>
      <c r="C675" s="81"/>
      <c r="D675" s="81"/>
      <c r="E675" s="81"/>
      <c r="F675" s="81"/>
      <c r="G675" s="81"/>
      <c r="H675" s="81"/>
      <c r="I675" s="436"/>
      <c r="J675" s="289"/>
      <c r="K675" s="436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</row>
    <row r="676" spans="1:25" ht="24" customHeight="1" x14ac:dyDescent="0.5">
      <c r="A676" s="81"/>
      <c r="B676" s="81"/>
      <c r="C676" s="81"/>
      <c r="D676" s="81"/>
      <c r="E676" s="81"/>
      <c r="F676" s="81"/>
      <c r="G676" s="81"/>
      <c r="H676" s="81"/>
      <c r="I676" s="436"/>
      <c r="J676" s="289"/>
      <c r="K676" s="436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</row>
    <row r="677" spans="1:25" ht="24" customHeight="1" x14ac:dyDescent="0.5">
      <c r="A677" s="81"/>
      <c r="B677" s="81"/>
      <c r="C677" s="81"/>
      <c r="D677" s="81"/>
      <c r="E677" s="81"/>
      <c r="F677" s="81"/>
      <c r="G677" s="81"/>
      <c r="H677" s="81"/>
      <c r="I677" s="436"/>
      <c r="J677" s="289"/>
      <c r="K677" s="436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</row>
    <row r="678" spans="1:25" ht="24" customHeight="1" x14ac:dyDescent="0.5">
      <c r="A678" s="81"/>
      <c r="B678" s="81"/>
      <c r="C678" s="81"/>
      <c r="D678" s="81"/>
      <c r="E678" s="81"/>
      <c r="F678" s="81"/>
      <c r="G678" s="81"/>
      <c r="H678" s="81"/>
      <c r="I678" s="436"/>
      <c r="J678" s="289"/>
      <c r="K678" s="436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</row>
    <row r="679" spans="1:25" ht="24" customHeight="1" x14ac:dyDescent="0.5">
      <c r="A679" s="81"/>
      <c r="B679" s="81"/>
      <c r="C679" s="81"/>
      <c r="D679" s="81"/>
      <c r="E679" s="81"/>
      <c r="F679" s="81"/>
      <c r="G679" s="81"/>
      <c r="H679" s="81"/>
      <c r="I679" s="436"/>
      <c r="J679" s="289"/>
      <c r="K679" s="436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</row>
    <row r="680" spans="1:25" ht="24" customHeight="1" x14ac:dyDescent="0.5">
      <c r="A680" s="81"/>
      <c r="B680" s="81"/>
      <c r="C680" s="81"/>
      <c r="D680" s="81"/>
      <c r="E680" s="81"/>
      <c r="F680" s="81"/>
      <c r="G680" s="81"/>
      <c r="H680" s="81"/>
      <c r="I680" s="436"/>
      <c r="J680" s="289"/>
      <c r="K680" s="436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</row>
    <row r="681" spans="1:25" ht="24" customHeight="1" x14ac:dyDescent="0.5">
      <c r="A681" s="81"/>
      <c r="B681" s="81"/>
      <c r="C681" s="81"/>
      <c r="D681" s="81"/>
      <c r="E681" s="81"/>
      <c r="F681" s="81"/>
      <c r="G681" s="81"/>
      <c r="H681" s="81"/>
      <c r="I681" s="436"/>
      <c r="J681" s="289"/>
      <c r="K681" s="436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</row>
    <row r="682" spans="1:25" ht="24" customHeight="1" x14ac:dyDescent="0.5">
      <c r="A682" s="81"/>
      <c r="B682" s="81"/>
      <c r="C682" s="81"/>
      <c r="D682" s="81"/>
      <c r="E682" s="81"/>
      <c r="F682" s="81"/>
      <c r="G682" s="81"/>
      <c r="H682" s="81"/>
      <c r="I682" s="436"/>
      <c r="J682" s="289"/>
      <c r="K682" s="436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</row>
    <row r="683" spans="1:25" ht="24" customHeight="1" x14ac:dyDescent="0.5">
      <c r="A683" s="81"/>
      <c r="B683" s="81"/>
      <c r="C683" s="81"/>
      <c r="D683" s="81"/>
      <c r="E683" s="81"/>
      <c r="F683" s="81"/>
      <c r="G683" s="81"/>
      <c r="H683" s="81"/>
      <c r="I683" s="436"/>
      <c r="J683" s="289"/>
      <c r="K683" s="436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</row>
    <row r="684" spans="1:25" ht="24" customHeight="1" x14ac:dyDescent="0.5">
      <c r="A684" s="81"/>
      <c r="B684" s="81"/>
      <c r="C684" s="81"/>
      <c r="D684" s="81"/>
      <c r="E684" s="81"/>
      <c r="F684" s="81"/>
      <c r="G684" s="81"/>
      <c r="H684" s="81"/>
      <c r="I684" s="436"/>
      <c r="J684" s="289"/>
      <c r="K684" s="436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</row>
    <row r="685" spans="1:25" ht="24" customHeight="1" x14ac:dyDescent="0.5">
      <c r="A685" s="81"/>
      <c r="B685" s="81"/>
      <c r="C685" s="81"/>
      <c r="D685" s="81"/>
      <c r="E685" s="81"/>
      <c r="F685" s="81"/>
      <c r="G685" s="81"/>
      <c r="H685" s="81"/>
      <c r="I685" s="436"/>
      <c r="J685" s="289"/>
      <c r="K685" s="436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</row>
    <row r="686" spans="1:25" ht="24" customHeight="1" x14ac:dyDescent="0.5">
      <c r="A686" s="81"/>
      <c r="B686" s="81"/>
      <c r="C686" s="81"/>
      <c r="D686" s="81"/>
      <c r="E686" s="81"/>
      <c r="F686" s="81"/>
      <c r="G686" s="81"/>
      <c r="H686" s="81"/>
      <c r="I686" s="436"/>
      <c r="J686" s="289"/>
      <c r="K686" s="436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</row>
    <row r="687" spans="1:25" ht="24" customHeight="1" x14ac:dyDescent="0.5">
      <c r="A687" s="81"/>
      <c r="B687" s="81"/>
      <c r="C687" s="81"/>
      <c r="D687" s="81"/>
      <c r="E687" s="81"/>
      <c r="F687" s="81"/>
      <c r="G687" s="81"/>
      <c r="H687" s="81"/>
      <c r="I687" s="436"/>
      <c r="J687" s="289"/>
      <c r="K687" s="436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</row>
    <row r="688" spans="1:25" ht="24" customHeight="1" x14ac:dyDescent="0.5">
      <c r="A688" s="81"/>
      <c r="B688" s="81"/>
      <c r="C688" s="81"/>
      <c r="D688" s="81"/>
      <c r="E688" s="81"/>
      <c r="F688" s="81"/>
      <c r="G688" s="81"/>
      <c r="H688" s="81"/>
      <c r="I688" s="436"/>
      <c r="J688" s="289"/>
      <c r="K688" s="436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</row>
    <row r="689" spans="1:25" ht="24" customHeight="1" x14ac:dyDescent="0.5">
      <c r="A689" s="81"/>
      <c r="B689" s="81"/>
      <c r="C689" s="81"/>
      <c r="D689" s="81"/>
      <c r="E689" s="81"/>
      <c r="F689" s="81"/>
      <c r="G689" s="81"/>
      <c r="H689" s="81"/>
      <c r="I689" s="436"/>
      <c r="J689" s="289"/>
      <c r="K689" s="436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</row>
    <row r="690" spans="1:25" ht="24" customHeight="1" x14ac:dyDescent="0.5">
      <c r="A690" s="81"/>
      <c r="B690" s="81"/>
      <c r="C690" s="81"/>
      <c r="D690" s="81"/>
      <c r="E690" s="81"/>
      <c r="F690" s="81"/>
      <c r="G690" s="81"/>
      <c r="H690" s="81"/>
      <c r="I690" s="436"/>
      <c r="J690" s="289"/>
      <c r="K690" s="436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</row>
    <row r="691" spans="1:25" ht="24" customHeight="1" x14ac:dyDescent="0.5">
      <c r="A691" s="81"/>
      <c r="B691" s="81"/>
      <c r="C691" s="81"/>
      <c r="D691" s="81"/>
      <c r="E691" s="81"/>
      <c r="F691" s="81"/>
      <c r="G691" s="81"/>
      <c r="H691" s="81"/>
      <c r="I691" s="436"/>
      <c r="J691" s="289"/>
      <c r="K691" s="436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</row>
    <row r="692" spans="1:25" ht="24" customHeight="1" x14ac:dyDescent="0.5">
      <c r="A692" s="81"/>
      <c r="B692" s="81"/>
      <c r="C692" s="81"/>
      <c r="D692" s="81"/>
      <c r="E692" s="81"/>
      <c r="F692" s="81"/>
      <c r="G692" s="81"/>
      <c r="H692" s="81"/>
      <c r="I692" s="436"/>
      <c r="J692" s="289"/>
      <c r="K692" s="436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</row>
    <row r="693" spans="1:25" ht="24" customHeight="1" x14ac:dyDescent="0.5">
      <c r="A693" s="81"/>
      <c r="B693" s="81"/>
      <c r="C693" s="81"/>
      <c r="D693" s="81"/>
      <c r="E693" s="81"/>
      <c r="F693" s="81"/>
      <c r="G693" s="81"/>
      <c r="H693" s="81"/>
      <c r="I693" s="436"/>
      <c r="J693" s="289"/>
      <c r="K693" s="436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</row>
    <row r="694" spans="1:25" ht="24" customHeight="1" x14ac:dyDescent="0.5">
      <c r="A694" s="81"/>
      <c r="B694" s="81"/>
      <c r="C694" s="81"/>
      <c r="D694" s="81"/>
      <c r="E694" s="81"/>
      <c r="F694" s="81"/>
      <c r="G694" s="81"/>
      <c r="H694" s="81"/>
      <c r="I694" s="436"/>
      <c r="J694" s="289"/>
      <c r="K694" s="436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</row>
    <row r="695" spans="1:25" ht="24" customHeight="1" x14ac:dyDescent="0.5">
      <c r="A695" s="81"/>
      <c r="B695" s="81"/>
      <c r="C695" s="81"/>
      <c r="D695" s="81"/>
      <c r="E695" s="81"/>
      <c r="F695" s="81"/>
      <c r="G695" s="81"/>
      <c r="H695" s="81"/>
      <c r="I695" s="436"/>
      <c r="J695" s="289"/>
      <c r="K695" s="436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</row>
    <row r="696" spans="1:25" ht="24" customHeight="1" x14ac:dyDescent="0.5">
      <c r="A696" s="81"/>
      <c r="B696" s="81"/>
      <c r="C696" s="81"/>
      <c r="D696" s="81"/>
      <c r="E696" s="81"/>
      <c r="F696" s="81"/>
      <c r="G696" s="81"/>
      <c r="H696" s="81"/>
      <c r="I696" s="436"/>
      <c r="J696" s="289"/>
      <c r="K696" s="436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</row>
    <row r="697" spans="1:25" ht="24" customHeight="1" x14ac:dyDescent="0.5">
      <c r="A697" s="81"/>
      <c r="B697" s="81"/>
      <c r="C697" s="81"/>
      <c r="D697" s="81"/>
      <c r="E697" s="81"/>
      <c r="F697" s="81"/>
      <c r="G697" s="81"/>
      <c r="H697" s="81"/>
      <c r="I697" s="436"/>
      <c r="J697" s="289"/>
      <c r="K697" s="436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</row>
    <row r="698" spans="1:25" ht="24" customHeight="1" x14ac:dyDescent="0.5">
      <c r="A698" s="81"/>
      <c r="B698" s="81"/>
      <c r="C698" s="81"/>
      <c r="D698" s="81"/>
      <c r="E698" s="81"/>
      <c r="F698" s="81"/>
      <c r="G698" s="81"/>
      <c r="H698" s="81"/>
      <c r="I698" s="436"/>
      <c r="J698" s="289"/>
      <c r="K698" s="436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</row>
    <row r="699" spans="1:25" ht="24" customHeight="1" x14ac:dyDescent="0.5">
      <c r="A699" s="81"/>
      <c r="B699" s="81"/>
      <c r="C699" s="81"/>
      <c r="D699" s="81"/>
      <c r="E699" s="81"/>
      <c r="F699" s="81"/>
      <c r="G699" s="81"/>
      <c r="H699" s="81"/>
      <c r="I699" s="436"/>
      <c r="J699" s="289"/>
      <c r="K699" s="436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</row>
    <row r="700" spans="1:25" ht="24" customHeight="1" x14ac:dyDescent="0.5">
      <c r="A700" s="81"/>
      <c r="B700" s="81"/>
      <c r="C700" s="81"/>
      <c r="D700" s="81"/>
      <c r="E700" s="81"/>
      <c r="F700" s="81"/>
      <c r="G700" s="81"/>
      <c r="H700" s="81"/>
      <c r="I700" s="436"/>
      <c r="J700" s="289"/>
      <c r="K700" s="436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</row>
    <row r="701" spans="1:25" ht="24" customHeight="1" x14ac:dyDescent="0.5">
      <c r="A701" s="81"/>
      <c r="B701" s="81"/>
      <c r="C701" s="81"/>
      <c r="D701" s="81"/>
      <c r="E701" s="81"/>
      <c r="F701" s="81"/>
      <c r="G701" s="81"/>
      <c r="H701" s="81"/>
      <c r="I701" s="436"/>
      <c r="J701" s="289"/>
      <c r="K701" s="436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</row>
    <row r="702" spans="1:25" ht="24" customHeight="1" x14ac:dyDescent="0.5">
      <c r="A702" s="81"/>
      <c r="B702" s="81"/>
      <c r="C702" s="81"/>
      <c r="D702" s="81"/>
      <c r="E702" s="81"/>
      <c r="F702" s="81"/>
      <c r="G702" s="81"/>
      <c r="H702" s="81"/>
      <c r="I702" s="436"/>
      <c r="J702" s="289"/>
      <c r="K702" s="436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</row>
    <row r="703" spans="1:25" ht="24" customHeight="1" x14ac:dyDescent="0.5">
      <c r="A703" s="81"/>
      <c r="B703" s="81"/>
      <c r="C703" s="81"/>
      <c r="D703" s="81"/>
      <c r="E703" s="81"/>
      <c r="F703" s="81"/>
      <c r="G703" s="81"/>
      <c r="H703" s="81"/>
      <c r="I703" s="436"/>
      <c r="J703" s="289"/>
      <c r="K703" s="436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</row>
    <row r="704" spans="1:25" ht="24" customHeight="1" x14ac:dyDescent="0.5">
      <c r="A704" s="81"/>
      <c r="B704" s="81"/>
      <c r="C704" s="81"/>
      <c r="D704" s="81"/>
      <c r="E704" s="81"/>
      <c r="F704" s="81"/>
      <c r="G704" s="81"/>
      <c r="H704" s="81"/>
      <c r="I704" s="436"/>
      <c r="J704" s="289"/>
      <c r="K704" s="436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</row>
    <row r="705" spans="1:25" ht="24" customHeight="1" x14ac:dyDescent="0.5">
      <c r="A705" s="81"/>
      <c r="B705" s="81"/>
      <c r="C705" s="81"/>
      <c r="D705" s="81"/>
      <c r="E705" s="81"/>
      <c r="F705" s="81"/>
      <c r="G705" s="81"/>
      <c r="H705" s="81"/>
      <c r="I705" s="436"/>
      <c r="J705" s="289"/>
      <c r="K705" s="436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</row>
    <row r="706" spans="1:25" ht="24" customHeight="1" x14ac:dyDescent="0.5">
      <c r="A706" s="81"/>
      <c r="B706" s="81"/>
      <c r="C706" s="81"/>
      <c r="D706" s="81"/>
      <c r="E706" s="81"/>
      <c r="F706" s="81"/>
      <c r="G706" s="81"/>
      <c r="H706" s="81"/>
      <c r="I706" s="436"/>
      <c r="J706" s="289"/>
      <c r="K706" s="436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</row>
    <row r="707" spans="1:25" ht="24" customHeight="1" x14ac:dyDescent="0.5">
      <c r="A707" s="81"/>
      <c r="B707" s="81"/>
      <c r="C707" s="81"/>
      <c r="D707" s="81"/>
      <c r="E707" s="81"/>
      <c r="F707" s="81"/>
      <c r="G707" s="81"/>
      <c r="H707" s="81"/>
      <c r="I707" s="436"/>
      <c r="J707" s="289"/>
      <c r="K707" s="436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</row>
    <row r="708" spans="1:25" ht="24" customHeight="1" x14ac:dyDescent="0.5">
      <c r="A708" s="81"/>
      <c r="B708" s="81"/>
      <c r="C708" s="81"/>
      <c r="D708" s="81"/>
      <c r="E708" s="81"/>
      <c r="F708" s="81"/>
      <c r="G708" s="81"/>
      <c r="H708" s="81"/>
      <c r="I708" s="436"/>
      <c r="J708" s="289"/>
      <c r="K708" s="436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</row>
    <row r="709" spans="1:25" ht="24" customHeight="1" x14ac:dyDescent="0.5">
      <c r="A709" s="81"/>
      <c r="B709" s="81"/>
      <c r="C709" s="81"/>
      <c r="D709" s="81"/>
      <c r="E709" s="81"/>
      <c r="F709" s="81"/>
      <c r="G709" s="81"/>
      <c r="H709" s="81"/>
      <c r="I709" s="436"/>
      <c r="J709" s="289"/>
      <c r="K709" s="436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</row>
    <row r="710" spans="1:25" ht="24" customHeight="1" x14ac:dyDescent="0.5">
      <c r="A710" s="81"/>
      <c r="B710" s="81"/>
      <c r="C710" s="81"/>
      <c r="D710" s="81"/>
      <c r="E710" s="81"/>
      <c r="F710" s="81"/>
      <c r="G710" s="81"/>
      <c r="H710" s="81"/>
      <c r="I710" s="436"/>
      <c r="J710" s="289"/>
      <c r="K710" s="436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</row>
    <row r="711" spans="1:25" ht="24" customHeight="1" x14ac:dyDescent="0.5">
      <c r="A711" s="81"/>
      <c r="B711" s="81"/>
      <c r="C711" s="81"/>
      <c r="D711" s="81"/>
      <c r="E711" s="81"/>
      <c r="F711" s="81"/>
      <c r="G711" s="81"/>
      <c r="H711" s="81"/>
      <c r="I711" s="436"/>
      <c r="J711" s="289"/>
      <c r="K711" s="436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</row>
    <row r="712" spans="1:25" ht="24" customHeight="1" x14ac:dyDescent="0.5">
      <c r="A712" s="81"/>
      <c r="B712" s="81"/>
      <c r="C712" s="81"/>
      <c r="D712" s="81"/>
      <c r="E712" s="81"/>
      <c r="F712" s="81"/>
      <c r="G712" s="81"/>
      <c r="H712" s="81"/>
      <c r="I712" s="436"/>
      <c r="J712" s="289"/>
      <c r="K712" s="436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</row>
    <row r="713" spans="1:25" ht="24" customHeight="1" x14ac:dyDescent="0.5">
      <c r="A713" s="81"/>
      <c r="B713" s="81"/>
      <c r="C713" s="81"/>
      <c r="D713" s="81"/>
      <c r="E713" s="81"/>
      <c r="F713" s="81"/>
      <c r="G713" s="81"/>
      <c r="H713" s="81"/>
      <c r="I713" s="436"/>
      <c r="J713" s="289"/>
      <c r="K713" s="436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</row>
    <row r="714" spans="1:25" ht="24" customHeight="1" x14ac:dyDescent="0.5">
      <c r="A714" s="81"/>
      <c r="B714" s="81"/>
      <c r="C714" s="81"/>
      <c r="D714" s="81"/>
      <c r="E714" s="81"/>
      <c r="F714" s="81"/>
      <c r="G714" s="81"/>
      <c r="H714" s="81"/>
      <c r="I714" s="436"/>
      <c r="J714" s="289"/>
      <c r="K714" s="436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</row>
    <row r="715" spans="1:25" ht="24" customHeight="1" x14ac:dyDescent="0.5">
      <c r="A715" s="81"/>
      <c r="B715" s="81"/>
      <c r="C715" s="81"/>
      <c r="D715" s="81"/>
      <c r="E715" s="81"/>
      <c r="F715" s="81"/>
      <c r="G715" s="81"/>
      <c r="H715" s="81"/>
      <c r="I715" s="436"/>
      <c r="J715" s="289"/>
      <c r="K715" s="436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</row>
    <row r="716" spans="1:25" ht="24" customHeight="1" x14ac:dyDescent="0.5">
      <c r="A716" s="81"/>
      <c r="B716" s="81"/>
      <c r="C716" s="81"/>
      <c r="D716" s="81"/>
      <c r="E716" s="81"/>
      <c r="F716" s="81"/>
      <c r="G716" s="81"/>
      <c r="H716" s="81"/>
      <c r="I716" s="436"/>
      <c r="J716" s="289"/>
      <c r="K716" s="436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</row>
    <row r="717" spans="1:25" ht="24" customHeight="1" x14ac:dyDescent="0.5">
      <c r="A717" s="81"/>
      <c r="B717" s="81"/>
      <c r="C717" s="81"/>
      <c r="D717" s="81"/>
      <c r="E717" s="81"/>
      <c r="F717" s="81"/>
      <c r="G717" s="81"/>
      <c r="H717" s="81"/>
      <c r="I717" s="436"/>
      <c r="J717" s="289"/>
      <c r="K717" s="436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</row>
    <row r="718" spans="1:25" ht="24" customHeight="1" x14ac:dyDescent="0.5">
      <c r="A718" s="81"/>
      <c r="B718" s="81"/>
      <c r="C718" s="81"/>
      <c r="D718" s="81"/>
      <c r="E718" s="81"/>
      <c r="F718" s="81"/>
      <c r="G718" s="81"/>
      <c r="H718" s="81"/>
      <c r="I718" s="436"/>
      <c r="J718" s="289"/>
      <c r="K718" s="436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</row>
    <row r="719" spans="1:25" ht="24" customHeight="1" x14ac:dyDescent="0.5">
      <c r="A719" s="81"/>
      <c r="B719" s="81"/>
      <c r="C719" s="81"/>
      <c r="D719" s="81"/>
      <c r="E719" s="81"/>
      <c r="F719" s="81"/>
      <c r="G719" s="81"/>
      <c r="H719" s="81"/>
      <c r="I719" s="436"/>
      <c r="J719" s="289"/>
      <c r="K719" s="436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</row>
    <row r="720" spans="1:25" ht="24" customHeight="1" x14ac:dyDescent="0.5">
      <c r="A720" s="81"/>
      <c r="B720" s="81"/>
      <c r="C720" s="81"/>
      <c r="D720" s="81"/>
      <c r="E720" s="81"/>
      <c r="F720" s="81"/>
      <c r="G720" s="81"/>
      <c r="H720" s="81"/>
      <c r="I720" s="436"/>
      <c r="J720" s="289"/>
      <c r="K720" s="436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</row>
    <row r="721" spans="1:25" ht="24" customHeight="1" x14ac:dyDescent="0.5">
      <c r="A721" s="81"/>
      <c r="B721" s="81"/>
      <c r="C721" s="81"/>
      <c r="D721" s="81"/>
      <c r="E721" s="81"/>
      <c r="F721" s="81"/>
      <c r="G721" s="81"/>
      <c r="H721" s="81"/>
      <c r="I721" s="436"/>
      <c r="J721" s="289"/>
      <c r="K721" s="436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</row>
    <row r="722" spans="1:25" ht="24" customHeight="1" x14ac:dyDescent="0.5">
      <c r="A722" s="81"/>
      <c r="B722" s="81"/>
      <c r="C722" s="81"/>
      <c r="D722" s="81"/>
      <c r="E722" s="81"/>
      <c r="F722" s="81"/>
      <c r="G722" s="81"/>
      <c r="H722" s="81"/>
      <c r="I722" s="436"/>
      <c r="J722" s="289"/>
      <c r="K722" s="436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</row>
    <row r="723" spans="1:25" ht="24" customHeight="1" x14ac:dyDescent="0.5">
      <c r="A723" s="81"/>
      <c r="B723" s="81"/>
      <c r="C723" s="81"/>
      <c r="D723" s="81"/>
      <c r="E723" s="81"/>
      <c r="F723" s="81"/>
      <c r="G723" s="81"/>
      <c r="H723" s="81"/>
      <c r="I723" s="436"/>
      <c r="J723" s="289"/>
      <c r="K723" s="436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</row>
    <row r="724" spans="1:25" ht="24" customHeight="1" x14ac:dyDescent="0.5">
      <c r="A724" s="81"/>
      <c r="B724" s="81"/>
      <c r="C724" s="81"/>
      <c r="D724" s="81"/>
      <c r="E724" s="81"/>
      <c r="F724" s="81"/>
      <c r="G724" s="81"/>
      <c r="H724" s="81"/>
      <c r="I724" s="436"/>
      <c r="J724" s="289"/>
      <c r="K724" s="436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</row>
    <row r="725" spans="1:25" ht="24" customHeight="1" x14ac:dyDescent="0.5">
      <c r="A725" s="81"/>
      <c r="B725" s="81"/>
      <c r="C725" s="81"/>
      <c r="D725" s="81"/>
      <c r="E725" s="81"/>
      <c r="F725" s="81"/>
      <c r="G725" s="81"/>
      <c r="H725" s="81"/>
      <c r="I725" s="436"/>
      <c r="J725" s="289"/>
      <c r="K725" s="436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</row>
    <row r="726" spans="1:25" ht="24" customHeight="1" x14ac:dyDescent="0.5">
      <c r="A726" s="81"/>
      <c r="B726" s="81"/>
      <c r="C726" s="81"/>
      <c r="D726" s="81"/>
      <c r="E726" s="81"/>
      <c r="F726" s="81"/>
      <c r="G726" s="81"/>
      <c r="H726" s="81"/>
      <c r="I726" s="436"/>
      <c r="J726" s="289"/>
      <c r="K726" s="436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</row>
    <row r="727" spans="1:25" ht="24" customHeight="1" x14ac:dyDescent="0.5">
      <c r="A727" s="81"/>
      <c r="B727" s="81"/>
      <c r="C727" s="81"/>
      <c r="D727" s="81"/>
      <c r="E727" s="81"/>
      <c r="F727" s="81"/>
      <c r="G727" s="81"/>
      <c r="H727" s="81"/>
      <c r="I727" s="436"/>
      <c r="J727" s="289"/>
      <c r="K727" s="436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</row>
    <row r="728" spans="1:25" ht="24" customHeight="1" x14ac:dyDescent="0.5">
      <c r="A728" s="81"/>
      <c r="B728" s="81"/>
      <c r="C728" s="81"/>
      <c r="D728" s="81"/>
      <c r="E728" s="81"/>
      <c r="F728" s="81"/>
      <c r="G728" s="81"/>
      <c r="H728" s="81"/>
      <c r="I728" s="436"/>
      <c r="J728" s="289"/>
      <c r="K728" s="436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</row>
    <row r="729" spans="1:25" ht="24" customHeight="1" x14ac:dyDescent="0.5">
      <c r="A729" s="81"/>
      <c r="B729" s="81"/>
      <c r="C729" s="81"/>
      <c r="D729" s="81"/>
      <c r="E729" s="81"/>
      <c r="F729" s="81"/>
      <c r="G729" s="81"/>
      <c r="H729" s="81"/>
      <c r="I729" s="436"/>
      <c r="J729" s="289"/>
      <c r="K729" s="436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</row>
    <row r="730" spans="1:25" ht="24" customHeight="1" x14ac:dyDescent="0.5">
      <c r="A730" s="81"/>
      <c r="B730" s="81"/>
      <c r="C730" s="81"/>
      <c r="D730" s="81"/>
      <c r="E730" s="81"/>
      <c r="F730" s="81"/>
      <c r="G730" s="81"/>
      <c r="H730" s="81"/>
      <c r="I730" s="436"/>
      <c r="J730" s="289"/>
      <c r="K730" s="436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</row>
    <row r="731" spans="1:25" ht="24" customHeight="1" x14ac:dyDescent="0.5">
      <c r="A731" s="81"/>
      <c r="B731" s="81"/>
      <c r="C731" s="81"/>
      <c r="D731" s="81"/>
      <c r="E731" s="81"/>
      <c r="F731" s="81"/>
      <c r="G731" s="81"/>
      <c r="H731" s="81"/>
      <c r="I731" s="436"/>
      <c r="J731" s="289"/>
      <c r="K731" s="436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</row>
    <row r="732" spans="1:25" ht="24" customHeight="1" x14ac:dyDescent="0.5">
      <c r="A732" s="81"/>
      <c r="B732" s="81"/>
      <c r="C732" s="81"/>
      <c r="D732" s="81"/>
      <c r="E732" s="81"/>
      <c r="F732" s="81"/>
      <c r="G732" s="81"/>
      <c r="H732" s="81"/>
      <c r="I732" s="436"/>
      <c r="J732" s="289"/>
      <c r="K732" s="436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</row>
    <row r="733" spans="1:25" ht="24" customHeight="1" x14ac:dyDescent="0.5">
      <c r="A733" s="81"/>
      <c r="B733" s="81"/>
      <c r="C733" s="81"/>
      <c r="D733" s="81"/>
      <c r="E733" s="81"/>
      <c r="F733" s="81"/>
      <c r="G733" s="81"/>
      <c r="H733" s="81"/>
      <c r="I733" s="436"/>
      <c r="J733" s="289"/>
      <c r="K733" s="436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</row>
    <row r="734" spans="1:25" ht="24" customHeight="1" x14ac:dyDescent="0.5">
      <c r="A734" s="81"/>
      <c r="B734" s="81"/>
      <c r="C734" s="81"/>
      <c r="D734" s="81"/>
      <c r="E734" s="81"/>
      <c r="F734" s="81"/>
      <c r="G734" s="81"/>
      <c r="H734" s="81"/>
      <c r="I734" s="436"/>
      <c r="J734" s="289"/>
      <c r="K734" s="436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</row>
    <row r="735" spans="1:25" ht="24" customHeight="1" x14ac:dyDescent="0.5">
      <c r="A735" s="81"/>
      <c r="B735" s="81"/>
      <c r="C735" s="81"/>
      <c r="D735" s="81"/>
      <c r="E735" s="81"/>
      <c r="F735" s="81"/>
      <c r="G735" s="81"/>
      <c r="H735" s="81"/>
      <c r="I735" s="436"/>
      <c r="J735" s="289"/>
      <c r="K735" s="436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</row>
    <row r="736" spans="1:25" ht="24" customHeight="1" x14ac:dyDescent="0.5">
      <c r="A736" s="81"/>
      <c r="B736" s="81"/>
      <c r="C736" s="81"/>
      <c r="D736" s="81"/>
      <c r="E736" s="81"/>
      <c r="F736" s="81"/>
      <c r="G736" s="81"/>
      <c r="H736" s="81"/>
      <c r="I736" s="436"/>
      <c r="J736" s="289"/>
      <c r="K736" s="436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</row>
    <row r="737" spans="1:25" ht="24" customHeight="1" x14ac:dyDescent="0.5">
      <c r="A737" s="81"/>
      <c r="B737" s="81"/>
      <c r="C737" s="81"/>
      <c r="D737" s="81"/>
      <c r="E737" s="81"/>
      <c r="F737" s="81"/>
      <c r="G737" s="81"/>
      <c r="H737" s="81"/>
      <c r="I737" s="436"/>
      <c r="J737" s="289"/>
      <c r="K737" s="436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</row>
    <row r="738" spans="1:25" ht="24" customHeight="1" x14ac:dyDescent="0.5">
      <c r="A738" s="81"/>
      <c r="B738" s="81"/>
      <c r="C738" s="81"/>
      <c r="D738" s="81"/>
      <c r="E738" s="81"/>
      <c r="F738" s="81"/>
      <c r="G738" s="81"/>
      <c r="H738" s="81"/>
      <c r="I738" s="436"/>
      <c r="J738" s="289"/>
      <c r="K738" s="436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</row>
    <row r="739" spans="1:25" ht="24" customHeight="1" x14ac:dyDescent="0.5">
      <c r="A739" s="81"/>
      <c r="B739" s="81"/>
      <c r="C739" s="81"/>
      <c r="D739" s="81"/>
      <c r="E739" s="81"/>
      <c r="F739" s="81"/>
      <c r="G739" s="81"/>
      <c r="H739" s="81"/>
      <c r="I739" s="436"/>
      <c r="J739" s="289"/>
      <c r="K739" s="436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</row>
    <row r="740" spans="1:25" ht="24" customHeight="1" x14ac:dyDescent="0.5">
      <c r="A740" s="81"/>
      <c r="B740" s="81"/>
      <c r="C740" s="81"/>
      <c r="D740" s="81"/>
      <c r="E740" s="81"/>
      <c r="F740" s="81"/>
      <c r="G740" s="81"/>
      <c r="H740" s="81"/>
      <c r="I740" s="436"/>
      <c r="J740" s="289"/>
      <c r="K740" s="436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</row>
    <row r="741" spans="1:25" ht="24" customHeight="1" x14ac:dyDescent="0.5">
      <c r="A741" s="81"/>
      <c r="B741" s="81"/>
      <c r="C741" s="81"/>
      <c r="D741" s="81"/>
      <c r="E741" s="81"/>
      <c r="F741" s="81"/>
      <c r="G741" s="81"/>
      <c r="H741" s="81"/>
      <c r="I741" s="436"/>
      <c r="J741" s="289"/>
      <c r="K741" s="436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</row>
    <row r="742" spans="1:25" ht="24" customHeight="1" x14ac:dyDescent="0.5">
      <c r="A742" s="81"/>
      <c r="B742" s="81"/>
      <c r="C742" s="81"/>
      <c r="D742" s="81"/>
      <c r="E742" s="81"/>
      <c r="F742" s="81"/>
      <c r="G742" s="81"/>
      <c r="H742" s="81"/>
      <c r="I742" s="436"/>
      <c r="J742" s="289"/>
      <c r="K742" s="436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</row>
    <row r="743" spans="1:25" ht="24" customHeight="1" x14ac:dyDescent="0.5">
      <c r="A743" s="81"/>
      <c r="B743" s="81"/>
      <c r="C743" s="81"/>
      <c r="D743" s="81"/>
      <c r="E743" s="81"/>
      <c r="F743" s="81"/>
      <c r="G743" s="81"/>
      <c r="H743" s="81"/>
      <c r="I743" s="436"/>
      <c r="J743" s="289"/>
      <c r="K743" s="436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</row>
    <row r="744" spans="1:25" ht="24" customHeight="1" x14ac:dyDescent="0.5">
      <c r="A744" s="81"/>
      <c r="B744" s="81"/>
      <c r="C744" s="81"/>
      <c r="D744" s="81"/>
      <c r="E744" s="81"/>
      <c r="F744" s="81"/>
      <c r="G744" s="81"/>
      <c r="H744" s="81"/>
      <c r="I744" s="436"/>
      <c r="J744" s="289"/>
      <c r="K744" s="436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</row>
    <row r="745" spans="1:25" ht="24" customHeight="1" x14ac:dyDescent="0.5">
      <c r="A745" s="81"/>
      <c r="B745" s="81"/>
      <c r="C745" s="81"/>
      <c r="D745" s="81"/>
      <c r="E745" s="81"/>
      <c r="F745" s="81"/>
      <c r="G745" s="81"/>
      <c r="H745" s="81"/>
      <c r="I745" s="436"/>
      <c r="J745" s="289"/>
      <c r="K745" s="436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</row>
    <row r="746" spans="1:25" ht="24" customHeight="1" x14ac:dyDescent="0.5">
      <c r="A746" s="81"/>
      <c r="B746" s="81"/>
      <c r="C746" s="81"/>
      <c r="D746" s="81"/>
      <c r="E746" s="81"/>
      <c r="F746" s="81"/>
      <c r="G746" s="81"/>
      <c r="H746" s="81"/>
      <c r="I746" s="436"/>
      <c r="J746" s="289"/>
      <c r="K746" s="436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</row>
    <row r="747" spans="1:25" ht="24" customHeight="1" x14ac:dyDescent="0.5">
      <c r="A747" s="81"/>
      <c r="B747" s="81"/>
      <c r="C747" s="81"/>
      <c r="D747" s="81"/>
      <c r="E747" s="81"/>
      <c r="F747" s="81"/>
      <c r="G747" s="81"/>
      <c r="H747" s="81"/>
      <c r="I747" s="436"/>
      <c r="J747" s="289"/>
      <c r="K747" s="436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</row>
    <row r="748" spans="1:25" ht="24" customHeight="1" x14ac:dyDescent="0.5">
      <c r="A748" s="81"/>
      <c r="B748" s="81"/>
      <c r="C748" s="81"/>
      <c r="D748" s="81"/>
      <c r="E748" s="81"/>
      <c r="F748" s="81"/>
      <c r="G748" s="81"/>
      <c r="H748" s="81"/>
      <c r="I748" s="436"/>
      <c r="J748" s="289"/>
      <c r="K748" s="436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</row>
    <row r="749" spans="1:25" ht="24" customHeight="1" x14ac:dyDescent="0.5">
      <c r="A749" s="81"/>
      <c r="B749" s="81"/>
      <c r="C749" s="81"/>
      <c r="D749" s="81"/>
      <c r="E749" s="81"/>
      <c r="F749" s="81"/>
      <c r="G749" s="81"/>
      <c r="H749" s="81"/>
      <c r="I749" s="436"/>
      <c r="J749" s="289"/>
      <c r="K749" s="436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</row>
    <row r="750" spans="1:25" ht="24" customHeight="1" x14ac:dyDescent="0.5">
      <c r="A750" s="81"/>
      <c r="B750" s="81"/>
      <c r="C750" s="81"/>
      <c r="D750" s="81"/>
      <c r="E750" s="81"/>
      <c r="F750" s="81"/>
      <c r="G750" s="81"/>
      <c r="H750" s="81"/>
      <c r="I750" s="436"/>
      <c r="J750" s="289"/>
      <c r="K750" s="436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</row>
    <row r="751" spans="1:25" ht="24" customHeight="1" x14ac:dyDescent="0.5">
      <c r="A751" s="81"/>
      <c r="B751" s="81"/>
      <c r="C751" s="81"/>
      <c r="D751" s="81"/>
      <c r="E751" s="81"/>
      <c r="F751" s="81"/>
      <c r="G751" s="81"/>
      <c r="H751" s="81"/>
      <c r="I751" s="436"/>
      <c r="J751" s="289"/>
      <c r="K751" s="436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</row>
    <row r="752" spans="1:25" ht="24" customHeight="1" x14ac:dyDescent="0.5">
      <c r="A752" s="81"/>
      <c r="B752" s="81"/>
      <c r="C752" s="81"/>
      <c r="D752" s="81"/>
      <c r="E752" s="81"/>
      <c r="F752" s="81"/>
      <c r="G752" s="81"/>
      <c r="H752" s="81"/>
      <c r="I752" s="436"/>
      <c r="J752" s="289"/>
      <c r="K752" s="436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</row>
    <row r="753" spans="1:25" ht="24" customHeight="1" x14ac:dyDescent="0.5">
      <c r="A753" s="81"/>
      <c r="B753" s="81"/>
      <c r="C753" s="81"/>
      <c r="D753" s="81"/>
      <c r="E753" s="81"/>
      <c r="F753" s="81"/>
      <c r="G753" s="81"/>
      <c r="H753" s="81"/>
      <c r="I753" s="436"/>
      <c r="J753" s="289"/>
      <c r="K753" s="436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</row>
    <row r="754" spans="1:25" ht="24" customHeight="1" x14ac:dyDescent="0.5">
      <c r="A754" s="81"/>
      <c r="B754" s="81"/>
      <c r="C754" s="81"/>
      <c r="D754" s="81"/>
      <c r="E754" s="81"/>
      <c r="F754" s="81"/>
      <c r="G754" s="81"/>
      <c r="H754" s="81"/>
      <c r="I754" s="436"/>
      <c r="J754" s="289"/>
      <c r="K754" s="436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</row>
    <row r="755" spans="1:25" ht="24" customHeight="1" x14ac:dyDescent="0.5">
      <c r="A755" s="81"/>
      <c r="B755" s="81"/>
      <c r="C755" s="81"/>
      <c r="D755" s="81"/>
      <c r="E755" s="81"/>
      <c r="F755" s="81"/>
      <c r="G755" s="81"/>
      <c r="H755" s="81"/>
      <c r="I755" s="436"/>
      <c r="J755" s="289"/>
      <c r="K755" s="436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</row>
    <row r="756" spans="1:25" ht="24" customHeight="1" x14ac:dyDescent="0.5">
      <c r="A756" s="81"/>
      <c r="B756" s="81"/>
      <c r="C756" s="81"/>
      <c r="D756" s="81"/>
      <c r="E756" s="81"/>
      <c r="F756" s="81"/>
      <c r="G756" s="81"/>
      <c r="H756" s="81"/>
      <c r="I756" s="436"/>
      <c r="J756" s="289"/>
      <c r="K756" s="436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</row>
    <row r="757" spans="1:25" ht="24" customHeight="1" x14ac:dyDescent="0.5">
      <c r="A757" s="81"/>
      <c r="B757" s="81"/>
      <c r="C757" s="81"/>
      <c r="D757" s="81"/>
      <c r="E757" s="81"/>
      <c r="F757" s="81"/>
      <c r="G757" s="81"/>
      <c r="H757" s="81"/>
      <c r="I757" s="436"/>
      <c r="J757" s="289"/>
      <c r="K757" s="436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</row>
    <row r="758" spans="1:25" ht="24" customHeight="1" x14ac:dyDescent="0.5">
      <c r="A758" s="81"/>
      <c r="B758" s="81"/>
      <c r="C758" s="81"/>
      <c r="D758" s="81"/>
      <c r="E758" s="81"/>
      <c r="F758" s="81"/>
      <c r="G758" s="81"/>
      <c r="H758" s="81"/>
      <c r="I758" s="436"/>
      <c r="J758" s="289"/>
      <c r="K758" s="436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</row>
    <row r="759" spans="1:25" ht="24" customHeight="1" x14ac:dyDescent="0.5">
      <c r="A759" s="81"/>
      <c r="B759" s="81"/>
      <c r="C759" s="81"/>
      <c r="D759" s="81"/>
      <c r="E759" s="81"/>
      <c r="F759" s="81"/>
      <c r="G759" s="81"/>
      <c r="H759" s="81"/>
      <c r="I759" s="436"/>
      <c r="J759" s="289"/>
      <c r="K759" s="436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</row>
    <row r="760" spans="1:25" ht="24" customHeight="1" x14ac:dyDescent="0.5">
      <c r="A760" s="81"/>
      <c r="B760" s="81"/>
      <c r="C760" s="81"/>
      <c r="D760" s="81"/>
      <c r="E760" s="81"/>
      <c r="F760" s="81"/>
      <c r="G760" s="81"/>
      <c r="H760" s="81"/>
      <c r="I760" s="436"/>
      <c r="J760" s="289"/>
      <c r="K760" s="436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</row>
    <row r="761" spans="1:25" ht="24" customHeight="1" x14ac:dyDescent="0.5">
      <c r="A761" s="81"/>
      <c r="B761" s="81"/>
      <c r="C761" s="81"/>
      <c r="D761" s="81"/>
      <c r="E761" s="81"/>
      <c r="F761" s="81"/>
      <c r="G761" s="81"/>
      <c r="H761" s="81"/>
      <c r="I761" s="436"/>
      <c r="J761" s="289"/>
      <c r="K761" s="436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</row>
    <row r="762" spans="1:25" ht="24" customHeight="1" x14ac:dyDescent="0.5">
      <c r="A762" s="81"/>
      <c r="B762" s="81"/>
      <c r="C762" s="81"/>
      <c r="D762" s="81"/>
      <c r="E762" s="81"/>
      <c r="F762" s="81"/>
      <c r="G762" s="81"/>
      <c r="H762" s="81"/>
      <c r="I762" s="436"/>
      <c r="J762" s="289"/>
      <c r="K762" s="436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</row>
    <row r="763" spans="1:25" ht="24" customHeight="1" x14ac:dyDescent="0.5">
      <c r="A763" s="81"/>
      <c r="B763" s="81"/>
      <c r="C763" s="81"/>
      <c r="D763" s="81"/>
      <c r="E763" s="81"/>
      <c r="F763" s="81"/>
      <c r="G763" s="81"/>
      <c r="H763" s="81"/>
      <c r="I763" s="436"/>
      <c r="J763" s="289"/>
      <c r="K763" s="436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</row>
    <row r="764" spans="1:25" ht="24" customHeight="1" x14ac:dyDescent="0.5">
      <c r="A764" s="81"/>
      <c r="B764" s="81"/>
      <c r="C764" s="81"/>
      <c r="D764" s="81"/>
      <c r="E764" s="81"/>
      <c r="F764" s="81"/>
      <c r="G764" s="81"/>
      <c r="H764" s="81"/>
      <c r="I764" s="436"/>
      <c r="J764" s="289"/>
      <c r="K764" s="436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</row>
    <row r="765" spans="1:25" ht="24" customHeight="1" x14ac:dyDescent="0.5">
      <c r="A765" s="81"/>
      <c r="B765" s="81"/>
      <c r="C765" s="81"/>
      <c r="D765" s="81"/>
      <c r="E765" s="81"/>
      <c r="F765" s="81"/>
      <c r="G765" s="81"/>
      <c r="H765" s="81"/>
      <c r="I765" s="436"/>
      <c r="J765" s="289"/>
      <c r="K765" s="436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</row>
    <row r="766" spans="1:25" ht="24" customHeight="1" x14ac:dyDescent="0.5">
      <c r="A766" s="81"/>
      <c r="B766" s="81"/>
      <c r="C766" s="81"/>
      <c r="D766" s="81"/>
      <c r="E766" s="81"/>
      <c r="F766" s="81"/>
      <c r="G766" s="81"/>
      <c r="H766" s="81"/>
      <c r="I766" s="436"/>
      <c r="J766" s="289"/>
      <c r="K766" s="436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</row>
    <row r="767" spans="1:25" ht="24" customHeight="1" x14ac:dyDescent="0.5">
      <c r="A767" s="81"/>
      <c r="B767" s="81"/>
      <c r="C767" s="81"/>
      <c r="D767" s="81"/>
      <c r="E767" s="81"/>
      <c r="F767" s="81"/>
      <c r="G767" s="81"/>
      <c r="H767" s="81"/>
      <c r="I767" s="436"/>
      <c r="J767" s="289"/>
      <c r="K767" s="436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</row>
    <row r="768" spans="1:25" ht="24" customHeight="1" x14ac:dyDescent="0.5">
      <c r="A768" s="81"/>
      <c r="B768" s="81"/>
      <c r="C768" s="81"/>
      <c r="D768" s="81"/>
      <c r="E768" s="81"/>
      <c r="F768" s="81"/>
      <c r="G768" s="81"/>
      <c r="H768" s="81"/>
      <c r="I768" s="436"/>
      <c r="J768" s="289"/>
      <c r="K768" s="436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</row>
    <row r="769" spans="1:25" ht="24" customHeight="1" x14ac:dyDescent="0.5">
      <c r="A769" s="81"/>
      <c r="B769" s="81"/>
      <c r="C769" s="81"/>
      <c r="D769" s="81"/>
      <c r="E769" s="81"/>
      <c r="F769" s="81"/>
      <c r="G769" s="81"/>
      <c r="H769" s="81"/>
      <c r="I769" s="436"/>
      <c r="J769" s="289"/>
      <c r="K769" s="436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</row>
    <row r="770" spans="1:25" ht="24" customHeight="1" x14ac:dyDescent="0.5">
      <c r="A770" s="81"/>
      <c r="B770" s="81"/>
      <c r="C770" s="81"/>
      <c r="D770" s="81"/>
      <c r="E770" s="81"/>
      <c r="F770" s="81"/>
      <c r="G770" s="81"/>
      <c r="H770" s="81"/>
      <c r="I770" s="436"/>
      <c r="J770" s="289"/>
      <c r="K770" s="436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</row>
    <row r="771" spans="1:25" ht="24" customHeight="1" x14ac:dyDescent="0.5">
      <c r="A771" s="81"/>
      <c r="B771" s="81"/>
      <c r="C771" s="81"/>
      <c r="D771" s="81"/>
      <c r="E771" s="81"/>
      <c r="F771" s="81"/>
      <c r="G771" s="81"/>
      <c r="H771" s="81"/>
      <c r="I771" s="436"/>
      <c r="J771" s="289"/>
      <c r="K771" s="436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</row>
    <row r="772" spans="1:25" ht="24" customHeight="1" x14ac:dyDescent="0.5">
      <c r="A772" s="81"/>
      <c r="B772" s="81"/>
      <c r="C772" s="81"/>
      <c r="D772" s="81"/>
      <c r="E772" s="81"/>
      <c r="F772" s="81"/>
      <c r="G772" s="81"/>
      <c r="H772" s="81"/>
      <c r="I772" s="436"/>
      <c r="J772" s="289"/>
      <c r="K772" s="436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</row>
    <row r="773" spans="1:25" ht="24" customHeight="1" x14ac:dyDescent="0.5">
      <c r="A773" s="81"/>
      <c r="B773" s="81"/>
      <c r="C773" s="81"/>
      <c r="D773" s="81"/>
      <c r="E773" s="81"/>
      <c r="F773" s="81"/>
      <c r="G773" s="81"/>
      <c r="H773" s="81"/>
      <c r="I773" s="436"/>
      <c r="J773" s="289"/>
      <c r="K773" s="436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</row>
    <row r="774" spans="1:25" ht="24" customHeight="1" x14ac:dyDescent="0.5">
      <c r="A774" s="81"/>
      <c r="B774" s="81"/>
      <c r="C774" s="81"/>
      <c r="D774" s="81"/>
      <c r="E774" s="81"/>
      <c r="F774" s="81"/>
      <c r="G774" s="81"/>
      <c r="H774" s="81"/>
      <c r="I774" s="436"/>
      <c r="J774" s="289"/>
      <c r="K774" s="436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</row>
    <row r="775" spans="1:25" ht="24" customHeight="1" x14ac:dyDescent="0.5">
      <c r="A775" s="81"/>
      <c r="B775" s="81"/>
      <c r="C775" s="81"/>
      <c r="D775" s="81"/>
      <c r="E775" s="81"/>
      <c r="F775" s="81"/>
      <c r="G775" s="81"/>
      <c r="H775" s="81"/>
      <c r="I775" s="436"/>
      <c r="J775" s="289"/>
      <c r="K775" s="436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</row>
    <row r="776" spans="1:25" ht="24" customHeight="1" x14ac:dyDescent="0.5">
      <c r="A776" s="81"/>
      <c r="B776" s="81"/>
      <c r="C776" s="81"/>
      <c r="D776" s="81"/>
      <c r="E776" s="81"/>
      <c r="F776" s="81"/>
      <c r="G776" s="81"/>
      <c r="H776" s="81"/>
      <c r="I776" s="436"/>
      <c r="J776" s="289"/>
      <c r="K776" s="436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</row>
    <row r="777" spans="1:25" ht="24" customHeight="1" x14ac:dyDescent="0.5">
      <c r="A777" s="81"/>
      <c r="B777" s="81"/>
      <c r="C777" s="81"/>
      <c r="D777" s="81"/>
      <c r="E777" s="81"/>
      <c r="F777" s="81"/>
      <c r="G777" s="81"/>
      <c r="H777" s="81"/>
      <c r="I777" s="436"/>
      <c r="J777" s="289"/>
      <c r="K777" s="436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</row>
    <row r="778" spans="1:25" ht="24" customHeight="1" x14ac:dyDescent="0.5">
      <c r="A778" s="81"/>
      <c r="B778" s="81"/>
      <c r="C778" s="81"/>
      <c r="D778" s="81"/>
      <c r="E778" s="81"/>
      <c r="F778" s="81"/>
      <c r="G778" s="81"/>
      <c r="H778" s="81"/>
      <c r="I778" s="436"/>
      <c r="J778" s="289"/>
      <c r="K778" s="436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</row>
    <row r="779" spans="1:25" ht="24" customHeight="1" x14ac:dyDescent="0.5">
      <c r="A779" s="81"/>
      <c r="B779" s="81"/>
      <c r="C779" s="81"/>
      <c r="D779" s="81"/>
      <c r="E779" s="81"/>
      <c r="F779" s="81"/>
      <c r="G779" s="81"/>
      <c r="H779" s="81"/>
      <c r="I779" s="436"/>
      <c r="J779" s="289"/>
      <c r="K779" s="436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</row>
    <row r="780" spans="1:25" ht="24" customHeight="1" x14ac:dyDescent="0.5">
      <c r="A780" s="81"/>
      <c r="B780" s="81"/>
      <c r="C780" s="81"/>
      <c r="D780" s="81"/>
      <c r="E780" s="81"/>
      <c r="F780" s="81"/>
      <c r="G780" s="81"/>
      <c r="H780" s="81"/>
      <c r="I780" s="436"/>
      <c r="J780" s="289"/>
      <c r="K780" s="436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</row>
    <row r="781" spans="1:25" ht="24" customHeight="1" x14ac:dyDescent="0.5">
      <c r="A781" s="81"/>
      <c r="B781" s="81"/>
      <c r="C781" s="81"/>
      <c r="D781" s="81"/>
      <c r="E781" s="81"/>
      <c r="F781" s="81"/>
      <c r="G781" s="81"/>
      <c r="H781" s="81"/>
      <c r="I781" s="436"/>
      <c r="J781" s="289"/>
      <c r="K781" s="436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</row>
    <row r="782" spans="1:25" ht="24" customHeight="1" x14ac:dyDescent="0.5">
      <c r="A782" s="81"/>
      <c r="B782" s="81"/>
      <c r="C782" s="81"/>
      <c r="D782" s="81"/>
      <c r="E782" s="81"/>
      <c r="F782" s="81"/>
      <c r="G782" s="81"/>
      <c r="H782" s="81"/>
      <c r="I782" s="436"/>
      <c r="J782" s="289"/>
      <c r="K782" s="436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</row>
    <row r="783" spans="1:25" ht="24" customHeight="1" x14ac:dyDescent="0.5">
      <c r="A783" s="81"/>
      <c r="B783" s="81"/>
      <c r="C783" s="81"/>
      <c r="D783" s="81"/>
      <c r="E783" s="81"/>
      <c r="F783" s="81"/>
      <c r="G783" s="81"/>
      <c r="H783" s="81"/>
      <c r="I783" s="436"/>
      <c r="J783" s="289"/>
      <c r="K783" s="436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</row>
    <row r="784" spans="1:25" ht="24" customHeight="1" x14ac:dyDescent="0.5">
      <c r="A784" s="81"/>
      <c r="B784" s="81"/>
      <c r="C784" s="81"/>
      <c r="D784" s="81"/>
      <c r="E784" s="81"/>
      <c r="F784" s="81"/>
      <c r="G784" s="81"/>
      <c r="H784" s="81"/>
      <c r="I784" s="436"/>
      <c r="J784" s="289"/>
      <c r="K784" s="436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</row>
    <row r="785" spans="1:25" ht="24" customHeight="1" x14ac:dyDescent="0.5">
      <c r="A785" s="81"/>
      <c r="B785" s="81"/>
      <c r="C785" s="81"/>
      <c r="D785" s="81"/>
      <c r="E785" s="81"/>
      <c r="F785" s="81"/>
      <c r="G785" s="81"/>
      <c r="H785" s="81"/>
      <c r="I785" s="436"/>
      <c r="J785" s="289"/>
      <c r="K785" s="436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</row>
    <row r="786" spans="1:25" ht="24" customHeight="1" x14ac:dyDescent="0.5">
      <c r="A786" s="81"/>
      <c r="B786" s="81"/>
      <c r="C786" s="81"/>
      <c r="D786" s="81"/>
      <c r="E786" s="81"/>
      <c r="F786" s="81"/>
      <c r="G786" s="81"/>
      <c r="H786" s="81"/>
      <c r="I786" s="436"/>
      <c r="J786" s="289"/>
      <c r="K786" s="436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</row>
    <row r="787" spans="1:25" ht="24" customHeight="1" x14ac:dyDescent="0.5">
      <c r="A787" s="81"/>
      <c r="B787" s="81"/>
      <c r="C787" s="81"/>
      <c r="D787" s="81"/>
      <c r="E787" s="81"/>
      <c r="F787" s="81"/>
      <c r="G787" s="81"/>
      <c r="H787" s="81"/>
      <c r="I787" s="436"/>
      <c r="J787" s="289"/>
      <c r="K787" s="436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</row>
    <row r="788" spans="1:25" ht="24" customHeight="1" x14ac:dyDescent="0.5">
      <c r="A788" s="81"/>
      <c r="B788" s="81"/>
      <c r="C788" s="81"/>
      <c r="D788" s="81"/>
      <c r="E788" s="81"/>
      <c r="F788" s="81"/>
      <c r="G788" s="81"/>
      <c r="H788" s="81"/>
      <c r="I788" s="436"/>
      <c r="J788" s="289"/>
      <c r="K788" s="436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</row>
    <row r="789" spans="1:25" ht="24" customHeight="1" x14ac:dyDescent="0.5">
      <c r="A789" s="81"/>
      <c r="B789" s="81"/>
      <c r="C789" s="81"/>
      <c r="D789" s="81"/>
      <c r="E789" s="81"/>
      <c r="F789" s="81"/>
      <c r="G789" s="81"/>
      <c r="H789" s="81"/>
      <c r="I789" s="436"/>
      <c r="J789" s="289"/>
      <c r="K789" s="436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</row>
    <row r="790" spans="1:25" ht="24" customHeight="1" x14ac:dyDescent="0.5">
      <c r="A790" s="81"/>
      <c r="B790" s="81"/>
      <c r="C790" s="81"/>
      <c r="D790" s="81"/>
      <c r="E790" s="81"/>
      <c r="F790" s="81"/>
      <c r="G790" s="81"/>
      <c r="H790" s="81"/>
      <c r="I790" s="436"/>
      <c r="J790" s="289"/>
      <c r="K790" s="436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</row>
    <row r="791" spans="1:25" ht="24" customHeight="1" x14ac:dyDescent="0.5">
      <c r="A791" s="81"/>
      <c r="B791" s="81"/>
      <c r="C791" s="81"/>
      <c r="D791" s="81"/>
      <c r="E791" s="81"/>
      <c r="F791" s="81"/>
      <c r="G791" s="81"/>
      <c r="H791" s="81"/>
      <c r="I791" s="436"/>
      <c r="J791" s="289"/>
      <c r="K791" s="436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</row>
    <row r="792" spans="1:25" ht="24" customHeight="1" x14ac:dyDescent="0.5">
      <c r="A792" s="81"/>
      <c r="B792" s="81"/>
      <c r="C792" s="81"/>
      <c r="D792" s="81"/>
      <c r="E792" s="81"/>
      <c r="F792" s="81"/>
      <c r="G792" s="81"/>
      <c r="H792" s="81"/>
      <c r="I792" s="436"/>
      <c r="J792" s="289"/>
      <c r="K792" s="436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</row>
    <row r="793" spans="1:25" ht="24" customHeight="1" x14ac:dyDescent="0.5">
      <c r="A793" s="81"/>
      <c r="B793" s="81"/>
      <c r="C793" s="81"/>
      <c r="D793" s="81"/>
      <c r="E793" s="81"/>
      <c r="F793" s="81"/>
      <c r="G793" s="81"/>
      <c r="H793" s="81"/>
      <c r="I793" s="436"/>
      <c r="J793" s="289"/>
      <c r="K793" s="436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</row>
    <row r="794" spans="1:25" ht="24" customHeight="1" x14ac:dyDescent="0.5">
      <c r="A794" s="81"/>
      <c r="B794" s="81"/>
      <c r="C794" s="81"/>
      <c r="D794" s="81"/>
      <c r="E794" s="81"/>
      <c r="F794" s="81"/>
      <c r="G794" s="81"/>
      <c r="H794" s="81"/>
      <c r="I794" s="436"/>
      <c r="J794" s="289"/>
      <c r="K794" s="436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</row>
    <row r="795" spans="1:25" ht="24" customHeight="1" x14ac:dyDescent="0.5">
      <c r="A795" s="81"/>
      <c r="B795" s="81"/>
      <c r="C795" s="81"/>
      <c r="D795" s="81"/>
      <c r="E795" s="81"/>
      <c r="F795" s="81"/>
      <c r="G795" s="81"/>
      <c r="H795" s="81"/>
      <c r="I795" s="436"/>
      <c r="J795" s="289"/>
      <c r="K795" s="436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</row>
    <row r="796" spans="1:25" ht="24" customHeight="1" x14ac:dyDescent="0.5">
      <c r="A796" s="81"/>
      <c r="B796" s="81"/>
      <c r="C796" s="81"/>
      <c r="D796" s="81"/>
      <c r="E796" s="81"/>
      <c r="F796" s="81"/>
      <c r="G796" s="81"/>
      <c r="H796" s="81"/>
      <c r="I796" s="436"/>
      <c r="J796" s="289"/>
      <c r="K796" s="436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</row>
    <row r="797" spans="1:25" ht="24" customHeight="1" x14ac:dyDescent="0.5">
      <c r="A797" s="81"/>
      <c r="B797" s="81"/>
      <c r="C797" s="81"/>
      <c r="D797" s="81"/>
      <c r="E797" s="81"/>
      <c r="F797" s="81"/>
      <c r="G797" s="81"/>
      <c r="H797" s="81"/>
      <c r="I797" s="436"/>
      <c r="J797" s="289"/>
      <c r="K797" s="436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</row>
    <row r="798" spans="1:25" ht="24" customHeight="1" x14ac:dyDescent="0.5">
      <c r="A798" s="81"/>
      <c r="B798" s="81"/>
      <c r="C798" s="81"/>
      <c r="D798" s="81"/>
      <c r="E798" s="81"/>
      <c r="F798" s="81"/>
      <c r="G798" s="81"/>
      <c r="H798" s="81"/>
      <c r="I798" s="436"/>
      <c r="J798" s="289"/>
      <c r="K798" s="436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</row>
    <row r="799" spans="1:25" ht="24" customHeight="1" x14ac:dyDescent="0.5">
      <c r="A799" s="81"/>
      <c r="B799" s="81"/>
      <c r="C799" s="81"/>
      <c r="D799" s="81"/>
      <c r="E799" s="81"/>
      <c r="F799" s="81"/>
      <c r="G799" s="81"/>
      <c r="H799" s="81"/>
      <c r="I799" s="436"/>
      <c r="J799" s="289"/>
      <c r="K799" s="436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</row>
    <row r="800" spans="1:25" ht="24" customHeight="1" x14ac:dyDescent="0.5">
      <c r="A800" s="81"/>
      <c r="B800" s="81"/>
      <c r="C800" s="81"/>
      <c r="D800" s="81"/>
      <c r="E800" s="81"/>
      <c r="F800" s="81"/>
      <c r="G800" s="81"/>
      <c r="H800" s="81"/>
      <c r="I800" s="436"/>
      <c r="J800" s="289"/>
      <c r="K800" s="436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</row>
    <row r="801" spans="1:25" ht="24" customHeight="1" x14ac:dyDescent="0.5">
      <c r="A801" s="81"/>
      <c r="B801" s="81"/>
      <c r="C801" s="81"/>
      <c r="D801" s="81"/>
      <c r="E801" s="81"/>
      <c r="F801" s="81"/>
      <c r="G801" s="81"/>
      <c r="H801" s="81"/>
      <c r="I801" s="436"/>
      <c r="J801" s="289"/>
      <c r="K801" s="436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</row>
    <row r="802" spans="1:25" ht="24" customHeight="1" x14ac:dyDescent="0.5">
      <c r="A802" s="81"/>
      <c r="B802" s="81"/>
      <c r="C802" s="81"/>
      <c r="D802" s="81"/>
      <c r="E802" s="81"/>
      <c r="F802" s="81"/>
      <c r="G802" s="81"/>
      <c r="H802" s="81"/>
      <c r="I802" s="436"/>
      <c r="J802" s="289"/>
      <c r="K802" s="436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</row>
    <row r="803" spans="1:25" ht="24" customHeight="1" x14ac:dyDescent="0.5">
      <c r="A803" s="81"/>
      <c r="B803" s="81"/>
      <c r="C803" s="81"/>
      <c r="D803" s="81"/>
      <c r="E803" s="81"/>
      <c r="F803" s="81"/>
      <c r="G803" s="81"/>
      <c r="H803" s="81"/>
      <c r="I803" s="436"/>
      <c r="J803" s="289"/>
      <c r="K803" s="436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</row>
    <row r="804" spans="1:25" ht="24" customHeight="1" x14ac:dyDescent="0.5">
      <c r="A804" s="81"/>
      <c r="B804" s="81"/>
      <c r="C804" s="81"/>
      <c r="D804" s="81"/>
      <c r="E804" s="81"/>
      <c r="F804" s="81"/>
      <c r="G804" s="81"/>
      <c r="H804" s="81"/>
      <c r="I804" s="436"/>
      <c r="J804" s="289"/>
      <c r="K804" s="436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</row>
    <row r="805" spans="1:25" ht="24" customHeight="1" x14ac:dyDescent="0.5">
      <c r="A805" s="81"/>
      <c r="B805" s="81"/>
      <c r="C805" s="81"/>
      <c r="D805" s="81"/>
      <c r="E805" s="81"/>
      <c r="F805" s="81"/>
      <c r="G805" s="81"/>
      <c r="H805" s="81"/>
      <c r="I805" s="436"/>
      <c r="J805" s="289"/>
      <c r="K805" s="436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</row>
    <row r="806" spans="1:25" ht="24" customHeight="1" x14ac:dyDescent="0.5">
      <c r="A806" s="81"/>
      <c r="B806" s="81"/>
      <c r="C806" s="81"/>
      <c r="D806" s="81"/>
      <c r="E806" s="81"/>
      <c r="F806" s="81"/>
      <c r="G806" s="81"/>
      <c r="H806" s="81"/>
      <c r="I806" s="436"/>
      <c r="J806" s="289"/>
      <c r="K806" s="436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</row>
    <row r="807" spans="1:25" ht="24" customHeight="1" x14ac:dyDescent="0.5">
      <c r="A807" s="81"/>
      <c r="B807" s="81"/>
      <c r="C807" s="81"/>
      <c r="D807" s="81"/>
      <c r="E807" s="81"/>
      <c r="F807" s="81"/>
      <c r="G807" s="81"/>
      <c r="H807" s="81"/>
      <c r="I807" s="436"/>
      <c r="J807" s="289"/>
      <c r="K807" s="436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</row>
    <row r="808" spans="1:25" ht="24" customHeight="1" x14ac:dyDescent="0.5">
      <c r="A808" s="81"/>
      <c r="B808" s="81"/>
      <c r="C808" s="81"/>
      <c r="D808" s="81"/>
      <c r="E808" s="81"/>
      <c r="F808" s="81"/>
      <c r="G808" s="81"/>
      <c r="H808" s="81"/>
      <c r="I808" s="436"/>
      <c r="J808" s="289"/>
      <c r="K808" s="436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</row>
    <row r="809" spans="1:25" ht="24" customHeight="1" x14ac:dyDescent="0.5">
      <c r="A809" s="81"/>
      <c r="B809" s="81"/>
      <c r="C809" s="81"/>
      <c r="D809" s="81"/>
      <c r="E809" s="81"/>
      <c r="F809" s="81"/>
      <c r="G809" s="81"/>
      <c r="H809" s="81"/>
      <c r="I809" s="436"/>
      <c r="J809" s="289"/>
      <c r="K809" s="436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</row>
    <row r="810" spans="1:25" ht="24" customHeight="1" x14ac:dyDescent="0.5">
      <c r="A810" s="81"/>
      <c r="B810" s="81"/>
      <c r="C810" s="81"/>
      <c r="D810" s="81"/>
      <c r="E810" s="81"/>
      <c r="F810" s="81"/>
      <c r="G810" s="81"/>
      <c r="H810" s="81"/>
      <c r="I810" s="436"/>
      <c r="J810" s="289"/>
      <c r="K810" s="436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</row>
    <row r="811" spans="1:25" ht="24" customHeight="1" x14ac:dyDescent="0.5">
      <c r="A811" s="81"/>
      <c r="B811" s="81"/>
      <c r="C811" s="81"/>
      <c r="D811" s="81"/>
      <c r="E811" s="81"/>
      <c r="F811" s="81"/>
      <c r="G811" s="81"/>
      <c r="H811" s="81"/>
      <c r="I811" s="436"/>
      <c r="J811" s="289"/>
      <c r="K811" s="436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</row>
    <row r="812" spans="1:25" ht="24" customHeight="1" x14ac:dyDescent="0.5">
      <c r="A812" s="81"/>
      <c r="B812" s="81"/>
      <c r="C812" s="81"/>
      <c r="D812" s="81"/>
      <c r="E812" s="81"/>
      <c r="F812" s="81"/>
      <c r="G812" s="81"/>
      <c r="H812" s="81"/>
      <c r="I812" s="436"/>
      <c r="J812" s="289"/>
      <c r="K812" s="436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</row>
    <row r="813" spans="1:25" ht="24" customHeight="1" x14ac:dyDescent="0.5">
      <c r="A813" s="81"/>
      <c r="B813" s="81"/>
      <c r="C813" s="81"/>
      <c r="D813" s="81"/>
      <c r="E813" s="81"/>
      <c r="F813" s="81"/>
      <c r="G813" s="81"/>
      <c r="H813" s="81"/>
      <c r="I813" s="436"/>
      <c r="J813" s="289"/>
      <c r="K813" s="436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</row>
    <row r="814" spans="1:25" ht="24" customHeight="1" x14ac:dyDescent="0.5">
      <c r="A814" s="81"/>
      <c r="B814" s="81"/>
      <c r="C814" s="81"/>
      <c r="D814" s="81"/>
      <c r="E814" s="81"/>
      <c r="F814" s="81"/>
      <c r="G814" s="81"/>
      <c r="H814" s="81"/>
      <c r="I814" s="436"/>
      <c r="J814" s="289"/>
      <c r="K814" s="436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</row>
    <row r="815" spans="1:25" ht="24" customHeight="1" x14ac:dyDescent="0.5">
      <c r="A815" s="81"/>
      <c r="B815" s="81"/>
      <c r="C815" s="81"/>
      <c r="D815" s="81"/>
      <c r="E815" s="81"/>
      <c r="F815" s="81"/>
      <c r="G815" s="81"/>
      <c r="H815" s="81"/>
      <c r="I815" s="436"/>
      <c r="J815" s="289"/>
      <c r="K815" s="436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</row>
    <row r="816" spans="1:25" ht="24" customHeight="1" x14ac:dyDescent="0.5">
      <c r="A816" s="81"/>
      <c r="B816" s="81"/>
      <c r="C816" s="81"/>
      <c r="D816" s="81"/>
      <c r="E816" s="81"/>
      <c r="F816" s="81"/>
      <c r="G816" s="81"/>
      <c r="H816" s="81"/>
      <c r="I816" s="436"/>
      <c r="J816" s="289"/>
      <c r="K816" s="436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</row>
    <row r="817" spans="1:25" ht="24" customHeight="1" x14ac:dyDescent="0.5">
      <c r="A817" s="81"/>
      <c r="B817" s="81"/>
      <c r="C817" s="81"/>
      <c r="D817" s="81"/>
      <c r="E817" s="81"/>
      <c r="F817" s="81"/>
      <c r="G817" s="81"/>
      <c r="H817" s="81"/>
      <c r="I817" s="436"/>
      <c r="J817" s="289"/>
      <c r="K817" s="436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</row>
    <row r="818" spans="1:25" ht="24" customHeight="1" x14ac:dyDescent="0.5">
      <c r="A818" s="81"/>
      <c r="B818" s="81"/>
      <c r="C818" s="81"/>
      <c r="D818" s="81"/>
      <c r="E818" s="81"/>
      <c r="F818" s="81"/>
      <c r="G818" s="81"/>
      <c r="H818" s="81"/>
      <c r="I818" s="436"/>
      <c r="J818" s="289"/>
      <c r="K818" s="436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</row>
    <row r="819" spans="1:25" ht="24" customHeight="1" x14ac:dyDescent="0.5">
      <c r="A819" s="81"/>
      <c r="B819" s="81"/>
      <c r="C819" s="81"/>
      <c r="D819" s="81"/>
      <c r="E819" s="81"/>
      <c r="F819" s="81"/>
      <c r="G819" s="81"/>
      <c r="H819" s="81"/>
      <c r="I819" s="436"/>
      <c r="J819" s="289"/>
      <c r="K819" s="436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</row>
    <row r="820" spans="1:25" ht="24" customHeight="1" x14ac:dyDescent="0.5">
      <c r="A820" s="81"/>
      <c r="B820" s="81"/>
      <c r="C820" s="81"/>
      <c r="D820" s="81"/>
      <c r="E820" s="81"/>
      <c r="F820" s="81"/>
      <c r="G820" s="81"/>
      <c r="H820" s="81"/>
      <c r="I820" s="436"/>
      <c r="J820" s="289"/>
      <c r="K820" s="436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</row>
    <row r="821" spans="1:25" ht="24" customHeight="1" x14ac:dyDescent="0.5">
      <c r="A821" s="81"/>
      <c r="B821" s="81"/>
      <c r="C821" s="81"/>
      <c r="D821" s="81"/>
      <c r="E821" s="81"/>
      <c r="F821" s="81"/>
      <c r="G821" s="81"/>
      <c r="H821" s="81"/>
      <c r="I821" s="436"/>
      <c r="J821" s="289"/>
      <c r="K821" s="436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</row>
    <row r="822" spans="1:25" ht="24" customHeight="1" x14ac:dyDescent="0.5">
      <c r="A822" s="81"/>
      <c r="B822" s="81"/>
      <c r="C822" s="81"/>
      <c r="D822" s="81"/>
      <c r="E822" s="81"/>
      <c r="F822" s="81"/>
      <c r="G822" s="81"/>
      <c r="H822" s="81"/>
      <c r="I822" s="436"/>
      <c r="J822" s="289"/>
      <c r="K822" s="436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</row>
    <row r="823" spans="1:25" ht="24" customHeight="1" x14ac:dyDescent="0.5">
      <c r="A823" s="81"/>
      <c r="B823" s="81"/>
      <c r="C823" s="81"/>
      <c r="D823" s="81"/>
      <c r="E823" s="81"/>
      <c r="F823" s="81"/>
      <c r="G823" s="81"/>
      <c r="H823" s="81"/>
      <c r="I823" s="436"/>
      <c r="J823" s="289"/>
      <c r="K823" s="436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</row>
    <row r="824" spans="1:25" ht="24" customHeight="1" x14ac:dyDescent="0.5">
      <c r="A824" s="81"/>
      <c r="B824" s="81"/>
      <c r="C824" s="81"/>
      <c r="D824" s="81"/>
      <c r="E824" s="81"/>
      <c r="F824" s="81"/>
      <c r="G824" s="81"/>
      <c r="H824" s="81"/>
      <c r="I824" s="436"/>
      <c r="J824" s="289"/>
      <c r="K824" s="436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</row>
    <row r="825" spans="1:25" ht="24" customHeight="1" x14ac:dyDescent="0.5">
      <c r="A825" s="81"/>
      <c r="B825" s="81"/>
      <c r="C825" s="81"/>
      <c r="D825" s="81"/>
      <c r="E825" s="81"/>
      <c r="F825" s="81"/>
      <c r="G825" s="81"/>
      <c r="H825" s="81"/>
      <c r="I825" s="436"/>
      <c r="J825" s="289"/>
      <c r="K825" s="436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</row>
    <row r="826" spans="1:25" ht="24" customHeight="1" x14ac:dyDescent="0.5">
      <c r="A826" s="81"/>
      <c r="B826" s="81"/>
      <c r="C826" s="81"/>
      <c r="D826" s="81"/>
      <c r="E826" s="81"/>
      <c r="F826" s="81"/>
      <c r="G826" s="81"/>
      <c r="H826" s="81"/>
      <c r="I826" s="436"/>
      <c r="J826" s="289"/>
      <c r="K826" s="436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</row>
    <row r="827" spans="1:25" ht="24" customHeight="1" x14ac:dyDescent="0.5">
      <c r="A827" s="81"/>
      <c r="B827" s="81"/>
      <c r="C827" s="81"/>
      <c r="D827" s="81"/>
      <c r="E827" s="81"/>
      <c r="F827" s="81"/>
      <c r="G827" s="81"/>
      <c r="H827" s="81"/>
      <c r="I827" s="436"/>
      <c r="J827" s="289"/>
      <c r="K827" s="436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</row>
    <row r="828" spans="1:25" ht="24" customHeight="1" x14ac:dyDescent="0.5">
      <c r="A828" s="81"/>
      <c r="B828" s="81"/>
      <c r="C828" s="81"/>
      <c r="D828" s="81"/>
      <c r="E828" s="81"/>
      <c r="F828" s="81"/>
      <c r="G828" s="81"/>
      <c r="H828" s="81"/>
      <c r="I828" s="436"/>
      <c r="J828" s="289"/>
      <c r="K828" s="436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</row>
    <row r="829" spans="1:25" ht="24" customHeight="1" x14ac:dyDescent="0.5">
      <c r="A829" s="81"/>
      <c r="B829" s="81"/>
      <c r="C829" s="81"/>
      <c r="D829" s="81"/>
      <c r="E829" s="81"/>
      <c r="F829" s="81"/>
      <c r="G829" s="81"/>
      <c r="H829" s="81"/>
      <c r="I829" s="436"/>
      <c r="J829" s="289"/>
      <c r="K829" s="436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</row>
    <row r="830" spans="1:25" ht="24" customHeight="1" x14ac:dyDescent="0.5">
      <c r="A830" s="81"/>
      <c r="B830" s="81"/>
      <c r="C830" s="81"/>
      <c r="D830" s="81"/>
      <c r="E830" s="81"/>
      <c r="F830" s="81"/>
      <c r="G830" s="81"/>
      <c r="H830" s="81"/>
      <c r="I830" s="436"/>
      <c r="J830" s="289"/>
      <c r="K830" s="436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</row>
    <row r="831" spans="1:25" ht="24" customHeight="1" x14ac:dyDescent="0.5">
      <c r="A831" s="81"/>
      <c r="B831" s="81"/>
      <c r="C831" s="81"/>
      <c r="D831" s="81"/>
      <c r="E831" s="81"/>
      <c r="F831" s="81"/>
      <c r="G831" s="81"/>
      <c r="H831" s="81"/>
      <c r="I831" s="436"/>
      <c r="J831" s="289"/>
      <c r="K831" s="436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</row>
    <row r="832" spans="1:25" ht="24" customHeight="1" x14ac:dyDescent="0.5">
      <c r="A832" s="81"/>
      <c r="B832" s="81"/>
      <c r="C832" s="81"/>
      <c r="D832" s="81"/>
      <c r="E832" s="81"/>
      <c r="F832" s="81"/>
      <c r="G832" s="81"/>
      <c r="H832" s="81"/>
      <c r="I832" s="436"/>
      <c r="J832" s="289"/>
      <c r="K832" s="436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</row>
    <row r="833" spans="1:25" ht="24" customHeight="1" x14ac:dyDescent="0.5">
      <c r="A833" s="81"/>
      <c r="B833" s="81"/>
      <c r="C833" s="81"/>
      <c r="D833" s="81"/>
      <c r="E833" s="81"/>
      <c r="F833" s="81"/>
      <c r="G833" s="81"/>
      <c r="H833" s="81"/>
      <c r="I833" s="436"/>
      <c r="J833" s="289"/>
      <c r="K833" s="436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</row>
    <row r="834" spans="1:25" ht="24" customHeight="1" x14ac:dyDescent="0.5">
      <c r="A834" s="81"/>
      <c r="B834" s="81"/>
      <c r="C834" s="81"/>
      <c r="D834" s="81"/>
      <c r="E834" s="81"/>
      <c r="F834" s="81"/>
      <c r="G834" s="81"/>
      <c r="H834" s="81"/>
      <c r="I834" s="436"/>
      <c r="J834" s="289"/>
      <c r="K834" s="436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</row>
    <row r="835" spans="1:25" ht="24" customHeight="1" x14ac:dyDescent="0.5">
      <c r="A835" s="81"/>
      <c r="B835" s="81"/>
      <c r="C835" s="81"/>
      <c r="D835" s="81"/>
      <c r="E835" s="81"/>
      <c r="F835" s="81"/>
      <c r="G835" s="81"/>
      <c r="H835" s="81"/>
      <c r="I835" s="436"/>
      <c r="J835" s="289"/>
      <c r="K835" s="436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</row>
    <row r="836" spans="1:25" ht="24" customHeight="1" x14ac:dyDescent="0.5">
      <c r="A836" s="81"/>
      <c r="B836" s="81"/>
      <c r="C836" s="81"/>
      <c r="D836" s="81"/>
      <c r="E836" s="81"/>
      <c r="F836" s="81"/>
      <c r="G836" s="81"/>
      <c r="H836" s="81"/>
      <c r="I836" s="436"/>
      <c r="J836" s="289"/>
      <c r="K836" s="436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</row>
    <row r="837" spans="1:25" ht="24" customHeight="1" x14ac:dyDescent="0.5">
      <c r="A837" s="81"/>
      <c r="B837" s="81"/>
      <c r="C837" s="81"/>
      <c r="D837" s="81"/>
      <c r="E837" s="81"/>
      <c r="F837" s="81"/>
      <c r="G837" s="81"/>
      <c r="H837" s="81"/>
      <c r="I837" s="436"/>
      <c r="J837" s="289"/>
      <c r="K837" s="436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</row>
    <row r="838" spans="1:25" ht="24" customHeight="1" x14ac:dyDescent="0.5">
      <c r="A838" s="81"/>
      <c r="B838" s="81"/>
      <c r="C838" s="81"/>
      <c r="D838" s="81"/>
      <c r="E838" s="81"/>
      <c r="F838" s="81"/>
      <c r="G838" s="81"/>
      <c r="H838" s="81"/>
      <c r="I838" s="436"/>
      <c r="J838" s="289"/>
      <c r="K838" s="436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</row>
    <row r="839" spans="1:25" ht="24" customHeight="1" x14ac:dyDescent="0.5">
      <c r="A839" s="81"/>
      <c r="B839" s="81"/>
      <c r="C839" s="81"/>
      <c r="D839" s="81"/>
      <c r="E839" s="81"/>
      <c r="F839" s="81"/>
      <c r="G839" s="81"/>
      <c r="H839" s="81"/>
      <c r="I839" s="436"/>
      <c r="J839" s="289"/>
      <c r="K839" s="436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</row>
    <row r="840" spans="1:25" ht="24" customHeight="1" x14ac:dyDescent="0.5">
      <c r="A840" s="81"/>
      <c r="B840" s="81"/>
      <c r="C840" s="81"/>
      <c r="D840" s="81"/>
      <c r="E840" s="81"/>
      <c r="F840" s="81"/>
      <c r="G840" s="81"/>
      <c r="H840" s="81"/>
      <c r="I840" s="436"/>
      <c r="J840" s="289"/>
      <c r="K840" s="436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</row>
    <row r="841" spans="1:25" ht="24" customHeight="1" x14ac:dyDescent="0.5">
      <c r="A841" s="81"/>
      <c r="B841" s="81"/>
      <c r="C841" s="81"/>
      <c r="D841" s="81"/>
      <c r="E841" s="81"/>
      <c r="F841" s="81"/>
      <c r="G841" s="81"/>
      <c r="H841" s="81"/>
      <c r="I841" s="436"/>
      <c r="J841" s="289"/>
      <c r="K841" s="436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</row>
    <row r="842" spans="1:25" ht="24" customHeight="1" x14ac:dyDescent="0.5">
      <c r="A842" s="81"/>
      <c r="B842" s="81"/>
      <c r="C842" s="81"/>
      <c r="D842" s="81"/>
      <c r="E842" s="81"/>
      <c r="F842" s="81"/>
      <c r="G842" s="81"/>
      <c r="H842" s="81"/>
      <c r="I842" s="436"/>
      <c r="J842" s="289"/>
      <c r="K842" s="436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</row>
    <row r="843" spans="1:25" ht="24" customHeight="1" x14ac:dyDescent="0.5">
      <c r="A843" s="81"/>
      <c r="B843" s="81"/>
      <c r="C843" s="81"/>
      <c r="D843" s="81"/>
      <c r="E843" s="81"/>
      <c r="F843" s="81"/>
      <c r="G843" s="81"/>
      <c r="H843" s="81"/>
      <c r="I843" s="436"/>
      <c r="J843" s="289"/>
      <c r="K843" s="436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</row>
    <row r="844" spans="1:25" ht="24" customHeight="1" x14ac:dyDescent="0.5">
      <c r="A844" s="81"/>
      <c r="B844" s="81"/>
      <c r="C844" s="81"/>
      <c r="D844" s="81"/>
      <c r="E844" s="81"/>
      <c r="F844" s="81"/>
      <c r="G844" s="81"/>
      <c r="H844" s="81"/>
      <c r="I844" s="436"/>
      <c r="J844" s="289"/>
      <c r="K844" s="436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</row>
    <row r="845" spans="1:25" ht="24" customHeight="1" x14ac:dyDescent="0.5">
      <c r="A845" s="81"/>
      <c r="B845" s="81"/>
      <c r="C845" s="81"/>
      <c r="D845" s="81"/>
      <c r="E845" s="81"/>
      <c r="F845" s="81"/>
      <c r="G845" s="81"/>
      <c r="H845" s="81"/>
      <c r="I845" s="436"/>
      <c r="J845" s="289"/>
      <c r="K845" s="436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</row>
    <row r="846" spans="1:25" ht="24" customHeight="1" x14ac:dyDescent="0.5">
      <c r="A846" s="81"/>
      <c r="B846" s="81"/>
      <c r="C846" s="81"/>
      <c r="D846" s="81"/>
      <c r="E846" s="81"/>
      <c r="F846" s="81"/>
      <c r="G846" s="81"/>
      <c r="H846" s="81"/>
      <c r="I846" s="436"/>
      <c r="J846" s="289"/>
      <c r="K846" s="436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</row>
    <row r="847" spans="1:25" ht="24" customHeight="1" x14ac:dyDescent="0.5">
      <c r="A847" s="81"/>
      <c r="B847" s="81"/>
      <c r="C847" s="81"/>
      <c r="D847" s="81"/>
      <c r="E847" s="81"/>
      <c r="F847" s="81"/>
      <c r="G847" s="81"/>
      <c r="H847" s="81"/>
      <c r="I847" s="436"/>
      <c r="J847" s="289"/>
      <c r="K847" s="436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</row>
    <row r="848" spans="1:25" ht="24" customHeight="1" x14ac:dyDescent="0.5">
      <c r="A848" s="81"/>
      <c r="B848" s="81"/>
      <c r="C848" s="81"/>
      <c r="D848" s="81"/>
      <c r="E848" s="81"/>
      <c r="F848" s="81"/>
      <c r="G848" s="81"/>
      <c r="H848" s="81"/>
      <c r="I848" s="436"/>
      <c r="J848" s="289"/>
      <c r="K848" s="436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</row>
    <row r="849" spans="1:25" ht="24" customHeight="1" x14ac:dyDescent="0.5">
      <c r="A849" s="81"/>
      <c r="B849" s="81"/>
      <c r="C849" s="81"/>
      <c r="D849" s="81"/>
      <c r="E849" s="81"/>
      <c r="F849" s="81"/>
      <c r="G849" s="81"/>
      <c r="H849" s="81"/>
      <c r="I849" s="436"/>
      <c r="J849" s="289"/>
      <c r="K849" s="436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</row>
    <row r="850" spans="1:25" ht="24" customHeight="1" x14ac:dyDescent="0.5">
      <c r="A850" s="81"/>
      <c r="B850" s="81"/>
      <c r="C850" s="81"/>
      <c r="D850" s="81"/>
      <c r="E850" s="81"/>
      <c r="F850" s="81"/>
      <c r="G850" s="81"/>
      <c r="H850" s="81"/>
      <c r="I850" s="436"/>
      <c r="J850" s="289"/>
      <c r="K850" s="436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</row>
    <row r="851" spans="1:25" ht="24" customHeight="1" x14ac:dyDescent="0.5">
      <c r="A851" s="81"/>
      <c r="B851" s="81"/>
      <c r="C851" s="81"/>
      <c r="D851" s="81"/>
      <c r="E851" s="81"/>
      <c r="F851" s="81"/>
      <c r="G851" s="81"/>
      <c r="H851" s="81"/>
      <c r="I851" s="436"/>
      <c r="J851" s="289"/>
      <c r="K851" s="436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</row>
    <row r="852" spans="1:25" ht="24" customHeight="1" x14ac:dyDescent="0.5">
      <c r="A852" s="81"/>
      <c r="B852" s="81"/>
      <c r="C852" s="81"/>
      <c r="D852" s="81"/>
      <c r="E852" s="81"/>
      <c r="F852" s="81"/>
      <c r="G852" s="81"/>
      <c r="H852" s="81"/>
      <c r="I852" s="436"/>
      <c r="J852" s="289"/>
      <c r="K852" s="436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</row>
    <row r="853" spans="1:25" ht="24" customHeight="1" x14ac:dyDescent="0.5">
      <c r="A853" s="81"/>
      <c r="B853" s="81"/>
      <c r="C853" s="81"/>
      <c r="D853" s="81"/>
      <c r="E853" s="81"/>
      <c r="F853" s="81"/>
      <c r="G853" s="81"/>
      <c r="H853" s="81"/>
      <c r="I853" s="436"/>
      <c r="J853" s="289"/>
      <c r="K853" s="436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</row>
    <row r="854" spans="1:25" ht="24" customHeight="1" x14ac:dyDescent="0.5">
      <c r="A854" s="81"/>
      <c r="B854" s="81"/>
      <c r="C854" s="81"/>
      <c r="D854" s="81"/>
      <c r="E854" s="81"/>
      <c r="F854" s="81"/>
      <c r="G854" s="81"/>
      <c r="H854" s="81"/>
      <c r="I854" s="436"/>
      <c r="J854" s="289"/>
      <c r="K854" s="436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</row>
    <row r="855" spans="1:25" ht="24" customHeight="1" x14ac:dyDescent="0.5">
      <c r="A855" s="81"/>
      <c r="B855" s="81"/>
      <c r="C855" s="81"/>
      <c r="D855" s="81"/>
      <c r="E855" s="81"/>
      <c r="F855" s="81"/>
      <c r="G855" s="81"/>
      <c r="H855" s="81"/>
      <c r="I855" s="436"/>
      <c r="J855" s="289"/>
      <c r="K855" s="436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</row>
    <row r="856" spans="1:25" ht="24" customHeight="1" x14ac:dyDescent="0.5">
      <c r="A856" s="81"/>
      <c r="B856" s="81"/>
      <c r="C856" s="81"/>
      <c r="D856" s="81"/>
      <c r="E856" s="81"/>
      <c r="F856" s="81"/>
      <c r="G856" s="81"/>
      <c r="H856" s="81"/>
      <c r="I856" s="436"/>
      <c r="J856" s="289"/>
      <c r="K856" s="436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</row>
    <row r="857" spans="1:25" ht="24" customHeight="1" x14ac:dyDescent="0.5">
      <c r="A857" s="81"/>
      <c r="B857" s="81"/>
      <c r="C857" s="81"/>
      <c r="D857" s="81"/>
      <c r="E857" s="81"/>
      <c r="F857" s="81"/>
      <c r="G857" s="81"/>
      <c r="H857" s="81"/>
      <c r="I857" s="436"/>
      <c r="J857" s="289"/>
      <c r="K857" s="436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</row>
    <row r="858" spans="1:25" ht="24" customHeight="1" x14ac:dyDescent="0.5">
      <c r="A858" s="81"/>
      <c r="B858" s="81"/>
      <c r="C858" s="81"/>
      <c r="D858" s="81"/>
      <c r="E858" s="81"/>
      <c r="F858" s="81"/>
      <c r="G858" s="81"/>
      <c r="H858" s="81"/>
      <c r="I858" s="436"/>
      <c r="J858" s="289"/>
      <c r="K858" s="436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</row>
    <row r="859" spans="1:25" ht="24" customHeight="1" x14ac:dyDescent="0.5">
      <c r="A859" s="81"/>
      <c r="B859" s="81"/>
      <c r="C859" s="81"/>
      <c r="D859" s="81"/>
      <c r="E859" s="81"/>
      <c r="F859" s="81"/>
      <c r="G859" s="81"/>
      <c r="H859" s="81"/>
      <c r="I859" s="436"/>
      <c r="J859" s="289"/>
      <c r="K859" s="436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</row>
    <row r="860" spans="1:25" ht="24" customHeight="1" x14ac:dyDescent="0.5">
      <c r="A860" s="81"/>
      <c r="B860" s="81"/>
      <c r="C860" s="81"/>
      <c r="D860" s="81"/>
      <c r="E860" s="81"/>
      <c r="F860" s="81"/>
      <c r="G860" s="81"/>
      <c r="H860" s="81"/>
      <c r="I860" s="436"/>
      <c r="J860" s="289"/>
      <c r="K860" s="436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</row>
    <row r="861" spans="1:25" ht="24" customHeight="1" x14ac:dyDescent="0.5">
      <c r="A861" s="81"/>
      <c r="B861" s="81"/>
      <c r="C861" s="81"/>
      <c r="D861" s="81"/>
      <c r="E861" s="81"/>
      <c r="F861" s="81"/>
      <c r="G861" s="81"/>
      <c r="H861" s="81"/>
      <c r="I861" s="436"/>
      <c r="J861" s="289"/>
      <c r="K861" s="436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</row>
    <row r="862" spans="1:25" ht="24" customHeight="1" x14ac:dyDescent="0.5">
      <c r="A862" s="81"/>
      <c r="B862" s="81"/>
      <c r="C862" s="81"/>
      <c r="D862" s="81"/>
      <c r="E862" s="81"/>
      <c r="F862" s="81"/>
      <c r="G862" s="81"/>
      <c r="H862" s="81"/>
      <c r="I862" s="436"/>
      <c r="J862" s="289"/>
      <c r="K862" s="436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</row>
    <row r="863" spans="1:25" ht="24" customHeight="1" x14ac:dyDescent="0.5">
      <c r="A863" s="81"/>
      <c r="B863" s="81"/>
      <c r="C863" s="81"/>
      <c r="D863" s="81"/>
      <c r="E863" s="81"/>
      <c r="F863" s="81"/>
      <c r="G863" s="81"/>
      <c r="H863" s="81"/>
      <c r="I863" s="436"/>
      <c r="J863" s="289"/>
      <c r="K863" s="436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</row>
    <row r="864" spans="1:25" ht="24" customHeight="1" x14ac:dyDescent="0.5">
      <c r="A864" s="81"/>
      <c r="B864" s="81"/>
      <c r="C864" s="81"/>
      <c r="D864" s="81"/>
      <c r="E864" s="81"/>
      <c r="F864" s="81"/>
      <c r="G864" s="81"/>
      <c r="H864" s="81"/>
      <c r="I864" s="436"/>
      <c r="J864" s="289"/>
      <c r="K864" s="436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</row>
    <row r="865" spans="1:25" ht="24" customHeight="1" x14ac:dyDescent="0.5">
      <c r="A865" s="81"/>
      <c r="B865" s="81"/>
      <c r="C865" s="81"/>
      <c r="D865" s="81"/>
      <c r="E865" s="81"/>
      <c r="F865" s="81"/>
      <c r="G865" s="81"/>
      <c r="H865" s="81"/>
      <c r="I865" s="436"/>
      <c r="J865" s="289"/>
      <c r="K865" s="436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</row>
    <row r="866" spans="1:25" ht="24" customHeight="1" x14ac:dyDescent="0.5">
      <c r="A866" s="81"/>
      <c r="B866" s="81"/>
      <c r="C866" s="81"/>
      <c r="D866" s="81"/>
      <c r="E866" s="81"/>
      <c r="F866" s="81"/>
      <c r="G866" s="81"/>
      <c r="H866" s="81"/>
      <c r="I866" s="436"/>
      <c r="J866" s="289"/>
      <c r="K866" s="436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</row>
    <row r="867" spans="1:25" ht="24" customHeight="1" x14ac:dyDescent="0.5">
      <c r="A867" s="81"/>
      <c r="B867" s="81"/>
      <c r="C867" s="81"/>
      <c r="D867" s="81"/>
      <c r="E867" s="81"/>
      <c r="F867" s="81"/>
      <c r="G867" s="81"/>
      <c r="H867" s="81"/>
      <c r="I867" s="436"/>
      <c r="J867" s="289"/>
      <c r="K867" s="436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</row>
    <row r="868" spans="1:25" ht="24" customHeight="1" x14ac:dyDescent="0.5">
      <c r="A868" s="81"/>
      <c r="B868" s="81"/>
      <c r="C868" s="81"/>
      <c r="D868" s="81"/>
      <c r="E868" s="81"/>
      <c r="F868" s="81"/>
      <c r="G868" s="81"/>
      <c r="H868" s="81"/>
      <c r="I868" s="436"/>
      <c r="J868" s="289"/>
      <c r="K868" s="436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</row>
    <row r="869" spans="1:25" ht="24" customHeight="1" x14ac:dyDescent="0.5">
      <c r="A869" s="81"/>
      <c r="B869" s="81"/>
      <c r="C869" s="81"/>
      <c r="D869" s="81"/>
      <c r="E869" s="81"/>
      <c r="F869" s="81"/>
      <c r="G869" s="81"/>
      <c r="H869" s="81"/>
      <c r="I869" s="436"/>
      <c r="J869" s="289"/>
      <c r="K869" s="436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</row>
    <row r="870" spans="1:25" ht="24" customHeight="1" x14ac:dyDescent="0.5">
      <c r="A870" s="81"/>
      <c r="B870" s="81"/>
      <c r="C870" s="81"/>
      <c r="D870" s="81"/>
      <c r="E870" s="81"/>
      <c r="F870" s="81"/>
      <c r="G870" s="81"/>
      <c r="H870" s="81"/>
      <c r="I870" s="436"/>
      <c r="J870" s="289"/>
      <c r="K870" s="436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</row>
    <row r="871" spans="1:25" ht="24" customHeight="1" x14ac:dyDescent="0.5">
      <c r="A871" s="81"/>
      <c r="B871" s="81"/>
      <c r="C871" s="81"/>
      <c r="D871" s="81"/>
      <c r="E871" s="81"/>
      <c r="F871" s="81"/>
      <c r="G871" s="81"/>
      <c r="H871" s="81"/>
      <c r="I871" s="436"/>
      <c r="J871" s="289"/>
      <c r="K871" s="436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</row>
    <row r="872" spans="1:25" ht="24" customHeight="1" x14ac:dyDescent="0.5">
      <c r="A872" s="81"/>
      <c r="B872" s="81"/>
      <c r="C872" s="81"/>
      <c r="D872" s="81"/>
      <c r="E872" s="81"/>
      <c r="F872" s="81"/>
      <c r="G872" s="81"/>
      <c r="H872" s="81"/>
      <c r="I872" s="436"/>
      <c r="J872" s="289"/>
      <c r="K872" s="436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</row>
    <row r="873" spans="1:25" ht="24" customHeight="1" x14ac:dyDescent="0.5">
      <c r="A873" s="81"/>
      <c r="B873" s="81"/>
      <c r="C873" s="81"/>
      <c r="D873" s="81"/>
      <c r="E873" s="81"/>
      <c r="F873" s="81"/>
      <c r="G873" s="81"/>
      <c r="H873" s="81"/>
      <c r="I873" s="436"/>
      <c r="J873" s="289"/>
      <c r="K873" s="436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</row>
    <row r="874" spans="1:25" ht="24" customHeight="1" x14ac:dyDescent="0.5">
      <c r="A874" s="81"/>
      <c r="B874" s="81"/>
      <c r="C874" s="81"/>
      <c r="D874" s="81"/>
      <c r="E874" s="81"/>
      <c r="F874" s="81"/>
      <c r="G874" s="81"/>
      <c r="H874" s="81"/>
      <c r="I874" s="436"/>
      <c r="J874" s="289"/>
      <c r="K874" s="436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</row>
    <row r="875" spans="1:25" ht="24" customHeight="1" x14ac:dyDescent="0.5">
      <c r="A875" s="81"/>
      <c r="B875" s="81"/>
      <c r="C875" s="81"/>
      <c r="D875" s="81"/>
      <c r="E875" s="81"/>
      <c r="F875" s="81"/>
      <c r="G875" s="81"/>
      <c r="H875" s="81"/>
      <c r="I875" s="436"/>
      <c r="J875" s="289"/>
      <c r="K875" s="436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</row>
    <row r="876" spans="1:25" ht="24" customHeight="1" x14ac:dyDescent="0.5">
      <c r="A876" s="81"/>
      <c r="B876" s="81"/>
      <c r="C876" s="81"/>
      <c r="D876" s="81"/>
      <c r="E876" s="81"/>
      <c r="F876" s="81"/>
      <c r="G876" s="81"/>
      <c r="H876" s="81"/>
      <c r="I876" s="436"/>
      <c r="J876" s="289"/>
      <c r="K876" s="436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</row>
    <row r="877" spans="1:25" ht="24" customHeight="1" x14ac:dyDescent="0.5">
      <c r="A877" s="81"/>
      <c r="B877" s="81"/>
      <c r="C877" s="81"/>
      <c r="D877" s="81"/>
      <c r="E877" s="81"/>
      <c r="F877" s="81"/>
      <c r="G877" s="81"/>
      <c r="H877" s="81"/>
      <c r="I877" s="436"/>
      <c r="J877" s="289"/>
      <c r="K877" s="436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</row>
    <row r="878" spans="1:25" ht="24" customHeight="1" x14ac:dyDescent="0.5">
      <c r="A878" s="81"/>
      <c r="B878" s="81"/>
      <c r="C878" s="81"/>
      <c r="D878" s="81"/>
      <c r="E878" s="81"/>
      <c r="F878" s="81"/>
      <c r="G878" s="81"/>
      <c r="H878" s="81"/>
      <c r="I878" s="436"/>
      <c r="J878" s="289"/>
      <c r="K878" s="436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</row>
    <row r="879" spans="1:25" ht="24" customHeight="1" x14ac:dyDescent="0.5">
      <c r="A879" s="81"/>
      <c r="B879" s="81"/>
      <c r="C879" s="81"/>
      <c r="D879" s="81"/>
      <c r="E879" s="81"/>
      <c r="F879" s="81"/>
      <c r="G879" s="81"/>
      <c r="H879" s="81"/>
      <c r="I879" s="436"/>
      <c r="J879" s="289"/>
      <c r="K879" s="436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</row>
    <row r="880" spans="1:25" ht="24" customHeight="1" x14ac:dyDescent="0.5">
      <c r="A880" s="81"/>
      <c r="B880" s="81"/>
      <c r="C880" s="81"/>
      <c r="D880" s="81"/>
      <c r="E880" s="81"/>
      <c r="F880" s="81"/>
      <c r="G880" s="81"/>
      <c r="H880" s="81"/>
      <c r="I880" s="436"/>
      <c r="J880" s="289"/>
      <c r="K880" s="436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</row>
    <row r="881" spans="1:25" ht="24" customHeight="1" x14ac:dyDescent="0.5">
      <c r="A881" s="81"/>
      <c r="B881" s="81"/>
      <c r="C881" s="81"/>
      <c r="D881" s="81"/>
      <c r="E881" s="81"/>
      <c r="F881" s="81"/>
      <c r="G881" s="81"/>
      <c r="H881" s="81"/>
      <c r="I881" s="436"/>
      <c r="J881" s="289"/>
      <c r="K881" s="436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</row>
    <row r="882" spans="1:25" ht="24" customHeight="1" x14ac:dyDescent="0.5">
      <c r="A882" s="81"/>
      <c r="B882" s="81"/>
      <c r="C882" s="81"/>
      <c r="D882" s="81"/>
      <c r="E882" s="81"/>
      <c r="F882" s="81"/>
      <c r="G882" s="81"/>
      <c r="H882" s="81"/>
      <c r="I882" s="436"/>
      <c r="J882" s="289"/>
      <c r="K882" s="436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</row>
    <row r="883" spans="1:25" ht="24" customHeight="1" x14ac:dyDescent="0.5">
      <c r="A883" s="81"/>
      <c r="B883" s="81"/>
      <c r="C883" s="81"/>
      <c r="D883" s="81"/>
      <c r="E883" s="81"/>
      <c r="F883" s="81"/>
      <c r="G883" s="81"/>
      <c r="H883" s="81"/>
      <c r="I883" s="436"/>
      <c r="J883" s="289"/>
      <c r="K883" s="436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</row>
    <row r="884" spans="1:25" ht="24" customHeight="1" x14ac:dyDescent="0.5">
      <c r="A884" s="81"/>
      <c r="B884" s="81"/>
      <c r="C884" s="81"/>
      <c r="D884" s="81"/>
      <c r="E884" s="81"/>
      <c r="F884" s="81"/>
      <c r="G884" s="81"/>
      <c r="H884" s="81"/>
      <c r="I884" s="436"/>
      <c r="J884" s="289"/>
      <c r="K884" s="436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</row>
    <row r="885" spans="1:25" ht="24" customHeight="1" x14ac:dyDescent="0.5">
      <c r="A885" s="81"/>
      <c r="B885" s="81"/>
      <c r="C885" s="81"/>
      <c r="D885" s="81"/>
      <c r="E885" s="81"/>
      <c r="F885" s="81"/>
      <c r="G885" s="81"/>
      <c r="H885" s="81"/>
      <c r="I885" s="436"/>
      <c r="J885" s="289"/>
      <c r="K885" s="436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</row>
    <row r="886" spans="1:25" ht="24" customHeight="1" x14ac:dyDescent="0.5">
      <c r="A886" s="81"/>
      <c r="B886" s="81"/>
      <c r="C886" s="81"/>
      <c r="D886" s="81"/>
      <c r="E886" s="81"/>
      <c r="F886" s="81"/>
      <c r="G886" s="81"/>
      <c r="H886" s="81"/>
      <c r="I886" s="436"/>
      <c r="J886" s="289"/>
      <c r="K886" s="436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</row>
    <row r="887" spans="1:25" ht="24" customHeight="1" x14ac:dyDescent="0.5">
      <c r="A887" s="81"/>
      <c r="B887" s="81"/>
      <c r="C887" s="81"/>
      <c r="D887" s="81"/>
      <c r="E887" s="81"/>
      <c r="F887" s="81"/>
      <c r="G887" s="81"/>
      <c r="H887" s="81"/>
      <c r="I887" s="436"/>
      <c r="J887" s="289"/>
      <c r="K887" s="436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</row>
    <row r="888" spans="1:25" ht="24" customHeight="1" x14ac:dyDescent="0.5">
      <c r="A888" s="81"/>
      <c r="B888" s="81"/>
      <c r="C888" s="81"/>
      <c r="D888" s="81"/>
      <c r="E888" s="81"/>
      <c r="F888" s="81"/>
      <c r="G888" s="81"/>
      <c r="H888" s="81"/>
      <c r="I888" s="436"/>
      <c r="J888" s="289"/>
      <c r="K888" s="436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</row>
    <row r="889" spans="1:25" ht="24" customHeight="1" x14ac:dyDescent="0.5">
      <c r="A889" s="81"/>
      <c r="B889" s="81"/>
      <c r="C889" s="81"/>
      <c r="D889" s="81"/>
      <c r="E889" s="81"/>
      <c r="F889" s="81"/>
      <c r="G889" s="81"/>
      <c r="H889" s="81"/>
      <c r="I889" s="436"/>
      <c r="J889" s="289"/>
      <c r="K889" s="436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</row>
    <row r="890" spans="1:25" ht="24" customHeight="1" x14ac:dyDescent="0.5">
      <c r="A890" s="81"/>
      <c r="B890" s="81"/>
      <c r="C890" s="81"/>
      <c r="D890" s="81"/>
      <c r="E890" s="81"/>
      <c r="F890" s="81"/>
      <c r="G890" s="81"/>
      <c r="H890" s="81"/>
      <c r="I890" s="436"/>
      <c r="J890" s="289"/>
      <c r="K890" s="436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</row>
    <row r="891" spans="1:25" ht="24" customHeight="1" x14ac:dyDescent="0.5">
      <c r="A891" s="81"/>
      <c r="B891" s="81"/>
      <c r="C891" s="81"/>
      <c r="D891" s="81"/>
      <c r="E891" s="81"/>
      <c r="F891" s="81"/>
      <c r="G891" s="81"/>
      <c r="H891" s="81"/>
      <c r="I891" s="436"/>
      <c r="J891" s="289"/>
      <c r="K891" s="436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</row>
    <row r="892" spans="1:25" ht="24" customHeight="1" x14ac:dyDescent="0.5">
      <c r="A892" s="81"/>
      <c r="B892" s="81"/>
      <c r="C892" s="81"/>
      <c r="D892" s="81"/>
      <c r="E892" s="81"/>
      <c r="F892" s="81"/>
      <c r="G892" s="81"/>
      <c r="H892" s="81"/>
      <c r="I892" s="436"/>
      <c r="J892" s="289"/>
      <c r="K892" s="436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</row>
    <row r="893" spans="1:25" ht="24" customHeight="1" x14ac:dyDescent="0.5">
      <c r="A893" s="81"/>
      <c r="B893" s="81"/>
      <c r="C893" s="81"/>
      <c r="D893" s="81"/>
      <c r="E893" s="81"/>
      <c r="F893" s="81"/>
      <c r="G893" s="81"/>
      <c r="H893" s="81"/>
      <c r="I893" s="436"/>
      <c r="J893" s="289"/>
      <c r="K893" s="436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</row>
    <row r="894" spans="1:25" ht="24" customHeight="1" x14ac:dyDescent="0.5">
      <c r="A894" s="81"/>
      <c r="B894" s="81"/>
      <c r="C894" s="81"/>
      <c r="D894" s="81"/>
      <c r="E894" s="81"/>
      <c r="F894" s="81"/>
      <c r="G894" s="81"/>
      <c r="H894" s="81"/>
      <c r="I894" s="436"/>
      <c r="J894" s="289"/>
      <c r="K894" s="436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</row>
    <row r="895" spans="1:25" ht="24" customHeight="1" x14ac:dyDescent="0.5">
      <c r="A895" s="81"/>
      <c r="B895" s="81"/>
      <c r="C895" s="81"/>
      <c r="D895" s="81"/>
      <c r="E895" s="81"/>
      <c r="F895" s="81"/>
      <c r="G895" s="81"/>
      <c r="H895" s="81"/>
      <c r="I895" s="436"/>
      <c r="J895" s="289"/>
      <c r="K895" s="436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</row>
    <row r="896" spans="1:25" ht="24" customHeight="1" x14ac:dyDescent="0.5">
      <c r="A896" s="81"/>
      <c r="B896" s="81"/>
      <c r="C896" s="81"/>
      <c r="D896" s="81"/>
      <c r="E896" s="81"/>
      <c r="F896" s="81"/>
      <c r="G896" s="81"/>
      <c r="H896" s="81"/>
      <c r="I896" s="436"/>
      <c r="J896" s="289"/>
      <c r="K896" s="436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</row>
    <row r="897" spans="1:25" ht="24" customHeight="1" x14ac:dyDescent="0.5">
      <c r="A897" s="81"/>
      <c r="B897" s="81"/>
      <c r="C897" s="81"/>
      <c r="D897" s="81"/>
      <c r="E897" s="81"/>
      <c r="F897" s="81"/>
      <c r="G897" s="81"/>
      <c r="H897" s="81"/>
      <c r="I897" s="436"/>
      <c r="J897" s="289"/>
      <c r="K897" s="436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</row>
    <row r="898" spans="1:25" ht="24" customHeight="1" x14ac:dyDescent="0.5">
      <c r="A898" s="81"/>
      <c r="B898" s="81"/>
      <c r="C898" s="81"/>
      <c r="D898" s="81"/>
      <c r="E898" s="81"/>
      <c r="F898" s="81"/>
      <c r="G898" s="81"/>
      <c r="H898" s="81"/>
      <c r="I898" s="436"/>
      <c r="J898" s="289"/>
      <c r="K898" s="436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</row>
    <row r="899" spans="1:25" ht="24" customHeight="1" x14ac:dyDescent="0.5">
      <c r="A899" s="81"/>
      <c r="B899" s="81"/>
      <c r="C899" s="81"/>
      <c r="D899" s="81"/>
      <c r="E899" s="81"/>
      <c r="F899" s="81"/>
      <c r="G899" s="81"/>
      <c r="H899" s="81"/>
      <c r="I899" s="436"/>
      <c r="J899" s="289"/>
      <c r="K899" s="436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</row>
    <row r="900" spans="1:25" ht="24" customHeight="1" x14ac:dyDescent="0.5">
      <c r="A900" s="81"/>
      <c r="B900" s="81"/>
      <c r="C900" s="81"/>
      <c r="D900" s="81"/>
      <c r="E900" s="81"/>
      <c r="F900" s="81"/>
      <c r="G900" s="81"/>
      <c r="H900" s="81"/>
      <c r="I900" s="436"/>
      <c r="J900" s="289"/>
      <c r="K900" s="436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</row>
    <row r="901" spans="1:25" ht="24" customHeight="1" x14ac:dyDescent="0.5">
      <c r="A901" s="81"/>
      <c r="B901" s="81"/>
      <c r="C901" s="81"/>
      <c r="D901" s="81"/>
      <c r="E901" s="81"/>
      <c r="F901" s="81"/>
      <c r="G901" s="81"/>
      <c r="H901" s="81"/>
      <c r="I901" s="436"/>
      <c r="J901" s="289"/>
      <c r="K901" s="436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</row>
    <row r="902" spans="1:25" ht="24" customHeight="1" x14ac:dyDescent="0.5">
      <c r="A902" s="81"/>
      <c r="B902" s="81"/>
      <c r="C902" s="81"/>
      <c r="D902" s="81"/>
      <c r="E902" s="81"/>
      <c r="F902" s="81"/>
      <c r="G902" s="81"/>
      <c r="H902" s="81"/>
      <c r="I902" s="436"/>
      <c r="J902" s="289"/>
      <c r="K902" s="436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</row>
    <row r="903" spans="1:25" ht="24" customHeight="1" x14ac:dyDescent="0.5">
      <c r="A903" s="81"/>
      <c r="B903" s="81"/>
      <c r="C903" s="81"/>
      <c r="D903" s="81"/>
      <c r="E903" s="81"/>
      <c r="F903" s="81"/>
      <c r="G903" s="81"/>
      <c r="H903" s="81"/>
      <c r="I903" s="436"/>
      <c r="J903" s="289"/>
      <c r="K903" s="436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</row>
    <row r="904" spans="1:25" ht="24" customHeight="1" x14ac:dyDescent="0.5">
      <c r="A904" s="81"/>
      <c r="B904" s="81"/>
      <c r="C904" s="81"/>
      <c r="D904" s="81"/>
      <c r="E904" s="81"/>
      <c r="F904" s="81"/>
      <c r="G904" s="81"/>
      <c r="H904" s="81"/>
      <c r="I904" s="436"/>
      <c r="J904" s="289"/>
      <c r="K904" s="436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</row>
    <row r="905" spans="1:25" ht="24" customHeight="1" x14ac:dyDescent="0.5">
      <c r="A905" s="81"/>
      <c r="B905" s="81"/>
      <c r="C905" s="81"/>
      <c r="D905" s="81"/>
      <c r="E905" s="81"/>
      <c r="F905" s="81"/>
      <c r="G905" s="81"/>
      <c r="H905" s="81"/>
      <c r="I905" s="436"/>
      <c r="J905" s="289"/>
      <c r="K905" s="436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</row>
    <row r="906" spans="1:25" ht="24" customHeight="1" x14ac:dyDescent="0.5">
      <c r="A906" s="81"/>
      <c r="B906" s="81"/>
      <c r="C906" s="81"/>
      <c r="D906" s="81"/>
      <c r="E906" s="81"/>
      <c r="F906" s="81"/>
      <c r="G906" s="81"/>
      <c r="H906" s="81"/>
      <c r="I906" s="436"/>
      <c r="J906" s="289"/>
      <c r="K906" s="436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</row>
    <row r="907" spans="1:25" ht="24" customHeight="1" x14ac:dyDescent="0.5">
      <c r="A907" s="81"/>
      <c r="B907" s="81"/>
      <c r="C907" s="81"/>
      <c r="D907" s="81"/>
      <c r="E907" s="81"/>
      <c r="F907" s="81"/>
      <c r="G907" s="81"/>
      <c r="H907" s="81"/>
      <c r="I907" s="436"/>
      <c r="J907" s="289"/>
      <c r="K907" s="436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</row>
    <row r="908" spans="1:25" ht="24" customHeight="1" x14ac:dyDescent="0.5">
      <c r="A908" s="81"/>
      <c r="B908" s="81"/>
      <c r="C908" s="81"/>
      <c r="D908" s="81"/>
      <c r="E908" s="81"/>
      <c r="F908" s="81"/>
      <c r="G908" s="81"/>
      <c r="H908" s="81"/>
      <c r="I908" s="436"/>
      <c r="J908" s="289"/>
      <c r="K908" s="436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</row>
    <row r="909" spans="1:25" ht="24" customHeight="1" x14ac:dyDescent="0.5">
      <c r="A909" s="81"/>
      <c r="B909" s="81"/>
      <c r="C909" s="81"/>
      <c r="D909" s="81"/>
      <c r="E909" s="81"/>
      <c r="F909" s="81"/>
      <c r="G909" s="81"/>
      <c r="H909" s="81"/>
      <c r="I909" s="436"/>
      <c r="J909" s="289"/>
      <c r="K909" s="436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</row>
    <row r="910" spans="1:25" ht="24" customHeight="1" x14ac:dyDescent="0.5">
      <c r="A910" s="81"/>
      <c r="B910" s="81"/>
      <c r="C910" s="81"/>
      <c r="D910" s="81"/>
      <c r="E910" s="81"/>
      <c r="F910" s="81"/>
      <c r="G910" s="81"/>
      <c r="H910" s="81"/>
      <c r="I910" s="436"/>
      <c r="J910" s="289"/>
      <c r="K910" s="436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</row>
    <row r="911" spans="1:25" ht="24" customHeight="1" x14ac:dyDescent="0.5">
      <c r="A911" s="81"/>
      <c r="B911" s="81"/>
      <c r="C911" s="81"/>
      <c r="D911" s="81"/>
      <c r="E911" s="81"/>
      <c r="F911" s="81"/>
      <c r="G911" s="81"/>
      <c r="H911" s="81"/>
      <c r="I911" s="436"/>
      <c r="J911" s="289"/>
      <c r="K911" s="436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</row>
    <row r="912" spans="1:25" ht="24" customHeight="1" x14ac:dyDescent="0.5">
      <c r="A912" s="81"/>
      <c r="B912" s="81"/>
      <c r="C912" s="81"/>
      <c r="D912" s="81"/>
      <c r="E912" s="81"/>
      <c r="F912" s="81"/>
      <c r="G912" s="81"/>
      <c r="H912" s="81"/>
      <c r="I912" s="436"/>
      <c r="J912" s="289"/>
      <c r="K912" s="436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</row>
    <row r="913" spans="1:25" ht="24" customHeight="1" x14ac:dyDescent="0.5">
      <c r="A913" s="81"/>
      <c r="B913" s="81"/>
      <c r="C913" s="81"/>
      <c r="D913" s="81"/>
      <c r="E913" s="81"/>
      <c r="F913" s="81"/>
      <c r="G913" s="81"/>
      <c r="H913" s="81"/>
      <c r="I913" s="436"/>
      <c r="J913" s="289"/>
      <c r="K913" s="436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</row>
    <row r="914" spans="1:25" ht="24" customHeight="1" x14ac:dyDescent="0.5">
      <c r="A914" s="81"/>
      <c r="B914" s="81"/>
      <c r="C914" s="81"/>
      <c r="D914" s="81"/>
      <c r="E914" s="81"/>
      <c r="F914" s="81"/>
      <c r="G914" s="81"/>
      <c r="H914" s="81"/>
      <c r="I914" s="436"/>
      <c r="J914" s="289"/>
      <c r="K914" s="436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</row>
    <row r="915" spans="1:25" ht="24" customHeight="1" x14ac:dyDescent="0.5">
      <c r="A915" s="81"/>
      <c r="B915" s="81"/>
      <c r="C915" s="81"/>
      <c r="D915" s="81"/>
      <c r="E915" s="81"/>
      <c r="F915" s="81"/>
      <c r="G915" s="81"/>
      <c r="H915" s="81"/>
      <c r="I915" s="436"/>
      <c r="J915" s="289"/>
      <c r="K915" s="436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</row>
    <row r="916" spans="1:25" ht="24" customHeight="1" x14ac:dyDescent="0.5">
      <c r="A916" s="81"/>
      <c r="B916" s="81"/>
      <c r="C916" s="81"/>
      <c r="D916" s="81"/>
      <c r="E916" s="81"/>
      <c r="F916" s="81"/>
      <c r="G916" s="81"/>
      <c r="H916" s="81"/>
      <c r="I916" s="436"/>
      <c r="J916" s="289"/>
      <c r="K916" s="436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</row>
    <row r="917" spans="1:25" ht="24" customHeight="1" x14ac:dyDescent="0.5">
      <c r="A917" s="81"/>
      <c r="B917" s="81"/>
      <c r="C917" s="81"/>
      <c r="D917" s="81"/>
      <c r="E917" s="81"/>
      <c r="F917" s="81"/>
      <c r="G917" s="81"/>
      <c r="H917" s="81"/>
      <c r="I917" s="436"/>
      <c r="J917" s="289"/>
      <c r="K917" s="436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</row>
    <row r="918" spans="1:25" ht="24" customHeight="1" x14ac:dyDescent="0.5">
      <c r="A918" s="81"/>
      <c r="B918" s="81"/>
      <c r="C918" s="81"/>
      <c r="D918" s="81"/>
      <c r="E918" s="81"/>
      <c r="F918" s="81"/>
      <c r="G918" s="81"/>
      <c r="H918" s="81"/>
      <c r="I918" s="436"/>
      <c r="J918" s="289"/>
      <c r="K918" s="436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</row>
    <row r="919" spans="1:25" ht="24" customHeight="1" x14ac:dyDescent="0.5">
      <c r="A919" s="81"/>
      <c r="B919" s="81"/>
      <c r="C919" s="81"/>
      <c r="D919" s="81"/>
      <c r="E919" s="81"/>
      <c r="F919" s="81"/>
      <c r="G919" s="81"/>
      <c r="H919" s="81"/>
      <c r="I919" s="436"/>
      <c r="J919" s="289"/>
      <c r="K919" s="436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</row>
    <row r="920" spans="1:25" ht="24" customHeight="1" x14ac:dyDescent="0.5">
      <c r="A920" s="81"/>
      <c r="B920" s="81"/>
      <c r="C920" s="81"/>
      <c r="D920" s="81"/>
      <c r="E920" s="81"/>
      <c r="F920" s="81"/>
      <c r="G920" s="81"/>
      <c r="H920" s="81"/>
      <c r="I920" s="436"/>
      <c r="J920" s="289"/>
      <c r="K920" s="436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</row>
    <row r="921" spans="1:25" ht="24" customHeight="1" x14ac:dyDescent="0.5">
      <c r="A921" s="81"/>
      <c r="B921" s="81"/>
      <c r="C921" s="81"/>
      <c r="D921" s="81"/>
      <c r="E921" s="81"/>
      <c r="F921" s="81"/>
      <c r="G921" s="81"/>
      <c r="H921" s="81"/>
      <c r="I921" s="436"/>
      <c r="J921" s="289"/>
      <c r="K921" s="436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</row>
    <row r="922" spans="1:25" ht="24" customHeight="1" x14ac:dyDescent="0.5">
      <c r="A922" s="81"/>
      <c r="B922" s="81"/>
      <c r="C922" s="81"/>
      <c r="D922" s="81"/>
      <c r="E922" s="81"/>
      <c r="F922" s="81"/>
      <c r="G922" s="81"/>
      <c r="H922" s="81"/>
      <c r="I922" s="436"/>
      <c r="J922" s="289"/>
      <c r="K922" s="436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</row>
    <row r="923" spans="1:25" ht="24" customHeight="1" x14ac:dyDescent="0.5">
      <c r="A923" s="81"/>
      <c r="B923" s="81"/>
      <c r="C923" s="81"/>
      <c r="D923" s="81"/>
      <c r="E923" s="81"/>
      <c r="F923" s="81"/>
      <c r="G923" s="81"/>
      <c r="H923" s="81"/>
      <c r="I923" s="436"/>
      <c r="J923" s="289"/>
      <c r="K923" s="436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</row>
    <row r="924" spans="1:25" ht="24" customHeight="1" x14ac:dyDescent="0.5">
      <c r="A924" s="81"/>
      <c r="B924" s="81"/>
      <c r="C924" s="81"/>
      <c r="D924" s="81"/>
      <c r="E924" s="81"/>
      <c r="F924" s="81"/>
      <c r="G924" s="81"/>
      <c r="H924" s="81"/>
      <c r="I924" s="436"/>
      <c r="J924" s="289"/>
      <c r="K924" s="436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</row>
    <row r="925" spans="1:25" ht="24" customHeight="1" x14ac:dyDescent="0.5">
      <c r="A925" s="81"/>
      <c r="B925" s="81"/>
      <c r="C925" s="81"/>
      <c r="D925" s="81"/>
      <c r="E925" s="81"/>
      <c r="F925" s="81"/>
      <c r="G925" s="81"/>
      <c r="H925" s="81"/>
      <c r="I925" s="436"/>
      <c r="J925" s="289"/>
      <c r="K925" s="436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</row>
    <row r="926" spans="1:25" ht="24" customHeight="1" x14ac:dyDescent="0.5">
      <c r="A926" s="81"/>
      <c r="B926" s="81"/>
      <c r="C926" s="81"/>
      <c r="D926" s="81"/>
      <c r="E926" s="81"/>
      <c r="F926" s="81"/>
      <c r="G926" s="81"/>
      <c r="H926" s="81"/>
      <c r="I926" s="436"/>
      <c r="J926" s="289"/>
      <c r="K926" s="436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</row>
    <row r="927" spans="1:25" ht="24" customHeight="1" x14ac:dyDescent="0.5">
      <c r="A927" s="81"/>
      <c r="B927" s="81"/>
      <c r="C927" s="81"/>
      <c r="D927" s="81"/>
      <c r="E927" s="81"/>
      <c r="F927" s="81"/>
      <c r="G927" s="81"/>
      <c r="H927" s="81"/>
      <c r="I927" s="436"/>
      <c r="J927" s="289"/>
      <c r="K927" s="436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</row>
    <row r="928" spans="1:25" ht="24" customHeight="1" x14ac:dyDescent="0.5">
      <c r="A928" s="81"/>
      <c r="B928" s="81"/>
      <c r="C928" s="81"/>
      <c r="D928" s="81"/>
      <c r="E928" s="81"/>
      <c r="F928" s="81"/>
      <c r="G928" s="81"/>
      <c r="H928" s="81"/>
      <c r="I928" s="436"/>
      <c r="J928" s="289"/>
      <c r="K928" s="436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</row>
    <row r="929" spans="1:25" ht="24" customHeight="1" x14ac:dyDescent="0.5">
      <c r="A929" s="81"/>
      <c r="B929" s="81"/>
      <c r="C929" s="81"/>
      <c r="D929" s="81"/>
      <c r="E929" s="81"/>
      <c r="F929" s="81"/>
      <c r="G929" s="81"/>
      <c r="H929" s="81"/>
      <c r="I929" s="436"/>
      <c r="J929" s="289"/>
      <c r="K929" s="436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</row>
    <row r="930" spans="1:25" ht="24" customHeight="1" x14ac:dyDescent="0.5">
      <c r="A930" s="81"/>
      <c r="B930" s="81"/>
      <c r="C930" s="81"/>
      <c r="D930" s="81"/>
      <c r="E930" s="81"/>
      <c r="F930" s="81"/>
      <c r="G930" s="81"/>
      <c r="H930" s="81"/>
      <c r="I930" s="436"/>
      <c r="J930" s="289"/>
      <c r="K930" s="436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</row>
    <row r="931" spans="1:25" ht="24" customHeight="1" x14ac:dyDescent="0.5">
      <c r="A931" s="81"/>
      <c r="B931" s="81"/>
      <c r="C931" s="81"/>
      <c r="D931" s="81"/>
      <c r="E931" s="81"/>
      <c r="F931" s="81"/>
      <c r="G931" s="81"/>
      <c r="H931" s="81"/>
      <c r="I931" s="436"/>
      <c r="J931" s="289"/>
      <c r="K931" s="436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</row>
    <row r="932" spans="1:25" ht="24" customHeight="1" x14ac:dyDescent="0.5">
      <c r="A932" s="81"/>
      <c r="B932" s="81"/>
      <c r="C932" s="81"/>
      <c r="D932" s="81"/>
      <c r="E932" s="81"/>
      <c r="F932" s="81"/>
      <c r="G932" s="81"/>
      <c r="H932" s="81"/>
      <c r="I932" s="436"/>
      <c r="J932" s="289"/>
      <c r="K932" s="436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</row>
    <row r="933" spans="1:25" ht="24" customHeight="1" x14ac:dyDescent="0.5">
      <c r="A933" s="81"/>
      <c r="B933" s="81"/>
      <c r="C933" s="81"/>
      <c r="D933" s="81"/>
      <c r="E933" s="81"/>
      <c r="F933" s="81"/>
      <c r="G933" s="81"/>
      <c r="H933" s="81"/>
      <c r="I933" s="436"/>
      <c r="J933" s="289"/>
      <c r="K933" s="436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</row>
    <row r="934" spans="1:25" ht="24" customHeight="1" x14ac:dyDescent="0.5">
      <c r="A934" s="81"/>
      <c r="B934" s="81"/>
      <c r="C934" s="81"/>
      <c r="D934" s="81"/>
      <c r="E934" s="81"/>
      <c r="F934" s="81"/>
      <c r="G934" s="81"/>
      <c r="H934" s="81"/>
      <c r="I934" s="436"/>
      <c r="J934" s="289"/>
      <c r="K934" s="436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</row>
    <row r="935" spans="1:25" ht="24" customHeight="1" x14ac:dyDescent="0.5">
      <c r="A935" s="81"/>
      <c r="B935" s="81"/>
      <c r="C935" s="81"/>
      <c r="D935" s="81"/>
      <c r="E935" s="81"/>
      <c r="F935" s="81"/>
      <c r="G935" s="81"/>
      <c r="H935" s="81"/>
      <c r="I935" s="436"/>
      <c r="J935" s="289"/>
      <c r="K935" s="436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</row>
    <row r="936" spans="1:25" ht="24" customHeight="1" x14ac:dyDescent="0.5">
      <c r="A936" s="81"/>
      <c r="B936" s="81"/>
      <c r="C936" s="81"/>
      <c r="D936" s="81"/>
      <c r="E936" s="81"/>
      <c r="F936" s="81"/>
      <c r="G936" s="81"/>
      <c r="H936" s="81"/>
      <c r="I936" s="436"/>
      <c r="J936" s="289"/>
      <c r="K936" s="436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</row>
    <row r="937" spans="1:25" ht="24" customHeight="1" x14ac:dyDescent="0.5">
      <c r="A937" s="81"/>
      <c r="B937" s="81"/>
      <c r="C937" s="81"/>
      <c r="D937" s="81"/>
      <c r="E937" s="81"/>
      <c r="F937" s="81"/>
      <c r="G937" s="81"/>
      <c r="H937" s="81"/>
      <c r="I937" s="436"/>
      <c r="J937" s="289"/>
      <c r="K937" s="436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</row>
    <row r="938" spans="1:25" ht="24" customHeight="1" x14ac:dyDescent="0.5">
      <c r="A938" s="81"/>
      <c r="B938" s="81"/>
      <c r="C938" s="81"/>
      <c r="D938" s="81"/>
      <c r="E938" s="81"/>
      <c r="F938" s="81"/>
      <c r="G938" s="81"/>
      <c r="H938" s="81"/>
      <c r="I938" s="436"/>
      <c r="J938" s="289"/>
      <c r="K938" s="436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</row>
    <row r="939" spans="1:25" ht="24" customHeight="1" x14ac:dyDescent="0.5">
      <c r="A939" s="81"/>
      <c r="B939" s="81"/>
      <c r="C939" s="81"/>
      <c r="D939" s="81"/>
      <c r="E939" s="81"/>
      <c r="F939" s="81"/>
      <c r="G939" s="81"/>
      <c r="H939" s="81"/>
      <c r="I939" s="436"/>
      <c r="J939" s="289"/>
      <c r="K939" s="436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</row>
    <row r="940" spans="1:25" ht="24" customHeight="1" x14ac:dyDescent="0.5">
      <c r="A940" s="81"/>
      <c r="B940" s="81"/>
      <c r="C940" s="81"/>
      <c r="D940" s="81"/>
      <c r="E940" s="81"/>
      <c r="F940" s="81"/>
      <c r="G940" s="81"/>
      <c r="H940" s="81"/>
      <c r="I940" s="436"/>
      <c r="J940" s="289"/>
      <c r="K940" s="436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</row>
    <row r="941" spans="1:25" ht="24" customHeight="1" x14ac:dyDescent="0.5">
      <c r="A941" s="81"/>
      <c r="B941" s="81"/>
      <c r="C941" s="81"/>
      <c r="D941" s="81"/>
      <c r="E941" s="81"/>
      <c r="F941" s="81"/>
      <c r="G941" s="81"/>
      <c r="H941" s="81"/>
      <c r="I941" s="436"/>
      <c r="J941" s="289"/>
      <c r="K941" s="436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</row>
    <row r="942" spans="1:25" ht="24" customHeight="1" x14ac:dyDescent="0.5">
      <c r="A942" s="81"/>
      <c r="B942" s="81"/>
      <c r="C942" s="81"/>
      <c r="D942" s="81"/>
      <c r="E942" s="81"/>
      <c r="F942" s="81"/>
      <c r="G942" s="81"/>
      <c r="H942" s="81"/>
      <c r="I942" s="436"/>
      <c r="J942" s="289"/>
      <c r="K942" s="436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</row>
    <row r="943" spans="1:25" ht="24" customHeight="1" x14ac:dyDescent="0.5">
      <c r="A943" s="81"/>
      <c r="B943" s="81"/>
      <c r="C943" s="81"/>
      <c r="D943" s="81"/>
      <c r="E943" s="81"/>
      <c r="F943" s="81"/>
      <c r="G943" s="81"/>
      <c r="H943" s="81"/>
      <c r="I943" s="436"/>
      <c r="J943" s="289"/>
      <c r="K943" s="436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</row>
    <row r="944" spans="1:25" ht="24" customHeight="1" x14ac:dyDescent="0.5">
      <c r="A944" s="81"/>
      <c r="B944" s="81"/>
      <c r="C944" s="81"/>
      <c r="D944" s="81"/>
      <c r="E944" s="81"/>
      <c r="F944" s="81"/>
      <c r="G944" s="81"/>
      <c r="H944" s="81"/>
      <c r="I944" s="436"/>
      <c r="J944" s="289"/>
      <c r="K944" s="436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</row>
    <row r="945" spans="1:25" ht="24" customHeight="1" x14ac:dyDescent="0.5">
      <c r="A945" s="81"/>
      <c r="B945" s="81"/>
      <c r="C945" s="81"/>
      <c r="D945" s="81"/>
      <c r="E945" s="81"/>
      <c r="F945" s="81"/>
      <c r="G945" s="81"/>
      <c r="H945" s="81"/>
      <c r="I945" s="436"/>
      <c r="J945" s="289"/>
      <c r="K945" s="436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</row>
    <row r="946" spans="1:25" ht="24" customHeight="1" x14ac:dyDescent="0.5">
      <c r="A946" s="81"/>
      <c r="B946" s="81"/>
      <c r="C946" s="81"/>
      <c r="D946" s="81"/>
      <c r="E946" s="81"/>
      <c r="F946" s="81"/>
      <c r="G946" s="81"/>
      <c r="H946" s="81"/>
      <c r="I946" s="436"/>
      <c r="J946" s="289"/>
      <c r="K946" s="436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</row>
    <row r="947" spans="1:25" ht="24" customHeight="1" x14ac:dyDescent="0.5">
      <c r="A947" s="81"/>
      <c r="B947" s="81"/>
      <c r="C947" s="81"/>
      <c r="D947" s="81"/>
      <c r="E947" s="81"/>
      <c r="F947" s="81"/>
      <c r="G947" s="81"/>
      <c r="H947" s="81"/>
      <c r="I947" s="436"/>
      <c r="J947" s="289"/>
      <c r="K947" s="436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</row>
    <row r="948" spans="1:25" ht="24" customHeight="1" x14ac:dyDescent="0.5">
      <c r="A948" s="81"/>
      <c r="B948" s="81"/>
      <c r="C948" s="81"/>
      <c r="D948" s="81"/>
      <c r="E948" s="81"/>
      <c r="F948" s="81"/>
      <c r="G948" s="81"/>
      <c r="H948" s="81"/>
      <c r="I948" s="436"/>
      <c r="J948" s="289"/>
      <c r="K948" s="436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</row>
    <row r="949" spans="1:25" ht="24" customHeight="1" x14ac:dyDescent="0.5">
      <c r="A949" s="81"/>
      <c r="B949" s="81"/>
      <c r="C949" s="81"/>
      <c r="D949" s="81"/>
      <c r="E949" s="81"/>
      <c r="F949" s="81"/>
      <c r="G949" s="81"/>
      <c r="H949" s="81"/>
      <c r="I949" s="436"/>
      <c r="J949" s="289"/>
      <c r="K949" s="436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</row>
    <row r="950" spans="1:25" ht="24" customHeight="1" x14ac:dyDescent="0.5">
      <c r="A950" s="81"/>
      <c r="B950" s="81"/>
      <c r="C950" s="81"/>
      <c r="D950" s="81"/>
      <c r="E950" s="81"/>
      <c r="F950" s="81"/>
      <c r="G950" s="81"/>
      <c r="H950" s="81"/>
      <c r="I950" s="436"/>
      <c r="J950" s="289"/>
      <c r="K950" s="436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</row>
    <row r="951" spans="1:25" ht="24" customHeight="1" x14ac:dyDescent="0.5">
      <c r="A951" s="81"/>
      <c r="B951" s="81"/>
      <c r="C951" s="81"/>
      <c r="D951" s="81"/>
      <c r="E951" s="81"/>
      <c r="F951" s="81"/>
      <c r="G951" s="81"/>
      <c r="H951" s="81"/>
      <c r="I951" s="436"/>
      <c r="J951" s="289"/>
      <c r="K951" s="436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</row>
    <row r="952" spans="1:25" ht="24" customHeight="1" x14ac:dyDescent="0.5">
      <c r="A952" s="81"/>
      <c r="B952" s="81"/>
      <c r="C952" s="81"/>
      <c r="D952" s="81"/>
      <c r="E952" s="81"/>
      <c r="F952" s="81"/>
      <c r="G952" s="81"/>
      <c r="H952" s="81"/>
      <c r="I952" s="436"/>
      <c r="J952" s="289"/>
      <c r="K952" s="436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</row>
    <row r="953" spans="1:25" ht="24" customHeight="1" x14ac:dyDescent="0.5">
      <c r="A953" s="81"/>
      <c r="B953" s="81"/>
      <c r="C953" s="81"/>
      <c r="D953" s="81"/>
      <c r="E953" s="81"/>
      <c r="F953" s="81"/>
      <c r="G953" s="81"/>
      <c r="H953" s="81"/>
      <c r="I953" s="436"/>
      <c r="J953" s="289"/>
      <c r="K953" s="436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</row>
    <row r="954" spans="1:25" ht="24" customHeight="1" x14ac:dyDescent="0.5">
      <c r="A954" s="81"/>
      <c r="B954" s="81"/>
      <c r="C954" s="81"/>
      <c r="D954" s="81"/>
      <c r="E954" s="81"/>
      <c r="F954" s="81"/>
      <c r="G954" s="81"/>
      <c r="H954" s="81"/>
      <c r="I954" s="436"/>
      <c r="J954" s="289"/>
      <c r="K954" s="436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</row>
    <row r="955" spans="1:25" ht="24" customHeight="1" x14ac:dyDescent="0.5">
      <c r="A955" s="81"/>
      <c r="B955" s="81"/>
      <c r="C955" s="81"/>
      <c r="D955" s="81"/>
      <c r="E955" s="81"/>
      <c r="F955" s="81"/>
      <c r="G955" s="81"/>
      <c r="H955" s="81"/>
      <c r="I955" s="436"/>
      <c r="J955" s="289"/>
      <c r="K955" s="436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</row>
    <row r="956" spans="1:25" ht="24" customHeight="1" x14ac:dyDescent="0.5">
      <c r="A956" s="81"/>
      <c r="B956" s="81"/>
      <c r="C956" s="81"/>
      <c r="D956" s="81"/>
      <c r="E956" s="81"/>
      <c r="F956" s="81"/>
      <c r="G956" s="81"/>
      <c r="H956" s="81"/>
      <c r="I956" s="436"/>
      <c r="J956" s="289"/>
      <c r="K956" s="436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</row>
    <row r="957" spans="1:25" ht="24" customHeight="1" x14ac:dyDescent="0.5">
      <c r="A957" s="81"/>
      <c r="B957" s="81"/>
      <c r="C957" s="81"/>
      <c r="D957" s="81"/>
      <c r="E957" s="81"/>
      <c r="F957" s="81"/>
      <c r="G957" s="81"/>
      <c r="H957" s="81"/>
      <c r="I957" s="436"/>
      <c r="J957" s="289"/>
      <c r="K957" s="436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</row>
    <row r="958" spans="1:25" ht="24" customHeight="1" x14ac:dyDescent="0.5">
      <c r="A958" s="81"/>
      <c r="B958" s="81"/>
      <c r="C958" s="81"/>
      <c r="D958" s="81"/>
      <c r="E958" s="81"/>
      <c r="F958" s="81"/>
      <c r="G958" s="81"/>
      <c r="H958" s="81"/>
      <c r="I958" s="436"/>
      <c r="J958" s="289"/>
      <c r="K958" s="436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</row>
    <row r="959" spans="1:25" ht="24" customHeight="1" x14ac:dyDescent="0.5">
      <c r="A959" s="81"/>
      <c r="B959" s="81"/>
      <c r="C959" s="81"/>
      <c r="D959" s="81"/>
      <c r="E959" s="81"/>
      <c r="F959" s="81"/>
      <c r="G959" s="81"/>
      <c r="H959" s="81"/>
      <c r="I959" s="436"/>
      <c r="J959" s="289"/>
      <c r="K959" s="436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</row>
    <row r="960" spans="1:25" ht="24" customHeight="1" x14ac:dyDescent="0.5">
      <c r="A960" s="81"/>
      <c r="B960" s="81"/>
      <c r="C960" s="81"/>
      <c r="D960" s="81"/>
      <c r="E960" s="81"/>
      <c r="F960" s="81"/>
      <c r="G960" s="81"/>
      <c r="H960" s="81"/>
      <c r="I960" s="436"/>
      <c r="J960" s="289"/>
      <c r="K960" s="436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</row>
    <row r="961" spans="1:25" ht="24" customHeight="1" x14ac:dyDescent="0.5">
      <c r="A961" s="81"/>
      <c r="B961" s="81"/>
      <c r="C961" s="81"/>
      <c r="D961" s="81"/>
      <c r="E961" s="81"/>
      <c r="F961" s="81"/>
      <c r="G961" s="81"/>
      <c r="H961" s="81"/>
      <c r="I961" s="436"/>
      <c r="J961" s="289"/>
      <c r="K961" s="436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</row>
    <row r="962" spans="1:25" ht="24" customHeight="1" x14ac:dyDescent="0.5">
      <c r="A962" s="81"/>
      <c r="B962" s="81"/>
      <c r="C962" s="81"/>
      <c r="D962" s="81"/>
      <c r="E962" s="81"/>
      <c r="F962" s="81"/>
      <c r="G962" s="81"/>
      <c r="H962" s="81"/>
      <c r="I962" s="436"/>
      <c r="J962" s="289"/>
      <c r="K962" s="436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</row>
    <row r="963" spans="1:25" ht="24" customHeight="1" x14ac:dyDescent="0.5">
      <c r="A963" s="81"/>
      <c r="B963" s="81"/>
      <c r="C963" s="81"/>
      <c r="D963" s="81"/>
      <c r="E963" s="81"/>
      <c r="F963" s="81"/>
      <c r="G963" s="81"/>
      <c r="H963" s="81"/>
      <c r="I963" s="436"/>
      <c r="J963" s="289"/>
      <c r="K963" s="436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</row>
    <row r="964" spans="1:25" ht="24" customHeight="1" x14ac:dyDescent="0.5">
      <c r="A964" s="81"/>
      <c r="B964" s="81"/>
      <c r="C964" s="81"/>
      <c r="D964" s="81"/>
      <c r="E964" s="81"/>
      <c r="F964" s="81"/>
      <c r="G964" s="81"/>
      <c r="H964" s="81"/>
      <c r="I964" s="436"/>
      <c r="J964" s="289"/>
      <c r="K964" s="436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</row>
    <row r="965" spans="1:25" ht="24" customHeight="1" x14ac:dyDescent="0.5">
      <c r="A965" s="81"/>
      <c r="B965" s="81"/>
      <c r="C965" s="81"/>
      <c r="D965" s="81"/>
      <c r="E965" s="81"/>
      <c r="F965" s="81"/>
      <c r="G965" s="81"/>
      <c r="H965" s="81"/>
      <c r="I965" s="436"/>
      <c r="J965" s="289"/>
      <c r="K965" s="436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</row>
    <row r="966" spans="1:25" ht="24" customHeight="1" x14ac:dyDescent="0.5">
      <c r="A966" s="81"/>
      <c r="B966" s="81"/>
      <c r="C966" s="81"/>
      <c r="D966" s="81"/>
      <c r="E966" s="81"/>
      <c r="F966" s="81"/>
      <c r="G966" s="81"/>
      <c r="H966" s="81"/>
      <c r="I966" s="436"/>
      <c r="J966" s="289"/>
      <c r="K966" s="436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</row>
    <row r="967" spans="1:25" ht="24" customHeight="1" x14ac:dyDescent="0.5">
      <c r="A967" s="81"/>
      <c r="B967" s="81"/>
      <c r="C967" s="81"/>
      <c r="D967" s="81"/>
      <c r="E967" s="81"/>
      <c r="F967" s="81"/>
      <c r="G967" s="81"/>
      <c r="H967" s="81"/>
      <c r="I967" s="436"/>
      <c r="J967" s="289"/>
      <c r="K967" s="436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</row>
    <row r="968" spans="1:25" ht="24" customHeight="1" x14ac:dyDescent="0.5">
      <c r="A968" s="81"/>
      <c r="B968" s="81"/>
      <c r="C968" s="81"/>
      <c r="D968" s="81"/>
      <c r="E968" s="81"/>
      <c r="F968" s="81"/>
      <c r="G968" s="81"/>
      <c r="H968" s="81"/>
      <c r="I968" s="436"/>
      <c r="J968" s="289"/>
      <c r="K968" s="436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</row>
    <row r="969" spans="1:25" ht="24" customHeight="1" x14ac:dyDescent="0.5">
      <c r="A969" s="81"/>
      <c r="B969" s="81"/>
      <c r="C969" s="81"/>
      <c r="D969" s="81"/>
      <c r="E969" s="81"/>
      <c r="F969" s="81"/>
      <c r="G969" s="81"/>
      <c r="H969" s="81"/>
      <c r="I969" s="436"/>
      <c r="J969" s="289"/>
      <c r="K969" s="436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</row>
    <row r="970" spans="1:25" ht="24" customHeight="1" x14ac:dyDescent="0.5">
      <c r="A970" s="81"/>
      <c r="B970" s="81"/>
      <c r="C970" s="81"/>
      <c r="D970" s="81"/>
      <c r="E970" s="81"/>
      <c r="F970" s="81"/>
      <c r="G970" s="81"/>
      <c r="H970" s="81"/>
      <c r="I970" s="436"/>
      <c r="J970" s="289"/>
      <c r="K970" s="436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</row>
    <row r="971" spans="1:25" ht="24" customHeight="1" x14ac:dyDescent="0.5">
      <c r="A971" s="81"/>
      <c r="B971" s="81"/>
      <c r="C971" s="81"/>
      <c r="D971" s="81"/>
      <c r="E971" s="81"/>
      <c r="F971" s="81"/>
      <c r="G971" s="81"/>
      <c r="H971" s="81"/>
      <c r="I971" s="436"/>
      <c r="J971" s="289"/>
      <c r="K971" s="436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</row>
    <row r="972" spans="1:25" ht="24" customHeight="1" x14ac:dyDescent="0.5">
      <c r="A972" s="81"/>
      <c r="B972" s="81"/>
      <c r="C972" s="81"/>
      <c r="D972" s="81"/>
      <c r="E972" s="81"/>
      <c r="F972" s="81"/>
      <c r="G972" s="81"/>
      <c r="H972" s="81"/>
      <c r="I972" s="436"/>
      <c r="J972" s="289"/>
      <c r="K972" s="436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</row>
    <row r="973" spans="1:25" ht="24" customHeight="1" x14ac:dyDescent="0.5">
      <c r="A973" s="81"/>
      <c r="B973" s="81"/>
      <c r="C973" s="81"/>
      <c r="D973" s="81"/>
      <c r="E973" s="81"/>
      <c r="F973" s="81"/>
      <c r="G973" s="81"/>
      <c r="H973" s="81"/>
      <c r="I973" s="436"/>
      <c r="J973" s="289"/>
      <c r="K973" s="436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</row>
    <row r="974" spans="1:25" ht="24" customHeight="1" x14ac:dyDescent="0.5">
      <c r="A974" s="81"/>
      <c r="B974" s="81"/>
      <c r="C974" s="81"/>
      <c r="D974" s="81"/>
      <c r="E974" s="81"/>
      <c r="F974" s="81"/>
      <c r="G974" s="81"/>
      <c r="H974" s="81"/>
      <c r="I974" s="436"/>
      <c r="J974" s="289"/>
      <c r="K974" s="436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</row>
    <row r="975" spans="1:25" ht="24" customHeight="1" x14ac:dyDescent="0.5">
      <c r="A975" s="81"/>
      <c r="B975" s="81"/>
      <c r="C975" s="81"/>
      <c r="D975" s="81"/>
      <c r="E975" s="81"/>
      <c r="F975" s="81"/>
      <c r="G975" s="81"/>
      <c r="H975" s="81"/>
      <c r="I975" s="436"/>
      <c r="J975" s="289"/>
      <c r="K975" s="436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</row>
    <row r="976" spans="1:25" ht="24" customHeight="1" x14ac:dyDescent="0.5">
      <c r="A976" s="81"/>
      <c r="B976" s="81"/>
      <c r="C976" s="81"/>
      <c r="D976" s="81"/>
      <c r="E976" s="81"/>
      <c r="F976" s="81"/>
      <c r="G976" s="81"/>
      <c r="H976" s="81"/>
      <c r="I976" s="436"/>
      <c r="J976" s="289"/>
      <c r="K976" s="436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</row>
    <row r="977" spans="1:25" ht="24" customHeight="1" x14ac:dyDescent="0.5">
      <c r="A977" s="81"/>
      <c r="B977" s="81"/>
      <c r="C977" s="81"/>
      <c r="D977" s="81"/>
      <c r="E977" s="81"/>
      <c r="F977" s="81"/>
      <c r="G977" s="81"/>
      <c r="H977" s="81"/>
      <c r="I977" s="436"/>
      <c r="J977" s="289"/>
      <c r="K977" s="436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</row>
    <row r="978" spans="1:25" ht="24" customHeight="1" x14ac:dyDescent="0.5">
      <c r="A978" s="81"/>
      <c r="B978" s="81"/>
      <c r="C978" s="81"/>
      <c r="D978" s="81"/>
      <c r="E978" s="81"/>
      <c r="F978" s="81"/>
      <c r="G978" s="81"/>
      <c r="H978" s="81"/>
      <c r="I978" s="436"/>
      <c r="J978" s="289"/>
      <c r="K978" s="436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</row>
    <row r="979" spans="1:25" ht="24" customHeight="1" x14ac:dyDescent="0.5">
      <c r="A979" s="81"/>
      <c r="B979" s="81"/>
      <c r="C979" s="81"/>
      <c r="D979" s="81"/>
      <c r="E979" s="81"/>
      <c r="F979" s="81"/>
      <c r="G979" s="81"/>
      <c r="H979" s="81"/>
      <c r="I979" s="436"/>
      <c r="J979" s="289"/>
      <c r="K979" s="436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</row>
    <row r="980" spans="1:25" ht="24" customHeight="1" x14ac:dyDescent="0.5">
      <c r="A980" s="81"/>
      <c r="B980" s="81"/>
      <c r="C980" s="81"/>
      <c r="D980" s="81"/>
      <c r="E980" s="81"/>
      <c r="F980" s="81"/>
      <c r="G980" s="81"/>
      <c r="H980" s="81"/>
      <c r="I980" s="436"/>
      <c r="J980" s="289"/>
      <c r="K980" s="436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</row>
    <row r="981" spans="1:25" ht="24" customHeight="1" x14ac:dyDescent="0.5">
      <c r="A981" s="81"/>
      <c r="B981" s="81"/>
      <c r="C981" s="81"/>
      <c r="D981" s="81"/>
      <c r="E981" s="81"/>
      <c r="F981" s="81"/>
      <c r="G981" s="81"/>
      <c r="H981" s="81"/>
      <c r="I981" s="436"/>
      <c r="J981" s="289"/>
      <c r="K981" s="436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</row>
    <row r="982" spans="1:25" ht="24" customHeight="1" x14ac:dyDescent="0.5">
      <c r="A982" s="81"/>
      <c r="B982" s="81"/>
      <c r="C982" s="81"/>
      <c r="D982" s="81"/>
      <c r="E982" s="81"/>
      <c r="F982" s="81"/>
      <c r="G982" s="81"/>
      <c r="H982" s="81"/>
      <c r="I982" s="436"/>
      <c r="J982" s="289"/>
      <c r="K982" s="436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</row>
    <row r="983" spans="1:25" ht="24" customHeight="1" x14ac:dyDescent="0.5">
      <c r="A983" s="81"/>
      <c r="B983" s="81"/>
      <c r="C983" s="81"/>
      <c r="D983" s="81"/>
      <c r="E983" s="81"/>
      <c r="F983" s="81"/>
      <c r="G983" s="81"/>
      <c r="H983" s="81"/>
      <c r="I983" s="436"/>
      <c r="J983" s="289"/>
      <c r="K983" s="436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</row>
    <row r="984" spans="1:25" ht="24" customHeight="1" x14ac:dyDescent="0.5">
      <c r="A984" s="81"/>
      <c r="B984" s="81"/>
      <c r="C984" s="81"/>
      <c r="D984" s="81"/>
      <c r="E984" s="81"/>
      <c r="F984" s="81"/>
      <c r="G984" s="81"/>
      <c r="H984" s="81"/>
      <c r="I984" s="436"/>
      <c r="J984" s="289"/>
      <c r="K984" s="436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</row>
    <row r="985" spans="1:25" ht="24" customHeight="1" x14ac:dyDescent="0.5">
      <c r="A985" s="81"/>
      <c r="B985" s="81"/>
      <c r="C985" s="81"/>
      <c r="D985" s="81"/>
      <c r="E985" s="81"/>
      <c r="F985" s="81"/>
      <c r="G985" s="81"/>
      <c r="H985" s="81"/>
      <c r="I985" s="436"/>
      <c r="J985" s="289"/>
      <c r="K985" s="436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</row>
    <row r="986" spans="1:25" ht="24" customHeight="1" x14ac:dyDescent="0.5">
      <c r="A986" s="81"/>
      <c r="B986" s="81"/>
      <c r="C986" s="81"/>
      <c r="D986" s="81"/>
      <c r="E986" s="81"/>
      <c r="F986" s="81"/>
      <c r="G986" s="81"/>
      <c r="H986" s="81"/>
      <c r="I986" s="436"/>
      <c r="J986" s="289"/>
      <c r="K986" s="436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</row>
    <row r="987" spans="1:25" ht="24" customHeight="1" x14ac:dyDescent="0.5">
      <c r="A987" s="81"/>
      <c r="B987" s="81"/>
      <c r="C987" s="81"/>
      <c r="D987" s="81"/>
      <c r="E987" s="81"/>
      <c r="F987" s="81"/>
      <c r="G987" s="81"/>
      <c r="H987" s="81"/>
      <c r="I987" s="436"/>
      <c r="J987" s="289"/>
      <c r="K987" s="436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</row>
    <row r="988" spans="1:25" ht="24" customHeight="1" x14ac:dyDescent="0.5">
      <c r="A988" s="81"/>
      <c r="B988" s="81"/>
      <c r="C988" s="81"/>
      <c r="D988" s="81"/>
      <c r="E988" s="81"/>
      <c r="F988" s="81"/>
      <c r="G988" s="81"/>
      <c r="H988" s="81"/>
      <c r="I988" s="436"/>
      <c r="J988" s="289"/>
      <c r="K988" s="436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</row>
    <row r="989" spans="1:25" ht="24" customHeight="1" x14ac:dyDescent="0.5">
      <c r="A989" s="81"/>
      <c r="B989" s="81"/>
      <c r="C989" s="81"/>
      <c r="D989" s="81"/>
      <c r="E989" s="81"/>
      <c r="F989" s="81"/>
      <c r="G989" s="81"/>
      <c r="H989" s="81"/>
      <c r="I989" s="436"/>
      <c r="J989" s="289"/>
      <c r="K989" s="436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</row>
    <row r="990" spans="1:25" ht="24" customHeight="1" x14ac:dyDescent="0.5">
      <c r="A990" s="81"/>
      <c r="B990" s="81"/>
      <c r="C990" s="81"/>
      <c r="D990" s="81"/>
      <c r="E990" s="81"/>
      <c r="F990" s="81"/>
      <c r="G990" s="81"/>
      <c r="H990" s="81"/>
      <c r="I990" s="436"/>
      <c r="J990" s="289"/>
      <c r="K990" s="436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</row>
    <row r="991" spans="1:25" ht="24" customHeight="1" x14ac:dyDescent="0.5">
      <c r="A991" s="81"/>
      <c r="B991" s="81"/>
      <c r="C991" s="81"/>
      <c r="D991" s="81"/>
      <c r="E991" s="81"/>
      <c r="F991" s="81"/>
      <c r="G991" s="81"/>
      <c r="H991" s="81"/>
      <c r="I991" s="436"/>
      <c r="J991" s="289"/>
      <c r="K991" s="436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</row>
    <row r="992" spans="1:25" ht="24" customHeight="1" x14ac:dyDescent="0.5">
      <c r="A992" s="81"/>
      <c r="B992" s="81"/>
      <c r="C992" s="81"/>
      <c r="D992" s="81"/>
      <c r="E992" s="81"/>
      <c r="F992" s="81"/>
      <c r="G992" s="81"/>
      <c r="H992" s="81"/>
      <c r="I992" s="436"/>
      <c r="J992" s="289"/>
      <c r="K992" s="436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</row>
    <row r="993" spans="1:25" ht="24" customHeight="1" x14ac:dyDescent="0.5">
      <c r="A993" s="81"/>
      <c r="B993" s="81"/>
      <c r="C993" s="81"/>
      <c r="D993" s="81"/>
      <c r="E993" s="81"/>
      <c r="F993" s="81"/>
      <c r="G993" s="81"/>
      <c r="H993" s="81"/>
      <c r="I993" s="436"/>
      <c r="J993" s="289"/>
      <c r="K993" s="436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</row>
    <row r="994" spans="1:25" ht="24" customHeight="1" x14ac:dyDescent="0.5">
      <c r="A994" s="81"/>
      <c r="B994" s="81"/>
      <c r="C994" s="81"/>
      <c r="D994" s="81"/>
      <c r="E994" s="81"/>
      <c r="F994" s="81"/>
      <c r="G994" s="81"/>
      <c r="H994" s="81"/>
      <c r="I994" s="436"/>
      <c r="J994" s="289"/>
      <c r="K994" s="436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</row>
    <row r="995" spans="1:25" ht="24" customHeight="1" x14ac:dyDescent="0.5">
      <c r="A995" s="81"/>
      <c r="B995" s="81"/>
      <c r="C995" s="81"/>
      <c r="D995" s="81"/>
      <c r="E995" s="81"/>
      <c r="F995" s="81"/>
      <c r="G995" s="81"/>
      <c r="H995" s="81"/>
      <c r="I995" s="436"/>
      <c r="J995" s="289"/>
      <c r="K995" s="436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</row>
    <row r="996" spans="1:25" ht="24" customHeight="1" x14ac:dyDescent="0.5">
      <c r="A996" s="81"/>
      <c r="B996" s="81"/>
      <c r="C996" s="81"/>
      <c r="D996" s="81"/>
      <c r="E996" s="81"/>
      <c r="F996" s="81"/>
      <c r="G996" s="81"/>
      <c r="H996" s="81"/>
      <c r="I996" s="436"/>
      <c r="J996" s="289"/>
      <c r="K996" s="436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</row>
    <row r="997" spans="1:25" ht="24" customHeight="1" x14ac:dyDescent="0.5">
      <c r="A997" s="81"/>
      <c r="B997" s="81"/>
      <c r="C997" s="81"/>
      <c r="D997" s="81"/>
      <c r="E997" s="81"/>
      <c r="F997" s="81"/>
      <c r="G997" s="81"/>
      <c r="H997" s="81"/>
      <c r="I997" s="436"/>
      <c r="J997" s="289"/>
      <c r="K997" s="436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</row>
    <row r="998" spans="1:25" ht="24" customHeight="1" x14ac:dyDescent="0.5">
      <c r="A998" s="81"/>
      <c r="B998" s="81"/>
      <c r="C998" s="81"/>
      <c r="D998" s="81"/>
      <c r="E998" s="81"/>
      <c r="F998" s="81"/>
      <c r="G998" s="81"/>
      <c r="H998" s="81"/>
      <c r="I998" s="436"/>
      <c r="J998" s="289"/>
      <c r="K998" s="436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</row>
    <row r="999" spans="1:25" ht="24" customHeight="1" x14ac:dyDescent="0.5">
      <c r="A999" s="81"/>
      <c r="B999" s="81"/>
      <c r="C999" s="81"/>
      <c r="D999" s="81"/>
      <c r="E999" s="81"/>
      <c r="F999" s="81"/>
      <c r="G999" s="81"/>
      <c r="H999" s="81"/>
      <c r="I999" s="436"/>
      <c r="J999" s="289"/>
      <c r="K999" s="436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</row>
    <row r="1000" spans="1:25" ht="24" customHeight="1" x14ac:dyDescent="0.5">
      <c r="A1000" s="81"/>
      <c r="B1000" s="81"/>
      <c r="C1000" s="81"/>
      <c r="D1000" s="81"/>
      <c r="E1000" s="81"/>
      <c r="F1000" s="81"/>
      <c r="G1000" s="81"/>
      <c r="H1000" s="81"/>
      <c r="I1000" s="436"/>
      <c r="J1000" s="289"/>
      <c r="K1000" s="436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</row>
  </sheetData>
  <mergeCells count="20">
    <mergeCell ref="A91:B91"/>
    <mergeCell ref="A106:B106"/>
    <mergeCell ref="A7:B8"/>
    <mergeCell ref="D7:D8"/>
    <mergeCell ref="A9:B9"/>
    <mergeCell ref="A15:B15"/>
    <mergeCell ref="A33:B33"/>
    <mergeCell ref="A54:B54"/>
    <mergeCell ref="A76:B76"/>
    <mergeCell ref="C6:E6"/>
    <mergeCell ref="F6:G6"/>
    <mergeCell ref="F7:G7"/>
    <mergeCell ref="I7:K7"/>
    <mergeCell ref="A2:B6"/>
    <mergeCell ref="C2:K3"/>
    <mergeCell ref="C4:G5"/>
    <mergeCell ref="H4:K4"/>
    <mergeCell ref="H5:H7"/>
    <mergeCell ref="I5:J6"/>
    <mergeCell ref="K5:K6"/>
  </mergeCells>
  <printOptions horizontalCentered="1"/>
  <pageMargins left="0.20866141699999999" right="0.20866141699999999" top="0.49803149600000002" bottom="0.24803149599999999" header="0" footer="0"/>
  <pageSetup paperSize="9" scale="70" orientation="landscape" r:id="rId1"/>
  <rowBreaks count="4" manualBreakCount="4">
    <brk id="32" max="10" man="1"/>
    <brk id="53" max="10" man="1"/>
    <brk id="75" max="10" man="1"/>
    <brk id="90" max="10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D965"/>
  </sheetPr>
  <dimension ref="A1:Z1000"/>
  <sheetViews>
    <sheetView view="pageBreakPreview" topLeftCell="A10" zoomScale="160" zoomScaleNormal="70" zoomScaleSheetLayoutView="160" workbookViewId="0">
      <pane xSplit="2" topLeftCell="C1" activePane="topRight" state="frozen"/>
      <selection activeCell="Z5" sqref="Z5:AB6"/>
      <selection pane="topRight" activeCell="Z5" sqref="Z5:AB6"/>
    </sheetView>
  </sheetViews>
  <sheetFormatPr defaultColWidth="12.625" defaultRowHeight="24" customHeight="1" x14ac:dyDescent="0.5"/>
  <cols>
    <col min="1" max="1" width="4.375" style="6" customWidth="1"/>
    <col min="2" max="2" width="27.75" style="6" customWidth="1"/>
    <col min="3" max="6" width="10.75" style="6" customWidth="1"/>
    <col min="7" max="7" width="6.75" style="6" customWidth="1"/>
    <col min="8" max="10" width="12" style="6" customWidth="1"/>
    <col min="11" max="11" width="6.75" style="6" customWidth="1"/>
    <col min="12" max="14" width="12" style="6" customWidth="1"/>
    <col min="15" max="15" width="6.75" style="6" customWidth="1"/>
    <col min="16" max="18" width="12" style="6" customWidth="1"/>
    <col min="19" max="19" width="6.75" style="6" customWidth="1"/>
    <col min="20" max="16384" width="12.625" style="6"/>
  </cols>
  <sheetData>
    <row r="1" spans="1:26" ht="24" customHeight="1" x14ac:dyDescent="0.5">
      <c r="A1" s="257" t="s">
        <v>324</v>
      </c>
      <c r="B1" s="258"/>
      <c r="C1" s="258"/>
      <c r="D1" s="258"/>
      <c r="E1" s="258"/>
      <c r="F1" s="258"/>
      <c r="G1" s="258"/>
      <c r="H1" s="258"/>
      <c r="I1" s="259"/>
      <c r="J1" s="259"/>
      <c r="K1" s="260"/>
      <c r="L1" s="258"/>
      <c r="M1" s="259"/>
      <c r="N1" s="259"/>
      <c r="O1" s="260"/>
      <c r="P1" s="258"/>
      <c r="Q1" s="259"/>
      <c r="R1" s="258"/>
      <c r="S1" s="260"/>
      <c r="T1" s="261"/>
      <c r="U1" s="261"/>
      <c r="V1" s="261"/>
      <c r="W1" s="261"/>
      <c r="X1" s="261"/>
      <c r="Y1" s="261"/>
      <c r="Z1" s="261"/>
    </row>
    <row r="2" spans="1:26" ht="24" customHeight="1" x14ac:dyDescent="0.5">
      <c r="A2" s="752" t="s">
        <v>0</v>
      </c>
      <c r="B2" s="627"/>
      <c r="C2" s="888" t="s">
        <v>279</v>
      </c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5"/>
      <c r="T2" s="81"/>
      <c r="U2" s="81"/>
      <c r="V2" s="81"/>
      <c r="W2" s="81"/>
      <c r="X2" s="81"/>
      <c r="Y2" s="81"/>
      <c r="Z2" s="81"/>
    </row>
    <row r="3" spans="1:26" ht="24" customHeight="1" x14ac:dyDescent="0.5">
      <c r="A3" s="628"/>
      <c r="B3" s="629"/>
      <c r="C3" s="756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757"/>
      <c r="T3" s="81"/>
      <c r="U3" s="81"/>
      <c r="V3" s="81"/>
      <c r="W3" s="81"/>
      <c r="X3" s="81"/>
      <c r="Y3" s="81"/>
      <c r="Z3" s="81"/>
    </row>
    <row r="4" spans="1:26" ht="24" customHeight="1" x14ac:dyDescent="0.5">
      <c r="A4" s="628"/>
      <c r="B4" s="629"/>
      <c r="C4" s="758" t="s">
        <v>202</v>
      </c>
      <c r="D4" s="633"/>
      <c r="E4" s="633"/>
      <c r="F4" s="633"/>
      <c r="G4" s="634"/>
      <c r="H4" s="889" t="s">
        <v>280</v>
      </c>
      <c r="I4" s="633"/>
      <c r="J4" s="633"/>
      <c r="K4" s="633"/>
      <c r="L4" s="633"/>
      <c r="M4" s="633"/>
      <c r="N4" s="633"/>
      <c r="O4" s="633"/>
      <c r="P4" s="633"/>
      <c r="Q4" s="633"/>
      <c r="R4" s="633"/>
      <c r="S4" s="765"/>
      <c r="T4" s="81"/>
      <c r="U4" s="81"/>
      <c r="V4" s="81"/>
      <c r="W4" s="81"/>
      <c r="X4" s="81"/>
      <c r="Y4" s="81"/>
      <c r="Z4" s="81"/>
    </row>
    <row r="5" spans="1:26" ht="24" customHeight="1" x14ac:dyDescent="0.5">
      <c r="A5" s="628"/>
      <c r="B5" s="629"/>
      <c r="C5" s="756"/>
      <c r="D5" s="640"/>
      <c r="E5" s="640"/>
      <c r="F5" s="640"/>
      <c r="G5" s="641"/>
      <c r="H5" s="635"/>
      <c r="I5" s="636"/>
      <c r="J5" s="636"/>
      <c r="K5" s="636"/>
      <c r="L5" s="636"/>
      <c r="M5" s="636"/>
      <c r="N5" s="636"/>
      <c r="O5" s="636"/>
      <c r="P5" s="636"/>
      <c r="Q5" s="636"/>
      <c r="R5" s="636"/>
      <c r="S5" s="890"/>
      <c r="T5" s="81"/>
      <c r="U5" s="81"/>
      <c r="V5" s="81"/>
      <c r="W5" s="81"/>
      <c r="X5" s="81"/>
      <c r="Y5" s="81"/>
      <c r="Z5" s="81"/>
    </row>
    <row r="6" spans="1:26" ht="24" customHeight="1" x14ac:dyDescent="0.5">
      <c r="A6" s="630"/>
      <c r="B6" s="631"/>
      <c r="C6" s="768" t="s">
        <v>6</v>
      </c>
      <c r="D6" s="581"/>
      <c r="E6" s="567"/>
      <c r="F6" s="602" t="s">
        <v>7</v>
      </c>
      <c r="G6" s="699"/>
      <c r="H6" s="891" t="s">
        <v>12</v>
      </c>
      <c r="I6" s="581"/>
      <c r="J6" s="581"/>
      <c r="K6" s="567"/>
      <c r="L6" s="609" t="s">
        <v>281</v>
      </c>
      <c r="M6" s="581"/>
      <c r="N6" s="581"/>
      <c r="O6" s="567"/>
      <c r="P6" s="609" t="s">
        <v>282</v>
      </c>
      <c r="Q6" s="581"/>
      <c r="R6" s="581"/>
      <c r="S6" s="697"/>
      <c r="T6" s="262"/>
      <c r="U6" s="262"/>
      <c r="V6" s="262"/>
      <c r="W6" s="262"/>
      <c r="X6" s="262"/>
      <c r="Y6" s="262"/>
      <c r="Z6" s="262"/>
    </row>
    <row r="7" spans="1:26" ht="24" customHeight="1" x14ac:dyDescent="0.5">
      <c r="A7" s="773" t="s">
        <v>207</v>
      </c>
      <c r="B7" s="774"/>
      <c r="C7" s="263" t="s">
        <v>12</v>
      </c>
      <c r="D7" s="682" t="s">
        <v>13</v>
      </c>
      <c r="E7" s="10" t="s">
        <v>14</v>
      </c>
      <c r="F7" s="606" t="s">
        <v>15</v>
      </c>
      <c r="G7" s="594"/>
      <c r="H7" s="264" t="s">
        <v>16</v>
      </c>
      <c r="I7" s="892" t="s">
        <v>17</v>
      </c>
      <c r="J7" s="581"/>
      <c r="K7" s="567"/>
      <c r="L7" s="264" t="s">
        <v>16</v>
      </c>
      <c r="M7" s="892" t="s">
        <v>17</v>
      </c>
      <c r="N7" s="581"/>
      <c r="O7" s="567"/>
      <c r="P7" s="264" t="s">
        <v>16</v>
      </c>
      <c r="Q7" s="892" t="s">
        <v>17</v>
      </c>
      <c r="R7" s="581"/>
      <c r="S7" s="697"/>
      <c r="T7" s="262"/>
      <c r="U7" s="262"/>
      <c r="V7" s="262"/>
      <c r="W7" s="262"/>
      <c r="X7" s="262"/>
      <c r="Y7" s="262"/>
      <c r="Z7" s="262"/>
    </row>
    <row r="8" spans="1:26" ht="24" customHeight="1" x14ac:dyDescent="0.5">
      <c r="A8" s="775"/>
      <c r="B8" s="776"/>
      <c r="C8" s="238"/>
      <c r="D8" s="683"/>
      <c r="E8" s="13"/>
      <c r="F8" s="14" t="s">
        <v>18</v>
      </c>
      <c r="G8" s="14" t="s">
        <v>19</v>
      </c>
      <c r="H8" s="149" t="s">
        <v>198</v>
      </c>
      <c r="I8" s="437" t="s">
        <v>199</v>
      </c>
      <c r="J8" s="437" t="s">
        <v>20</v>
      </c>
      <c r="K8" s="438" t="s">
        <v>283</v>
      </c>
      <c r="L8" s="149" t="s">
        <v>198</v>
      </c>
      <c r="M8" s="437" t="s">
        <v>199</v>
      </c>
      <c r="N8" s="437" t="s">
        <v>20</v>
      </c>
      <c r="O8" s="86" t="s">
        <v>283</v>
      </c>
      <c r="P8" s="149" t="s">
        <v>198</v>
      </c>
      <c r="Q8" s="437" t="s">
        <v>199</v>
      </c>
      <c r="R8" s="439" t="s">
        <v>20</v>
      </c>
      <c r="S8" s="240" t="s">
        <v>283</v>
      </c>
      <c r="T8" s="241"/>
      <c r="U8" s="241"/>
      <c r="V8" s="241"/>
      <c r="W8" s="241"/>
      <c r="X8" s="241"/>
      <c r="Y8" s="241"/>
      <c r="Z8" s="241"/>
    </row>
    <row r="9" spans="1:26" ht="24" customHeight="1" x14ac:dyDescent="0.5">
      <c r="A9" s="771" t="s">
        <v>24</v>
      </c>
      <c r="B9" s="643"/>
      <c r="C9" s="326">
        <f t="shared" ref="C9:E9" si="0">C10+C11</f>
        <v>16433900</v>
      </c>
      <c r="D9" s="266">
        <f t="shared" si="0"/>
        <v>0</v>
      </c>
      <c r="E9" s="267">
        <f t="shared" si="0"/>
        <v>16433900</v>
      </c>
      <c r="F9" s="242">
        <f ca="1">+F10+F11</f>
        <v>0</v>
      </c>
      <c r="G9" s="243">
        <f t="shared" ref="G9:G114" ca="1" si="1">IF(C9&gt;0,F9*100/C9,0)</f>
        <v>0</v>
      </c>
      <c r="H9" s="244">
        <f t="shared" ref="H9:I9" si="2">SUM(L9,P9)</f>
        <v>200000</v>
      </c>
      <c r="I9" s="245">
        <f t="shared" ca="1" si="2"/>
        <v>0</v>
      </c>
      <c r="J9" s="245">
        <f ca="1">J10+J11</f>
        <v>0</v>
      </c>
      <c r="K9" s="390">
        <f t="shared" ref="K9:K114" ca="1" si="3">IF(H9&gt;0,I9*100/H9,0)</f>
        <v>0</v>
      </c>
      <c r="L9" s="244">
        <f t="shared" ref="L9:N9" si="4">L10+L11</f>
        <v>53000</v>
      </c>
      <c r="M9" s="245">
        <f t="shared" ca="1" si="4"/>
        <v>0</v>
      </c>
      <c r="N9" s="245">
        <f t="shared" ca="1" si="4"/>
        <v>0</v>
      </c>
      <c r="O9" s="390">
        <f t="shared" ref="O9:O114" ca="1" si="5">IF(L9&gt;0,M9*100/L9,0)</f>
        <v>0</v>
      </c>
      <c r="P9" s="244">
        <f t="shared" ref="P9:R9" si="6">P10+P11</f>
        <v>147000</v>
      </c>
      <c r="Q9" s="245">
        <f t="shared" ca="1" si="6"/>
        <v>0</v>
      </c>
      <c r="R9" s="245">
        <f t="shared" ca="1" si="6"/>
        <v>0</v>
      </c>
      <c r="S9" s="440">
        <f t="shared" ref="S9:S114" ca="1" si="7">IF(P9&gt;0,Q9*100/P9,0)</f>
        <v>0</v>
      </c>
      <c r="T9" s="3"/>
      <c r="U9" s="3"/>
      <c r="V9" s="3"/>
      <c r="W9" s="3"/>
      <c r="X9" s="3"/>
      <c r="Y9" s="3"/>
      <c r="Z9" s="3"/>
    </row>
    <row r="10" spans="1:26" ht="24" customHeight="1" x14ac:dyDescent="0.5">
      <c r="A10" s="27" t="s">
        <v>25</v>
      </c>
      <c r="B10" s="28"/>
      <c r="C10" s="31">
        <f t="shared" ref="C10:F10" si="8">+C15+C33+C54+C76</f>
        <v>3308000</v>
      </c>
      <c r="D10" s="29">
        <f t="shared" si="8"/>
        <v>0</v>
      </c>
      <c r="E10" s="29">
        <f t="shared" si="8"/>
        <v>3308000</v>
      </c>
      <c r="F10" s="29">
        <f t="shared" ca="1" si="8"/>
        <v>0</v>
      </c>
      <c r="G10" s="91">
        <f t="shared" ca="1" si="1"/>
        <v>0</v>
      </c>
      <c r="H10" s="66">
        <f t="shared" ref="H10:I10" si="9">SUM(L10,P10)</f>
        <v>53000</v>
      </c>
      <c r="I10" s="66">
        <f t="shared" ca="1" si="9"/>
        <v>0</v>
      </c>
      <c r="J10" s="66">
        <f ca="1">+J15+J33+J54+J76</f>
        <v>0</v>
      </c>
      <c r="K10" s="101">
        <f t="shared" ca="1" si="3"/>
        <v>0</v>
      </c>
      <c r="L10" s="66">
        <f t="shared" ref="L10:N10" si="10">+L15+L33+L54+L76</f>
        <v>53000</v>
      </c>
      <c r="M10" s="66">
        <f t="shared" ca="1" si="10"/>
        <v>0</v>
      </c>
      <c r="N10" s="66">
        <f t="shared" ca="1" si="10"/>
        <v>0</v>
      </c>
      <c r="O10" s="101">
        <f t="shared" ca="1" si="5"/>
        <v>0</v>
      </c>
      <c r="P10" s="66">
        <v>0</v>
      </c>
      <c r="Q10" s="66">
        <v>0</v>
      </c>
      <c r="R10" s="66">
        <f ca="1">+R15+R33+R54+R76</f>
        <v>0</v>
      </c>
      <c r="S10" s="256">
        <f t="shared" si="7"/>
        <v>0</v>
      </c>
      <c r="T10" s="81"/>
      <c r="U10" s="81"/>
      <c r="V10" s="81"/>
      <c r="W10" s="81"/>
      <c r="X10" s="81"/>
      <c r="Y10" s="81"/>
      <c r="Z10" s="81"/>
    </row>
    <row r="11" spans="1:26" ht="24" customHeight="1" x14ac:dyDescent="0.5">
      <c r="A11" s="33" t="s">
        <v>26</v>
      </c>
      <c r="B11" s="34"/>
      <c r="C11" s="37">
        <f t="shared" ref="C11:F11" si="11">+C12+C13</f>
        <v>13125900</v>
      </c>
      <c r="D11" s="35">
        <f t="shared" si="11"/>
        <v>0</v>
      </c>
      <c r="E11" s="35">
        <f t="shared" si="11"/>
        <v>13125900</v>
      </c>
      <c r="F11" s="35">
        <f t="shared" si="11"/>
        <v>0</v>
      </c>
      <c r="G11" s="92">
        <f t="shared" si="1"/>
        <v>0</v>
      </c>
      <c r="H11" s="35">
        <f t="shared" ref="H11:H13" si="12">SUM(L11,P11)</f>
        <v>147000</v>
      </c>
      <c r="I11" s="35">
        <f t="shared" ref="I11:J11" si="13">+I12+I13</f>
        <v>0</v>
      </c>
      <c r="J11" s="35">
        <f t="shared" si="13"/>
        <v>0</v>
      </c>
      <c r="K11" s="92">
        <f t="shared" si="3"/>
        <v>0</v>
      </c>
      <c r="L11" s="35">
        <f t="shared" ref="L11:N11" si="14">+L12+L13</f>
        <v>0</v>
      </c>
      <c r="M11" s="35">
        <f t="shared" si="14"/>
        <v>0</v>
      </c>
      <c r="N11" s="35">
        <f t="shared" si="14"/>
        <v>0</v>
      </c>
      <c r="O11" s="92">
        <f t="shared" si="5"/>
        <v>0</v>
      </c>
      <c r="P11" s="35">
        <f t="shared" ref="P11:R11" si="15">+P12+P13</f>
        <v>147000</v>
      </c>
      <c r="Q11" s="35">
        <f t="shared" ca="1" si="15"/>
        <v>0</v>
      </c>
      <c r="R11" s="35">
        <f t="shared" si="15"/>
        <v>0</v>
      </c>
      <c r="S11" s="251">
        <f t="shared" ca="1" si="7"/>
        <v>0</v>
      </c>
      <c r="T11" s="81"/>
      <c r="U11" s="81"/>
      <c r="V11" s="81"/>
      <c r="W11" s="81"/>
      <c r="X11" s="81"/>
      <c r="Y11" s="81"/>
      <c r="Z11" s="81"/>
    </row>
    <row r="12" spans="1:26" ht="24" customHeight="1" x14ac:dyDescent="0.5">
      <c r="A12" s="33" t="s">
        <v>27</v>
      </c>
      <c r="B12" s="34"/>
      <c r="C12" s="37">
        <f t="shared" ref="C12:F12" si="16">+C91</f>
        <v>13125900</v>
      </c>
      <c r="D12" s="35">
        <f t="shared" si="16"/>
        <v>0</v>
      </c>
      <c r="E12" s="35">
        <f t="shared" si="16"/>
        <v>13125900</v>
      </c>
      <c r="F12" s="35">
        <f t="shared" si="16"/>
        <v>0</v>
      </c>
      <c r="G12" s="92">
        <f t="shared" si="1"/>
        <v>0</v>
      </c>
      <c r="H12" s="35">
        <f t="shared" si="12"/>
        <v>147000</v>
      </c>
      <c r="I12" s="35">
        <f t="shared" ref="I12:J12" si="17">+I91</f>
        <v>0</v>
      </c>
      <c r="J12" s="35">
        <f t="shared" si="17"/>
        <v>0</v>
      </c>
      <c r="K12" s="92">
        <f t="shared" si="3"/>
        <v>0</v>
      </c>
      <c r="L12" s="35">
        <f t="shared" ref="L12:N12" si="18">+L91</f>
        <v>0</v>
      </c>
      <c r="M12" s="35">
        <f t="shared" si="18"/>
        <v>0</v>
      </c>
      <c r="N12" s="35">
        <f t="shared" si="18"/>
        <v>0</v>
      </c>
      <c r="O12" s="92">
        <f t="shared" si="5"/>
        <v>0</v>
      </c>
      <c r="P12" s="35">
        <v>147000</v>
      </c>
      <c r="Q12" s="35">
        <f ca="1">SUM(Q15,Q33,Q54,Q76)</f>
        <v>0</v>
      </c>
      <c r="R12" s="35">
        <f>+R91</f>
        <v>0</v>
      </c>
      <c r="S12" s="251">
        <f t="shared" ca="1" si="7"/>
        <v>0</v>
      </c>
      <c r="T12" s="81"/>
      <c r="U12" s="81"/>
      <c r="V12" s="81"/>
      <c r="W12" s="81"/>
      <c r="X12" s="81"/>
      <c r="Y12" s="81"/>
      <c r="Z12" s="81"/>
    </row>
    <row r="13" spans="1:26" ht="24" customHeight="1" x14ac:dyDescent="0.5">
      <c r="A13" s="33" t="s">
        <v>28</v>
      </c>
      <c r="B13" s="34"/>
      <c r="C13" s="37">
        <f t="shared" ref="C13:E13" si="19">+C106</f>
        <v>0</v>
      </c>
      <c r="D13" s="35">
        <f t="shared" si="19"/>
        <v>0</v>
      </c>
      <c r="E13" s="35">
        <f t="shared" si="19"/>
        <v>0</v>
      </c>
      <c r="F13" s="35"/>
      <c r="G13" s="92">
        <f t="shared" si="1"/>
        <v>0</v>
      </c>
      <c r="H13" s="35">
        <f t="shared" si="12"/>
        <v>0</v>
      </c>
      <c r="I13" s="35">
        <f t="shared" ref="I13:J13" si="20">+I106</f>
        <v>0</v>
      </c>
      <c r="J13" s="35">
        <f t="shared" si="20"/>
        <v>0</v>
      </c>
      <c r="K13" s="92">
        <f t="shared" si="3"/>
        <v>0</v>
      </c>
      <c r="L13" s="35">
        <f t="shared" ref="L13:N13" si="21">+L106</f>
        <v>0</v>
      </c>
      <c r="M13" s="35">
        <f t="shared" si="21"/>
        <v>0</v>
      </c>
      <c r="N13" s="35">
        <f t="shared" si="21"/>
        <v>0</v>
      </c>
      <c r="O13" s="92">
        <f t="shared" si="5"/>
        <v>0</v>
      </c>
      <c r="P13" s="35">
        <f t="shared" ref="P13:R13" si="22">+P106</f>
        <v>0</v>
      </c>
      <c r="Q13" s="35">
        <f t="shared" si="22"/>
        <v>0</v>
      </c>
      <c r="R13" s="35">
        <f t="shared" si="22"/>
        <v>0</v>
      </c>
      <c r="S13" s="251">
        <f t="shared" si="7"/>
        <v>0</v>
      </c>
      <c r="T13" s="81"/>
      <c r="U13" s="81"/>
      <c r="V13" s="81"/>
      <c r="W13" s="81"/>
      <c r="X13" s="81"/>
      <c r="Y13" s="81"/>
      <c r="Z13" s="81"/>
    </row>
    <row r="14" spans="1:26" ht="24" customHeight="1" x14ac:dyDescent="0.5">
      <c r="A14" s="39" t="s">
        <v>208</v>
      </c>
      <c r="B14" s="252"/>
      <c r="C14" s="393">
        <v>0</v>
      </c>
      <c r="D14" s="93">
        <v>0</v>
      </c>
      <c r="E14" s="93">
        <v>0</v>
      </c>
      <c r="F14" s="93"/>
      <c r="G14" s="96">
        <f t="shared" si="1"/>
        <v>0</v>
      </c>
      <c r="H14" s="93">
        <v>0</v>
      </c>
      <c r="I14" s="93">
        <v>0</v>
      </c>
      <c r="J14" s="93">
        <v>0</v>
      </c>
      <c r="K14" s="96">
        <f t="shared" si="3"/>
        <v>0</v>
      </c>
      <c r="L14" s="93">
        <v>0</v>
      </c>
      <c r="M14" s="93">
        <v>0</v>
      </c>
      <c r="N14" s="93">
        <v>0</v>
      </c>
      <c r="O14" s="96">
        <f t="shared" si="5"/>
        <v>0</v>
      </c>
      <c r="P14" s="93">
        <v>0</v>
      </c>
      <c r="Q14" s="93">
        <v>0</v>
      </c>
      <c r="R14" s="93">
        <v>0</v>
      </c>
      <c r="S14" s="254">
        <f t="shared" si="7"/>
        <v>0</v>
      </c>
      <c r="T14" s="81"/>
      <c r="U14" s="81"/>
      <c r="V14" s="81"/>
      <c r="W14" s="81"/>
      <c r="X14" s="81"/>
      <c r="Y14" s="81"/>
      <c r="Z14" s="81"/>
    </row>
    <row r="15" spans="1:26" ht="24" customHeight="1" x14ac:dyDescent="0.5">
      <c r="A15" s="777" t="s">
        <v>30</v>
      </c>
      <c r="B15" s="571"/>
      <c r="C15" s="394">
        <f t="shared" ref="C15:F15" si="23">SUM(C16:C32)</f>
        <v>1530000</v>
      </c>
      <c r="D15" s="66">
        <f t="shared" si="23"/>
        <v>0</v>
      </c>
      <c r="E15" s="66">
        <f t="shared" si="23"/>
        <v>1530000</v>
      </c>
      <c r="F15" s="101">
        <f t="shared" ca="1" si="23"/>
        <v>0</v>
      </c>
      <c r="G15" s="101">
        <f t="shared" ca="1" si="1"/>
        <v>0</v>
      </c>
      <c r="H15" s="66">
        <f t="shared" ref="H15:J15" si="24">SUM(H16:H32)</f>
        <v>54000</v>
      </c>
      <c r="I15" s="66">
        <f t="shared" ca="1" si="24"/>
        <v>0</v>
      </c>
      <c r="J15" s="66">
        <f t="shared" ca="1" si="24"/>
        <v>0</v>
      </c>
      <c r="K15" s="101">
        <f t="shared" ca="1" si="3"/>
        <v>0</v>
      </c>
      <c r="L15" s="66">
        <f t="shared" ref="L15:N15" si="25">SUM(L16:L32)</f>
        <v>25000</v>
      </c>
      <c r="M15" s="66">
        <f t="shared" ca="1" si="25"/>
        <v>0</v>
      </c>
      <c r="N15" s="66">
        <f t="shared" ca="1" si="25"/>
        <v>0</v>
      </c>
      <c r="O15" s="101">
        <f t="shared" ca="1" si="5"/>
        <v>0</v>
      </c>
      <c r="P15" s="66">
        <f t="shared" ref="P15:R15" si="26">SUM(P16:P32)</f>
        <v>29000</v>
      </c>
      <c r="Q15" s="66">
        <f t="shared" ca="1" si="26"/>
        <v>0</v>
      </c>
      <c r="R15" s="66">
        <f t="shared" ca="1" si="26"/>
        <v>0</v>
      </c>
      <c r="S15" s="256">
        <f t="shared" ca="1" si="7"/>
        <v>0</v>
      </c>
      <c r="T15" s="81"/>
      <c r="U15" s="81"/>
      <c r="V15" s="81"/>
      <c r="W15" s="81"/>
      <c r="X15" s="81"/>
      <c r="Y15" s="81"/>
      <c r="Z15" s="81"/>
    </row>
    <row r="16" spans="1:26" ht="24" customHeight="1" x14ac:dyDescent="0.5">
      <c r="A16" s="268">
        <v>1</v>
      </c>
      <c r="B16" s="269" t="s">
        <v>31</v>
      </c>
      <c r="C16" s="396">
        <f t="shared" ref="C16:C32" si="27">+D16+E16</f>
        <v>320000</v>
      </c>
      <c r="D16" s="48">
        <v>0</v>
      </c>
      <c r="E16" s="48">
        <v>320000</v>
      </c>
      <c r="F16" s="98">
        <f ca="1">IFERROR(__xludf.DUMMYFUNCTION("IMPORTRANGE(""https://docs.google.com/spreadsheets/d/11923uPwbBZFjjGgGUA6NLw09EwE0CqkOc4q9oUmW1yo/edit?usp=sharing"",""กำแพงเพชร!M446"")"),0)</f>
        <v>0</v>
      </c>
      <c r="G16" s="98">
        <f t="shared" ca="1" si="1"/>
        <v>0</v>
      </c>
      <c r="H16" s="398">
        <f t="shared" ref="H16:J16" si="28">SUM(L16,P16)</f>
        <v>5000</v>
      </c>
      <c r="I16" s="48">
        <f t="shared" ca="1" si="28"/>
        <v>0</v>
      </c>
      <c r="J16" s="48">
        <f t="shared" ca="1" si="28"/>
        <v>0</v>
      </c>
      <c r="K16" s="399">
        <f t="shared" ca="1" si="3"/>
        <v>0</v>
      </c>
      <c r="L16" s="48">
        <v>5000</v>
      </c>
      <c r="M16" s="48">
        <f ca="1">IFERROR(__xludf.DUMMYFUNCTION("IMPORTRANGE(""https://docs.google.com/spreadsheets/d/11923uPwbBZFjjGgGUA6NLw09EwE0CqkOc4q9oUmW1yo/edit?usp=sharing"",""กำแพงเพชร!J453"")"),0)</f>
        <v>0</v>
      </c>
      <c r="N16" s="48">
        <f ca="1">IFERROR(__xludf.DUMMYFUNCTION("IMPORTRANGE(""https://docs.google.com/spreadsheets/d/11923uPwbBZFjjGgGUA6NLw09EwE0CqkOc4q9oUmW1yo/edit?usp=sharing"",""กำแพงเพชร!J454"")"),0)</f>
        <v>0</v>
      </c>
      <c r="O16" s="98">
        <f t="shared" ca="1" si="5"/>
        <v>0</v>
      </c>
      <c r="P16" s="48">
        <v>0</v>
      </c>
      <c r="Q16" s="48">
        <f ca="1">IFERROR(__xludf.DUMMYFUNCTION("IMPORTRANGE(""https://docs.google.com/spreadsheets/d/11923uPwbBZFjjGgGUA6NLw09EwE0CqkOc4q9oUmW1yo/edit?usp=sharing"",""กำแพงเพชร!J455"")"),0)</f>
        <v>0</v>
      </c>
      <c r="R16" s="48">
        <f ca="1">IFERROR(__xludf.DUMMYFUNCTION("IMPORTRANGE(""https://docs.google.com/spreadsheets/d/11923uPwbBZFjjGgGUA6NLw09EwE0CqkOc4q9oUmW1yo/edit?usp=sharing"",""กำแพงเพชร!J456"")"),0)</f>
        <v>0</v>
      </c>
      <c r="S16" s="272">
        <f t="shared" si="7"/>
        <v>0</v>
      </c>
      <c r="T16" s="81"/>
      <c r="U16" s="81"/>
      <c r="V16" s="81"/>
      <c r="W16" s="81"/>
      <c r="X16" s="81"/>
      <c r="Y16" s="81"/>
      <c r="Z16" s="81"/>
    </row>
    <row r="17" spans="1:26" ht="24" customHeight="1" x14ac:dyDescent="0.5">
      <c r="A17" s="273">
        <v>2</v>
      </c>
      <c r="B17" s="274" t="s">
        <v>32</v>
      </c>
      <c r="C17" s="400">
        <f t="shared" si="27"/>
        <v>0</v>
      </c>
      <c r="D17" s="55">
        <v>0</v>
      </c>
      <c r="E17" s="55">
        <v>0</v>
      </c>
      <c r="F17" s="99">
        <f ca="1">IFERROR(__xludf.DUMMYFUNCTION("IMPORTRANGE(""https://docs.google.com/spreadsheets/d/11923uPwbBZFjjGgGUA6NLw09EwE0CqkOc4q9oUmW1yo/edit?usp=sharing"",""เชียงราย!M446"")"),0)</f>
        <v>0</v>
      </c>
      <c r="G17" s="99">
        <f t="shared" si="1"/>
        <v>0</v>
      </c>
      <c r="H17" s="402">
        <f t="shared" ref="H17:J17" si="29">SUM(L17,P17)</f>
        <v>0</v>
      </c>
      <c r="I17" s="55">
        <f t="shared" ca="1" si="29"/>
        <v>0</v>
      </c>
      <c r="J17" s="55">
        <f t="shared" ca="1" si="29"/>
        <v>0</v>
      </c>
      <c r="K17" s="403">
        <f t="shared" si="3"/>
        <v>0</v>
      </c>
      <c r="L17" s="55">
        <v>0</v>
      </c>
      <c r="M17" s="55">
        <f ca="1">IFERROR(__xludf.DUMMYFUNCTION("IMPORTRANGE(""https://docs.google.com/spreadsheets/d/11923uPwbBZFjjGgGUA6NLw09EwE0CqkOc4q9oUmW1yo/edit?usp=sharing"",""เชียงราย!J453"")"),0)</f>
        <v>0</v>
      </c>
      <c r="N17" s="55">
        <f ca="1">IFERROR(__xludf.DUMMYFUNCTION("IMPORTRANGE(""https://docs.google.com/spreadsheets/d/11923uPwbBZFjjGgGUA6NLw09EwE0CqkOc4q9oUmW1yo/edit?usp=sharing"",""เชียงราย!J454"")"),0)</f>
        <v>0</v>
      </c>
      <c r="O17" s="99">
        <f t="shared" si="5"/>
        <v>0</v>
      </c>
      <c r="P17" s="55">
        <v>0</v>
      </c>
      <c r="Q17" s="55">
        <f ca="1">IFERROR(__xludf.DUMMYFUNCTION("IMPORTRANGE(""https://docs.google.com/spreadsheets/d/11923uPwbBZFjjGgGUA6NLw09EwE0CqkOc4q9oUmW1yo/edit?usp=sharing"",""เชียงราย!J455"")"),0)</f>
        <v>0</v>
      </c>
      <c r="R17" s="55">
        <f ca="1">IFERROR(__xludf.DUMMYFUNCTION("IMPORTRANGE(""https://docs.google.com/spreadsheets/d/11923uPwbBZFjjGgGUA6NLw09EwE0CqkOc4q9oUmW1yo/edit?usp=sharing"",""เชียงราย!J456"")"),0)</f>
        <v>0</v>
      </c>
      <c r="S17" s="277">
        <f t="shared" si="7"/>
        <v>0</v>
      </c>
      <c r="T17" s="81"/>
      <c r="U17" s="81"/>
      <c r="V17" s="81"/>
      <c r="W17" s="81"/>
      <c r="X17" s="81"/>
      <c r="Y17" s="81"/>
      <c r="Z17" s="81"/>
    </row>
    <row r="18" spans="1:26" ht="24" customHeight="1" x14ac:dyDescent="0.5">
      <c r="A18" s="273">
        <v>3</v>
      </c>
      <c r="B18" s="274" t="s">
        <v>33</v>
      </c>
      <c r="C18" s="400">
        <f t="shared" si="27"/>
        <v>188000</v>
      </c>
      <c r="D18" s="55">
        <v>0</v>
      </c>
      <c r="E18" s="55">
        <v>188000</v>
      </c>
      <c r="F18" s="99">
        <f ca="1">IFERROR(__xludf.DUMMYFUNCTION("IMPORTRANGE(""https://docs.google.com/spreadsheets/d/11923uPwbBZFjjGgGUA6NLw09EwE0CqkOc4q9oUmW1yo/edit?usp=sharing"",""เชียงใหม่!M446"")"),0)</f>
        <v>0</v>
      </c>
      <c r="G18" s="99">
        <f t="shared" ca="1" si="1"/>
        <v>0</v>
      </c>
      <c r="H18" s="402">
        <f t="shared" ref="H18:J18" si="30">SUM(L18,P18)</f>
        <v>3000</v>
      </c>
      <c r="I18" s="55">
        <f t="shared" ca="1" si="30"/>
        <v>0</v>
      </c>
      <c r="J18" s="55">
        <f t="shared" ca="1" si="30"/>
        <v>0</v>
      </c>
      <c r="K18" s="403">
        <f t="shared" ca="1" si="3"/>
        <v>0</v>
      </c>
      <c r="L18" s="55">
        <v>3000</v>
      </c>
      <c r="M18" s="55">
        <f ca="1">IFERROR(__xludf.DUMMYFUNCTION("IMPORTRANGE(""https://docs.google.com/spreadsheets/d/11923uPwbBZFjjGgGUA6NLw09EwE0CqkOc4q9oUmW1yo/edit?usp=sharing"",""เชียงใหม่!J453"")"),0)</f>
        <v>0</v>
      </c>
      <c r="N18" s="55">
        <f ca="1">IFERROR(__xludf.DUMMYFUNCTION("IMPORTRANGE(""https://docs.google.com/spreadsheets/d/11923uPwbBZFjjGgGUA6NLw09EwE0CqkOc4q9oUmW1yo/edit?usp=sharing"",""เชียงใหม่!J454"")"),0)</f>
        <v>0</v>
      </c>
      <c r="O18" s="99">
        <f t="shared" ca="1" si="5"/>
        <v>0</v>
      </c>
      <c r="P18" s="55">
        <v>0</v>
      </c>
      <c r="Q18" s="55">
        <f ca="1">IFERROR(__xludf.DUMMYFUNCTION("IMPORTRANGE(""https://docs.google.com/spreadsheets/d/11923uPwbBZFjjGgGUA6NLw09EwE0CqkOc4q9oUmW1yo/edit?usp=sharing"",""เชียงใหม่!J455"")"),0)</f>
        <v>0</v>
      </c>
      <c r="R18" s="55">
        <f ca="1">IFERROR(__xludf.DUMMYFUNCTION("IMPORTRANGE(""https://docs.google.com/spreadsheets/d/11923uPwbBZFjjGgGUA6NLw09EwE0CqkOc4q9oUmW1yo/edit?usp=sharing"",""เชียงใหม่!J456"")"),0)</f>
        <v>0</v>
      </c>
      <c r="S18" s="277">
        <f t="shared" si="7"/>
        <v>0</v>
      </c>
      <c r="T18" s="81"/>
      <c r="U18" s="81"/>
      <c r="V18" s="81"/>
      <c r="W18" s="81"/>
      <c r="X18" s="81"/>
      <c r="Y18" s="81"/>
      <c r="Z18" s="81"/>
    </row>
    <row r="19" spans="1:26" ht="24" customHeight="1" x14ac:dyDescent="0.5">
      <c r="A19" s="273">
        <v>4</v>
      </c>
      <c r="B19" s="274" t="s">
        <v>34</v>
      </c>
      <c r="C19" s="400">
        <f t="shared" si="27"/>
        <v>0</v>
      </c>
      <c r="D19" s="55">
        <v>0</v>
      </c>
      <c r="E19" s="55">
        <v>0</v>
      </c>
      <c r="F19" s="99">
        <f ca="1">IFERROR(__xludf.DUMMYFUNCTION("IMPORTRANGE(""https://docs.google.com/spreadsheets/d/11923uPwbBZFjjGgGUA6NLw09EwE0CqkOc4q9oUmW1yo/edit?usp=sharing"",""ตาก!M446"")"),0)</f>
        <v>0</v>
      </c>
      <c r="G19" s="99">
        <f t="shared" si="1"/>
        <v>0</v>
      </c>
      <c r="H19" s="402">
        <f t="shared" ref="H19:J19" si="31">SUM(L19,P19)</f>
        <v>0</v>
      </c>
      <c r="I19" s="55">
        <f t="shared" ca="1" si="31"/>
        <v>0</v>
      </c>
      <c r="J19" s="55">
        <f t="shared" ca="1" si="31"/>
        <v>0</v>
      </c>
      <c r="K19" s="403">
        <f t="shared" si="3"/>
        <v>0</v>
      </c>
      <c r="L19" s="55">
        <v>0</v>
      </c>
      <c r="M19" s="55">
        <f ca="1">IFERROR(__xludf.DUMMYFUNCTION("IMPORTRANGE(""https://docs.google.com/spreadsheets/d/11923uPwbBZFjjGgGUA6NLw09EwE0CqkOc4q9oUmW1yo/edit?usp=sharing"",""ตาก!J453"")"),0)</f>
        <v>0</v>
      </c>
      <c r="N19" s="55">
        <f ca="1">IFERROR(__xludf.DUMMYFUNCTION("IMPORTRANGE(""https://docs.google.com/spreadsheets/d/11923uPwbBZFjjGgGUA6NLw09EwE0CqkOc4q9oUmW1yo/edit?usp=sharing"",""ตาก!J454"")"),0)</f>
        <v>0</v>
      </c>
      <c r="O19" s="99">
        <f t="shared" si="5"/>
        <v>0</v>
      </c>
      <c r="P19" s="55">
        <v>0</v>
      </c>
      <c r="Q19" s="55">
        <f ca="1">IFERROR(__xludf.DUMMYFUNCTION("IMPORTRANGE(""https://docs.google.com/spreadsheets/d/11923uPwbBZFjjGgGUA6NLw09EwE0CqkOc4q9oUmW1yo/edit?usp=sharing"",""ตาก!J455"")"),0)</f>
        <v>0</v>
      </c>
      <c r="R19" s="55">
        <f ca="1">IFERROR(__xludf.DUMMYFUNCTION("IMPORTRANGE(""https://docs.google.com/spreadsheets/d/11923uPwbBZFjjGgGUA6NLw09EwE0CqkOc4q9oUmW1yo/edit?usp=sharing"",""ตาก!J456"")"),0)</f>
        <v>0</v>
      </c>
      <c r="S19" s="277">
        <f t="shared" si="7"/>
        <v>0</v>
      </c>
      <c r="T19" s="81"/>
      <c r="U19" s="81"/>
      <c r="V19" s="81"/>
      <c r="W19" s="81"/>
      <c r="X19" s="81"/>
      <c r="Y19" s="81"/>
      <c r="Z19" s="81"/>
    </row>
    <row r="20" spans="1:26" ht="24" customHeight="1" x14ac:dyDescent="0.5">
      <c r="A20" s="273">
        <v>5</v>
      </c>
      <c r="B20" s="274" t="s">
        <v>35</v>
      </c>
      <c r="C20" s="400">
        <f t="shared" si="27"/>
        <v>0</v>
      </c>
      <c r="D20" s="55">
        <v>0</v>
      </c>
      <c r="E20" s="55">
        <v>0</v>
      </c>
      <c r="F20" s="99">
        <f ca="1">IFERROR(__xludf.DUMMYFUNCTION("IMPORTRANGE(""https://docs.google.com/spreadsheets/d/11923uPwbBZFjjGgGUA6NLw09EwE0CqkOc4q9oUmW1yo/edit?usp=sharing"",""นครสวรรค์!M446"")"),0)</f>
        <v>0</v>
      </c>
      <c r="G20" s="99">
        <f t="shared" si="1"/>
        <v>0</v>
      </c>
      <c r="H20" s="402">
        <f t="shared" ref="H20:J20" si="32">SUM(L20,P20)</f>
        <v>0</v>
      </c>
      <c r="I20" s="55">
        <f t="shared" ca="1" si="32"/>
        <v>0</v>
      </c>
      <c r="J20" s="55">
        <f t="shared" ca="1" si="32"/>
        <v>0</v>
      </c>
      <c r="K20" s="403">
        <f t="shared" si="3"/>
        <v>0</v>
      </c>
      <c r="L20" s="55">
        <v>0</v>
      </c>
      <c r="M20" s="55">
        <f ca="1">IFERROR(__xludf.DUMMYFUNCTION("IMPORTRANGE(""https://docs.google.com/spreadsheets/d/11923uPwbBZFjjGgGUA6NLw09EwE0CqkOc4q9oUmW1yo/edit?usp=sharing"",""นครสวรรค์!J453"")"),0)</f>
        <v>0</v>
      </c>
      <c r="N20" s="55">
        <f ca="1">IFERROR(__xludf.DUMMYFUNCTION("IMPORTRANGE(""https://docs.google.com/spreadsheets/d/11923uPwbBZFjjGgGUA6NLw09EwE0CqkOc4q9oUmW1yo/edit?usp=sharing"",""นครสวรรค์!J454"")"),0)</f>
        <v>0</v>
      </c>
      <c r="O20" s="99">
        <f t="shared" si="5"/>
        <v>0</v>
      </c>
      <c r="P20" s="55">
        <v>0</v>
      </c>
      <c r="Q20" s="55">
        <f ca="1">IFERROR(__xludf.DUMMYFUNCTION("IMPORTRANGE(""https://docs.google.com/spreadsheets/d/11923uPwbBZFjjGgGUA6NLw09EwE0CqkOc4q9oUmW1yo/edit?usp=sharing"",""นครสวรรค์!J455"")"),0)</f>
        <v>0</v>
      </c>
      <c r="R20" s="55">
        <f ca="1">IFERROR(__xludf.DUMMYFUNCTION("IMPORTRANGE(""https://docs.google.com/spreadsheets/d/11923uPwbBZFjjGgGUA6NLw09EwE0CqkOc4q9oUmW1yo/edit?usp=sharing"",""นครสวรรค์!J456"")"),0)</f>
        <v>0</v>
      </c>
      <c r="S20" s="277">
        <f t="shared" si="7"/>
        <v>0</v>
      </c>
      <c r="T20" s="81"/>
      <c r="U20" s="81"/>
      <c r="V20" s="81"/>
      <c r="W20" s="81"/>
      <c r="X20" s="81"/>
      <c r="Y20" s="81"/>
      <c r="Z20" s="81"/>
    </row>
    <row r="21" spans="1:26" ht="24" customHeight="1" x14ac:dyDescent="0.5">
      <c r="A21" s="273">
        <v>6</v>
      </c>
      <c r="B21" s="274" t="s">
        <v>36</v>
      </c>
      <c r="C21" s="400">
        <f t="shared" si="27"/>
        <v>0</v>
      </c>
      <c r="D21" s="55">
        <v>0</v>
      </c>
      <c r="E21" s="55">
        <v>0</v>
      </c>
      <c r="F21" s="99">
        <f ca="1">IFERROR(__xludf.DUMMYFUNCTION("IMPORTRANGE(""https://docs.google.com/spreadsheets/d/11923uPwbBZFjjGgGUA6NLw09EwE0CqkOc4q9oUmW1yo/edit?usp=sharing"",""น่าน!M446"")"),0)</f>
        <v>0</v>
      </c>
      <c r="G21" s="99">
        <f t="shared" si="1"/>
        <v>0</v>
      </c>
      <c r="H21" s="402">
        <f t="shared" ref="H21:J21" si="33">SUM(L21,P21)</f>
        <v>0</v>
      </c>
      <c r="I21" s="55">
        <f t="shared" ca="1" si="33"/>
        <v>0</v>
      </c>
      <c r="J21" s="55">
        <f t="shared" ca="1" si="33"/>
        <v>0</v>
      </c>
      <c r="K21" s="403">
        <f t="shared" si="3"/>
        <v>0</v>
      </c>
      <c r="L21" s="55">
        <v>0</v>
      </c>
      <c r="M21" s="55">
        <f ca="1">IFERROR(__xludf.DUMMYFUNCTION("IMPORTRANGE(""https://docs.google.com/spreadsheets/d/11923uPwbBZFjjGgGUA6NLw09EwE0CqkOc4q9oUmW1yo/edit?usp=sharing"",""น่าน!J453"")"),0)</f>
        <v>0</v>
      </c>
      <c r="N21" s="55">
        <f ca="1">IFERROR(__xludf.DUMMYFUNCTION("IMPORTRANGE(""https://docs.google.com/spreadsheets/d/11923uPwbBZFjjGgGUA6NLw09EwE0CqkOc4q9oUmW1yo/edit?usp=sharing"",""น่าน!J454"")"),0)</f>
        <v>0</v>
      </c>
      <c r="O21" s="99">
        <f t="shared" si="5"/>
        <v>0</v>
      </c>
      <c r="P21" s="55">
        <v>0</v>
      </c>
      <c r="Q21" s="55">
        <f ca="1">IFERROR(__xludf.DUMMYFUNCTION("IMPORTRANGE(""https://docs.google.com/spreadsheets/d/11923uPwbBZFjjGgGUA6NLw09EwE0CqkOc4q9oUmW1yo/edit?usp=sharing"",""น่าน!J455"")"),0)</f>
        <v>0</v>
      </c>
      <c r="R21" s="55">
        <f ca="1">IFERROR(__xludf.DUMMYFUNCTION("IMPORTRANGE(""https://docs.google.com/spreadsheets/d/11923uPwbBZFjjGgGUA6NLw09EwE0CqkOc4q9oUmW1yo/edit?usp=sharing"",""น่าน!J456"")"),0)</f>
        <v>0</v>
      </c>
      <c r="S21" s="277">
        <f t="shared" si="7"/>
        <v>0</v>
      </c>
      <c r="T21" s="81"/>
      <c r="U21" s="81"/>
      <c r="V21" s="81"/>
      <c r="W21" s="81"/>
      <c r="X21" s="81"/>
      <c r="Y21" s="81"/>
      <c r="Z21" s="81"/>
    </row>
    <row r="22" spans="1:26" ht="24" customHeight="1" x14ac:dyDescent="0.5">
      <c r="A22" s="273">
        <v>7</v>
      </c>
      <c r="B22" s="274" t="s">
        <v>37</v>
      </c>
      <c r="C22" s="400">
        <f t="shared" si="27"/>
        <v>0</v>
      </c>
      <c r="D22" s="55">
        <v>0</v>
      </c>
      <c r="E22" s="55">
        <v>0</v>
      </c>
      <c r="F22" s="99">
        <f ca="1">IFERROR(__xludf.DUMMYFUNCTION("IMPORTRANGE(""https://docs.google.com/spreadsheets/d/11923uPwbBZFjjGgGUA6NLw09EwE0CqkOc4q9oUmW1yo/edit?usp=sharing"",""พะเยา!M446"")"),0)</f>
        <v>0</v>
      </c>
      <c r="G22" s="99">
        <f t="shared" si="1"/>
        <v>0</v>
      </c>
      <c r="H22" s="402">
        <f t="shared" ref="H22:J22" si="34">SUM(L22,P22)</f>
        <v>0</v>
      </c>
      <c r="I22" s="55">
        <f t="shared" ca="1" si="34"/>
        <v>0</v>
      </c>
      <c r="J22" s="55">
        <f t="shared" ca="1" si="34"/>
        <v>0</v>
      </c>
      <c r="K22" s="403">
        <f t="shared" si="3"/>
        <v>0</v>
      </c>
      <c r="L22" s="55">
        <v>0</v>
      </c>
      <c r="M22" s="55">
        <f ca="1">IFERROR(__xludf.DUMMYFUNCTION("IMPORTRANGE(""https://docs.google.com/spreadsheets/d/11923uPwbBZFjjGgGUA6NLw09EwE0CqkOc4q9oUmW1yo/edit?usp=sharing"",""พะเยา!J453"")"),0)</f>
        <v>0</v>
      </c>
      <c r="N22" s="55">
        <f ca="1">IFERROR(__xludf.DUMMYFUNCTION("IMPORTRANGE(""https://docs.google.com/spreadsheets/d/11923uPwbBZFjjGgGUA6NLw09EwE0CqkOc4q9oUmW1yo/edit?usp=sharing"",""พะเยา!J454"")"),0)</f>
        <v>0</v>
      </c>
      <c r="O22" s="99">
        <f t="shared" si="5"/>
        <v>0</v>
      </c>
      <c r="P22" s="55">
        <v>0</v>
      </c>
      <c r="Q22" s="55">
        <f ca="1">IFERROR(__xludf.DUMMYFUNCTION("IMPORTRANGE(""https://docs.google.com/spreadsheets/d/11923uPwbBZFjjGgGUA6NLw09EwE0CqkOc4q9oUmW1yo/edit?usp=sharing"",""พะเยา!J455"")"),0)</f>
        <v>0</v>
      </c>
      <c r="R22" s="55">
        <f ca="1">IFERROR(__xludf.DUMMYFUNCTION("IMPORTRANGE(""https://docs.google.com/spreadsheets/d/11923uPwbBZFjjGgGUA6NLw09EwE0CqkOc4q9oUmW1yo/edit?usp=sharing"",""พะเยา!J456"")"),0)</f>
        <v>0</v>
      </c>
      <c r="S22" s="277">
        <f t="shared" si="7"/>
        <v>0</v>
      </c>
      <c r="T22" s="81"/>
      <c r="U22" s="81"/>
      <c r="V22" s="81"/>
      <c r="W22" s="81"/>
      <c r="X22" s="81"/>
      <c r="Y22" s="81"/>
      <c r="Z22" s="81"/>
    </row>
    <row r="23" spans="1:26" ht="24" customHeight="1" x14ac:dyDescent="0.5">
      <c r="A23" s="273">
        <v>8</v>
      </c>
      <c r="B23" s="274" t="s">
        <v>38</v>
      </c>
      <c r="C23" s="400">
        <f t="shared" si="27"/>
        <v>0</v>
      </c>
      <c r="D23" s="55">
        <v>0</v>
      </c>
      <c r="E23" s="55">
        <v>0</v>
      </c>
      <c r="F23" s="99">
        <f ca="1">IFERROR(__xludf.DUMMYFUNCTION("IMPORTRANGE(""https://docs.google.com/spreadsheets/d/11923uPwbBZFjjGgGUA6NLw09EwE0CqkOc4q9oUmW1yo/edit?usp=sharing"",""พิจิตร!M446"")"),0)</f>
        <v>0</v>
      </c>
      <c r="G23" s="99">
        <f t="shared" si="1"/>
        <v>0</v>
      </c>
      <c r="H23" s="402">
        <f t="shared" ref="H23:J23" si="35">SUM(L23,P23)</f>
        <v>0</v>
      </c>
      <c r="I23" s="55">
        <f t="shared" ca="1" si="35"/>
        <v>0</v>
      </c>
      <c r="J23" s="55">
        <f t="shared" ca="1" si="35"/>
        <v>0</v>
      </c>
      <c r="K23" s="403">
        <f t="shared" si="3"/>
        <v>0</v>
      </c>
      <c r="L23" s="55">
        <v>0</v>
      </c>
      <c r="M23" s="55">
        <f ca="1">IFERROR(__xludf.DUMMYFUNCTION("IMPORTRANGE(""https://docs.google.com/spreadsheets/d/11923uPwbBZFjjGgGUA6NLw09EwE0CqkOc4q9oUmW1yo/edit?usp=sharing"",""พิจิตร!J453"")"),0)</f>
        <v>0</v>
      </c>
      <c r="N23" s="55">
        <f ca="1">IFERROR(__xludf.DUMMYFUNCTION("IMPORTRANGE(""https://docs.google.com/spreadsheets/d/11923uPwbBZFjjGgGUA6NLw09EwE0CqkOc4q9oUmW1yo/edit?usp=sharing"",""พิจิตร!J454"")"),0)</f>
        <v>0</v>
      </c>
      <c r="O23" s="99">
        <f t="shared" si="5"/>
        <v>0</v>
      </c>
      <c r="P23" s="55">
        <v>0</v>
      </c>
      <c r="Q23" s="55">
        <f ca="1">IFERROR(__xludf.DUMMYFUNCTION("IMPORTRANGE(""https://docs.google.com/spreadsheets/d/11923uPwbBZFjjGgGUA6NLw09EwE0CqkOc4q9oUmW1yo/edit?usp=sharing"",""พิจิตร!J455"")"),0)</f>
        <v>0</v>
      </c>
      <c r="R23" s="55">
        <f ca="1">IFERROR(__xludf.DUMMYFUNCTION("IMPORTRANGE(""https://docs.google.com/spreadsheets/d/11923uPwbBZFjjGgGUA6NLw09EwE0CqkOc4q9oUmW1yo/edit?usp=sharing"",""พิจิตร!J456"")"),0)</f>
        <v>0</v>
      </c>
      <c r="S23" s="277">
        <f t="shared" si="7"/>
        <v>0</v>
      </c>
      <c r="T23" s="81"/>
      <c r="U23" s="81"/>
      <c r="V23" s="81"/>
      <c r="W23" s="81"/>
      <c r="X23" s="81"/>
      <c r="Y23" s="81"/>
      <c r="Z23" s="81"/>
    </row>
    <row r="24" spans="1:26" ht="24" customHeight="1" x14ac:dyDescent="0.5">
      <c r="A24" s="273">
        <v>9</v>
      </c>
      <c r="B24" s="274" t="s">
        <v>39</v>
      </c>
      <c r="C24" s="400">
        <f t="shared" si="27"/>
        <v>534000</v>
      </c>
      <c r="D24" s="55">
        <v>0</v>
      </c>
      <c r="E24" s="55">
        <v>534000</v>
      </c>
      <c r="F24" s="99">
        <f ca="1">IFERROR(__xludf.DUMMYFUNCTION("IMPORTRANGE(""https://docs.google.com/spreadsheets/d/11923uPwbBZFjjGgGUA6NLw09EwE0CqkOc4q9oUmW1yo/edit?usp=sharing"",""พิษณุโลก!M446"")"),0)</f>
        <v>0</v>
      </c>
      <c r="G24" s="99">
        <f t="shared" ca="1" si="1"/>
        <v>0</v>
      </c>
      <c r="H24" s="402">
        <f t="shared" ref="H24:J24" si="36">SUM(L24,P24)</f>
        <v>9000</v>
      </c>
      <c r="I24" s="55">
        <f t="shared" ca="1" si="36"/>
        <v>0</v>
      </c>
      <c r="J24" s="55">
        <f t="shared" ca="1" si="36"/>
        <v>0</v>
      </c>
      <c r="K24" s="403">
        <f t="shared" ca="1" si="3"/>
        <v>0</v>
      </c>
      <c r="L24" s="55">
        <v>9000</v>
      </c>
      <c r="M24" s="55">
        <f ca="1">IFERROR(__xludf.DUMMYFUNCTION("IMPORTRANGE(""https://docs.google.com/spreadsheets/d/11923uPwbBZFjjGgGUA6NLw09EwE0CqkOc4q9oUmW1yo/edit?usp=sharing"",""พิษณุโลก!J453"")"),0)</f>
        <v>0</v>
      </c>
      <c r="N24" s="55">
        <f ca="1">IFERROR(__xludf.DUMMYFUNCTION("IMPORTRANGE(""https://docs.google.com/spreadsheets/d/11923uPwbBZFjjGgGUA6NLw09EwE0CqkOc4q9oUmW1yo/edit?usp=sharing"",""พิษณุโลก!J454"")"),0)</f>
        <v>0</v>
      </c>
      <c r="O24" s="99">
        <f t="shared" ca="1" si="5"/>
        <v>0</v>
      </c>
      <c r="P24" s="55">
        <v>0</v>
      </c>
      <c r="Q24" s="55">
        <f ca="1">IFERROR(__xludf.DUMMYFUNCTION("IMPORTRANGE(""https://docs.google.com/spreadsheets/d/11923uPwbBZFjjGgGUA6NLw09EwE0CqkOc4q9oUmW1yo/edit?usp=sharing"",""พิษณุโลก!J455"")"),0)</f>
        <v>0</v>
      </c>
      <c r="R24" s="55">
        <f ca="1">IFERROR(__xludf.DUMMYFUNCTION("IMPORTRANGE(""https://docs.google.com/spreadsheets/d/11923uPwbBZFjjGgGUA6NLw09EwE0CqkOc4q9oUmW1yo/edit?usp=sharing"",""พิษณุโลก!J456"")"),0)</f>
        <v>0</v>
      </c>
      <c r="S24" s="277">
        <f t="shared" si="7"/>
        <v>0</v>
      </c>
      <c r="T24" s="81"/>
      <c r="U24" s="81"/>
      <c r="V24" s="81"/>
      <c r="W24" s="81"/>
      <c r="X24" s="81"/>
      <c r="Y24" s="81"/>
      <c r="Z24" s="81"/>
    </row>
    <row r="25" spans="1:26" ht="24" customHeight="1" x14ac:dyDescent="0.5">
      <c r="A25" s="273">
        <v>10</v>
      </c>
      <c r="B25" s="274" t="s">
        <v>40</v>
      </c>
      <c r="C25" s="400">
        <f t="shared" si="27"/>
        <v>0</v>
      </c>
      <c r="D25" s="55">
        <v>0</v>
      </c>
      <c r="E25" s="55">
        <v>0</v>
      </c>
      <c r="F25" s="99">
        <f ca="1">IFERROR(__xludf.DUMMYFUNCTION("IMPORTRANGE(""https://docs.google.com/spreadsheets/d/11923uPwbBZFjjGgGUA6NLw09EwE0CqkOc4q9oUmW1yo/edit?usp=sharing"",""เพชรบูรณ์!M446"")"),0)</f>
        <v>0</v>
      </c>
      <c r="G25" s="99">
        <f t="shared" si="1"/>
        <v>0</v>
      </c>
      <c r="H25" s="402">
        <f t="shared" ref="H25:J25" si="37">SUM(L25,P25)</f>
        <v>29000</v>
      </c>
      <c r="I25" s="55">
        <f t="shared" ca="1" si="37"/>
        <v>0</v>
      </c>
      <c r="J25" s="55">
        <f t="shared" ca="1" si="37"/>
        <v>0</v>
      </c>
      <c r="K25" s="403">
        <f t="shared" ca="1" si="3"/>
        <v>0</v>
      </c>
      <c r="L25" s="55">
        <v>0</v>
      </c>
      <c r="M25" s="55">
        <f ca="1">IFERROR(__xludf.DUMMYFUNCTION("IMPORTRANGE(""https://docs.google.com/spreadsheets/d/11923uPwbBZFjjGgGUA6NLw09EwE0CqkOc4q9oUmW1yo/edit?usp=sharing"",""เพชรบูรณ์!J453"")"),0)</f>
        <v>0</v>
      </c>
      <c r="N25" s="55">
        <f ca="1">IFERROR(__xludf.DUMMYFUNCTION("IMPORTRANGE(""https://docs.google.com/spreadsheets/d/11923uPwbBZFjjGgGUA6NLw09EwE0CqkOc4q9oUmW1yo/edit?usp=sharing"",""เพชรบูรณ์!J454"")"),0)</f>
        <v>0</v>
      </c>
      <c r="O25" s="99">
        <f t="shared" si="5"/>
        <v>0</v>
      </c>
      <c r="P25" s="57">
        <v>29000</v>
      </c>
      <c r="Q25" s="55">
        <f ca="1">IFERROR(__xludf.DUMMYFUNCTION("IMPORTRANGE(""https://docs.google.com/spreadsheets/d/11923uPwbBZFjjGgGUA6NLw09EwE0CqkOc4q9oUmW1yo/edit?usp=sharing"",""เพชรบูรณ์!J455"")"),0)</f>
        <v>0</v>
      </c>
      <c r="R25" s="55">
        <f ca="1">IFERROR(__xludf.DUMMYFUNCTION("IMPORTRANGE(""https://docs.google.com/spreadsheets/d/11923uPwbBZFjjGgGUA6NLw09EwE0CqkOc4q9oUmW1yo/edit?usp=sharing"",""เพชรบูรณ์!J456"")"),0)</f>
        <v>0</v>
      </c>
      <c r="S25" s="277">
        <f t="shared" ca="1" si="7"/>
        <v>0</v>
      </c>
      <c r="T25" s="81"/>
      <c r="U25" s="81"/>
      <c r="V25" s="81"/>
      <c r="W25" s="81"/>
      <c r="X25" s="81"/>
      <c r="Y25" s="81"/>
      <c r="Z25" s="81"/>
    </row>
    <row r="26" spans="1:26" ht="24" customHeight="1" x14ac:dyDescent="0.5">
      <c r="A26" s="273">
        <v>11</v>
      </c>
      <c r="B26" s="274" t="s">
        <v>41</v>
      </c>
      <c r="C26" s="400">
        <f t="shared" si="27"/>
        <v>0</v>
      </c>
      <c r="D26" s="55">
        <v>0</v>
      </c>
      <c r="E26" s="55">
        <v>0</v>
      </c>
      <c r="F26" s="99">
        <f ca="1">IFERROR(__xludf.DUMMYFUNCTION("IMPORTRANGE(""https://docs.google.com/spreadsheets/d/11923uPwbBZFjjGgGUA6NLw09EwE0CqkOc4q9oUmW1yo/edit?usp=sharing"",""แพร่!M446"")"),0)</f>
        <v>0</v>
      </c>
      <c r="G26" s="99">
        <f t="shared" si="1"/>
        <v>0</v>
      </c>
      <c r="H26" s="402">
        <f t="shared" ref="H26:J26" si="38">SUM(L26,P26)</f>
        <v>0</v>
      </c>
      <c r="I26" s="55">
        <f t="shared" ca="1" si="38"/>
        <v>0</v>
      </c>
      <c r="J26" s="55">
        <f t="shared" ca="1" si="38"/>
        <v>0</v>
      </c>
      <c r="K26" s="403">
        <f t="shared" si="3"/>
        <v>0</v>
      </c>
      <c r="L26" s="55">
        <v>0</v>
      </c>
      <c r="M26" s="55">
        <f ca="1">IFERROR(__xludf.DUMMYFUNCTION("IMPORTRANGE(""https://docs.google.com/spreadsheets/d/11923uPwbBZFjjGgGUA6NLw09EwE0CqkOc4q9oUmW1yo/edit?usp=sharing"",""แพร่!J453"")"),0)</f>
        <v>0</v>
      </c>
      <c r="N26" s="55">
        <f ca="1">IFERROR(__xludf.DUMMYFUNCTION("IMPORTRANGE(""https://docs.google.com/spreadsheets/d/11923uPwbBZFjjGgGUA6NLw09EwE0CqkOc4q9oUmW1yo/edit?usp=sharing"",""แพร่!J454"")"),0)</f>
        <v>0</v>
      </c>
      <c r="O26" s="99">
        <f t="shared" si="5"/>
        <v>0</v>
      </c>
      <c r="P26" s="55">
        <v>0</v>
      </c>
      <c r="Q26" s="55">
        <f ca="1">IFERROR(__xludf.DUMMYFUNCTION("IMPORTRANGE(""https://docs.google.com/spreadsheets/d/11923uPwbBZFjjGgGUA6NLw09EwE0CqkOc4q9oUmW1yo/edit?usp=sharing"",""แพร่!J455"")"),0)</f>
        <v>0</v>
      </c>
      <c r="R26" s="55">
        <f ca="1">IFERROR(__xludf.DUMMYFUNCTION("IMPORTRANGE(""https://docs.google.com/spreadsheets/d/11923uPwbBZFjjGgGUA6NLw09EwE0CqkOc4q9oUmW1yo/edit?usp=sharing"",""แพร่!J456"")"),0)</f>
        <v>0</v>
      </c>
      <c r="S26" s="277">
        <f t="shared" si="7"/>
        <v>0</v>
      </c>
      <c r="T26" s="81"/>
      <c r="U26" s="81"/>
      <c r="V26" s="81"/>
      <c r="W26" s="81"/>
      <c r="X26" s="81"/>
      <c r="Y26" s="81"/>
      <c r="Z26" s="81"/>
    </row>
    <row r="27" spans="1:26" ht="24" customHeight="1" x14ac:dyDescent="0.5">
      <c r="A27" s="273">
        <v>12</v>
      </c>
      <c r="B27" s="274" t="s">
        <v>42</v>
      </c>
      <c r="C27" s="400">
        <f t="shared" si="27"/>
        <v>0</v>
      </c>
      <c r="D27" s="55">
        <v>0</v>
      </c>
      <c r="E27" s="55">
        <v>0</v>
      </c>
      <c r="F27" s="99">
        <f ca="1">IFERROR(__xludf.DUMMYFUNCTION("IMPORTRANGE(""https://docs.google.com/spreadsheets/d/11923uPwbBZFjjGgGUA6NLw09EwE0CqkOc4q9oUmW1yo/edit?usp=sharing"",""แม่ฮ่องสอน!M446"")"),0)</f>
        <v>0</v>
      </c>
      <c r="G27" s="99">
        <f t="shared" si="1"/>
        <v>0</v>
      </c>
      <c r="H27" s="402">
        <f t="shared" ref="H27:J27" si="39">SUM(L27,P27)</f>
        <v>0</v>
      </c>
      <c r="I27" s="55">
        <f t="shared" ca="1" si="39"/>
        <v>0</v>
      </c>
      <c r="J27" s="55">
        <f t="shared" ca="1" si="39"/>
        <v>0</v>
      </c>
      <c r="K27" s="403">
        <f t="shared" si="3"/>
        <v>0</v>
      </c>
      <c r="L27" s="55">
        <v>0</v>
      </c>
      <c r="M27" s="55">
        <f ca="1">IFERROR(__xludf.DUMMYFUNCTION("IMPORTRANGE(""https://docs.google.com/spreadsheets/d/11923uPwbBZFjjGgGUA6NLw09EwE0CqkOc4q9oUmW1yo/edit?usp=sharing"",""แม่ฮ่องสอน!J453"")"),0)</f>
        <v>0</v>
      </c>
      <c r="N27" s="55">
        <f ca="1">IFERROR(__xludf.DUMMYFUNCTION("IMPORTRANGE(""https://docs.google.com/spreadsheets/d/11923uPwbBZFjjGgGUA6NLw09EwE0CqkOc4q9oUmW1yo/edit?usp=sharing"",""แม่ฮ่องสอน!J454"")"),0)</f>
        <v>0</v>
      </c>
      <c r="O27" s="99">
        <f t="shared" si="5"/>
        <v>0</v>
      </c>
      <c r="P27" s="55">
        <v>0</v>
      </c>
      <c r="Q27" s="55">
        <f ca="1">IFERROR(__xludf.DUMMYFUNCTION("IMPORTRANGE(""https://docs.google.com/spreadsheets/d/11923uPwbBZFjjGgGUA6NLw09EwE0CqkOc4q9oUmW1yo/edit?usp=sharing"",""แม่ฮ่องสอน!J455"")"),0)</f>
        <v>0</v>
      </c>
      <c r="R27" s="55">
        <f ca="1">IFERROR(__xludf.DUMMYFUNCTION("IMPORTRANGE(""https://docs.google.com/spreadsheets/d/11923uPwbBZFjjGgGUA6NLw09EwE0CqkOc4q9oUmW1yo/edit?usp=sharing"",""แม่ฮ่องสอน!J456"")"),0)</f>
        <v>0</v>
      </c>
      <c r="S27" s="277">
        <f t="shared" si="7"/>
        <v>0</v>
      </c>
      <c r="T27" s="81"/>
      <c r="U27" s="81"/>
      <c r="V27" s="81"/>
      <c r="W27" s="81"/>
      <c r="X27" s="81"/>
      <c r="Y27" s="81"/>
      <c r="Z27" s="81"/>
    </row>
    <row r="28" spans="1:26" ht="24" customHeight="1" x14ac:dyDescent="0.5">
      <c r="A28" s="273">
        <v>13</v>
      </c>
      <c r="B28" s="274" t="s">
        <v>43</v>
      </c>
      <c r="C28" s="400">
        <f t="shared" si="27"/>
        <v>188000</v>
      </c>
      <c r="D28" s="55">
        <v>0</v>
      </c>
      <c r="E28" s="55">
        <v>188000</v>
      </c>
      <c r="F28" s="99">
        <f ca="1">IFERROR(__xludf.DUMMYFUNCTION("IMPORTRANGE(""https://docs.google.com/spreadsheets/d/11923uPwbBZFjjGgGUA6NLw09EwE0CqkOc4q9oUmW1yo/edit?usp=sharing"",""ลำปาง!M446"")"),0)</f>
        <v>0</v>
      </c>
      <c r="G28" s="99">
        <f t="shared" ca="1" si="1"/>
        <v>0</v>
      </c>
      <c r="H28" s="402">
        <f t="shared" ref="H28:J28" si="40">SUM(L28,P28)</f>
        <v>3000</v>
      </c>
      <c r="I28" s="55">
        <f t="shared" ca="1" si="40"/>
        <v>0</v>
      </c>
      <c r="J28" s="55">
        <f t="shared" ca="1" si="40"/>
        <v>0</v>
      </c>
      <c r="K28" s="403">
        <f t="shared" ca="1" si="3"/>
        <v>0</v>
      </c>
      <c r="L28" s="55">
        <v>3000</v>
      </c>
      <c r="M28" s="55">
        <f ca="1">IFERROR(__xludf.DUMMYFUNCTION("IMPORTRANGE(""https://docs.google.com/spreadsheets/d/11923uPwbBZFjjGgGUA6NLw09EwE0CqkOc4q9oUmW1yo/edit?usp=sharing"",""ลำปาง!J453"")"),0)</f>
        <v>0</v>
      </c>
      <c r="N28" s="55">
        <f ca="1">IFERROR(__xludf.DUMMYFUNCTION("IMPORTRANGE(""https://docs.google.com/spreadsheets/d/11923uPwbBZFjjGgGUA6NLw09EwE0CqkOc4q9oUmW1yo/edit?usp=sharing"",""ลำปาง!J454"")"),0)</f>
        <v>0</v>
      </c>
      <c r="O28" s="99">
        <f t="shared" ca="1" si="5"/>
        <v>0</v>
      </c>
      <c r="P28" s="55">
        <v>0</v>
      </c>
      <c r="Q28" s="55">
        <f ca="1">IFERROR(__xludf.DUMMYFUNCTION("IMPORTRANGE(""https://docs.google.com/spreadsheets/d/11923uPwbBZFjjGgGUA6NLw09EwE0CqkOc4q9oUmW1yo/edit?usp=sharing"",""ลำปาง!J455"")"),0)</f>
        <v>0</v>
      </c>
      <c r="R28" s="55">
        <f ca="1">IFERROR(__xludf.DUMMYFUNCTION("IMPORTRANGE(""https://docs.google.com/spreadsheets/d/11923uPwbBZFjjGgGUA6NLw09EwE0CqkOc4q9oUmW1yo/edit?usp=sharing"",""ลำปาง!J456"")"),0)</f>
        <v>0</v>
      </c>
      <c r="S28" s="277">
        <f t="shared" si="7"/>
        <v>0</v>
      </c>
      <c r="T28" s="81"/>
      <c r="U28" s="81"/>
      <c r="V28" s="81"/>
      <c r="W28" s="81"/>
      <c r="X28" s="81"/>
      <c r="Y28" s="81"/>
      <c r="Z28" s="81"/>
    </row>
    <row r="29" spans="1:26" ht="24" customHeight="1" x14ac:dyDescent="0.5">
      <c r="A29" s="273">
        <v>14</v>
      </c>
      <c r="B29" s="274" t="s">
        <v>44</v>
      </c>
      <c r="C29" s="400">
        <f t="shared" si="27"/>
        <v>0</v>
      </c>
      <c r="D29" s="55">
        <v>0</v>
      </c>
      <c r="E29" s="55">
        <v>0</v>
      </c>
      <c r="F29" s="99">
        <f ca="1">IFERROR(__xludf.DUMMYFUNCTION("IMPORTRANGE(""https://docs.google.com/spreadsheets/d/11923uPwbBZFjjGgGUA6NLw09EwE0CqkOc4q9oUmW1yo/edit?usp=sharing"",""ลำพูน!M446"")"),0)</f>
        <v>0</v>
      </c>
      <c r="G29" s="99">
        <f t="shared" si="1"/>
        <v>0</v>
      </c>
      <c r="H29" s="402">
        <f t="shared" ref="H29:J29" si="41">SUM(L29,P29)</f>
        <v>0</v>
      </c>
      <c r="I29" s="55">
        <f t="shared" ca="1" si="41"/>
        <v>0</v>
      </c>
      <c r="J29" s="55">
        <f t="shared" ca="1" si="41"/>
        <v>0</v>
      </c>
      <c r="K29" s="403">
        <f t="shared" si="3"/>
        <v>0</v>
      </c>
      <c r="L29" s="55">
        <v>0</v>
      </c>
      <c r="M29" s="55">
        <f ca="1">IFERROR(__xludf.DUMMYFUNCTION("IMPORTRANGE(""https://docs.google.com/spreadsheets/d/11923uPwbBZFjjGgGUA6NLw09EwE0CqkOc4q9oUmW1yo/edit?usp=sharing"",""ลำพูน!J453"")"),0)</f>
        <v>0</v>
      </c>
      <c r="N29" s="55">
        <f ca="1">IFERROR(__xludf.DUMMYFUNCTION("IMPORTRANGE(""https://docs.google.com/spreadsheets/d/11923uPwbBZFjjGgGUA6NLw09EwE0CqkOc4q9oUmW1yo/edit?usp=sharing"",""ลำพูน!J454"")"),0)</f>
        <v>0</v>
      </c>
      <c r="O29" s="99">
        <f t="shared" si="5"/>
        <v>0</v>
      </c>
      <c r="P29" s="55">
        <v>0</v>
      </c>
      <c r="Q29" s="55">
        <f ca="1">IFERROR(__xludf.DUMMYFUNCTION("IMPORTRANGE(""https://docs.google.com/spreadsheets/d/11923uPwbBZFjjGgGUA6NLw09EwE0CqkOc4q9oUmW1yo/edit?usp=sharing"",""ลำพูน!J455"")"),0)</f>
        <v>0</v>
      </c>
      <c r="R29" s="55">
        <f ca="1">IFERROR(__xludf.DUMMYFUNCTION("IMPORTRANGE(""https://docs.google.com/spreadsheets/d/11923uPwbBZFjjGgGUA6NLw09EwE0CqkOc4q9oUmW1yo/edit?usp=sharing"",""ลำพูน!J456"")"),0)</f>
        <v>0</v>
      </c>
      <c r="S29" s="277">
        <f t="shared" si="7"/>
        <v>0</v>
      </c>
      <c r="T29" s="81"/>
      <c r="U29" s="81"/>
      <c r="V29" s="81"/>
      <c r="W29" s="81"/>
      <c r="X29" s="81"/>
      <c r="Y29" s="81"/>
      <c r="Z29" s="81"/>
    </row>
    <row r="30" spans="1:26" ht="24" customHeight="1" x14ac:dyDescent="0.5">
      <c r="A30" s="273">
        <v>15</v>
      </c>
      <c r="B30" s="274" t="s">
        <v>45</v>
      </c>
      <c r="C30" s="400">
        <f t="shared" si="27"/>
        <v>0</v>
      </c>
      <c r="D30" s="55">
        <v>0</v>
      </c>
      <c r="E30" s="55">
        <v>0</v>
      </c>
      <c r="F30" s="99">
        <f ca="1">IFERROR(__xludf.DUMMYFUNCTION("IMPORTRANGE(""https://docs.google.com/spreadsheets/d/11923uPwbBZFjjGgGUA6NLw09EwE0CqkOc4q9oUmW1yo/edit?usp=sharing"",""สุโขทัย!M446"")"),0)</f>
        <v>0</v>
      </c>
      <c r="G30" s="99">
        <f t="shared" si="1"/>
        <v>0</v>
      </c>
      <c r="H30" s="402">
        <f t="shared" ref="H30:J30" si="42">SUM(L30,P30)</f>
        <v>0</v>
      </c>
      <c r="I30" s="55">
        <f t="shared" ca="1" si="42"/>
        <v>0</v>
      </c>
      <c r="J30" s="55">
        <f t="shared" ca="1" si="42"/>
        <v>0</v>
      </c>
      <c r="K30" s="403">
        <f t="shared" si="3"/>
        <v>0</v>
      </c>
      <c r="L30" s="55">
        <v>0</v>
      </c>
      <c r="M30" s="55">
        <f ca="1">IFERROR(__xludf.DUMMYFUNCTION("IMPORTRANGE(""https://docs.google.com/spreadsheets/d/11923uPwbBZFjjGgGUA6NLw09EwE0CqkOc4q9oUmW1yo/edit?usp=sharing"",""สุโขทัย!J453"")"),0)</f>
        <v>0</v>
      </c>
      <c r="N30" s="55">
        <f ca="1">IFERROR(__xludf.DUMMYFUNCTION("IMPORTRANGE(""https://docs.google.com/spreadsheets/d/11923uPwbBZFjjGgGUA6NLw09EwE0CqkOc4q9oUmW1yo/edit?usp=sharing"",""สุโขทัย!J454"")"),0)</f>
        <v>0</v>
      </c>
      <c r="O30" s="99">
        <f t="shared" si="5"/>
        <v>0</v>
      </c>
      <c r="P30" s="55">
        <v>0</v>
      </c>
      <c r="Q30" s="55">
        <f ca="1">IFERROR(__xludf.DUMMYFUNCTION("IMPORTRANGE(""https://docs.google.com/spreadsheets/d/11923uPwbBZFjjGgGUA6NLw09EwE0CqkOc4q9oUmW1yo/edit?usp=sharing"",""สุโขทัย!J455"")"),0)</f>
        <v>0</v>
      </c>
      <c r="R30" s="55">
        <f ca="1">IFERROR(__xludf.DUMMYFUNCTION("IMPORTRANGE(""https://docs.google.com/spreadsheets/d/11923uPwbBZFjjGgGUA6NLw09EwE0CqkOc4q9oUmW1yo/edit?usp=sharing"",""สุโขทัย!J456"")"),0)</f>
        <v>0</v>
      </c>
      <c r="S30" s="277">
        <f t="shared" si="7"/>
        <v>0</v>
      </c>
      <c r="T30" s="81"/>
      <c r="U30" s="81"/>
      <c r="V30" s="81"/>
      <c r="W30" s="81"/>
      <c r="X30" s="81"/>
      <c r="Y30" s="81"/>
      <c r="Z30" s="81"/>
    </row>
    <row r="31" spans="1:26" ht="24" customHeight="1" x14ac:dyDescent="0.5">
      <c r="A31" s="273">
        <v>16</v>
      </c>
      <c r="B31" s="274" t="s">
        <v>46</v>
      </c>
      <c r="C31" s="400">
        <f t="shared" si="27"/>
        <v>300000</v>
      </c>
      <c r="D31" s="55">
        <v>0</v>
      </c>
      <c r="E31" s="55">
        <v>300000</v>
      </c>
      <c r="F31" s="99">
        <f ca="1">IFERROR(__xludf.DUMMYFUNCTION("IMPORTRANGE(""https://docs.google.com/spreadsheets/d/11923uPwbBZFjjGgGUA6NLw09EwE0CqkOc4q9oUmW1yo/edit?usp=sharing"",""อุตรดิตถ์!M446"")"),0)</f>
        <v>0</v>
      </c>
      <c r="G31" s="99">
        <f t="shared" ca="1" si="1"/>
        <v>0</v>
      </c>
      <c r="H31" s="402">
        <f t="shared" ref="H31:J31" si="43">SUM(L31,P31)</f>
        <v>5000</v>
      </c>
      <c r="I31" s="55">
        <f t="shared" ca="1" si="43"/>
        <v>0</v>
      </c>
      <c r="J31" s="55">
        <f t="shared" ca="1" si="43"/>
        <v>0</v>
      </c>
      <c r="K31" s="403">
        <f t="shared" ca="1" si="3"/>
        <v>0</v>
      </c>
      <c r="L31" s="55">
        <v>5000</v>
      </c>
      <c r="M31" s="55">
        <f ca="1">IFERROR(__xludf.DUMMYFUNCTION("IMPORTRANGE(""https://docs.google.com/spreadsheets/d/11923uPwbBZFjjGgGUA6NLw09EwE0CqkOc4q9oUmW1yo/edit?usp=sharing"",""อุตรดิตถ์!J453"")"),0)</f>
        <v>0</v>
      </c>
      <c r="N31" s="55">
        <f ca="1">IFERROR(__xludf.DUMMYFUNCTION("IMPORTRANGE(""https://docs.google.com/spreadsheets/d/11923uPwbBZFjjGgGUA6NLw09EwE0CqkOc4q9oUmW1yo/edit?usp=sharing"",""อุตรดิตถ์!J454"")"),0)</f>
        <v>0</v>
      </c>
      <c r="O31" s="99">
        <f t="shared" ca="1" si="5"/>
        <v>0</v>
      </c>
      <c r="P31" s="55">
        <v>0</v>
      </c>
      <c r="Q31" s="55">
        <f ca="1">IFERROR(__xludf.DUMMYFUNCTION("IMPORTRANGE(""https://docs.google.com/spreadsheets/d/11923uPwbBZFjjGgGUA6NLw09EwE0CqkOc4q9oUmW1yo/edit?usp=sharing"",""อุตรดิตถ์!J455"")"),0)</f>
        <v>0</v>
      </c>
      <c r="R31" s="55">
        <f ca="1">IFERROR(__xludf.DUMMYFUNCTION("IMPORTRANGE(""https://docs.google.com/spreadsheets/d/11923uPwbBZFjjGgGUA6NLw09EwE0CqkOc4q9oUmW1yo/edit?usp=sharing"",""อุตรดิตถ์!J456"")"),0)</f>
        <v>0</v>
      </c>
      <c r="S31" s="277">
        <f t="shared" si="7"/>
        <v>0</v>
      </c>
      <c r="T31" s="81"/>
      <c r="U31" s="81"/>
      <c r="V31" s="81"/>
      <c r="W31" s="81"/>
      <c r="X31" s="81"/>
      <c r="Y31" s="81"/>
      <c r="Z31" s="81"/>
    </row>
    <row r="32" spans="1:26" ht="24" customHeight="1" x14ac:dyDescent="0.5">
      <c r="A32" s="278">
        <v>17</v>
      </c>
      <c r="B32" s="279" t="s">
        <v>47</v>
      </c>
      <c r="C32" s="404">
        <f t="shared" si="27"/>
        <v>0</v>
      </c>
      <c r="D32" s="62">
        <v>0</v>
      </c>
      <c r="E32" s="62">
        <v>0</v>
      </c>
      <c r="F32" s="100">
        <f ca="1">IFERROR(__xludf.DUMMYFUNCTION("IMPORTRANGE(""https://docs.google.com/spreadsheets/d/11923uPwbBZFjjGgGUA6NLw09EwE0CqkOc4q9oUmW1yo/edit?usp=sharing"",""อุทัยธานี!M446"")"),0)</f>
        <v>0</v>
      </c>
      <c r="G32" s="100">
        <f t="shared" si="1"/>
        <v>0</v>
      </c>
      <c r="H32" s="406">
        <f t="shared" ref="H32:J32" si="44">SUM(L32,P32)</f>
        <v>0</v>
      </c>
      <c r="I32" s="62">
        <f t="shared" ca="1" si="44"/>
        <v>0</v>
      </c>
      <c r="J32" s="62">
        <f t="shared" ca="1" si="44"/>
        <v>0</v>
      </c>
      <c r="K32" s="407">
        <f t="shared" si="3"/>
        <v>0</v>
      </c>
      <c r="L32" s="62">
        <v>0</v>
      </c>
      <c r="M32" s="62">
        <f ca="1">IFERROR(__xludf.DUMMYFUNCTION("IMPORTRANGE(""https://docs.google.com/spreadsheets/d/11923uPwbBZFjjGgGUA6NLw09EwE0CqkOc4q9oUmW1yo/edit?usp=sharing"",""อุทัยธานี!J453"")"),0)</f>
        <v>0</v>
      </c>
      <c r="N32" s="62">
        <f ca="1">IFERROR(__xludf.DUMMYFUNCTION("IMPORTRANGE(""https://docs.google.com/spreadsheets/d/11923uPwbBZFjjGgGUA6NLw09EwE0CqkOc4q9oUmW1yo/edit?usp=sharing"",""อุทัยธานี!J454"")"),0)</f>
        <v>0</v>
      </c>
      <c r="O32" s="100">
        <f t="shared" si="5"/>
        <v>0</v>
      </c>
      <c r="P32" s="62">
        <v>0</v>
      </c>
      <c r="Q32" s="62">
        <f ca="1">IFERROR(__xludf.DUMMYFUNCTION("IMPORTRANGE(""https://docs.google.com/spreadsheets/d/11923uPwbBZFjjGgGUA6NLw09EwE0CqkOc4q9oUmW1yo/edit?usp=sharing"",""อุทัยธานี!J455"")"),0)</f>
        <v>0</v>
      </c>
      <c r="R32" s="62">
        <f ca="1">IFERROR(__xludf.DUMMYFUNCTION("IMPORTRANGE(""https://docs.google.com/spreadsheets/d/11923uPwbBZFjjGgGUA6NLw09EwE0CqkOc4q9oUmW1yo/edit?usp=sharing"",""อุทัยธานี!J456"")"),0)</f>
        <v>0</v>
      </c>
      <c r="S32" s="282">
        <f t="shared" si="7"/>
        <v>0</v>
      </c>
      <c r="T32" s="81"/>
      <c r="U32" s="81"/>
      <c r="V32" s="81"/>
      <c r="W32" s="81"/>
      <c r="X32" s="81"/>
      <c r="Y32" s="81"/>
      <c r="Z32" s="81"/>
    </row>
    <row r="33" spans="1:26" ht="24" customHeight="1" x14ac:dyDescent="0.5">
      <c r="A33" s="778" t="s">
        <v>48</v>
      </c>
      <c r="B33" s="569"/>
      <c r="C33" s="394">
        <f t="shared" ref="C33:F33" si="45">SUM(C34:C53)</f>
        <v>1580000</v>
      </c>
      <c r="D33" s="66">
        <f t="shared" si="45"/>
        <v>0</v>
      </c>
      <c r="E33" s="66">
        <f t="shared" si="45"/>
        <v>1580000</v>
      </c>
      <c r="F33" s="101">
        <f t="shared" ca="1" si="45"/>
        <v>0</v>
      </c>
      <c r="G33" s="101">
        <f t="shared" ca="1" si="1"/>
        <v>0</v>
      </c>
      <c r="H33" s="66">
        <f t="shared" ref="H33:J33" si="46">SUM(H34:H53)</f>
        <v>25000</v>
      </c>
      <c r="I33" s="66">
        <f t="shared" ca="1" si="46"/>
        <v>0</v>
      </c>
      <c r="J33" s="66">
        <f t="shared" ca="1" si="46"/>
        <v>0</v>
      </c>
      <c r="K33" s="101">
        <f t="shared" ca="1" si="3"/>
        <v>0</v>
      </c>
      <c r="L33" s="66">
        <f t="shared" ref="L33:N33" si="47">SUM(L34:L53)</f>
        <v>25000</v>
      </c>
      <c r="M33" s="66">
        <f t="shared" ca="1" si="47"/>
        <v>0</v>
      </c>
      <c r="N33" s="66">
        <f t="shared" ca="1" si="47"/>
        <v>0</v>
      </c>
      <c r="O33" s="101">
        <f t="shared" ca="1" si="5"/>
        <v>0</v>
      </c>
      <c r="P33" s="66">
        <f t="shared" ref="P33:R33" si="48">SUM(P34:P53)</f>
        <v>0</v>
      </c>
      <c r="Q33" s="66">
        <f t="shared" ca="1" si="48"/>
        <v>0</v>
      </c>
      <c r="R33" s="66">
        <f t="shared" ca="1" si="48"/>
        <v>0</v>
      </c>
      <c r="S33" s="256">
        <f t="shared" si="7"/>
        <v>0</v>
      </c>
      <c r="T33" s="81"/>
      <c r="U33" s="81"/>
      <c r="V33" s="81"/>
      <c r="W33" s="81"/>
      <c r="X33" s="81"/>
      <c r="Y33" s="81"/>
      <c r="Z33" s="81"/>
    </row>
    <row r="34" spans="1:26" ht="24" customHeight="1" x14ac:dyDescent="0.5">
      <c r="A34" s="268">
        <v>1</v>
      </c>
      <c r="B34" s="269" t="s">
        <v>49</v>
      </c>
      <c r="C34" s="396">
        <f t="shared" ref="C34:C53" si="49">+D34+E34</f>
        <v>0</v>
      </c>
      <c r="D34" s="48">
        <v>0</v>
      </c>
      <c r="E34" s="48">
        <v>0</v>
      </c>
      <c r="F34" s="98">
        <f ca="1">IFERROR(__xludf.DUMMYFUNCTION("IMPORTRANGE(""https://docs.google.com/spreadsheets/d/1XL5vhW3sbDhbH9Cz0tuDiY8C3ctxq1tqvaCgkFb8cCA/edit?usp=sharing"",""กาฬสินธุ์!M446"")"),0)</f>
        <v>0</v>
      </c>
      <c r="G34" s="98">
        <f t="shared" si="1"/>
        <v>0</v>
      </c>
      <c r="H34" s="398">
        <v>0</v>
      </c>
      <c r="I34" s="48">
        <f t="shared" ref="I34:J34" ca="1" si="50">SUM(M34,Q34)</f>
        <v>0</v>
      </c>
      <c r="J34" s="48">
        <f t="shared" ca="1" si="50"/>
        <v>0</v>
      </c>
      <c r="K34" s="399">
        <f t="shared" si="3"/>
        <v>0</v>
      </c>
      <c r="L34" s="48">
        <v>0</v>
      </c>
      <c r="M34" s="48">
        <f ca="1">IFERROR(__xludf.DUMMYFUNCTION("IMPORTRANGE(""https://docs.google.com/spreadsheets/d/1XL5vhW3sbDhbH9Cz0tuDiY8C3ctxq1tqvaCgkFb8cCA/edit?usp=sharing"",""กาฬสินธุ์!J453"")"),0)</f>
        <v>0</v>
      </c>
      <c r="N34" s="48">
        <f ca="1">IFERROR(__xludf.DUMMYFUNCTION("IMPORTRANGE(""https://docs.google.com/spreadsheets/d/1XL5vhW3sbDhbH9Cz0tuDiY8C3ctxq1tqvaCgkFb8cCA/edit?usp=sharing"",""กาฬสินธุ์!J454"")"),0)</f>
        <v>0</v>
      </c>
      <c r="O34" s="98">
        <f t="shared" si="5"/>
        <v>0</v>
      </c>
      <c r="P34" s="48">
        <v>0</v>
      </c>
      <c r="Q34" s="48">
        <f ca="1">IFERROR(__xludf.DUMMYFUNCTION("IMPORTRANGE(""https://docs.google.com/spreadsheets/d/1XL5vhW3sbDhbH9Cz0tuDiY8C3ctxq1tqvaCgkFb8cCA/edit?usp=sharing"",""กาฬสินธุ์!J455"")"),0)</f>
        <v>0</v>
      </c>
      <c r="R34" s="48">
        <f ca="1">IFERROR(__xludf.DUMMYFUNCTION("IMPORTRANGE(""https://docs.google.com/spreadsheets/d/1XL5vhW3sbDhbH9Cz0tuDiY8C3ctxq1tqvaCgkFb8cCA/edit?usp=sharing"",""กาฬสินธุ์!J456"")"),0)</f>
        <v>0</v>
      </c>
      <c r="S34" s="272">
        <f t="shared" si="7"/>
        <v>0</v>
      </c>
      <c r="T34" s="81"/>
      <c r="U34" s="81"/>
      <c r="V34" s="81"/>
      <c r="W34" s="81"/>
      <c r="X34" s="81"/>
      <c r="Y34" s="81"/>
      <c r="Z34" s="81"/>
    </row>
    <row r="35" spans="1:26" ht="24" customHeight="1" x14ac:dyDescent="0.5">
      <c r="A35" s="273">
        <v>2</v>
      </c>
      <c r="B35" s="274" t="s">
        <v>50</v>
      </c>
      <c r="C35" s="400">
        <f t="shared" si="49"/>
        <v>0</v>
      </c>
      <c r="D35" s="55">
        <v>0</v>
      </c>
      <c r="E35" s="55">
        <v>0</v>
      </c>
      <c r="F35" s="99">
        <f ca="1">IFERROR(__xludf.DUMMYFUNCTION("IMPORTRANGE(""https://docs.google.com/spreadsheets/d/1XL5vhW3sbDhbH9Cz0tuDiY8C3ctxq1tqvaCgkFb8cCA/edit?usp=sharing"",""ขอนแก่น!M446"")"),0)</f>
        <v>0</v>
      </c>
      <c r="G35" s="99">
        <f t="shared" si="1"/>
        <v>0</v>
      </c>
      <c r="H35" s="402">
        <v>0</v>
      </c>
      <c r="I35" s="55">
        <f t="shared" ref="I35:J35" ca="1" si="51">SUM(M35,Q35)</f>
        <v>0</v>
      </c>
      <c r="J35" s="55">
        <f t="shared" ca="1" si="51"/>
        <v>0</v>
      </c>
      <c r="K35" s="403">
        <f t="shared" si="3"/>
        <v>0</v>
      </c>
      <c r="L35" s="55">
        <v>0</v>
      </c>
      <c r="M35" s="55">
        <f ca="1">IFERROR(__xludf.DUMMYFUNCTION("IMPORTRANGE(""https://docs.google.com/spreadsheets/d/1XL5vhW3sbDhbH9Cz0tuDiY8C3ctxq1tqvaCgkFb8cCA/edit?usp=sharing"",""ขอนแก่น!J453"")"),0)</f>
        <v>0</v>
      </c>
      <c r="N35" s="55">
        <f ca="1">IFERROR(__xludf.DUMMYFUNCTION("IMPORTRANGE(""https://docs.google.com/spreadsheets/d/1XL5vhW3sbDhbH9Cz0tuDiY8C3ctxq1tqvaCgkFb8cCA/edit?usp=sharing"",""ขอนแก่น!J454"")"),0)</f>
        <v>0</v>
      </c>
      <c r="O35" s="99">
        <f t="shared" si="5"/>
        <v>0</v>
      </c>
      <c r="P35" s="55">
        <v>0</v>
      </c>
      <c r="Q35" s="55">
        <f ca="1">IFERROR(__xludf.DUMMYFUNCTION("IMPORTRANGE(""https://docs.google.com/spreadsheets/d/1XL5vhW3sbDhbH9Cz0tuDiY8C3ctxq1tqvaCgkFb8cCA/edit?usp=sharing"",""ขอนแก่น!J455"")"),0)</f>
        <v>0</v>
      </c>
      <c r="R35" s="55">
        <f ca="1">IFERROR(__xludf.DUMMYFUNCTION("IMPORTRANGE(""https://docs.google.com/spreadsheets/d/1XL5vhW3sbDhbH9Cz0tuDiY8C3ctxq1tqvaCgkFb8cCA/edit?usp=sharing"",""ขอนแก่น!J456"")"),0)</f>
        <v>0</v>
      </c>
      <c r="S35" s="277">
        <f t="shared" si="7"/>
        <v>0</v>
      </c>
      <c r="T35" s="81"/>
      <c r="U35" s="81"/>
      <c r="V35" s="81"/>
      <c r="W35" s="81"/>
      <c r="X35" s="81"/>
      <c r="Y35" s="81"/>
      <c r="Z35" s="81"/>
    </row>
    <row r="36" spans="1:26" ht="24" customHeight="1" x14ac:dyDescent="0.5">
      <c r="A36" s="273">
        <v>3</v>
      </c>
      <c r="B36" s="274" t="s">
        <v>51</v>
      </c>
      <c r="C36" s="400">
        <f t="shared" si="49"/>
        <v>0</v>
      </c>
      <c r="D36" s="55">
        <v>0</v>
      </c>
      <c r="E36" s="55">
        <v>0</v>
      </c>
      <c r="F36" s="99">
        <f ca="1">IFERROR(__xludf.DUMMYFUNCTION("IMPORTRANGE(""https://docs.google.com/spreadsheets/d/1XL5vhW3sbDhbH9Cz0tuDiY8C3ctxq1tqvaCgkFb8cCA/edit?usp=sharing"",""ชัยภูมิ!M446"")"),0)</f>
        <v>0</v>
      </c>
      <c r="G36" s="99">
        <f t="shared" si="1"/>
        <v>0</v>
      </c>
      <c r="H36" s="402">
        <v>0</v>
      </c>
      <c r="I36" s="55">
        <f t="shared" ref="I36:J36" ca="1" si="52">SUM(M36,Q36)</f>
        <v>0</v>
      </c>
      <c r="J36" s="55">
        <f t="shared" ca="1" si="52"/>
        <v>0</v>
      </c>
      <c r="K36" s="403">
        <f t="shared" si="3"/>
        <v>0</v>
      </c>
      <c r="L36" s="55">
        <v>0</v>
      </c>
      <c r="M36" s="55">
        <f ca="1">IFERROR(__xludf.DUMMYFUNCTION("IMPORTRANGE(""https://docs.google.com/spreadsheets/d/1XL5vhW3sbDhbH9Cz0tuDiY8C3ctxq1tqvaCgkFb8cCA/edit?usp=sharing"",""ชัยภูมิ!J453"")"),0)</f>
        <v>0</v>
      </c>
      <c r="N36" s="55">
        <f ca="1">IFERROR(__xludf.DUMMYFUNCTION("IMPORTRANGE(""https://docs.google.com/spreadsheets/d/1XL5vhW3sbDhbH9Cz0tuDiY8C3ctxq1tqvaCgkFb8cCA/edit?usp=sharing"",""ชัยภูมิ!J454"")"),0)</f>
        <v>0</v>
      </c>
      <c r="O36" s="99">
        <f t="shared" si="5"/>
        <v>0</v>
      </c>
      <c r="P36" s="55">
        <v>0</v>
      </c>
      <c r="Q36" s="55">
        <f ca="1">IFERROR(__xludf.DUMMYFUNCTION("IMPORTRANGE(""https://docs.google.com/spreadsheets/d/1XL5vhW3sbDhbH9Cz0tuDiY8C3ctxq1tqvaCgkFb8cCA/edit?usp=sharing"",""ชัยภูมิ!J455"")"),0)</f>
        <v>0</v>
      </c>
      <c r="R36" s="55">
        <f ca="1">IFERROR(__xludf.DUMMYFUNCTION("IMPORTRANGE(""https://docs.google.com/spreadsheets/d/1XL5vhW3sbDhbH9Cz0tuDiY8C3ctxq1tqvaCgkFb8cCA/edit?usp=sharing"",""ชัยภูมิ!J456"")"),0)</f>
        <v>0</v>
      </c>
      <c r="S36" s="277">
        <f t="shared" si="7"/>
        <v>0</v>
      </c>
      <c r="T36" s="81"/>
      <c r="U36" s="81"/>
      <c r="V36" s="81"/>
      <c r="W36" s="81"/>
      <c r="X36" s="81"/>
      <c r="Y36" s="81"/>
      <c r="Z36" s="81"/>
    </row>
    <row r="37" spans="1:26" ht="24" customHeight="1" x14ac:dyDescent="0.5">
      <c r="A37" s="273">
        <v>4</v>
      </c>
      <c r="B37" s="274" t="s">
        <v>52</v>
      </c>
      <c r="C37" s="400">
        <f t="shared" si="49"/>
        <v>0</v>
      </c>
      <c r="D37" s="55">
        <v>0</v>
      </c>
      <c r="E37" s="55">
        <v>0</v>
      </c>
      <c r="F37" s="99">
        <f ca="1">IFERROR(__xludf.DUMMYFUNCTION("IMPORTRANGE(""https://docs.google.com/spreadsheets/d/1XL5vhW3sbDhbH9Cz0tuDiY8C3ctxq1tqvaCgkFb8cCA/edit?usp=sharing"",""นครพนม!M446"")"),0)</f>
        <v>0</v>
      </c>
      <c r="G37" s="99">
        <f t="shared" si="1"/>
        <v>0</v>
      </c>
      <c r="H37" s="402">
        <v>0</v>
      </c>
      <c r="I37" s="55">
        <f t="shared" ref="I37:J37" ca="1" si="53">SUM(M37,Q37)</f>
        <v>0</v>
      </c>
      <c r="J37" s="55">
        <f t="shared" ca="1" si="53"/>
        <v>0</v>
      </c>
      <c r="K37" s="403">
        <f t="shared" si="3"/>
        <v>0</v>
      </c>
      <c r="L37" s="55">
        <v>0</v>
      </c>
      <c r="M37" s="55">
        <f ca="1">IFERROR(__xludf.DUMMYFUNCTION("IMPORTRANGE(""https://docs.google.com/spreadsheets/d/1XL5vhW3sbDhbH9Cz0tuDiY8C3ctxq1tqvaCgkFb8cCA/edit?usp=sharing"",""นครพนม!J453"")"),0)</f>
        <v>0</v>
      </c>
      <c r="N37" s="55">
        <f ca="1">IFERROR(__xludf.DUMMYFUNCTION("IMPORTRANGE(""https://docs.google.com/spreadsheets/d/1XL5vhW3sbDhbH9Cz0tuDiY8C3ctxq1tqvaCgkFb8cCA/edit?usp=sharing"",""นครพนม!J454"")"),0)</f>
        <v>0</v>
      </c>
      <c r="O37" s="99">
        <f t="shared" si="5"/>
        <v>0</v>
      </c>
      <c r="P37" s="55">
        <v>0</v>
      </c>
      <c r="Q37" s="55">
        <f ca="1">IFERROR(__xludf.DUMMYFUNCTION("IMPORTRANGE(""https://docs.google.com/spreadsheets/d/1XL5vhW3sbDhbH9Cz0tuDiY8C3ctxq1tqvaCgkFb8cCA/edit?usp=sharing"",""นครพนม!J455"")"),0)</f>
        <v>0</v>
      </c>
      <c r="R37" s="55">
        <f ca="1">IFERROR(__xludf.DUMMYFUNCTION("IMPORTRANGE(""https://docs.google.com/spreadsheets/d/1XL5vhW3sbDhbH9Cz0tuDiY8C3ctxq1tqvaCgkFb8cCA/edit?usp=sharing"",""นครพนม!J456"")"),0)</f>
        <v>0</v>
      </c>
      <c r="S37" s="277">
        <f t="shared" si="7"/>
        <v>0</v>
      </c>
      <c r="T37" s="81"/>
      <c r="U37" s="81"/>
      <c r="V37" s="81"/>
      <c r="W37" s="81"/>
      <c r="X37" s="81"/>
      <c r="Y37" s="81"/>
      <c r="Z37" s="81"/>
    </row>
    <row r="38" spans="1:26" ht="24" customHeight="1" x14ac:dyDescent="0.5">
      <c r="A38" s="273">
        <v>5</v>
      </c>
      <c r="B38" s="274" t="s">
        <v>53</v>
      </c>
      <c r="C38" s="400">
        <f t="shared" si="49"/>
        <v>320000</v>
      </c>
      <c r="D38" s="55">
        <v>0</v>
      </c>
      <c r="E38" s="55">
        <v>320000</v>
      </c>
      <c r="F38" s="99">
        <f ca="1">IFERROR(__xludf.DUMMYFUNCTION("IMPORTRANGE(""https://docs.google.com/spreadsheets/d/1XL5vhW3sbDhbH9Cz0tuDiY8C3ctxq1tqvaCgkFb8cCA/edit?usp=sharing"",""นครราชสีมา!M446"")"),0)</f>
        <v>0</v>
      </c>
      <c r="G38" s="99">
        <f t="shared" ca="1" si="1"/>
        <v>0</v>
      </c>
      <c r="H38" s="402">
        <v>5000</v>
      </c>
      <c r="I38" s="55">
        <f t="shared" ref="I38:J38" ca="1" si="54">SUM(M38,Q38)</f>
        <v>0</v>
      </c>
      <c r="J38" s="55">
        <f t="shared" ca="1" si="54"/>
        <v>0</v>
      </c>
      <c r="K38" s="403">
        <f t="shared" ca="1" si="3"/>
        <v>0</v>
      </c>
      <c r="L38" s="55">
        <v>5000</v>
      </c>
      <c r="M38" s="55">
        <f ca="1">IFERROR(__xludf.DUMMYFUNCTION("IMPORTRANGE(""https://docs.google.com/spreadsheets/d/1XL5vhW3sbDhbH9Cz0tuDiY8C3ctxq1tqvaCgkFb8cCA/edit?usp=sharing"",""นครราชสีมา!J453"")"),0)</f>
        <v>0</v>
      </c>
      <c r="N38" s="55">
        <f ca="1">IFERROR(__xludf.DUMMYFUNCTION("IMPORTRANGE(""https://docs.google.com/spreadsheets/d/1XL5vhW3sbDhbH9Cz0tuDiY8C3ctxq1tqvaCgkFb8cCA/edit?usp=sharing"",""นครราชสีมา!J454"")"),0)</f>
        <v>0</v>
      </c>
      <c r="O38" s="99">
        <f t="shared" ca="1" si="5"/>
        <v>0</v>
      </c>
      <c r="P38" s="55">
        <v>0</v>
      </c>
      <c r="Q38" s="55">
        <f ca="1">IFERROR(__xludf.DUMMYFUNCTION("IMPORTRANGE(""https://docs.google.com/spreadsheets/d/1XL5vhW3sbDhbH9Cz0tuDiY8C3ctxq1tqvaCgkFb8cCA/edit?usp=sharing"",""นครราชสีมา!J455"")"),0)</f>
        <v>0</v>
      </c>
      <c r="R38" s="55">
        <f ca="1">IFERROR(__xludf.DUMMYFUNCTION("IMPORTRANGE(""https://docs.google.com/spreadsheets/d/1XL5vhW3sbDhbH9Cz0tuDiY8C3ctxq1tqvaCgkFb8cCA/edit?usp=sharing"",""นครราชสีมา!J456"")"),0)</f>
        <v>0</v>
      </c>
      <c r="S38" s="277">
        <f t="shared" si="7"/>
        <v>0</v>
      </c>
      <c r="T38" s="81"/>
      <c r="U38" s="81"/>
      <c r="V38" s="81"/>
      <c r="W38" s="81"/>
      <c r="X38" s="81"/>
      <c r="Y38" s="81"/>
      <c r="Z38" s="81"/>
    </row>
    <row r="39" spans="1:26" ht="24" customHeight="1" x14ac:dyDescent="0.5">
      <c r="A39" s="273">
        <v>6</v>
      </c>
      <c r="B39" s="274" t="s">
        <v>54</v>
      </c>
      <c r="C39" s="400">
        <f t="shared" si="49"/>
        <v>320000</v>
      </c>
      <c r="D39" s="55">
        <v>0</v>
      </c>
      <c r="E39" s="55">
        <v>320000</v>
      </c>
      <c r="F39" s="99">
        <f ca="1">IFERROR(__xludf.DUMMYFUNCTION("IMPORTRANGE(""https://docs.google.com/spreadsheets/d/1XL5vhW3sbDhbH9Cz0tuDiY8C3ctxq1tqvaCgkFb8cCA/edit?usp=sharing"",""บึงกาฬ!M446"")"),0)</f>
        <v>0</v>
      </c>
      <c r="G39" s="99">
        <f t="shared" ca="1" si="1"/>
        <v>0</v>
      </c>
      <c r="H39" s="402">
        <v>5000</v>
      </c>
      <c r="I39" s="55">
        <f t="shared" ref="I39:J39" ca="1" si="55">SUM(M39,Q39)</f>
        <v>0</v>
      </c>
      <c r="J39" s="55">
        <f t="shared" ca="1" si="55"/>
        <v>0</v>
      </c>
      <c r="K39" s="403">
        <f t="shared" ca="1" si="3"/>
        <v>0</v>
      </c>
      <c r="L39" s="55">
        <v>5000</v>
      </c>
      <c r="M39" s="55">
        <f ca="1">IFERROR(__xludf.DUMMYFUNCTION("IMPORTRANGE(""https://docs.google.com/spreadsheets/d/1XL5vhW3sbDhbH9Cz0tuDiY8C3ctxq1tqvaCgkFb8cCA/edit?usp=sharing"",""บึงกาฬ!J453"")"),0)</f>
        <v>0</v>
      </c>
      <c r="N39" s="55">
        <f ca="1">IFERROR(__xludf.DUMMYFUNCTION("IMPORTRANGE(""https://docs.google.com/spreadsheets/d/1XL5vhW3sbDhbH9Cz0tuDiY8C3ctxq1tqvaCgkFb8cCA/edit?usp=sharing"",""บึงกาฬ!J454"")"),0)</f>
        <v>0</v>
      </c>
      <c r="O39" s="99">
        <f t="shared" ca="1" si="5"/>
        <v>0</v>
      </c>
      <c r="P39" s="55">
        <v>0</v>
      </c>
      <c r="Q39" s="55">
        <f ca="1">IFERROR(__xludf.DUMMYFUNCTION("IMPORTRANGE(""https://docs.google.com/spreadsheets/d/1XL5vhW3sbDhbH9Cz0tuDiY8C3ctxq1tqvaCgkFb8cCA/edit?usp=sharing"",""บึงกาฬ!J455"")"),0)</f>
        <v>0</v>
      </c>
      <c r="R39" s="55">
        <f ca="1">IFERROR(__xludf.DUMMYFUNCTION("IMPORTRANGE(""https://docs.google.com/spreadsheets/d/1XL5vhW3sbDhbH9Cz0tuDiY8C3ctxq1tqvaCgkFb8cCA/edit?usp=sharing"",""บึงกาฬ!J456"")"),0)</f>
        <v>0</v>
      </c>
      <c r="S39" s="277">
        <f t="shared" si="7"/>
        <v>0</v>
      </c>
      <c r="T39" s="81"/>
      <c r="U39" s="81"/>
      <c r="V39" s="81"/>
      <c r="W39" s="81"/>
      <c r="X39" s="81"/>
      <c r="Y39" s="81"/>
      <c r="Z39" s="81"/>
    </row>
    <row r="40" spans="1:26" ht="24" customHeight="1" x14ac:dyDescent="0.5">
      <c r="A40" s="273">
        <v>7</v>
      </c>
      <c r="B40" s="274" t="s">
        <v>55</v>
      </c>
      <c r="C40" s="400">
        <f t="shared" si="49"/>
        <v>0</v>
      </c>
      <c r="D40" s="55">
        <v>0</v>
      </c>
      <c r="E40" s="55">
        <v>0</v>
      </c>
      <c r="F40" s="99">
        <f ca="1">IFERROR(__xludf.DUMMYFUNCTION("IMPORTRANGE(""https://docs.google.com/spreadsheets/d/1XL5vhW3sbDhbH9Cz0tuDiY8C3ctxq1tqvaCgkFb8cCA/edit?usp=sharing"",""บุรีรัมย์!M446"")"),0)</f>
        <v>0</v>
      </c>
      <c r="G40" s="99">
        <f t="shared" si="1"/>
        <v>0</v>
      </c>
      <c r="H40" s="402">
        <v>0</v>
      </c>
      <c r="I40" s="55">
        <f t="shared" ref="I40:J40" ca="1" si="56">SUM(M40,Q40)</f>
        <v>0</v>
      </c>
      <c r="J40" s="55">
        <f t="shared" ca="1" si="56"/>
        <v>0</v>
      </c>
      <c r="K40" s="403">
        <f t="shared" si="3"/>
        <v>0</v>
      </c>
      <c r="L40" s="55">
        <v>0</v>
      </c>
      <c r="M40" s="55">
        <f ca="1">IFERROR(__xludf.DUMMYFUNCTION("IMPORTRANGE(""https://docs.google.com/spreadsheets/d/1XL5vhW3sbDhbH9Cz0tuDiY8C3ctxq1tqvaCgkFb8cCA/edit?usp=sharing"",""บุรีรัมย์!J453"")"),0)</f>
        <v>0</v>
      </c>
      <c r="N40" s="55">
        <f ca="1">IFERROR(__xludf.DUMMYFUNCTION("IMPORTRANGE(""https://docs.google.com/spreadsheets/d/1XL5vhW3sbDhbH9Cz0tuDiY8C3ctxq1tqvaCgkFb8cCA/edit?usp=sharing"",""บุรีรัมย์!J454"")"),0)</f>
        <v>0</v>
      </c>
      <c r="O40" s="99">
        <f t="shared" si="5"/>
        <v>0</v>
      </c>
      <c r="P40" s="55">
        <v>0</v>
      </c>
      <c r="Q40" s="55">
        <f ca="1">IFERROR(__xludf.DUMMYFUNCTION("IMPORTRANGE(""https://docs.google.com/spreadsheets/d/1XL5vhW3sbDhbH9Cz0tuDiY8C3ctxq1tqvaCgkFb8cCA/edit?usp=sharing"",""บุรีรัมย์!J455"")"),0)</f>
        <v>0</v>
      </c>
      <c r="R40" s="55">
        <f ca="1">IFERROR(__xludf.DUMMYFUNCTION("IMPORTRANGE(""https://docs.google.com/spreadsheets/d/1XL5vhW3sbDhbH9Cz0tuDiY8C3ctxq1tqvaCgkFb8cCA/edit?usp=sharing"",""บุรีรัมย์!J456"")"),0)</f>
        <v>0</v>
      </c>
      <c r="S40" s="277">
        <f t="shared" si="7"/>
        <v>0</v>
      </c>
      <c r="T40" s="81"/>
      <c r="U40" s="81"/>
      <c r="V40" s="81"/>
      <c r="W40" s="81"/>
      <c r="X40" s="81"/>
      <c r="Y40" s="81"/>
      <c r="Z40" s="81"/>
    </row>
    <row r="41" spans="1:26" ht="24" customHeight="1" x14ac:dyDescent="0.5">
      <c r="A41" s="273">
        <v>8</v>
      </c>
      <c r="B41" s="274" t="s">
        <v>56</v>
      </c>
      <c r="C41" s="400">
        <f t="shared" si="49"/>
        <v>0</v>
      </c>
      <c r="D41" s="55">
        <v>0</v>
      </c>
      <c r="E41" s="55">
        <v>0</v>
      </c>
      <c r="F41" s="99">
        <f ca="1">IFERROR(__xludf.DUMMYFUNCTION("IMPORTRANGE(""https://docs.google.com/spreadsheets/d/1XL5vhW3sbDhbH9Cz0tuDiY8C3ctxq1tqvaCgkFb8cCA/edit?usp=sharing"",""มหาสารคาม!M446"")"),0)</f>
        <v>0</v>
      </c>
      <c r="G41" s="99">
        <f t="shared" si="1"/>
        <v>0</v>
      </c>
      <c r="H41" s="402">
        <v>0</v>
      </c>
      <c r="I41" s="55">
        <f t="shared" ref="I41:J41" ca="1" si="57">SUM(M41,Q41)</f>
        <v>0</v>
      </c>
      <c r="J41" s="55">
        <f t="shared" ca="1" si="57"/>
        <v>0</v>
      </c>
      <c r="K41" s="403">
        <f t="shared" si="3"/>
        <v>0</v>
      </c>
      <c r="L41" s="55">
        <v>0</v>
      </c>
      <c r="M41" s="55">
        <f ca="1">IFERROR(__xludf.DUMMYFUNCTION("IMPORTRANGE(""https://docs.google.com/spreadsheets/d/1XL5vhW3sbDhbH9Cz0tuDiY8C3ctxq1tqvaCgkFb8cCA/edit?usp=sharing"",""มหาสารคาม!J453"")"),0)</f>
        <v>0</v>
      </c>
      <c r="N41" s="55">
        <f ca="1">IFERROR(__xludf.DUMMYFUNCTION("IMPORTRANGE(""https://docs.google.com/spreadsheets/d/1XL5vhW3sbDhbH9Cz0tuDiY8C3ctxq1tqvaCgkFb8cCA/edit?usp=sharing"",""มหาสารคาม!J454"")"),0)</f>
        <v>0</v>
      </c>
      <c r="O41" s="99">
        <f t="shared" si="5"/>
        <v>0</v>
      </c>
      <c r="P41" s="55">
        <v>0</v>
      </c>
      <c r="Q41" s="55">
        <f ca="1">IFERROR(__xludf.DUMMYFUNCTION("IMPORTRANGE(""https://docs.google.com/spreadsheets/d/1XL5vhW3sbDhbH9Cz0tuDiY8C3ctxq1tqvaCgkFb8cCA/edit?usp=sharing"",""มหาสารคาม!J455"")"),0)</f>
        <v>0</v>
      </c>
      <c r="R41" s="55">
        <f ca="1">IFERROR(__xludf.DUMMYFUNCTION("IMPORTRANGE(""https://docs.google.com/spreadsheets/d/1XL5vhW3sbDhbH9Cz0tuDiY8C3ctxq1tqvaCgkFb8cCA/edit?usp=sharing"",""มหาสารคาม!J456"")"),0)</f>
        <v>0</v>
      </c>
      <c r="S41" s="277">
        <f t="shared" si="7"/>
        <v>0</v>
      </c>
      <c r="T41" s="81"/>
      <c r="U41" s="81"/>
      <c r="V41" s="81"/>
      <c r="W41" s="81"/>
      <c r="X41" s="81"/>
      <c r="Y41" s="81"/>
      <c r="Z41" s="81"/>
    </row>
    <row r="42" spans="1:26" ht="24" customHeight="1" x14ac:dyDescent="0.5">
      <c r="A42" s="273">
        <v>9</v>
      </c>
      <c r="B42" s="274" t="s">
        <v>57</v>
      </c>
      <c r="C42" s="400">
        <f t="shared" si="49"/>
        <v>0</v>
      </c>
      <c r="D42" s="55">
        <v>0</v>
      </c>
      <c r="E42" s="55">
        <v>0</v>
      </c>
      <c r="F42" s="99">
        <f ca="1">IFERROR(__xludf.DUMMYFUNCTION("IMPORTRANGE(""https://docs.google.com/spreadsheets/d/1XL5vhW3sbDhbH9Cz0tuDiY8C3ctxq1tqvaCgkFb8cCA/edit?usp=sharing"",""มุกดาหาร!M446"")"),0)</f>
        <v>0</v>
      </c>
      <c r="G42" s="99">
        <f t="shared" si="1"/>
        <v>0</v>
      </c>
      <c r="H42" s="402">
        <v>0</v>
      </c>
      <c r="I42" s="55">
        <f t="shared" ref="I42:J42" ca="1" si="58">SUM(M42,Q42)</f>
        <v>0</v>
      </c>
      <c r="J42" s="55">
        <f t="shared" ca="1" si="58"/>
        <v>0</v>
      </c>
      <c r="K42" s="403">
        <f t="shared" si="3"/>
        <v>0</v>
      </c>
      <c r="L42" s="55">
        <v>0</v>
      </c>
      <c r="M42" s="55">
        <f ca="1">IFERROR(__xludf.DUMMYFUNCTION("IMPORTRANGE(""https://docs.google.com/spreadsheets/d/1XL5vhW3sbDhbH9Cz0tuDiY8C3ctxq1tqvaCgkFb8cCA/edit?usp=sharing"",""มุกดาหาร!J453"")"),0)</f>
        <v>0</v>
      </c>
      <c r="N42" s="55">
        <f ca="1">IFERROR(__xludf.DUMMYFUNCTION("IMPORTRANGE(""https://docs.google.com/spreadsheets/d/1XL5vhW3sbDhbH9Cz0tuDiY8C3ctxq1tqvaCgkFb8cCA/edit?usp=sharing"",""มุกดาหาร!J454"")"),0)</f>
        <v>0</v>
      </c>
      <c r="O42" s="99">
        <f t="shared" si="5"/>
        <v>0</v>
      </c>
      <c r="P42" s="55">
        <v>0</v>
      </c>
      <c r="Q42" s="55">
        <f ca="1">IFERROR(__xludf.DUMMYFUNCTION("IMPORTRANGE(""https://docs.google.com/spreadsheets/d/1XL5vhW3sbDhbH9Cz0tuDiY8C3ctxq1tqvaCgkFb8cCA/edit?usp=sharing"",""มุกดาหาร!J455"")"),0)</f>
        <v>0</v>
      </c>
      <c r="R42" s="55">
        <f ca="1">IFERROR(__xludf.DUMMYFUNCTION("IMPORTRANGE(""https://docs.google.com/spreadsheets/d/1XL5vhW3sbDhbH9Cz0tuDiY8C3ctxq1tqvaCgkFb8cCA/edit?usp=sharing"",""มุกดาหาร!J456"")"),0)</f>
        <v>0</v>
      </c>
      <c r="S42" s="277">
        <f t="shared" si="7"/>
        <v>0</v>
      </c>
      <c r="T42" s="81"/>
      <c r="U42" s="81"/>
      <c r="V42" s="81"/>
      <c r="W42" s="81"/>
      <c r="X42" s="81"/>
      <c r="Y42" s="81"/>
      <c r="Z42" s="81"/>
    </row>
    <row r="43" spans="1:26" ht="24" customHeight="1" x14ac:dyDescent="0.5">
      <c r="A43" s="273">
        <v>10</v>
      </c>
      <c r="B43" s="274" t="s">
        <v>58</v>
      </c>
      <c r="C43" s="400">
        <f t="shared" si="49"/>
        <v>0</v>
      </c>
      <c r="D43" s="55">
        <v>0</v>
      </c>
      <c r="E43" s="55">
        <v>0</v>
      </c>
      <c r="F43" s="99">
        <f ca="1">IFERROR(__xludf.DUMMYFUNCTION("IMPORTRANGE(""https://docs.google.com/spreadsheets/d/1XL5vhW3sbDhbH9Cz0tuDiY8C3ctxq1tqvaCgkFb8cCA/edit?usp=sharing"",""ยโสธร!M446"")"),0)</f>
        <v>0</v>
      </c>
      <c r="G43" s="99">
        <f t="shared" si="1"/>
        <v>0</v>
      </c>
      <c r="H43" s="402">
        <v>0</v>
      </c>
      <c r="I43" s="55">
        <f t="shared" ref="I43:J43" ca="1" si="59">SUM(M43,Q43)</f>
        <v>0</v>
      </c>
      <c r="J43" s="55">
        <f t="shared" ca="1" si="59"/>
        <v>0</v>
      </c>
      <c r="K43" s="403">
        <f t="shared" si="3"/>
        <v>0</v>
      </c>
      <c r="L43" s="55">
        <v>0</v>
      </c>
      <c r="M43" s="55">
        <f ca="1">IFERROR(__xludf.DUMMYFUNCTION("IMPORTRANGE(""https://docs.google.com/spreadsheets/d/1XL5vhW3sbDhbH9Cz0tuDiY8C3ctxq1tqvaCgkFb8cCA/edit?usp=sharing"",""ยโสธร!J453"")"),0)</f>
        <v>0</v>
      </c>
      <c r="N43" s="55">
        <f ca="1">IFERROR(__xludf.DUMMYFUNCTION("IMPORTRANGE(""https://docs.google.com/spreadsheets/d/1XL5vhW3sbDhbH9Cz0tuDiY8C3ctxq1tqvaCgkFb8cCA/edit?usp=sharing"",""ยโสธร!J454"")"),0)</f>
        <v>0</v>
      </c>
      <c r="O43" s="99">
        <f t="shared" si="5"/>
        <v>0</v>
      </c>
      <c r="P43" s="55">
        <v>0</v>
      </c>
      <c r="Q43" s="55">
        <f ca="1">IFERROR(__xludf.DUMMYFUNCTION("IMPORTRANGE(""https://docs.google.com/spreadsheets/d/1XL5vhW3sbDhbH9Cz0tuDiY8C3ctxq1tqvaCgkFb8cCA/edit?usp=sharing"",""ยโสธร!J455"")"),0)</f>
        <v>0</v>
      </c>
      <c r="R43" s="55">
        <f ca="1">IFERROR(__xludf.DUMMYFUNCTION("IMPORTRANGE(""https://docs.google.com/spreadsheets/d/1XL5vhW3sbDhbH9Cz0tuDiY8C3ctxq1tqvaCgkFb8cCA/edit?usp=sharing"",""ยโสธร!J456"")"),0)</f>
        <v>0</v>
      </c>
      <c r="S43" s="277">
        <f t="shared" si="7"/>
        <v>0</v>
      </c>
      <c r="T43" s="81"/>
      <c r="U43" s="81"/>
      <c r="V43" s="81"/>
      <c r="W43" s="81"/>
      <c r="X43" s="81"/>
      <c r="Y43" s="81"/>
      <c r="Z43" s="81"/>
    </row>
    <row r="44" spans="1:26" ht="24" customHeight="1" x14ac:dyDescent="0.5">
      <c r="A44" s="273">
        <v>11</v>
      </c>
      <c r="B44" s="274" t="s">
        <v>59</v>
      </c>
      <c r="C44" s="400">
        <f t="shared" si="49"/>
        <v>0</v>
      </c>
      <c r="D44" s="55">
        <v>0</v>
      </c>
      <c r="E44" s="55">
        <v>0</v>
      </c>
      <c r="F44" s="99">
        <f ca="1">IFERROR(__xludf.DUMMYFUNCTION("IMPORTRANGE(""https://docs.google.com/spreadsheets/d/1XL5vhW3sbDhbH9Cz0tuDiY8C3ctxq1tqvaCgkFb8cCA/edit?usp=sharing"",""ร้อยเอ็ด!M446"")"),0)</f>
        <v>0</v>
      </c>
      <c r="G44" s="99">
        <f t="shared" si="1"/>
        <v>0</v>
      </c>
      <c r="H44" s="402">
        <v>0</v>
      </c>
      <c r="I44" s="55">
        <f t="shared" ref="I44:J44" ca="1" si="60">SUM(M44,Q44)</f>
        <v>0</v>
      </c>
      <c r="J44" s="55">
        <f t="shared" ca="1" si="60"/>
        <v>0</v>
      </c>
      <c r="K44" s="403">
        <f t="shared" si="3"/>
        <v>0</v>
      </c>
      <c r="L44" s="55">
        <v>0</v>
      </c>
      <c r="M44" s="55">
        <f ca="1">IFERROR(__xludf.DUMMYFUNCTION("IMPORTRANGE(""https://docs.google.com/spreadsheets/d/1XL5vhW3sbDhbH9Cz0tuDiY8C3ctxq1tqvaCgkFb8cCA/edit?usp=sharing"",""ร้อยเอ็ด!J453"")"),0)</f>
        <v>0</v>
      </c>
      <c r="N44" s="55">
        <f ca="1">IFERROR(__xludf.DUMMYFUNCTION("IMPORTRANGE(""https://docs.google.com/spreadsheets/d/1XL5vhW3sbDhbH9Cz0tuDiY8C3ctxq1tqvaCgkFb8cCA/edit?usp=sharing"",""ร้อยเอ็ด!J454"")"),0)</f>
        <v>0</v>
      </c>
      <c r="O44" s="99">
        <f t="shared" si="5"/>
        <v>0</v>
      </c>
      <c r="P44" s="55">
        <v>0</v>
      </c>
      <c r="Q44" s="55">
        <f ca="1">IFERROR(__xludf.DUMMYFUNCTION("IMPORTRANGE(""https://docs.google.com/spreadsheets/d/1XL5vhW3sbDhbH9Cz0tuDiY8C3ctxq1tqvaCgkFb8cCA/edit?usp=sharing"",""ร้อยเอ็ด!J455"")"),0)</f>
        <v>0</v>
      </c>
      <c r="R44" s="55">
        <f ca="1">IFERROR(__xludf.DUMMYFUNCTION("IMPORTRANGE(""https://docs.google.com/spreadsheets/d/1XL5vhW3sbDhbH9Cz0tuDiY8C3ctxq1tqvaCgkFb8cCA/edit?usp=sharing"",""ร้อยเอ็ด!J456"")"),0)</f>
        <v>0</v>
      </c>
      <c r="S44" s="277">
        <f t="shared" si="7"/>
        <v>0</v>
      </c>
      <c r="T44" s="81"/>
      <c r="U44" s="81"/>
      <c r="V44" s="81"/>
      <c r="W44" s="81"/>
      <c r="X44" s="81"/>
      <c r="Y44" s="81"/>
      <c r="Z44" s="81"/>
    </row>
    <row r="45" spans="1:26" ht="24" customHeight="1" x14ac:dyDescent="0.5">
      <c r="A45" s="273">
        <v>12</v>
      </c>
      <c r="B45" s="274" t="s">
        <v>60</v>
      </c>
      <c r="C45" s="400">
        <f t="shared" si="49"/>
        <v>310000</v>
      </c>
      <c r="D45" s="55">
        <v>0</v>
      </c>
      <c r="E45" s="55">
        <v>310000</v>
      </c>
      <c r="F45" s="99">
        <f ca="1">IFERROR(__xludf.DUMMYFUNCTION("IMPORTRANGE(""https://docs.google.com/spreadsheets/d/1XL5vhW3sbDhbH9Cz0tuDiY8C3ctxq1tqvaCgkFb8cCA/edit?usp=sharing"",""เลย!M446"")"),0)</f>
        <v>0</v>
      </c>
      <c r="G45" s="99">
        <f t="shared" ca="1" si="1"/>
        <v>0</v>
      </c>
      <c r="H45" s="402">
        <v>5000</v>
      </c>
      <c r="I45" s="55">
        <f t="shared" ref="I45:J45" ca="1" si="61">SUM(M45,Q45)</f>
        <v>0</v>
      </c>
      <c r="J45" s="55">
        <f t="shared" ca="1" si="61"/>
        <v>0</v>
      </c>
      <c r="K45" s="403">
        <f t="shared" ca="1" si="3"/>
        <v>0</v>
      </c>
      <c r="L45" s="55">
        <v>5000</v>
      </c>
      <c r="M45" s="55">
        <f ca="1">IFERROR(__xludf.DUMMYFUNCTION("IMPORTRANGE(""https://docs.google.com/spreadsheets/d/1XL5vhW3sbDhbH9Cz0tuDiY8C3ctxq1tqvaCgkFb8cCA/edit?usp=sharing"",""เลย!J453"")"),0)</f>
        <v>0</v>
      </c>
      <c r="N45" s="55">
        <f ca="1">IFERROR(__xludf.DUMMYFUNCTION("IMPORTRANGE(""https://docs.google.com/spreadsheets/d/1XL5vhW3sbDhbH9Cz0tuDiY8C3ctxq1tqvaCgkFb8cCA/edit?usp=sharing"",""เลย!J454"")"),0)</f>
        <v>0</v>
      </c>
      <c r="O45" s="99">
        <f t="shared" ca="1" si="5"/>
        <v>0</v>
      </c>
      <c r="P45" s="55">
        <v>0</v>
      </c>
      <c r="Q45" s="55">
        <f ca="1">IFERROR(__xludf.DUMMYFUNCTION("IMPORTRANGE(""https://docs.google.com/spreadsheets/d/1XL5vhW3sbDhbH9Cz0tuDiY8C3ctxq1tqvaCgkFb8cCA/edit?usp=sharing"",""เลย!J455"")"),0)</f>
        <v>0</v>
      </c>
      <c r="R45" s="55">
        <f ca="1">IFERROR(__xludf.DUMMYFUNCTION("IMPORTRANGE(""https://docs.google.com/spreadsheets/d/1XL5vhW3sbDhbH9Cz0tuDiY8C3ctxq1tqvaCgkFb8cCA/edit?usp=sharing"",""เลย!J456"")"),0)</f>
        <v>0</v>
      </c>
      <c r="S45" s="277">
        <f t="shared" si="7"/>
        <v>0</v>
      </c>
      <c r="T45" s="81"/>
      <c r="U45" s="81"/>
      <c r="V45" s="81"/>
      <c r="W45" s="81"/>
      <c r="X45" s="81"/>
      <c r="Y45" s="81"/>
      <c r="Z45" s="81"/>
    </row>
    <row r="46" spans="1:26" ht="24" customHeight="1" x14ac:dyDescent="0.5">
      <c r="A46" s="273">
        <v>13</v>
      </c>
      <c r="B46" s="274" t="s">
        <v>61</v>
      </c>
      <c r="C46" s="400">
        <f t="shared" si="49"/>
        <v>0</v>
      </c>
      <c r="D46" s="55">
        <v>0</v>
      </c>
      <c r="E46" s="55">
        <v>0</v>
      </c>
      <c r="F46" s="99">
        <f ca="1">IFERROR(__xludf.DUMMYFUNCTION("IMPORTRANGE(""https://docs.google.com/spreadsheets/d/1XL5vhW3sbDhbH9Cz0tuDiY8C3ctxq1tqvaCgkFb8cCA/edit?usp=sharing"",""ศรีสะเกษ!M446"")"),0)</f>
        <v>0</v>
      </c>
      <c r="G46" s="99">
        <f t="shared" si="1"/>
        <v>0</v>
      </c>
      <c r="H46" s="402">
        <v>0</v>
      </c>
      <c r="I46" s="55">
        <f t="shared" ref="I46:J46" ca="1" si="62">SUM(M46,Q46)</f>
        <v>0</v>
      </c>
      <c r="J46" s="55">
        <f t="shared" ca="1" si="62"/>
        <v>0</v>
      </c>
      <c r="K46" s="403">
        <f t="shared" si="3"/>
        <v>0</v>
      </c>
      <c r="L46" s="55">
        <v>0</v>
      </c>
      <c r="M46" s="55">
        <f ca="1">IFERROR(__xludf.DUMMYFUNCTION("IMPORTRANGE(""https://docs.google.com/spreadsheets/d/1XL5vhW3sbDhbH9Cz0tuDiY8C3ctxq1tqvaCgkFb8cCA/edit?usp=sharing"",""ศรีสะเกษ!J453"")"),0)</f>
        <v>0</v>
      </c>
      <c r="N46" s="55">
        <f ca="1">IFERROR(__xludf.DUMMYFUNCTION("IMPORTRANGE(""https://docs.google.com/spreadsheets/d/1XL5vhW3sbDhbH9Cz0tuDiY8C3ctxq1tqvaCgkFb8cCA/edit?usp=sharing"",""ศรีสะเกษ!J454"")"),0)</f>
        <v>0</v>
      </c>
      <c r="O46" s="99">
        <f t="shared" si="5"/>
        <v>0</v>
      </c>
      <c r="P46" s="55">
        <v>0</v>
      </c>
      <c r="Q46" s="55">
        <f ca="1">IFERROR(__xludf.DUMMYFUNCTION("IMPORTRANGE(""https://docs.google.com/spreadsheets/d/1XL5vhW3sbDhbH9Cz0tuDiY8C3ctxq1tqvaCgkFb8cCA/edit?usp=sharing"",""ศรีสะเกษ!J455"")"),0)</f>
        <v>0</v>
      </c>
      <c r="R46" s="55">
        <f ca="1">IFERROR(__xludf.DUMMYFUNCTION("IMPORTRANGE(""https://docs.google.com/spreadsheets/d/1XL5vhW3sbDhbH9Cz0tuDiY8C3ctxq1tqvaCgkFb8cCA/edit?usp=sharing"",""ศรีสะเกษ!J456"")"),0)</f>
        <v>0</v>
      </c>
      <c r="S46" s="277">
        <f t="shared" si="7"/>
        <v>0</v>
      </c>
      <c r="T46" s="81"/>
      <c r="U46" s="81"/>
      <c r="V46" s="81"/>
      <c r="W46" s="81"/>
      <c r="X46" s="81"/>
      <c r="Y46" s="81"/>
      <c r="Z46" s="81"/>
    </row>
    <row r="47" spans="1:26" ht="24" customHeight="1" x14ac:dyDescent="0.5">
      <c r="A47" s="273">
        <v>14</v>
      </c>
      <c r="B47" s="274" t="s">
        <v>62</v>
      </c>
      <c r="C47" s="400">
        <f t="shared" si="49"/>
        <v>0</v>
      </c>
      <c r="D47" s="55">
        <v>0</v>
      </c>
      <c r="E47" s="55">
        <v>0</v>
      </c>
      <c r="F47" s="99">
        <f ca="1">IFERROR(__xludf.DUMMYFUNCTION("IMPORTRANGE(""https://docs.google.com/spreadsheets/d/1XL5vhW3sbDhbH9Cz0tuDiY8C3ctxq1tqvaCgkFb8cCA/edit?usp=sharing"",""สกลนคร!M446"")"),0)</f>
        <v>0</v>
      </c>
      <c r="G47" s="99">
        <f t="shared" si="1"/>
        <v>0</v>
      </c>
      <c r="H47" s="402">
        <v>0</v>
      </c>
      <c r="I47" s="55">
        <f t="shared" ref="I47:J47" ca="1" si="63">SUM(M47,Q47)</f>
        <v>0</v>
      </c>
      <c r="J47" s="55">
        <f t="shared" ca="1" si="63"/>
        <v>0</v>
      </c>
      <c r="K47" s="403">
        <f t="shared" si="3"/>
        <v>0</v>
      </c>
      <c r="L47" s="55">
        <v>0</v>
      </c>
      <c r="M47" s="55">
        <f ca="1">IFERROR(__xludf.DUMMYFUNCTION("IMPORTRANGE(""https://docs.google.com/spreadsheets/d/1XL5vhW3sbDhbH9Cz0tuDiY8C3ctxq1tqvaCgkFb8cCA/edit?usp=sharing"",""สกลนคร!J453"")"),0)</f>
        <v>0</v>
      </c>
      <c r="N47" s="55">
        <f ca="1">IFERROR(__xludf.DUMMYFUNCTION("IMPORTRANGE(""https://docs.google.com/spreadsheets/d/1XL5vhW3sbDhbH9Cz0tuDiY8C3ctxq1tqvaCgkFb8cCA/edit?usp=sharing"",""สกลนคร!J454"")"),0)</f>
        <v>0</v>
      </c>
      <c r="O47" s="99">
        <f t="shared" si="5"/>
        <v>0</v>
      </c>
      <c r="P47" s="55">
        <v>0</v>
      </c>
      <c r="Q47" s="55">
        <f ca="1">IFERROR(__xludf.DUMMYFUNCTION("IMPORTRANGE(""https://docs.google.com/spreadsheets/d/1XL5vhW3sbDhbH9Cz0tuDiY8C3ctxq1tqvaCgkFb8cCA/edit?usp=sharing"",""สกลนคร!J455"")"),0)</f>
        <v>0</v>
      </c>
      <c r="R47" s="55">
        <f ca="1">IFERROR(__xludf.DUMMYFUNCTION("IMPORTRANGE(""https://docs.google.com/spreadsheets/d/1XL5vhW3sbDhbH9Cz0tuDiY8C3ctxq1tqvaCgkFb8cCA/edit?usp=sharing"",""สกลนคร!J456"")"),0)</f>
        <v>0</v>
      </c>
      <c r="S47" s="277">
        <f t="shared" si="7"/>
        <v>0</v>
      </c>
      <c r="T47" s="81"/>
      <c r="U47" s="81"/>
      <c r="V47" s="81"/>
      <c r="W47" s="81"/>
      <c r="X47" s="81"/>
      <c r="Y47" s="81"/>
      <c r="Z47" s="81"/>
    </row>
    <row r="48" spans="1:26" ht="24" customHeight="1" x14ac:dyDescent="0.5">
      <c r="A48" s="273">
        <v>15</v>
      </c>
      <c r="B48" s="274" t="s">
        <v>63</v>
      </c>
      <c r="C48" s="400">
        <f t="shared" si="49"/>
        <v>0</v>
      </c>
      <c r="D48" s="55">
        <v>0</v>
      </c>
      <c r="E48" s="55">
        <v>0</v>
      </c>
      <c r="F48" s="99">
        <f ca="1">IFERROR(__xludf.DUMMYFUNCTION("IMPORTRANGE(""https://docs.google.com/spreadsheets/d/1XL5vhW3sbDhbH9Cz0tuDiY8C3ctxq1tqvaCgkFb8cCA/edit?usp=sharing"",""สุรินทร์!M446"")"),0)</f>
        <v>0</v>
      </c>
      <c r="G48" s="99">
        <f t="shared" si="1"/>
        <v>0</v>
      </c>
      <c r="H48" s="402">
        <v>0</v>
      </c>
      <c r="I48" s="55">
        <f t="shared" ref="I48:J48" ca="1" si="64">SUM(M48,Q48)</f>
        <v>0</v>
      </c>
      <c r="J48" s="55">
        <f t="shared" ca="1" si="64"/>
        <v>0</v>
      </c>
      <c r="K48" s="403">
        <f t="shared" si="3"/>
        <v>0</v>
      </c>
      <c r="L48" s="55">
        <v>0</v>
      </c>
      <c r="M48" s="55">
        <f ca="1">IFERROR(__xludf.DUMMYFUNCTION("IMPORTRANGE(""https://docs.google.com/spreadsheets/d/1XL5vhW3sbDhbH9Cz0tuDiY8C3ctxq1tqvaCgkFb8cCA/edit?usp=sharing"",""สุรินทร์!J453"")"),0)</f>
        <v>0</v>
      </c>
      <c r="N48" s="55">
        <f ca="1">IFERROR(__xludf.DUMMYFUNCTION("IMPORTRANGE(""https://docs.google.com/spreadsheets/d/1XL5vhW3sbDhbH9Cz0tuDiY8C3ctxq1tqvaCgkFb8cCA/edit?usp=sharing"",""สุรินทร์!J454"")"),0)</f>
        <v>0</v>
      </c>
      <c r="O48" s="99">
        <f t="shared" si="5"/>
        <v>0</v>
      </c>
      <c r="P48" s="55">
        <v>0</v>
      </c>
      <c r="Q48" s="55">
        <f ca="1">IFERROR(__xludf.DUMMYFUNCTION("IMPORTRANGE(""https://docs.google.com/spreadsheets/d/1XL5vhW3sbDhbH9Cz0tuDiY8C3ctxq1tqvaCgkFb8cCA/edit?usp=sharing"",""สุรินทร์!J455"")"),0)</f>
        <v>0</v>
      </c>
      <c r="R48" s="55">
        <f ca="1">IFERROR(__xludf.DUMMYFUNCTION("IMPORTRANGE(""https://docs.google.com/spreadsheets/d/1XL5vhW3sbDhbH9Cz0tuDiY8C3ctxq1tqvaCgkFb8cCA/edit?usp=sharing"",""สุรินทร์!J456"")"),0)</f>
        <v>0</v>
      </c>
      <c r="S48" s="277">
        <f t="shared" si="7"/>
        <v>0</v>
      </c>
      <c r="T48" s="81"/>
      <c r="U48" s="81"/>
      <c r="V48" s="81"/>
      <c r="W48" s="81"/>
      <c r="X48" s="81"/>
      <c r="Y48" s="81"/>
      <c r="Z48" s="81"/>
    </row>
    <row r="49" spans="1:26" ht="24" customHeight="1" x14ac:dyDescent="0.5">
      <c r="A49" s="273">
        <v>16</v>
      </c>
      <c r="B49" s="274" t="s">
        <v>64</v>
      </c>
      <c r="C49" s="400">
        <f t="shared" si="49"/>
        <v>0</v>
      </c>
      <c r="D49" s="55">
        <v>0</v>
      </c>
      <c r="E49" s="55">
        <v>0</v>
      </c>
      <c r="F49" s="99">
        <f ca="1">IFERROR(__xludf.DUMMYFUNCTION("IMPORTRANGE(""https://docs.google.com/spreadsheets/d/1XL5vhW3sbDhbH9Cz0tuDiY8C3ctxq1tqvaCgkFb8cCA/edit?usp=sharing"",""หนองคาย!M446"")"),0)</f>
        <v>0</v>
      </c>
      <c r="G49" s="99">
        <f t="shared" si="1"/>
        <v>0</v>
      </c>
      <c r="H49" s="402">
        <v>0</v>
      </c>
      <c r="I49" s="55">
        <f t="shared" ref="I49:J49" ca="1" si="65">SUM(M49,Q49)</f>
        <v>0</v>
      </c>
      <c r="J49" s="55">
        <f t="shared" ca="1" si="65"/>
        <v>0</v>
      </c>
      <c r="K49" s="403">
        <f t="shared" si="3"/>
        <v>0</v>
      </c>
      <c r="L49" s="55">
        <v>0</v>
      </c>
      <c r="M49" s="55">
        <f ca="1">IFERROR(__xludf.DUMMYFUNCTION("IMPORTRANGE(""https://docs.google.com/spreadsheets/d/1XL5vhW3sbDhbH9Cz0tuDiY8C3ctxq1tqvaCgkFb8cCA/edit?usp=sharing"",""หนองคาย!J453"")"),0)</f>
        <v>0</v>
      </c>
      <c r="N49" s="55">
        <f ca="1">IFERROR(__xludf.DUMMYFUNCTION("IMPORTRANGE(""https://docs.google.com/spreadsheets/d/1XL5vhW3sbDhbH9Cz0tuDiY8C3ctxq1tqvaCgkFb8cCA/edit?usp=sharing"",""หนองคาย!J454"")"),0)</f>
        <v>0</v>
      </c>
      <c r="O49" s="99">
        <f t="shared" si="5"/>
        <v>0</v>
      </c>
      <c r="P49" s="55">
        <v>0</v>
      </c>
      <c r="Q49" s="55">
        <f ca="1">IFERROR(__xludf.DUMMYFUNCTION("IMPORTRANGE(""https://docs.google.com/spreadsheets/d/1XL5vhW3sbDhbH9Cz0tuDiY8C3ctxq1tqvaCgkFb8cCA/edit?usp=sharing"",""หนองคาย!J455"")"),0)</f>
        <v>0</v>
      </c>
      <c r="R49" s="55">
        <f ca="1">IFERROR(__xludf.DUMMYFUNCTION("IMPORTRANGE(""https://docs.google.com/spreadsheets/d/1XL5vhW3sbDhbH9Cz0tuDiY8C3ctxq1tqvaCgkFb8cCA/edit?usp=sharing"",""หนองคาย!J456"")"),0)</f>
        <v>0</v>
      </c>
      <c r="S49" s="277">
        <f t="shared" si="7"/>
        <v>0</v>
      </c>
      <c r="T49" s="81"/>
      <c r="U49" s="81"/>
      <c r="V49" s="81"/>
      <c r="W49" s="81"/>
      <c r="X49" s="81"/>
      <c r="Y49" s="81"/>
      <c r="Z49" s="81"/>
    </row>
    <row r="50" spans="1:26" ht="24" customHeight="1" x14ac:dyDescent="0.5">
      <c r="A50" s="273">
        <v>17</v>
      </c>
      <c r="B50" s="274" t="s">
        <v>65</v>
      </c>
      <c r="C50" s="400">
        <f t="shared" si="49"/>
        <v>310000</v>
      </c>
      <c r="D50" s="55">
        <v>0</v>
      </c>
      <c r="E50" s="55">
        <v>310000</v>
      </c>
      <c r="F50" s="99">
        <f ca="1">IFERROR(__xludf.DUMMYFUNCTION("IMPORTRANGE(""https://docs.google.com/spreadsheets/d/1XL5vhW3sbDhbH9Cz0tuDiY8C3ctxq1tqvaCgkFb8cCA/edit?usp=sharing"",""หนองบัวลำภู!M446"")"),0)</f>
        <v>0</v>
      </c>
      <c r="G50" s="99">
        <f t="shared" ca="1" si="1"/>
        <v>0</v>
      </c>
      <c r="H50" s="402">
        <v>5000</v>
      </c>
      <c r="I50" s="55">
        <f t="shared" ref="I50:J50" ca="1" si="66">SUM(M50,Q50)</f>
        <v>0</v>
      </c>
      <c r="J50" s="55">
        <f t="shared" ca="1" si="66"/>
        <v>0</v>
      </c>
      <c r="K50" s="403">
        <f t="shared" ca="1" si="3"/>
        <v>0</v>
      </c>
      <c r="L50" s="55">
        <v>5000</v>
      </c>
      <c r="M50" s="55">
        <f ca="1">IFERROR(__xludf.DUMMYFUNCTION("IMPORTRANGE(""https://docs.google.com/spreadsheets/d/1XL5vhW3sbDhbH9Cz0tuDiY8C3ctxq1tqvaCgkFb8cCA/edit?usp=sharing"",""หนองบัวลำภู!J453"")"),0)</f>
        <v>0</v>
      </c>
      <c r="N50" s="55">
        <f ca="1">IFERROR(__xludf.DUMMYFUNCTION("IMPORTRANGE(""https://docs.google.com/spreadsheets/d/1XL5vhW3sbDhbH9Cz0tuDiY8C3ctxq1tqvaCgkFb8cCA/edit?usp=sharing"",""หนองบัวลำภู!J454"")"),0)</f>
        <v>0</v>
      </c>
      <c r="O50" s="99">
        <f t="shared" ca="1" si="5"/>
        <v>0</v>
      </c>
      <c r="P50" s="55">
        <v>0</v>
      </c>
      <c r="Q50" s="55">
        <f ca="1">IFERROR(__xludf.DUMMYFUNCTION("IMPORTRANGE(""https://docs.google.com/spreadsheets/d/1XL5vhW3sbDhbH9Cz0tuDiY8C3ctxq1tqvaCgkFb8cCA/edit?usp=sharing"",""หนองบัวลำภู!J455"")"),0)</f>
        <v>0</v>
      </c>
      <c r="R50" s="55">
        <f ca="1">IFERROR(__xludf.DUMMYFUNCTION("IMPORTRANGE(""https://docs.google.com/spreadsheets/d/1XL5vhW3sbDhbH9Cz0tuDiY8C3ctxq1tqvaCgkFb8cCA/edit?usp=sharing"",""หนองบัวลำภู!J456"")"),0)</f>
        <v>0</v>
      </c>
      <c r="S50" s="277">
        <f t="shared" si="7"/>
        <v>0</v>
      </c>
      <c r="T50" s="81"/>
      <c r="U50" s="81"/>
      <c r="V50" s="81"/>
      <c r="W50" s="81"/>
      <c r="X50" s="81"/>
      <c r="Y50" s="81"/>
      <c r="Z50" s="81"/>
    </row>
    <row r="51" spans="1:26" ht="24" customHeight="1" x14ac:dyDescent="0.5">
      <c r="A51" s="273">
        <v>18</v>
      </c>
      <c r="B51" s="274" t="s">
        <v>66</v>
      </c>
      <c r="C51" s="400">
        <f t="shared" si="49"/>
        <v>0</v>
      </c>
      <c r="D51" s="55">
        <v>0</v>
      </c>
      <c r="E51" s="55">
        <v>0</v>
      </c>
      <c r="F51" s="99">
        <f ca="1">IFERROR(__xludf.DUMMYFUNCTION("IMPORTRANGE(""https://docs.google.com/spreadsheets/d/1XL5vhW3sbDhbH9Cz0tuDiY8C3ctxq1tqvaCgkFb8cCA/edit?usp=sharing"",""อำนาจเจริญ!M446"")"),0)</f>
        <v>0</v>
      </c>
      <c r="G51" s="99">
        <f t="shared" si="1"/>
        <v>0</v>
      </c>
      <c r="H51" s="402">
        <v>0</v>
      </c>
      <c r="I51" s="55">
        <f t="shared" ref="I51:J51" ca="1" si="67">SUM(M51,Q51)</f>
        <v>0</v>
      </c>
      <c r="J51" s="55">
        <f t="shared" ca="1" si="67"/>
        <v>0</v>
      </c>
      <c r="K51" s="403">
        <f t="shared" si="3"/>
        <v>0</v>
      </c>
      <c r="L51" s="55">
        <v>0</v>
      </c>
      <c r="M51" s="55">
        <f ca="1">IFERROR(__xludf.DUMMYFUNCTION("IMPORTRANGE(""https://docs.google.com/spreadsheets/d/1XL5vhW3sbDhbH9Cz0tuDiY8C3ctxq1tqvaCgkFb8cCA/edit?usp=sharing"",""อำนาจเจริญ!J453"")"),0)</f>
        <v>0</v>
      </c>
      <c r="N51" s="55">
        <f ca="1">IFERROR(__xludf.DUMMYFUNCTION("IMPORTRANGE(""https://docs.google.com/spreadsheets/d/1XL5vhW3sbDhbH9Cz0tuDiY8C3ctxq1tqvaCgkFb8cCA/edit?usp=sharing"",""อำนาจเจริญ!J454"")"),0)</f>
        <v>0</v>
      </c>
      <c r="O51" s="99">
        <f t="shared" si="5"/>
        <v>0</v>
      </c>
      <c r="P51" s="55">
        <v>0</v>
      </c>
      <c r="Q51" s="55">
        <f ca="1">IFERROR(__xludf.DUMMYFUNCTION("IMPORTRANGE(""https://docs.google.com/spreadsheets/d/1XL5vhW3sbDhbH9Cz0tuDiY8C3ctxq1tqvaCgkFb8cCA/edit?usp=sharing"",""อำนาจเจริญ!J455"")"),0)</f>
        <v>0</v>
      </c>
      <c r="R51" s="55">
        <f ca="1">IFERROR(__xludf.DUMMYFUNCTION("IMPORTRANGE(""https://docs.google.com/spreadsheets/d/1XL5vhW3sbDhbH9Cz0tuDiY8C3ctxq1tqvaCgkFb8cCA/edit?usp=sharing"",""อำนาจเจริญ!J456"")"),0)</f>
        <v>0</v>
      </c>
      <c r="S51" s="277">
        <f t="shared" si="7"/>
        <v>0</v>
      </c>
      <c r="T51" s="81"/>
      <c r="U51" s="81"/>
      <c r="V51" s="81"/>
      <c r="W51" s="81"/>
      <c r="X51" s="81"/>
      <c r="Y51" s="81"/>
      <c r="Z51" s="81"/>
    </row>
    <row r="52" spans="1:26" ht="24" customHeight="1" x14ac:dyDescent="0.5">
      <c r="A52" s="273">
        <v>19</v>
      </c>
      <c r="B52" s="274" t="s">
        <v>67</v>
      </c>
      <c r="C52" s="400">
        <f t="shared" si="49"/>
        <v>0</v>
      </c>
      <c r="D52" s="55">
        <v>0</v>
      </c>
      <c r="E52" s="55">
        <v>0</v>
      </c>
      <c r="F52" s="99">
        <f ca="1">IFERROR(__xludf.DUMMYFUNCTION("IMPORTRANGE(""https://docs.google.com/spreadsheets/d/1XL5vhW3sbDhbH9Cz0tuDiY8C3ctxq1tqvaCgkFb8cCA/edit?usp=sharing"",""อุดรธานี!M446"")"),0)</f>
        <v>0</v>
      </c>
      <c r="G52" s="99">
        <f t="shared" si="1"/>
        <v>0</v>
      </c>
      <c r="H52" s="402">
        <v>0</v>
      </c>
      <c r="I52" s="55">
        <f t="shared" ref="I52:J52" ca="1" si="68">SUM(M52,Q52)</f>
        <v>0</v>
      </c>
      <c r="J52" s="55">
        <f t="shared" ca="1" si="68"/>
        <v>0</v>
      </c>
      <c r="K52" s="403">
        <f t="shared" si="3"/>
        <v>0</v>
      </c>
      <c r="L52" s="55">
        <v>0</v>
      </c>
      <c r="M52" s="55">
        <f ca="1">IFERROR(__xludf.DUMMYFUNCTION("IMPORTRANGE(""https://docs.google.com/spreadsheets/d/1XL5vhW3sbDhbH9Cz0tuDiY8C3ctxq1tqvaCgkFb8cCA/edit?usp=sharing"",""อุดรธานี!J453"")"),0)</f>
        <v>0</v>
      </c>
      <c r="N52" s="55">
        <f ca="1">IFERROR(__xludf.DUMMYFUNCTION("IMPORTRANGE(""https://docs.google.com/spreadsheets/d/1XL5vhW3sbDhbH9Cz0tuDiY8C3ctxq1tqvaCgkFb8cCA/edit?usp=sharing"",""อุดรธานี!J454"")"),0)</f>
        <v>0</v>
      </c>
      <c r="O52" s="99">
        <f t="shared" si="5"/>
        <v>0</v>
      </c>
      <c r="P52" s="55">
        <v>0</v>
      </c>
      <c r="Q52" s="55">
        <f ca="1">IFERROR(__xludf.DUMMYFUNCTION("IMPORTRANGE(""https://docs.google.com/spreadsheets/d/1XL5vhW3sbDhbH9Cz0tuDiY8C3ctxq1tqvaCgkFb8cCA/edit?usp=sharing"",""อุดรธานี!J455"")"),0)</f>
        <v>0</v>
      </c>
      <c r="R52" s="55">
        <f ca="1">IFERROR(__xludf.DUMMYFUNCTION("IMPORTRANGE(""https://docs.google.com/spreadsheets/d/1XL5vhW3sbDhbH9Cz0tuDiY8C3ctxq1tqvaCgkFb8cCA/edit?usp=sharing"",""อุดรธานี!J456"")"),0)</f>
        <v>0</v>
      </c>
      <c r="S52" s="277">
        <f t="shared" si="7"/>
        <v>0</v>
      </c>
      <c r="T52" s="81"/>
      <c r="U52" s="81"/>
      <c r="V52" s="81"/>
      <c r="W52" s="81"/>
      <c r="X52" s="81"/>
      <c r="Y52" s="81"/>
      <c r="Z52" s="81"/>
    </row>
    <row r="53" spans="1:26" ht="24" customHeight="1" x14ac:dyDescent="0.5">
      <c r="A53" s="278">
        <v>20</v>
      </c>
      <c r="B53" s="279" t="s">
        <v>68</v>
      </c>
      <c r="C53" s="404">
        <f t="shared" si="49"/>
        <v>320000</v>
      </c>
      <c r="D53" s="62">
        <v>0</v>
      </c>
      <c r="E53" s="62">
        <v>320000</v>
      </c>
      <c r="F53" s="100">
        <f ca="1">IFERROR(__xludf.DUMMYFUNCTION("IMPORTRANGE(""https://docs.google.com/spreadsheets/d/1XL5vhW3sbDhbH9Cz0tuDiY8C3ctxq1tqvaCgkFb8cCA/edit?usp=sharing"",""อุบลราชธานี!M446"")"),0)</f>
        <v>0</v>
      </c>
      <c r="G53" s="100">
        <f t="shared" ca="1" si="1"/>
        <v>0</v>
      </c>
      <c r="H53" s="406">
        <v>5000</v>
      </c>
      <c r="I53" s="62">
        <f t="shared" ref="I53:J53" ca="1" si="69">SUM(M53,Q53)</f>
        <v>0</v>
      </c>
      <c r="J53" s="62">
        <f t="shared" ca="1" si="69"/>
        <v>0</v>
      </c>
      <c r="K53" s="407">
        <f t="shared" ca="1" si="3"/>
        <v>0</v>
      </c>
      <c r="L53" s="62">
        <v>5000</v>
      </c>
      <c r="M53" s="62">
        <f ca="1">IFERROR(__xludf.DUMMYFUNCTION("IMPORTRANGE(""https://docs.google.com/spreadsheets/d/1XL5vhW3sbDhbH9Cz0tuDiY8C3ctxq1tqvaCgkFb8cCA/edit?usp=sharing"",""อุบลราชธานี!J453"")"),0)</f>
        <v>0</v>
      </c>
      <c r="N53" s="62">
        <f ca="1">IFERROR(__xludf.DUMMYFUNCTION("IMPORTRANGE(""https://docs.google.com/spreadsheets/d/1XL5vhW3sbDhbH9Cz0tuDiY8C3ctxq1tqvaCgkFb8cCA/edit?usp=sharing"",""อุบลราชธานี!J454"")"),0)</f>
        <v>0</v>
      </c>
      <c r="O53" s="100">
        <f t="shared" ca="1" si="5"/>
        <v>0</v>
      </c>
      <c r="P53" s="62">
        <v>0</v>
      </c>
      <c r="Q53" s="62">
        <f ca="1">IFERROR(__xludf.DUMMYFUNCTION("IMPORTRANGE(""https://docs.google.com/spreadsheets/d/1XL5vhW3sbDhbH9Cz0tuDiY8C3ctxq1tqvaCgkFb8cCA/edit?usp=sharing"",""อุบลราชธานี!J455"")"),0)</f>
        <v>0</v>
      </c>
      <c r="R53" s="62">
        <f ca="1">IFERROR(__xludf.DUMMYFUNCTION("IMPORTRANGE(""https://docs.google.com/spreadsheets/d/1XL5vhW3sbDhbH9Cz0tuDiY8C3ctxq1tqvaCgkFb8cCA/edit?usp=sharing"",""อุบลราชธานี!J456"")"),0)</f>
        <v>0</v>
      </c>
      <c r="S53" s="282">
        <f t="shared" si="7"/>
        <v>0</v>
      </c>
      <c r="T53" s="81"/>
      <c r="U53" s="81"/>
      <c r="V53" s="81"/>
      <c r="W53" s="81"/>
      <c r="X53" s="81"/>
      <c r="Y53" s="81"/>
      <c r="Z53" s="81"/>
    </row>
    <row r="54" spans="1:26" ht="24" customHeight="1" x14ac:dyDescent="0.5">
      <c r="A54" s="779" t="s">
        <v>69</v>
      </c>
      <c r="B54" s="569"/>
      <c r="C54" s="394">
        <f t="shared" ref="C54:F54" si="70">SUM(C55:C75)</f>
        <v>198000</v>
      </c>
      <c r="D54" s="66">
        <f t="shared" si="70"/>
        <v>0</v>
      </c>
      <c r="E54" s="66">
        <f t="shared" si="70"/>
        <v>198000</v>
      </c>
      <c r="F54" s="101">
        <f t="shared" ca="1" si="70"/>
        <v>0</v>
      </c>
      <c r="G54" s="101">
        <f t="shared" ca="1" si="1"/>
        <v>0</v>
      </c>
      <c r="H54" s="66">
        <f t="shared" ref="H54:J54" si="71">SUM(H55:H75)</f>
        <v>3000</v>
      </c>
      <c r="I54" s="66">
        <f t="shared" ca="1" si="71"/>
        <v>0</v>
      </c>
      <c r="J54" s="66">
        <f t="shared" ca="1" si="71"/>
        <v>0</v>
      </c>
      <c r="K54" s="101">
        <f t="shared" ca="1" si="3"/>
        <v>0</v>
      </c>
      <c r="L54" s="66">
        <f t="shared" ref="L54:N54" si="72">SUM(L55:L75)</f>
        <v>3000</v>
      </c>
      <c r="M54" s="66">
        <f t="shared" ca="1" si="72"/>
        <v>0</v>
      </c>
      <c r="N54" s="66">
        <f t="shared" ca="1" si="72"/>
        <v>0</v>
      </c>
      <c r="O54" s="101">
        <f t="shared" ca="1" si="5"/>
        <v>0</v>
      </c>
      <c r="P54" s="66">
        <f t="shared" ref="P54:R54" si="73">SUM(P55:P75)</f>
        <v>118000</v>
      </c>
      <c r="Q54" s="66">
        <f t="shared" ca="1" si="73"/>
        <v>0</v>
      </c>
      <c r="R54" s="66">
        <f t="shared" ca="1" si="73"/>
        <v>0</v>
      </c>
      <c r="S54" s="256">
        <f t="shared" ca="1" si="7"/>
        <v>0</v>
      </c>
      <c r="T54" s="81"/>
      <c r="U54" s="81"/>
      <c r="V54" s="81"/>
      <c r="W54" s="81"/>
      <c r="X54" s="81"/>
      <c r="Y54" s="81"/>
      <c r="Z54" s="81"/>
    </row>
    <row r="55" spans="1:26" ht="24" customHeight="1" x14ac:dyDescent="0.5">
      <c r="A55" s="268">
        <v>1</v>
      </c>
      <c r="B55" s="269" t="s">
        <v>70</v>
      </c>
      <c r="C55" s="396">
        <f t="shared" ref="C55:C75" si="74">+D55+E55</f>
        <v>198000</v>
      </c>
      <c r="D55" s="48">
        <v>0</v>
      </c>
      <c r="E55" s="48">
        <v>198000</v>
      </c>
      <c r="F55" s="98">
        <f ca="1">IFERROR(__xludf.DUMMYFUNCTION("IMPORTRANGE(""https://docs.google.com/spreadsheets/d/1SX6NBoVAgQJ6U1MVXOaj8PK2l7WJ3RER9xtqwdhxkhw/edit?usp=sharing"",""กาญจนบุรี!M446"")"),0)</f>
        <v>0</v>
      </c>
      <c r="G55" s="98">
        <f t="shared" ca="1" si="1"/>
        <v>0</v>
      </c>
      <c r="H55" s="398">
        <v>3000</v>
      </c>
      <c r="I55" s="48">
        <f t="shared" ref="I55:J55" ca="1" si="75">SUM(M55,Q55)</f>
        <v>0</v>
      </c>
      <c r="J55" s="48">
        <f t="shared" ca="1" si="75"/>
        <v>0</v>
      </c>
      <c r="K55" s="399">
        <f t="shared" ca="1" si="3"/>
        <v>0</v>
      </c>
      <c r="L55" s="48">
        <v>3000</v>
      </c>
      <c r="M55" s="48">
        <f ca="1">IFERROR(__xludf.DUMMYFUNCTION("IMPORTRANGE(""https://docs.google.com/spreadsheets/d/1SX6NBoVAgQJ6U1MVXOaj8PK2l7WJ3RER9xtqwdhxkhw/edit?usp=sharing"",""กาญจนบุรี!J453"")"),0)</f>
        <v>0</v>
      </c>
      <c r="N55" s="48">
        <f ca="1">IFERROR(__xludf.DUMMYFUNCTION("IMPORTRANGE(""https://docs.google.com/spreadsheets/d/1SX6NBoVAgQJ6U1MVXOaj8PK2l7WJ3RER9xtqwdhxkhw/edit?usp=sharing"",""กาญจนบุรี!J454"")"),0)</f>
        <v>0</v>
      </c>
      <c r="O55" s="98">
        <f t="shared" ca="1" si="5"/>
        <v>0</v>
      </c>
      <c r="P55" s="48">
        <v>0</v>
      </c>
      <c r="Q55" s="48">
        <f ca="1">IFERROR(__xludf.DUMMYFUNCTION("IMPORTRANGE(""https://docs.google.com/spreadsheets/d/1SX6NBoVAgQJ6U1MVXOaj8PK2l7WJ3RER9xtqwdhxkhw/edit?usp=sharing"",""กาญจนบุรี!J455"")"),0)</f>
        <v>0</v>
      </c>
      <c r="R55" s="48">
        <f ca="1">IFERROR(__xludf.DUMMYFUNCTION("IMPORTRANGE(""https://docs.google.com/spreadsheets/d/1SX6NBoVAgQJ6U1MVXOaj8PK2l7WJ3RER9xtqwdhxkhw/edit?usp=sharing"",""กาญจนบุรี!J456"")"),0)</f>
        <v>0</v>
      </c>
      <c r="S55" s="272">
        <f t="shared" si="7"/>
        <v>0</v>
      </c>
      <c r="T55" s="81"/>
      <c r="U55" s="81"/>
      <c r="V55" s="81"/>
      <c r="W55" s="81"/>
      <c r="X55" s="81"/>
      <c r="Y55" s="81"/>
      <c r="Z55" s="81"/>
    </row>
    <row r="56" spans="1:26" ht="24" customHeight="1" x14ac:dyDescent="0.5">
      <c r="A56" s="273">
        <v>2</v>
      </c>
      <c r="B56" s="274" t="s">
        <v>71</v>
      </c>
      <c r="C56" s="400">
        <f t="shared" si="74"/>
        <v>0</v>
      </c>
      <c r="D56" s="55">
        <v>0</v>
      </c>
      <c r="E56" s="55">
        <v>0</v>
      </c>
      <c r="F56" s="99">
        <f ca="1">IFERROR(__xludf.DUMMYFUNCTION("IMPORTRANGE(""https://docs.google.com/spreadsheets/d/1SX6NBoVAgQJ6U1MVXOaj8PK2l7WJ3RER9xtqwdhxkhw/edit?usp=sharing"",""จันทบุรี!M446"")"),0)</f>
        <v>0</v>
      </c>
      <c r="G56" s="99">
        <f t="shared" si="1"/>
        <v>0</v>
      </c>
      <c r="H56" s="402">
        <v>0</v>
      </c>
      <c r="I56" s="55">
        <f t="shared" ref="I56:J56" ca="1" si="76">SUM(M56,Q56)</f>
        <v>0</v>
      </c>
      <c r="J56" s="55">
        <f t="shared" ca="1" si="76"/>
        <v>0</v>
      </c>
      <c r="K56" s="403">
        <f t="shared" si="3"/>
        <v>0</v>
      </c>
      <c r="L56" s="55">
        <v>0</v>
      </c>
      <c r="M56" s="55">
        <f ca="1">IFERROR(__xludf.DUMMYFUNCTION("IMPORTRANGE(""https://docs.google.com/spreadsheets/d/1SX6NBoVAgQJ6U1MVXOaj8PK2l7WJ3RER9xtqwdhxkhw/edit?usp=sharing"",""จันทบุรี!J453"")"),0)</f>
        <v>0</v>
      </c>
      <c r="N56" s="55">
        <f ca="1">IFERROR(__xludf.DUMMYFUNCTION("IMPORTRANGE(""https://docs.google.com/spreadsheets/d/1SX6NBoVAgQJ6U1MVXOaj8PK2l7WJ3RER9xtqwdhxkhw/edit?usp=sharing"",""จันทบุรี!J454"")"),0)</f>
        <v>0</v>
      </c>
      <c r="O56" s="99">
        <f t="shared" si="5"/>
        <v>0</v>
      </c>
      <c r="P56" s="55">
        <v>0</v>
      </c>
      <c r="Q56" s="55">
        <f ca="1">IFERROR(__xludf.DUMMYFUNCTION("IMPORTRANGE(""https://docs.google.com/spreadsheets/d/1SX6NBoVAgQJ6U1MVXOaj8PK2l7WJ3RER9xtqwdhxkhw/edit?usp=sharing"",""จันทบุรี!J455"")"),0)</f>
        <v>0</v>
      </c>
      <c r="R56" s="55">
        <f ca="1">IFERROR(__xludf.DUMMYFUNCTION("IMPORTRANGE(""https://docs.google.com/spreadsheets/d/1SX6NBoVAgQJ6U1MVXOaj8PK2l7WJ3RER9xtqwdhxkhw/edit?usp=sharing"",""จันทบุรี!J456"")"),0)</f>
        <v>0</v>
      </c>
      <c r="S56" s="277">
        <f t="shared" si="7"/>
        <v>0</v>
      </c>
      <c r="T56" s="81"/>
      <c r="U56" s="81"/>
      <c r="V56" s="81"/>
      <c r="W56" s="81"/>
      <c r="X56" s="81"/>
      <c r="Y56" s="81"/>
      <c r="Z56" s="81"/>
    </row>
    <row r="57" spans="1:26" ht="24" customHeight="1" x14ac:dyDescent="0.5">
      <c r="A57" s="273">
        <v>3</v>
      </c>
      <c r="B57" s="274" t="s">
        <v>72</v>
      </c>
      <c r="C57" s="400">
        <f t="shared" si="74"/>
        <v>0</v>
      </c>
      <c r="D57" s="55">
        <v>0</v>
      </c>
      <c r="E57" s="55">
        <v>0</v>
      </c>
      <c r="F57" s="99">
        <f ca="1">IFERROR(__xludf.DUMMYFUNCTION("IMPORTRANGE(""https://docs.google.com/spreadsheets/d/1SX6NBoVAgQJ6U1MVXOaj8PK2l7WJ3RER9xtqwdhxkhw/edit?usp=sharing"",""ฉะเชิงเทรา!M446"")"),0)</f>
        <v>0</v>
      </c>
      <c r="G57" s="99">
        <f t="shared" si="1"/>
        <v>0</v>
      </c>
      <c r="H57" s="402">
        <v>0</v>
      </c>
      <c r="I57" s="55">
        <f t="shared" ref="I57:J57" ca="1" si="77">SUM(M57,Q57)</f>
        <v>0</v>
      </c>
      <c r="J57" s="55">
        <f t="shared" ca="1" si="77"/>
        <v>0</v>
      </c>
      <c r="K57" s="403">
        <f t="shared" si="3"/>
        <v>0</v>
      </c>
      <c r="L57" s="55">
        <v>0</v>
      </c>
      <c r="M57" s="55">
        <f ca="1">IFERROR(__xludf.DUMMYFUNCTION("IMPORTRANGE(""https://docs.google.com/spreadsheets/d/1SX6NBoVAgQJ6U1MVXOaj8PK2l7WJ3RER9xtqwdhxkhw/edit?usp=sharing"",""ฉะเชิงเทรา!J453"")"),0)</f>
        <v>0</v>
      </c>
      <c r="N57" s="55">
        <f ca="1">IFERROR(__xludf.DUMMYFUNCTION("IMPORTRANGE(""https://docs.google.com/spreadsheets/d/1SX6NBoVAgQJ6U1MVXOaj8PK2l7WJ3RER9xtqwdhxkhw/edit?usp=sharing"",""ฉะเชิงเทรา!J454"")"),0)</f>
        <v>0</v>
      </c>
      <c r="O57" s="99">
        <f t="shared" si="5"/>
        <v>0</v>
      </c>
      <c r="P57" s="55">
        <v>0</v>
      </c>
      <c r="Q57" s="55">
        <f ca="1">IFERROR(__xludf.DUMMYFUNCTION("IMPORTRANGE(""https://docs.google.com/spreadsheets/d/1SX6NBoVAgQJ6U1MVXOaj8PK2l7WJ3RER9xtqwdhxkhw/edit?usp=sharing"",""ฉะเชิงเทรา!J455"")"),0)</f>
        <v>0</v>
      </c>
      <c r="R57" s="55">
        <f ca="1">IFERROR(__xludf.DUMMYFUNCTION("IMPORTRANGE(""https://docs.google.com/spreadsheets/d/1SX6NBoVAgQJ6U1MVXOaj8PK2l7WJ3RER9xtqwdhxkhw/edit?usp=sharing"",""ฉะเชิงเทรา!J456"")"),0)</f>
        <v>0</v>
      </c>
      <c r="S57" s="277">
        <f t="shared" si="7"/>
        <v>0</v>
      </c>
      <c r="T57" s="81"/>
      <c r="U57" s="81"/>
      <c r="V57" s="81"/>
      <c r="W57" s="81"/>
      <c r="X57" s="81"/>
      <c r="Y57" s="81"/>
      <c r="Z57" s="81"/>
    </row>
    <row r="58" spans="1:26" ht="24" customHeight="1" x14ac:dyDescent="0.5">
      <c r="A58" s="273">
        <v>4</v>
      </c>
      <c r="B58" s="274" t="s">
        <v>73</v>
      </c>
      <c r="C58" s="400">
        <f t="shared" si="74"/>
        <v>0</v>
      </c>
      <c r="D58" s="55">
        <v>0</v>
      </c>
      <c r="E58" s="55">
        <v>0</v>
      </c>
      <c r="F58" s="99">
        <f ca="1">IFERROR(__xludf.DUMMYFUNCTION("IMPORTRANGE(""https://docs.google.com/spreadsheets/d/1SX6NBoVAgQJ6U1MVXOaj8PK2l7WJ3RER9xtqwdhxkhw/edit?usp=sharing"",""ชลบุรี!M446"")"),0)</f>
        <v>0</v>
      </c>
      <c r="G58" s="99">
        <f t="shared" si="1"/>
        <v>0</v>
      </c>
      <c r="H58" s="402">
        <v>0</v>
      </c>
      <c r="I58" s="55">
        <f t="shared" ref="I58:J58" ca="1" si="78">SUM(M58,Q58)</f>
        <v>0</v>
      </c>
      <c r="J58" s="55">
        <f t="shared" ca="1" si="78"/>
        <v>0</v>
      </c>
      <c r="K58" s="403">
        <f t="shared" si="3"/>
        <v>0</v>
      </c>
      <c r="L58" s="55">
        <v>0</v>
      </c>
      <c r="M58" s="55">
        <f ca="1">IFERROR(__xludf.DUMMYFUNCTION("IMPORTRANGE(""https://docs.google.com/spreadsheets/d/1SX6NBoVAgQJ6U1MVXOaj8PK2l7WJ3RER9xtqwdhxkhw/edit?usp=sharing"",""ชลบุรี!J453"")"),0)</f>
        <v>0</v>
      </c>
      <c r="N58" s="55">
        <f ca="1">IFERROR(__xludf.DUMMYFUNCTION("IMPORTRANGE(""https://docs.google.com/spreadsheets/d/1SX6NBoVAgQJ6U1MVXOaj8PK2l7WJ3RER9xtqwdhxkhw/edit?usp=sharing"",""ชลบุรี!J454"")"),0)</f>
        <v>0</v>
      </c>
      <c r="O58" s="99">
        <f t="shared" si="5"/>
        <v>0</v>
      </c>
      <c r="P58" s="55">
        <v>0</v>
      </c>
      <c r="Q58" s="55">
        <f ca="1">IFERROR(__xludf.DUMMYFUNCTION("IMPORTRANGE(""https://docs.google.com/spreadsheets/d/1SX6NBoVAgQJ6U1MVXOaj8PK2l7WJ3RER9xtqwdhxkhw/edit?usp=sharing"",""ชลบุรี!J455"")"),0)</f>
        <v>0</v>
      </c>
      <c r="R58" s="55">
        <f ca="1">IFERROR(__xludf.DUMMYFUNCTION("IMPORTRANGE(""https://docs.google.com/spreadsheets/d/1SX6NBoVAgQJ6U1MVXOaj8PK2l7WJ3RER9xtqwdhxkhw/edit?usp=sharing"",""ชลบุรี!J456"")"),0)</f>
        <v>0</v>
      </c>
      <c r="S58" s="277">
        <f t="shared" si="7"/>
        <v>0</v>
      </c>
      <c r="T58" s="81"/>
      <c r="U58" s="81"/>
      <c r="V58" s="81"/>
      <c r="W58" s="81"/>
      <c r="X58" s="81"/>
      <c r="Y58" s="81"/>
      <c r="Z58" s="81"/>
    </row>
    <row r="59" spans="1:26" ht="24" customHeight="1" x14ac:dyDescent="0.5">
      <c r="A59" s="273">
        <v>5</v>
      </c>
      <c r="B59" s="274" t="s">
        <v>74</v>
      </c>
      <c r="C59" s="400">
        <f t="shared" si="74"/>
        <v>0</v>
      </c>
      <c r="D59" s="55">
        <v>0</v>
      </c>
      <c r="E59" s="55">
        <v>0</v>
      </c>
      <c r="F59" s="99">
        <f ca="1">IFERROR(__xludf.DUMMYFUNCTION("IMPORTRANGE(""https://docs.google.com/spreadsheets/d/1SX6NBoVAgQJ6U1MVXOaj8PK2l7WJ3RER9xtqwdhxkhw/edit?usp=sharing"",""ชัยนาท!M446"")"),0)</f>
        <v>0</v>
      </c>
      <c r="G59" s="99">
        <f t="shared" si="1"/>
        <v>0</v>
      </c>
      <c r="H59" s="402">
        <v>0</v>
      </c>
      <c r="I59" s="55">
        <f t="shared" ref="I59:J59" ca="1" si="79">SUM(M59,Q59)</f>
        <v>0</v>
      </c>
      <c r="J59" s="55">
        <f t="shared" ca="1" si="79"/>
        <v>0</v>
      </c>
      <c r="K59" s="403">
        <f t="shared" si="3"/>
        <v>0</v>
      </c>
      <c r="L59" s="55">
        <v>0</v>
      </c>
      <c r="M59" s="55">
        <f ca="1">IFERROR(__xludf.DUMMYFUNCTION("IMPORTRANGE(""https://docs.google.com/spreadsheets/d/1SX6NBoVAgQJ6U1MVXOaj8PK2l7WJ3RER9xtqwdhxkhw/edit?usp=sharing"",""ชัยนาท!J453"")"),0)</f>
        <v>0</v>
      </c>
      <c r="N59" s="55">
        <f ca="1">IFERROR(__xludf.DUMMYFUNCTION("IMPORTRANGE(""https://docs.google.com/spreadsheets/d/1SX6NBoVAgQJ6U1MVXOaj8PK2l7WJ3RER9xtqwdhxkhw/edit?usp=sharing"",""ชัยนาท!J454"")"),0)</f>
        <v>0</v>
      </c>
      <c r="O59" s="99">
        <f t="shared" si="5"/>
        <v>0</v>
      </c>
      <c r="P59" s="55">
        <v>0</v>
      </c>
      <c r="Q59" s="55">
        <f ca="1">IFERROR(__xludf.DUMMYFUNCTION("IMPORTRANGE(""https://docs.google.com/spreadsheets/d/1SX6NBoVAgQJ6U1MVXOaj8PK2l7WJ3RER9xtqwdhxkhw/edit?usp=sharing"",""ชัยนาท!J455"")"),0)</f>
        <v>0</v>
      </c>
      <c r="R59" s="55">
        <f ca="1">IFERROR(__xludf.DUMMYFUNCTION("IMPORTRANGE(""https://docs.google.com/spreadsheets/d/1SX6NBoVAgQJ6U1MVXOaj8PK2l7WJ3RER9xtqwdhxkhw/edit?usp=sharing"",""ชัยนาท!J456"")"),0)</f>
        <v>0</v>
      </c>
      <c r="S59" s="277">
        <f t="shared" si="7"/>
        <v>0</v>
      </c>
      <c r="T59" s="81"/>
      <c r="U59" s="81"/>
      <c r="V59" s="81"/>
      <c r="W59" s="81"/>
      <c r="X59" s="81"/>
      <c r="Y59" s="81"/>
      <c r="Z59" s="81"/>
    </row>
    <row r="60" spans="1:26" ht="24" customHeight="1" x14ac:dyDescent="0.5">
      <c r="A60" s="273">
        <v>6</v>
      </c>
      <c r="B60" s="274" t="s">
        <v>75</v>
      </c>
      <c r="C60" s="400">
        <f t="shared" si="74"/>
        <v>0</v>
      </c>
      <c r="D60" s="55">
        <v>0</v>
      </c>
      <c r="E60" s="55">
        <v>0</v>
      </c>
      <c r="F60" s="99">
        <f ca="1">IFERROR(__xludf.DUMMYFUNCTION("IMPORTRANGE(""https://docs.google.com/spreadsheets/d/1SX6NBoVAgQJ6U1MVXOaj8PK2l7WJ3RER9xtqwdhxkhw/edit?usp=sharing"",""ตราด!M446"")"),0)</f>
        <v>0</v>
      </c>
      <c r="G60" s="99">
        <f t="shared" si="1"/>
        <v>0</v>
      </c>
      <c r="H60" s="402">
        <v>0</v>
      </c>
      <c r="I60" s="55">
        <f t="shared" ref="I60:J60" ca="1" si="80">SUM(M60,Q60)</f>
        <v>0</v>
      </c>
      <c r="J60" s="55">
        <f t="shared" ca="1" si="80"/>
        <v>0</v>
      </c>
      <c r="K60" s="403">
        <f t="shared" si="3"/>
        <v>0</v>
      </c>
      <c r="L60" s="55">
        <v>0</v>
      </c>
      <c r="M60" s="55">
        <f ca="1">IFERROR(__xludf.DUMMYFUNCTION("IMPORTRANGE(""https://docs.google.com/spreadsheets/d/1SX6NBoVAgQJ6U1MVXOaj8PK2l7WJ3RER9xtqwdhxkhw/edit?usp=sharing"",""ตราด!J453"")"),0)</f>
        <v>0</v>
      </c>
      <c r="N60" s="55">
        <f ca="1">IFERROR(__xludf.DUMMYFUNCTION("IMPORTRANGE(""https://docs.google.com/spreadsheets/d/1SX6NBoVAgQJ6U1MVXOaj8PK2l7WJ3RER9xtqwdhxkhw/edit?usp=sharing"",""ตราด!J454"")"),0)</f>
        <v>0</v>
      </c>
      <c r="O60" s="99">
        <f t="shared" si="5"/>
        <v>0</v>
      </c>
      <c r="P60" s="55">
        <v>0</v>
      </c>
      <c r="Q60" s="55">
        <f ca="1">IFERROR(__xludf.DUMMYFUNCTION("IMPORTRANGE(""https://docs.google.com/spreadsheets/d/1SX6NBoVAgQJ6U1MVXOaj8PK2l7WJ3RER9xtqwdhxkhw/edit?usp=sharing"",""ตราด!J455"")"),0)</f>
        <v>0</v>
      </c>
      <c r="R60" s="55">
        <f ca="1">IFERROR(__xludf.DUMMYFUNCTION("IMPORTRANGE(""https://docs.google.com/spreadsheets/d/1SX6NBoVAgQJ6U1MVXOaj8PK2l7WJ3RER9xtqwdhxkhw/edit?usp=sharing"",""ตราด!J456"")"),0)</f>
        <v>0</v>
      </c>
      <c r="S60" s="277">
        <f t="shared" si="7"/>
        <v>0</v>
      </c>
      <c r="T60" s="81"/>
      <c r="U60" s="81"/>
      <c r="V60" s="81"/>
      <c r="W60" s="81"/>
      <c r="X60" s="81"/>
      <c r="Y60" s="81"/>
      <c r="Z60" s="81"/>
    </row>
    <row r="61" spans="1:26" ht="24" customHeight="1" x14ac:dyDescent="0.5">
      <c r="A61" s="273">
        <v>7</v>
      </c>
      <c r="B61" s="274" t="s">
        <v>76</v>
      </c>
      <c r="C61" s="400">
        <f t="shared" si="74"/>
        <v>0</v>
      </c>
      <c r="D61" s="55">
        <v>0</v>
      </c>
      <c r="E61" s="55">
        <v>0</v>
      </c>
      <c r="F61" s="99">
        <f ca="1">IFERROR(__xludf.DUMMYFUNCTION("IMPORTRANGE(""https://docs.google.com/spreadsheets/d/1SX6NBoVAgQJ6U1MVXOaj8PK2l7WJ3RER9xtqwdhxkhw/edit?usp=sharing"",""นครนายก!M446"")"),0)</f>
        <v>0</v>
      </c>
      <c r="G61" s="99">
        <f t="shared" si="1"/>
        <v>0</v>
      </c>
      <c r="H61" s="402">
        <v>0</v>
      </c>
      <c r="I61" s="55">
        <f t="shared" ref="I61:J61" ca="1" si="81">SUM(M61,Q61)</f>
        <v>0</v>
      </c>
      <c r="J61" s="55">
        <f t="shared" ca="1" si="81"/>
        <v>0</v>
      </c>
      <c r="K61" s="403">
        <f t="shared" si="3"/>
        <v>0</v>
      </c>
      <c r="L61" s="55">
        <v>0</v>
      </c>
      <c r="M61" s="55">
        <f ca="1">IFERROR(__xludf.DUMMYFUNCTION("IMPORTRANGE(""https://docs.google.com/spreadsheets/d/1SX6NBoVAgQJ6U1MVXOaj8PK2l7WJ3RER9xtqwdhxkhw/edit?usp=sharing"",""นครนายก!J453"")"),0)</f>
        <v>0</v>
      </c>
      <c r="N61" s="55">
        <f ca="1">IFERROR(__xludf.DUMMYFUNCTION("IMPORTRANGE(""https://docs.google.com/spreadsheets/d/1SX6NBoVAgQJ6U1MVXOaj8PK2l7WJ3RER9xtqwdhxkhw/edit?usp=sharing"",""นครนายก!J454"")"),0)</f>
        <v>0</v>
      </c>
      <c r="O61" s="99">
        <f t="shared" si="5"/>
        <v>0</v>
      </c>
      <c r="P61" s="55">
        <v>0</v>
      </c>
      <c r="Q61" s="55">
        <f ca="1">IFERROR(__xludf.DUMMYFUNCTION("IMPORTRANGE(""https://docs.google.com/spreadsheets/d/1SX6NBoVAgQJ6U1MVXOaj8PK2l7WJ3RER9xtqwdhxkhw/edit?usp=sharing"",""นครนายก!J455"")"),0)</f>
        <v>0</v>
      </c>
      <c r="R61" s="55">
        <f ca="1">IFERROR(__xludf.DUMMYFUNCTION("IMPORTRANGE(""https://docs.google.com/spreadsheets/d/1SX6NBoVAgQJ6U1MVXOaj8PK2l7WJ3RER9xtqwdhxkhw/edit?usp=sharing"",""นครนายก!J456"")"),0)</f>
        <v>0</v>
      </c>
      <c r="S61" s="277">
        <f t="shared" si="7"/>
        <v>0</v>
      </c>
      <c r="T61" s="81"/>
      <c r="U61" s="81"/>
      <c r="V61" s="81"/>
      <c r="W61" s="81"/>
      <c r="X61" s="81"/>
      <c r="Y61" s="81"/>
      <c r="Z61" s="81"/>
    </row>
    <row r="62" spans="1:26" ht="24" customHeight="1" x14ac:dyDescent="0.5">
      <c r="A62" s="273">
        <v>8</v>
      </c>
      <c r="B62" s="274" t="s">
        <v>77</v>
      </c>
      <c r="C62" s="400">
        <f t="shared" si="74"/>
        <v>0</v>
      </c>
      <c r="D62" s="55">
        <v>0</v>
      </c>
      <c r="E62" s="55">
        <v>0</v>
      </c>
      <c r="F62" s="99">
        <f ca="1">IFERROR(__xludf.DUMMYFUNCTION("IMPORTRANGE(""https://docs.google.com/spreadsheets/d/1SX6NBoVAgQJ6U1MVXOaj8PK2l7WJ3RER9xtqwdhxkhw/edit?usp=sharing"",""นครปฐม!M446"")"),0)</f>
        <v>0</v>
      </c>
      <c r="G62" s="99">
        <f t="shared" si="1"/>
        <v>0</v>
      </c>
      <c r="H62" s="402">
        <v>0</v>
      </c>
      <c r="I62" s="55">
        <f t="shared" ref="I62:J62" ca="1" si="82">SUM(M62,Q62)</f>
        <v>0</v>
      </c>
      <c r="J62" s="55">
        <f t="shared" ca="1" si="82"/>
        <v>0</v>
      </c>
      <c r="K62" s="403">
        <f t="shared" si="3"/>
        <v>0</v>
      </c>
      <c r="L62" s="55">
        <v>0</v>
      </c>
      <c r="M62" s="55">
        <f ca="1">IFERROR(__xludf.DUMMYFUNCTION("IMPORTRANGE(""https://docs.google.com/spreadsheets/d/1SX6NBoVAgQJ6U1MVXOaj8PK2l7WJ3RER9xtqwdhxkhw/edit?usp=sharing"",""นครปฐม!J453"")"),0)</f>
        <v>0</v>
      </c>
      <c r="N62" s="55">
        <f ca="1">IFERROR(__xludf.DUMMYFUNCTION("IMPORTRANGE(""https://docs.google.com/spreadsheets/d/1SX6NBoVAgQJ6U1MVXOaj8PK2l7WJ3RER9xtqwdhxkhw/edit?usp=sharing"",""นครปฐม!J454"")"),0)</f>
        <v>0</v>
      </c>
      <c r="O62" s="99">
        <f t="shared" si="5"/>
        <v>0</v>
      </c>
      <c r="P62" s="55">
        <v>0</v>
      </c>
      <c r="Q62" s="55">
        <f ca="1">IFERROR(__xludf.DUMMYFUNCTION("IMPORTRANGE(""https://docs.google.com/spreadsheets/d/1SX6NBoVAgQJ6U1MVXOaj8PK2l7WJ3RER9xtqwdhxkhw/edit?usp=sharing"",""นครปฐม!J455"")"),0)</f>
        <v>0</v>
      </c>
      <c r="R62" s="55">
        <f ca="1">IFERROR(__xludf.DUMMYFUNCTION("IMPORTRANGE(""https://docs.google.com/spreadsheets/d/1SX6NBoVAgQJ6U1MVXOaj8PK2l7WJ3RER9xtqwdhxkhw/edit?usp=sharing"",""นครปฐม!J456"")"),0)</f>
        <v>0</v>
      </c>
      <c r="S62" s="277">
        <f t="shared" si="7"/>
        <v>0</v>
      </c>
      <c r="T62" s="81"/>
      <c r="U62" s="81"/>
      <c r="V62" s="81"/>
      <c r="W62" s="81"/>
      <c r="X62" s="81"/>
      <c r="Y62" s="81"/>
      <c r="Z62" s="81"/>
    </row>
    <row r="63" spans="1:26" ht="24" customHeight="1" x14ac:dyDescent="0.5">
      <c r="A63" s="273">
        <v>9</v>
      </c>
      <c r="B63" s="274" t="s">
        <v>78</v>
      </c>
      <c r="C63" s="400">
        <f t="shared" si="74"/>
        <v>0</v>
      </c>
      <c r="D63" s="55">
        <v>0</v>
      </c>
      <c r="E63" s="55">
        <v>0</v>
      </c>
      <c r="F63" s="99">
        <f ca="1">IFERROR(__xludf.DUMMYFUNCTION("IMPORTRANGE(""https://docs.google.com/spreadsheets/d/1SX6NBoVAgQJ6U1MVXOaj8PK2l7WJ3RER9xtqwdhxkhw/edit?usp=sharing"",""ปทุมธานี!M446"")"),0)</f>
        <v>0</v>
      </c>
      <c r="G63" s="99">
        <f t="shared" si="1"/>
        <v>0</v>
      </c>
      <c r="H63" s="402">
        <v>0</v>
      </c>
      <c r="I63" s="55">
        <f t="shared" ref="I63:J63" ca="1" si="83">SUM(M63,Q63)</f>
        <v>0</v>
      </c>
      <c r="J63" s="55">
        <f t="shared" ca="1" si="83"/>
        <v>0</v>
      </c>
      <c r="K63" s="403">
        <f t="shared" si="3"/>
        <v>0</v>
      </c>
      <c r="L63" s="55">
        <v>0</v>
      </c>
      <c r="M63" s="55">
        <f ca="1">IFERROR(__xludf.DUMMYFUNCTION("IMPORTRANGE(""https://docs.google.com/spreadsheets/d/1SX6NBoVAgQJ6U1MVXOaj8PK2l7WJ3RER9xtqwdhxkhw/edit?usp=sharing"",""ปทุมธานี!J453"")"),0)</f>
        <v>0</v>
      </c>
      <c r="N63" s="55">
        <f ca="1">IFERROR(__xludf.DUMMYFUNCTION("IMPORTRANGE(""https://docs.google.com/spreadsheets/d/1SX6NBoVAgQJ6U1MVXOaj8PK2l7WJ3RER9xtqwdhxkhw/edit?usp=sharing"",""ปทุมธานี!J454"")"),0)</f>
        <v>0</v>
      </c>
      <c r="O63" s="99">
        <f t="shared" si="5"/>
        <v>0</v>
      </c>
      <c r="P63" s="55">
        <v>0</v>
      </c>
      <c r="Q63" s="55">
        <f ca="1">IFERROR(__xludf.DUMMYFUNCTION("IMPORTRANGE(""https://docs.google.com/spreadsheets/d/1SX6NBoVAgQJ6U1MVXOaj8PK2l7WJ3RER9xtqwdhxkhw/edit?usp=sharing"",""ปทุมธานี!J455"")"),0)</f>
        <v>0</v>
      </c>
      <c r="R63" s="55">
        <f ca="1">IFERROR(__xludf.DUMMYFUNCTION("IMPORTRANGE(""https://docs.google.com/spreadsheets/d/1SX6NBoVAgQJ6U1MVXOaj8PK2l7WJ3RER9xtqwdhxkhw/edit?usp=sharing"",""ปทุมธานี!J456"")"),0)</f>
        <v>0</v>
      </c>
      <c r="S63" s="277">
        <f t="shared" si="7"/>
        <v>0</v>
      </c>
      <c r="T63" s="81"/>
      <c r="U63" s="81"/>
      <c r="V63" s="81"/>
      <c r="W63" s="81"/>
      <c r="X63" s="81"/>
      <c r="Y63" s="81"/>
      <c r="Z63" s="81"/>
    </row>
    <row r="64" spans="1:26" ht="24" customHeight="1" x14ac:dyDescent="0.5">
      <c r="A64" s="273">
        <v>10</v>
      </c>
      <c r="B64" s="274" t="s">
        <v>79</v>
      </c>
      <c r="C64" s="400">
        <f t="shared" si="74"/>
        <v>0</v>
      </c>
      <c r="D64" s="55">
        <v>0</v>
      </c>
      <c r="E64" s="55">
        <v>0</v>
      </c>
      <c r="F64" s="99">
        <f ca="1">IFERROR(__xludf.DUMMYFUNCTION("IMPORTRANGE(""https://docs.google.com/spreadsheets/d/1SX6NBoVAgQJ6U1MVXOaj8PK2l7WJ3RER9xtqwdhxkhw/edit?usp=sharing"",""ประจวบคีรีขันธ์!M446"")"),0)</f>
        <v>0</v>
      </c>
      <c r="G64" s="99">
        <f t="shared" si="1"/>
        <v>0</v>
      </c>
      <c r="H64" s="402">
        <v>0</v>
      </c>
      <c r="I64" s="55">
        <f t="shared" ref="I64:J64" ca="1" si="84">SUM(M64,Q64)</f>
        <v>0</v>
      </c>
      <c r="J64" s="55">
        <f t="shared" ca="1" si="84"/>
        <v>0</v>
      </c>
      <c r="K64" s="403">
        <f t="shared" si="3"/>
        <v>0</v>
      </c>
      <c r="L64" s="55">
        <v>0</v>
      </c>
      <c r="M64" s="55">
        <f ca="1">IFERROR(__xludf.DUMMYFUNCTION("IMPORTRANGE(""https://docs.google.com/spreadsheets/d/1SX6NBoVAgQJ6U1MVXOaj8PK2l7WJ3RER9xtqwdhxkhw/edit?usp=sharing"",""ประจวบคีรีขันธ์!J453"")"),0)</f>
        <v>0</v>
      </c>
      <c r="N64" s="55">
        <f ca="1">IFERROR(__xludf.DUMMYFUNCTION("IMPORTRANGE(""https://docs.google.com/spreadsheets/d/1SX6NBoVAgQJ6U1MVXOaj8PK2l7WJ3RER9xtqwdhxkhw/edit?usp=sharing"",""ประจวบคีรีขันธ์!J454"")"),0)</f>
        <v>0</v>
      </c>
      <c r="O64" s="99">
        <f t="shared" si="5"/>
        <v>0</v>
      </c>
      <c r="P64" s="55">
        <v>0</v>
      </c>
      <c r="Q64" s="55">
        <f ca="1">IFERROR(__xludf.DUMMYFUNCTION("IMPORTRANGE(""https://docs.google.com/spreadsheets/d/1SX6NBoVAgQJ6U1MVXOaj8PK2l7WJ3RER9xtqwdhxkhw/edit?usp=sharing"",""ประจวบคีรีขันธ์!J455"")"),0)</f>
        <v>0</v>
      </c>
      <c r="R64" s="55">
        <f ca="1">IFERROR(__xludf.DUMMYFUNCTION("IMPORTRANGE(""https://docs.google.com/spreadsheets/d/1SX6NBoVAgQJ6U1MVXOaj8PK2l7WJ3RER9xtqwdhxkhw/edit?usp=sharing"",""ประจวบคีรีขันธ์!J456"")"),0)</f>
        <v>0</v>
      </c>
      <c r="S64" s="277">
        <f t="shared" si="7"/>
        <v>0</v>
      </c>
      <c r="T64" s="81"/>
      <c r="U64" s="81"/>
      <c r="V64" s="81"/>
      <c r="W64" s="81"/>
      <c r="X64" s="81"/>
      <c r="Y64" s="81"/>
      <c r="Z64" s="81"/>
    </row>
    <row r="65" spans="1:26" ht="24" customHeight="1" x14ac:dyDescent="0.5">
      <c r="A65" s="273">
        <v>11</v>
      </c>
      <c r="B65" s="274" t="s">
        <v>80</v>
      </c>
      <c r="C65" s="400">
        <f t="shared" si="74"/>
        <v>0</v>
      </c>
      <c r="D65" s="55">
        <v>0</v>
      </c>
      <c r="E65" s="55">
        <v>0</v>
      </c>
      <c r="F65" s="99">
        <f ca="1">IFERROR(__xludf.DUMMYFUNCTION("IMPORTRANGE(""https://docs.google.com/spreadsheets/d/1SX6NBoVAgQJ6U1MVXOaj8PK2l7WJ3RER9xtqwdhxkhw/edit?usp=sharing"",""ปราจีนบุรี!M446"")"),0)</f>
        <v>0</v>
      </c>
      <c r="G65" s="99">
        <f t="shared" si="1"/>
        <v>0</v>
      </c>
      <c r="H65" s="402">
        <v>0</v>
      </c>
      <c r="I65" s="55">
        <f t="shared" ref="I65:J65" ca="1" si="85">SUM(M65,Q65)</f>
        <v>0</v>
      </c>
      <c r="J65" s="55">
        <f t="shared" ca="1" si="85"/>
        <v>0</v>
      </c>
      <c r="K65" s="403">
        <f t="shared" si="3"/>
        <v>0</v>
      </c>
      <c r="L65" s="55">
        <v>0</v>
      </c>
      <c r="M65" s="55">
        <f ca="1">IFERROR(__xludf.DUMMYFUNCTION("IMPORTRANGE(""https://docs.google.com/spreadsheets/d/1SX6NBoVAgQJ6U1MVXOaj8PK2l7WJ3RER9xtqwdhxkhw/edit?usp=sharing"",""ปราจีนบุรี!J453"")"),0)</f>
        <v>0</v>
      </c>
      <c r="N65" s="55">
        <f ca="1">IFERROR(__xludf.DUMMYFUNCTION("IMPORTRANGE(""https://docs.google.com/spreadsheets/d/1SX6NBoVAgQJ6U1MVXOaj8PK2l7WJ3RER9xtqwdhxkhw/edit?usp=sharing"",""ปราจีนบุรี!J454"")"),0)</f>
        <v>0</v>
      </c>
      <c r="O65" s="99">
        <f t="shared" si="5"/>
        <v>0</v>
      </c>
      <c r="P65" s="55">
        <v>0</v>
      </c>
      <c r="Q65" s="55">
        <f ca="1">IFERROR(__xludf.DUMMYFUNCTION("IMPORTRANGE(""https://docs.google.com/spreadsheets/d/1SX6NBoVAgQJ6U1MVXOaj8PK2l7WJ3RER9xtqwdhxkhw/edit?usp=sharing"",""ปราจีนบุรี!J455"")"),0)</f>
        <v>0</v>
      </c>
      <c r="R65" s="55">
        <f ca="1">IFERROR(__xludf.DUMMYFUNCTION("IMPORTRANGE(""https://docs.google.com/spreadsheets/d/1SX6NBoVAgQJ6U1MVXOaj8PK2l7WJ3RER9xtqwdhxkhw/edit?usp=sharing"",""ปราจีนบุรี!J456"")"),0)</f>
        <v>0</v>
      </c>
      <c r="S65" s="277">
        <f t="shared" si="7"/>
        <v>0</v>
      </c>
      <c r="T65" s="81"/>
      <c r="U65" s="81"/>
      <c r="V65" s="81"/>
      <c r="W65" s="81"/>
      <c r="X65" s="81"/>
      <c r="Y65" s="81"/>
      <c r="Z65" s="81"/>
    </row>
    <row r="66" spans="1:26" ht="24" customHeight="1" x14ac:dyDescent="0.5">
      <c r="A66" s="273">
        <v>12</v>
      </c>
      <c r="B66" s="274" t="s">
        <v>81</v>
      </c>
      <c r="C66" s="400">
        <f t="shared" si="74"/>
        <v>0</v>
      </c>
      <c r="D66" s="55">
        <v>0</v>
      </c>
      <c r="E66" s="55">
        <v>0</v>
      </c>
      <c r="F66" s="99">
        <f ca="1">IFERROR(__xludf.DUMMYFUNCTION("IMPORTRANGE(""https://docs.google.com/spreadsheets/d/1SX6NBoVAgQJ6U1MVXOaj8PK2l7WJ3RER9xtqwdhxkhw/edit?usp=sharing"",""พระนครศรีอยุธยา!M446"")"),0)</f>
        <v>0</v>
      </c>
      <c r="G66" s="99">
        <f t="shared" si="1"/>
        <v>0</v>
      </c>
      <c r="H66" s="402">
        <v>0</v>
      </c>
      <c r="I66" s="55">
        <f t="shared" ref="I66:J66" ca="1" si="86">SUM(M66,Q66)</f>
        <v>0</v>
      </c>
      <c r="J66" s="55">
        <f t="shared" ca="1" si="86"/>
        <v>0</v>
      </c>
      <c r="K66" s="403">
        <f t="shared" si="3"/>
        <v>0</v>
      </c>
      <c r="L66" s="55">
        <v>0</v>
      </c>
      <c r="M66" s="55">
        <f ca="1">IFERROR(__xludf.DUMMYFUNCTION("IMPORTRANGE(""https://docs.google.com/spreadsheets/d/1SX6NBoVAgQJ6U1MVXOaj8PK2l7WJ3RER9xtqwdhxkhw/edit?usp=sharing"",""พระนครศรีอยุธยา!J453"")"),0)</f>
        <v>0</v>
      </c>
      <c r="N66" s="55">
        <f ca="1">IFERROR(__xludf.DUMMYFUNCTION("IMPORTRANGE(""https://docs.google.com/spreadsheets/d/1SX6NBoVAgQJ6U1MVXOaj8PK2l7WJ3RER9xtqwdhxkhw/edit?usp=sharing"",""พระนครศรีอยุธยา!J454"")"),0)</f>
        <v>0</v>
      </c>
      <c r="O66" s="99">
        <f t="shared" si="5"/>
        <v>0</v>
      </c>
      <c r="P66" s="55">
        <v>0</v>
      </c>
      <c r="Q66" s="55">
        <f ca="1">IFERROR(__xludf.DUMMYFUNCTION("IMPORTRANGE(""https://docs.google.com/spreadsheets/d/1SX6NBoVAgQJ6U1MVXOaj8PK2l7WJ3RER9xtqwdhxkhw/edit?usp=sharing"",""พระนครศรีอยุธยา!J455"")"),0)</f>
        <v>0</v>
      </c>
      <c r="R66" s="55">
        <f ca="1">IFERROR(__xludf.DUMMYFUNCTION("IMPORTRANGE(""https://docs.google.com/spreadsheets/d/1SX6NBoVAgQJ6U1MVXOaj8PK2l7WJ3RER9xtqwdhxkhw/edit?usp=sharing"",""พระนครศรีอยุธยา!J456"")"),0)</f>
        <v>0</v>
      </c>
      <c r="S66" s="277">
        <f t="shared" si="7"/>
        <v>0</v>
      </c>
      <c r="T66" s="81"/>
      <c r="U66" s="81"/>
      <c r="V66" s="81"/>
      <c r="W66" s="81"/>
      <c r="X66" s="81"/>
      <c r="Y66" s="81"/>
      <c r="Z66" s="81"/>
    </row>
    <row r="67" spans="1:26" ht="24" customHeight="1" x14ac:dyDescent="0.5">
      <c r="A67" s="273">
        <v>13</v>
      </c>
      <c r="B67" s="274" t="s">
        <v>82</v>
      </c>
      <c r="C67" s="400">
        <f t="shared" si="74"/>
        <v>0</v>
      </c>
      <c r="D67" s="55">
        <v>0</v>
      </c>
      <c r="E67" s="55">
        <v>0</v>
      </c>
      <c r="F67" s="99">
        <f ca="1">IFERROR(__xludf.DUMMYFUNCTION("IMPORTRANGE(""https://docs.google.com/spreadsheets/d/1SX6NBoVAgQJ6U1MVXOaj8PK2l7WJ3RER9xtqwdhxkhw/edit?usp=sharing"",""เพชรบุรี!M446"")"),0)</f>
        <v>0</v>
      </c>
      <c r="G67" s="99">
        <f t="shared" si="1"/>
        <v>0</v>
      </c>
      <c r="H67" s="402">
        <v>0</v>
      </c>
      <c r="I67" s="55">
        <f t="shared" ref="I67:J67" ca="1" si="87">SUM(M67,Q67)</f>
        <v>0</v>
      </c>
      <c r="J67" s="55">
        <f t="shared" ca="1" si="87"/>
        <v>0</v>
      </c>
      <c r="K67" s="403">
        <f t="shared" si="3"/>
        <v>0</v>
      </c>
      <c r="L67" s="55">
        <v>0</v>
      </c>
      <c r="M67" s="55">
        <f ca="1">IFERROR(__xludf.DUMMYFUNCTION("IMPORTRANGE(""https://docs.google.com/spreadsheets/d/1SX6NBoVAgQJ6U1MVXOaj8PK2l7WJ3RER9xtqwdhxkhw/edit?usp=sharing"",""เพชรบุรี!J453"")"),0)</f>
        <v>0</v>
      </c>
      <c r="N67" s="55">
        <f ca="1">IFERROR(__xludf.DUMMYFUNCTION("IMPORTRANGE(""https://docs.google.com/spreadsheets/d/1SX6NBoVAgQJ6U1MVXOaj8PK2l7WJ3RER9xtqwdhxkhw/edit?usp=sharing"",""เพชรบุรี!J454"")"),0)</f>
        <v>0</v>
      </c>
      <c r="O67" s="99">
        <f t="shared" si="5"/>
        <v>0</v>
      </c>
      <c r="P67" s="57">
        <v>38000</v>
      </c>
      <c r="Q67" s="55">
        <f ca="1">IFERROR(__xludf.DUMMYFUNCTION("IMPORTRANGE(""https://docs.google.com/spreadsheets/d/1SX6NBoVAgQJ6U1MVXOaj8PK2l7WJ3RER9xtqwdhxkhw/edit?usp=sharing"",""เพชรบุรี!J455"")"),0)</f>
        <v>0</v>
      </c>
      <c r="R67" s="55">
        <f ca="1">IFERROR(__xludf.DUMMYFUNCTION("IMPORTRANGE(""https://docs.google.com/spreadsheets/d/1SX6NBoVAgQJ6U1MVXOaj8PK2l7WJ3RER9xtqwdhxkhw/edit?usp=sharing"",""เพชรบุรี!J456"")"),0)</f>
        <v>0</v>
      </c>
      <c r="S67" s="277">
        <f t="shared" ca="1" si="7"/>
        <v>0</v>
      </c>
      <c r="T67" s="81"/>
      <c r="U67" s="81"/>
      <c r="V67" s="81"/>
      <c r="W67" s="81"/>
      <c r="X67" s="81"/>
      <c r="Y67" s="81"/>
      <c r="Z67" s="81"/>
    </row>
    <row r="68" spans="1:26" ht="24" customHeight="1" x14ac:dyDescent="0.5">
      <c r="A68" s="273">
        <v>14</v>
      </c>
      <c r="B68" s="274" t="s">
        <v>83</v>
      </c>
      <c r="C68" s="400">
        <f t="shared" si="74"/>
        <v>0</v>
      </c>
      <c r="D68" s="55">
        <v>0</v>
      </c>
      <c r="E68" s="55">
        <v>0</v>
      </c>
      <c r="F68" s="99">
        <f ca="1">IFERROR(__xludf.DUMMYFUNCTION("IMPORTRANGE(""https://docs.google.com/spreadsheets/d/1SX6NBoVAgQJ6U1MVXOaj8PK2l7WJ3RER9xtqwdhxkhw/edit?usp=sharing"",""ระยอง!M446"")"),0)</f>
        <v>0</v>
      </c>
      <c r="G68" s="99">
        <f t="shared" si="1"/>
        <v>0</v>
      </c>
      <c r="H68" s="402">
        <v>0</v>
      </c>
      <c r="I68" s="55">
        <f t="shared" ref="I68:J68" ca="1" si="88">SUM(M68,Q68)</f>
        <v>0</v>
      </c>
      <c r="J68" s="55">
        <f t="shared" ca="1" si="88"/>
        <v>0</v>
      </c>
      <c r="K68" s="403">
        <f t="shared" si="3"/>
        <v>0</v>
      </c>
      <c r="L68" s="55">
        <v>0</v>
      </c>
      <c r="M68" s="55">
        <f ca="1">IFERROR(__xludf.DUMMYFUNCTION("IMPORTRANGE(""https://docs.google.com/spreadsheets/d/1SX6NBoVAgQJ6U1MVXOaj8PK2l7WJ3RER9xtqwdhxkhw/edit?usp=sharing"",""ระยอง!J453"")"),0)</f>
        <v>0</v>
      </c>
      <c r="N68" s="55">
        <f ca="1">IFERROR(__xludf.DUMMYFUNCTION("IMPORTRANGE(""https://docs.google.com/spreadsheets/d/1SX6NBoVAgQJ6U1MVXOaj8PK2l7WJ3RER9xtqwdhxkhw/edit?usp=sharing"",""ระยอง!J454"")"),0)</f>
        <v>0</v>
      </c>
      <c r="O68" s="99">
        <f t="shared" si="5"/>
        <v>0</v>
      </c>
      <c r="P68" s="57">
        <v>80000</v>
      </c>
      <c r="Q68" s="55">
        <f ca="1">IFERROR(__xludf.DUMMYFUNCTION("IMPORTRANGE(""https://docs.google.com/spreadsheets/d/1SX6NBoVAgQJ6U1MVXOaj8PK2l7WJ3RER9xtqwdhxkhw/edit?usp=sharing"",""ระยอง!J455"")"),0)</f>
        <v>0</v>
      </c>
      <c r="R68" s="55">
        <f ca="1">IFERROR(__xludf.DUMMYFUNCTION("IMPORTRANGE(""https://docs.google.com/spreadsheets/d/1SX6NBoVAgQJ6U1MVXOaj8PK2l7WJ3RER9xtqwdhxkhw/edit?usp=sharing"",""ระยอง!J456"")"),0)</f>
        <v>0</v>
      </c>
      <c r="S68" s="277">
        <f t="shared" ca="1" si="7"/>
        <v>0</v>
      </c>
      <c r="T68" s="81"/>
      <c r="U68" s="81"/>
      <c r="V68" s="81"/>
      <c r="W68" s="81"/>
      <c r="X68" s="81"/>
      <c r="Y68" s="81"/>
      <c r="Z68" s="81"/>
    </row>
    <row r="69" spans="1:26" ht="24" customHeight="1" x14ac:dyDescent="0.5">
      <c r="A69" s="273">
        <v>15</v>
      </c>
      <c r="B69" s="274" t="s">
        <v>84</v>
      </c>
      <c r="C69" s="400">
        <f t="shared" si="74"/>
        <v>0</v>
      </c>
      <c r="D69" s="55">
        <v>0</v>
      </c>
      <c r="E69" s="55">
        <v>0</v>
      </c>
      <c r="F69" s="99">
        <f ca="1">IFERROR(__xludf.DUMMYFUNCTION("IMPORTRANGE(""https://docs.google.com/spreadsheets/d/1SX6NBoVAgQJ6U1MVXOaj8PK2l7WJ3RER9xtqwdhxkhw/edit?usp=sharing"",""ราชบุรี!M446"")"),0)</f>
        <v>0</v>
      </c>
      <c r="G69" s="99">
        <f t="shared" si="1"/>
        <v>0</v>
      </c>
      <c r="H69" s="402">
        <v>0</v>
      </c>
      <c r="I69" s="55">
        <f t="shared" ref="I69:J69" ca="1" si="89">SUM(M69,Q69)</f>
        <v>0</v>
      </c>
      <c r="J69" s="55">
        <f t="shared" ca="1" si="89"/>
        <v>0</v>
      </c>
      <c r="K69" s="403">
        <f t="shared" si="3"/>
        <v>0</v>
      </c>
      <c r="L69" s="55">
        <v>0</v>
      </c>
      <c r="M69" s="55">
        <f ca="1">IFERROR(__xludf.DUMMYFUNCTION("IMPORTRANGE(""https://docs.google.com/spreadsheets/d/1SX6NBoVAgQJ6U1MVXOaj8PK2l7WJ3RER9xtqwdhxkhw/edit?usp=sharing"",""ราชบุรี!J453"")"),0)</f>
        <v>0</v>
      </c>
      <c r="N69" s="55">
        <f ca="1">IFERROR(__xludf.DUMMYFUNCTION("IMPORTRANGE(""https://docs.google.com/spreadsheets/d/1SX6NBoVAgQJ6U1MVXOaj8PK2l7WJ3RER9xtqwdhxkhw/edit?usp=sharing"",""ราชบุรี!J454"")"),0)</f>
        <v>0</v>
      </c>
      <c r="O69" s="99">
        <f t="shared" si="5"/>
        <v>0</v>
      </c>
      <c r="P69" s="55">
        <v>0</v>
      </c>
      <c r="Q69" s="55">
        <f ca="1">IFERROR(__xludf.DUMMYFUNCTION("IMPORTRANGE(""https://docs.google.com/spreadsheets/d/1SX6NBoVAgQJ6U1MVXOaj8PK2l7WJ3RER9xtqwdhxkhw/edit?usp=sharing"",""ราชบุรี!J455"")"),0)</f>
        <v>0</v>
      </c>
      <c r="R69" s="55">
        <f ca="1">IFERROR(__xludf.DUMMYFUNCTION("IMPORTRANGE(""https://docs.google.com/spreadsheets/d/1SX6NBoVAgQJ6U1MVXOaj8PK2l7WJ3RER9xtqwdhxkhw/edit?usp=sharing"",""ราชบุรี!J456"")"),0)</f>
        <v>0</v>
      </c>
      <c r="S69" s="277">
        <f t="shared" si="7"/>
        <v>0</v>
      </c>
      <c r="T69" s="81"/>
      <c r="U69" s="81"/>
      <c r="V69" s="81"/>
      <c r="W69" s="81"/>
      <c r="X69" s="81"/>
      <c r="Y69" s="81"/>
      <c r="Z69" s="81"/>
    </row>
    <row r="70" spans="1:26" ht="24" customHeight="1" x14ac:dyDescent="0.5">
      <c r="A70" s="273">
        <v>16</v>
      </c>
      <c r="B70" s="274" t="s">
        <v>85</v>
      </c>
      <c r="C70" s="400">
        <f t="shared" si="74"/>
        <v>0</v>
      </c>
      <c r="D70" s="55">
        <v>0</v>
      </c>
      <c r="E70" s="55">
        <v>0</v>
      </c>
      <c r="F70" s="99">
        <f ca="1">IFERROR(__xludf.DUMMYFUNCTION("IMPORTRANGE(""https://docs.google.com/spreadsheets/d/1SX6NBoVAgQJ6U1MVXOaj8PK2l7WJ3RER9xtqwdhxkhw/edit?usp=sharing"",""ลพบุรี!M446"")"),0)</f>
        <v>0</v>
      </c>
      <c r="G70" s="99">
        <f t="shared" si="1"/>
        <v>0</v>
      </c>
      <c r="H70" s="402">
        <v>0</v>
      </c>
      <c r="I70" s="55">
        <f t="shared" ref="I70:J70" ca="1" si="90">SUM(M70,Q70)</f>
        <v>0</v>
      </c>
      <c r="J70" s="55">
        <f t="shared" ca="1" si="90"/>
        <v>0</v>
      </c>
      <c r="K70" s="403">
        <f t="shared" si="3"/>
        <v>0</v>
      </c>
      <c r="L70" s="55">
        <v>0</v>
      </c>
      <c r="M70" s="55">
        <f ca="1">IFERROR(__xludf.DUMMYFUNCTION("IMPORTRANGE(""https://docs.google.com/spreadsheets/d/1SX6NBoVAgQJ6U1MVXOaj8PK2l7WJ3RER9xtqwdhxkhw/edit?usp=sharing"",""ลพบุรี!J453"")"),0)</f>
        <v>0</v>
      </c>
      <c r="N70" s="55">
        <f ca="1">IFERROR(__xludf.DUMMYFUNCTION("IMPORTRANGE(""https://docs.google.com/spreadsheets/d/1SX6NBoVAgQJ6U1MVXOaj8PK2l7WJ3RER9xtqwdhxkhw/edit?usp=sharing"",""ลพบุรี!J454"")"),0)</f>
        <v>0</v>
      </c>
      <c r="O70" s="99">
        <f t="shared" si="5"/>
        <v>0</v>
      </c>
      <c r="P70" s="55">
        <v>0</v>
      </c>
      <c r="Q70" s="55">
        <f ca="1">IFERROR(__xludf.DUMMYFUNCTION("IMPORTRANGE(""https://docs.google.com/spreadsheets/d/1SX6NBoVAgQJ6U1MVXOaj8PK2l7WJ3RER9xtqwdhxkhw/edit?usp=sharing"",""ลพบุรี!J455"")"),0)</f>
        <v>0</v>
      </c>
      <c r="R70" s="55">
        <f ca="1">IFERROR(__xludf.DUMMYFUNCTION("IMPORTRANGE(""https://docs.google.com/spreadsheets/d/1SX6NBoVAgQJ6U1MVXOaj8PK2l7WJ3RER9xtqwdhxkhw/edit?usp=sharing"",""ลพบุรี!J456"")"),0)</f>
        <v>0</v>
      </c>
      <c r="S70" s="277">
        <f t="shared" si="7"/>
        <v>0</v>
      </c>
      <c r="T70" s="81"/>
      <c r="U70" s="81"/>
      <c r="V70" s="81"/>
      <c r="W70" s="81"/>
      <c r="X70" s="81"/>
      <c r="Y70" s="81"/>
      <c r="Z70" s="81"/>
    </row>
    <row r="71" spans="1:26" ht="24" customHeight="1" x14ac:dyDescent="0.5">
      <c r="A71" s="273">
        <v>17</v>
      </c>
      <c r="B71" s="274" t="s">
        <v>86</v>
      </c>
      <c r="C71" s="400">
        <f t="shared" si="74"/>
        <v>0</v>
      </c>
      <c r="D71" s="55">
        <v>0</v>
      </c>
      <c r="E71" s="55">
        <v>0</v>
      </c>
      <c r="F71" s="99">
        <f ca="1">IFERROR(__xludf.DUMMYFUNCTION("IMPORTRANGE(""https://docs.google.com/spreadsheets/d/1SX6NBoVAgQJ6U1MVXOaj8PK2l7WJ3RER9xtqwdhxkhw/edit?usp=sharing"",""สระแก้ว!M446"")"),0)</f>
        <v>0</v>
      </c>
      <c r="G71" s="99">
        <f t="shared" si="1"/>
        <v>0</v>
      </c>
      <c r="H71" s="402">
        <v>0</v>
      </c>
      <c r="I71" s="55">
        <f t="shared" ref="I71:J71" ca="1" si="91">SUM(M71,Q71)</f>
        <v>0</v>
      </c>
      <c r="J71" s="55">
        <f t="shared" ca="1" si="91"/>
        <v>0</v>
      </c>
      <c r="K71" s="403">
        <f t="shared" si="3"/>
        <v>0</v>
      </c>
      <c r="L71" s="55">
        <v>0</v>
      </c>
      <c r="M71" s="55">
        <f ca="1">IFERROR(__xludf.DUMMYFUNCTION("IMPORTRANGE(""https://docs.google.com/spreadsheets/d/1SX6NBoVAgQJ6U1MVXOaj8PK2l7WJ3RER9xtqwdhxkhw/edit?usp=sharing"",""สระแก้ว!J453"")"),0)</f>
        <v>0</v>
      </c>
      <c r="N71" s="55">
        <f ca="1">IFERROR(__xludf.DUMMYFUNCTION("IMPORTRANGE(""https://docs.google.com/spreadsheets/d/1SX6NBoVAgQJ6U1MVXOaj8PK2l7WJ3RER9xtqwdhxkhw/edit?usp=sharing"",""สระแก้ว!J454"")"),0)</f>
        <v>0</v>
      </c>
      <c r="O71" s="99">
        <f t="shared" si="5"/>
        <v>0</v>
      </c>
      <c r="P71" s="55">
        <v>0</v>
      </c>
      <c r="Q71" s="55">
        <f ca="1">IFERROR(__xludf.DUMMYFUNCTION("IMPORTRANGE(""https://docs.google.com/spreadsheets/d/1SX6NBoVAgQJ6U1MVXOaj8PK2l7WJ3RER9xtqwdhxkhw/edit?usp=sharing"",""สระแก้ว!J455"")"),0)</f>
        <v>0</v>
      </c>
      <c r="R71" s="55">
        <f ca="1">IFERROR(__xludf.DUMMYFUNCTION("IMPORTRANGE(""https://docs.google.com/spreadsheets/d/1SX6NBoVAgQJ6U1MVXOaj8PK2l7WJ3RER9xtqwdhxkhw/edit?usp=sharing"",""สระแก้ว!J456"")"),0)</f>
        <v>0</v>
      </c>
      <c r="S71" s="277">
        <f t="shared" si="7"/>
        <v>0</v>
      </c>
      <c r="T71" s="81"/>
      <c r="U71" s="81"/>
      <c r="V71" s="81"/>
      <c r="W71" s="81"/>
      <c r="X71" s="81"/>
      <c r="Y71" s="81"/>
      <c r="Z71" s="81"/>
    </row>
    <row r="72" spans="1:26" ht="24" customHeight="1" x14ac:dyDescent="0.5">
      <c r="A72" s="273">
        <v>18</v>
      </c>
      <c r="B72" s="274" t="s">
        <v>87</v>
      </c>
      <c r="C72" s="400">
        <f t="shared" si="74"/>
        <v>0</v>
      </c>
      <c r="D72" s="55">
        <v>0</v>
      </c>
      <c r="E72" s="55">
        <v>0</v>
      </c>
      <c r="F72" s="99">
        <f ca="1">IFERROR(__xludf.DUMMYFUNCTION("IMPORTRANGE(""https://docs.google.com/spreadsheets/d/1SX6NBoVAgQJ6U1MVXOaj8PK2l7WJ3RER9xtqwdhxkhw/edit?usp=sharing"",""สระบุรี!M446"")"),0)</f>
        <v>0</v>
      </c>
      <c r="G72" s="99">
        <f t="shared" si="1"/>
        <v>0</v>
      </c>
      <c r="H72" s="402">
        <v>0</v>
      </c>
      <c r="I72" s="55">
        <f t="shared" ref="I72:J72" ca="1" si="92">SUM(M72,Q72)</f>
        <v>0</v>
      </c>
      <c r="J72" s="55">
        <f t="shared" ca="1" si="92"/>
        <v>0</v>
      </c>
      <c r="K72" s="403">
        <f t="shared" si="3"/>
        <v>0</v>
      </c>
      <c r="L72" s="55">
        <v>0</v>
      </c>
      <c r="M72" s="55">
        <f ca="1">IFERROR(__xludf.DUMMYFUNCTION("IMPORTRANGE(""https://docs.google.com/spreadsheets/d/1SX6NBoVAgQJ6U1MVXOaj8PK2l7WJ3RER9xtqwdhxkhw/edit?usp=sharing"",""สระบุรี!J453"")"),0)</f>
        <v>0</v>
      </c>
      <c r="N72" s="55">
        <f ca="1">IFERROR(__xludf.DUMMYFUNCTION("IMPORTRANGE(""https://docs.google.com/spreadsheets/d/1SX6NBoVAgQJ6U1MVXOaj8PK2l7WJ3RER9xtqwdhxkhw/edit?usp=sharing"",""สระบุรี!J454"")"),0)</f>
        <v>0</v>
      </c>
      <c r="O72" s="99">
        <f t="shared" si="5"/>
        <v>0</v>
      </c>
      <c r="P72" s="55">
        <v>0</v>
      </c>
      <c r="Q72" s="55">
        <f ca="1">IFERROR(__xludf.DUMMYFUNCTION("IMPORTRANGE(""https://docs.google.com/spreadsheets/d/1SX6NBoVAgQJ6U1MVXOaj8PK2l7WJ3RER9xtqwdhxkhw/edit?usp=sharing"",""สระบุรี!J455"")"),0)</f>
        <v>0</v>
      </c>
      <c r="R72" s="55">
        <f ca="1">IFERROR(__xludf.DUMMYFUNCTION("IMPORTRANGE(""https://docs.google.com/spreadsheets/d/1SX6NBoVAgQJ6U1MVXOaj8PK2l7WJ3RER9xtqwdhxkhw/edit?usp=sharing"",""สระบุรี!J456"")"),0)</f>
        <v>0</v>
      </c>
      <c r="S72" s="277">
        <f t="shared" si="7"/>
        <v>0</v>
      </c>
      <c r="T72" s="81"/>
      <c r="U72" s="81"/>
      <c r="V72" s="81"/>
      <c r="W72" s="81"/>
      <c r="X72" s="81"/>
      <c r="Y72" s="81"/>
      <c r="Z72" s="81"/>
    </row>
    <row r="73" spans="1:26" ht="24" customHeight="1" x14ac:dyDescent="0.5">
      <c r="A73" s="273">
        <v>19</v>
      </c>
      <c r="B73" s="274" t="s">
        <v>88</v>
      </c>
      <c r="C73" s="400">
        <f t="shared" si="74"/>
        <v>0</v>
      </c>
      <c r="D73" s="55">
        <v>0</v>
      </c>
      <c r="E73" s="55">
        <v>0</v>
      </c>
      <c r="F73" s="99">
        <f ca="1">IFERROR(__xludf.DUMMYFUNCTION("IMPORTRANGE(""https://docs.google.com/spreadsheets/d/1SX6NBoVAgQJ6U1MVXOaj8PK2l7WJ3RER9xtqwdhxkhw/edit?usp=sharing"",""สิงห์บุรี!M446"")"),0)</f>
        <v>0</v>
      </c>
      <c r="G73" s="99">
        <f t="shared" si="1"/>
        <v>0</v>
      </c>
      <c r="H73" s="402">
        <v>0</v>
      </c>
      <c r="I73" s="55">
        <f t="shared" ref="I73:J73" ca="1" si="93">SUM(M73,Q73)</f>
        <v>0</v>
      </c>
      <c r="J73" s="55">
        <f t="shared" ca="1" si="93"/>
        <v>0</v>
      </c>
      <c r="K73" s="403">
        <f t="shared" si="3"/>
        <v>0</v>
      </c>
      <c r="L73" s="55">
        <v>0</v>
      </c>
      <c r="M73" s="55">
        <f ca="1">IFERROR(__xludf.DUMMYFUNCTION("IMPORTRANGE(""https://docs.google.com/spreadsheets/d/1SX6NBoVAgQJ6U1MVXOaj8PK2l7WJ3RER9xtqwdhxkhw/edit?usp=sharing"",""สิงห์บุรี!J453"")"),0)</f>
        <v>0</v>
      </c>
      <c r="N73" s="55">
        <f ca="1">IFERROR(__xludf.DUMMYFUNCTION("IMPORTRANGE(""https://docs.google.com/spreadsheets/d/1SX6NBoVAgQJ6U1MVXOaj8PK2l7WJ3RER9xtqwdhxkhw/edit?usp=sharing"",""สิงห์บุรี!J454"")"),0)</f>
        <v>0</v>
      </c>
      <c r="O73" s="99">
        <f t="shared" si="5"/>
        <v>0</v>
      </c>
      <c r="P73" s="55">
        <v>0</v>
      </c>
      <c r="Q73" s="55">
        <f ca="1">IFERROR(__xludf.DUMMYFUNCTION("IMPORTRANGE(""https://docs.google.com/spreadsheets/d/1SX6NBoVAgQJ6U1MVXOaj8PK2l7WJ3RER9xtqwdhxkhw/edit?usp=sharing"",""สิงห์บุรี!J455"")"),0)</f>
        <v>0</v>
      </c>
      <c r="R73" s="55">
        <f ca="1">IFERROR(__xludf.DUMMYFUNCTION("IMPORTRANGE(""https://docs.google.com/spreadsheets/d/1SX6NBoVAgQJ6U1MVXOaj8PK2l7WJ3RER9xtqwdhxkhw/edit?usp=sharing"",""สิงห์บุรี!J456"")"),0)</f>
        <v>0</v>
      </c>
      <c r="S73" s="277">
        <f t="shared" si="7"/>
        <v>0</v>
      </c>
      <c r="T73" s="81"/>
      <c r="U73" s="81"/>
      <c r="V73" s="81"/>
      <c r="W73" s="81"/>
      <c r="X73" s="81"/>
      <c r="Y73" s="81"/>
      <c r="Z73" s="81"/>
    </row>
    <row r="74" spans="1:26" ht="24" customHeight="1" x14ac:dyDescent="0.5">
      <c r="A74" s="273">
        <v>20</v>
      </c>
      <c r="B74" s="274" t="s">
        <v>89</v>
      </c>
      <c r="C74" s="400">
        <f t="shared" si="74"/>
        <v>0</v>
      </c>
      <c r="D74" s="55">
        <v>0</v>
      </c>
      <c r="E74" s="55">
        <v>0</v>
      </c>
      <c r="F74" s="99">
        <f ca="1">IFERROR(__xludf.DUMMYFUNCTION("IMPORTRANGE(""https://docs.google.com/spreadsheets/d/1SX6NBoVAgQJ6U1MVXOaj8PK2l7WJ3RER9xtqwdhxkhw/edit?usp=sharing"",""สุพรรณบุรี!M446"")"),0)</f>
        <v>0</v>
      </c>
      <c r="G74" s="99">
        <f t="shared" si="1"/>
        <v>0</v>
      </c>
      <c r="H74" s="402">
        <v>0</v>
      </c>
      <c r="I74" s="55">
        <f t="shared" ref="I74:J74" ca="1" si="94">SUM(M74,Q74)</f>
        <v>0</v>
      </c>
      <c r="J74" s="55">
        <f t="shared" ca="1" si="94"/>
        <v>0</v>
      </c>
      <c r="K74" s="403">
        <f t="shared" si="3"/>
        <v>0</v>
      </c>
      <c r="L74" s="55">
        <v>0</v>
      </c>
      <c r="M74" s="55">
        <f ca="1">IFERROR(__xludf.DUMMYFUNCTION("IMPORTRANGE(""https://docs.google.com/spreadsheets/d/1SX6NBoVAgQJ6U1MVXOaj8PK2l7WJ3RER9xtqwdhxkhw/edit?usp=sharing"",""สุพรรณบุรี!J453"")"),0)</f>
        <v>0</v>
      </c>
      <c r="N74" s="55">
        <f ca="1">IFERROR(__xludf.DUMMYFUNCTION("IMPORTRANGE(""https://docs.google.com/spreadsheets/d/1SX6NBoVAgQJ6U1MVXOaj8PK2l7WJ3RER9xtqwdhxkhw/edit?usp=sharing"",""สุพรรณบุรี!J454"")"),0)</f>
        <v>0</v>
      </c>
      <c r="O74" s="99">
        <f t="shared" si="5"/>
        <v>0</v>
      </c>
      <c r="P74" s="55">
        <v>0</v>
      </c>
      <c r="Q74" s="55">
        <f ca="1">IFERROR(__xludf.DUMMYFUNCTION("IMPORTRANGE(""https://docs.google.com/spreadsheets/d/1SX6NBoVAgQJ6U1MVXOaj8PK2l7WJ3RER9xtqwdhxkhw/edit?usp=sharing"",""สุพรรณบุรี!J455"")"),0)</f>
        <v>0</v>
      </c>
      <c r="R74" s="55">
        <f ca="1">IFERROR(__xludf.DUMMYFUNCTION("IMPORTRANGE(""https://docs.google.com/spreadsheets/d/1SX6NBoVAgQJ6U1MVXOaj8PK2l7WJ3RER9xtqwdhxkhw/edit?usp=sharing"",""สุพรรณบุรี!J456"")"),0)</f>
        <v>0</v>
      </c>
      <c r="S74" s="277">
        <f t="shared" si="7"/>
        <v>0</v>
      </c>
      <c r="T74" s="81"/>
      <c r="U74" s="81"/>
      <c r="V74" s="81"/>
      <c r="W74" s="81"/>
      <c r="X74" s="81"/>
      <c r="Y74" s="81"/>
      <c r="Z74" s="81"/>
    </row>
    <row r="75" spans="1:26" ht="24" customHeight="1" x14ac:dyDescent="0.5">
      <c r="A75" s="278">
        <v>21</v>
      </c>
      <c r="B75" s="279" t="s">
        <v>90</v>
      </c>
      <c r="C75" s="404">
        <f t="shared" si="74"/>
        <v>0</v>
      </c>
      <c r="D75" s="62">
        <v>0</v>
      </c>
      <c r="E75" s="62">
        <v>0</v>
      </c>
      <c r="F75" s="100">
        <f ca="1">IFERROR(__xludf.DUMMYFUNCTION("IMPORTRANGE(""https://docs.google.com/spreadsheets/d/1SX6NBoVAgQJ6U1MVXOaj8PK2l7WJ3RER9xtqwdhxkhw/edit?usp=sharing"",""อ่างทอง!M446"")"),0)</f>
        <v>0</v>
      </c>
      <c r="G75" s="100">
        <f t="shared" si="1"/>
        <v>0</v>
      </c>
      <c r="H75" s="406">
        <v>0</v>
      </c>
      <c r="I75" s="62">
        <f t="shared" ref="I75:J75" ca="1" si="95">SUM(M75,Q75)</f>
        <v>0</v>
      </c>
      <c r="J75" s="62">
        <f t="shared" ca="1" si="95"/>
        <v>0</v>
      </c>
      <c r="K75" s="407">
        <f t="shared" si="3"/>
        <v>0</v>
      </c>
      <c r="L75" s="62">
        <v>0</v>
      </c>
      <c r="M75" s="62">
        <f ca="1">IFERROR(__xludf.DUMMYFUNCTION("IMPORTRANGE(""https://docs.google.com/spreadsheets/d/1SX6NBoVAgQJ6U1MVXOaj8PK2l7WJ3RER9xtqwdhxkhw/edit?usp=sharing"",""อ่างทอง!J453"")"),0)</f>
        <v>0</v>
      </c>
      <c r="N75" s="62">
        <f ca="1">IFERROR(__xludf.DUMMYFUNCTION("IMPORTRANGE(""https://docs.google.com/spreadsheets/d/1SX6NBoVAgQJ6U1MVXOaj8PK2l7WJ3RER9xtqwdhxkhw/edit?usp=sharing"",""อ่างทอง!J454"")"),0)</f>
        <v>0</v>
      </c>
      <c r="O75" s="100">
        <f t="shared" si="5"/>
        <v>0</v>
      </c>
      <c r="P75" s="62">
        <v>0</v>
      </c>
      <c r="Q75" s="62">
        <f ca="1">IFERROR(__xludf.DUMMYFUNCTION("IMPORTRANGE(""https://docs.google.com/spreadsheets/d/1SX6NBoVAgQJ6U1MVXOaj8PK2l7WJ3RER9xtqwdhxkhw/edit?usp=sharing"",""อ่างทอง!J455"")"),0)</f>
        <v>0</v>
      </c>
      <c r="R75" s="62">
        <f ca="1">IFERROR(__xludf.DUMMYFUNCTION("IMPORTRANGE(""https://docs.google.com/spreadsheets/d/1SX6NBoVAgQJ6U1MVXOaj8PK2l7WJ3RER9xtqwdhxkhw/edit?usp=sharing"",""อ่างทอง!J456"")"),0)</f>
        <v>0</v>
      </c>
      <c r="S75" s="282">
        <f t="shared" si="7"/>
        <v>0</v>
      </c>
      <c r="T75" s="81"/>
      <c r="U75" s="81"/>
      <c r="V75" s="81"/>
      <c r="W75" s="81"/>
      <c r="X75" s="81"/>
      <c r="Y75" s="81"/>
      <c r="Z75" s="81"/>
    </row>
    <row r="76" spans="1:26" ht="24" customHeight="1" x14ac:dyDescent="0.5">
      <c r="A76" s="777" t="s">
        <v>91</v>
      </c>
      <c r="B76" s="571"/>
      <c r="C76" s="394">
        <f t="shared" ref="C76:F76" si="96">SUM(C77:C90)</f>
        <v>0</v>
      </c>
      <c r="D76" s="66">
        <f t="shared" si="96"/>
        <v>0</v>
      </c>
      <c r="E76" s="66">
        <f t="shared" si="96"/>
        <v>0</v>
      </c>
      <c r="F76" s="101">
        <f t="shared" ca="1" si="96"/>
        <v>0</v>
      </c>
      <c r="G76" s="101">
        <f t="shared" si="1"/>
        <v>0</v>
      </c>
      <c r="H76" s="66">
        <f t="shared" ref="H76:J76" si="97">SUM(H77:H90)</f>
        <v>0</v>
      </c>
      <c r="I76" s="66">
        <f t="shared" ca="1" si="97"/>
        <v>0</v>
      </c>
      <c r="J76" s="66">
        <f t="shared" ca="1" si="97"/>
        <v>0</v>
      </c>
      <c r="K76" s="101">
        <f t="shared" si="3"/>
        <v>0</v>
      </c>
      <c r="L76" s="66">
        <f t="shared" ref="L76:N76" si="98">SUM(L77:L90)</f>
        <v>0</v>
      </c>
      <c r="M76" s="66">
        <f t="shared" ca="1" si="98"/>
        <v>0</v>
      </c>
      <c r="N76" s="66">
        <f t="shared" ca="1" si="98"/>
        <v>0</v>
      </c>
      <c r="O76" s="101">
        <f t="shared" si="5"/>
        <v>0</v>
      </c>
      <c r="P76" s="66">
        <f t="shared" ref="P76:R76" si="99">SUM(P77:P90)</f>
        <v>0</v>
      </c>
      <c r="Q76" s="66">
        <f t="shared" ca="1" si="99"/>
        <v>0</v>
      </c>
      <c r="R76" s="66">
        <f t="shared" ca="1" si="99"/>
        <v>0</v>
      </c>
      <c r="S76" s="256">
        <f t="shared" si="7"/>
        <v>0</v>
      </c>
      <c r="T76" s="81"/>
      <c r="U76" s="81"/>
      <c r="V76" s="81"/>
      <c r="W76" s="81"/>
      <c r="X76" s="81"/>
      <c r="Y76" s="81"/>
      <c r="Z76" s="81"/>
    </row>
    <row r="77" spans="1:26" ht="24" customHeight="1" x14ac:dyDescent="0.5">
      <c r="A77" s="268">
        <v>1</v>
      </c>
      <c r="B77" s="269" t="s">
        <v>92</v>
      </c>
      <c r="C77" s="396">
        <f t="shared" ref="C77:C90" si="100">+D77+E77</f>
        <v>0</v>
      </c>
      <c r="D77" s="48">
        <v>0</v>
      </c>
      <c r="E77" s="48">
        <v>0</v>
      </c>
      <c r="F77" s="98">
        <f ca="1">IFERROR(__xludf.DUMMYFUNCTION("IMPORTRANGE(""https://docs.google.com/spreadsheets/d/1IYY_tgx_IHuhSq3AJ5eI5OnqOPBNLWSHKh2a30DoXe8/edit?usp=sharing"",""กระบี่!M446"")"),0)</f>
        <v>0</v>
      </c>
      <c r="G77" s="98">
        <f t="shared" si="1"/>
        <v>0</v>
      </c>
      <c r="H77" s="398">
        <v>0</v>
      </c>
      <c r="I77" s="48">
        <f t="shared" ref="I77:J77" ca="1" si="101">SUM(M77,Q77)</f>
        <v>0</v>
      </c>
      <c r="J77" s="48">
        <f t="shared" ca="1" si="101"/>
        <v>0</v>
      </c>
      <c r="K77" s="399">
        <f t="shared" si="3"/>
        <v>0</v>
      </c>
      <c r="L77" s="48">
        <v>0</v>
      </c>
      <c r="M77" s="48">
        <f ca="1">IFERROR(__xludf.DUMMYFUNCTION("IMPORTRANGE(""https://docs.google.com/spreadsheets/d/1IYY_tgx_IHuhSq3AJ5eI5OnqOPBNLWSHKh2a30DoXe8/edit?usp=sharing"",""กระบี่!J453"")"),0)</f>
        <v>0</v>
      </c>
      <c r="N77" s="48">
        <f ca="1">IFERROR(__xludf.DUMMYFUNCTION("IMPORTRANGE(""https://docs.google.com/spreadsheets/d/1IYY_tgx_IHuhSq3AJ5eI5OnqOPBNLWSHKh2a30DoXe8/edit?usp=sharing"",""กระบี่!J454"")"),0)</f>
        <v>0</v>
      </c>
      <c r="O77" s="98">
        <f t="shared" si="5"/>
        <v>0</v>
      </c>
      <c r="P77" s="48">
        <v>0</v>
      </c>
      <c r="Q77" s="48">
        <f ca="1">IFERROR(__xludf.DUMMYFUNCTION("IMPORTRANGE(""https://docs.google.com/spreadsheets/d/1IYY_tgx_IHuhSq3AJ5eI5OnqOPBNLWSHKh2a30DoXe8/edit?usp=sharing"",""กระบี่!J455"")"),0)</f>
        <v>0</v>
      </c>
      <c r="R77" s="48">
        <f ca="1">IFERROR(__xludf.DUMMYFUNCTION("IMPORTRANGE(""https://docs.google.com/spreadsheets/d/1IYY_tgx_IHuhSq3AJ5eI5OnqOPBNLWSHKh2a30DoXe8/edit?usp=sharing"",""กระบี่!J456"")"),0)</f>
        <v>0</v>
      </c>
      <c r="S77" s="272">
        <f t="shared" si="7"/>
        <v>0</v>
      </c>
      <c r="T77" s="81"/>
      <c r="U77" s="81"/>
      <c r="V77" s="81"/>
      <c r="W77" s="81"/>
      <c r="X77" s="81"/>
      <c r="Y77" s="81"/>
      <c r="Z77" s="81"/>
    </row>
    <row r="78" spans="1:26" ht="24" customHeight="1" x14ac:dyDescent="0.5">
      <c r="A78" s="273">
        <v>2</v>
      </c>
      <c r="B78" s="274" t="s">
        <v>93</v>
      </c>
      <c r="C78" s="400">
        <f t="shared" si="100"/>
        <v>0</v>
      </c>
      <c r="D78" s="55">
        <v>0</v>
      </c>
      <c r="E78" s="55">
        <v>0</v>
      </c>
      <c r="F78" s="99">
        <f ca="1">IFERROR(__xludf.DUMMYFUNCTION("IMPORTRANGE(""https://docs.google.com/spreadsheets/d/1IYY_tgx_IHuhSq3AJ5eI5OnqOPBNLWSHKh2a30DoXe8/edit?usp=sharing"",""ชุมพร!M446"")"),0)</f>
        <v>0</v>
      </c>
      <c r="G78" s="99">
        <f t="shared" si="1"/>
        <v>0</v>
      </c>
      <c r="H78" s="402">
        <v>0</v>
      </c>
      <c r="I78" s="55">
        <f t="shared" ref="I78:J78" ca="1" si="102">SUM(M78,Q78)</f>
        <v>0</v>
      </c>
      <c r="J78" s="55">
        <f t="shared" ca="1" si="102"/>
        <v>0</v>
      </c>
      <c r="K78" s="403">
        <f t="shared" si="3"/>
        <v>0</v>
      </c>
      <c r="L78" s="55">
        <v>0</v>
      </c>
      <c r="M78" s="55">
        <f ca="1">IFERROR(__xludf.DUMMYFUNCTION("IMPORTRANGE(""https://docs.google.com/spreadsheets/d/1IYY_tgx_IHuhSq3AJ5eI5OnqOPBNLWSHKh2a30DoXe8/edit?usp=sharing"",""ชุมพร!J453"")"),0)</f>
        <v>0</v>
      </c>
      <c r="N78" s="55">
        <f ca="1">IFERROR(__xludf.DUMMYFUNCTION("IMPORTRANGE(""https://docs.google.com/spreadsheets/d/1IYY_tgx_IHuhSq3AJ5eI5OnqOPBNLWSHKh2a30DoXe8/edit?usp=sharing"",""ชุมพร!J454"")"),0)</f>
        <v>0</v>
      </c>
      <c r="O78" s="99">
        <f t="shared" si="5"/>
        <v>0</v>
      </c>
      <c r="P78" s="55">
        <v>0</v>
      </c>
      <c r="Q78" s="55">
        <f ca="1">IFERROR(__xludf.DUMMYFUNCTION("IMPORTRANGE(""https://docs.google.com/spreadsheets/d/1IYY_tgx_IHuhSq3AJ5eI5OnqOPBNLWSHKh2a30DoXe8/edit?usp=sharing"",""ชุมพร!J455"")"),0)</f>
        <v>0</v>
      </c>
      <c r="R78" s="55">
        <f ca="1">IFERROR(__xludf.DUMMYFUNCTION("IMPORTRANGE(""https://docs.google.com/spreadsheets/d/1IYY_tgx_IHuhSq3AJ5eI5OnqOPBNLWSHKh2a30DoXe8/edit?usp=sharing"",""ชุมพร!J456"")"),0)</f>
        <v>0</v>
      </c>
      <c r="S78" s="277">
        <f t="shared" si="7"/>
        <v>0</v>
      </c>
      <c r="T78" s="81"/>
      <c r="U78" s="81"/>
      <c r="V78" s="81"/>
      <c r="W78" s="81"/>
      <c r="X78" s="81"/>
      <c r="Y78" s="81"/>
      <c r="Z78" s="81"/>
    </row>
    <row r="79" spans="1:26" ht="24" customHeight="1" x14ac:dyDescent="0.5">
      <c r="A79" s="273">
        <v>3</v>
      </c>
      <c r="B79" s="274" t="s">
        <v>94</v>
      </c>
      <c r="C79" s="400">
        <f t="shared" si="100"/>
        <v>0</v>
      </c>
      <c r="D79" s="55">
        <v>0</v>
      </c>
      <c r="E79" s="55">
        <v>0</v>
      </c>
      <c r="F79" s="99">
        <f ca="1">IFERROR(__xludf.DUMMYFUNCTION("IMPORTRANGE(""https://docs.google.com/spreadsheets/d/1IYY_tgx_IHuhSq3AJ5eI5OnqOPBNLWSHKh2a30DoXe8/edit?usp=sharing"",""ตรัง!M446"")"),0)</f>
        <v>0</v>
      </c>
      <c r="G79" s="99">
        <f t="shared" si="1"/>
        <v>0</v>
      </c>
      <c r="H79" s="402">
        <v>0</v>
      </c>
      <c r="I79" s="55">
        <f t="shared" ref="I79:J79" ca="1" si="103">SUM(M79,Q79)</f>
        <v>0</v>
      </c>
      <c r="J79" s="55">
        <f t="shared" ca="1" si="103"/>
        <v>0</v>
      </c>
      <c r="K79" s="403">
        <f t="shared" si="3"/>
        <v>0</v>
      </c>
      <c r="L79" s="55">
        <v>0</v>
      </c>
      <c r="M79" s="55">
        <f ca="1">IFERROR(__xludf.DUMMYFUNCTION("IMPORTRANGE(""https://docs.google.com/spreadsheets/d/1IYY_tgx_IHuhSq3AJ5eI5OnqOPBNLWSHKh2a30DoXe8/edit?usp=sharing"",""ตรัง!J453"")"),0)</f>
        <v>0</v>
      </c>
      <c r="N79" s="55">
        <f ca="1">IFERROR(__xludf.DUMMYFUNCTION("IMPORTRANGE(""https://docs.google.com/spreadsheets/d/1IYY_tgx_IHuhSq3AJ5eI5OnqOPBNLWSHKh2a30DoXe8/edit?usp=sharing"",""ตรัง!J454"")"),0)</f>
        <v>0</v>
      </c>
      <c r="O79" s="99">
        <f t="shared" si="5"/>
        <v>0</v>
      </c>
      <c r="P79" s="55">
        <v>0</v>
      </c>
      <c r="Q79" s="55">
        <f ca="1">IFERROR(__xludf.DUMMYFUNCTION("IMPORTRANGE(""https://docs.google.com/spreadsheets/d/1IYY_tgx_IHuhSq3AJ5eI5OnqOPBNLWSHKh2a30DoXe8/edit?usp=sharing"",""ตรัง!J455"")"),0)</f>
        <v>0</v>
      </c>
      <c r="R79" s="55">
        <f ca="1">IFERROR(__xludf.DUMMYFUNCTION("IMPORTRANGE(""https://docs.google.com/spreadsheets/d/1IYY_tgx_IHuhSq3AJ5eI5OnqOPBNLWSHKh2a30DoXe8/edit?usp=sharing"",""ตรัง!J456"")"),0)</f>
        <v>0</v>
      </c>
      <c r="S79" s="277">
        <f t="shared" si="7"/>
        <v>0</v>
      </c>
      <c r="T79" s="81"/>
      <c r="U79" s="81"/>
      <c r="V79" s="81"/>
      <c r="W79" s="81"/>
      <c r="X79" s="81"/>
      <c r="Y79" s="81"/>
      <c r="Z79" s="81"/>
    </row>
    <row r="80" spans="1:26" ht="24" customHeight="1" x14ac:dyDescent="0.5">
      <c r="A80" s="273">
        <v>4</v>
      </c>
      <c r="B80" s="274" t="s">
        <v>95</v>
      </c>
      <c r="C80" s="400">
        <f t="shared" si="100"/>
        <v>0</v>
      </c>
      <c r="D80" s="55">
        <v>0</v>
      </c>
      <c r="E80" s="55">
        <v>0</v>
      </c>
      <c r="F80" s="99">
        <f ca="1">IFERROR(__xludf.DUMMYFUNCTION("IMPORTRANGE(""https://docs.google.com/spreadsheets/d/1IYY_tgx_IHuhSq3AJ5eI5OnqOPBNLWSHKh2a30DoXe8/edit?usp=sharing"",""นครศรีธรรมราช!M446"")"),0)</f>
        <v>0</v>
      </c>
      <c r="G80" s="99">
        <f t="shared" si="1"/>
        <v>0</v>
      </c>
      <c r="H80" s="402">
        <v>0</v>
      </c>
      <c r="I80" s="55">
        <f t="shared" ref="I80:J80" ca="1" si="104">SUM(M80,Q80)</f>
        <v>0</v>
      </c>
      <c r="J80" s="55">
        <f t="shared" ca="1" si="104"/>
        <v>0</v>
      </c>
      <c r="K80" s="403">
        <f t="shared" si="3"/>
        <v>0</v>
      </c>
      <c r="L80" s="55">
        <v>0</v>
      </c>
      <c r="M80" s="55">
        <f ca="1">IFERROR(__xludf.DUMMYFUNCTION("IMPORTRANGE(""https://docs.google.com/spreadsheets/d/1IYY_tgx_IHuhSq3AJ5eI5OnqOPBNLWSHKh2a30DoXe8/edit?usp=sharing"",""นครศรีธรรมราช!J453"")"),0)</f>
        <v>0</v>
      </c>
      <c r="N80" s="55">
        <f ca="1">IFERROR(__xludf.DUMMYFUNCTION("IMPORTRANGE(""https://docs.google.com/spreadsheets/d/1IYY_tgx_IHuhSq3AJ5eI5OnqOPBNLWSHKh2a30DoXe8/edit?usp=sharing"",""นครศรีธรรมราช!J454"")"),0)</f>
        <v>0</v>
      </c>
      <c r="O80" s="99">
        <f t="shared" si="5"/>
        <v>0</v>
      </c>
      <c r="P80" s="55">
        <v>0</v>
      </c>
      <c r="Q80" s="55">
        <f ca="1">IFERROR(__xludf.DUMMYFUNCTION("IMPORTRANGE(""https://docs.google.com/spreadsheets/d/1IYY_tgx_IHuhSq3AJ5eI5OnqOPBNLWSHKh2a30DoXe8/edit?usp=sharing"",""นครศรีธรรมราช!J455"")"),0)</f>
        <v>0</v>
      </c>
      <c r="R80" s="55">
        <f ca="1">IFERROR(__xludf.DUMMYFUNCTION("IMPORTRANGE(""https://docs.google.com/spreadsheets/d/1IYY_tgx_IHuhSq3AJ5eI5OnqOPBNLWSHKh2a30DoXe8/edit?usp=sharing"",""นครศรีธรรมราช!J456"")"),0)</f>
        <v>0</v>
      </c>
      <c r="S80" s="277">
        <f t="shared" si="7"/>
        <v>0</v>
      </c>
      <c r="T80" s="81"/>
      <c r="U80" s="81"/>
      <c r="V80" s="81"/>
      <c r="W80" s="81"/>
      <c r="X80" s="81"/>
      <c r="Y80" s="81"/>
      <c r="Z80" s="81"/>
    </row>
    <row r="81" spans="1:26" ht="24" customHeight="1" x14ac:dyDescent="0.5">
      <c r="A81" s="273">
        <v>5</v>
      </c>
      <c r="B81" s="274" t="s">
        <v>96</v>
      </c>
      <c r="C81" s="400">
        <f t="shared" si="100"/>
        <v>0</v>
      </c>
      <c r="D81" s="55">
        <v>0</v>
      </c>
      <c r="E81" s="55">
        <v>0</v>
      </c>
      <c r="F81" s="99">
        <f ca="1">IFERROR(__xludf.DUMMYFUNCTION("IMPORTRANGE(""https://docs.google.com/spreadsheets/d/1IYY_tgx_IHuhSq3AJ5eI5OnqOPBNLWSHKh2a30DoXe8/edit?usp=sharing"",""นราธิวาส!M446"")"),0)</f>
        <v>0</v>
      </c>
      <c r="G81" s="99">
        <f t="shared" si="1"/>
        <v>0</v>
      </c>
      <c r="H81" s="402">
        <v>0</v>
      </c>
      <c r="I81" s="55">
        <f t="shared" ref="I81:J81" ca="1" si="105">SUM(M81,Q81)</f>
        <v>0</v>
      </c>
      <c r="J81" s="55">
        <f t="shared" ca="1" si="105"/>
        <v>0</v>
      </c>
      <c r="K81" s="403">
        <f t="shared" si="3"/>
        <v>0</v>
      </c>
      <c r="L81" s="55">
        <v>0</v>
      </c>
      <c r="M81" s="55">
        <f ca="1">IFERROR(__xludf.DUMMYFUNCTION("IMPORTRANGE(""https://docs.google.com/spreadsheets/d/1IYY_tgx_IHuhSq3AJ5eI5OnqOPBNLWSHKh2a30DoXe8/edit?usp=sharing"",""นราธิวาส!J453"")"),0)</f>
        <v>0</v>
      </c>
      <c r="N81" s="55">
        <f ca="1">IFERROR(__xludf.DUMMYFUNCTION("IMPORTRANGE(""https://docs.google.com/spreadsheets/d/1IYY_tgx_IHuhSq3AJ5eI5OnqOPBNLWSHKh2a30DoXe8/edit?usp=sharing"",""นราธิวาส!J454"")"),0)</f>
        <v>0</v>
      </c>
      <c r="O81" s="99">
        <f t="shared" si="5"/>
        <v>0</v>
      </c>
      <c r="P81" s="55">
        <v>0</v>
      </c>
      <c r="Q81" s="55">
        <f ca="1">IFERROR(__xludf.DUMMYFUNCTION("IMPORTRANGE(""https://docs.google.com/spreadsheets/d/1IYY_tgx_IHuhSq3AJ5eI5OnqOPBNLWSHKh2a30DoXe8/edit?usp=sharing"",""นราธิวาส!J455"")"),0)</f>
        <v>0</v>
      </c>
      <c r="R81" s="55">
        <f ca="1">IFERROR(__xludf.DUMMYFUNCTION("IMPORTRANGE(""https://docs.google.com/spreadsheets/d/1IYY_tgx_IHuhSq3AJ5eI5OnqOPBNLWSHKh2a30DoXe8/edit?usp=sharing"",""นราธิวาส!J456"")"),0)</f>
        <v>0</v>
      </c>
      <c r="S81" s="277">
        <f t="shared" si="7"/>
        <v>0</v>
      </c>
      <c r="T81" s="81"/>
      <c r="U81" s="81"/>
      <c r="V81" s="81"/>
      <c r="W81" s="81"/>
      <c r="X81" s="81"/>
      <c r="Y81" s="81"/>
      <c r="Z81" s="81"/>
    </row>
    <row r="82" spans="1:26" ht="24" customHeight="1" x14ac:dyDescent="0.5">
      <c r="A82" s="273">
        <v>6</v>
      </c>
      <c r="B82" s="274" t="s">
        <v>97</v>
      </c>
      <c r="C82" s="400">
        <f t="shared" si="100"/>
        <v>0</v>
      </c>
      <c r="D82" s="55">
        <v>0</v>
      </c>
      <c r="E82" s="55">
        <v>0</v>
      </c>
      <c r="F82" s="99">
        <f ca="1">IFERROR(__xludf.DUMMYFUNCTION("IMPORTRANGE(""https://docs.google.com/spreadsheets/d/1IYY_tgx_IHuhSq3AJ5eI5OnqOPBNLWSHKh2a30DoXe8/edit?usp=sharing"",""ปัตตานี!M446"")"),0)</f>
        <v>0</v>
      </c>
      <c r="G82" s="99">
        <f t="shared" si="1"/>
        <v>0</v>
      </c>
      <c r="H82" s="402">
        <v>0</v>
      </c>
      <c r="I82" s="55">
        <f t="shared" ref="I82:J82" ca="1" si="106">SUM(M82,Q82)</f>
        <v>0</v>
      </c>
      <c r="J82" s="55">
        <f t="shared" ca="1" si="106"/>
        <v>0</v>
      </c>
      <c r="K82" s="403">
        <f t="shared" si="3"/>
        <v>0</v>
      </c>
      <c r="L82" s="55">
        <v>0</v>
      </c>
      <c r="M82" s="55">
        <f ca="1">IFERROR(__xludf.DUMMYFUNCTION("IMPORTRANGE(""https://docs.google.com/spreadsheets/d/1IYY_tgx_IHuhSq3AJ5eI5OnqOPBNLWSHKh2a30DoXe8/edit?usp=sharing"",""ปัตตานี!J453"")"),0)</f>
        <v>0</v>
      </c>
      <c r="N82" s="55">
        <f ca="1">IFERROR(__xludf.DUMMYFUNCTION("IMPORTRANGE(""https://docs.google.com/spreadsheets/d/1IYY_tgx_IHuhSq3AJ5eI5OnqOPBNLWSHKh2a30DoXe8/edit?usp=sharing"",""ปัตตานี!J454"")"),0)</f>
        <v>0</v>
      </c>
      <c r="O82" s="99">
        <f t="shared" si="5"/>
        <v>0</v>
      </c>
      <c r="P82" s="55">
        <v>0</v>
      </c>
      <c r="Q82" s="55">
        <f ca="1">IFERROR(__xludf.DUMMYFUNCTION("IMPORTRANGE(""https://docs.google.com/spreadsheets/d/1IYY_tgx_IHuhSq3AJ5eI5OnqOPBNLWSHKh2a30DoXe8/edit?usp=sharing"",""ปัตตานี!J455"")"),0)</f>
        <v>0</v>
      </c>
      <c r="R82" s="55">
        <f ca="1">IFERROR(__xludf.DUMMYFUNCTION("IMPORTRANGE(""https://docs.google.com/spreadsheets/d/1IYY_tgx_IHuhSq3AJ5eI5OnqOPBNLWSHKh2a30DoXe8/edit?usp=sharing"",""ปัตตานี!J456"")"),0)</f>
        <v>0</v>
      </c>
      <c r="S82" s="277">
        <f t="shared" si="7"/>
        <v>0</v>
      </c>
      <c r="T82" s="81"/>
      <c r="U82" s="81"/>
      <c r="V82" s="81"/>
      <c r="W82" s="81"/>
      <c r="X82" s="81"/>
      <c r="Y82" s="81"/>
      <c r="Z82" s="81"/>
    </row>
    <row r="83" spans="1:26" ht="24" customHeight="1" x14ac:dyDescent="0.5">
      <c r="A83" s="273">
        <v>7</v>
      </c>
      <c r="B83" s="274" t="s">
        <v>98</v>
      </c>
      <c r="C83" s="400">
        <f t="shared" si="100"/>
        <v>0</v>
      </c>
      <c r="D83" s="55">
        <v>0</v>
      </c>
      <c r="E83" s="55">
        <v>0</v>
      </c>
      <c r="F83" s="99">
        <f ca="1">IFERROR(__xludf.DUMMYFUNCTION("IMPORTRANGE(""https://docs.google.com/spreadsheets/d/1IYY_tgx_IHuhSq3AJ5eI5OnqOPBNLWSHKh2a30DoXe8/edit?usp=sharing"",""พังงา!M446"")"),0)</f>
        <v>0</v>
      </c>
      <c r="G83" s="99">
        <f t="shared" si="1"/>
        <v>0</v>
      </c>
      <c r="H83" s="402">
        <v>0</v>
      </c>
      <c r="I83" s="55">
        <f t="shared" ref="I83:J83" ca="1" si="107">SUM(M83,Q83)</f>
        <v>0</v>
      </c>
      <c r="J83" s="55">
        <f t="shared" ca="1" si="107"/>
        <v>0</v>
      </c>
      <c r="K83" s="403">
        <f t="shared" si="3"/>
        <v>0</v>
      </c>
      <c r="L83" s="55">
        <v>0</v>
      </c>
      <c r="M83" s="55">
        <f ca="1">IFERROR(__xludf.DUMMYFUNCTION("IMPORTRANGE(""https://docs.google.com/spreadsheets/d/1IYY_tgx_IHuhSq3AJ5eI5OnqOPBNLWSHKh2a30DoXe8/edit?usp=sharing"",""พังงา!J453"")"),0)</f>
        <v>0</v>
      </c>
      <c r="N83" s="55">
        <f ca="1">IFERROR(__xludf.DUMMYFUNCTION("IMPORTRANGE(""https://docs.google.com/spreadsheets/d/1IYY_tgx_IHuhSq3AJ5eI5OnqOPBNLWSHKh2a30DoXe8/edit?usp=sharing"",""พังงา!J454"")"),0)</f>
        <v>0</v>
      </c>
      <c r="O83" s="99">
        <f t="shared" si="5"/>
        <v>0</v>
      </c>
      <c r="P83" s="55">
        <v>0</v>
      </c>
      <c r="Q83" s="55">
        <f ca="1">IFERROR(__xludf.DUMMYFUNCTION("IMPORTRANGE(""https://docs.google.com/spreadsheets/d/1IYY_tgx_IHuhSq3AJ5eI5OnqOPBNLWSHKh2a30DoXe8/edit?usp=sharing"",""พังงา!J455"")"),0)</f>
        <v>0</v>
      </c>
      <c r="R83" s="55">
        <f ca="1">IFERROR(__xludf.DUMMYFUNCTION("IMPORTRANGE(""https://docs.google.com/spreadsheets/d/1IYY_tgx_IHuhSq3AJ5eI5OnqOPBNLWSHKh2a30DoXe8/edit?usp=sharing"",""พังงา!J456"")"),0)</f>
        <v>0</v>
      </c>
      <c r="S83" s="277">
        <f t="shared" si="7"/>
        <v>0</v>
      </c>
      <c r="T83" s="81"/>
      <c r="U83" s="81"/>
      <c r="V83" s="81"/>
      <c r="W83" s="81"/>
      <c r="X83" s="81"/>
      <c r="Y83" s="81"/>
      <c r="Z83" s="81"/>
    </row>
    <row r="84" spans="1:26" ht="24" customHeight="1" x14ac:dyDescent="0.5">
      <c r="A84" s="273">
        <v>8</v>
      </c>
      <c r="B84" s="274" t="s">
        <v>99</v>
      </c>
      <c r="C84" s="400">
        <f t="shared" si="100"/>
        <v>0</v>
      </c>
      <c r="D84" s="55">
        <v>0</v>
      </c>
      <c r="E84" s="55">
        <v>0</v>
      </c>
      <c r="F84" s="99">
        <f ca="1">IFERROR(__xludf.DUMMYFUNCTION("IMPORTRANGE(""https://docs.google.com/spreadsheets/d/1IYY_tgx_IHuhSq3AJ5eI5OnqOPBNLWSHKh2a30DoXe8/edit?usp=sharing"",""พัทลุง!M446"")"),0)</f>
        <v>0</v>
      </c>
      <c r="G84" s="99">
        <f t="shared" si="1"/>
        <v>0</v>
      </c>
      <c r="H84" s="402">
        <v>0</v>
      </c>
      <c r="I84" s="55">
        <f t="shared" ref="I84:J84" ca="1" si="108">SUM(M84,Q84)</f>
        <v>0</v>
      </c>
      <c r="J84" s="55">
        <f t="shared" ca="1" si="108"/>
        <v>0</v>
      </c>
      <c r="K84" s="403">
        <f t="shared" si="3"/>
        <v>0</v>
      </c>
      <c r="L84" s="55">
        <v>0</v>
      </c>
      <c r="M84" s="55">
        <f ca="1">IFERROR(__xludf.DUMMYFUNCTION("IMPORTRANGE(""https://docs.google.com/spreadsheets/d/1IYY_tgx_IHuhSq3AJ5eI5OnqOPBNLWSHKh2a30DoXe8/edit?usp=sharing"",""พัทลุง!J453"")"),0)</f>
        <v>0</v>
      </c>
      <c r="N84" s="55">
        <f ca="1">IFERROR(__xludf.DUMMYFUNCTION("IMPORTRANGE(""https://docs.google.com/spreadsheets/d/1IYY_tgx_IHuhSq3AJ5eI5OnqOPBNLWSHKh2a30DoXe8/edit?usp=sharing"",""พัทลุง!J454"")"),0)</f>
        <v>0</v>
      </c>
      <c r="O84" s="99">
        <f t="shared" si="5"/>
        <v>0</v>
      </c>
      <c r="P84" s="55">
        <v>0</v>
      </c>
      <c r="Q84" s="55">
        <f ca="1">IFERROR(__xludf.DUMMYFUNCTION("IMPORTRANGE(""https://docs.google.com/spreadsheets/d/1IYY_tgx_IHuhSq3AJ5eI5OnqOPBNLWSHKh2a30DoXe8/edit?usp=sharing"",""พัทลุง!J455"")"),0)</f>
        <v>0</v>
      </c>
      <c r="R84" s="55">
        <f ca="1">IFERROR(__xludf.DUMMYFUNCTION("IMPORTRANGE(""https://docs.google.com/spreadsheets/d/1IYY_tgx_IHuhSq3AJ5eI5OnqOPBNLWSHKh2a30DoXe8/edit?usp=sharing"",""พัทลุง!J456"")"),0)</f>
        <v>0</v>
      </c>
      <c r="S84" s="277">
        <f t="shared" si="7"/>
        <v>0</v>
      </c>
      <c r="T84" s="81"/>
      <c r="U84" s="81"/>
      <c r="V84" s="81"/>
      <c r="W84" s="81"/>
      <c r="X84" s="81"/>
      <c r="Y84" s="81"/>
      <c r="Z84" s="81"/>
    </row>
    <row r="85" spans="1:26" ht="24" customHeight="1" x14ac:dyDescent="0.5">
      <c r="A85" s="273">
        <v>9</v>
      </c>
      <c r="B85" s="274" t="s">
        <v>100</v>
      </c>
      <c r="C85" s="400">
        <f t="shared" si="100"/>
        <v>0</v>
      </c>
      <c r="D85" s="55">
        <v>0</v>
      </c>
      <c r="E85" s="55">
        <v>0</v>
      </c>
      <c r="F85" s="99">
        <f ca="1">IFERROR(__xludf.DUMMYFUNCTION("IMPORTRANGE(""https://docs.google.com/spreadsheets/d/1IYY_tgx_IHuhSq3AJ5eI5OnqOPBNLWSHKh2a30DoXe8/edit?usp=sharing"",""ภูเก็ต!M446"")"),0)</f>
        <v>0</v>
      </c>
      <c r="G85" s="99">
        <f t="shared" si="1"/>
        <v>0</v>
      </c>
      <c r="H85" s="402">
        <v>0</v>
      </c>
      <c r="I85" s="55">
        <f t="shared" ref="I85:J85" ca="1" si="109">SUM(M85,Q85)</f>
        <v>0</v>
      </c>
      <c r="J85" s="55">
        <f t="shared" ca="1" si="109"/>
        <v>0</v>
      </c>
      <c r="K85" s="403">
        <f t="shared" si="3"/>
        <v>0</v>
      </c>
      <c r="L85" s="55">
        <v>0</v>
      </c>
      <c r="M85" s="55">
        <f ca="1">IFERROR(__xludf.DUMMYFUNCTION("IMPORTRANGE(""https://docs.google.com/spreadsheets/d/1IYY_tgx_IHuhSq3AJ5eI5OnqOPBNLWSHKh2a30DoXe8/edit?usp=sharing"",""ภูเก็ต!J453"")"),0)</f>
        <v>0</v>
      </c>
      <c r="N85" s="55">
        <f ca="1">IFERROR(__xludf.DUMMYFUNCTION("IMPORTRANGE(""https://docs.google.com/spreadsheets/d/1IYY_tgx_IHuhSq3AJ5eI5OnqOPBNLWSHKh2a30DoXe8/edit?usp=sharing"",""ภูเก็ต!J454"")"),0)</f>
        <v>0</v>
      </c>
      <c r="O85" s="99">
        <f t="shared" si="5"/>
        <v>0</v>
      </c>
      <c r="P85" s="55">
        <v>0</v>
      </c>
      <c r="Q85" s="55">
        <f ca="1">IFERROR(__xludf.DUMMYFUNCTION("IMPORTRANGE(""https://docs.google.com/spreadsheets/d/1IYY_tgx_IHuhSq3AJ5eI5OnqOPBNLWSHKh2a30DoXe8/edit?usp=sharing"",""ภูเก็ต!J455"")"),0)</f>
        <v>0</v>
      </c>
      <c r="R85" s="55">
        <f ca="1">IFERROR(__xludf.DUMMYFUNCTION("IMPORTRANGE(""https://docs.google.com/spreadsheets/d/1IYY_tgx_IHuhSq3AJ5eI5OnqOPBNLWSHKh2a30DoXe8/edit?usp=sharing"",""ภูเก็ต!J456"")"),0)</f>
        <v>0</v>
      </c>
      <c r="S85" s="277">
        <f t="shared" si="7"/>
        <v>0</v>
      </c>
      <c r="T85" s="81"/>
      <c r="U85" s="81"/>
      <c r="V85" s="81"/>
      <c r="W85" s="81"/>
      <c r="X85" s="81"/>
      <c r="Y85" s="81"/>
      <c r="Z85" s="81"/>
    </row>
    <row r="86" spans="1:26" ht="24" customHeight="1" x14ac:dyDescent="0.5">
      <c r="A86" s="273">
        <v>10</v>
      </c>
      <c r="B86" s="274" t="s">
        <v>101</v>
      </c>
      <c r="C86" s="400">
        <f t="shared" si="100"/>
        <v>0</v>
      </c>
      <c r="D86" s="55">
        <v>0</v>
      </c>
      <c r="E86" s="55">
        <v>0</v>
      </c>
      <c r="F86" s="99">
        <f ca="1">IFERROR(__xludf.DUMMYFUNCTION("IMPORTRANGE(""https://docs.google.com/spreadsheets/d/1IYY_tgx_IHuhSq3AJ5eI5OnqOPBNLWSHKh2a30DoXe8/edit?usp=sharing"",""ยะลา!M446"")"),0)</f>
        <v>0</v>
      </c>
      <c r="G86" s="99">
        <f t="shared" si="1"/>
        <v>0</v>
      </c>
      <c r="H86" s="402">
        <v>0</v>
      </c>
      <c r="I86" s="55">
        <f t="shared" ref="I86:J86" ca="1" si="110">SUM(M86,Q86)</f>
        <v>0</v>
      </c>
      <c r="J86" s="55">
        <f t="shared" ca="1" si="110"/>
        <v>0</v>
      </c>
      <c r="K86" s="403">
        <f t="shared" si="3"/>
        <v>0</v>
      </c>
      <c r="L86" s="55">
        <v>0</v>
      </c>
      <c r="M86" s="55">
        <f ca="1">IFERROR(__xludf.DUMMYFUNCTION("IMPORTRANGE(""https://docs.google.com/spreadsheets/d/1IYY_tgx_IHuhSq3AJ5eI5OnqOPBNLWSHKh2a30DoXe8/edit?usp=sharing"",""ยะลา!J453"")"),0)</f>
        <v>0</v>
      </c>
      <c r="N86" s="55">
        <f ca="1">IFERROR(__xludf.DUMMYFUNCTION("IMPORTRANGE(""https://docs.google.com/spreadsheets/d/1IYY_tgx_IHuhSq3AJ5eI5OnqOPBNLWSHKh2a30DoXe8/edit?usp=sharing"",""ยะลา!J454"")"),0)</f>
        <v>0</v>
      </c>
      <c r="O86" s="99">
        <f t="shared" si="5"/>
        <v>0</v>
      </c>
      <c r="P86" s="55">
        <v>0</v>
      </c>
      <c r="Q86" s="55">
        <f ca="1">IFERROR(__xludf.DUMMYFUNCTION("IMPORTRANGE(""https://docs.google.com/spreadsheets/d/1IYY_tgx_IHuhSq3AJ5eI5OnqOPBNLWSHKh2a30DoXe8/edit?usp=sharing"",""ยะลา!J455"")"),0)</f>
        <v>0</v>
      </c>
      <c r="R86" s="55">
        <f ca="1">IFERROR(__xludf.DUMMYFUNCTION("IMPORTRANGE(""https://docs.google.com/spreadsheets/d/1IYY_tgx_IHuhSq3AJ5eI5OnqOPBNLWSHKh2a30DoXe8/edit?usp=sharing"",""ยะลา!J456"")"),0)</f>
        <v>0</v>
      </c>
      <c r="S86" s="277">
        <f t="shared" si="7"/>
        <v>0</v>
      </c>
      <c r="T86" s="81"/>
      <c r="U86" s="81"/>
      <c r="V86" s="81"/>
      <c r="W86" s="81"/>
      <c r="X86" s="81"/>
      <c r="Y86" s="81"/>
      <c r="Z86" s="81"/>
    </row>
    <row r="87" spans="1:26" ht="24" customHeight="1" x14ac:dyDescent="0.5">
      <c r="A87" s="273">
        <v>11</v>
      </c>
      <c r="B87" s="274" t="s">
        <v>102</v>
      </c>
      <c r="C87" s="400">
        <f t="shared" si="100"/>
        <v>0</v>
      </c>
      <c r="D87" s="55">
        <v>0</v>
      </c>
      <c r="E87" s="55">
        <v>0</v>
      </c>
      <c r="F87" s="99">
        <f ca="1">IFERROR(__xludf.DUMMYFUNCTION("IMPORTRANGE(""https://docs.google.com/spreadsheets/d/1IYY_tgx_IHuhSq3AJ5eI5OnqOPBNLWSHKh2a30DoXe8/edit?usp=sharing"",""ระนอง!M446"")"),0)</f>
        <v>0</v>
      </c>
      <c r="G87" s="99">
        <f t="shared" si="1"/>
        <v>0</v>
      </c>
      <c r="H87" s="402">
        <v>0</v>
      </c>
      <c r="I87" s="55">
        <f t="shared" ref="I87:J87" ca="1" si="111">SUM(M87,Q87)</f>
        <v>0</v>
      </c>
      <c r="J87" s="55">
        <f t="shared" ca="1" si="111"/>
        <v>0</v>
      </c>
      <c r="K87" s="403">
        <f t="shared" si="3"/>
        <v>0</v>
      </c>
      <c r="L87" s="55">
        <v>0</v>
      </c>
      <c r="M87" s="55">
        <f ca="1">IFERROR(__xludf.DUMMYFUNCTION("IMPORTRANGE(""https://docs.google.com/spreadsheets/d/1IYY_tgx_IHuhSq3AJ5eI5OnqOPBNLWSHKh2a30DoXe8/edit?usp=sharing"",""ระนอง!J453"")"),0)</f>
        <v>0</v>
      </c>
      <c r="N87" s="55">
        <f ca="1">IFERROR(__xludf.DUMMYFUNCTION("IMPORTRANGE(""https://docs.google.com/spreadsheets/d/1IYY_tgx_IHuhSq3AJ5eI5OnqOPBNLWSHKh2a30DoXe8/edit?usp=sharing"",""ระนอง!J454"")"),0)</f>
        <v>0</v>
      </c>
      <c r="O87" s="99">
        <f t="shared" si="5"/>
        <v>0</v>
      </c>
      <c r="P87" s="55">
        <v>0</v>
      </c>
      <c r="Q87" s="55">
        <f ca="1">IFERROR(__xludf.DUMMYFUNCTION("IMPORTRANGE(""https://docs.google.com/spreadsheets/d/1IYY_tgx_IHuhSq3AJ5eI5OnqOPBNLWSHKh2a30DoXe8/edit?usp=sharing"",""ระนอง!J455"")"),0)</f>
        <v>0</v>
      </c>
      <c r="R87" s="55">
        <f ca="1">IFERROR(__xludf.DUMMYFUNCTION("IMPORTRANGE(""https://docs.google.com/spreadsheets/d/1IYY_tgx_IHuhSq3AJ5eI5OnqOPBNLWSHKh2a30DoXe8/edit?usp=sharing"",""ระนอง!J456"")"),0)</f>
        <v>0</v>
      </c>
      <c r="S87" s="277">
        <f t="shared" si="7"/>
        <v>0</v>
      </c>
      <c r="T87" s="81"/>
      <c r="U87" s="81"/>
      <c r="V87" s="81"/>
      <c r="W87" s="81"/>
      <c r="X87" s="81"/>
      <c r="Y87" s="81"/>
      <c r="Z87" s="81"/>
    </row>
    <row r="88" spans="1:26" ht="24" customHeight="1" x14ac:dyDescent="0.5">
      <c r="A88" s="273">
        <v>12</v>
      </c>
      <c r="B88" s="274" t="s">
        <v>103</v>
      </c>
      <c r="C88" s="400">
        <f t="shared" si="100"/>
        <v>0</v>
      </c>
      <c r="D88" s="55">
        <v>0</v>
      </c>
      <c r="E88" s="55">
        <v>0</v>
      </c>
      <c r="F88" s="99">
        <f ca="1">IFERROR(__xludf.DUMMYFUNCTION("IMPORTRANGE(""https://docs.google.com/spreadsheets/d/1IYY_tgx_IHuhSq3AJ5eI5OnqOPBNLWSHKh2a30DoXe8/edit?usp=sharing"",""สงขลา!M446"")"),0)</f>
        <v>0</v>
      </c>
      <c r="G88" s="99">
        <f t="shared" si="1"/>
        <v>0</v>
      </c>
      <c r="H88" s="402">
        <v>0</v>
      </c>
      <c r="I88" s="55">
        <f t="shared" ref="I88:J88" ca="1" si="112">SUM(M88,Q88)</f>
        <v>0</v>
      </c>
      <c r="J88" s="55">
        <f t="shared" ca="1" si="112"/>
        <v>0</v>
      </c>
      <c r="K88" s="403">
        <f t="shared" si="3"/>
        <v>0</v>
      </c>
      <c r="L88" s="55">
        <v>0</v>
      </c>
      <c r="M88" s="55">
        <f ca="1">IFERROR(__xludf.DUMMYFUNCTION("IMPORTRANGE(""https://docs.google.com/spreadsheets/d/1IYY_tgx_IHuhSq3AJ5eI5OnqOPBNLWSHKh2a30DoXe8/edit?usp=sharing"",""สงขลา!J453"")"),0)</f>
        <v>0</v>
      </c>
      <c r="N88" s="55">
        <f ca="1">IFERROR(__xludf.DUMMYFUNCTION("IMPORTRANGE(""https://docs.google.com/spreadsheets/d/1IYY_tgx_IHuhSq3AJ5eI5OnqOPBNLWSHKh2a30DoXe8/edit?usp=sharing"",""สงขลา!J454"")"),0)</f>
        <v>0</v>
      </c>
      <c r="O88" s="99">
        <f t="shared" si="5"/>
        <v>0</v>
      </c>
      <c r="P88" s="55">
        <v>0</v>
      </c>
      <c r="Q88" s="55">
        <f ca="1">IFERROR(__xludf.DUMMYFUNCTION("IMPORTRANGE(""https://docs.google.com/spreadsheets/d/1IYY_tgx_IHuhSq3AJ5eI5OnqOPBNLWSHKh2a30DoXe8/edit?usp=sharing"",""สงขลา!J455"")"),0)</f>
        <v>0</v>
      </c>
      <c r="R88" s="55">
        <f ca="1">IFERROR(__xludf.DUMMYFUNCTION("IMPORTRANGE(""https://docs.google.com/spreadsheets/d/1IYY_tgx_IHuhSq3AJ5eI5OnqOPBNLWSHKh2a30DoXe8/edit?usp=sharing"",""สงขลา!J456"")"),0)</f>
        <v>0</v>
      </c>
      <c r="S88" s="277">
        <f t="shared" si="7"/>
        <v>0</v>
      </c>
      <c r="T88" s="81"/>
      <c r="U88" s="81"/>
      <c r="V88" s="81"/>
      <c r="W88" s="81"/>
      <c r="X88" s="81"/>
      <c r="Y88" s="81"/>
      <c r="Z88" s="81"/>
    </row>
    <row r="89" spans="1:26" ht="24" customHeight="1" x14ac:dyDescent="0.5">
      <c r="A89" s="273">
        <v>13</v>
      </c>
      <c r="B89" s="274" t="s">
        <v>104</v>
      </c>
      <c r="C89" s="400">
        <f t="shared" si="100"/>
        <v>0</v>
      </c>
      <c r="D89" s="55">
        <v>0</v>
      </c>
      <c r="E89" s="55">
        <v>0</v>
      </c>
      <c r="F89" s="99">
        <f ca="1">IFERROR(__xludf.DUMMYFUNCTION("IMPORTRANGE(""https://docs.google.com/spreadsheets/d/1IYY_tgx_IHuhSq3AJ5eI5OnqOPBNLWSHKh2a30DoXe8/edit?usp=sharing"",""สตูล!M446"")"),0)</f>
        <v>0</v>
      </c>
      <c r="G89" s="99">
        <f t="shared" si="1"/>
        <v>0</v>
      </c>
      <c r="H89" s="402">
        <v>0</v>
      </c>
      <c r="I89" s="55">
        <f t="shared" ref="I89:J89" ca="1" si="113">SUM(M89,Q89)</f>
        <v>0</v>
      </c>
      <c r="J89" s="55">
        <f t="shared" ca="1" si="113"/>
        <v>0</v>
      </c>
      <c r="K89" s="403">
        <f t="shared" si="3"/>
        <v>0</v>
      </c>
      <c r="L89" s="55">
        <v>0</v>
      </c>
      <c r="M89" s="55">
        <f ca="1">IFERROR(__xludf.DUMMYFUNCTION("IMPORTRANGE(""https://docs.google.com/spreadsheets/d/1IYY_tgx_IHuhSq3AJ5eI5OnqOPBNLWSHKh2a30DoXe8/edit?usp=sharing"",""สตูล!J453"")"),0)</f>
        <v>0</v>
      </c>
      <c r="N89" s="55">
        <f ca="1">IFERROR(__xludf.DUMMYFUNCTION("IMPORTRANGE(""https://docs.google.com/spreadsheets/d/1IYY_tgx_IHuhSq3AJ5eI5OnqOPBNLWSHKh2a30DoXe8/edit?usp=sharing"",""สตูล!J454"")"),0)</f>
        <v>0</v>
      </c>
      <c r="O89" s="99">
        <f t="shared" si="5"/>
        <v>0</v>
      </c>
      <c r="P89" s="55">
        <v>0</v>
      </c>
      <c r="Q89" s="55">
        <f ca="1">IFERROR(__xludf.DUMMYFUNCTION("IMPORTRANGE(""https://docs.google.com/spreadsheets/d/1IYY_tgx_IHuhSq3AJ5eI5OnqOPBNLWSHKh2a30DoXe8/edit?usp=sharing"",""สตูล!J455"")"),0)</f>
        <v>0</v>
      </c>
      <c r="R89" s="55">
        <f ca="1">IFERROR(__xludf.DUMMYFUNCTION("IMPORTRANGE(""https://docs.google.com/spreadsheets/d/1IYY_tgx_IHuhSq3AJ5eI5OnqOPBNLWSHKh2a30DoXe8/edit?usp=sharing"",""สตูล!J456"")"),0)</f>
        <v>0</v>
      </c>
      <c r="S89" s="277">
        <f t="shared" si="7"/>
        <v>0</v>
      </c>
      <c r="T89" s="81"/>
      <c r="U89" s="81"/>
      <c r="V89" s="81"/>
      <c r="W89" s="81"/>
      <c r="X89" s="81"/>
      <c r="Y89" s="81"/>
      <c r="Z89" s="81"/>
    </row>
    <row r="90" spans="1:26" ht="24" customHeight="1" x14ac:dyDescent="0.5">
      <c r="A90" s="278">
        <v>14</v>
      </c>
      <c r="B90" s="279" t="s">
        <v>105</v>
      </c>
      <c r="C90" s="404">
        <f t="shared" si="100"/>
        <v>0</v>
      </c>
      <c r="D90" s="62">
        <v>0</v>
      </c>
      <c r="E90" s="62">
        <v>0</v>
      </c>
      <c r="F90" s="100">
        <f ca="1">IFERROR(__xludf.DUMMYFUNCTION("IMPORTRANGE(""https://docs.google.com/spreadsheets/d/1IYY_tgx_IHuhSq3AJ5eI5OnqOPBNLWSHKh2a30DoXe8/edit?usp=sharing"",""สุราษฎร์ธานี!M446"")"),0)</f>
        <v>0</v>
      </c>
      <c r="G90" s="100">
        <f t="shared" si="1"/>
        <v>0</v>
      </c>
      <c r="H90" s="406">
        <v>0</v>
      </c>
      <c r="I90" s="62">
        <f t="shared" ref="I90:J90" ca="1" si="114">SUM(M90,Q90)</f>
        <v>0</v>
      </c>
      <c r="J90" s="62">
        <f t="shared" ca="1" si="114"/>
        <v>0</v>
      </c>
      <c r="K90" s="407">
        <f t="shared" si="3"/>
        <v>0</v>
      </c>
      <c r="L90" s="62">
        <v>0</v>
      </c>
      <c r="M90" s="62">
        <f ca="1">IFERROR(__xludf.DUMMYFUNCTION("IMPORTRANGE(""https://docs.google.com/spreadsheets/d/1IYY_tgx_IHuhSq3AJ5eI5OnqOPBNLWSHKh2a30DoXe8/edit?usp=sharing"",""สุราษฎร์ธานี!J453"")"),0)</f>
        <v>0</v>
      </c>
      <c r="N90" s="62">
        <f ca="1">IFERROR(__xludf.DUMMYFUNCTION("IMPORTRANGE(""https://docs.google.com/spreadsheets/d/1IYY_tgx_IHuhSq3AJ5eI5OnqOPBNLWSHKh2a30DoXe8/edit?usp=sharing"",""สุราษฎร์ธานี!J454"")"),0)</f>
        <v>0</v>
      </c>
      <c r="O90" s="100">
        <f t="shared" si="5"/>
        <v>0</v>
      </c>
      <c r="P90" s="62">
        <v>0</v>
      </c>
      <c r="Q90" s="62">
        <f ca="1">IFERROR(__xludf.DUMMYFUNCTION("IMPORTRANGE(""https://docs.google.com/spreadsheets/d/1IYY_tgx_IHuhSq3AJ5eI5OnqOPBNLWSHKh2a30DoXe8/edit?usp=sharing"",""สุราษฎร์ธานี!J455"")"),0)</f>
        <v>0</v>
      </c>
      <c r="R90" s="62">
        <f ca="1">IFERROR(__xludf.DUMMYFUNCTION("IMPORTRANGE(""https://docs.google.com/spreadsheets/d/1IYY_tgx_IHuhSq3AJ5eI5OnqOPBNLWSHKh2a30DoXe8/edit?usp=sharing"",""สุราษฎร์ธานี!J456"")"),0)</f>
        <v>0</v>
      </c>
      <c r="S90" s="282">
        <f t="shared" si="7"/>
        <v>0</v>
      </c>
      <c r="T90" s="81"/>
      <c r="U90" s="81"/>
      <c r="V90" s="81"/>
      <c r="W90" s="81"/>
      <c r="X90" s="81"/>
      <c r="Y90" s="81"/>
      <c r="Z90" s="81"/>
    </row>
    <row r="91" spans="1:26" ht="24" customHeight="1" x14ac:dyDescent="0.5">
      <c r="A91" s="772" t="s">
        <v>106</v>
      </c>
      <c r="B91" s="571"/>
      <c r="C91" s="37">
        <f t="shared" ref="C91:F91" si="115">+C92+C93+C94+C95+C96+C97+C98+C99+C100+C101+C102+C103+C104+C105</f>
        <v>13125900</v>
      </c>
      <c r="D91" s="35">
        <f t="shared" si="115"/>
        <v>0</v>
      </c>
      <c r="E91" s="35">
        <f t="shared" si="115"/>
        <v>13125900</v>
      </c>
      <c r="F91" s="35">
        <f t="shared" si="115"/>
        <v>0</v>
      </c>
      <c r="G91" s="92">
        <f t="shared" si="1"/>
        <v>0</v>
      </c>
      <c r="H91" s="35">
        <f t="shared" ref="H91:J91" si="116">+H92+H93+H94+H95+H96+H97+H98+H99+H100+H101+H102+H103+H104+H105</f>
        <v>0</v>
      </c>
      <c r="I91" s="35">
        <f t="shared" si="116"/>
        <v>0</v>
      </c>
      <c r="J91" s="35">
        <f t="shared" si="116"/>
        <v>0</v>
      </c>
      <c r="K91" s="92">
        <f t="shared" si="3"/>
        <v>0</v>
      </c>
      <c r="L91" s="35">
        <f t="shared" ref="L91:N91" si="117">+L92+L93+L94+L95+L96+L97+L98+L99+L100+L101+L102+L103+L104+L105</f>
        <v>0</v>
      </c>
      <c r="M91" s="35">
        <f t="shared" si="117"/>
        <v>0</v>
      </c>
      <c r="N91" s="35">
        <f t="shared" si="117"/>
        <v>0</v>
      </c>
      <c r="O91" s="92">
        <f t="shared" si="5"/>
        <v>0</v>
      </c>
      <c r="P91" s="35"/>
      <c r="Q91" s="35">
        <f t="shared" ref="Q91:R91" si="118">+Q92+Q93+Q94+Q95+Q96+Q97+Q98+Q99+Q100+Q101+Q102+Q103+Q104+Q105</f>
        <v>0</v>
      </c>
      <c r="R91" s="35">
        <f t="shared" si="118"/>
        <v>0</v>
      </c>
      <c r="S91" s="251">
        <f t="shared" si="7"/>
        <v>0</v>
      </c>
      <c r="T91" s="81"/>
      <c r="U91" s="81"/>
      <c r="V91" s="81"/>
      <c r="W91" s="81"/>
      <c r="X91" s="81"/>
      <c r="Y91" s="81"/>
      <c r="Z91" s="81"/>
    </row>
    <row r="92" spans="1:26" ht="24" customHeight="1" x14ac:dyDescent="0.5">
      <c r="A92" s="283">
        <v>1</v>
      </c>
      <c r="B92" s="69" t="s">
        <v>107</v>
      </c>
      <c r="C92" s="396">
        <f t="shared" ref="C92:C105" si="119">+D92+E92</f>
        <v>0</v>
      </c>
      <c r="D92" s="48">
        <v>0</v>
      </c>
      <c r="E92" s="48">
        <v>0</v>
      </c>
      <c r="F92" s="98">
        <v>0</v>
      </c>
      <c r="G92" s="98">
        <f t="shared" si="1"/>
        <v>0</v>
      </c>
      <c r="H92" s="398">
        <v>0</v>
      </c>
      <c r="I92" s="48">
        <f t="shared" ref="I92:J92" si="120">SUM(M92,Q92)</f>
        <v>0</v>
      </c>
      <c r="J92" s="48">
        <f t="shared" si="120"/>
        <v>0</v>
      </c>
      <c r="K92" s="399">
        <f t="shared" si="3"/>
        <v>0</v>
      </c>
      <c r="L92" s="48">
        <v>0</v>
      </c>
      <c r="M92" s="48">
        <v>0</v>
      </c>
      <c r="N92" s="48">
        <v>0</v>
      </c>
      <c r="O92" s="98">
        <f t="shared" si="5"/>
        <v>0</v>
      </c>
      <c r="P92" s="48">
        <v>0</v>
      </c>
      <c r="Q92" s="48">
        <v>0</v>
      </c>
      <c r="R92" s="48">
        <v>0</v>
      </c>
      <c r="S92" s="272">
        <f t="shared" si="7"/>
        <v>0</v>
      </c>
      <c r="T92" s="81"/>
      <c r="U92" s="81"/>
      <c r="V92" s="81"/>
      <c r="W92" s="81"/>
      <c r="X92" s="81"/>
      <c r="Y92" s="81"/>
      <c r="Z92" s="81"/>
    </row>
    <row r="93" spans="1:26" ht="24" customHeight="1" x14ac:dyDescent="0.5">
      <c r="A93" s="284">
        <v>2</v>
      </c>
      <c r="B93" s="71" t="s">
        <v>108</v>
      </c>
      <c r="C93" s="400">
        <f t="shared" si="119"/>
        <v>0</v>
      </c>
      <c r="D93" s="55">
        <v>0</v>
      </c>
      <c r="E93" s="55">
        <v>0</v>
      </c>
      <c r="F93" s="99">
        <v>0</v>
      </c>
      <c r="G93" s="99">
        <f t="shared" si="1"/>
        <v>0</v>
      </c>
      <c r="H93" s="402">
        <v>0</v>
      </c>
      <c r="I93" s="55">
        <f t="shared" ref="I93:J93" si="121">SUM(M93,Q93)</f>
        <v>0</v>
      </c>
      <c r="J93" s="55">
        <f t="shared" si="121"/>
        <v>0</v>
      </c>
      <c r="K93" s="403">
        <f t="shared" si="3"/>
        <v>0</v>
      </c>
      <c r="L93" s="55">
        <v>0</v>
      </c>
      <c r="M93" s="55">
        <v>0</v>
      </c>
      <c r="N93" s="55">
        <v>0</v>
      </c>
      <c r="O93" s="99">
        <f t="shared" si="5"/>
        <v>0</v>
      </c>
      <c r="P93" s="55">
        <v>0</v>
      </c>
      <c r="Q93" s="55">
        <v>0</v>
      </c>
      <c r="R93" s="55">
        <v>0</v>
      </c>
      <c r="S93" s="277">
        <f t="shared" si="7"/>
        <v>0</v>
      </c>
      <c r="T93" s="81"/>
      <c r="U93" s="81"/>
      <c r="V93" s="81"/>
      <c r="W93" s="81"/>
      <c r="X93" s="81"/>
      <c r="Y93" s="81"/>
      <c r="Z93" s="81"/>
    </row>
    <row r="94" spans="1:26" ht="24" customHeight="1" x14ac:dyDescent="0.5">
      <c r="A94" s="284">
        <v>3</v>
      </c>
      <c r="B94" s="71" t="s">
        <v>109</v>
      </c>
      <c r="C94" s="400">
        <f t="shared" si="119"/>
        <v>0</v>
      </c>
      <c r="D94" s="55">
        <v>0</v>
      </c>
      <c r="E94" s="55">
        <v>0</v>
      </c>
      <c r="F94" s="99">
        <v>0</v>
      </c>
      <c r="G94" s="99">
        <f t="shared" si="1"/>
        <v>0</v>
      </c>
      <c r="H94" s="402">
        <v>0</v>
      </c>
      <c r="I94" s="55">
        <f t="shared" ref="I94:J94" si="122">SUM(M94,Q94)</f>
        <v>0</v>
      </c>
      <c r="J94" s="55">
        <f t="shared" si="122"/>
        <v>0</v>
      </c>
      <c r="K94" s="403">
        <f t="shared" si="3"/>
        <v>0</v>
      </c>
      <c r="L94" s="55">
        <v>0</v>
      </c>
      <c r="M94" s="55">
        <v>0</v>
      </c>
      <c r="N94" s="55">
        <v>0</v>
      </c>
      <c r="O94" s="99">
        <f t="shared" si="5"/>
        <v>0</v>
      </c>
      <c r="P94" s="55">
        <v>0</v>
      </c>
      <c r="Q94" s="55">
        <v>0</v>
      </c>
      <c r="R94" s="55">
        <v>0</v>
      </c>
      <c r="S94" s="277">
        <f t="shared" si="7"/>
        <v>0</v>
      </c>
      <c r="T94" s="81"/>
      <c r="U94" s="81"/>
      <c r="V94" s="81"/>
      <c r="W94" s="81"/>
      <c r="X94" s="81"/>
      <c r="Y94" s="81"/>
      <c r="Z94" s="81"/>
    </row>
    <row r="95" spans="1:26" ht="24" customHeight="1" x14ac:dyDescent="0.5">
      <c r="A95" s="284">
        <f t="shared" ref="A95:A105" si="123">+A94+1</f>
        <v>4</v>
      </c>
      <c r="B95" s="71" t="s">
        <v>110</v>
      </c>
      <c r="C95" s="400">
        <f t="shared" si="119"/>
        <v>0</v>
      </c>
      <c r="D95" s="55">
        <v>0</v>
      </c>
      <c r="E95" s="55">
        <v>0</v>
      </c>
      <c r="F95" s="99">
        <v>0</v>
      </c>
      <c r="G95" s="99">
        <f t="shared" si="1"/>
        <v>0</v>
      </c>
      <c r="H95" s="402">
        <v>0</v>
      </c>
      <c r="I95" s="55">
        <f t="shared" ref="I95:J95" si="124">SUM(M95,Q95)</f>
        <v>0</v>
      </c>
      <c r="J95" s="55">
        <f t="shared" si="124"/>
        <v>0</v>
      </c>
      <c r="K95" s="403">
        <f t="shared" si="3"/>
        <v>0</v>
      </c>
      <c r="L95" s="55">
        <v>0</v>
      </c>
      <c r="M95" s="55">
        <v>0</v>
      </c>
      <c r="N95" s="55">
        <v>0</v>
      </c>
      <c r="O95" s="99">
        <f t="shared" si="5"/>
        <v>0</v>
      </c>
      <c r="P95" s="55">
        <v>0</v>
      </c>
      <c r="Q95" s="55">
        <v>0</v>
      </c>
      <c r="R95" s="55">
        <v>0</v>
      </c>
      <c r="S95" s="277">
        <f t="shared" si="7"/>
        <v>0</v>
      </c>
      <c r="T95" s="81"/>
      <c r="U95" s="81"/>
      <c r="V95" s="81"/>
      <c r="W95" s="81"/>
      <c r="X95" s="81"/>
      <c r="Y95" s="81"/>
      <c r="Z95" s="81"/>
    </row>
    <row r="96" spans="1:26" ht="24" customHeight="1" x14ac:dyDescent="0.5">
      <c r="A96" s="284">
        <f t="shared" si="123"/>
        <v>5</v>
      </c>
      <c r="B96" s="71" t="s">
        <v>111</v>
      </c>
      <c r="C96" s="400">
        <f t="shared" si="119"/>
        <v>0</v>
      </c>
      <c r="D96" s="55">
        <v>0</v>
      </c>
      <c r="E96" s="55">
        <v>0</v>
      </c>
      <c r="F96" s="99">
        <v>0</v>
      </c>
      <c r="G96" s="99">
        <f t="shared" si="1"/>
        <v>0</v>
      </c>
      <c r="H96" s="402">
        <v>0</v>
      </c>
      <c r="I96" s="55">
        <f t="shared" ref="I96:J96" si="125">SUM(M96,Q96)</f>
        <v>0</v>
      </c>
      <c r="J96" s="55">
        <f t="shared" si="125"/>
        <v>0</v>
      </c>
      <c r="K96" s="403">
        <f t="shared" si="3"/>
        <v>0</v>
      </c>
      <c r="L96" s="55">
        <v>0</v>
      </c>
      <c r="M96" s="55">
        <v>0</v>
      </c>
      <c r="N96" s="55">
        <v>0</v>
      </c>
      <c r="O96" s="99">
        <f t="shared" si="5"/>
        <v>0</v>
      </c>
      <c r="P96" s="55">
        <v>0</v>
      </c>
      <c r="Q96" s="55">
        <v>0</v>
      </c>
      <c r="R96" s="55">
        <v>0</v>
      </c>
      <c r="S96" s="277">
        <f t="shared" si="7"/>
        <v>0</v>
      </c>
      <c r="T96" s="81"/>
      <c r="U96" s="81"/>
      <c r="V96" s="81"/>
      <c r="W96" s="81"/>
      <c r="X96" s="81"/>
      <c r="Y96" s="81"/>
      <c r="Z96" s="81"/>
    </row>
    <row r="97" spans="1:26" ht="24" customHeight="1" x14ac:dyDescent="0.5">
      <c r="A97" s="284">
        <f t="shared" si="123"/>
        <v>6</v>
      </c>
      <c r="B97" s="71" t="s">
        <v>112</v>
      </c>
      <c r="C97" s="400">
        <f t="shared" si="119"/>
        <v>0</v>
      </c>
      <c r="D97" s="55">
        <v>0</v>
      </c>
      <c r="E97" s="55">
        <v>0</v>
      </c>
      <c r="F97" s="99">
        <v>0</v>
      </c>
      <c r="G97" s="99">
        <f t="shared" si="1"/>
        <v>0</v>
      </c>
      <c r="H97" s="402">
        <v>0</v>
      </c>
      <c r="I97" s="55">
        <f t="shared" ref="I97:J97" si="126">SUM(M97,Q97)</f>
        <v>0</v>
      </c>
      <c r="J97" s="55">
        <f t="shared" si="126"/>
        <v>0</v>
      </c>
      <c r="K97" s="403">
        <f t="shared" si="3"/>
        <v>0</v>
      </c>
      <c r="L97" s="55">
        <v>0</v>
      </c>
      <c r="M97" s="55">
        <v>0</v>
      </c>
      <c r="N97" s="55">
        <v>0</v>
      </c>
      <c r="O97" s="99">
        <f t="shared" si="5"/>
        <v>0</v>
      </c>
      <c r="P97" s="55">
        <v>0</v>
      </c>
      <c r="Q97" s="55">
        <v>0</v>
      </c>
      <c r="R97" s="55">
        <v>0</v>
      </c>
      <c r="S97" s="277">
        <f t="shared" si="7"/>
        <v>0</v>
      </c>
      <c r="T97" s="81"/>
      <c r="U97" s="81"/>
      <c r="V97" s="81"/>
      <c r="W97" s="81"/>
      <c r="X97" s="81"/>
      <c r="Y97" s="81"/>
      <c r="Z97" s="81"/>
    </row>
    <row r="98" spans="1:26" ht="24" customHeight="1" x14ac:dyDescent="0.5">
      <c r="A98" s="284">
        <f t="shared" si="123"/>
        <v>7</v>
      </c>
      <c r="B98" s="71" t="s">
        <v>113</v>
      </c>
      <c r="C98" s="400">
        <f t="shared" si="119"/>
        <v>0</v>
      </c>
      <c r="D98" s="55">
        <v>0</v>
      </c>
      <c r="E98" s="55">
        <v>0</v>
      </c>
      <c r="F98" s="99">
        <v>0</v>
      </c>
      <c r="G98" s="99">
        <f t="shared" si="1"/>
        <v>0</v>
      </c>
      <c r="H98" s="402">
        <v>0</v>
      </c>
      <c r="I98" s="55">
        <f t="shared" ref="I98:J98" si="127">SUM(M98,Q98)</f>
        <v>0</v>
      </c>
      <c r="J98" s="55">
        <f t="shared" si="127"/>
        <v>0</v>
      </c>
      <c r="K98" s="403">
        <f t="shared" si="3"/>
        <v>0</v>
      </c>
      <c r="L98" s="55">
        <v>0</v>
      </c>
      <c r="M98" s="55">
        <v>0</v>
      </c>
      <c r="N98" s="55">
        <v>0</v>
      </c>
      <c r="O98" s="99">
        <f t="shared" si="5"/>
        <v>0</v>
      </c>
      <c r="P98" s="55">
        <v>0</v>
      </c>
      <c r="Q98" s="55">
        <v>0</v>
      </c>
      <c r="R98" s="55">
        <v>0</v>
      </c>
      <c r="S98" s="277">
        <f t="shared" si="7"/>
        <v>0</v>
      </c>
      <c r="T98" s="81"/>
      <c r="U98" s="81"/>
      <c r="V98" s="81"/>
      <c r="W98" s="81"/>
      <c r="X98" s="81"/>
      <c r="Y98" s="81"/>
      <c r="Z98" s="81"/>
    </row>
    <row r="99" spans="1:26" ht="24" customHeight="1" x14ac:dyDescent="0.5">
      <c r="A99" s="284">
        <f t="shared" si="123"/>
        <v>8</v>
      </c>
      <c r="B99" s="71" t="s">
        <v>114</v>
      </c>
      <c r="C99" s="400">
        <f t="shared" si="119"/>
        <v>0</v>
      </c>
      <c r="D99" s="55">
        <v>0</v>
      </c>
      <c r="E99" s="55">
        <v>0</v>
      </c>
      <c r="F99" s="99">
        <v>0</v>
      </c>
      <c r="G99" s="99">
        <f t="shared" si="1"/>
        <v>0</v>
      </c>
      <c r="H99" s="402">
        <v>0</v>
      </c>
      <c r="I99" s="55">
        <f t="shared" ref="I99:J99" si="128">SUM(M99,Q99)</f>
        <v>0</v>
      </c>
      <c r="J99" s="55">
        <f t="shared" si="128"/>
        <v>0</v>
      </c>
      <c r="K99" s="403">
        <f t="shared" si="3"/>
        <v>0</v>
      </c>
      <c r="L99" s="55">
        <v>0</v>
      </c>
      <c r="M99" s="55">
        <v>0</v>
      </c>
      <c r="N99" s="55">
        <v>0</v>
      </c>
      <c r="O99" s="99">
        <f t="shared" si="5"/>
        <v>0</v>
      </c>
      <c r="P99" s="55">
        <v>0</v>
      </c>
      <c r="Q99" s="55">
        <v>0</v>
      </c>
      <c r="R99" s="55">
        <v>0</v>
      </c>
      <c r="S99" s="277">
        <f t="shared" si="7"/>
        <v>0</v>
      </c>
      <c r="T99" s="81"/>
      <c r="U99" s="81"/>
      <c r="V99" s="81"/>
      <c r="W99" s="81"/>
      <c r="X99" s="81"/>
      <c r="Y99" s="81"/>
      <c r="Z99" s="81"/>
    </row>
    <row r="100" spans="1:26" ht="24" customHeight="1" x14ac:dyDescent="0.5">
      <c r="A100" s="284">
        <f t="shared" si="123"/>
        <v>9</v>
      </c>
      <c r="B100" s="71" t="s">
        <v>115</v>
      </c>
      <c r="C100" s="400">
        <f t="shared" si="119"/>
        <v>0</v>
      </c>
      <c r="D100" s="55">
        <v>0</v>
      </c>
      <c r="E100" s="55">
        <v>0</v>
      </c>
      <c r="F100" s="99">
        <v>0</v>
      </c>
      <c r="G100" s="99">
        <f t="shared" si="1"/>
        <v>0</v>
      </c>
      <c r="H100" s="402">
        <v>0</v>
      </c>
      <c r="I100" s="55">
        <f t="shared" ref="I100:J100" si="129">SUM(M100,Q100)</f>
        <v>0</v>
      </c>
      <c r="J100" s="55">
        <f t="shared" si="129"/>
        <v>0</v>
      </c>
      <c r="K100" s="403">
        <f t="shared" si="3"/>
        <v>0</v>
      </c>
      <c r="L100" s="55">
        <v>0</v>
      </c>
      <c r="M100" s="55">
        <v>0</v>
      </c>
      <c r="N100" s="55">
        <v>0</v>
      </c>
      <c r="O100" s="99">
        <f t="shared" si="5"/>
        <v>0</v>
      </c>
      <c r="P100" s="55">
        <v>0</v>
      </c>
      <c r="Q100" s="55">
        <v>0</v>
      </c>
      <c r="R100" s="55">
        <v>0</v>
      </c>
      <c r="S100" s="277">
        <f t="shared" si="7"/>
        <v>0</v>
      </c>
      <c r="T100" s="81"/>
      <c r="U100" s="81"/>
      <c r="V100" s="81"/>
      <c r="W100" s="81"/>
      <c r="X100" s="81"/>
      <c r="Y100" s="81"/>
      <c r="Z100" s="81"/>
    </row>
    <row r="101" spans="1:26" ht="24" customHeight="1" x14ac:dyDescent="0.5">
      <c r="A101" s="284">
        <f t="shared" si="123"/>
        <v>10</v>
      </c>
      <c r="B101" s="71" t="s">
        <v>116</v>
      </c>
      <c r="C101" s="400">
        <f t="shared" si="119"/>
        <v>13125900</v>
      </c>
      <c r="D101" s="55">
        <v>0</v>
      </c>
      <c r="E101" s="55">
        <v>13125900</v>
      </c>
      <c r="F101" s="99">
        <v>0</v>
      </c>
      <c r="G101" s="99">
        <f t="shared" si="1"/>
        <v>0</v>
      </c>
      <c r="H101" s="402">
        <f>+R101</f>
        <v>0</v>
      </c>
      <c r="I101" s="55">
        <f t="shared" ref="I101:J101" si="130">SUM(M101,Q101)</f>
        <v>0</v>
      </c>
      <c r="J101" s="55">
        <f t="shared" si="130"/>
        <v>0</v>
      </c>
      <c r="K101" s="403">
        <f t="shared" si="3"/>
        <v>0</v>
      </c>
      <c r="L101" s="55">
        <v>0</v>
      </c>
      <c r="M101" s="55">
        <v>0</v>
      </c>
      <c r="N101" s="55">
        <v>0</v>
      </c>
      <c r="O101" s="99">
        <f t="shared" si="5"/>
        <v>0</v>
      </c>
      <c r="P101" s="55">
        <v>0</v>
      </c>
      <c r="Q101" s="55">
        <v>0</v>
      </c>
      <c r="R101" s="55">
        <v>0</v>
      </c>
      <c r="S101" s="277">
        <f t="shared" si="7"/>
        <v>0</v>
      </c>
      <c r="T101" s="81"/>
      <c r="U101" s="81"/>
      <c r="V101" s="81"/>
      <c r="W101" s="81"/>
      <c r="X101" s="81"/>
      <c r="Y101" s="81"/>
      <c r="Z101" s="81"/>
    </row>
    <row r="102" spans="1:26" ht="24" customHeight="1" x14ac:dyDescent="0.5">
      <c r="A102" s="284">
        <f t="shared" si="123"/>
        <v>11</v>
      </c>
      <c r="B102" s="71" t="s">
        <v>117</v>
      </c>
      <c r="C102" s="400">
        <f t="shared" si="119"/>
        <v>0</v>
      </c>
      <c r="D102" s="55">
        <v>0</v>
      </c>
      <c r="E102" s="55">
        <v>0</v>
      </c>
      <c r="F102" s="99">
        <v>0</v>
      </c>
      <c r="G102" s="99">
        <f t="shared" si="1"/>
        <v>0</v>
      </c>
      <c r="H102" s="402">
        <v>0</v>
      </c>
      <c r="I102" s="55">
        <f t="shared" ref="I102:J102" si="131">SUM(M102,Q102)</f>
        <v>0</v>
      </c>
      <c r="J102" s="55">
        <f t="shared" si="131"/>
        <v>0</v>
      </c>
      <c r="K102" s="403">
        <f t="shared" si="3"/>
        <v>0</v>
      </c>
      <c r="L102" s="55">
        <v>0</v>
      </c>
      <c r="M102" s="55">
        <v>0</v>
      </c>
      <c r="N102" s="55">
        <v>0</v>
      </c>
      <c r="O102" s="99">
        <f t="shared" si="5"/>
        <v>0</v>
      </c>
      <c r="P102" s="55">
        <v>0</v>
      </c>
      <c r="Q102" s="55">
        <v>0</v>
      </c>
      <c r="R102" s="55">
        <v>0</v>
      </c>
      <c r="S102" s="277">
        <f t="shared" si="7"/>
        <v>0</v>
      </c>
      <c r="T102" s="81"/>
      <c r="U102" s="81"/>
      <c r="V102" s="81"/>
      <c r="W102" s="81"/>
      <c r="X102" s="81"/>
      <c r="Y102" s="81"/>
      <c r="Z102" s="81"/>
    </row>
    <row r="103" spans="1:26" ht="24" customHeight="1" x14ac:dyDescent="0.5">
      <c r="A103" s="284">
        <f t="shared" si="123"/>
        <v>12</v>
      </c>
      <c r="B103" s="71" t="s">
        <v>118</v>
      </c>
      <c r="C103" s="400">
        <f t="shared" si="119"/>
        <v>0</v>
      </c>
      <c r="D103" s="55">
        <v>0</v>
      </c>
      <c r="E103" s="55">
        <v>0</v>
      </c>
      <c r="F103" s="99">
        <v>0</v>
      </c>
      <c r="G103" s="99">
        <f t="shared" si="1"/>
        <v>0</v>
      </c>
      <c r="H103" s="402">
        <v>0</v>
      </c>
      <c r="I103" s="55">
        <f t="shared" ref="I103:J103" si="132">SUM(M103,Q103)</f>
        <v>0</v>
      </c>
      <c r="J103" s="55">
        <f t="shared" si="132"/>
        <v>0</v>
      </c>
      <c r="K103" s="403">
        <f t="shared" si="3"/>
        <v>0</v>
      </c>
      <c r="L103" s="55">
        <v>0</v>
      </c>
      <c r="M103" s="55">
        <v>0</v>
      </c>
      <c r="N103" s="55">
        <v>0</v>
      </c>
      <c r="O103" s="99">
        <f t="shared" si="5"/>
        <v>0</v>
      </c>
      <c r="P103" s="55">
        <v>0</v>
      </c>
      <c r="Q103" s="55">
        <v>0</v>
      </c>
      <c r="R103" s="55">
        <v>0</v>
      </c>
      <c r="S103" s="277">
        <f t="shared" si="7"/>
        <v>0</v>
      </c>
      <c r="T103" s="81"/>
      <c r="U103" s="81"/>
      <c r="V103" s="81"/>
      <c r="W103" s="81"/>
      <c r="X103" s="81"/>
      <c r="Y103" s="81"/>
      <c r="Z103" s="81"/>
    </row>
    <row r="104" spans="1:26" ht="24" customHeight="1" x14ac:dyDescent="0.5">
      <c r="A104" s="284">
        <f t="shared" si="123"/>
        <v>13</v>
      </c>
      <c r="B104" s="71" t="s">
        <v>119</v>
      </c>
      <c r="C104" s="400">
        <f t="shared" si="119"/>
        <v>0</v>
      </c>
      <c r="D104" s="55">
        <v>0</v>
      </c>
      <c r="E104" s="55">
        <v>0</v>
      </c>
      <c r="F104" s="99">
        <v>0</v>
      </c>
      <c r="G104" s="99">
        <f t="shared" si="1"/>
        <v>0</v>
      </c>
      <c r="H104" s="402">
        <v>0</v>
      </c>
      <c r="I104" s="55">
        <f t="shared" ref="I104:J104" si="133">SUM(M104,Q104)</f>
        <v>0</v>
      </c>
      <c r="J104" s="55">
        <f t="shared" si="133"/>
        <v>0</v>
      </c>
      <c r="K104" s="403">
        <f t="shared" si="3"/>
        <v>0</v>
      </c>
      <c r="L104" s="55">
        <v>0</v>
      </c>
      <c r="M104" s="55">
        <v>0</v>
      </c>
      <c r="N104" s="55">
        <v>0</v>
      </c>
      <c r="O104" s="99">
        <f t="shared" si="5"/>
        <v>0</v>
      </c>
      <c r="P104" s="55">
        <v>0</v>
      </c>
      <c r="Q104" s="55">
        <v>0</v>
      </c>
      <c r="R104" s="55">
        <v>0</v>
      </c>
      <c r="S104" s="277">
        <f t="shared" si="7"/>
        <v>0</v>
      </c>
      <c r="T104" s="81"/>
      <c r="U104" s="81"/>
      <c r="V104" s="81"/>
      <c r="W104" s="81"/>
      <c r="X104" s="81"/>
      <c r="Y104" s="81"/>
      <c r="Z104" s="81"/>
    </row>
    <row r="105" spans="1:26" ht="24" customHeight="1" x14ac:dyDescent="0.5">
      <c r="A105" s="285">
        <f t="shared" si="123"/>
        <v>14</v>
      </c>
      <c r="B105" s="73" t="s">
        <v>120</v>
      </c>
      <c r="C105" s="404">
        <f t="shared" si="119"/>
        <v>0</v>
      </c>
      <c r="D105" s="62">
        <v>0</v>
      </c>
      <c r="E105" s="62">
        <v>0</v>
      </c>
      <c r="F105" s="100">
        <v>0</v>
      </c>
      <c r="G105" s="100">
        <f t="shared" si="1"/>
        <v>0</v>
      </c>
      <c r="H105" s="406">
        <v>0</v>
      </c>
      <c r="I105" s="62">
        <f t="shared" ref="I105:J105" si="134">SUM(M105,Q105)</f>
        <v>0</v>
      </c>
      <c r="J105" s="62">
        <f t="shared" si="134"/>
        <v>0</v>
      </c>
      <c r="K105" s="407">
        <f t="shared" si="3"/>
        <v>0</v>
      </c>
      <c r="L105" s="62">
        <v>0</v>
      </c>
      <c r="M105" s="62">
        <v>0</v>
      </c>
      <c r="N105" s="62">
        <v>0</v>
      </c>
      <c r="O105" s="100">
        <f t="shared" si="5"/>
        <v>0</v>
      </c>
      <c r="P105" s="62">
        <v>0</v>
      </c>
      <c r="Q105" s="62">
        <v>0</v>
      </c>
      <c r="R105" s="62">
        <v>0</v>
      </c>
      <c r="S105" s="282">
        <f t="shared" si="7"/>
        <v>0</v>
      </c>
      <c r="T105" s="81"/>
      <c r="U105" s="81"/>
      <c r="V105" s="81"/>
      <c r="W105" s="81"/>
      <c r="X105" s="81"/>
      <c r="Y105" s="81"/>
      <c r="Z105" s="81"/>
    </row>
    <row r="106" spans="1:26" ht="24" customHeight="1" x14ac:dyDescent="0.5">
      <c r="A106" s="772" t="s">
        <v>121</v>
      </c>
      <c r="B106" s="571"/>
      <c r="C106" s="37">
        <f t="shared" ref="C106:F106" si="135">+C107+C108+C109+C110+C111+C112+C113+C114</f>
        <v>0</v>
      </c>
      <c r="D106" s="35">
        <f t="shared" si="135"/>
        <v>0</v>
      </c>
      <c r="E106" s="35">
        <f t="shared" si="135"/>
        <v>0</v>
      </c>
      <c r="F106" s="35">
        <f t="shared" si="135"/>
        <v>0</v>
      </c>
      <c r="G106" s="92">
        <f t="shared" si="1"/>
        <v>0</v>
      </c>
      <c r="H106" s="35">
        <f t="shared" ref="H106:J106" si="136">+H107+H108+H109+H110+H111+H112+H113+H114</f>
        <v>0</v>
      </c>
      <c r="I106" s="35">
        <f t="shared" si="136"/>
        <v>0</v>
      </c>
      <c r="J106" s="35">
        <f t="shared" si="136"/>
        <v>0</v>
      </c>
      <c r="K106" s="92">
        <f t="shared" si="3"/>
        <v>0</v>
      </c>
      <c r="L106" s="35">
        <f t="shared" ref="L106:N106" si="137">+L107+L108+L109+L110+L111+L112+L113+L114</f>
        <v>0</v>
      </c>
      <c r="M106" s="35">
        <f t="shared" si="137"/>
        <v>0</v>
      </c>
      <c r="N106" s="35">
        <f t="shared" si="137"/>
        <v>0</v>
      </c>
      <c r="O106" s="92">
        <f t="shared" si="5"/>
        <v>0</v>
      </c>
      <c r="P106" s="35">
        <f t="shared" ref="P106:R106" si="138">+P107+P108+P109+P110+P111+P112+P113+P114</f>
        <v>0</v>
      </c>
      <c r="Q106" s="35">
        <f t="shared" si="138"/>
        <v>0</v>
      </c>
      <c r="R106" s="35">
        <f t="shared" si="138"/>
        <v>0</v>
      </c>
      <c r="S106" s="251">
        <f t="shared" si="7"/>
        <v>0</v>
      </c>
      <c r="T106" s="81"/>
      <c r="U106" s="81"/>
      <c r="V106" s="81"/>
      <c r="W106" s="81"/>
      <c r="X106" s="81"/>
      <c r="Y106" s="81"/>
      <c r="Z106" s="81"/>
    </row>
    <row r="107" spans="1:26" ht="24" customHeight="1" x14ac:dyDescent="0.5">
      <c r="A107" s="283">
        <v>1</v>
      </c>
      <c r="B107" s="69" t="s">
        <v>122</v>
      </c>
      <c r="C107" s="396">
        <f t="shared" ref="C107:C114" si="139">+D107+E107</f>
        <v>0</v>
      </c>
      <c r="D107" s="48">
        <v>0</v>
      </c>
      <c r="E107" s="48">
        <v>0</v>
      </c>
      <c r="F107" s="98">
        <v>0</v>
      </c>
      <c r="G107" s="98">
        <f t="shared" si="1"/>
        <v>0</v>
      </c>
      <c r="H107" s="398">
        <v>0</v>
      </c>
      <c r="I107" s="48">
        <f t="shared" ref="I107:J107" si="140">SUM(M107,Q107)</f>
        <v>0</v>
      </c>
      <c r="J107" s="48">
        <f t="shared" si="140"/>
        <v>0</v>
      </c>
      <c r="K107" s="399">
        <f t="shared" si="3"/>
        <v>0</v>
      </c>
      <c r="L107" s="48">
        <v>0</v>
      </c>
      <c r="M107" s="48">
        <v>0</v>
      </c>
      <c r="N107" s="48">
        <v>0</v>
      </c>
      <c r="O107" s="98">
        <f t="shared" si="5"/>
        <v>0</v>
      </c>
      <c r="P107" s="48">
        <v>0</v>
      </c>
      <c r="Q107" s="48">
        <v>0</v>
      </c>
      <c r="R107" s="48">
        <v>0</v>
      </c>
      <c r="S107" s="272">
        <f t="shared" si="7"/>
        <v>0</v>
      </c>
      <c r="T107" s="81"/>
      <c r="U107" s="81"/>
      <c r="V107" s="81"/>
      <c r="W107" s="81"/>
      <c r="X107" s="81"/>
      <c r="Y107" s="81"/>
      <c r="Z107" s="81"/>
    </row>
    <row r="108" spans="1:26" ht="24" customHeight="1" x14ac:dyDescent="0.5">
      <c r="A108" s="284">
        <v>2</v>
      </c>
      <c r="B108" s="71" t="s">
        <v>123</v>
      </c>
      <c r="C108" s="400">
        <f t="shared" si="139"/>
        <v>0</v>
      </c>
      <c r="D108" s="55">
        <v>0</v>
      </c>
      <c r="E108" s="55">
        <v>0</v>
      </c>
      <c r="F108" s="99">
        <v>0</v>
      </c>
      <c r="G108" s="99">
        <f t="shared" si="1"/>
        <v>0</v>
      </c>
      <c r="H108" s="402">
        <v>0</v>
      </c>
      <c r="I108" s="55">
        <f t="shared" ref="I108:J108" si="141">SUM(M108,Q108)</f>
        <v>0</v>
      </c>
      <c r="J108" s="55">
        <f t="shared" si="141"/>
        <v>0</v>
      </c>
      <c r="K108" s="403">
        <f t="shared" si="3"/>
        <v>0</v>
      </c>
      <c r="L108" s="55">
        <v>0</v>
      </c>
      <c r="M108" s="55">
        <v>0</v>
      </c>
      <c r="N108" s="55">
        <v>0</v>
      </c>
      <c r="O108" s="99">
        <f t="shared" si="5"/>
        <v>0</v>
      </c>
      <c r="P108" s="55">
        <v>0</v>
      </c>
      <c r="Q108" s="55">
        <v>0</v>
      </c>
      <c r="R108" s="55">
        <v>0</v>
      </c>
      <c r="S108" s="277">
        <f t="shared" si="7"/>
        <v>0</v>
      </c>
      <c r="T108" s="81"/>
      <c r="U108" s="81"/>
      <c r="V108" s="81"/>
      <c r="W108" s="81"/>
      <c r="X108" s="81"/>
      <c r="Y108" s="81"/>
      <c r="Z108" s="81"/>
    </row>
    <row r="109" spans="1:26" ht="24" customHeight="1" x14ac:dyDescent="0.5">
      <c r="A109" s="284">
        <v>3</v>
      </c>
      <c r="B109" s="71" t="s">
        <v>124</v>
      </c>
      <c r="C109" s="400">
        <f t="shared" si="139"/>
        <v>0</v>
      </c>
      <c r="D109" s="55">
        <v>0</v>
      </c>
      <c r="E109" s="55">
        <v>0</v>
      </c>
      <c r="F109" s="99">
        <v>0</v>
      </c>
      <c r="G109" s="99">
        <f t="shared" si="1"/>
        <v>0</v>
      </c>
      <c r="H109" s="402">
        <v>0</v>
      </c>
      <c r="I109" s="55">
        <f t="shared" ref="I109:J109" si="142">SUM(M109,Q109)</f>
        <v>0</v>
      </c>
      <c r="J109" s="55">
        <f t="shared" si="142"/>
        <v>0</v>
      </c>
      <c r="K109" s="403">
        <f t="shared" si="3"/>
        <v>0</v>
      </c>
      <c r="L109" s="55">
        <v>0</v>
      </c>
      <c r="M109" s="55">
        <v>0</v>
      </c>
      <c r="N109" s="55">
        <v>0</v>
      </c>
      <c r="O109" s="99">
        <f t="shared" si="5"/>
        <v>0</v>
      </c>
      <c r="P109" s="55">
        <v>0</v>
      </c>
      <c r="Q109" s="55">
        <v>0</v>
      </c>
      <c r="R109" s="55">
        <v>0</v>
      </c>
      <c r="S109" s="277">
        <f t="shared" si="7"/>
        <v>0</v>
      </c>
      <c r="T109" s="81"/>
      <c r="U109" s="81"/>
      <c r="V109" s="81"/>
      <c r="W109" s="81"/>
      <c r="X109" s="81"/>
      <c r="Y109" s="81"/>
      <c r="Z109" s="81"/>
    </row>
    <row r="110" spans="1:26" ht="24" customHeight="1" x14ac:dyDescent="0.5">
      <c r="A110" s="284">
        <f t="shared" ref="A110:A112" si="143">+A109+1</f>
        <v>4</v>
      </c>
      <c r="B110" s="71" t="s">
        <v>125</v>
      </c>
      <c r="C110" s="400">
        <f t="shared" si="139"/>
        <v>0</v>
      </c>
      <c r="D110" s="55">
        <v>0</v>
      </c>
      <c r="E110" s="55">
        <v>0</v>
      </c>
      <c r="F110" s="99">
        <v>0</v>
      </c>
      <c r="G110" s="99">
        <f t="shared" si="1"/>
        <v>0</v>
      </c>
      <c r="H110" s="402">
        <v>0</v>
      </c>
      <c r="I110" s="55">
        <f t="shared" ref="I110:J110" si="144">SUM(M110,Q110)</f>
        <v>0</v>
      </c>
      <c r="J110" s="55">
        <f t="shared" si="144"/>
        <v>0</v>
      </c>
      <c r="K110" s="403">
        <f t="shared" si="3"/>
        <v>0</v>
      </c>
      <c r="L110" s="55">
        <v>0</v>
      </c>
      <c r="M110" s="55">
        <v>0</v>
      </c>
      <c r="N110" s="55">
        <v>0</v>
      </c>
      <c r="O110" s="99">
        <f t="shared" si="5"/>
        <v>0</v>
      </c>
      <c r="P110" s="55">
        <v>0</v>
      </c>
      <c r="Q110" s="55">
        <v>0</v>
      </c>
      <c r="R110" s="55">
        <v>0</v>
      </c>
      <c r="S110" s="277">
        <f t="shared" si="7"/>
        <v>0</v>
      </c>
      <c r="T110" s="81"/>
      <c r="U110" s="81"/>
      <c r="V110" s="81"/>
      <c r="W110" s="81"/>
      <c r="X110" s="81"/>
      <c r="Y110" s="81"/>
      <c r="Z110" s="81"/>
    </row>
    <row r="111" spans="1:26" ht="24" customHeight="1" x14ac:dyDescent="0.5">
      <c r="A111" s="284">
        <f t="shared" si="143"/>
        <v>5</v>
      </c>
      <c r="B111" s="71" t="s">
        <v>126</v>
      </c>
      <c r="C111" s="400">
        <f t="shared" si="139"/>
        <v>0</v>
      </c>
      <c r="D111" s="55">
        <v>0</v>
      </c>
      <c r="E111" s="55">
        <v>0</v>
      </c>
      <c r="F111" s="99">
        <v>0</v>
      </c>
      <c r="G111" s="99">
        <f t="shared" si="1"/>
        <v>0</v>
      </c>
      <c r="H111" s="402">
        <v>0</v>
      </c>
      <c r="I111" s="55">
        <f t="shared" ref="I111:J111" si="145">SUM(M111,Q111)</f>
        <v>0</v>
      </c>
      <c r="J111" s="55">
        <f t="shared" si="145"/>
        <v>0</v>
      </c>
      <c r="K111" s="403">
        <f t="shared" si="3"/>
        <v>0</v>
      </c>
      <c r="L111" s="55">
        <v>0</v>
      </c>
      <c r="M111" s="55">
        <v>0</v>
      </c>
      <c r="N111" s="55">
        <v>0</v>
      </c>
      <c r="O111" s="99">
        <f t="shared" si="5"/>
        <v>0</v>
      </c>
      <c r="P111" s="55">
        <v>0</v>
      </c>
      <c r="Q111" s="55">
        <v>0</v>
      </c>
      <c r="R111" s="55">
        <v>0</v>
      </c>
      <c r="S111" s="277">
        <f t="shared" si="7"/>
        <v>0</v>
      </c>
      <c r="T111" s="81"/>
      <c r="U111" s="81"/>
      <c r="V111" s="81"/>
      <c r="W111" s="81"/>
      <c r="X111" s="81"/>
      <c r="Y111" s="81"/>
      <c r="Z111" s="81"/>
    </row>
    <row r="112" spans="1:26" ht="24" customHeight="1" x14ac:dyDescent="0.5">
      <c r="A112" s="284">
        <f t="shared" si="143"/>
        <v>6</v>
      </c>
      <c r="B112" s="71" t="s">
        <v>127</v>
      </c>
      <c r="C112" s="400">
        <f t="shared" si="139"/>
        <v>0</v>
      </c>
      <c r="D112" s="55">
        <v>0</v>
      </c>
      <c r="E112" s="55">
        <v>0</v>
      </c>
      <c r="F112" s="99">
        <v>0</v>
      </c>
      <c r="G112" s="99">
        <f t="shared" si="1"/>
        <v>0</v>
      </c>
      <c r="H112" s="402">
        <v>0</v>
      </c>
      <c r="I112" s="55">
        <f t="shared" ref="I112:J112" si="146">SUM(M112,Q112)</f>
        <v>0</v>
      </c>
      <c r="J112" s="55">
        <f t="shared" si="146"/>
        <v>0</v>
      </c>
      <c r="K112" s="403">
        <f t="shared" si="3"/>
        <v>0</v>
      </c>
      <c r="L112" s="55">
        <v>0</v>
      </c>
      <c r="M112" s="55">
        <v>0</v>
      </c>
      <c r="N112" s="55">
        <v>0</v>
      </c>
      <c r="O112" s="99">
        <f t="shared" si="5"/>
        <v>0</v>
      </c>
      <c r="P112" s="55">
        <v>0</v>
      </c>
      <c r="Q112" s="55">
        <v>0</v>
      </c>
      <c r="R112" s="55">
        <v>0</v>
      </c>
      <c r="S112" s="277">
        <f t="shared" si="7"/>
        <v>0</v>
      </c>
      <c r="T112" s="81"/>
      <c r="U112" s="81"/>
      <c r="V112" s="81"/>
      <c r="W112" s="81"/>
      <c r="X112" s="81"/>
      <c r="Y112" s="81"/>
      <c r="Z112" s="81"/>
    </row>
    <row r="113" spans="1:26" ht="24" customHeight="1" x14ac:dyDescent="0.5">
      <c r="A113" s="284">
        <v>7</v>
      </c>
      <c r="B113" s="71" t="s">
        <v>128</v>
      </c>
      <c r="C113" s="400">
        <f t="shared" si="139"/>
        <v>0</v>
      </c>
      <c r="D113" s="55">
        <v>0</v>
      </c>
      <c r="E113" s="55">
        <v>0</v>
      </c>
      <c r="F113" s="99">
        <v>0</v>
      </c>
      <c r="G113" s="99">
        <f t="shared" si="1"/>
        <v>0</v>
      </c>
      <c r="H113" s="402">
        <v>0</v>
      </c>
      <c r="I113" s="55">
        <f t="shared" ref="I113:J113" si="147">SUM(M113,Q113)</f>
        <v>0</v>
      </c>
      <c r="J113" s="55">
        <f t="shared" si="147"/>
        <v>0</v>
      </c>
      <c r="K113" s="403">
        <f t="shared" si="3"/>
        <v>0</v>
      </c>
      <c r="L113" s="55">
        <v>0</v>
      </c>
      <c r="M113" s="55">
        <v>0</v>
      </c>
      <c r="N113" s="55">
        <v>0</v>
      </c>
      <c r="O113" s="99">
        <f t="shared" si="5"/>
        <v>0</v>
      </c>
      <c r="P113" s="55">
        <v>0</v>
      </c>
      <c r="Q113" s="55">
        <v>0</v>
      </c>
      <c r="R113" s="55">
        <v>0</v>
      </c>
      <c r="S113" s="277">
        <f t="shared" si="7"/>
        <v>0</v>
      </c>
      <c r="T113" s="81"/>
      <c r="U113" s="81"/>
      <c r="V113" s="81"/>
      <c r="W113" s="81"/>
      <c r="X113" s="81"/>
      <c r="Y113" s="81"/>
      <c r="Z113" s="81"/>
    </row>
    <row r="114" spans="1:26" ht="24" customHeight="1" thickBot="1" x14ac:dyDescent="0.55000000000000004">
      <c r="A114" s="493">
        <v>8</v>
      </c>
      <c r="B114" s="494" t="s">
        <v>129</v>
      </c>
      <c r="C114" s="553">
        <f t="shared" si="139"/>
        <v>0</v>
      </c>
      <c r="D114" s="79">
        <v>0</v>
      </c>
      <c r="E114" s="79">
        <v>0</v>
      </c>
      <c r="F114" s="104">
        <v>0</v>
      </c>
      <c r="G114" s="104">
        <f t="shared" si="1"/>
        <v>0</v>
      </c>
      <c r="H114" s="433">
        <v>0</v>
      </c>
      <c r="I114" s="79">
        <f t="shared" ref="I114:J114" si="148">SUM(M114,Q114)</f>
        <v>0</v>
      </c>
      <c r="J114" s="79">
        <f t="shared" si="148"/>
        <v>0</v>
      </c>
      <c r="K114" s="434">
        <f t="shared" si="3"/>
        <v>0</v>
      </c>
      <c r="L114" s="79">
        <v>0</v>
      </c>
      <c r="M114" s="79">
        <v>0</v>
      </c>
      <c r="N114" s="79">
        <v>0</v>
      </c>
      <c r="O114" s="104">
        <f t="shared" si="5"/>
        <v>0</v>
      </c>
      <c r="P114" s="79">
        <v>0</v>
      </c>
      <c r="Q114" s="79">
        <v>0</v>
      </c>
      <c r="R114" s="79">
        <v>0</v>
      </c>
      <c r="S114" s="288">
        <f t="shared" si="7"/>
        <v>0</v>
      </c>
      <c r="T114" s="81"/>
      <c r="U114" s="81"/>
      <c r="V114" s="81"/>
      <c r="W114" s="81"/>
      <c r="X114" s="81"/>
      <c r="Y114" s="81"/>
      <c r="Z114" s="81"/>
    </row>
    <row r="115" spans="1:26" s="203" customFormat="1" ht="24" customHeight="1" x14ac:dyDescent="0.55000000000000004">
      <c r="A115" s="467" t="s">
        <v>322</v>
      </c>
    </row>
    <row r="116" spans="1:26" ht="24" customHeight="1" x14ac:dyDescent="0.5">
      <c r="A116" s="3"/>
      <c r="B116" s="3"/>
      <c r="C116" s="3"/>
      <c r="D116" s="3"/>
      <c r="E116" s="3"/>
      <c r="F116" s="3"/>
      <c r="G116" s="3"/>
      <c r="H116" s="3"/>
      <c r="I116" s="4"/>
      <c r="J116" s="4"/>
      <c r="K116" s="83"/>
      <c r="L116" s="3"/>
      <c r="M116" s="4"/>
      <c r="N116" s="4"/>
      <c r="O116" s="83"/>
      <c r="P116" s="3"/>
      <c r="Q116" s="4"/>
      <c r="R116" s="3"/>
      <c r="S116" s="83"/>
      <c r="T116" s="81"/>
      <c r="U116" s="81"/>
      <c r="V116" s="81"/>
      <c r="W116" s="81"/>
      <c r="X116" s="81"/>
      <c r="Y116" s="81"/>
      <c r="Z116" s="81"/>
    </row>
    <row r="117" spans="1:26" ht="24" customHeight="1" x14ac:dyDescent="0.5">
      <c r="A117" s="3"/>
      <c r="B117" s="3"/>
      <c r="C117" s="3"/>
      <c r="D117" s="3"/>
      <c r="E117" s="3"/>
      <c r="F117" s="3"/>
      <c r="G117" s="3"/>
      <c r="H117" s="3"/>
      <c r="I117" s="4"/>
      <c r="J117" s="4"/>
      <c r="K117" s="83"/>
      <c r="L117" s="3"/>
      <c r="M117" s="4"/>
      <c r="N117" s="4"/>
      <c r="O117" s="83"/>
      <c r="P117" s="3"/>
      <c r="Q117" s="4"/>
      <c r="R117" s="3"/>
      <c r="S117" s="83"/>
      <c r="T117" s="81"/>
      <c r="U117" s="81"/>
      <c r="V117" s="81"/>
      <c r="W117" s="81"/>
      <c r="X117" s="81"/>
      <c r="Y117" s="81"/>
      <c r="Z117" s="81"/>
    </row>
    <row r="118" spans="1:26" ht="24" customHeight="1" x14ac:dyDescent="0.5">
      <c r="A118" s="3"/>
      <c r="B118" s="3"/>
      <c r="C118" s="3"/>
      <c r="D118" s="3"/>
      <c r="E118" s="3"/>
      <c r="F118" s="3"/>
      <c r="G118" s="3"/>
      <c r="H118" s="3"/>
      <c r="I118" s="4"/>
      <c r="J118" s="4"/>
      <c r="K118" s="83"/>
      <c r="L118" s="3"/>
      <c r="M118" s="4"/>
      <c r="N118" s="4"/>
      <c r="O118" s="83"/>
      <c r="P118" s="3"/>
      <c r="Q118" s="4"/>
      <c r="R118" s="3"/>
      <c r="S118" s="83"/>
      <c r="T118" s="81"/>
      <c r="U118" s="81"/>
      <c r="V118" s="81"/>
      <c r="W118" s="81"/>
      <c r="X118" s="81"/>
      <c r="Y118" s="81"/>
      <c r="Z118" s="81"/>
    </row>
    <row r="119" spans="1:26" ht="24" customHeight="1" x14ac:dyDescent="0.5">
      <c r="A119" s="3"/>
      <c r="B119" s="3"/>
      <c r="C119" s="3"/>
      <c r="D119" s="3"/>
      <c r="E119" s="3"/>
      <c r="F119" s="3"/>
      <c r="G119" s="3"/>
      <c r="H119" s="3"/>
      <c r="I119" s="4"/>
      <c r="J119" s="4"/>
      <c r="K119" s="83"/>
      <c r="L119" s="3"/>
      <c r="M119" s="4"/>
      <c r="N119" s="4"/>
      <c r="O119" s="83"/>
      <c r="P119" s="3"/>
      <c r="Q119" s="4"/>
      <c r="R119" s="3"/>
      <c r="S119" s="83"/>
      <c r="T119" s="81"/>
      <c r="U119" s="81"/>
      <c r="V119" s="81"/>
      <c r="W119" s="81"/>
      <c r="X119" s="81"/>
      <c r="Y119" s="81"/>
      <c r="Z119" s="81"/>
    </row>
    <row r="120" spans="1:26" ht="24" customHeight="1" x14ac:dyDescent="0.5">
      <c r="A120" s="3"/>
      <c r="B120" s="3"/>
      <c r="C120" s="3"/>
      <c r="D120" s="3"/>
      <c r="E120" s="3"/>
      <c r="F120" s="3"/>
      <c r="G120" s="3"/>
      <c r="H120" s="3"/>
      <c r="I120" s="4"/>
      <c r="J120" s="4"/>
      <c r="K120" s="83"/>
      <c r="L120" s="3"/>
      <c r="M120" s="4"/>
      <c r="N120" s="4"/>
      <c r="O120" s="83"/>
      <c r="P120" s="3"/>
      <c r="Q120" s="4"/>
      <c r="R120" s="3"/>
      <c r="S120" s="83"/>
      <c r="T120" s="81"/>
      <c r="U120" s="81"/>
      <c r="V120" s="81"/>
      <c r="W120" s="81"/>
      <c r="X120" s="81"/>
      <c r="Y120" s="81"/>
      <c r="Z120" s="81"/>
    </row>
    <row r="121" spans="1:26" ht="24" customHeight="1" x14ac:dyDescent="0.5">
      <c r="A121" s="3"/>
      <c r="B121" s="3"/>
      <c r="C121" s="3"/>
      <c r="D121" s="3"/>
      <c r="E121" s="3"/>
      <c r="F121" s="3"/>
      <c r="G121" s="3"/>
      <c r="H121" s="3"/>
      <c r="I121" s="4"/>
      <c r="J121" s="4"/>
      <c r="K121" s="83"/>
      <c r="L121" s="3"/>
      <c r="M121" s="4"/>
      <c r="N121" s="4"/>
      <c r="O121" s="83"/>
      <c r="P121" s="3"/>
      <c r="Q121" s="4"/>
      <c r="R121" s="3"/>
      <c r="S121" s="83"/>
      <c r="T121" s="81"/>
      <c r="U121" s="81"/>
      <c r="V121" s="81"/>
      <c r="W121" s="81"/>
      <c r="X121" s="81"/>
      <c r="Y121" s="81"/>
      <c r="Z121" s="81"/>
    </row>
    <row r="122" spans="1:26" ht="24" customHeight="1" x14ac:dyDescent="0.5">
      <c r="A122" s="3"/>
      <c r="B122" s="3"/>
      <c r="C122" s="3"/>
      <c r="D122" s="3"/>
      <c r="E122" s="3"/>
      <c r="F122" s="3"/>
      <c r="G122" s="3"/>
      <c r="H122" s="3"/>
      <c r="I122" s="4"/>
      <c r="J122" s="4"/>
      <c r="K122" s="83"/>
      <c r="L122" s="3"/>
      <c r="M122" s="4"/>
      <c r="N122" s="4"/>
      <c r="O122" s="83"/>
      <c r="P122" s="3"/>
      <c r="Q122" s="4"/>
      <c r="R122" s="3"/>
      <c r="S122" s="83"/>
      <c r="T122" s="81"/>
      <c r="U122" s="81"/>
      <c r="V122" s="81"/>
      <c r="W122" s="81"/>
      <c r="X122" s="81"/>
      <c r="Y122" s="81"/>
      <c r="Z122" s="81"/>
    </row>
    <row r="123" spans="1:26" ht="24" customHeight="1" x14ac:dyDescent="0.5">
      <c r="A123" s="3"/>
      <c r="B123" s="3"/>
      <c r="C123" s="3"/>
      <c r="D123" s="3"/>
      <c r="E123" s="3"/>
      <c r="F123" s="3"/>
      <c r="G123" s="3"/>
      <c r="H123" s="3"/>
      <c r="I123" s="4"/>
      <c r="J123" s="4"/>
      <c r="K123" s="83"/>
      <c r="L123" s="3"/>
      <c r="M123" s="4"/>
      <c r="N123" s="4"/>
      <c r="O123" s="83"/>
      <c r="P123" s="3"/>
      <c r="Q123" s="4"/>
      <c r="R123" s="3"/>
      <c r="S123" s="83"/>
      <c r="T123" s="81"/>
      <c r="U123" s="81"/>
      <c r="V123" s="81"/>
      <c r="W123" s="81"/>
      <c r="X123" s="81"/>
      <c r="Y123" s="81"/>
      <c r="Z123" s="81"/>
    </row>
    <row r="124" spans="1:26" ht="24" customHeight="1" x14ac:dyDescent="0.5">
      <c r="A124" s="3"/>
      <c r="B124" s="3"/>
      <c r="C124" s="3"/>
      <c r="D124" s="3"/>
      <c r="E124" s="3"/>
      <c r="F124" s="3"/>
      <c r="G124" s="3"/>
      <c r="H124" s="3"/>
      <c r="I124" s="4"/>
      <c r="J124" s="4"/>
      <c r="K124" s="83"/>
      <c r="L124" s="3"/>
      <c r="M124" s="4"/>
      <c r="N124" s="4"/>
      <c r="O124" s="83"/>
      <c r="P124" s="3"/>
      <c r="Q124" s="4"/>
      <c r="R124" s="3"/>
      <c r="S124" s="83"/>
      <c r="T124" s="81"/>
      <c r="U124" s="81"/>
      <c r="V124" s="81"/>
      <c r="W124" s="81"/>
      <c r="X124" s="81"/>
      <c r="Y124" s="81"/>
      <c r="Z124" s="81"/>
    </row>
    <row r="125" spans="1:26" ht="24" customHeight="1" x14ac:dyDescent="0.5">
      <c r="A125" s="3"/>
      <c r="B125" s="3"/>
      <c r="C125" s="3"/>
      <c r="D125" s="3"/>
      <c r="E125" s="3"/>
      <c r="F125" s="3"/>
      <c r="G125" s="3"/>
      <c r="H125" s="3"/>
      <c r="I125" s="4"/>
      <c r="J125" s="4"/>
      <c r="K125" s="83"/>
      <c r="L125" s="3"/>
      <c r="M125" s="4"/>
      <c r="N125" s="4"/>
      <c r="O125" s="83"/>
      <c r="P125" s="3"/>
      <c r="Q125" s="4"/>
      <c r="R125" s="3"/>
      <c r="S125" s="83"/>
      <c r="T125" s="81"/>
      <c r="U125" s="81"/>
      <c r="V125" s="81"/>
      <c r="W125" s="81"/>
      <c r="X125" s="81"/>
      <c r="Y125" s="81"/>
      <c r="Z125" s="81"/>
    </row>
    <row r="126" spans="1:26" ht="24" customHeight="1" x14ac:dyDescent="0.5">
      <c r="A126" s="3"/>
      <c r="B126" s="3"/>
      <c r="C126" s="3"/>
      <c r="D126" s="3"/>
      <c r="E126" s="3"/>
      <c r="F126" s="3"/>
      <c r="G126" s="3"/>
      <c r="H126" s="3"/>
      <c r="I126" s="4"/>
      <c r="J126" s="4"/>
      <c r="K126" s="83"/>
      <c r="L126" s="3"/>
      <c r="M126" s="4"/>
      <c r="N126" s="4"/>
      <c r="O126" s="83"/>
      <c r="P126" s="3"/>
      <c r="Q126" s="4"/>
      <c r="R126" s="3"/>
      <c r="S126" s="83"/>
      <c r="T126" s="81"/>
      <c r="U126" s="81"/>
      <c r="V126" s="81"/>
      <c r="W126" s="81"/>
      <c r="X126" s="81"/>
      <c r="Y126" s="81"/>
      <c r="Z126" s="81"/>
    </row>
    <row r="127" spans="1:26" ht="24" customHeight="1" x14ac:dyDescent="0.5">
      <c r="A127" s="3"/>
      <c r="B127" s="3"/>
      <c r="C127" s="3"/>
      <c r="D127" s="3"/>
      <c r="E127" s="3"/>
      <c r="F127" s="3"/>
      <c r="G127" s="3"/>
      <c r="H127" s="3"/>
      <c r="I127" s="4"/>
      <c r="J127" s="4"/>
      <c r="K127" s="83"/>
      <c r="L127" s="3"/>
      <c r="M127" s="4"/>
      <c r="N127" s="4"/>
      <c r="O127" s="83"/>
      <c r="P127" s="3"/>
      <c r="Q127" s="4"/>
      <c r="R127" s="3"/>
      <c r="S127" s="83"/>
      <c r="T127" s="81"/>
      <c r="U127" s="81"/>
      <c r="V127" s="81"/>
      <c r="W127" s="81"/>
      <c r="X127" s="81"/>
      <c r="Y127" s="81"/>
      <c r="Z127" s="81"/>
    </row>
    <row r="128" spans="1:26" ht="24" customHeight="1" x14ac:dyDescent="0.5">
      <c r="A128" s="3"/>
      <c r="B128" s="3"/>
      <c r="C128" s="3"/>
      <c r="D128" s="3"/>
      <c r="E128" s="3"/>
      <c r="F128" s="3"/>
      <c r="G128" s="3"/>
      <c r="H128" s="3"/>
      <c r="I128" s="4"/>
      <c r="J128" s="4"/>
      <c r="K128" s="83"/>
      <c r="L128" s="3"/>
      <c r="M128" s="4"/>
      <c r="N128" s="4"/>
      <c r="O128" s="83"/>
      <c r="P128" s="3"/>
      <c r="Q128" s="4"/>
      <c r="R128" s="3"/>
      <c r="S128" s="83"/>
      <c r="T128" s="81"/>
      <c r="U128" s="81"/>
      <c r="V128" s="81"/>
      <c r="W128" s="81"/>
      <c r="X128" s="81"/>
      <c r="Y128" s="81"/>
      <c r="Z128" s="81"/>
    </row>
    <row r="129" spans="1:26" ht="24" customHeight="1" x14ac:dyDescent="0.5">
      <c r="A129" s="3"/>
      <c r="B129" s="3"/>
      <c r="C129" s="3"/>
      <c r="D129" s="3"/>
      <c r="E129" s="3"/>
      <c r="F129" s="3"/>
      <c r="G129" s="3"/>
      <c r="H129" s="3"/>
      <c r="I129" s="4"/>
      <c r="J129" s="4"/>
      <c r="K129" s="83"/>
      <c r="L129" s="3"/>
      <c r="M129" s="4"/>
      <c r="N129" s="4"/>
      <c r="O129" s="83"/>
      <c r="P129" s="3"/>
      <c r="Q129" s="4"/>
      <c r="R129" s="3"/>
      <c r="S129" s="83"/>
      <c r="T129" s="81"/>
      <c r="U129" s="81"/>
      <c r="V129" s="81"/>
      <c r="W129" s="81"/>
      <c r="X129" s="81"/>
      <c r="Y129" s="81"/>
      <c r="Z129" s="81"/>
    </row>
    <row r="130" spans="1:26" ht="24" customHeight="1" x14ac:dyDescent="0.5">
      <c r="A130" s="3"/>
      <c r="B130" s="3"/>
      <c r="C130" s="3"/>
      <c r="D130" s="3"/>
      <c r="E130" s="3"/>
      <c r="F130" s="3"/>
      <c r="G130" s="3"/>
      <c r="H130" s="3"/>
      <c r="I130" s="4"/>
      <c r="J130" s="4"/>
      <c r="K130" s="83"/>
      <c r="L130" s="3"/>
      <c r="M130" s="4"/>
      <c r="N130" s="4"/>
      <c r="O130" s="83"/>
      <c r="P130" s="3"/>
      <c r="Q130" s="4"/>
      <c r="R130" s="3"/>
      <c r="S130" s="83"/>
      <c r="T130" s="81"/>
      <c r="U130" s="81"/>
      <c r="V130" s="81"/>
      <c r="W130" s="81"/>
      <c r="X130" s="81"/>
      <c r="Y130" s="81"/>
      <c r="Z130" s="81"/>
    </row>
    <row r="131" spans="1:26" ht="24" customHeight="1" x14ac:dyDescent="0.5">
      <c r="A131" s="3"/>
      <c r="B131" s="3"/>
      <c r="C131" s="3"/>
      <c r="D131" s="3"/>
      <c r="E131" s="3"/>
      <c r="F131" s="3"/>
      <c r="G131" s="3"/>
      <c r="H131" s="3"/>
      <c r="I131" s="4"/>
      <c r="J131" s="4"/>
      <c r="K131" s="83"/>
      <c r="L131" s="3"/>
      <c r="M131" s="4"/>
      <c r="N131" s="4"/>
      <c r="O131" s="83"/>
      <c r="P131" s="3"/>
      <c r="Q131" s="4"/>
      <c r="R131" s="3"/>
      <c r="S131" s="83"/>
      <c r="T131" s="81"/>
      <c r="U131" s="81"/>
      <c r="V131" s="81"/>
      <c r="W131" s="81"/>
      <c r="X131" s="81"/>
      <c r="Y131" s="81"/>
      <c r="Z131" s="81"/>
    </row>
    <row r="132" spans="1:26" ht="24" customHeight="1" x14ac:dyDescent="0.5">
      <c r="A132" s="3"/>
      <c r="B132" s="3"/>
      <c r="C132" s="3"/>
      <c r="D132" s="3"/>
      <c r="E132" s="3"/>
      <c r="F132" s="3"/>
      <c r="G132" s="3"/>
      <c r="H132" s="3"/>
      <c r="I132" s="4"/>
      <c r="J132" s="4"/>
      <c r="K132" s="83"/>
      <c r="L132" s="3"/>
      <c r="M132" s="4"/>
      <c r="N132" s="4"/>
      <c r="O132" s="83"/>
      <c r="P132" s="3"/>
      <c r="Q132" s="4"/>
      <c r="R132" s="3"/>
      <c r="S132" s="83"/>
      <c r="T132" s="81"/>
      <c r="U132" s="81"/>
      <c r="V132" s="81"/>
      <c r="W132" s="81"/>
      <c r="X132" s="81"/>
      <c r="Y132" s="81"/>
      <c r="Z132" s="81"/>
    </row>
    <row r="133" spans="1:26" ht="24" customHeight="1" x14ac:dyDescent="0.5">
      <c r="A133" s="3"/>
      <c r="B133" s="3"/>
      <c r="C133" s="3"/>
      <c r="D133" s="3"/>
      <c r="E133" s="3"/>
      <c r="F133" s="3"/>
      <c r="G133" s="3"/>
      <c r="H133" s="3"/>
      <c r="I133" s="4"/>
      <c r="J133" s="4"/>
      <c r="K133" s="83"/>
      <c r="L133" s="3"/>
      <c r="M133" s="4"/>
      <c r="N133" s="4"/>
      <c r="O133" s="83"/>
      <c r="P133" s="3"/>
      <c r="Q133" s="4"/>
      <c r="R133" s="3"/>
      <c r="S133" s="83"/>
      <c r="T133" s="81"/>
      <c r="U133" s="81"/>
      <c r="V133" s="81"/>
      <c r="W133" s="81"/>
      <c r="X133" s="81"/>
      <c r="Y133" s="81"/>
      <c r="Z133" s="81"/>
    </row>
    <row r="134" spans="1:26" ht="24" customHeight="1" x14ac:dyDescent="0.5">
      <c r="A134" s="3"/>
      <c r="B134" s="3"/>
      <c r="C134" s="3"/>
      <c r="D134" s="3"/>
      <c r="E134" s="3"/>
      <c r="F134" s="3"/>
      <c r="G134" s="3"/>
      <c r="H134" s="3"/>
      <c r="I134" s="4"/>
      <c r="J134" s="4"/>
      <c r="K134" s="83"/>
      <c r="L134" s="3"/>
      <c r="M134" s="4"/>
      <c r="N134" s="4"/>
      <c r="O134" s="83"/>
      <c r="P134" s="3"/>
      <c r="Q134" s="4"/>
      <c r="R134" s="3"/>
      <c r="S134" s="83"/>
      <c r="T134" s="81"/>
      <c r="U134" s="81"/>
      <c r="V134" s="81"/>
      <c r="W134" s="81"/>
      <c r="X134" s="81"/>
      <c r="Y134" s="81"/>
      <c r="Z134" s="81"/>
    </row>
    <row r="135" spans="1:26" ht="24" customHeight="1" x14ac:dyDescent="0.5">
      <c r="A135" s="3"/>
      <c r="B135" s="3"/>
      <c r="C135" s="3"/>
      <c r="D135" s="3"/>
      <c r="E135" s="3"/>
      <c r="F135" s="3"/>
      <c r="G135" s="3"/>
      <c r="H135" s="3"/>
      <c r="I135" s="4"/>
      <c r="J135" s="4"/>
      <c r="K135" s="83"/>
      <c r="L135" s="3"/>
      <c r="M135" s="4"/>
      <c r="N135" s="4"/>
      <c r="O135" s="83"/>
      <c r="P135" s="3"/>
      <c r="Q135" s="4"/>
      <c r="R135" s="3"/>
      <c r="S135" s="83"/>
      <c r="T135" s="81"/>
      <c r="U135" s="81"/>
      <c r="V135" s="81"/>
      <c r="W135" s="81"/>
      <c r="X135" s="81"/>
      <c r="Y135" s="81"/>
      <c r="Z135" s="81"/>
    </row>
    <row r="136" spans="1:26" ht="24" customHeight="1" x14ac:dyDescent="0.5">
      <c r="A136" s="3"/>
      <c r="B136" s="3"/>
      <c r="C136" s="3"/>
      <c r="D136" s="3"/>
      <c r="E136" s="3"/>
      <c r="F136" s="3"/>
      <c r="G136" s="3"/>
      <c r="H136" s="3"/>
      <c r="I136" s="4"/>
      <c r="J136" s="4"/>
      <c r="K136" s="83"/>
      <c r="L136" s="3"/>
      <c r="M136" s="4"/>
      <c r="N136" s="4"/>
      <c r="O136" s="83"/>
      <c r="P136" s="3"/>
      <c r="Q136" s="4"/>
      <c r="R136" s="3"/>
      <c r="S136" s="83"/>
      <c r="T136" s="81"/>
      <c r="U136" s="81"/>
      <c r="V136" s="81"/>
      <c r="W136" s="81"/>
      <c r="X136" s="81"/>
      <c r="Y136" s="81"/>
      <c r="Z136" s="81"/>
    </row>
    <row r="137" spans="1:26" ht="24" customHeight="1" x14ac:dyDescent="0.5">
      <c r="A137" s="3"/>
      <c r="B137" s="3"/>
      <c r="C137" s="3"/>
      <c r="D137" s="3"/>
      <c r="E137" s="3"/>
      <c r="F137" s="3"/>
      <c r="G137" s="3"/>
      <c r="H137" s="3"/>
      <c r="I137" s="4"/>
      <c r="J137" s="4"/>
      <c r="K137" s="83"/>
      <c r="L137" s="3"/>
      <c r="M137" s="4"/>
      <c r="N137" s="4"/>
      <c r="O137" s="83"/>
      <c r="P137" s="3"/>
      <c r="Q137" s="4"/>
      <c r="R137" s="3"/>
      <c r="S137" s="83"/>
      <c r="T137" s="81"/>
      <c r="U137" s="81"/>
      <c r="V137" s="81"/>
      <c r="W137" s="81"/>
      <c r="X137" s="81"/>
      <c r="Y137" s="81"/>
      <c r="Z137" s="81"/>
    </row>
    <row r="138" spans="1:26" ht="24" customHeight="1" x14ac:dyDescent="0.5">
      <c r="A138" s="3"/>
      <c r="B138" s="3"/>
      <c r="C138" s="3"/>
      <c r="D138" s="3"/>
      <c r="E138" s="3"/>
      <c r="F138" s="3"/>
      <c r="G138" s="3"/>
      <c r="H138" s="3"/>
      <c r="I138" s="4"/>
      <c r="J138" s="4"/>
      <c r="K138" s="83"/>
      <c r="L138" s="3"/>
      <c r="M138" s="4"/>
      <c r="N138" s="4"/>
      <c r="O138" s="83"/>
      <c r="P138" s="3"/>
      <c r="Q138" s="4"/>
      <c r="R138" s="3"/>
      <c r="S138" s="83"/>
      <c r="T138" s="81"/>
      <c r="U138" s="81"/>
      <c r="V138" s="81"/>
      <c r="W138" s="81"/>
      <c r="X138" s="81"/>
      <c r="Y138" s="81"/>
      <c r="Z138" s="81"/>
    </row>
    <row r="139" spans="1:26" ht="24" customHeight="1" x14ac:dyDescent="0.5">
      <c r="A139" s="3"/>
      <c r="B139" s="3"/>
      <c r="C139" s="3"/>
      <c r="D139" s="3"/>
      <c r="E139" s="3"/>
      <c r="F139" s="3"/>
      <c r="G139" s="3"/>
      <c r="H139" s="3"/>
      <c r="I139" s="4"/>
      <c r="J139" s="4"/>
      <c r="K139" s="83"/>
      <c r="L139" s="3"/>
      <c r="M139" s="4"/>
      <c r="N139" s="4"/>
      <c r="O139" s="83"/>
      <c r="P139" s="3"/>
      <c r="Q139" s="4"/>
      <c r="R139" s="3"/>
      <c r="S139" s="83"/>
      <c r="T139" s="81"/>
      <c r="U139" s="81"/>
      <c r="V139" s="81"/>
      <c r="W139" s="81"/>
      <c r="X139" s="81"/>
      <c r="Y139" s="81"/>
      <c r="Z139" s="81"/>
    </row>
    <row r="140" spans="1:26" ht="24" customHeight="1" x14ac:dyDescent="0.5">
      <c r="A140" s="3"/>
      <c r="B140" s="3"/>
      <c r="C140" s="3"/>
      <c r="D140" s="3"/>
      <c r="E140" s="3"/>
      <c r="F140" s="3"/>
      <c r="G140" s="3"/>
      <c r="H140" s="3"/>
      <c r="I140" s="4"/>
      <c r="J140" s="4"/>
      <c r="K140" s="83"/>
      <c r="L140" s="3"/>
      <c r="M140" s="4"/>
      <c r="N140" s="4"/>
      <c r="O140" s="83"/>
      <c r="P140" s="3"/>
      <c r="Q140" s="4"/>
      <c r="R140" s="3"/>
      <c r="S140" s="83"/>
      <c r="T140" s="81"/>
      <c r="U140" s="81"/>
      <c r="V140" s="81"/>
      <c r="W140" s="81"/>
      <c r="X140" s="81"/>
      <c r="Y140" s="81"/>
      <c r="Z140" s="81"/>
    </row>
    <row r="141" spans="1:26" ht="24" customHeight="1" x14ac:dyDescent="0.5">
      <c r="A141" s="3"/>
      <c r="B141" s="3"/>
      <c r="C141" s="3"/>
      <c r="D141" s="3"/>
      <c r="E141" s="3"/>
      <c r="F141" s="3"/>
      <c r="G141" s="3"/>
      <c r="H141" s="3"/>
      <c r="I141" s="4"/>
      <c r="J141" s="4"/>
      <c r="K141" s="83"/>
      <c r="L141" s="3"/>
      <c r="M141" s="4"/>
      <c r="N141" s="4"/>
      <c r="O141" s="83"/>
      <c r="P141" s="3"/>
      <c r="Q141" s="4"/>
      <c r="R141" s="3"/>
      <c r="S141" s="83"/>
      <c r="T141" s="81"/>
      <c r="U141" s="81"/>
      <c r="V141" s="81"/>
      <c r="W141" s="81"/>
      <c r="X141" s="81"/>
      <c r="Y141" s="81"/>
      <c r="Z141" s="81"/>
    </row>
    <row r="142" spans="1:26" ht="24" customHeight="1" x14ac:dyDescent="0.5">
      <c r="A142" s="3"/>
      <c r="B142" s="3"/>
      <c r="C142" s="3"/>
      <c r="D142" s="3"/>
      <c r="E142" s="3"/>
      <c r="F142" s="3"/>
      <c r="G142" s="3"/>
      <c r="H142" s="3"/>
      <c r="I142" s="4"/>
      <c r="J142" s="4"/>
      <c r="K142" s="83"/>
      <c r="L142" s="3"/>
      <c r="M142" s="4"/>
      <c r="N142" s="4"/>
      <c r="O142" s="83"/>
      <c r="P142" s="3"/>
      <c r="Q142" s="4"/>
      <c r="R142" s="3"/>
      <c r="S142" s="83"/>
      <c r="T142" s="81"/>
      <c r="U142" s="81"/>
      <c r="V142" s="81"/>
      <c r="W142" s="81"/>
      <c r="X142" s="81"/>
      <c r="Y142" s="81"/>
      <c r="Z142" s="81"/>
    </row>
    <row r="143" spans="1:26" ht="24" customHeight="1" x14ac:dyDescent="0.5">
      <c r="A143" s="3"/>
      <c r="B143" s="3"/>
      <c r="C143" s="3"/>
      <c r="D143" s="3"/>
      <c r="E143" s="3"/>
      <c r="F143" s="3"/>
      <c r="G143" s="3"/>
      <c r="H143" s="3"/>
      <c r="I143" s="4"/>
      <c r="J143" s="4"/>
      <c r="K143" s="83"/>
      <c r="L143" s="3"/>
      <c r="M143" s="4"/>
      <c r="N143" s="4"/>
      <c r="O143" s="83"/>
      <c r="P143" s="3"/>
      <c r="Q143" s="4"/>
      <c r="R143" s="3"/>
      <c r="S143" s="83"/>
      <c r="T143" s="81"/>
      <c r="U143" s="81"/>
      <c r="V143" s="81"/>
      <c r="W143" s="81"/>
      <c r="X143" s="81"/>
      <c r="Y143" s="81"/>
      <c r="Z143" s="81"/>
    </row>
    <row r="144" spans="1:26" ht="24" customHeight="1" x14ac:dyDescent="0.5">
      <c r="A144" s="3"/>
      <c r="B144" s="3"/>
      <c r="C144" s="3"/>
      <c r="D144" s="3"/>
      <c r="E144" s="3"/>
      <c r="F144" s="3"/>
      <c r="G144" s="3"/>
      <c r="H144" s="3"/>
      <c r="I144" s="4"/>
      <c r="J144" s="4"/>
      <c r="K144" s="83"/>
      <c r="L144" s="3"/>
      <c r="M144" s="4"/>
      <c r="N144" s="4"/>
      <c r="O144" s="83"/>
      <c r="P144" s="3"/>
      <c r="Q144" s="4"/>
      <c r="R144" s="3"/>
      <c r="S144" s="83"/>
      <c r="T144" s="81"/>
      <c r="U144" s="81"/>
      <c r="V144" s="81"/>
      <c r="W144" s="81"/>
      <c r="X144" s="81"/>
      <c r="Y144" s="81"/>
      <c r="Z144" s="81"/>
    </row>
    <row r="145" spans="1:26" ht="24" customHeight="1" x14ac:dyDescent="0.5">
      <c r="A145" s="3"/>
      <c r="B145" s="3"/>
      <c r="C145" s="3"/>
      <c r="D145" s="3"/>
      <c r="E145" s="3"/>
      <c r="F145" s="3"/>
      <c r="G145" s="3"/>
      <c r="H145" s="3"/>
      <c r="I145" s="4"/>
      <c r="J145" s="4"/>
      <c r="K145" s="83"/>
      <c r="L145" s="3"/>
      <c r="M145" s="4"/>
      <c r="N145" s="4"/>
      <c r="O145" s="83"/>
      <c r="P145" s="3"/>
      <c r="Q145" s="4"/>
      <c r="R145" s="3"/>
      <c r="S145" s="83"/>
      <c r="T145" s="81"/>
      <c r="U145" s="81"/>
      <c r="V145" s="81"/>
      <c r="W145" s="81"/>
      <c r="X145" s="81"/>
      <c r="Y145" s="81"/>
      <c r="Z145" s="81"/>
    </row>
    <row r="146" spans="1:26" ht="24" customHeight="1" x14ac:dyDescent="0.5">
      <c r="A146" s="3"/>
      <c r="B146" s="3"/>
      <c r="C146" s="3"/>
      <c r="D146" s="3"/>
      <c r="E146" s="3"/>
      <c r="F146" s="3"/>
      <c r="G146" s="3"/>
      <c r="H146" s="3"/>
      <c r="I146" s="4"/>
      <c r="J146" s="4"/>
      <c r="K146" s="83"/>
      <c r="L146" s="3"/>
      <c r="M146" s="4"/>
      <c r="N146" s="4"/>
      <c r="O146" s="83"/>
      <c r="P146" s="3"/>
      <c r="Q146" s="4"/>
      <c r="R146" s="3"/>
      <c r="S146" s="83"/>
      <c r="T146" s="81"/>
      <c r="U146" s="81"/>
      <c r="V146" s="81"/>
      <c r="W146" s="81"/>
      <c r="X146" s="81"/>
      <c r="Y146" s="81"/>
      <c r="Z146" s="81"/>
    </row>
    <row r="147" spans="1:26" ht="24" customHeight="1" x14ac:dyDescent="0.5">
      <c r="A147" s="3"/>
      <c r="B147" s="3"/>
      <c r="C147" s="3"/>
      <c r="D147" s="3"/>
      <c r="E147" s="3"/>
      <c r="F147" s="3"/>
      <c r="G147" s="3"/>
      <c r="H147" s="3"/>
      <c r="I147" s="4"/>
      <c r="J147" s="4"/>
      <c r="K147" s="83"/>
      <c r="L147" s="3"/>
      <c r="M147" s="4"/>
      <c r="N147" s="4"/>
      <c r="O147" s="83"/>
      <c r="P147" s="3"/>
      <c r="Q147" s="4"/>
      <c r="R147" s="3"/>
      <c r="S147" s="83"/>
      <c r="T147" s="81"/>
      <c r="U147" s="81"/>
      <c r="V147" s="81"/>
      <c r="W147" s="81"/>
      <c r="X147" s="81"/>
      <c r="Y147" s="81"/>
      <c r="Z147" s="81"/>
    </row>
    <row r="148" spans="1:26" ht="24" customHeight="1" x14ac:dyDescent="0.5">
      <c r="A148" s="3"/>
      <c r="B148" s="3"/>
      <c r="C148" s="3"/>
      <c r="D148" s="3"/>
      <c r="E148" s="3"/>
      <c r="F148" s="3"/>
      <c r="G148" s="3"/>
      <c r="H148" s="3"/>
      <c r="I148" s="4"/>
      <c r="J148" s="4"/>
      <c r="K148" s="83"/>
      <c r="L148" s="3"/>
      <c r="M148" s="4"/>
      <c r="N148" s="4"/>
      <c r="O148" s="83"/>
      <c r="P148" s="3"/>
      <c r="Q148" s="4"/>
      <c r="R148" s="3"/>
      <c r="S148" s="83"/>
      <c r="T148" s="81"/>
      <c r="U148" s="81"/>
      <c r="V148" s="81"/>
      <c r="W148" s="81"/>
      <c r="X148" s="81"/>
      <c r="Y148" s="81"/>
      <c r="Z148" s="81"/>
    </row>
    <row r="149" spans="1:26" ht="24" customHeight="1" x14ac:dyDescent="0.5">
      <c r="A149" s="3"/>
      <c r="B149" s="3"/>
      <c r="C149" s="3"/>
      <c r="D149" s="3"/>
      <c r="E149" s="3"/>
      <c r="F149" s="3"/>
      <c r="G149" s="3"/>
      <c r="H149" s="3"/>
      <c r="I149" s="4"/>
      <c r="J149" s="4"/>
      <c r="K149" s="83"/>
      <c r="L149" s="3"/>
      <c r="M149" s="4"/>
      <c r="N149" s="4"/>
      <c r="O149" s="83"/>
      <c r="P149" s="3"/>
      <c r="Q149" s="4"/>
      <c r="R149" s="3"/>
      <c r="S149" s="83"/>
      <c r="T149" s="81"/>
      <c r="U149" s="81"/>
      <c r="V149" s="81"/>
      <c r="W149" s="81"/>
      <c r="X149" s="81"/>
      <c r="Y149" s="81"/>
      <c r="Z149" s="81"/>
    </row>
    <row r="150" spans="1:26" ht="24" customHeight="1" x14ac:dyDescent="0.5">
      <c r="A150" s="3"/>
      <c r="B150" s="3"/>
      <c r="C150" s="3"/>
      <c r="D150" s="3"/>
      <c r="E150" s="3"/>
      <c r="F150" s="3"/>
      <c r="G150" s="3"/>
      <c r="H150" s="3"/>
      <c r="I150" s="4"/>
      <c r="J150" s="4"/>
      <c r="K150" s="83"/>
      <c r="L150" s="3"/>
      <c r="M150" s="4"/>
      <c r="N150" s="4"/>
      <c r="O150" s="83"/>
      <c r="P150" s="3"/>
      <c r="Q150" s="4"/>
      <c r="R150" s="3"/>
      <c r="S150" s="83"/>
      <c r="T150" s="81"/>
      <c r="U150" s="81"/>
      <c r="V150" s="81"/>
      <c r="W150" s="81"/>
      <c r="X150" s="81"/>
      <c r="Y150" s="81"/>
      <c r="Z150" s="81"/>
    </row>
    <row r="151" spans="1:26" ht="24" customHeight="1" x14ac:dyDescent="0.5">
      <c r="A151" s="3"/>
      <c r="B151" s="3"/>
      <c r="C151" s="3"/>
      <c r="D151" s="3"/>
      <c r="E151" s="3"/>
      <c r="F151" s="3"/>
      <c r="G151" s="3"/>
      <c r="H151" s="3"/>
      <c r="I151" s="4"/>
      <c r="J151" s="4"/>
      <c r="K151" s="83"/>
      <c r="L151" s="3"/>
      <c r="M151" s="4"/>
      <c r="N151" s="4"/>
      <c r="O151" s="83"/>
      <c r="P151" s="3"/>
      <c r="Q151" s="4"/>
      <c r="R151" s="3"/>
      <c r="S151" s="83"/>
      <c r="T151" s="81"/>
      <c r="U151" s="81"/>
      <c r="V151" s="81"/>
      <c r="W151" s="81"/>
      <c r="X151" s="81"/>
      <c r="Y151" s="81"/>
      <c r="Z151" s="81"/>
    </row>
    <row r="152" spans="1:26" ht="24" customHeight="1" x14ac:dyDescent="0.5">
      <c r="A152" s="3"/>
      <c r="B152" s="3"/>
      <c r="C152" s="3"/>
      <c r="D152" s="3"/>
      <c r="E152" s="3"/>
      <c r="F152" s="3"/>
      <c r="G152" s="3"/>
      <c r="H152" s="3"/>
      <c r="I152" s="4"/>
      <c r="J152" s="4"/>
      <c r="K152" s="83"/>
      <c r="L152" s="3"/>
      <c r="M152" s="4"/>
      <c r="N152" s="4"/>
      <c r="O152" s="83"/>
      <c r="P152" s="3"/>
      <c r="Q152" s="4"/>
      <c r="R152" s="3"/>
      <c r="S152" s="83"/>
      <c r="T152" s="81"/>
      <c r="U152" s="81"/>
      <c r="V152" s="81"/>
      <c r="W152" s="81"/>
      <c r="X152" s="81"/>
      <c r="Y152" s="81"/>
      <c r="Z152" s="81"/>
    </row>
    <row r="153" spans="1:26" ht="24" customHeight="1" x14ac:dyDescent="0.5">
      <c r="A153" s="3"/>
      <c r="B153" s="3"/>
      <c r="C153" s="3"/>
      <c r="D153" s="3"/>
      <c r="E153" s="3"/>
      <c r="F153" s="3"/>
      <c r="G153" s="3"/>
      <c r="H153" s="3"/>
      <c r="I153" s="4"/>
      <c r="J153" s="4"/>
      <c r="K153" s="83"/>
      <c r="L153" s="3"/>
      <c r="M153" s="4"/>
      <c r="N153" s="4"/>
      <c r="O153" s="83"/>
      <c r="P153" s="3"/>
      <c r="Q153" s="4"/>
      <c r="R153" s="3"/>
      <c r="S153" s="83"/>
      <c r="T153" s="81"/>
      <c r="U153" s="81"/>
      <c r="V153" s="81"/>
      <c r="W153" s="81"/>
      <c r="X153" s="81"/>
      <c r="Y153" s="81"/>
      <c r="Z153" s="81"/>
    </row>
    <row r="154" spans="1:26" ht="24" customHeight="1" x14ac:dyDescent="0.5">
      <c r="A154" s="3"/>
      <c r="B154" s="3"/>
      <c r="C154" s="3"/>
      <c r="D154" s="3"/>
      <c r="E154" s="3"/>
      <c r="F154" s="3"/>
      <c r="G154" s="3"/>
      <c r="H154" s="3"/>
      <c r="I154" s="4"/>
      <c r="J154" s="4"/>
      <c r="K154" s="83"/>
      <c r="L154" s="3"/>
      <c r="M154" s="4"/>
      <c r="N154" s="4"/>
      <c r="O154" s="83"/>
      <c r="P154" s="3"/>
      <c r="Q154" s="4"/>
      <c r="R154" s="3"/>
      <c r="S154" s="83"/>
      <c r="T154" s="81"/>
      <c r="U154" s="81"/>
      <c r="V154" s="81"/>
      <c r="W154" s="81"/>
      <c r="X154" s="81"/>
      <c r="Y154" s="81"/>
      <c r="Z154" s="81"/>
    </row>
    <row r="155" spans="1:26" ht="24" customHeight="1" x14ac:dyDescent="0.5">
      <c r="A155" s="3"/>
      <c r="B155" s="3"/>
      <c r="C155" s="3"/>
      <c r="D155" s="3"/>
      <c r="E155" s="3"/>
      <c r="F155" s="3"/>
      <c r="G155" s="3"/>
      <c r="H155" s="3"/>
      <c r="I155" s="4"/>
      <c r="J155" s="4"/>
      <c r="K155" s="83"/>
      <c r="L155" s="3"/>
      <c r="M155" s="4"/>
      <c r="N155" s="4"/>
      <c r="O155" s="83"/>
      <c r="P155" s="3"/>
      <c r="Q155" s="4"/>
      <c r="R155" s="3"/>
      <c r="S155" s="83"/>
      <c r="T155" s="81"/>
      <c r="U155" s="81"/>
      <c r="V155" s="81"/>
      <c r="W155" s="81"/>
      <c r="X155" s="81"/>
      <c r="Y155" s="81"/>
      <c r="Z155" s="81"/>
    </row>
    <row r="156" spans="1:26" ht="24" customHeight="1" x14ac:dyDescent="0.5">
      <c r="A156" s="3"/>
      <c r="B156" s="3"/>
      <c r="C156" s="3"/>
      <c r="D156" s="3"/>
      <c r="E156" s="3"/>
      <c r="F156" s="3"/>
      <c r="G156" s="3"/>
      <c r="H156" s="3"/>
      <c r="I156" s="4"/>
      <c r="J156" s="4"/>
      <c r="K156" s="83"/>
      <c r="L156" s="3"/>
      <c r="M156" s="4"/>
      <c r="N156" s="4"/>
      <c r="O156" s="83"/>
      <c r="P156" s="3"/>
      <c r="Q156" s="4"/>
      <c r="R156" s="3"/>
      <c r="S156" s="83"/>
      <c r="T156" s="81"/>
      <c r="U156" s="81"/>
      <c r="V156" s="81"/>
      <c r="W156" s="81"/>
      <c r="X156" s="81"/>
      <c r="Y156" s="81"/>
      <c r="Z156" s="81"/>
    </row>
    <row r="157" spans="1:26" ht="24" customHeight="1" x14ac:dyDescent="0.5">
      <c r="A157" s="3"/>
      <c r="B157" s="3"/>
      <c r="C157" s="3"/>
      <c r="D157" s="3"/>
      <c r="E157" s="3"/>
      <c r="F157" s="3"/>
      <c r="G157" s="3"/>
      <c r="H157" s="3"/>
      <c r="I157" s="4"/>
      <c r="J157" s="4"/>
      <c r="K157" s="83"/>
      <c r="L157" s="3"/>
      <c r="M157" s="4"/>
      <c r="N157" s="4"/>
      <c r="O157" s="83"/>
      <c r="P157" s="3"/>
      <c r="Q157" s="4"/>
      <c r="R157" s="3"/>
      <c r="S157" s="83"/>
      <c r="T157" s="81"/>
      <c r="U157" s="81"/>
      <c r="V157" s="81"/>
      <c r="W157" s="81"/>
      <c r="X157" s="81"/>
      <c r="Y157" s="81"/>
      <c r="Z157" s="81"/>
    </row>
    <row r="158" spans="1:26" ht="24" customHeight="1" x14ac:dyDescent="0.5">
      <c r="A158" s="3"/>
      <c r="B158" s="3"/>
      <c r="C158" s="3"/>
      <c r="D158" s="3"/>
      <c r="E158" s="3"/>
      <c r="F158" s="3"/>
      <c r="G158" s="3"/>
      <c r="H158" s="3"/>
      <c r="I158" s="4"/>
      <c r="J158" s="4"/>
      <c r="K158" s="83"/>
      <c r="L158" s="3"/>
      <c r="M158" s="4"/>
      <c r="N158" s="4"/>
      <c r="O158" s="83"/>
      <c r="P158" s="3"/>
      <c r="Q158" s="4"/>
      <c r="R158" s="3"/>
      <c r="S158" s="83"/>
      <c r="T158" s="81"/>
      <c r="U158" s="81"/>
      <c r="V158" s="81"/>
      <c r="W158" s="81"/>
      <c r="X158" s="81"/>
      <c r="Y158" s="81"/>
      <c r="Z158" s="81"/>
    </row>
    <row r="159" spans="1:26" ht="24" customHeight="1" x14ac:dyDescent="0.5">
      <c r="A159" s="3"/>
      <c r="B159" s="3"/>
      <c r="C159" s="3"/>
      <c r="D159" s="3"/>
      <c r="E159" s="3"/>
      <c r="F159" s="3"/>
      <c r="G159" s="3"/>
      <c r="H159" s="3"/>
      <c r="I159" s="4"/>
      <c r="J159" s="4"/>
      <c r="K159" s="83"/>
      <c r="L159" s="3"/>
      <c r="M159" s="4"/>
      <c r="N159" s="4"/>
      <c r="O159" s="83"/>
      <c r="P159" s="3"/>
      <c r="Q159" s="4"/>
      <c r="R159" s="3"/>
      <c r="S159" s="83"/>
      <c r="T159" s="81"/>
      <c r="U159" s="81"/>
      <c r="V159" s="81"/>
      <c r="W159" s="81"/>
      <c r="X159" s="81"/>
      <c r="Y159" s="81"/>
      <c r="Z159" s="81"/>
    </row>
    <row r="160" spans="1:26" ht="24" customHeight="1" x14ac:dyDescent="0.5">
      <c r="A160" s="3"/>
      <c r="B160" s="3"/>
      <c r="C160" s="3"/>
      <c r="D160" s="3"/>
      <c r="E160" s="3"/>
      <c r="F160" s="3"/>
      <c r="G160" s="3"/>
      <c r="H160" s="3"/>
      <c r="I160" s="4"/>
      <c r="J160" s="4"/>
      <c r="K160" s="83"/>
      <c r="L160" s="3"/>
      <c r="M160" s="4"/>
      <c r="N160" s="4"/>
      <c r="O160" s="83"/>
      <c r="P160" s="3"/>
      <c r="Q160" s="4"/>
      <c r="R160" s="3"/>
      <c r="S160" s="83"/>
      <c r="T160" s="81"/>
      <c r="U160" s="81"/>
      <c r="V160" s="81"/>
      <c r="W160" s="81"/>
      <c r="X160" s="81"/>
      <c r="Y160" s="81"/>
      <c r="Z160" s="81"/>
    </row>
    <row r="161" spans="1:26" ht="24" customHeight="1" x14ac:dyDescent="0.5">
      <c r="A161" s="3"/>
      <c r="B161" s="3"/>
      <c r="C161" s="3"/>
      <c r="D161" s="3"/>
      <c r="E161" s="3"/>
      <c r="F161" s="3"/>
      <c r="G161" s="3"/>
      <c r="H161" s="3"/>
      <c r="I161" s="4"/>
      <c r="J161" s="4"/>
      <c r="K161" s="83"/>
      <c r="L161" s="3"/>
      <c r="M161" s="4"/>
      <c r="N161" s="4"/>
      <c r="O161" s="83"/>
      <c r="P161" s="3"/>
      <c r="Q161" s="4"/>
      <c r="R161" s="3"/>
      <c r="S161" s="83"/>
      <c r="T161" s="81"/>
      <c r="U161" s="81"/>
      <c r="V161" s="81"/>
      <c r="W161" s="81"/>
      <c r="X161" s="81"/>
      <c r="Y161" s="81"/>
      <c r="Z161" s="81"/>
    </row>
    <row r="162" spans="1:26" ht="24" customHeight="1" x14ac:dyDescent="0.5">
      <c r="A162" s="3"/>
      <c r="B162" s="3"/>
      <c r="C162" s="3"/>
      <c r="D162" s="3"/>
      <c r="E162" s="3"/>
      <c r="F162" s="3"/>
      <c r="G162" s="3"/>
      <c r="H162" s="3"/>
      <c r="I162" s="4"/>
      <c r="J162" s="4"/>
      <c r="K162" s="83"/>
      <c r="L162" s="3"/>
      <c r="M162" s="4"/>
      <c r="N162" s="4"/>
      <c r="O162" s="83"/>
      <c r="P162" s="3"/>
      <c r="Q162" s="4"/>
      <c r="R162" s="3"/>
      <c r="S162" s="83"/>
      <c r="T162" s="81"/>
      <c r="U162" s="81"/>
      <c r="V162" s="81"/>
      <c r="W162" s="81"/>
      <c r="X162" s="81"/>
      <c r="Y162" s="81"/>
      <c r="Z162" s="81"/>
    </row>
    <row r="163" spans="1:26" ht="24" customHeight="1" x14ac:dyDescent="0.5">
      <c r="A163" s="3"/>
      <c r="B163" s="3"/>
      <c r="C163" s="3"/>
      <c r="D163" s="3"/>
      <c r="E163" s="3"/>
      <c r="F163" s="3"/>
      <c r="G163" s="3"/>
      <c r="H163" s="3"/>
      <c r="I163" s="4"/>
      <c r="J163" s="4"/>
      <c r="K163" s="83"/>
      <c r="L163" s="3"/>
      <c r="M163" s="4"/>
      <c r="N163" s="4"/>
      <c r="O163" s="83"/>
      <c r="P163" s="3"/>
      <c r="Q163" s="4"/>
      <c r="R163" s="3"/>
      <c r="S163" s="83"/>
      <c r="T163" s="81"/>
      <c r="U163" s="81"/>
      <c r="V163" s="81"/>
      <c r="W163" s="81"/>
      <c r="X163" s="81"/>
      <c r="Y163" s="81"/>
      <c r="Z163" s="81"/>
    </row>
    <row r="164" spans="1:26" ht="24" customHeight="1" x14ac:dyDescent="0.5">
      <c r="A164" s="3"/>
      <c r="B164" s="3"/>
      <c r="C164" s="3"/>
      <c r="D164" s="3"/>
      <c r="E164" s="3"/>
      <c r="F164" s="3"/>
      <c r="G164" s="3"/>
      <c r="H164" s="3"/>
      <c r="I164" s="4"/>
      <c r="J164" s="4"/>
      <c r="K164" s="83"/>
      <c r="L164" s="3"/>
      <c r="M164" s="4"/>
      <c r="N164" s="4"/>
      <c r="O164" s="83"/>
      <c r="P164" s="3"/>
      <c r="Q164" s="4"/>
      <c r="R164" s="3"/>
      <c r="S164" s="83"/>
      <c r="T164" s="81"/>
      <c r="U164" s="81"/>
      <c r="V164" s="81"/>
      <c r="W164" s="81"/>
      <c r="X164" s="81"/>
      <c r="Y164" s="81"/>
      <c r="Z164" s="81"/>
    </row>
    <row r="165" spans="1:26" ht="24" customHeight="1" x14ac:dyDescent="0.5">
      <c r="A165" s="3"/>
      <c r="B165" s="3"/>
      <c r="C165" s="3"/>
      <c r="D165" s="3"/>
      <c r="E165" s="3"/>
      <c r="F165" s="3"/>
      <c r="G165" s="3"/>
      <c r="H165" s="3"/>
      <c r="I165" s="4"/>
      <c r="J165" s="4"/>
      <c r="K165" s="83"/>
      <c r="L165" s="3"/>
      <c r="M165" s="4"/>
      <c r="N165" s="4"/>
      <c r="O165" s="83"/>
      <c r="P165" s="3"/>
      <c r="Q165" s="4"/>
      <c r="R165" s="3"/>
      <c r="S165" s="83"/>
      <c r="T165" s="81"/>
      <c r="U165" s="81"/>
      <c r="V165" s="81"/>
      <c r="W165" s="81"/>
      <c r="X165" s="81"/>
      <c r="Y165" s="81"/>
      <c r="Z165" s="81"/>
    </row>
    <row r="166" spans="1:26" ht="24" customHeight="1" x14ac:dyDescent="0.5">
      <c r="A166" s="3"/>
      <c r="B166" s="3"/>
      <c r="C166" s="3"/>
      <c r="D166" s="3"/>
      <c r="E166" s="3"/>
      <c r="F166" s="3"/>
      <c r="G166" s="3"/>
      <c r="H166" s="3"/>
      <c r="I166" s="4"/>
      <c r="J166" s="4"/>
      <c r="K166" s="83"/>
      <c r="L166" s="3"/>
      <c r="M166" s="4"/>
      <c r="N166" s="4"/>
      <c r="O166" s="83"/>
      <c r="P166" s="3"/>
      <c r="Q166" s="4"/>
      <c r="R166" s="3"/>
      <c r="S166" s="83"/>
      <c r="T166" s="81"/>
      <c r="U166" s="81"/>
      <c r="V166" s="81"/>
      <c r="W166" s="81"/>
      <c r="X166" s="81"/>
      <c r="Y166" s="81"/>
      <c r="Z166" s="81"/>
    </row>
    <row r="167" spans="1:26" ht="24" customHeight="1" x14ac:dyDescent="0.5">
      <c r="A167" s="3"/>
      <c r="B167" s="3"/>
      <c r="C167" s="3"/>
      <c r="D167" s="3"/>
      <c r="E167" s="3"/>
      <c r="F167" s="3"/>
      <c r="G167" s="3"/>
      <c r="H167" s="3"/>
      <c r="I167" s="4"/>
      <c r="J167" s="4"/>
      <c r="K167" s="83"/>
      <c r="L167" s="3"/>
      <c r="M167" s="4"/>
      <c r="N167" s="4"/>
      <c r="O167" s="83"/>
      <c r="P167" s="3"/>
      <c r="Q167" s="4"/>
      <c r="R167" s="3"/>
      <c r="S167" s="83"/>
      <c r="T167" s="81"/>
      <c r="U167" s="81"/>
      <c r="V167" s="81"/>
      <c r="W167" s="81"/>
      <c r="X167" s="81"/>
      <c r="Y167" s="81"/>
      <c r="Z167" s="81"/>
    </row>
    <row r="168" spans="1:26" ht="24" customHeight="1" x14ac:dyDescent="0.5">
      <c r="A168" s="3"/>
      <c r="B168" s="3"/>
      <c r="C168" s="3"/>
      <c r="D168" s="3"/>
      <c r="E168" s="3"/>
      <c r="F168" s="3"/>
      <c r="G168" s="3"/>
      <c r="H168" s="3"/>
      <c r="I168" s="4"/>
      <c r="J168" s="4"/>
      <c r="K168" s="83"/>
      <c r="L168" s="3"/>
      <c r="M168" s="4"/>
      <c r="N168" s="4"/>
      <c r="O168" s="83"/>
      <c r="P168" s="3"/>
      <c r="Q168" s="4"/>
      <c r="R168" s="3"/>
      <c r="S168" s="83"/>
      <c r="T168" s="81"/>
      <c r="U168" s="81"/>
      <c r="V168" s="81"/>
      <c r="W168" s="81"/>
      <c r="X168" s="81"/>
      <c r="Y168" s="81"/>
      <c r="Z168" s="81"/>
    </row>
    <row r="169" spans="1:26" ht="24" customHeight="1" x14ac:dyDescent="0.5">
      <c r="A169" s="3"/>
      <c r="B169" s="3"/>
      <c r="C169" s="3"/>
      <c r="D169" s="3"/>
      <c r="E169" s="3"/>
      <c r="F169" s="3"/>
      <c r="G169" s="3"/>
      <c r="H169" s="3"/>
      <c r="I169" s="4"/>
      <c r="J169" s="4"/>
      <c r="K169" s="83"/>
      <c r="L169" s="3"/>
      <c r="M169" s="4"/>
      <c r="N169" s="4"/>
      <c r="O169" s="83"/>
      <c r="P169" s="3"/>
      <c r="Q169" s="4"/>
      <c r="R169" s="3"/>
      <c r="S169" s="83"/>
      <c r="T169" s="81"/>
      <c r="U169" s="81"/>
      <c r="V169" s="81"/>
      <c r="W169" s="81"/>
      <c r="X169" s="81"/>
      <c r="Y169" s="81"/>
      <c r="Z169" s="81"/>
    </row>
    <row r="170" spans="1:26" ht="24" customHeight="1" x14ac:dyDescent="0.5">
      <c r="A170" s="3"/>
      <c r="B170" s="3"/>
      <c r="C170" s="3"/>
      <c r="D170" s="3"/>
      <c r="E170" s="3"/>
      <c r="F170" s="3"/>
      <c r="G170" s="3"/>
      <c r="H170" s="3"/>
      <c r="I170" s="4"/>
      <c r="J170" s="4"/>
      <c r="K170" s="83"/>
      <c r="L170" s="3"/>
      <c r="M170" s="4"/>
      <c r="N170" s="4"/>
      <c r="O170" s="83"/>
      <c r="P170" s="3"/>
      <c r="Q170" s="4"/>
      <c r="R170" s="3"/>
      <c r="S170" s="83"/>
      <c r="T170" s="81"/>
      <c r="U170" s="81"/>
      <c r="V170" s="81"/>
      <c r="W170" s="81"/>
      <c r="X170" s="81"/>
      <c r="Y170" s="81"/>
      <c r="Z170" s="81"/>
    </row>
    <row r="171" spans="1:26" ht="24" customHeight="1" x14ac:dyDescent="0.5">
      <c r="A171" s="3"/>
      <c r="B171" s="3"/>
      <c r="C171" s="3"/>
      <c r="D171" s="3"/>
      <c r="E171" s="3"/>
      <c r="F171" s="3"/>
      <c r="G171" s="3"/>
      <c r="H171" s="3"/>
      <c r="I171" s="4"/>
      <c r="J171" s="4"/>
      <c r="K171" s="83"/>
      <c r="L171" s="3"/>
      <c r="M171" s="4"/>
      <c r="N171" s="4"/>
      <c r="O171" s="83"/>
      <c r="P171" s="3"/>
      <c r="Q171" s="4"/>
      <c r="R171" s="3"/>
      <c r="S171" s="83"/>
      <c r="T171" s="81"/>
      <c r="U171" s="81"/>
      <c r="V171" s="81"/>
      <c r="W171" s="81"/>
      <c r="X171" s="81"/>
      <c r="Y171" s="81"/>
      <c r="Z171" s="81"/>
    </row>
    <row r="172" spans="1:26" ht="24" customHeight="1" x14ac:dyDescent="0.5">
      <c r="A172" s="3"/>
      <c r="B172" s="3"/>
      <c r="C172" s="3"/>
      <c r="D172" s="3"/>
      <c r="E172" s="3"/>
      <c r="F172" s="3"/>
      <c r="G172" s="3"/>
      <c r="H172" s="3"/>
      <c r="I172" s="4"/>
      <c r="J172" s="4"/>
      <c r="K172" s="83"/>
      <c r="L172" s="3"/>
      <c r="M172" s="4"/>
      <c r="N172" s="4"/>
      <c r="O172" s="83"/>
      <c r="P172" s="3"/>
      <c r="Q172" s="4"/>
      <c r="R172" s="3"/>
      <c r="S172" s="83"/>
      <c r="T172" s="81"/>
      <c r="U172" s="81"/>
      <c r="V172" s="81"/>
      <c r="W172" s="81"/>
      <c r="X172" s="81"/>
      <c r="Y172" s="81"/>
      <c r="Z172" s="81"/>
    </row>
    <row r="173" spans="1:26" ht="24" customHeight="1" x14ac:dyDescent="0.5">
      <c r="A173" s="3"/>
      <c r="B173" s="3"/>
      <c r="C173" s="3"/>
      <c r="D173" s="3"/>
      <c r="E173" s="3"/>
      <c r="F173" s="3"/>
      <c r="G173" s="3"/>
      <c r="H173" s="3"/>
      <c r="I173" s="4"/>
      <c r="J173" s="4"/>
      <c r="K173" s="83"/>
      <c r="L173" s="3"/>
      <c r="M173" s="4"/>
      <c r="N173" s="4"/>
      <c r="O173" s="83"/>
      <c r="P173" s="3"/>
      <c r="Q173" s="4"/>
      <c r="R173" s="3"/>
      <c r="S173" s="83"/>
      <c r="T173" s="81"/>
      <c r="U173" s="81"/>
      <c r="V173" s="81"/>
      <c r="W173" s="81"/>
      <c r="X173" s="81"/>
      <c r="Y173" s="81"/>
      <c r="Z173" s="81"/>
    </row>
    <row r="174" spans="1:26" ht="24" customHeight="1" x14ac:dyDescent="0.5">
      <c r="A174" s="3"/>
      <c r="B174" s="3"/>
      <c r="C174" s="3"/>
      <c r="D174" s="3"/>
      <c r="E174" s="3"/>
      <c r="F174" s="3"/>
      <c r="G174" s="3"/>
      <c r="H174" s="3"/>
      <c r="I174" s="4"/>
      <c r="J174" s="4"/>
      <c r="K174" s="83"/>
      <c r="L174" s="3"/>
      <c r="M174" s="4"/>
      <c r="N174" s="4"/>
      <c r="O174" s="83"/>
      <c r="P174" s="3"/>
      <c r="Q174" s="4"/>
      <c r="R174" s="3"/>
      <c r="S174" s="83"/>
      <c r="T174" s="81"/>
      <c r="U174" s="81"/>
      <c r="V174" s="81"/>
      <c r="W174" s="81"/>
      <c r="X174" s="81"/>
      <c r="Y174" s="81"/>
      <c r="Z174" s="81"/>
    </row>
    <row r="175" spans="1:26" ht="24" customHeight="1" x14ac:dyDescent="0.5">
      <c r="A175" s="3"/>
      <c r="B175" s="3"/>
      <c r="C175" s="3"/>
      <c r="D175" s="3"/>
      <c r="E175" s="3"/>
      <c r="F175" s="3"/>
      <c r="G175" s="3"/>
      <c r="H175" s="3"/>
      <c r="I175" s="4"/>
      <c r="J175" s="4"/>
      <c r="K175" s="83"/>
      <c r="L175" s="3"/>
      <c r="M175" s="4"/>
      <c r="N175" s="4"/>
      <c r="O175" s="83"/>
      <c r="P175" s="3"/>
      <c r="Q175" s="4"/>
      <c r="R175" s="3"/>
      <c r="S175" s="83"/>
      <c r="T175" s="81"/>
      <c r="U175" s="81"/>
      <c r="V175" s="81"/>
      <c r="W175" s="81"/>
      <c r="X175" s="81"/>
      <c r="Y175" s="81"/>
      <c r="Z175" s="81"/>
    </row>
    <row r="176" spans="1:26" ht="24" customHeight="1" x14ac:dyDescent="0.5">
      <c r="A176" s="3"/>
      <c r="B176" s="3"/>
      <c r="C176" s="3"/>
      <c r="D176" s="3"/>
      <c r="E176" s="3"/>
      <c r="F176" s="3"/>
      <c r="G176" s="3"/>
      <c r="H176" s="3"/>
      <c r="I176" s="4"/>
      <c r="J176" s="4"/>
      <c r="K176" s="83"/>
      <c r="L176" s="3"/>
      <c r="M176" s="4"/>
      <c r="N176" s="4"/>
      <c r="O176" s="83"/>
      <c r="P176" s="3"/>
      <c r="Q176" s="4"/>
      <c r="R176" s="3"/>
      <c r="S176" s="83"/>
      <c r="T176" s="81"/>
      <c r="U176" s="81"/>
      <c r="V176" s="81"/>
      <c r="W176" s="81"/>
      <c r="X176" s="81"/>
      <c r="Y176" s="81"/>
      <c r="Z176" s="81"/>
    </row>
    <row r="177" spans="1:26" ht="24" customHeight="1" x14ac:dyDescent="0.5">
      <c r="A177" s="3"/>
      <c r="B177" s="3"/>
      <c r="C177" s="3"/>
      <c r="D177" s="3"/>
      <c r="E177" s="3"/>
      <c r="F177" s="3"/>
      <c r="G177" s="3"/>
      <c r="H177" s="3"/>
      <c r="I177" s="4"/>
      <c r="J177" s="4"/>
      <c r="K177" s="83"/>
      <c r="L177" s="3"/>
      <c r="M177" s="4"/>
      <c r="N177" s="4"/>
      <c r="O177" s="83"/>
      <c r="P177" s="3"/>
      <c r="Q177" s="4"/>
      <c r="R177" s="3"/>
      <c r="S177" s="83"/>
      <c r="T177" s="81"/>
      <c r="U177" s="81"/>
      <c r="V177" s="81"/>
      <c r="W177" s="81"/>
      <c r="X177" s="81"/>
      <c r="Y177" s="81"/>
      <c r="Z177" s="81"/>
    </row>
    <row r="178" spans="1:26" ht="24" customHeight="1" x14ac:dyDescent="0.5">
      <c r="A178" s="3"/>
      <c r="B178" s="3"/>
      <c r="C178" s="3"/>
      <c r="D178" s="3"/>
      <c r="E178" s="3"/>
      <c r="F178" s="3"/>
      <c r="G178" s="3"/>
      <c r="H178" s="3"/>
      <c r="I178" s="4"/>
      <c r="J178" s="4"/>
      <c r="K178" s="83"/>
      <c r="L178" s="3"/>
      <c r="M178" s="4"/>
      <c r="N178" s="4"/>
      <c r="O178" s="83"/>
      <c r="P178" s="3"/>
      <c r="Q178" s="4"/>
      <c r="R178" s="3"/>
      <c r="S178" s="83"/>
      <c r="T178" s="81"/>
      <c r="U178" s="81"/>
      <c r="V178" s="81"/>
      <c r="W178" s="81"/>
      <c r="X178" s="81"/>
      <c r="Y178" s="81"/>
      <c r="Z178" s="81"/>
    </row>
    <row r="179" spans="1:26" ht="24" customHeight="1" x14ac:dyDescent="0.5">
      <c r="A179" s="3"/>
      <c r="B179" s="3"/>
      <c r="C179" s="3"/>
      <c r="D179" s="3"/>
      <c r="E179" s="3"/>
      <c r="F179" s="3"/>
      <c r="G179" s="3"/>
      <c r="H179" s="3"/>
      <c r="I179" s="4"/>
      <c r="J179" s="4"/>
      <c r="K179" s="83"/>
      <c r="L179" s="3"/>
      <c r="M179" s="4"/>
      <c r="N179" s="4"/>
      <c r="O179" s="83"/>
      <c r="P179" s="3"/>
      <c r="Q179" s="4"/>
      <c r="R179" s="3"/>
      <c r="S179" s="83"/>
      <c r="T179" s="81"/>
      <c r="U179" s="81"/>
      <c r="V179" s="81"/>
      <c r="W179" s="81"/>
      <c r="X179" s="81"/>
      <c r="Y179" s="81"/>
      <c r="Z179" s="81"/>
    </row>
    <row r="180" spans="1:26" ht="24" customHeight="1" x14ac:dyDescent="0.5">
      <c r="A180" s="3"/>
      <c r="B180" s="3"/>
      <c r="C180" s="3"/>
      <c r="D180" s="3"/>
      <c r="E180" s="3"/>
      <c r="F180" s="3"/>
      <c r="G180" s="3"/>
      <c r="H180" s="3"/>
      <c r="I180" s="4"/>
      <c r="J180" s="4"/>
      <c r="K180" s="83"/>
      <c r="L180" s="3"/>
      <c r="M180" s="4"/>
      <c r="N180" s="4"/>
      <c r="O180" s="83"/>
      <c r="P180" s="3"/>
      <c r="Q180" s="4"/>
      <c r="R180" s="3"/>
      <c r="S180" s="83"/>
      <c r="T180" s="81"/>
      <c r="U180" s="81"/>
      <c r="V180" s="81"/>
      <c r="W180" s="81"/>
      <c r="X180" s="81"/>
      <c r="Y180" s="81"/>
      <c r="Z180" s="81"/>
    </row>
    <row r="181" spans="1:26" ht="24" customHeight="1" x14ac:dyDescent="0.5">
      <c r="A181" s="3"/>
      <c r="B181" s="3"/>
      <c r="C181" s="3"/>
      <c r="D181" s="3"/>
      <c r="E181" s="3"/>
      <c r="F181" s="3"/>
      <c r="G181" s="3"/>
      <c r="H181" s="3"/>
      <c r="I181" s="4"/>
      <c r="J181" s="4"/>
      <c r="K181" s="83"/>
      <c r="L181" s="3"/>
      <c r="M181" s="4"/>
      <c r="N181" s="4"/>
      <c r="O181" s="83"/>
      <c r="P181" s="3"/>
      <c r="Q181" s="4"/>
      <c r="R181" s="3"/>
      <c r="S181" s="83"/>
      <c r="T181" s="81"/>
      <c r="U181" s="81"/>
      <c r="V181" s="81"/>
      <c r="W181" s="81"/>
      <c r="X181" s="81"/>
      <c r="Y181" s="81"/>
      <c r="Z181" s="81"/>
    </row>
    <row r="182" spans="1:26" ht="24" customHeight="1" x14ac:dyDescent="0.5">
      <c r="A182" s="3"/>
      <c r="B182" s="3"/>
      <c r="C182" s="3"/>
      <c r="D182" s="3"/>
      <c r="E182" s="3"/>
      <c r="F182" s="3"/>
      <c r="G182" s="3"/>
      <c r="H182" s="3"/>
      <c r="I182" s="4"/>
      <c r="J182" s="4"/>
      <c r="K182" s="83"/>
      <c r="L182" s="3"/>
      <c r="M182" s="4"/>
      <c r="N182" s="4"/>
      <c r="O182" s="83"/>
      <c r="P182" s="3"/>
      <c r="Q182" s="4"/>
      <c r="R182" s="3"/>
      <c r="S182" s="83"/>
      <c r="T182" s="81"/>
      <c r="U182" s="81"/>
      <c r="V182" s="81"/>
      <c r="W182" s="81"/>
      <c r="X182" s="81"/>
      <c r="Y182" s="81"/>
      <c r="Z182" s="81"/>
    </row>
    <row r="183" spans="1:26" ht="24" customHeight="1" x14ac:dyDescent="0.5">
      <c r="A183" s="3"/>
      <c r="B183" s="3"/>
      <c r="C183" s="3"/>
      <c r="D183" s="3"/>
      <c r="E183" s="3"/>
      <c r="F183" s="3"/>
      <c r="G183" s="3"/>
      <c r="H183" s="3"/>
      <c r="I183" s="4"/>
      <c r="J183" s="4"/>
      <c r="K183" s="83"/>
      <c r="L183" s="3"/>
      <c r="M183" s="4"/>
      <c r="N183" s="4"/>
      <c r="O183" s="83"/>
      <c r="P183" s="3"/>
      <c r="Q183" s="4"/>
      <c r="R183" s="3"/>
      <c r="S183" s="83"/>
      <c r="T183" s="81"/>
      <c r="U183" s="81"/>
      <c r="V183" s="81"/>
      <c r="W183" s="81"/>
      <c r="X183" s="81"/>
      <c r="Y183" s="81"/>
      <c r="Z183" s="81"/>
    </row>
    <row r="184" spans="1:26" ht="24" customHeight="1" x14ac:dyDescent="0.5">
      <c r="A184" s="3"/>
      <c r="B184" s="3"/>
      <c r="C184" s="3"/>
      <c r="D184" s="3"/>
      <c r="E184" s="3"/>
      <c r="F184" s="3"/>
      <c r="G184" s="3"/>
      <c r="H184" s="3"/>
      <c r="I184" s="4"/>
      <c r="J184" s="4"/>
      <c r="K184" s="83"/>
      <c r="L184" s="3"/>
      <c r="M184" s="4"/>
      <c r="N184" s="4"/>
      <c r="O184" s="83"/>
      <c r="P184" s="3"/>
      <c r="Q184" s="4"/>
      <c r="R184" s="3"/>
      <c r="S184" s="83"/>
      <c r="T184" s="81"/>
      <c r="U184" s="81"/>
      <c r="V184" s="81"/>
      <c r="W184" s="81"/>
      <c r="X184" s="81"/>
      <c r="Y184" s="81"/>
      <c r="Z184" s="81"/>
    </row>
    <row r="185" spans="1:26" ht="24" customHeight="1" x14ac:dyDescent="0.5">
      <c r="A185" s="3"/>
      <c r="B185" s="3"/>
      <c r="C185" s="3"/>
      <c r="D185" s="3"/>
      <c r="E185" s="3"/>
      <c r="F185" s="3"/>
      <c r="G185" s="3"/>
      <c r="H185" s="3"/>
      <c r="I185" s="4"/>
      <c r="J185" s="4"/>
      <c r="K185" s="83"/>
      <c r="L185" s="3"/>
      <c r="M185" s="4"/>
      <c r="N185" s="4"/>
      <c r="O185" s="83"/>
      <c r="P185" s="3"/>
      <c r="Q185" s="4"/>
      <c r="R185" s="3"/>
      <c r="S185" s="83"/>
      <c r="T185" s="81"/>
      <c r="U185" s="81"/>
      <c r="V185" s="81"/>
      <c r="W185" s="81"/>
      <c r="X185" s="81"/>
      <c r="Y185" s="81"/>
      <c r="Z185" s="81"/>
    </row>
    <row r="186" spans="1:26" ht="24" customHeight="1" x14ac:dyDescent="0.5">
      <c r="A186" s="3"/>
      <c r="B186" s="3"/>
      <c r="C186" s="3"/>
      <c r="D186" s="3"/>
      <c r="E186" s="3"/>
      <c r="F186" s="3"/>
      <c r="G186" s="3"/>
      <c r="H186" s="3"/>
      <c r="I186" s="4"/>
      <c r="J186" s="4"/>
      <c r="K186" s="83"/>
      <c r="L186" s="3"/>
      <c r="M186" s="4"/>
      <c r="N186" s="4"/>
      <c r="O186" s="83"/>
      <c r="P186" s="3"/>
      <c r="Q186" s="4"/>
      <c r="R186" s="3"/>
      <c r="S186" s="83"/>
      <c r="T186" s="81"/>
      <c r="U186" s="81"/>
      <c r="V186" s="81"/>
      <c r="W186" s="81"/>
      <c r="X186" s="81"/>
      <c r="Y186" s="81"/>
      <c r="Z186" s="81"/>
    </row>
    <row r="187" spans="1:26" ht="24" customHeight="1" x14ac:dyDescent="0.5">
      <c r="A187" s="3"/>
      <c r="B187" s="3"/>
      <c r="C187" s="3"/>
      <c r="D187" s="3"/>
      <c r="E187" s="3"/>
      <c r="F187" s="3"/>
      <c r="G187" s="3"/>
      <c r="H187" s="3"/>
      <c r="I187" s="4"/>
      <c r="J187" s="4"/>
      <c r="K187" s="83"/>
      <c r="L187" s="3"/>
      <c r="M187" s="4"/>
      <c r="N187" s="4"/>
      <c r="O187" s="83"/>
      <c r="P187" s="3"/>
      <c r="Q187" s="4"/>
      <c r="R187" s="3"/>
      <c r="S187" s="83"/>
      <c r="T187" s="81"/>
      <c r="U187" s="81"/>
      <c r="V187" s="81"/>
      <c r="W187" s="81"/>
      <c r="X187" s="81"/>
      <c r="Y187" s="81"/>
      <c r="Z187" s="81"/>
    </row>
    <row r="188" spans="1:26" ht="24" customHeight="1" x14ac:dyDescent="0.5">
      <c r="A188" s="3"/>
      <c r="B188" s="3"/>
      <c r="C188" s="3"/>
      <c r="D188" s="3"/>
      <c r="E188" s="3"/>
      <c r="F188" s="3"/>
      <c r="G188" s="3"/>
      <c r="H188" s="3"/>
      <c r="I188" s="4"/>
      <c r="J188" s="4"/>
      <c r="K188" s="83"/>
      <c r="L188" s="3"/>
      <c r="M188" s="4"/>
      <c r="N188" s="4"/>
      <c r="O188" s="83"/>
      <c r="P188" s="3"/>
      <c r="Q188" s="4"/>
      <c r="R188" s="3"/>
      <c r="S188" s="83"/>
      <c r="T188" s="81"/>
      <c r="U188" s="81"/>
      <c r="V188" s="81"/>
      <c r="W188" s="81"/>
      <c r="X188" s="81"/>
      <c r="Y188" s="81"/>
      <c r="Z188" s="81"/>
    </row>
    <row r="189" spans="1:26" ht="24" customHeight="1" x14ac:dyDescent="0.5">
      <c r="A189" s="3"/>
      <c r="B189" s="3"/>
      <c r="C189" s="3"/>
      <c r="D189" s="3"/>
      <c r="E189" s="3"/>
      <c r="F189" s="3"/>
      <c r="G189" s="3"/>
      <c r="H189" s="3"/>
      <c r="I189" s="4"/>
      <c r="J189" s="4"/>
      <c r="K189" s="83"/>
      <c r="L189" s="3"/>
      <c r="M189" s="4"/>
      <c r="N189" s="4"/>
      <c r="O189" s="83"/>
      <c r="P189" s="3"/>
      <c r="Q189" s="4"/>
      <c r="R189" s="3"/>
      <c r="S189" s="83"/>
      <c r="T189" s="81"/>
      <c r="U189" s="81"/>
      <c r="V189" s="81"/>
      <c r="W189" s="81"/>
      <c r="X189" s="81"/>
      <c r="Y189" s="81"/>
      <c r="Z189" s="81"/>
    </row>
    <row r="190" spans="1:26" ht="24" customHeight="1" x14ac:dyDescent="0.5">
      <c r="A190" s="3"/>
      <c r="B190" s="3"/>
      <c r="C190" s="3"/>
      <c r="D190" s="3"/>
      <c r="E190" s="3"/>
      <c r="F190" s="3"/>
      <c r="G190" s="3"/>
      <c r="H190" s="3"/>
      <c r="I190" s="4"/>
      <c r="J190" s="4"/>
      <c r="K190" s="83"/>
      <c r="L190" s="3"/>
      <c r="M190" s="4"/>
      <c r="N190" s="4"/>
      <c r="O190" s="83"/>
      <c r="P190" s="3"/>
      <c r="Q190" s="4"/>
      <c r="R190" s="3"/>
      <c r="S190" s="83"/>
      <c r="T190" s="81"/>
      <c r="U190" s="81"/>
      <c r="V190" s="81"/>
      <c r="W190" s="81"/>
      <c r="X190" s="81"/>
      <c r="Y190" s="81"/>
      <c r="Z190" s="81"/>
    </row>
    <row r="191" spans="1:26" ht="24" customHeight="1" x14ac:dyDescent="0.5">
      <c r="A191" s="3"/>
      <c r="B191" s="3"/>
      <c r="C191" s="3"/>
      <c r="D191" s="3"/>
      <c r="E191" s="3"/>
      <c r="F191" s="3"/>
      <c r="G191" s="3"/>
      <c r="H191" s="3"/>
      <c r="I191" s="4"/>
      <c r="J191" s="4"/>
      <c r="K191" s="83"/>
      <c r="L191" s="3"/>
      <c r="M191" s="4"/>
      <c r="N191" s="4"/>
      <c r="O191" s="83"/>
      <c r="P191" s="3"/>
      <c r="Q191" s="4"/>
      <c r="R191" s="3"/>
      <c r="S191" s="83"/>
      <c r="T191" s="81"/>
      <c r="U191" s="81"/>
      <c r="V191" s="81"/>
      <c r="W191" s="81"/>
      <c r="X191" s="81"/>
      <c r="Y191" s="81"/>
      <c r="Z191" s="81"/>
    </row>
    <row r="192" spans="1:26" ht="24" customHeight="1" x14ac:dyDescent="0.5">
      <c r="A192" s="3"/>
      <c r="B192" s="3"/>
      <c r="C192" s="3"/>
      <c r="D192" s="3"/>
      <c r="E192" s="3"/>
      <c r="F192" s="3"/>
      <c r="G192" s="3"/>
      <c r="H192" s="3"/>
      <c r="I192" s="4"/>
      <c r="J192" s="4"/>
      <c r="K192" s="83"/>
      <c r="L192" s="3"/>
      <c r="M192" s="4"/>
      <c r="N192" s="4"/>
      <c r="O192" s="83"/>
      <c r="P192" s="3"/>
      <c r="Q192" s="4"/>
      <c r="R192" s="3"/>
      <c r="S192" s="83"/>
      <c r="T192" s="81"/>
      <c r="U192" s="81"/>
      <c r="V192" s="81"/>
      <c r="W192" s="81"/>
      <c r="X192" s="81"/>
      <c r="Y192" s="81"/>
      <c r="Z192" s="81"/>
    </row>
    <row r="193" spans="1:26" ht="24" customHeight="1" x14ac:dyDescent="0.5">
      <c r="A193" s="3"/>
      <c r="B193" s="3"/>
      <c r="C193" s="3"/>
      <c r="D193" s="3"/>
      <c r="E193" s="3"/>
      <c r="F193" s="3"/>
      <c r="G193" s="3"/>
      <c r="H193" s="3"/>
      <c r="I193" s="4"/>
      <c r="J193" s="4"/>
      <c r="K193" s="83"/>
      <c r="L193" s="3"/>
      <c r="M193" s="4"/>
      <c r="N193" s="4"/>
      <c r="O193" s="83"/>
      <c r="P193" s="3"/>
      <c r="Q193" s="4"/>
      <c r="R193" s="3"/>
      <c r="S193" s="83"/>
      <c r="T193" s="81"/>
      <c r="U193" s="81"/>
      <c r="V193" s="81"/>
      <c r="W193" s="81"/>
      <c r="X193" s="81"/>
      <c r="Y193" s="81"/>
      <c r="Z193" s="81"/>
    </row>
    <row r="194" spans="1:26" ht="24" customHeight="1" x14ac:dyDescent="0.5">
      <c r="A194" s="3"/>
      <c r="B194" s="3"/>
      <c r="C194" s="3"/>
      <c r="D194" s="3"/>
      <c r="E194" s="3"/>
      <c r="F194" s="3"/>
      <c r="G194" s="3"/>
      <c r="H194" s="3"/>
      <c r="I194" s="4"/>
      <c r="J194" s="4"/>
      <c r="K194" s="83"/>
      <c r="L194" s="3"/>
      <c r="M194" s="4"/>
      <c r="N194" s="4"/>
      <c r="O194" s="83"/>
      <c r="P194" s="3"/>
      <c r="Q194" s="4"/>
      <c r="R194" s="3"/>
      <c r="S194" s="83"/>
      <c r="T194" s="81"/>
      <c r="U194" s="81"/>
      <c r="V194" s="81"/>
      <c r="W194" s="81"/>
      <c r="X194" s="81"/>
      <c r="Y194" s="81"/>
      <c r="Z194" s="81"/>
    </row>
    <row r="195" spans="1:26" ht="24" customHeight="1" x14ac:dyDescent="0.5">
      <c r="A195" s="3"/>
      <c r="B195" s="3"/>
      <c r="C195" s="3"/>
      <c r="D195" s="3"/>
      <c r="E195" s="3"/>
      <c r="F195" s="3"/>
      <c r="G195" s="3"/>
      <c r="H195" s="3"/>
      <c r="I195" s="4"/>
      <c r="J195" s="4"/>
      <c r="K195" s="83"/>
      <c r="L195" s="3"/>
      <c r="M195" s="4"/>
      <c r="N195" s="4"/>
      <c r="O195" s="83"/>
      <c r="P195" s="3"/>
      <c r="Q195" s="4"/>
      <c r="R195" s="3"/>
      <c r="S195" s="83"/>
      <c r="T195" s="81"/>
      <c r="U195" s="81"/>
      <c r="V195" s="81"/>
      <c r="W195" s="81"/>
      <c r="X195" s="81"/>
      <c r="Y195" s="81"/>
      <c r="Z195" s="81"/>
    </row>
    <row r="196" spans="1:26" ht="24" customHeight="1" x14ac:dyDescent="0.5">
      <c r="A196" s="3"/>
      <c r="B196" s="3"/>
      <c r="C196" s="3"/>
      <c r="D196" s="3"/>
      <c r="E196" s="3"/>
      <c r="F196" s="3"/>
      <c r="G196" s="3"/>
      <c r="H196" s="3"/>
      <c r="I196" s="4"/>
      <c r="J196" s="4"/>
      <c r="K196" s="83"/>
      <c r="L196" s="3"/>
      <c r="M196" s="4"/>
      <c r="N196" s="4"/>
      <c r="O196" s="83"/>
      <c r="P196" s="3"/>
      <c r="Q196" s="4"/>
      <c r="R196" s="3"/>
      <c r="S196" s="83"/>
      <c r="T196" s="81"/>
      <c r="U196" s="81"/>
      <c r="V196" s="81"/>
      <c r="W196" s="81"/>
      <c r="X196" s="81"/>
      <c r="Y196" s="81"/>
      <c r="Z196" s="81"/>
    </row>
    <row r="197" spans="1:26" ht="24" customHeight="1" x14ac:dyDescent="0.5">
      <c r="A197" s="3"/>
      <c r="B197" s="3"/>
      <c r="C197" s="3"/>
      <c r="D197" s="3"/>
      <c r="E197" s="3"/>
      <c r="F197" s="3"/>
      <c r="G197" s="3"/>
      <c r="H197" s="3"/>
      <c r="I197" s="4"/>
      <c r="J197" s="4"/>
      <c r="K197" s="83"/>
      <c r="L197" s="3"/>
      <c r="M197" s="4"/>
      <c r="N197" s="4"/>
      <c r="O197" s="83"/>
      <c r="P197" s="3"/>
      <c r="Q197" s="4"/>
      <c r="R197" s="3"/>
      <c r="S197" s="83"/>
      <c r="T197" s="81"/>
      <c r="U197" s="81"/>
      <c r="V197" s="81"/>
      <c r="W197" s="81"/>
      <c r="X197" s="81"/>
      <c r="Y197" s="81"/>
      <c r="Z197" s="81"/>
    </row>
    <row r="198" spans="1:26" ht="24" customHeight="1" x14ac:dyDescent="0.5">
      <c r="A198" s="3"/>
      <c r="B198" s="3"/>
      <c r="C198" s="3"/>
      <c r="D198" s="3"/>
      <c r="E198" s="3"/>
      <c r="F198" s="3"/>
      <c r="G198" s="3"/>
      <c r="H198" s="3"/>
      <c r="I198" s="4"/>
      <c r="J198" s="4"/>
      <c r="K198" s="83"/>
      <c r="L198" s="3"/>
      <c r="M198" s="4"/>
      <c r="N198" s="4"/>
      <c r="O198" s="83"/>
      <c r="P198" s="3"/>
      <c r="Q198" s="4"/>
      <c r="R198" s="3"/>
      <c r="S198" s="83"/>
      <c r="T198" s="81"/>
      <c r="U198" s="81"/>
      <c r="V198" s="81"/>
      <c r="W198" s="81"/>
      <c r="X198" s="81"/>
      <c r="Y198" s="81"/>
      <c r="Z198" s="81"/>
    </row>
    <row r="199" spans="1:26" ht="24" customHeight="1" x14ac:dyDescent="0.5">
      <c r="A199" s="3"/>
      <c r="B199" s="3"/>
      <c r="C199" s="3"/>
      <c r="D199" s="3"/>
      <c r="E199" s="3"/>
      <c r="F199" s="3"/>
      <c r="G199" s="3"/>
      <c r="H199" s="3"/>
      <c r="I199" s="4"/>
      <c r="J199" s="4"/>
      <c r="K199" s="83"/>
      <c r="L199" s="3"/>
      <c r="M199" s="4"/>
      <c r="N199" s="4"/>
      <c r="O199" s="83"/>
      <c r="P199" s="3"/>
      <c r="Q199" s="4"/>
      <c r="R199" s="3"/>
      <c r="S199" s="83"/>
      <c r="T199" s="81"/>
      <c r="U199" s="81"/>
      <c r="V199" s="81"/>
      <c r="W199" s="81"/>
      <c r="X199" s="81"/>
      <c r="Y199" s="81"/>
      <c r="Z199" s="81"/>
    </row>
    <row r="200" spans="1:26" ht="24" customHeight="1" x14ac:dyDescent="0.5">
      <c r="A200" s="3"/>
      <c r="B200" s="3"/>
      <c r="C200" s="3"/>
      <c r="D200" s="3"/>
      <c r="E200" s="3"/>
      <c r="F200" s="3"/>
      <c r="G200" s="3"/>
      <c r="H200" s="3"/>
      <c r="I200" s="4"/>
      <c r="J200" s="4"/>
      <c r="K200" s="83"/>
      <c r="L200" s="3"/>
      <c r="M200" s="4"/>
      <c r="N200" s="4"/>
      <c r="O200" s="83"/>
      <c r="P200" s="3"/>
      <c r="Q200" s="4"/>
      <c r="R200" s="3"/>
      <c r="S200" s="83"/>
      <c r="T200" s="81"/>
      <c r="U200" s="81"/>
      <c r="V200" s="81"/>
      <c r="W200" s="81"/>
      <c r="X200" s="81"/>
      <c r="Y200" s="81"/>
      <c r="Z200" s="81"/>
    </row>
    <row r="201" spans="1:26" ht="24" customHeight="1" x14ac:dyDescent="0.5">
      <c r="A201" s="3"/>
      <c r="B201" s="3"/>
      <c r="C201" s="3"/>
      <c r="D201" s="3"/>
      <c r="E201" s="3"/>
      <c r="F201" s="3"/>
      <c r="G201" s="3"/>
      <c r="H201" s="3"/>
      <c r="I201" s="4"/>
      <c r="J201" s="4"/>
      <c r="K201" s="83"/>
      <c r="L201" s="3"/>
      <c r="M201" s="4"/>
      <c r="N201" s="4"/>
      <c r="O201" s="83"/>
      <c r="P201" s="3"/>
      <c r="Q201" s="4"/>
      <c r="R201" s="3"/>
      <c r="S201" s="83"/>
      <c r="T201" s="81"/>
      <c r="U201" s="81"/>
      <c r="V201" s="81"/>
      <c r="W201" s="81"/>
      <c r="X201" s="81"/>
      <c r="Y201" s="81"/>
      <c r="Z201" s="81"/>
    </row>
    <row r="202" spans="1:26" ht="24" customHeight="1" x14ac:dyDescent="0.5">
      <c r="A202" s="3"/>
      <c r="B202" s="3"/>
      <c r="C202" s="3"/>
      <c r="D202" s="3"/>
      <c r="E202" s="3"/>
      <c r="F202" s="3"/>
      <c r="G202" s="3"/>
      <c r="H202" s="3"/>
      <c r="I202" s="4"/>
      <c r="J202" s="4"/>
      <c r="K202" s="83"/>
      <c r="L202" s="3"/>
      <c r="M202" s="4"/>
      <c r="N202" s="4"/>
      <c r="O202" s="83"/>
      <c r="P202" s="3"/>
      <c r="Q202" s="4"/>
      <c r="R202" s="3"/>
      <c r="S202" s="83"/>
      <c r="T202" s="81"/>
      <c r="U202" s="81"/>
      <c r="V202" s="81"/>
      <c r="W202" s="81"/>
      <c r="X202" s="81"/>
      <c r="Y202" s="81"/>
      <c r="Z202" s="81"/>
    </row>
    <row r="203" spans="1:26" ht="24" customHeight="1" x14ac:dyDescent="0.5">
      <c r="A203" s="3"/>
      <c r="B203" s="3"/>
      <c r="C203" s="3"/>
      <c r="D203" s="3"/>
      <c r="E203" s="3"/>
      <c r="F203" s="3"/>
      <c r="G203" s="3"/>
      <c r="H203" s="3"/>
      <c r="I203" s="4"/>
      <c r="J203" s="4"/>
      <c r="K203" s="83"/>
      <c r="L203" s="3"/>
      <c r="M203" s="4"/>
      <c r="N203" s="4"/>
      <c r="O203" s="83"/>
      <c r="P203" s="3"/>
      <c r="Q203" s="4"/>
      <c r="R203" s="3"/>
      <c r="S203" s="83"/>
      <c r="T203" s="81"/>
      <c r="U203" s="81"/>
      <c r="V203" s="81"/>
      <c r="W203" s="81"/>
      <c r="X203" s="81"/>
      <c r="Y203" s="81"/>
      <c r="Z203" s="81"/>
    </row>
    <row r="204" spans="1:26" ht="24" customHeight="1" x14ac:dyDescent="0.5">
      <c r="A204" s="3"/>
      <c r="B204" s="3"/>
      <c r="C204" s="3"/>
      <c r="D204" s="3"/>
      <c r="E204" s="3"/>
      <c r="F204" s="3"/>
      <c r="G204" s="3"/>
      <c r="H204" s="3"/>
      <c r="I204" s="4"/>
      <c r="J204" s="4"/>
      <c r="K204" s="83"/>
      <c r="L204" s="3"/>
      <c r="M204" s="4"/>
      <c r="N204" s="4"/>
      <c r="O204" s="83"/>
      <c r="P204" s="3"/>
      <c r="Q204" s="4"/>
      <c r="R204" s="3"/>
      <c r="S204" s="83"/>
      <c r="T204" s="81"/>
      <c r="U204" s="81"/>
      <c r="V204" s="81"/>
      <c r="W204" s="81"/>
      <c r="X204" s="81"/>
      <c r="Y204" s="81"/>
      <c r="Z204" s="81"/>
    </row>
    <row r="205" spans="1:26" ht="24" customHeight="1" x14ac:dyDescent="0.5">
      <c r="A205" s="3"/>
      <c r="B205" s="3"/>
      <c r="C205" s="3"/>
      <c r="D205" s="3"/>
      <c r="E205" s="3"/>
      <c r="F205" s="3"/>
      <c r="G205" s="3"/>
      <c r="H205" s="3"/>
      <c r="I205" s="4"/>
      <c r="J205" s="4"/>
      <c r="K205" s="83"/>
      <c r="L205" s="3"/>
      <c r="M205" s="4"/>
      <c r="N205" s="4"/>
      <c r="O205" s="83"/>
      <c r="P205" s="3"/>
      <c r="Q205" s="4"/>
      <c r="R205" s="3"/>
      <c r="S205" s="83"/>
      <c r="T205" s="81"/>
      <c r="U205" s="81"/>
      <c r="V205" s="81"/>
      <c r="W205" s="81"/>
      <c r="X205" s="81"/>
      <c r="Y205" s="81"/>
      <c r="Z205" s="81"/>
    </row>
    <row r="206" spans="1:26" ht="24" customHeight="1" x14ac:dyDescent="0.5">
      <c r="A206" s="3"/>
      <c r="B206" s="3"/>
      <c r="C206" s="3"/>
      <c r="D206" s="3"/>
      <c r="E206" s="3"/>
      <c r="F206" s="3"/>
      <c r="G206" s="3"/>
      <c r="H206" s="3"/>
      <c r="I206" s="4"/>
      <c r="J206" s="4"/>
      <c r="K206" s="83"/>
      <c r="L206" s="3"/>
      <c r="M206" s="4"/>
      <c r="N206" s="4"/>
      <c r="O206" s="83"/>
      <c r="P206" s="3"/>
      <c r="Q206" s="4"/>
      <c r="R206" s="3"/>
      <c r="S206" s="83"/>
      <c r="T206" s="81"/>
      <c r="U206" s="81"/>
      <c r="V206" s="81"/>
      <c r="W206" s="81"/>
      <c r="X206" s="81"/>
      <c r="Y206" s="81"/>
      <c r="Z206" s="81"/>
    </row>
    <row r="207" spans="1:26" ht="24" customHeight="1" x14ac:dyDescent="0.5">
      <c r="A207" s="3"/>
      <c r="B207" s="3"/>
      <c r="C207" s="3"/>
      <c r="D207" s="3"/>
      <c r="E207" s="3"/>
      <c r="F207" s="3"/>
      <c r="G207" s="3"/>
      <c r="H207" s="3"/>
      <c r="I207" s="4"/>
      <c r="J207" s="4"/>
      <c r="K207" s="83"/>
      <c r="L207" s="3"/>
      <c r="M207" s="4"/>
      <c r="N207" s="4"/>
      <c r="O207" s="83"/>
      <c r="P207" s="3"/>
      <c r="Q207" s="4"/>
      <c r="R207" s="3"/>
      <c r="S207" s="83"/>
      <c r="T207" s="81"/>
      <c r="U207" s="81"/>
      <c r="V207" s="81"/>
      <c r="W207" s="81"/>
      <c r="X207" s="81"/>
      <c r="Y207" s="81"/>
      <c r="Z207" s="81"/>
    </row>
    <row r="208" spans="1:26" ht="24" customHeight="1" x14ac:dyDescent="0.5">
      <c r="A208" s="3"/>
      <c r="B208" s="3"/>
      <c r="C208" s="3"/>
      <c r="D208" s="3"/>
      <c r="E208" s="3"/>
      <c r="F208" s="3"/>
      <c r="G208" s="3"/>
      <c r="H208" s="3"/>
      <c r="I208" s="4"/>
      <c r="J208" s="4"/>
      <c r="K208" s="83"/>
      <c r="L208" s="3"/>
      <c r="M208" s="4"/>
      <c r="N208" s="4"/>
      <c r="O208" s="83"/>
      <c r="P208" s="3"/>
      <c r="Q208" s="4"/>
      <c r="R208" s="3"/>
      <c r="S208" s="83"/>
      <c r="T208" s="81"/>
      <c r="U208" s="81"/>
      <c r="V208" s="81"/>
      <c r="W208" s="81"/>
      <c r="X208" s="81"/>
      <c r="Y208" s="81"/>
      <c r="Z208" s="81"/>
    </row>
    <row r="209" spans="1:26" ht="24" customHeight="1" x14ac:dyDescent="0.5">
      <c r="A209" s="3"/>
      <c r="B209" s="3"/>
      <c r="C209" s="3"/>
      <c r="D209" s="3"/>
      <c r="E209" s="3"/>
      <c r="F209" s="3"/>
      <c r="G209" s="3"/>
      <c r="H209" s="3"/>
      <c r="I209" s="4"/>
      <c r="J209" s="4"/>
      <c r="K209" s="83"/>
      <c r="L209" s="3"/>
      <c r="M209" s="4"/>
      <c r="N209" s="4"/>
      <c r="O209" s="83"/>
      <c r="P209" s="3"/>
      <c r="Q209" s="4"/>
      <c r="R209" s="3"/>
      <c r="S209" s="83"/>
      <c r="T209" s="81"/>
      <c r="U209" s="81"/>
      <c r="V209" s="81"/>
      <c r="W209" s="81"/>
      <c r="X209" s="81"/>
      <c r="Y209" s="81"/>
      <c r="Z209" s="81"/>
    </row>
    <row r="210" spans="1:26" ht="24" customHeight="1" x14ac:dyDescent="0.5">
      <c r="A210" s="3"/>
      <c r="B210" s="3"/>
      <c r="C210" s="3"/>
      <c r="D210" s="3"/>
      <c r="E210" s="3"/>
      <c r="F210" s="3"/>
      <c r="G210" s="3"/>
      <c r="H210" s="3"/>
      <c r="I210" s="4"/>
      <c r="J210" s="4"/>
      <c r="K210" s="83"/>
      <c r="L210" s="3"/>
      <c r="M210" s="4"/>
      <c r="N210" s="4"/>
      <c r="O210" s="83"/>
      <c r="P210" s="3"/>
      <c r="Q210" s="4"/>
      <c r="R210" s="3"/>
      <c r="S210" s="83"/>
      <c r="T210" s="81"/>
      <c r="U210" s="81"/>
      <c r="V210" s="81"/>
      <c r="W210" s="81"/>
      <c r="X210" s="81"/>
      <c r="Y210" s="81"/>
      <c r="Z210" s="81"/>
    </row>
    <row r="211" spans="1:26" ht="24" customHeight="1" x14ac:dyDescent="0.5">
      <c r="A211" s="3"/>
      <c r="B211" s="3"/>
      <c r="C211" s="3"/>
      <c r="D211" s="3"/>
      <c r="E211" s="3"/>
      <c r="F211" s="3"/>
      <c r="G211" s="3"/>
      <c r="H211" s="3"/>
      <c r="I211" s="4"/>
      <c r="J211" s="4"/>
      <c r="K211" s="83"/>
      <c r="L211" s="3"/>
      <c r="M211" s="4"/>
      <c r="N211" s="4"/>
      <c r="O211" s="83"/>
      <c r="P211" s="3"/>
      <c r="Q211" s="4"/>
      <c r="R211" s="3"/>
      <c r="S211" s="83"/>
      <c r="T211" s="81"/>
      <c r="U211" s="81"/>
      <c r="V211" s="81"/>
      <c r="W211" s="81"/>
      <c r="X211" s="81"/>
      <c r="Y211" s="81"/>
      <c r="Z211" s="81"/>
    </row>
    <row r="212" spans="1:26" ht="24" customHeight="1" x14ac:dyDescent="0.5">
      <c r="A212" s="3"/>
      <c r="B212" s="3"/>
      <c r="C212" s="3"/>
      <c r="D212" s="3"/>
      <c r="E212" s="3"/>
      <c r="F212" s="3"/>
      <c r="G212" s="3"/>
      <c r="H212" s="3"/>
      <c r="I212" s="4"/>
      <c r="J212" s="4"/>
      <c r="K212" s="83"/>
      <c r="L212" s="3"/>
      <c r="M212" s="4"/>
      <c r="N212" s="4"/>
      <c r="O212" s="83"/>
      <c r="P212" s="3"/>
      <c r="Q212" s="4"/>
      <c r="R212" s="3"/>
      <c r="S212" s="83"/>
      <c r="T212" s="81"/>
      <c r="U212" s="81"/>
      <c r="V212" s="81"/>
      <c r="W212" s="81"/>
      <c r="X212" s="81"/>
      <c r="Y212" s="81"/>
      <c r="Z212" s="81"/>
    </row>
    <row r="213" spans="1:26" ht="24" customHeight="1" x14ac:dyDescent="0.5">
      <c r="A213" s="3"/>
      <c r="B213" s="3"/>
      <c r="C213" s="3"/>
      <c r="D213" s="3"/>
      <c r="E213" s="3"/>
      <c r="F213" s="3"/>
      <c r="G213" s="3"/>
      <c r="H213" s="3"/>
      <c r="I213" s="4"/>
      <c r="J213" s="4"/>
      <c r="K213" s="83"/>
      <c r="L213" s="3"/>
      <c r="M213" s="4"/>
      <c r="N213" s="4"/>
      <c r="O213" s="83"/>
      <c r="P213" s="3"/>
      <c r="Q213" s="4"/>
      <c r="R213" s="3"/>
      <c r="S213" s="83"/>
      <c r="T213" s="81"/>
      <c r="U213" s="81"/>
      <c r="V213" s="81"/>
      <c r="W213" s="81"/>
      <c r="X213" s="81"/>
      <c r="Y213" s="81"/>
      <c r="Z213" s="81"/>
    </row>
    <row r="214" spans="1:26" ht="24" customHeight="1" x14ac:dyDescent="0.5">
      <c r="A214" s="3"/>
      <c r="B214" s="3"/>
      <c r="C214" s="3"/>
      <c r="D214" s="3"/>
      <c r="E214" s="3"/>
      <c r="F214" s="3"/>
      <c r="G214" s="3"/>
      <c r="H214" s="3"/>
      <c r="I214" s="4"/>
      <c r="J214" s="4"/>
      <c r="K214" s="83"/>
      <c r="L214" s="3"/>
      <c r="M214" s="4"/>
      <c r="N214" s="4"/>
      <c r="O214" s="83"/>
      <c r="P214" s="3"/>
      <c r="Q214" s="4"/>
      <c r="R214" s="3"/>
      <c r="S214" s="83"/>
      <c r="T214" s="81"/>
      <c r="U214" s="81"/>
      <c r="V214" s="81"/>
      <c r="W214" s="81"/>
      <c r="X214" s="81"/>
      <c r="Y214" s="81"/>
      <c r="Z214" s="81"/>
    </row>
    <row r="215" spans="1:26" ht="24" customHeight="1" x14ac:dyDescent="0.5">
      <c r="A215" s="3"/>
      <c r="B215" s="3"/>
      <c r="C215" s="3"/>
      <c r="D215" s="3"/>
      <c r="E215" s="3"/>
      <c r="F215" s="3"/>
      <c r="G215" s="3"/>
      <c r="H215" s="3"/>
      <c r="I215" s="4"/>
      <c r="J215" s="4"/>
      <c r="K215" s="83"/>
      <c r="L215" s="3"/>
      <c r="M215" s="4"/>
      <c r="N215" s="4"/>
      <c r="O215" s="83"/>
      <c r="P215" s="3"/>
      <c r="Q215" s="4"/>
      <c r="R215" s="3"/>
      <c r="S215" s="83"/>
      <c r="T215" s="81"/>
      <c r="U215" s="81"/>
      <c r="V215" s="81"/>
      <c r="W215" s="81"/>
      <c r="X215" s="81"/>
      <c r="Y215" s="81"/>
      <c r="Z215" s="81"/>
    </row>
    <row r="216" spans="1:26" ht="24" customHeight="1" x14ac:dyDescent="0.5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83"/>
      <c r="L216" s="3"/>
      <c r="M216" s="4"/>
      <c r="N216" s="4"/>
      <c r="O216" s="83"/>
      <c r="P216" s="3"/>
      <c r="Q216" s="4"/>
      <c r="R216" s="3"/>
      <c r="S216" s="83"/>
      <c r="T216" s="81"/>
      <c r="U216" s="81"/>
      <c r="V216" s="81"/>
      <c r="W216" s="81"/>
      <c r="X216" s="81"/>
      <c r="Y216" s="81"/>
      <c r="Z216" s="81"/>
    </row>
    <row r="217" spans="1:26" ht="24" customHeight="1" x14ac:dyDescent="0.5">
      <c r="A217" s="3"/>
      <c r="B217" s="3"/>
      <c r="C217" s="3"/>
      <c r="D217" s="3"/>
      <c r="E217" s="3"/>
      <c r="F217" s="3"/>
      <c r="G217" s="3"/>
      <c r="H217" s="3"/>
      <c r="I217" s="4"/>
      <c r="J217" s="4"/>
      <c r="K217" s="83"/>
      <c r="L217" s="3"/>
      <c r="M217" s="4"/>
      <c r="N217" s="4"/>
      <c r="O217" s="83"/>
      <c r="P217" s="3"/>
      <c r="Q217" s="4"/>
      <c r="R217" s="3"/>
      <c r="S217" s="83"/>
      <c r="T217" s="81"/>
      <c r="U217" s="81"/>
      <c r="V217" s="81"/>
      <c r="W217" s="81"/>
      <c r="X217" s="81"/>
      <c r="Y217" s="81"/>
      <c r="Z217" s="81"/>
    </row>
    <row r="218" spans="1:26" ht="24" customHeight="1" x14ac:dyDescent="0.5">
      <c r="A218" s="3"/>
      <c r="B218" s="3"/>
      <c r="C218" s="3"/>
      <c r="D218" s="3"/>
      <c r="E218" s="3"/>
      <c r="F218" s="3"/>
      <c r="G218" s="3"/>
      <c r="H218" s="3"/>
      <c r="I218" s="4"/>
      <c r="J218" s="4"/>
      <c r="K218" s="83"/>
      <c r="L218" s="3"/>
      <c r="M218" s="4"/>
      <c r="N218" s="4"/>
      <c r="O218" s="83"/>
      <c r="P218" s="3"/>
      <c r="Q218" s="4"/>
      <c r="R218" s="3"/>
      <c r="S218" s="83"/>
      <c r="T218" s="81"/>
      <c r="U218" s="81"/>
      <c r="V218" s="81"/>
      <c r="W218" s="81"/>
      <c r="X218" s="81"/>
      <c r="Y218" s="81"/>
      <c r="Z218" s="81"/>
    </row>
    <row r="219" spans="1:26" ht="24" customHeight="1" x14ac:dyDescent="0.5">
      <c r="A219" s="3"/>
      <c r="B219" s="3"/>
      <c r="C219" s="3"/>
      <c r="D219" s="3"/>
      <c r="E219" s="3"/>
      <c r="F219" s="3"/>
      <c r="G219" s="3"/>
      <c r="H219" s="3"/>
      <c r="I219" s="4"/>
      <c r="J219" s="4"/>
      <c r="K219" s="83"/>
      <c r="L219" s="3"/>
      <c r="M219" s="4"/>
      <c r="N219" s="4"/>
      <c r="O219" s="83"/>
      <c r="P219" s="3"/>
      <c r="Q219" s="4"/>
      <c r="R219" s="3"/>
      <c r="S219" s="83"/>
      <c r="T219" s="81"/>
      <c r="U219" s="81"/>
      <c r="V219" s="81"/>
      <c r="W219" s="81"/>
      <c r="X219" s="81"/>
      <c r="Y219" s="81"/>
      <c r="Z219" s="81"/>
    </row>
    <row r="220" spans="1:26" ht="24" customHeight="1" x14ac:dyDescent="0.5">
      <c r="A220" s="3"/>
      <c r="B220" s="3"/>
      <c r="C220" s="3"/>
      <c r="D220" s="3"/>
      <c r="E220" s="3"/>
      <c r="F220" s="3"/>
      <c r="G220" s="3"/>
      <c r="H220" s="3"/>
      <c r="I220" s="4"/>
      <c r="J220" s="4"/>
      <c r="K220" s="83"/>
      <c r="L220" s="3"/>
      <c r="M220" s="4"/>
      <c r="N220" s="4"/>
      <c r="O220" s="83"/>
      <c r="P220" s="3"/>
      <c r="Q220" s="4"/>
      <c r="R220" s="3"/>
      <c r="S220" s="83"/>
      <c r="T220" s="81"/>
      <c r="U220" s="81"/>
      <c r="V220" s="81"/>
      <c r="W220" s="81"/>
      <c r="X220" s="81"/>
      <c r="Y220" s="81"/>
      <c r="Z220" s="81"/>
    </row>
    <row r="221" spans="1:26" ht="24" customHeight="1" x14ac:dyDescent="0.5">
      <c r="A221" s="3"/>
      <c r="B221" s="3"/>
      <c r="C221" s="3"/>
      <c r="D221" s="3"/>
      <c r="E221" s="3"/>
      <c r="F221" s="3"/>
      <c r="G221" s="3"/>
      <c r="H221" s="3"/>
      <c r="I221" s="4"/>
      <c r="J221" s="4"/>
      <c r="K221" s="83"/>
      <c r="L221" s="3"/>
      <c r="M221" s="4"/>
      <c r="N221" s="4"/>
      <c r="O221" s="83"/>
      <c r="P221" s="3"/>
      <c r="Q221" s="4"/>
      <c r="R221" s="3"/>
      <c r="S221" s="83"/>
      <c r="T221" s="81"/>
      <c r="U221" s="81"/>
      <c r="V221" s="81"/>
      <c r="W221" s="81"/>
      <c r="X221" s="81"/>
      <c r="Y221" s="81"/>
      <c r="Z221" s="81"/>
    </row>
    <row r="222" spans="1:26" ht="24" customHeight="1" x14ac:dyDescent="0.5">
      <c r="A222" s="3"/>
      <c r="B222" s="3"/>
      <c r="C222" s="3"/>
      <c r="D222" s="3"/>
      <c r="E222" s="3"/>
      <c r="F222" s="3"/>
      <c r="G222" s="3"/>
      <c r="H222" s="3"/>
      <c r="I222" s="4"/>
      <c r="J222" s="4"/>
      <c r="K222" s="83"/>
      <c r="L222" s="3"/>
      <c r="M222" s="4"/>
      <c r="N222" s="4"/>
      <c r="O222" s="83"/>
      <c r="P222" s="3"/>
      <c r="Q222" s="4"/>
      <c r="R222" s="3"/>
      <c r="S222" s="83"/>
      <c r="T222" s="81"/>
      <c r="U222" s="81"/>
      <c r="V222" s="81"/>
      <c r="W222" s="81"/>
      <c r="X222" s="81"/>
      <c r="Y222" s="81"/>
      <c r="Z222" s="81"/>
    </row>
    <row r="223" spans="1:26" ht="24" customHeight="1" x14ac:dyDescent="0.5">
      <c r="A223" s="3"/>
      <c r="B223" s="3"/>
      <c r="C223" s="3"/>
      <c r="D223" s="3"/>
      <c r="E223" s="3"/>
      <c r="F223" s="3"/>
      <c r="G223" s="3"/>
      <c r="H223" s="3"/>
      <c r="I223" s="4"/>
      <c r="J223" s="4"/>
      <c r="K223" s="83"/>
      <c r="L223" s="3"/>
      <c r="M223" s="4"/>
      <c r="N223" s="4"/>
      <c r="O223" s="83"/>
      <c r="P223" s="3"/>
      <c r="Q223" s="4"/>
      <c r="R223" s="3"/>
      <c r="S223" s="83"/>
      <c r="T223" s="81"/>
      <c r="U223" s="81"/>
      <c r="V223" s="81"/>
      <c r="W223" s="81"/>
      <c r="X223" s="81"/>
      <c r="Y223" s="81"/>
      <c r="Z223" s="81"/>
    </row>
    <row r="224" spans="1:26" ht="24" customHeight="1" x14ac:dyDescent="0.5">
      <c r="A224" s="3"/>
      <c r="B224" s="3"/>
      <c r="C224" s="3"/>
      <c r="D224" s="3"/>
      <c r="E224" s="3"/>
      <c r="F224" s="3"/>
      <c r="G224" s="3"/>
      <c r="H224" s="3"/>
      <c r="I224" s="4"/>
      <c r="J224" s="4"/>
      <c r="K224" s="83"/>
      <c r="L224" s="3"/>
      <c r="M224" s="4"/>
      <c r="N224" s="4"/>
      <c r="O224" s="83"/>
      <c r="P224" s="3"/>
      <c r="Q224" s="4"/>
      <c r="R224" s="3"/>
      <c r="S224" s="83"/>
      <c r="T224" s="81"/>
      <c r="U224" s="81"/>
      <c r="V224" s="81"/>
      <c r="W224" s="81"/>
      <c r="X224" s="81"/>
      <c r="Y224" s="81"/>
      <c r="Z224" s="81"/>
    </row>
    <row r="225" spans="1:26" ht="24" customHeight="1" x14ac:dyDescent="0.5">
      <c r="A225" s="3"/>
      <c r="B225" s="3"/>
      <c r="C225" s="3"/>
      <c r="D225" s="3"/>
      <c r="E225" s="3"/>
      <c r="F225" s="3"/>
      <c r="G225" s="3"/>
      <c r="H225" s="3"/>
      <c r="I225" s="4"/>
      <c r="J225" s="4"/>
      <c r="K225" s="83"/>
      <c r="L225" s="3"/>
      <c r="M225" s="4"/>
      <c r="N225" s="4"/>
      <c r="O225" s="83"/>
      <c r="P225" s="3"/>
      <c r="Q225" s="4"/>
      <c r="R225" s="3"/>
      <c r="S225" s="83"/>
      <c r="T225" s="81"/>
      <c r="U225" s="81"/>
      <c r="V225" s="81"/>
      <c r="W225" s="81"/>
      <c r="X225" s="81"/>
      <c r="Y225" s="81"/>
      <c r="Z225" s="81"/>
    </row>
    <row r="226" spans="1:26" ht="24" customHeight="1" x14ac:dyDescent="0.5">
      <c r="A226" s="3"/>
      <c r="B226" s="3"/>
      <c r="C226" s="3"/>
      <c r="D226" s="3"/>
      <c r="E226" s="3"/>
      <c r="F226" s="3"/>
      <c r="G226" s="3"/>
      <c r="H226" s="3"/>
      <c r="I226" s="4"/>
      <c r="J226" s="4"/>
      <c r="K226" s="83"/>
      <c r="L226" s="3"/>
      <c r="M226" s="4"/>
      <c r="N226" s="4"/>
      <c r="O226" s="83"/>
      <c r="P226" s="3"/>
      <c r="Q226" s="4"/>
      <c r="R226" s="3"/>
      <c r="S226" s="83"/>
      <c r="T226" s="81"/>
      <c r="U226" s="81"/>
      <c r="V226" s="81"/>
      <c r="W226" s="81"/>
      <c r="X226" s="81"/>
      <c r="Y226" s="81"/>
      <c r="Z226" s="81"/>
    </row>
    <row r="227" spans="1:26" ht="24" customHeight="1" x14ac:dyDescent="0.5">
      <c r="A227" s="3"/>
      <c r="B227" s="3"/>
      <c r="C227" s="3"/>
      <c r="D227" s="3"/>
      <c r="E227" s="3"/>
      <c r="F227" s="3"/>
      <c r="G227" s="3"/>
      <c r="H227" s="3"/>
      <c r="I227" s="4"/>
      <c r="J227" s="4"/>
      <c r="K227" s="83"/>
      <c r="L227" s="3"/>
      <c r="M227" s="4"/>
      <c r="N227" s="4"/>
      <c r="O227" s="83"/>
      <c r="P227" s="3"/>
      <c r="Q227" s="4"/>
      <c r="R227" s="3"/>
      <c r="S227" s="83"/>
      <c r="T227" s="81"/>
      <c r="U227" s="81"/>
      <c r="V227" s="81"/>
      <c r="W227" s="81"/>
      <c r="X227" s="81"/>
      <c r="Y227" s="81"/>
      <c r="Z227" s="81"/>
    </row>
    <row r="228" spans="1:26" ht="24" customHeight="1" x14ac:dyDescent="0.5">
      <c r="A228" s="3"/>
      <c r="B228" s="3"/>
      <c r="C228" s="3"/>
      <c r="D228" s="3"/>
      <c r="E228" s="3"/>
      <c r="F228" s="3"/>
      <c r="G228" s="3"/>
      <c r="H228" s="3"/>
      <c r="I228" s="4"/>
      <c r="J228" s="4"/>
      <c r="K228" s="83"/>
      <c r="L228" s="3"/>
      <c r="M228" s="4"/>
      <c r="N228" s="4"/>
      <c r="O228" s="83"/>
      <c r="P228" s="3"/>
      <c r="Q228" s="4"/>
      <c r="R228" s="3"/>
      <c r="S228" s="83"/>
      <c r="T228" s="81"/>
      <c r="U228" s="81"/>
      <c r="V228" s="81"/>
      <c r="W228" s="81"/>
      <c r="X228" s="81"/>
      <c r="Y228" s="81"/>
      <c r="Z228" s="81"/>
    </row>
    <row r="229" spans="1:26" ht="24" customHeight="1" x14ac:dyDescent="0.5">
      <c r="A229" s="3"/>
      <c r="B229" s="3"/>
      <c r="C229" s="3"/>
      <c r="D229" s="3"/>
      <c r="E229" s="3"/>
      <c r="F229" s="3"/>
      <c r="G229" s="3"/>
      <c r="H229" s="3"/>
      <c r="I229" s="4"/>
      <c r="J229" s="4"/>
      <c r="K229" s="83"/>
      <c r="L229" s="3"/>
      <c r="M229" s="4"/>
      <c r="N229" s="4"/>
      <c r="O229" s="83"/>
      <c r="P229" s="3"/>
      <c r="Q229" s="4"/>
      <c r="R229" s="3"/>
      <c r="S229" s="83"/>
      <c r="T229" s="81"/>
      <c r="U229" s="81"/>
      <c r="V229" s="81"/>
      <c r="W229" s="81"/>
      <c r="X229" s="81"/>
      <c r="Y229" s="81"/>
      <c r="Z229" s="81"/>
    </row>
    <row r="230" spans="1:26" ht="24" customHeight="1" x14ac:dyDescent="0.5">
      <c r="A230" s="3"/>
      <c r="B230" s="3"/>
      <c r="C230" s="3"/>
      <c r="D230" s="3"/>
      <c r="E230" s="3"/>
      <c r="F230" s="3"/>
      <c r="G230" s="3"/>
      <c r="H230" s="3"/>
      <c r="I230" s="4"/>
      <c r="J230" s="4"/>
      <c r="K230" s="83"/>
      <c r="L230" s="3"/>
      <c r="M230" s="4"/>
      <c r="N230" s="4"/>
      <c r="O230" s="83"/>
      <c r="P230" s="3"/>
      <c r="Q230" s="4"/>
      <c r="R230" s="3"/>
      <c r="S230" s="83"/>
      <c r="T230" s="81"/>
      <c r="U230" s="81"/>
      <c r="V230" s="81"/>
      <c r="W230" s="81"/>
      <c r="X230" s="81"/>
      <c r="Y230" s="81"/>
      <c r="Z230" s="81"/>
    </row>
    <row r="231" spans="1:26" ht="24" customHeight="1" x14ac:dyDescent="0.5">
      <c r="A231" s="3"/>
      <c r="B231" s="3"/>
      <c r="C231" s="3"/>
      <c r="D231" s="3"/>
      <c r="E231" s="3"/>
      <c r="F231" s="3"/>
      <c r="G231" s="3"/>
      <c r="H231" s="3"/>
      <c r="I231" s="4"/>
      <c r="J231" s="4"/>
      <c r="K231" s="83"/>
      <c r="L231" s="3"/>
      <c r="M231" s="4"/>
      <c r="N231" s="4"/>
      <c r="O231" s="83"/>
      <c r="P231" s="3"/>
      <c r="Q231" s="4"/>
      <c r="R231" s="3"/>
      <c r="S231" s="83"/>
      <c r="T231" s="81"/>
      <c r="U231" s="81"/>
      <c r="V231" s="81"/>
      <c r="W231" s="81"/>
      <c r="X231" s="81"/>
      <c r="Y231" s="81"/>
      <c r="Z231" s="81"/>
    </row>
    <row r="232" spans="1:26" ht="24" customHeight="1" x14ac:dyDescent="0.5">
      <c r="A232" s="3"/>
      <c r="B232" s="3"/>
      <c r="C232" s="3"/>
      <c r="D232" s="3"/>
      <c r="E232" s="3"/>
      <c r="F232" s="3"/>
      <c r="G232" s="3"/>
      <c r="H232" s="3"/>
      <c r="I232" s="4"/>
      <c r="J232" s="4"/>
      <c r="K232" s="83"/>
      <c r="L232" s="3"/>
      <c r="M232" s="4"/>
      <c r="N232" s="4"/>
      <c r="O232" s="83"/>
      <c r="P232" s="3"/>
      <c r="Q232" s="4"/>
      <c r="R232" s="3"/>
      <c r="S232" s="83"/>
      <c r="T232" s="81"/>
      <c r="U232" s="81"/>
      <c r="V232" s="81"/>
      <c r="W232" s="81"/>
      <c r="X232" s="81"/>
      <c r="Y232" s="81"/>
      <c r="Z232" s="81"/>
    </row>
    <row r="233" spans="1:26" ht="24" customHeight="1" x14ac:dyDescent="0.5">
      <c r="A233" s="3"/>
      <c r="B233" s="3"/>
      <c r="C233" s="3"/>
      <c r="D233" s="3"/>
      <c r="E233" s="3"/>
      <c r="F233" s="3"/>
      <c r="G233" s="3"/>
      <c r="H233" s="3"/>
      <c r="I233" s="4"/>
      <c r="J233" s="4"/>
      <c r="K233" s="83"/>
      <c r="L233" s="3"/>
      <c r="M233" s="4"/>
      <c r="N233" s="4"/>
      <c r="O233" s="83"/>
      <c r="P233" s="3"/>
      <c r="Q233" s="4"/>
      <c r="R233" s="3"/>
      <c r="S233" s="83"/>
      <c r="T233" s="81"/>
      <c r="U233" s="81"/>
      <c r="V233" s="81"/>
      <c r="W233" s="81"/>
      <c r="X233" s="81"/>
      <c r="Y233" s="81"/>
      <c r="Z233" s="81"/>
    </row>
    <row r="234" spans="1:26" ht="24" customHeight="1" x14ac:dyDescent="0.5">
      <c r="A234" s="3"/>
      <c r="B234" s="3"/>
      <c r="C234" s="3"/>
      <c r="D234" s="3"/>
      <c r="E234" s="3"/>
      <c r="F234" s="3"/>
      <c r="G234" s="3"/>
      <c r="H234" s="3"/>
      <c r="I234" s="4"/>
      <c r="J234" s="4"/>
      <c r="K234" s="83"/>
      <c r="L234" s="3"/>
      <c r="M234" s="4"/>
      <c r="N234" s="4"/>
      <c r="O234" s="83"/>
      <c r="P234" s="3"/>
      <c r="Q234" s="4"/>
      <c r="R234" s="3"/>
      <c r="S234" s="83"/>
      <c r="T234" s="81"/>
      <c r="U234" s="81"/>
      <c r="V234" s="81"/>
      <c r="W234" s="81"/>
      <c r="X234" s="81"/>
      <c r="Y234" s="81"/>
      <c r="Z234" s="81"/>
    </row>
    <row r="235" spans="1:26" ht="24" customHeight="1" x14ac:dyDescent="0.5">
      <c r="A235" s="3"/>
      <c r="B235" s="3"/>
      <c r="C235" s="3"/>
      <c r="D235" s="3"/>
      <c r="E235" s="3"/>
      <c r="F235" s="3"/>
      <c r="G235" s="3"/>
      <c r="H235" s="3"/>
      <c r="I235" s="4"/>
      <c r="J235" s="4"/>
      <c r="K235" s="83"/>
      <c r="L235" s="3"/>
      <c r="M235" s="4"/>
      <c r="N235" s="4"/>
      <c r="O235" s="83"/>
      <c r="P235" s="3"/>
      <c r="Q235" s="4"/>
      <c r="R235" s="3"/>
      <c r="S235" s="83"/>
      <c r="T235" s="81"/>
      <c r="U235" s="81"/>
      <c r="V235" s="81"/>
      <c r="W235" s="81"/>
      <c r="X235" s="81"/>
      <c r="Y235" s="81"/>
      <c r="Z235" s="81"/>
    </row>
    <row r="236" spans="1:26" ht="24" customHeight="1" x14ac:dyDescent="0.5">
      <c r="A236" s="3"/>
      <c r="B236" s="3"/>
      <c r="C236" s="3"/>
      <c r="D236" s="3"/>
      <c r="E236" s="3"/>
      <c r="F236" s="3"/>
      <c r="G236" s="3"/>
      <c r="H236" s="3"/>
      <c r="I236" s="4"/>
      <c r="J236" s="4"/>
      <c r="K236" s="83"/>
      <c r="L236" s="3"/>
      <c r="M236" s="4"/>
      <c r="N236" s="4"/>
      <c r="O236" s="83"/>
      <c r="P236" s="3"/>
      <c r="Q236" s="4"/>
      <c r="R236" s="3"/>
      <c r="S236" s="83"/>
      <c r="T236" s="81"/>
      <c r="U236" s="81"/>
      <c r="V236" s="81"/>
      <c r="W236" s="81"/>
      <c r="X236" s="81"/>
      <c r="Y236" s="81"/>
      <c r="Z236" s="81"/>
    </row>
    <row r="237" spans="1:26" ht="24" customHeight="1" x14ac:dyDescent="0.5">
      <c r="A237" s="3"/>
      <c r="B237" s="3"/>
      <c r="C237" s="3"/>
      <c r="D237" s="3"/>
      <c r="E237" s="3"/>
      <c r="F237" s="3"/>
      <c r="G237" s="3"/>
      <c r="H237" s="3"/>
      <c r="I237" s="4"/>
      <c r="J237" s="4"/>
      <c r="K237" s="83"/>
      <c r="L237" s="3"/>
      <c r="M237" s="4"/>
      <c r="N237" s="4"/>
      <c r="O237" s="83"/>
      <c r="P237" s="3"/>
      <c r="Q237" s="4"/>
      <c r="R237" s="3"/>
      <c r="S237" s="83"/>
      <c r="T237" s="81"/>
      <c r="U237" s="81"/>
      <c r="V237" s="81"/>
      <c r="W237" s="81"/>
      <c r="X237" s="81"/>
      <c r="Y237" s="81"/>
      <c r="Z237" s="81"/>
    </row>
    <row r="238" spans="1:26" ht="24" customHeight="1" x14ac:dyDescent="0.5">
      <c r="A238" s="3"/>
      <c r="B238" s="3"/>
      <c r="C238" s="3"/>
      <c r="D238" s="3"/>
      <c r="E238" s="3"/>
      <c r="F238" s="3"/>
      <c r="G238" s="3"/>
      <c r="H238" s="3"/>
      <c r="I238" s="4"/>
      <c r="J238" s="4"/>
      <c r="K238" s="83"/>
      <c r="L238" s="3"/>
      <c r="M238" s="4"/>
      <c r="N238" s="4"/>
      <c r="O238" s="83"/>
      <c r="P238" s="3"/>
      <c r="Q238" s="4"/>
      <c r="R238" s="3"/>
      <c r="S238" s="83"/>
      <c r="T238" s="81"/>
      <c r="U238" s="81"/>
      <c r="V238" s="81"/>
      <c r="W238" s="81"/>
      <c r="X238" s="81"/>
      <c r="Y238" s="81"/>
      <c r="Z238" s="81"/>
    </row>
    <row r="239" spans="1:26" ht="24" customHeight="1" x14ac:dyDescent="0.5">
      <c r="A239" s="3"/>
      <c r="B239" s="3"/>
      <c r="C239" s="3"/>
      <c r="D239" s="3"/>
      <c r="E239" s="3"/>
      <c r="F239" s="3"/>
      <c r="G239" s="3"/>
      <c r="H239" s="3"/>
      <c r="I239" s="4"/>
      <c r="J239" s="4"/>
      <c r="K239" s="83"/>
      <c r="L239" s="3"/>
      <c r="M239" s="4"/>
      <c r="N239" s="4"/>
      <c r="O239" s="83"/>
      <c r="P239" s="3"/>
      <c r="Q239" s="4"/>
      <c r="R239" s="3"/>
      <c r="S239" s="83"/>
      <c r="T239" s="81"/>
      <c r="U239" s="81"/>
      <c r="V239" s="81"/>
      <c r="W239" s="81"/>
      <c r="X239" s="81"/>
      <c r="Y239" s="81"/>
      <c r="Z239" s="81"/>
    </row>
    <row r="240" spans="1:26" ht="24" customHeight="1" x14ac:dyDescent="0.5">
      <c r="A240" s="3"/>
      <c r="B240" s="3"/>
      <c r="C240" s="3"/>
      <c r="D240" s="3"/>
      <c r="E240" s="3"/>
      <c r="F240" s="3"/>
      <c r="G240" s="3"/>
      <c r="H240" s="3"/>
      <c r="I240" s="4"/>
      <c r="J240" s="4"/>
      <c r="K240" s="83"/>
      <c r="L240" s="3"/>
      <c r="M240" s="4"/>
      <c r="N240" s="4"/>
      <c r="O240" s="83"/>
      <c r="P240" s="3"/>
      <c r="Q240" s="4"/>
      <c r="R240" s="3"/>
      <c r="S240" s="83"/>
      <c r="T240" s="81"/>
      <c r="U240" s="81"/>
      <c r="V240" s="81"/>
      <c r="W240" s="81"/>
      <c r="X240" s="81"/>
      <c r="Y240" s="81"/>
      <c r="Z240" s="81"/>
    </row>
    <row r="241" spans="1:26" ht="24" customHeight="1" x14ac:dyDescent="0.5">
      <c r="A241" s="3"/>
      <c r="B241" s="3"/>
      <c r="C241" s="3"/>
      <c r="D241" s="3"/>
      <c r="E241" s="3"/>
      <c r="F241" s="3"/>
      <c r="G241" s="3"/>
      <c r="H241" s="3"/>
      <c r="I241" s="4"/>
      <c r="J241" s="4"/>
      <c r="K241" s="83"/>
      <c r="L241" s="3"/>
      <c r="M241" s="4"/>
      <c r="N241" s="4"/>
      <c r="O241" s="83"/>
      <c r="P241" s="3"/>
      <c r="Q241" s="4"/>
      <c r="R241" s="3"/>
      <c r="S241" s="83"/>
      <c r="T241" s="81"/>
      <c r="U241" s="81"/>
      <c r="V241" s="81"/>
      <c r="W241" s="81"/>
      <c r="X241" s="81"/>
      <c r="Y241" s="81"/>
      <c r="Z241" s="81"/>
    </row>
    <row r="242" spans="1:26" ht="24" customHeight="1" x14ac:dyDescent="0.5">
      <c r="A242" s="3"/>
      <c r="B242" s="3"/>
      <c r="C242" s="3"/>
      <c r="D242" s="3"/>
      <c r="E242" s="3"/>
      <c r="F242" s="3"/>
      <c r="G242" s="3"/>
      <c r="H242" s="3"/>
      <c r="I242" s="4"/>
      <c r="J242" s="4"/>
      <c r="K242" s="83"/>
      <c r="L242" s="3"/>
      <c r="M242" s="4"/>
      <c r="N242" s="4"/>
      <c r="O242" s="83"/>
      <c r="P242" s="3"/>
      <c r="Q242" s="4"/>
      <c r="R242" s="3"/>
      <c r="S242" s="83"/>
      <c r="T242" s="81"/>
      <c r="U242" s="81"/>
      <c r="V242" s="81"/>
      <c r="W242" s="81"/>
      <c r="X242" s="81"/>
      <c r="Y242" s="81"/>
      <c r="Z242" s="81"/>
    </row>
    <row r="243" spans="1:26" ht="24" customHeight="1" x14ac:dyDescent="0.5">
      <c r="A243" s="3"/>
      <c r="B243" s="3"/>
      <c r="C243" s="3"/>
      <c r="D243" s="3"/>
      <c r="E243" s="3"/>
      <c r="F243" s="3"/>
      <c r="G243" s="3"/>
      <c r="H243" s="3"/>
      <c r="I243" s="4"/>
      <c r="J243" s="4"/>
      <c r="K243" s="83"/>
      <c r="L243" s="3"/>
      <c r="M243" s="4"/>
      <c r="N243" s="4"/>
      <c r="O243" s="83"/>
      <c r="P243" s="3"/>
      <c r="Q243" s="4"/>
      <c r="R243" s="3"/>
      <c r="S243" s="83"/>
      <c r="T243" s="81"/>
      <c r="U243" s="81"/>
      <c r="V243" s="81"/>
      <c r="W243" s="81"/>
      <c r="X243" s="81"/>
      <c r="Y243" s="81"/>
      <c r="Z243" s="81"/>
    </row>
    <row r="244" spans="1:26" ht="24" customHeight="1" x14ac:dyDescent="0.5">
      <c r="A244" s="3"/>
      <c r="B244" s="3"/>
      <c r="C244" s="3"/>
      <c r="D244" s="3"/>
      <c r="E244" s="3"/>
      <c r="F244" s="3"/>
      <c r="G244" s="3"/>
      <c r="H244" s="3"/>
      <c r="I244" s="4"/>
      <c r="J244" s="4"/>
      <c r="K244" s="83"/>
      <c r="L244" s="3"/>
      <c r="M244" s="4"/>
      <c r="N244" s="4"/>
      <c r="O244" s="83"/>
      <c r="P244" s="3"/>
      <c r="Q244" s="4"/>
      <c r="R244" s="3"/>
      <c r="S244" s="83"/>
      <c r="T244" s="81"/>
      <c r="U244" s="81"/>
      <c r="V244" s="81"/>
      <c r="W244" s="81"/>
      <c r="X244" s="81"/>
      <c r="Y244" s="81"/>
      <c r="Z244" s="81"/>
    </row>
    <row r="245" spans="1:26" ht="24" customHeight="1" x14ac:dyDescent="0.5">
      <c r="A245" s="3"/>
      <c r="B245" s="3"/>
      <c r="C245" s="3"/>
      <c r="D245" s="3"/>
      <c r="E245" s="3"/>
      <c r="F245" s="3"/>
      <c r="G245" s="3"/>
      <c r="H245" s="3"/>
      <c r="I245" s="4"/>
      <c r="J245" s="4"/>
      <c r="K245" s="83"/>
      <c r="L245" s="3"/>
      <c r="M245" s="4"/>
      <c r="N245" s="4"/>
      <c r="O245" s="83"/>
      <c r="P245" s="3"/>
      <c r="Q245" s="4"/>
      <c r="R245" s="3"/>
      <c r="S245" s="83"/>
      <c r="T245" s="81"/>
      <c r="U245" s="81"/>
      <c r="V245" s="81"/>
      <c r="W245" s="81"/>
      <c r="X245" s="81"/>
      <c r="Y245" s="81"/>
      <c r="Z245" s="81"/>
    </row>
    <row r="246" spans="1:26" ht="24" customHeight="1" x14ac:dyDescent="0.5">
      <c r="A246" s="3"/>
      <c r="B246" s="3"/>
      <c r="C246" s="3"/>
      <c r="D246" s="3"/>
      <c r="E246" s="3"/>
      <c r="F246" s="3"/>
      <c r="G246" s="3"/>
      <c r="H246" s="3"/>
      <c r="I246" s="4"/>
      <c r="J246" s="4"/>
      <c r="K246" s="83"/>
      <c r="L246" s="3"/>
      <c r="M246" s="4"/>
      <c r="N246" s="4"/>
      <c r="O246" s="83"/>
      <c r="P246" s="3"/>
      <c r="Q246" s="4"/>
      <c r="R246" s="3"/>
      <c r="S246" s="83"/>
      <c r="T246" s="81"/>
      <c r="U246" s="81"/>
      <c r="V246" s="81"/>
      <c r="W246" s="81"/>
      <c r="X246" s="81"/>
      <c r="Y246" s="81"/>
      <c r="Z246" s="81"/>
    </row>
    <row r="247" spans="1:26" ht="24" customHeight="1" x14ac:dyDescent="0.5">
      <c r="A247" s="3"/>
      <c r="B247" s="3"/>
      <c r="C247" s="3"/>
      <c r="D247" s="3"/>
      <c r="E247" s="3"/>
      <c r="F247" s="3"/>
      <c r="G247" s="3"/>
      <c r="H247" s="3"/>
      <c r="I247" s="4"/>
      <c r="J247" s="4"/>
      <c r="K247" s="83"/>
      <c r="L247" s="3"/>
      <c r="M247" s="4"/>
      <c r="N247" s="4"/>
      <c r="O247" s="83"/>
      <c r="P247" s="3"/>
      <c r="Q247" s="4"/>
      <c r="R247" s="3"/>
      <c r="S247" s="83"/>
      <c r="T247" s="81"/>
      <c r="U247" s="81"/>
      <c r="V247" s="81"/>
      <c r="W247" s="81"/>
      <c r="X247" s="81"/>
      <c r="Y247" s="81"/>
      <c r="Z247" s="81"/>
    </row>
    <row r="248" spans="1:26" ht="24" customHeight="1" x14ac:dyDescent="0.5">
      <c r="A248" s="3"/>
      <c r="B248" s="3"/>
      <c r="C248" s="3"/>
      <c r="D248" s="3"/>
      <c r="E248" s="3"/>
      <c r="F248" s="3"/>
      <c r="G248" s="3"/>
      <c r="H248" s="3"/>
      <c r="I248" s="4"/>
      <c r="J248" s="4"/>
      <c r="K248" s="83"/>
      <c r="L248" s="3"/>
      <c r="M248" s="4"/>
      <c r="N248" s="4"/>
      <c r="O248" s="83"/>
      <c r="P248" s="3"/>
      <c r="Q248" s="4"/>
      <c r="R248" s="3"/>
      <c r="S248" s="83"/>
      <c r="T248" s="81"/>
      <c r="U248" s="81"/>
      <c r="V248" s="81"/>
      <c r="W248" s="81"/>
      <c r="X248" s="81"/>
      <c r="Y248" s="81"/>
      <c r="Z248" s="81"/>
    </row>
    <row r="249" spans="1:26" ht="24" customHeight="1" x14ac:dyDescent="0.5">
      <c r="A249" s="3"/>
      <c r="B249" s="3"/>
      <c r="C249" s="3"/>
      <c r="D249" s="3"/>
      <c r="E249" s="3"/>
      <c r="F249" s="3"/>
      <c r="G249" s="3"/>
      <c r="H249" s="3"/>
      <c r="I249" s="4"/>
      <c r="J249" s="4"/>
      <c r="K249" s="83"/>
      <c r="L249" s="3"/>
      <c r="M249" s="4"/>
      <c r="N249" s="4"/>
      <c r="O249" s="83"/>
      <c r="P249" s="3"/>
      <c r="Q249" s="4"/>
      <c r="R249" s="3"/>
      <c r="S249" s="83"/>
      <c r="T249" s="81"/>
      <c r="U249" s="81"/>
      <c r="V249" s="81"/>
      <c r="W249" s="81"/>
      <c r="X249" s="81"/>
      <c r="Y249" s="81"/>
      <c r="Z249" s="81"/>
    </row>
    <row r="250" spans="1:26" ht="24" customHeight="1" x14ac:dyDescent="0.5">
      <c r="A250" s="3"/>
      <c r="B250" s="3"/>
      <c r="C250" s="3"/>
      <c r="D250" s="3"/>
      <c r="E250" s="3"/>
      <c r="F250" s="3"/>
      <c r="G250" s="3"/>
      <c r="H250" s="3"/>
      <c r="I250" s="4"/>
      <c r="J250" s="4"/>
      <c r="K250" s="83"/>
      <c r="L250" s="3"/>
      <c r="M250" s="4"/>
      <c r="N250" s="4"/>
      <c r="O250" s="83"/>
      <c r="P250" s="3"/>
      <c r="Q250" s="4"/>
      <c r="R250" s="3"/>
      <c r="S250" s="83"/>
      <c r="T250" s="81"/>
      <c r="U250" s="81"/>
      <c r="V250" s="81"/>
      <c r="W250" s="81"/>
      <c r="X250" s="81"/>
      <c r="Y250" s="81"/>
      <c r="Z250" s="81"/>
    </row>
    <row r="251" spans="1:26" ht="24" customHeight="1" x14ac:dyDescent="0.5">
      <c r="A251" s="3"/>
      <c r="B251" s="3"/>
      <c r="C251" s="3"/>
      <c r="D251" s="3"/>
      <c r="E251" s="3"/>
      <c r="F251" s="3"/>
      <c r="G251" s="3"/>
      <c r="H251" s="3"/>
      <c r="I251" s="4"/>
      <c r="J251" s="4"/>
      <c r="K251" s="83"/>
      <c r="L251" s="3"/>
      <c r="M251" s="4"/>
      <c r="N251" s="4"/>
      <c r="O251" s="83"/>
      <c r="P251" s="3"/>
      <c r="Q251" s="4"/>
      <c r="R251" s="3"/>
      <c r="S251" s="83"/>
      <c r="T251" s="81"/>
      <c r="U251" s="81"/>
      <c r="V251" s="81"/>
      <c r="W251" s="81"/>
      <c r="X251" s="81"/>
      <c r="Y251" s="81"/>
      <c r="Z251" s="81"/>
    </row>
    <row r="252" spans="1:26" ht="24" customHeight="1" x14ac:dyDescent="0.5">
      <c r="A252" s="3"/>
      <c r="B252" s="3"/>
      <c r="C252" s="3"/>
      <c r="D252" s="3"/>
      <c r="E252" s="3"/>
      <c r="F252" s="3"/>
      <c r="G252" s="3"/>
      <c r="H252" s="3"/>
      <c r="I252" s="4"/>
      <c r="J252" s="4"/>
      <c r="K252" s="83"/>
      <c r="L252" s="3"/>
      <c r="M252" s="4"/>
      <c r="N252" s="4"/>
      <c r="O252" s="83"/>
      <c r="P252" s="3"/>
      <c r="Q252" s="4"/>
      <c r="R252" s="3"/>
      <c r="S252" s="83"/>
      <c r="T252" s="81"/>
      <c r="U252" s="81"/>
      <c r="V252" s="81"/>
      <c r="W252" s="81"/>
      <c r="X252" s="81"/>
      <c r="Y252" s="81"/>
      <c r="Z252" s="81"/>
    </row>
    <row r="253" spans="1:26" ht="24" customHeight="1" x14ac:dyDescent="0.5">
      <c r="A253" s="3"/>
      <c r="B253" s="3"/>
      <c r="C253" s="3"/>
      <c r="D253" s="3"/>
      <c r="E253" s="3"/>
      <c r="F253" s="3"/>
      <c r="G253" s="3"/>
      <c r="H253" s="3"/>
      <c r="I253" s="4"/>
      <c r="J253" s="4"/>
      <c r="K253" s="83"/>
      <c r="L253" s="3"/>
      <c r="M253" s="4"/>
      <c r="N253" s="4"/>
      <c r="O253" s="83"/>
      <c r="P253" s="3"/>
      <c r="Q253" s="4"/>
      <c r="R253" s="3"/>
      <c r="S253" s="83"/>
      <c r="T253" s="81"/>
      <c r="U253" s="81"/>
      <c r="V253" s="81"/>
      <c r="W253" s="81"/>
      <c r="X253" s="81"/>
      <c r="Y253" s="81"/>
      <c r="Z253" s="81"/>
    </row>
    <row r="254" spans="1:26" ht="24" customHeight="1" x14ac:dyDescent="0.5">
      <c r="A254" s="3"/>
      <c r="B254" s="3"/>
      <c r="C254" s="3"/>
      <c r="D254" s="3"/>
      <c r="E254" s="3"/>
      <c r="F254" s="3"/>
      <c r="G254" s="3"/>
      <c r="H254" s="3"/>
      <c r="I254" s="4"/>
      <c r="J254" s="4"/>
      <c r="K254" s="83"/>
      <c r="L254" s="3"/>
      <c r="M254" s="4"/>
      <c r="N254" s="4"/>
      <c r="O254" s="83"/>
      <c r="P254" s="3"/>
      <c r="Q254" s="4"/>
      <c r="R254" s="3"/>
      <c r="S254" s="83"/>
      <c r="T254" s="81"/>
      <c r="U254" s="81"/>
      <c r="V254" s="81"/>
      <c r="W254" s="81"/>
      <c r="X254" s="81"/>
      <c r="Y254" s="81"/>
      <c r="Z254" s="81"/>
    </row>
    <row r="255" spans="1:26" ht="24" customHeight="1" x14ac:dyDescent="0.5">
      <c r="A255" s="3"/>
      <c r="B255" s="3"/>
      <c r="C255" s="3"/>
      <c r="D255" s="3"/>
      <c r="E255" s="3"/>
      <c r="F255" s="3"/>
      <c r="G255" s="3"/>
      <c r="H255" s="3"/>
      <c r="I255" s="4"/>
      <c r="J255" s="4"/>
      <c r="K255" s="83"/>
      <c r="L255" s="3"/>
      <c r="M255" s="4"/>
      <c r="N255" s="4"/>
      <c r="O255" s="83"/>
      <c r="P255" s="3"/>
      <c r="Q255" s="4"/>
      <c r="R255" s="3"/>
      <c r="S255" s="83"/>
      <c r="T255" s="81"/>
      <c r="U255" s="81"/>
      <c r="V255" s="81"/>
      <c r="W255" s="81"/>
      <c r="X255" s="81"/>
      <c r="Y255" s="81"/>
      <c r="Z255" s="81"/>
    </row>
    <row r="256" spans="1:26" ht="24" customHeight="1" x14ac:dyDescent="0.5">
      <c r="A256" s="3"/>
      <c r="B256" s="3"/>
      <c r="C256" s="3"/>
      <c r="D256" s="3"/>
      <c r="E256" s="3"/>
      <c r="F256" s="3"/>
      <c r="G256" s="3"/>
      <c r="H256" s="3"/>
      <c r="I256" s="4"/>
      <c r="J256" s="4"/>
      <c r="K256" s="83"/>
      <c r="L256" s="3"/>
      <c r="M256" s="4"/>
      <c r="N256" s="4"/>
      <c r="O256" s="83"/>
      <c r="P256" s="3"/>
      <c r="Q256" s="4"/>
      <c r="R256" s="3"/>
      <c r="S256" s="83"/>
      <c r="T256" s="81"/>
      <c r="U256" s="81"/>
      <c r="V256" s="81"/>
      <c r="W256" s="81"/>
      <c r="X256" s="81"/>
      <c r="Y256" s="81"/>
      <c r="Z256" s="81"/>
    </row>
    <row r="257" spans="1:26" ht="24" customHeight="1" x14ac:dyDescent="0.5">
      <c r="A257" s="3"/>
      <c r="B257" s="3"/>
      <c r="C257" s="3"/>
      <c r="D257" s="3"/>
      <c r="E257" s="3"/>
      <c r="F257" s="3"/>
      <c r="G257" s="3"/>
      <c r="H257" s="3"/>
      <c r="I257" s="4"/>
      <c r="J257" s="4"/>
      <c r="K257" s="83"/>
      <c r="L257" s="3"/>
      <c r="M257" s="4"/>
      <c r="N257" s="4"/>
      <c r="O257" s="83"/>
      <c r="P257" s="3"/>
      <c r="Q257" s="4"/>
      <c r="R257" s="3"/>
      <c r="S257" s="83"/>
      <c r="T257" s="81"/>
      <c r="U257" s="81"/>
      <c r="V257" s="81"/>
      <c r="W257" s="81"/>
      <c r="X257" s="81"/>
      <c r="Y257" s="81"/>
      <c r="Z257" s="81"/>
    </row>
    <row r="258" spans="1:26" ht="24" customHeight="1" x14ac:dyDescent="0.5">
      <c r="A258" s="3"/>
      <c r="B258" s="3"/>
      <c r="C258" s="3"/>
      <c r="D258" s="3"/>
      <c r="E258" s="3"/>
      <c r="F258" s="3"/>
      <c r="G258" s="3"/>
      <c r="H258" s="3"/>
      <c r="I258" s="4"/>
      <c r="J258" s="4"/>
      <c r="K258" s="83"/>
      <c r="L258" s="3"/>
      <c r="M258" s="4"/>
      <c r="N258" s="4"/>
      <c r="O258" s="83"/>
      <c r="P258" s="3"/>
      <c r="Q258" s="4"/>
      <c r="R258" s="3"/>
      <c r="S258" s="83"/>
      <c r="T258" s="81"/>
      <c r="U258" s="81"/>
      <c r="V258" s="81"/>
      <c r="W258" s="81"/>
      <c r="X258" s="81"/>
      <c r="Y258" s="81"/>
      <c r="Z258" s="81"/>
    </row>
    <row r="259" spans="1:26" ht="24" customHeight="1" x14ac:dyDescent="0.5">
      <c r="A259" s="3"/>
      <c r="B259" s="3"/>
      <c r="C259" s="3"/>
      <c r="D259" s="3"/>
      <c r="E259" s="3"/>
      <c r="F259" s="3"/>
      <c r="G259" s="3"/>
      <c r="H259" s="3"/>
      <c r="I259" s="4"/>
      <c r="J259" s="4"/>
      <c r="K259" s="83"/>
      <c r="L259" s="3"/>
      <c r="M259" s="4"/>
      <c r="N259" s="4"/>
      <c r="O259" s="83"/>
      <c r="P259" s="3"/>
      <c r="Q259" s="4"/>
      <c r="R259" s="3"/>
      <c r="S259" s="83"/>
      <c r="T259" s="81"/>
      <c r="U259" s="81"/>
      <c r="V259" s="81"/>
      <c r="W259" s="81"/>
      <c r="X259" s="81"/>
      <c r="Y259" s="81"/>
      <c r="Z259" s="81"/>
    </row>
    <row r="260" spans="1:26" ht="24" customHeight="1" x14ac:dyDescent="0.5">
      <c r="A260" s="3"/>
      <c r="B260" s="3"/>
      <c r="C260" s="3"/>
      <c r="D260" s="3"/>
      <c r="E260" s="3"/>
      <c r="F260" s="3"/>
      <c r="G260" s="3"/>
      <c r="H260" s="3"/>
      <c r="I260" s="4"/>
      <c r="J260" s="4"/>
      <c r="K260" s="83"/>
      <c r="L260" s="3"/>
      <c r="M260" s="4"/>
      <c r="N260" s="4"/>
      <c r="O260" s="83"/>
      <c r="P260" s="3"/>
      <c r="Q260" s="4"/>
      <c r="R260" s="3"/>
      <c r="S260" s="83"/>
      <c r="T260" s="81"/>
      <c r="U260" s="81"/>
      <c r="V260" s="81"/>
      <c r="W260" s="81"/>
      <c r="X260" s="81"/>
      <c r="Y260" s="81"/>
      <c r="Z260" s="81"/>
    </row>
    <row r="261" spans="1:26" ht="24" customHeight="1" x14ac:dyDescent="0.5">
      <c r="A261" s="3"/>
      <c r="B261" s="3"/>
      <c r="C261" s="3"/>
      <c r="D261" s="3"/>
      <c r="E261" s="3"/>
      <c r="F261" s="3"/>
      <c r="G261" s="3"/>
      <c r="H261" s="3"/>
      <c r="I261" s="4"/>
      <c r="J261" s="4"/>
      <c r="K261" s="83"/>
      <c r="L261" s="3"/>
      <c r="M261" s="4"/>
      <c r="N261" s="4"/>
      <c r="O261" s="83"/>
      <c r="P261" s="3"/>
      <c r="Q261" s="4"/>
      <c r="R261" s="3"/>
      <c r="S261" s="83"/>
      <c r="T261" s="81"/>
      <c r="U261" s="81"/>
      <c r="V261" s="81"/>
      <c r="W261" s="81"/>
      <c r="X261" s="81"/>
      <c r="Y261" s="81"/>
      <c r="Z261" s="81"/>
    </row>
    <row r="262" spans="1:26" ht="24" customHeight="1" x14ac:dyDescent="0.5">
      <c r="A262" s="3"/>
      <c r="B262" s="3"/>
      <c r="C262" s="3"/>
      <c r="D262" s="3"/>
      <c r="E262" s="3"/>
      <c r="F262" s="3"/>
      <c r="G262" s="3"/>
      <c r="H262" s="3"/>
      <c r="I262" s="4"/>
      <c r="J262" s="4"/>
      <c r="K262" s="83"/>
      <c r="L262" s="3"/>
      <c r="M262" s="4"/>
      <c r="N262" s="4"/>
      <c r="O262" s="83"/>
      <c r="P262" s="3"/>
      <c r="Q262" s="4"/>
      <c r="R262" s="3"/>
      <c r="S262" s="83"/>
      <c r="T262" s="81"/>
      <c r="U262" s="81"/>
      <c r="V262" s="81"/>
      <c r="W262" s="81"/>
      <c r="X262" s="81"/>
      <c r="Y262" s="81"/>
      <c r="Z262" s="81"/>
    </row>
    <row r="263" spans="1:26" ht="24" customHeight="1" x14ac:dyDescent="0.5">
      <c r="A263" s="3"/>
      <c r="B263" s="3"/>
      <c r="C263" s="3"/>
      <c r="D263" s="3"/>
      <c r="E263" s="3"/>
      <c r="F263" s="3"/>
      <c r="G263" s="3"/>
      <c r="H263" s="3"/>
      <c r="I263" s="4"/>
      <c r="J263" s="4"/>
      <c r="K263" s="83"/>
      <c r="L263" s="3"/>
      <c r="M263" s="4"/>
      <c r="N263" s="4"/>
      <c r="O263" s="83"/>
      <c r="P263" s="3"/>
      <c r="Q263" s="4"/>
      <c r="R263" s="3"/>
      <c r="S263" s="83"/>
      <c r="T263" s="81"/>
      <c r="U263" s="81"/>
      <c r="V263" s="81"/>
      <c r="W263" s="81"/>
      <c r="X263" s="81"/>
      <c r="Y263" s="81"/>
      <c r="Z263" s="81"/>
    </row>
    <row r="264" spans="1:26" ht="24" customHeight="1" x14ac:dyDescent="0.5">
      <c r="A264" s="3"/>
      <c r="B264" s="3"/>
      <c r="C264" s="3"/>
      <c r="D264" s="3"/>
      <c r="E264" s="3"/>
      <c r="F264" s="3"/>
      <c r="G264" s="3"/>
      <c r="H264" s="3"/>
      <c r="I264" s="4"/>
      <c r="J264" s="4"/>
      <c r="K264" s="83"/>
      <c r="L264" s="3"/>
      <c r="M264" s="4"/>
      <c r="N264" s="4"/>
      <c r="O264" s="83"/>
      <c r="P264" s="3"/>
      <c r="Q264" s="4"/>
      <c r="R264" s="3"/>
      <c r="S264" s="83"/>
      <c r="T264" s="81"/>
      <c r="U264" s="81"/>
      <c r="V264" s="81"/>
      <c r="W264" s="81"/>
      <c r="X264" s="81"/>
      <c r="Y264" s="81"/>
      <c r="Z264" s="81"/>
    </row>
    <row r="265" spans="1:26" ht="24" customHeight="1" x14ac:dyDescent="0.5">
      <c r="A265" s="3"/>
      <c r="B265" s="3"/>
      <c r="C265" s="3"/>
      <c r="D265" s="3"/>
      <c r="E265" s="3"/>
      <c r="F265" s="3"/>
      <c r="G265" s="3"/>
      <c r="H265" s="3"/>
      <c r="I265" s="4"/>
      <c r="J265" s="4"/>
      <c r="K265" s="83"/>
      <c r="L265" s="3"/>
      <c r="M265" s="4"/>
      <c r="N265" s="4"/>
      <c r="O265" s="83"/>
      <c r="P265" s="3"/>
      <c r="Q265" s="4"/>
      <c r="R265" s="3"/>
      <c r="S265" s="83"/>
      <c r="T265" s="81"/>
      <c r="U265" s="81"/>
      <c r="V265" s="81"/>
      <c r="W265" s="81"/>
      <c r="X265" s="81"/>
      <c r="Y265" s="81"/>
      <c r="Z265" s="81"/>
    </row>
    <row r="266" spans="1:26" ht="24" customHeight="1" x14ac:dyDescent="0.5">
      <c r="A266" s="3"/>
      <c r="B266" s="3"/>
      <c r="C266" s="3"/>
      <c r="D266" s="3"/>
      <c r="E266" s="3"/>
      <c r="F266" s="3"/>
      <c r="G266" s="3"/>
      <c r="H266" s="3"/>
      <c r="I266" s="4"/>
      <c r="J266" s="4"/>
      <c r="K266" s="83"/>
      <c r="L266" s="3"/>
      <c r="M266" s="4"/>
      <c r="N266" s="4"/>
      <c r="O266" s="83"/>
      <c r="P266" s="3"/>
      <c r="Q266" s="4"/>
      <c r="R266" s="3"/>
      <c r="S266" s="83"/>
      <c r="T266" s="81"/>
      <c r="U266" s="81"/>
      <c r="V266" s="81"/>
      <c r="W266" s="81"/>
      <c r="X266" s="81"/>
      <c r="Y266" s="81"/>
      <c r="Z266" s="81"/>
    </row>
    <row r="267" spans="1:26" ht="24" customHeight="1" x14ac:dyDescent="0.5">
      <c r="A267" s="3"/>
      <c r="B267" s="3"/>
      <c r="C267" s="3"/>
      <c r="D267" s="3"/>
      <c r="E267" s="3"/>
      <c r="F267" s="3"/>
      <c r="G267" s="3"/>
      <c r="H267" s="3"/>
      <c r="I267" s="4"/>
      <c r="J267" s="4"/>
      <c r="K267" s="83"/>
      <c r="L267" s="3"/>
      <c r="M267" s="4"/>
      <c r="N267" s="4"/>
      <c r="O267" s="83"/>
      <c r="P267" s="3"/>
      <c r="Q267" s="4"/>
      <c r="R267" s="3"/>
      <c r="S267" s="83"/>
      <c r="T267" s="81"/>
      <c r="U267" s="81"/>
      <c r="V267" s="81"/>
      <c r="W267" s="81"/>
      <c r="X267" s="81"/>
      <c r="Y267" s="81"/>
      <c r="Z267" s="81"/>
    </row>
    <row r="268" spans="1:26" ht="24" customHeight="1" x14ac:dyDescent="0.5">
      <c r="A268" s="3"/>
      <c r="B268" s="3"/>
      <c r="C268" s="3"/>
      <c r="D268" s="3"/>
      <c r="E268" s="3"/>
      <c r="F268" s="3"/>
      <c r="G268" s="3"/>
      <c r="H268" s="3"/>
      <c r="I268" s="4"/>
      <c r="J268" s="4"/>
      <c r="K268" s="83"/>
      <c r="L268" s="3"/>
      <c r="M268" s="4"/>
      <c r="N268" s="4"/>
      <c r="O268" s="83"/>
      <c r="P268" s="3"/>
      <c r="Q268" s="4"/>
      <c r="R268" s="3"/>
      <c r="S268" s="83"/>
      <c r="T268" s="81"/>
      <c r="U268" s="81"/>
      <c r="V268" s="81"/>
      <c r="W268" s="81"/>
      <c r="X268" s="81"/>
      <c r="Y268" s="81"/>
      <c r="Z268" s="81"/>
    </row>
    <row r="269" spans="1:26" ht="24" customHeight="1" x14ac:dyDescent="0.5">
      <c r="A269" s="3"/>
      <c r="B269" s="3"/>
      <c r="C269" s="3"/>
      <c r="D269" s="3"/>
      <c r="E269" s="3"/>
      <c r="F269" s="3"/>
      <c r="G269" s="3"/>
      <c r="H269" s="3"/>
      <c r="I269" s="4"/>
      <c r="J269" s="4"/>
      <c r="K269" s="83"/>
      <c r="L269" s="3"/>
      <c r="M269" s="4"/>
      <c r="N269" s="4"/>
      <c r="O269" s="83"/>
      <c r="P269" s="3"/>
      <c r="Q269" s="4"/>
      <c r="R269" s="3"/>
      <c r="S269" s="83"/>
      <c r="T269" s="81"/>
      <c r="U269" s="81"/>
      <c r="V269" s="81"/>
      <c r="W269" s="81"/>
      <c r="X269" s="81"/>
      <c r="Y269" s="81"/>
      <c r="Z269" s="81"/>
    </row>
    <row r="270" spans="1:26" ht="24" customHeight="1" x14ac:dyDescent="0.5">
      <c r="A270" s="3"/>
      <c r="B270" s="3"/>
      <c r="C270" s="3"/>
      <c r="D270" s="3"/>
      <c r="E270" s="3"/>
      <c r="F270" s="3"/>
      <c r="G270" s="3"/>
      <c r="H270" s="3"/>
      <c r="I270" s="4"/>
      <c r="J270" s="4"/>
      <c r="K270" s="83"/>
      <c r="L270" s="3"/>
      <c r="M270" s="4"/>
      <c r="N270" s="4"/>
      <c r="O270" s="83"/>
      <c r="P270" s="3"/>
      <c r="Q270" s="4"/>
      <c r="R270" s="3"/>
      <c r="S270" s="83"/>
      <c r="T270" s="81"/>
      <c r="U270" s="81"/>
      <c r="V270" s="81"/>
      <c r="W270" s="81"/>
      <c r="X270" s="81"/>
      <c r="Y270" s="81"/>
      <c r="Z270" s="81"/>
    </row>
    <row r="271" spans="1:26" ht="24" customHeight="1" x14ac:dyDescent="0.5">
      <c r="A271" s="3"/>
      <c r="B271" s="3"/>
      <c r="C271" s="3"/>
      <c r="D271" s="3"/>
      <c r="E271" s="3"/>
      <c r="F271" s="3"/>
      <c r="G271" s="3"/>
      <c r="H271" s="3"/>
      <c r="I271" s="4"/>
      <c r="J271" s="4"/>
      <c r="K271" s="83"/>
      <c r="L271" s="3"/>
      <c r="M271" s="4"/>
      <c r="N271" s="4"/>
      <c r="O271" s="83"/>
      <c r="P271" s="3"/>
      <c r="Q271" s="4"/>
      <c r="R271" s="3"/>
      <c r="S271" s="83"/>
      <c r="T271" s="81"/>
      <c r="U271" s="81"/>
      <c r="V271" s="81"/>
      <c r="W271" s="81"/>
      <c r="X271" s="81"/>
      <c r="Y271" s="81"/>
      <c r="Z271" s="81"/>
    </row>
    <row r="272" spans="1:26" ht="24" customHeight="1" x14ac:dyDescent="0.5">
      <c r="A272" s="3"/>
      <c r="B272" s="3"/>
      <c r="C272" s="3"/>
      <c r="D272" s="3"/>
      <c r="E272" s="3"/>
      <c r="F272" s="3"/>
      <c r="G272" s="3"/>
      <c r="H272" s="3"/>
      <c r="I272" s="4"/>
      <c r="J272" s="4"/>
      <c r="K272" s="83"/>
      <c r="L272" s="3"/>
      <c r="M272" s="4"/>
      <c r="N272" s="4"/>
      <c r="O272" s="83"/>
      <c r="P272" s="3"/>
      <c r="Q272" s="4"/>
      <c r="R272" s="3"/>
      <c r="S272" s="83"/>
      <c r="T272" s="81"/>
      <c r="U272" s="81"/>
      <c r="V272" s="81"/>
      <c r="W272" s="81"/>
      <c r="X272" s="81"/>
      <c r="Y272" s="81"/>
      <c r="Z272" s="81"/>
    </row>
    <row r="273" spans="1:26" ht="24" customHeight="1" x14ac:dyDescent="0.5">
      <c r="A273" s="3"/>
      <c r="B273" s="3"/>
      <c r="C273" s="3"/>
      <c r="D273" s="3"/>
      <c r="E273" s="3"/>
      <c r="F273" s="3"/>
      <c r="G273" s="3"/>
      <c r="H273" s="3"/>
      <c r="I273" s="4"/>
      <c r="J273" s="4"/>
      <c r="K273" s="83"/>
      <c r="L273" s="3"/>
      <c r="M273" s="4"/>
      <c r="N273" s="4"/>
      <c r="O273" s="83"/>
      <c r="P273" s="3"/>
      <c r="Q273" s="4"/>
      <c r="R273" s="3"/>
      <c r="S273" s="83"/>
      <c r="T273" s="81"/>
      <c r="U273" s="81"/>
      <c r="V273" s="81"/>
      <c r="W273" s="81"/>
      <c r="X273" s="81"/>
      <c r="Y273" s="81"/>
      <c r="Z273" s="81"/>
    </row>
    <row r="274" spans="1:26" ht="24" customHeight="1" x14ac:dyDescent="0.5">
      <c r="A274" s="3"/>
      <c r="B274" s="3"/>
      <c r="C274" s="3"/>
      <c r="D274" s="3"/>
      <c r="E274" s="3"/>
      <c r="F274" s="3"/>
      <c r="G274" s="3"/>
      <c r="H274" s="3"/>
      <c r="I274" s="4"/>
      <c r="J274" s="4"/>
      <c r="K274" s="83"/>
      <c r="L274" s="3"/>
      <c r="M274" s="4"/>
      <c r="N274" s="4"/>
      <c r="O274" s="83"/>
      <c r="P274" s="3"/>
      <c r="Q274" s="4"/>
      <c r="R274" s="3"/>
      <c r="S274" s="83"/>
      <c r="T274" s="81"/>
      <c r="U274" s="81"/>
      <c r="V274" s="81"/>
      <c r="W274" s="81"/>
      <c r="X274" s="81"/>
      <c r="Y274" s="81"/>
      <c r="Z274" s="81"/>
    </row>
    <row r="275" spans="1:26" ht="24" customHeight="1" x14ac:dyDescent="0.5">
      <c r="A275" s="3"/>
      <c r="B275" s="3"/>
      <c r="C275" s="3"/>
      <c r="D275" s="3"/>
      <c r="E275" s="3"/>
      <c r="F275" s="3"/>
      <c r="G275" s="3"/>
      <c r="H275" s="3"/>
      <c r="I275" s="4"/>
      <c r="J275" s="4"/>
      <c r="K275" s="83"/>
      <c r="L275" s="3"/>
      <c r="M275" s="4"/>
      <c r="N275" s="4"/>
      <c r="O275" s="83"/>
      <c r="P275" s="3"/>
      <c r="Q275" s="4"/>
      <c r="R275" s="3"/>
      <c r="S275" s="83"/>
      <c r="T275" s="81"/>
      <c r="U275" s="81"/>
      <c r="V275" s="81"/>
      <c r="W275" s="81"/>
      <c r="X275" s="81"/>
      <c r="Y275" s="81"/>
      <c r="Z275" s="81"/>
    </row>
    <row r="276" spans="1:26" ht="24" customHeight="1" x14ac:dyDescent="0.5">
      <c r="A276" s="3"/>
      <c r="B276" s="3"/>
      <c r="C276" s="3"/>
      <c r="D276" s="3"/>
      <c r="E276" s="3"/>
      <c r="F276" s="3"/>
      <c r="G276" s="3"/>
      <c r="H276" s="3"/>
      <c r="I276" s="4"/>
      <c r="J276" s="4"/>
      <c r="K276" s="83"/>
      <c r="L276" s="3"/>
      <c r="M276" s="4"/>
      <c r="N276" s="4"/>
      <c r="O276" s="83"/>
      <c r="P276" s="3"/>
      <c r="Q276" s="4"/>
      <c r="R276" s="3"/>
      <c r="S276" s="83"/>
      <c r="T276" s="81"/>
      <c r="U276" s="81"/>
      <c r="V276" s="81"/>
      <c r="W276" s="81"/>
      <c r="X276" s="81"/>
      <c r="Y276" s="81"/>
      <c r="Z276" s="81"/>
    </row>
    <row r="277" spans="1:26" ht="24" customHeight="1" x14ac:dyDescent="0.5">
      <c r="A277" s="3"/>
      <c r="B277" s="3"/>
      <c r="C277" s="3"/>
      <c r="D277" s="3"/>
      <c r="E277" s="3"/>
      <c r="F277" s="3"/>
      <c r="G277" s="3"/>
      <c r="H277" s="3"/>
      <c r="I277" s="4"/>
      <c r="J277" s="4"/>
      <c r="K277" s="83"/>
      <c r="L277" s="3"/>
      <c r="M277" s="4"/>
      <c r="N277" s="4"/>
      <c r="O277" s="83"/>
      <c r="P277" s="3"/>
      <c r="Q277" s="4"/>
      <c r="R277" s="3"/>
      <c r="S277" s="83"/>
      <c r="T277" s="81"/>
      <c r="U277" s="81"/>
      <c r="V277" s="81"/>
      <c r="W277" s="81"/>
      <c r="X277" s="81"/>
      <c r="Y277" s="81"/>
      <c r="Z277" s="81"/>
    </row>
    <row r="278" spans="1:26" ht="24" customHeight="1" x14ac:dyDescent="0.5">
      <c r="A278" s="3"/>
      <c r="B278" s="3"/>
      <c r="C278" s="3"/>
      <c r="D278" s="3"/>
      <c r="E278" s="3"/>
      <c r="F278" s="3"/>
      <c r="G278" s="3"/>
      <c r="H278" s="3"/>
      <c r="I278" s="4"/>
      <c r="J278" s="4"/>
      <c r="K278" s="83"/>
      <c r="L278" s="3"/>
      <c r="M278" s="4"/>
      <c r="N278" s="4"/>
      <c r="O278" s="83"/>
      <c r="P278" s="3"/>
      <c r="Q278" s="4"/>
      <c r="R278" s="3"/>
      <c r="S278" s="83"/>
      <c r="T278" s="81"/>
      <c r="U278" s="81"/>
      <c r="V278" s="81"/>
      <c r="W278" s="81"/>
      <c r="X278" s="81"/>
      <c r="Y278" s="81"/>
      <c r="Z278" s="81"/>
    </row>
    <row r="279" spans="1:26" ht="24" customHeight="1" x14ac:dyDescent="0.5">
      <c r="A279" s="3"/>
      <c r="B279" s="3"/>
      <c r="C279" s="3"/>
      <c r="D279" s="3"/>
      <c r="E279" s="3"/>
      <c r="F279" s="3"/>
      <c r="G279" s="3"/>
      <c r="H279" s="3"/>
      <c r="I279" s="4"/>
      <c r="J279" s="4"/>
      <c r="K279" s="83"/>
      <c r="L279" s="3"/>
      <c r="M279" s="4"/>
      <c r="N279" s="4"/>
      <c r="O279" s="83"/>
      <c r="P279" s="3"/>
      <c r="Q279" s="4"/>
      <c r="R279" s="3"/>
      <c r="S279" s="83"/>
      <c r="T279" s="81"/>
      <c r="U279" s="81"/>
      <c r="V279" s="81"/>
      <c r="W279" s="81"/>
      <c r="X279" s="81"/>
      <c r="Y279" s="81"/>
      <c r="Z279" s="81"/>
    </row>
    <row r="280" spans="1:26" ht="24" customHeight="1" x14ac:dyDescent="0.5">
      <c r="A280" s="3"/>
      <c r="B280" s="3"/>
      <c r="C280" s="3"/>
      <c r="D280" s="3"/>
      <c r="E280" s="3"/>
      <c r="F280" s="3"/>
      <c r="G280" s="3"/>
      <c r="H280" s="3"/>
      <c r="I280" s="4"/>
      <c r="J280" s="4"/>
      <c r="K280" s="83"/>
      <c r="L280" s="3"/>
      <c r="M280" s="4"/>
      <c r="N280" s="4"/>
      <c r="O280" s="83"/>
      <c r="P280" s="3"/>
      <c r="Q280" s="4"/>
      <c r="R280" s="3"/>
      <c r="S280" s="83"/>
      <c r="T280" s="81"/>
      <c r="U280" s="81"/>
      <c r="V280" s="81"/>
      <c r="W280" s="81"/>
      <c r="X280" s="81"/>
      <c r="Y280" s="81"/>
      <c r="Z280" s="81"/>
    </row>
    <row r="281" spans="1:26" ht="24" customHeight="1" x14ac:dyDescent="0.5">
      <c r="A281" s="3"/>
      <c r="B281" s="3"/>
      <c r="C281" s="3"/>
      <c r="D281" s="3"/>
      <c r="E281" s="3"/>
      <c r="F281" s="3"/>
      <c r="G281" s="3"/>
      <c r="H281" s="3"/>
      <c r="I281" s="4"/>
      <c r="J281" s="4"/>
      <c r="K281" s="83"/>
      <c r="L281" s="3"/>
      <c r="M281" s="4"/>
      <c r="N281" s="4"/>
      <c r="O281" s="83"/>
      <c r="P281" s="3"/>
      <c r="Q281" s="4"/>
      <c r="R281" s="3"/>
      <c r="S281" s="83"/>
      <c r="T281" s="81"/>
      <c r="U281" s="81"/>
      <c r="V281" s="81"/>
      <c r="W281" s="81"/>
      <c r="X281" s="81"/>
      <c r="Y281" s="81"/>
      <c r="Z281" s="81"/>
    </row>
    <row r="282" spans="1:26" ht="24" customHeight="1" x14ac:dyDescent="0.5">
      <c r="A282" s="3"/>
      <c r="B282" s="3"/>
      <c r="C282" s="3"/>
      <c r="D282" s="3"/>
      <c r="E282" s="3"/>
      <c r="F282" s="3"/>
      <c r="G282" s="3"/>
      <c r="H282" s="3"/>
      <c r="I282" s="4"/>
      <c r="J282" s="4"/>
      <c r="K282" s="83"/>
      <c r="L282" s="3"/>
      <c r="M282" s="4"/>
      <c r="N282" s="4"/>
      <c r="O282" s="83"/>
      <c r="P282" s="3"/>
      <c r="Q282" s="4"/>
      <c r="R282" s="3"/>
      <c r="S282" s="83"/>
      <c r="T282" s="81"/>
      <c r="U282" s="81"/>
      <c r="V282" s="81"/>
      <c r="W282" s="81"/>
      <c r="X282" s="81"/>
      <c r="Y282" s="81"/>
      <c r="Z282" s="81"/>
    </row>
    <row r="283" spans="1:26" ht="24" customHeight="1" x14ac:dyDescent="0.5">
      <c r="A283" s="3"/>
      <c r="B283" s="3"/>
      <c r="C283" s="3"/>
      <c r="D283" s="3"/>
      <c r="E283" s="3"/>
      <c r="F283" s="3"/>
      <c r="G283" s="3"/>
      <c r="H283" s="3"/>
      <c r="I283" s="4"/>
      <c r="J283" s="4"/>
      <c r="K283" s="83"/>
      <c r="L283" s="3"/>
      <c r="M283" s="4"/>
      <c r="N283" s="4"/>
      <c r="O283" s="83"/>
      <c r="P283" s="3"/>
      <c r="Q283" s="4"/>
      <c r="R283" s="3"/>
      <c r="S283" s="83"/>
      <c r="T283" s="81"/>
      <c r="U283" s="81"/>
      <c r="V283" s="81"/>
      <c r="W283" s="81"/>
      <c r="X283" s="81"/>
      <c r="Y283" s="81"/>
      <c r="Z283" s="81"/>
    </row>
    <row r="284" spans="1:26" ht="24" customHeight="1" x14ac:dyDescent="0.5">
      <c r="A284" s="3"/>
      <c r="B284" s="3"/>
      <c r="C284" s="3"/>
      <c r="D284" s="3"/>
      <c r="E284" s="3"/>
      <c r="F284" s="3"/>
      <c r="G284" s="3"/>
      <c r="H284" s="3"/>
      <c r="I284" s="4"/>
      <c r="J284" s="4"/>
      <c r="K284" s="83"/>
      <c r="L284" s="3"/>
      <c r="M284" s="4"/>
      <c r="N284" s="4"/>
      <c r="O284" s="83"/>
      <c r="P284" s="3"/>
      <c r="Q284" s="4"/>
      <c r="R284" s="3"/>
      <c r="S284" s="83"/>
      <c r="T284" s="81"/>
      <c r="U284" s="81"/>
      <c r="V284" s="81"/>
      <c r="W284" s="81"/>
      <c r="X284" s="81"/>
      <c r="Y284" s="81"/>
      <c r="Z284" s="81"/>
    </row>
    <row r="285" spans="1:26" ht="24" customHeight="1" x14ac:dyDescent="0.5">
      <c r="A285" s="3"/>
      <c r="B285" s="3"/>
      <c r="C285" s="3"/>
      <c r="D285" s="3"/>
      <c r="E285" s="3"/>
      <c r="F285" s="3"/>
      <c r="G285" s="3"/>
      <c r="H285" s="3"/>
      <c r="I285" s="4"/>
      <c r="J285" s="4"/>
      <c r="K285" s="83"/>
      <c r="L285" s="3"/>
      <c r="M285" s="4"/>
      <c r="N285" s="4"/>
      <c r="O285" s="83"/>
      <c r="P285" s="3"/>
      <c r="Q285" s="4"/>
      <c r="R285" s="3"/>
      <c r="S285" s="83"/>
      <c r="T285" s="81"/>
      <c r="U285" s="81"/>
      <c r="V285" s="81"/>
      <c r="W285" s="81"/>
      <c r="X285" s="81"/>
      <c r="Y285" s="81"/>
      <c r="Z285" s="81"/>
    </row>
    <row r="286" spans="1:26" ht="24" customHeight="1" x14ac:dyDescent="0.5">
      <c r="A286" s="3"/>
      <c r="B286" s="3"/>
      <c r="C286" s="3"/>
      <c r="D286" s="3"/>
      <c r="E286" s="3"/>
      <c r="F286" s="3"/>
      <c r="G286" s="3"/>
      <c r="H286" s="3"/>
      <c r="I286" s="4"/>
      <c r="J286" s="4"/>
      <c r="K286" s="83"/>
      <c r="L286" s="3"/>
      <c r="M286" s="4"/>
      <c r="N286" s="4"/>
      <c r="O286" s="83"/>
      <c r="P286" s="3"/>
      <c r="Q286" s="4"/>
      <c r="R286" s="3"/>
      <c r="S286" s="83"/>
      <c r="T286" s="81"/>
      <c r="U286" s="81"/>
      <c r="V286" s="81"/>
      <c r="W286" s="81"/>
      <c r="X286" s="81"/>
      <c r="Y286" s="81"/>
      <c r="Z286" s="81"/>
    </row>
    <row r="287" spans="1:26" ht="24" customHeight="1" x14ac:dyDescent="0.5">
      <c r="A287" s="3"/>
      <c r="B287" s="3"/>
      <c r="C287" s="3"/>
      <c r="D287" s="3"/>
      <c r="E287" s="3"/>
      <c r="F287" s="3"/>
      <c r="G287" s="3"/>
      <c r="H287" s="3"/>
      <c r="I287" s="4"/>
      <c r="J287" s="4"/>
      <c r="K287" s="83"/>
      <c r="L287" s="3"/>
      <c r="M287" s="4"/>
      <c r="N287" s="4"/>
      <c r="O287" s="83"/>
      <c r="P287" s="3"/>
      <c r="Q287" s="4"/>
      <c r="R287" s="3"/>
      <c r="S287" s="83"/>
      <c r="T287" s="81"/>
      <c r="U287" s="81"/>
      <c r="V287" s="81"/>
      <c r="W287" s="81"/>
      <c r="X287" s="81"/>
      <c r="Y287" s="81"/>
      <c r="Z287" s="81"/>
    </row>
    <row r="288" spans="1:26" ht="24" customHeight="1" x14ac:dyDescent="0.5">
      <c r="A288" s="3"/>
      <c r="B288" s="3"/>
      <c r="C288" s="3"/>
      <c r="D288" s="3"/>
      <c r="E288" s="3"/>
      <c r="F288" s="3"/>
      <c r="G288" s="3"/>
      <c r="H288" s="3"/>
      <c r="I288" s="4"/>
      <c r="J288" s="4"/>
      <c r="K288" s="83"/>
      <c r="L288" s="3"/>
      <c r="M288" s="4"/>
      <c r="N288" s="4"/>
      <c r="O288" s="83"/>
      <c r="P288" s="3"/>
      <c r="Q288" s="4"/>
      <c r="R288" s="3"/>
      <c r="S288" s="83"/>
      <c r="T288" s="81"/>
      <c r="U288" s="81"/>
      <c r="V288" s="81"/>
      <c r="W288" s="81"/>
      <c r="X288" s="81"/>
      <c r="Y288" s="81"/>
      <c r="Z288" s="81"/>
    </row>
    <row r="289" spans="1:26" ht="24" customHeight="1" x14ac:dyDescent="0.5">
      <c r="A289" s="3"/>
      <c r="B289" s="3"/>
      <c r="C289" s="3"/>
      <c r="D289" s="3"/>
      <c r="E289" s="3"/>
      <c r="F289" s="3"/>
      <c r="G289" s="3"/>
      <c r="H289" s="3"/>
      <c r="I289" s="4"/>
      <c r="J289" s="4"/>
      <c r="K289" s="83"/>
      <c r="L289" s="3"/>
      <c r="M289" s="4"/>
      <c r="N289" s="4"/>
      <c r="O289" s="83"/>
      <c r="P289" s="3"/>
      <c r="Q289" s="4"/>
      <c r="R289" s="3"/>
      <c r="S289" s="83"/>
      <c r="T289" s="81"/>
      <c r="U289" s="81"/>
      <c r="V289" s="81"/>
      <c r="W289" s="81"/>
      <c r="X289" s="81"/>
      <c r="Y289" s="81"/>
      <c r="Z289" s="81"/>
    </row>
    <row r="290" spans="1:26" ht="24" customHeight="1" x14ac:dyDescent="0.5">
      <c r="A290" s="3"/>
      <c r="B290" s="3"/>
      <c r="C290" s="3"/>
      <c r="D290" s="3"/>
      <c r="E290" s="3"/>
      <c r="F290" s="3"/>
      <c r="G290" s="3"/>
      <c r="H290" s="3"/>
      <c r="I290" s="4"/>
      <c r="J290" s="4"/>
      <c r="K290" s="83"/>
      <c r="L290" s="3"/>
      <c r="M290" s="4"/>
      <c r="N290" s="4"/>
      <c r="O290" s="83"/>
      <c r="P290" s="3"/>
      <c r="Q290" s="4"/>
      <c r="R290" s="3"/>
      <c r="S290" s="83"/>
      <c r="T290" s="81"/>
      <c r="U290" s="81"/>
      <c r="V290" s="81"/>
      <c r="W290" s="81"/>
      <c r="X290" s="81"/>
      <c r="Y290" s="81"/>
      <c r="Z290" s="81"/>
    </row>
    <row r="291" spans="1:26" ht="24" customHeight="1" x14ac:dyDescent="0.5">
      <c r="A291" s="3"/>
      <c r="B291" s="3"/>
      <c r="C291" s="3"/>
      <c r="D291" s="3"/>
      <c r="E291" s="3"/>
      <c r="F291" s="3"/>
      <c r="G291" s="3"/>
      <c r="H291" s="3"/>
      <c r="I291" s="4"/>
      <c r="J291" s="4"/>
      <c r="K291" s="83"/>
      <c r="L291" s="3"/>
      <c r="M291" s="4"/>
      <c r="N291" s="4"/>
      <c r="O291" s="83"/>
      <c r="P291" s="3"/>
      <c r="Q291" s="4"/>
      <c r="R291" s="3"/>
      <c r="S291" s="83"/>
      <c r="T291" s="81"/>
      <c r="U291" s="81"/>
      <c r="V291" s="81"/>
      <c r="W291" s="81"/>
      <c r="X291" s="81"/>
      <c r="Y291" s="81"/>
      <c r="Z291" s="81"/>
    </row>
    <row r="292" spans="1:26" ht="24" customHeight="1" x14ac:dyDescent="0.5">
      <c r="A292" s="3"/>
      <c r="B292" s="3"/>
      <c r="C292" s="3"/>
      <c r="D292" s="3"/>
      <c r="E292" s="3"/>
      <c r="F292" s="3"/>
      <c r="G292" s="3"/>
      <c r="H292" s="3"/>
      <c r="I292" s="4"/>
      <c r="J292" s="4"/>
      <c r="K292" s="83"/>
      <c r="L292" s="3"/>
      <c r="M292" s="4"/>
      <c r="N292" s="4"/>
      <c r="O292" s="83"/>
      <c r="P292" s="3"/>
      <c r="Q292" s="4"/>
      <c r="R292" s="3"/>
      <c r="S292" s="83"/>
      <c r="T292" s="81"/>
      <c r="U292" s="81"/>
      <c r="V292" s="81"/>
      <c r="W292" s="81"/>
      <c r="X292" s="81"/>
      <c r="Y292" s="81"/>
      <c r="Z292" s="81"/>
    </row>
    <row r="293" spans="1:26" ht="24" customHeight="1" x14ac:dyDescent="0.5">
      <c r="A293" s="3"/>
      <c r="B293" s="3"/>
      <c r="C293" s="3"/>
      <c r="D293" s="3"/>
      <c r="E293" s="3"/>
      <c r="F293" s="3"/>
      <c r="G293" s="3"/>
      <c r="H293" s="3"/>
      <c r="I293" s="4"/>
      <c r="J293" s="4"/>
      <c r="K293" s="83"/>
      <c r="L293" s="3"/>
      <c r="M293" s="4"/>
      <c r="N293" s="4"/>
      <c r="O293" s="83"/>
      <c r="P293" s="3"/>
      <c r="Q293" s="4"/>
      <c r="R293" s="3"/>
      <c r="S293" s="83"/>
      <c r="T293" s="81"/>
      <c r="U293" s="81"/>
      <c r="V293" s="81"/>
      <c r="W293" s="81"/>
      <c r="X293" s="81"/>
      <c r="Y293" s="81"/>
      <c r="Z293" s="81"/>
    </row>
    <row r="294" spans="1:26" ht="24" customHeight="1" x14ac:dyDescent="0.5">
      <c r="A294" s="3"/>
      <c r="B294" s="3"/>
      <c r="C294" s="3"/>
      <c r="D294" s="3"/>
      <c r="E294" s="3"/>
      <c r="F294" s="3"/>
      <c r="G294" s="3"/>
      <c r="H294" s="3"/>
      <c r="I294" s="4"/>
      <c r="J294" s="4"/>
      <c r="K294" s="83"/>
      <c r="L294" s="3"/>
      <c r="M294" s="4"/>
      <c r="N294" s="4"/>
      <c r="O294" s="83"/>
      <c r="P294" s="3"/>
      <c r="Q294" s="4"/>
      <c r="R294" s="3"/>
      <c r="S294" s="83"/>
      <c r="T294" s="81"/>
      <c r="U294" s="81"/>
      <c r="V294" s="81"/>
      <c r="W294" s="81"/>
      <c r="X294" s="81"/>
      <c r="Y294" s="81"/>
      <c r="Z294" s="81"/>
    </row>
    <row r="295" spans="1:26" ht="24" customHeight="1" x14ac:dyDescent="0.5">
      <c r="A295" s="3"/>
      <c r="B295" s="3"/>
      <c r="C295" s="3"/>
      <c r="D295" s="3"/>
      <c r="E295" s="3"/>
      <c r="F295" s="3"/>
      <c r="G295" s="3"/>
      <c r="H295" s="3"/>
      <c r="I295" s="4"/>
      <c r="J295" s="4"/>
      <c r="K295" s="83"/>
      <c r="L295" s="3"/>
      <c r="M295" s="4"/>
      <c r="N295" s="4"/>
      <c r="O295" s="83"/>
      <c r="P295" s="3"/>
      <c r="Q295" s="4"/>
      <c r="R295" s="3"/>
      <c r="S295" s="83"/>
      <c r="T295" s="81"/>
      <c r="U295" s="81"/>
      <c r="V295" s="81"/>
      <c r="W295" s="81"/>
      <c r="X295" s="81"/>
      <c r="Y295" s="81"/>
      <c r="Z295" s="81"/>
    </row>
    <row r="296" spans="1:26" ht="24" customHeight="1" x14ac:dyDescent="0.5">
      <c r="A296" s="3"/>
      <c r="B296" s="3"/>
      <c r="C296" s="3"/>
      <c r="D296" s="3"/>
      <c r="E296" s="3"/>
      <c r="F296" s="3"/>
      <c r="G296" s="3"/>
      <c r="H296" s="3"/>
      <c r="I296" s="4"/>
      <c r="J296" s="4"/>
      <c r="K296" s="83"/>
      <c r="L296" s="3"/>
      <c r="M296" s="4"/>
      <c r="N296" s="4"/>
      <c r="O296" s="83"/>
      <c r="P296" s="3"/>
      <c r="Q296" s="4"/>
      <c r="R296" s="3"/>
      <c r="S296" s="83"/>
      <c r="T296" s="81"/>
      <c r="U296" s="81"/>
      <c r="V296" s="81"/>
      <c r="W296" s="81"/>
      <c r="X296" s="81"/>
      <c r="Y296" s="81"/>
      <c r="Z296" s="81"/>
    </row>
    <row r="297" spans="1:26" ht="24" customHeight="1" x14ac:dyDescent="0.5">
      <c r="A297" s="3"/>
      <c r="B297" s="3"/>
      <c r="C297" s="3"/>
      <c r="D297" s="3"/>
      <c r="E297" s="3"/>
      <c r="F297" s="3"/>
      <c r="G297" s="3"/>
      <c r="H297" s="3"/>
      <c r="I297" s="4"/>
      <c r="J297" s="4"/>
      <c r="K297" s="83"/>
      <c r="L297" s="3"/>
      <c r="M297" s="4"/>
      <c r="N297" s="4"/>
      <c r="O297" s="83"/>
      <c r="P297" s="3"/>
      <c r="Q297" s="4"/>
      <c r="R297" s="3"/>
      <c r="S297" s="83"/>
      <c r="T297" s="81"/>
      <c r="U297" s="81"/>
      <c r="V297" s="81"/>
      <c r="W297" s="81"/>
      <c r="X297" s="81"/>
      <c r="Y297" s="81"/>
      <c r="Z297" s="81"/>
    </row>
    <row r="298" spans="1:26" ht="24" customHeight="1" x14ac:dyDescent="0.5">
      <c r="A298" s="3"/>
      <c r="B298" s="3"/>
      <c r="C298" s="3"/>
      <c r="D298" s="3"/>
      <c r="E298" s="3"/>
      <c r="F298" s="3"/>
      <c r="G298" s="3"/>
      <c r="H298" s="3"/>
      <c r="I298" s="4"/>
      <c r="J298" s="4"/>
      <c r="K298" s="83"/>
      <c r="L298" s="3"/>
      <c r="M298" s="4"/>
      <c r="N298" s="4"/>
      <c r="O298" s="83"/>
      <c r="P298" s="3"/>
      <c r="Q298" s="4"/>
      <c r="R298" s="3"/>
      <c r="S298" s="83"/>
      <c r="T298" s="81"/>
      <c r="U298" s="81"/>
      <c r="V298" s="81"/>
      <c r="W298" s="81"/>
      <c r="X298" s="81"/>
      <c r="Y298" s="81"/>
      <c r="Z298" s="81"/>
    </row>
    <row r="299" spans="1:26" ht="24" customHeight="1" x14ac:dyDescent="0.5">
      <c r="A299" s="3"/>
      <c r="B299" s="3"/>
      <c r="C299" s="3"/>
      <c r="D299" s="3"/>
      <c r="E299" s="3"/>
      <c r="F299" s="3"/>
      <c r="G299" s="3"/>
      <c r="H299" s="3"/>
      <c r="I299" s="4"/>
      <c r="J299" s="4"/>
      <c r="K299" s="83"/>
      <c r="L299" s="3"/>
      <c r="M299" s="4"/>
      <c r="N299" s="4"/>
      <c r="O299" s="83"/>
      <c r="P299" s="3"/>
      <c r="Q299" s="4"/>
      <c r="R299" s="3"/>
      <c r="S299" s="83"/>
      <c r="T299" s="81"/>
      <c r="U299" s="81"/>
      <c r="V299" s="81"/>
      <c r="W299" s="81"/>
      <c r="X299" s="81"/>
      <c r="Y299" s="81"/>
      <c r="Z299" s="81"/>
    </row>
    <row r="300" spans="1:26" ht="24" customHeight="1" x14ac:dyDescent="0.5">
      <c r="A300" s="3"/>
      <c r="B300" s="3"/>
      <c r="C300" s="3"/>
      <c r="D300" s="3"/>
      <c r="E300" s="3"/>
      <c r="F300" s="3"/>
      <c r="G300" s="3"/>
      <c r="H300" s="3"/>
      <c r="I300" s="4"/>
      <c r="J300" s="4"/>
      <c r="K300" s="83"/>
      <c r="L300" s="3"/>
      <c r="M300" s="4"/>
      <c r="N300" s="4"/>
      <c r="O300" s="83"/>
      <c r="P300" s="3"/>
      <c r="Q300" s="4"/>
      <c r="R300" s="3"/>
      <c r="S300" s="83"/>
      <c r="T300" s="81"/>
      <c r="U300" s="81"/>
      <c r="V300" s="81"/>
      <c r="W300" s="81"/>
      <c r="X300" s="81"/>
      <c r="Y300" s="81"/>
      <c r="Z300" s="81"/>
    </row>
    <row r="301" spans="1:26" ht="24" customHeight="1" x14ac:dyDescent="0.5">
      <c r="A301" s="3"/>
      <c r="B301" s="3"/>
      <c r="C301" s="3"/>
      <c r="D301" s="3"/>
      <c r="E301" s="3"/>
      <c r="F301" s="3"/>
      <c r="G301" s="3"/>
      <c r="H301" s="3"/>
      <c r="I301" s="4"/>
      <c r="J301" s="4"/>
      <c r="K301" s="83"/>
      <c r="L301" s="3"/>
      <c r="M301" s="4"/>
      <c r="N301" s="4"/>
      <c r="O301" s="83"/>
      <c r="P301" s="3"/>
      <c r="Q301" s="4"/>
      <c r="R301" s="3"/>
      <c r="S301" s="83"/>
      <c r="T301" s="81"/>
      <c r="U301" s="81"/>
      <c r="V301" s="81"/>
      <c r="W301" s="81"/>
      <c r="X301" s="81"/>
      <c r="Y301" s="81"/>
      <c r="Z301" s="81"/>
    </row>
    <row r="302" spans="1:26" ht="24" customHeight="1" x14ac:dyDescent="0.5">
      <c r="A302" s="3"/>
      <c r="B302" s="3"/>
      <c r="C302" s="3"/>
      <c r="D302" s="3"/>
      <c r="E302" s="3"/>
      <c r="F302" s="3"/>
      <c r="G302" s="3"/>
      <c r="H302" s="3"/>
      <c r="I302" s="4"/>
      <c r="J302" s="4"/>
      <c r="K302" s="83"/>
      <c r="L302" s="3"/>
      <c r="M302" s="4"/>
      <c r="N302" s="4"/>
      <c r="O302" s="83"/>
      <c r="P302" s="3"/>
      <c r="Q302" s="4"/>
      <c r="R302" s="3"/>
      <c r="S302" s="83"/>
      <c r="T302" s="81"/>
      <c r="U302" s="81"/>
      <c r="V302" s="81"/>
      <c r="W302" s="81"/>
      <c r="X302" s="81"/>
      <c r="Y302" s="81"/>
      <c r="Z302" s="81"/>
    </row>
    <row r="303" spans="1:26" ht="24" customHeight="1" x14ac:dyDescent="0.5">
      <c r="A303" s="3"/>
      <c r="B303" s="3"/>
      <c r="C303" s="3"/>
      <c r="D303" s="3"/>
      <c r="E303" s="3"/>
      <c r="F303" s="3"/>
      <c r="G303" s="3"/>
      <c r="H303" s="3"/>
      <c r="I303" s="4"/>
      <c r="J303" s="4"/>
      <c r="K303" s="83"/>
      <c r="L303" s="3"/>
      <c r="M303" s="4"/>
      <c r="N303" s="4"/>
      <c r="O303" s="83"/>
      <c r="P303" s="3"/>
      <c r="Q303" s="4"/>
      <c r="R303" s="3"/>
      <c r="S303" s="83"/>
      <c r="T303" s="81"/>
      <c r="U303" s="81"/>
      <c r="V303" s="81"/>
      <c r="W303" s="81"/>
      <c r="X303" s="81"/>
      <c r="Y303" s="81"/>
      <c r="Z303" s="81"/>
    </row>
    <row r="304" spans="1:26" ht="24" customHeight="1" x14ac:dyDescent="0.5">
      <c r="A304" s="3"/>
      <c r="B304" s="3"/>
      <c r="C304" s="3"/>
      <c r="D304" s="3"/>
      <c r="E304" s="3"/>
      <c r="F304" s="3"/>
      <c r="G304" s="3"/>
      <c r="H304" s="3"/>
      <c r="I304" s="4"/>
      <c r="J304" s="4"/>
      <c r="K304" s="83"/>
      <c r="L304" s="3"/>
      <c r="M304" s="4"/>
      <c r="N304" s="4"/>
      <c r="O304" s="83"/>
      <c r="P304" s="3"/>
      <c r="Q304" s="4"/>
      <c r="R304" s="3"/>
      <c r="S304" s="83"/>
      <c r="T304" s="81"/>
      <c r="U304" s="81"/>
      <c r="V304" s="81"/>
      <c r="W304" s="81"/>
      <c r="X304" s="81"/>
      <c r="Y304" s="81"/>
      <c r="Z304" s="81"/>
    </row>
    <row r="305" spans="1:26" ht="24" customHeight="1" x14ac:dyDescent="0.5">
      <c r="A305" s="3"/>
      <c r="B305" s="3"/>
      <c r="C305" s="3"/>
      <c r="D305" s="3"/>
      <c r="E305" s="3"/>
      <c r="F305" s="3"/>
      <c r="G305" s="3"/>
      <c r="H305" s="3"/>
      <c r="I305" s="4"/>
      <c r="J305" s="4"/>
      <c r="K305" s="83"/>
      <c r="L305" s="3"/>
      <c r="M305" s="4"/>
      <c r="N305" s="4"/>
      <c r="O305" s="83"/>
      <c r="P305" s="3"/>
      <c r="Q305" s="4"/>
      <c r="R305" s="3"/>
      <c r="S305" s="83"/>
      <c r="T305" s="81"/>
      <c r="U305" s="81"/>
      <c r="V305" s="81"/>
      <c r="W305" s="81"/>
      <c r="X305" s="81"/>
      <c r="Y305" s="81"/>
      <c r="Z305" s="81"/>
    </row>
    <row r="306" spans="1:26" ht="24" customHeight="1" x14ac:dyDescent="0.5">
      <c r="A306" s="3"/>
      <c r="B306" s="3"/>
      <c r="C306" s="3"/>
      <c r="D306" s="3"/>
      <c r="E306" s="3"/>
      <c r="F306" s="3"/>
      <c r="G306" s="3"/>
      <c r="H306" s="3"/>
      <c r="I306" s="4"/>
      <c r="J306" s="4"/>
      <c r="K306" s="83"/>
      <c r="L306" s="3"/>
      <c r="M306" s="4"/>
      <c r="N306" s="4"/>
      <c r="O306" s="83"/>
      <c r="P306" s="3"/>
      <c r="Q306" s="4"/>
      <c r="R306" s="3"/>
      <c r="S306" s="83"/>
      <c r="T306" s="81"/>
      <c r="U306" s="81"/>
      <c r="V306" s="81"/>
      <c r="W306" s="81"/>
      <c r="X306" s="81"/>
      <c r="Y306" s="81"/>
      <c r="Z306" s="81"/>
    </row>
    <row r="307" spans="1:26" ht="24" customHeight="1" x14ac:dyDescent="0.5">
      <c r="A307" s="3"/>
      <c r="B307" s="3"/>
      <c r="C307" s="3"/>
      <c r="D307" s="3"/>
      <c r="E307" s="3"/>
      <c r="F307" s="3"/>
      <c r="G307" s="3"/>
      <c r="H307" s="3"/>
      <c r="I307" s="4"/>
      <c r="J307" s="4"/>
      <c r="K307" s="83"/>
      <c r="L307" s="3"/>
      <c r="M307" s="4"/>
      <c r="N307" s="4"/>
      <c r="O307" s="83"/>
      <c r="P307" s="3"/>
      <c r="Q307" s="4"/>
      <c r="R307" s="3"/>
      <c r="S307" s="83"/>
      <c r="T307" s="81"/>
      <c r="U307" s="81"/>
      <c r="V307" s="81"/>
      <c r="W307" s="81"/>
      <c r="X307" s="81"/>
      <c r="Y307" s="81"/>
      <c r="Z307" s="81"/>
    </row>
    <row r="308" spans="1:26" ht="24" customHeight="1" x14ac:dyDescent="0.5">
      <c r="A308" s="3"/>
      <c r="B308" s="3"/>
      <c r="C308" s="3"/>
      <c r="D308" s="3"/>
      <c r="E308" s="3"/>
      <c r="F308" s="3"/>
      <c r="G308" s="3"/>
      <c r="H308" s="3"/>
      <c r="I308" s="4"/>
      <c r="J308" s="4"/>
      <c r="K308" s="83"/>
      <c r="L308" s="3"/>
      <c r="M308" s="4"/>
      <c r="N308" s="4"/>
      <c r="O308" s="83"/>
      <c r="P308" s="3"/>
      <c r="Q308" s="4"/>
      <c r="R308" s="3"/>
      <c r="S308" s="83"/>
      <c r="T308" s="81"/>
      <c r="U308" s="81"/>
      <c r="V308" s="81"/>
      <c r="W308" s="81"/>
      <c r="X308" s="81"/>
      <c r="Y308" s="81"/>
      <c r="Z308" s="81"/>
    </row>
    <row r="309" spans="1:26" ht="24" customHeight="1" x14ac:dyDescent="0.5">
      <c r="A309" s="3"/>
      <c r="B309" s="3"/>
      <c r="C309" s="3"/>
      <c r="D309" s="3"/>
      <c r="E309" s="3"/>
      <c r="F309" s="3"/>
      <c r="G309" s="3"/>
      <c r="H309" s="3"/>
      <c r="I309" s="4"/>
      <c r="J309" s="4"/>
      <c r="K309" s="83"/>
      <c r="L309" s="3"/>
      <c r="M309" s="4"/>
      <c r="N309" s="4"/>
      <c r="O309" s="83"/>
      <c r="P309" s="3"/>
      <c r="Q309" s="4"/>
      <c r="R309" s="3"/>
      <c r="S309" s="83"/>
      <c r="T309" s="81"/>
      <c r="U309" s="81"/>
      <c r="V309" s="81"/>
      <c r="W309" s="81"/>
      <c r="X309" s="81"/>
      <c r="Y309" s="81"/>
      <c r="Z309" s="81"/>
    </row>
    <row r="310" spans="1:26" ht="24" customHeight="1" x14ac:dyDescent="0.5">
      <c r="A310" s="3"/>
      <c r="B310" s="3"/>
      <c r="C310" s="3"/>
      <c r="D310" s="3"/>
      <c r="E310" s="3"/>
      <c r="F310" s="3"/>
      <c r="G310" s="3"/>
      <c r="H310" s="3"/>
      <c r="I310" s="4"/>
      <c r="J310" s="4"/>
      <c r="K310" s="83"/>
      <c r="L310" s="3"/>
      <c r="M310" s="4"/>
      <c r="N310" s="4"/>
      <c r="O310" s="83"/>
      <c r="P310" s="3"/>
      <c r="Q310" s="4"/>
      <c r="R310" s="3"/>
      <c r="S310" s="83"/>
      <c r="T310" s="81"/>
      <c r="U310" s="81"/>
      <c r="V310" s="81"/>
      <c r="W310" s="81"/>
      <c r="X310" s="81"/>
      <c r="Y310" s="81"/>
      <c r="Z310" s="81"/>
    </row>
    <row r="311" spans="1:26" ht="24" customHeight="1" x14ac:dyDescent="0.5">
      <c r="A311" s="3"/>
      <c r="B311" s="3"/>
      <c r="C311" s="3"/>
      <c r="D311" s="3"/>
      <c r="E311" s="3"/>
      <c r="F311" s="3"/>
      <c r="G311" s="3"/>
      <c r="H311" s="3"/>
      <c r="I311" s="4"/>
      <c r="J311" s="4"/>
      <c r="K311" s="83"/>
      <c r="L311" s="3"/>
      <c r="M311" s="4"/>
      <c r="N311" s="4"/>
      <c r="O311" s="83"/>
      <c r="P311" s="3"/>
      <c r="Q311" s="4"/>
      <c r="R311" s="3"/>
      <c r="S311" s="83"/>
      <c r="T311" s="81"/>
      <c r="U311" s="81"/>
      <c r="V311" s="81"/>
      <c r="W311" s="81"/>
      <c r="X311" s="81"/>
      <c r="Y311" s="81"/>
      <c r="Z311" s="81"/>
    </row>
    <row r="312" spans="1:26" ht="24" customHeight="1" x14ac:dyDescent="0.5">
      <c r="A312" s="3"/>
      <c r="B312" s="3"/>
      <c r="C312" s="3"/>
      <c r="D312" s="3"/>
      <c r="E312" s="3"/>
      <c r="F312" s="3"/>
      <c r="G312" s="3"/>
      <c r="H312" s="3"/>
      <c r="I312" s="4"/>
      <c r="J312" s="4"/>
      <c r="K312" s="83"/>
      <c r="L312" s="3"/>
      <c r="M312" s="4"/>
      <c r="N312" s="4"/>
      <c r="O312" s="83"/>
      <c r="P312" s="3"/>
      <c r="Q312" s="4"/>
      <c r="R312" s="3"/>
      <c r="S312" s="83"/>
      <c r="T312" s="81"/>
      <c r="U312" s="81"/>
      <c r="V312" s="81"/>
      <c r="W312" s="81"/>
      <c r="X312" s="81"/>
      <c r="Y312" s="81"/>
      <c r="Z312" s="81"/>
    </row>
    <row r="313" spans="1:26" ht="24" customHeight="1" x14ac:dyDescent="0.5">
      <c r="A313" s="3"/>
      <c r="B313" s="3"/>
      <c r="C313" s="3"/>
      <c r="D313" s="3"/>
      <c r="E313" s="3"/>
      <c r="F313" s="3"/>
      <c r="G313" s="3"/>
      <c r="H313" s="3"/>
      <c r="I313" s="4"/>
      <c r="J313" s="4"/>
      <c r="K313" s="83"/>
      <c r="L313" s="3"/>
      <c r="M313" s="4"/>
      <c r="N313" s="4"/>
      <c r="O313" s="83"/>
      <c r="P313" s="3"/>
      <c r="Q313" s="4"/>
      <c r="R313" s="3"/>
      <c r="S313" s="83"/>
      <c r="T313" s="81"/>
      <c r="U313" s="81"/>
      <c r="V313" s="81"/>
      <c r="W313" s="81"/>
      <c r="X313" s="81"/>
      <c r="Y313" s="81"/>
      <c r="Z313" s="81"/>
    </row>
    <row r="314" spans="1:26" ht="24" customHeight="1" x14ac:dyDescent="0.5">
      <c r="A314" s="3"/>
      <c r="B314" s="3"/>
      <c r="C314" s="3"/>
      <c r="D314" s="3"/>
      <c r="E314" s="3"/>
      <c r="F314" s="3"/>
      <c r="G314" s="3"/>
      <c r="H314" s="3"/>
      <c r="I314" s="4"/>
      <c r="J314" s="4"/>
      <c r="K314" s="83"/>
      <c r="L314" s="3"/>
      <c r="M314" s="4"/>
      <c r="N314" s="4"/>
      <c r="O314" s="83"/>
      <c r="P314" s="3"/>
      <c r="Q314" s="4"/>
      <c r="R314" s="3"/>
      <c r="S314" s="83"/>
      <c r="T314" s="81"/>
      <c r="U314" s="81"/>
      <c r="V314" s="81"/>
      <c r="W314" s="81"/>
      <c r="X314" s="81"/>
      <c r="Y314" s="81"/>
      <c r="Z314" s="81"/>
    </row>
    <row r="315" spans="1:26" ht="24" customHeight="1" x14ac:dyDescent="0.5">
      <c r="A315" s="81"/>
      <c r="B315" s="81"/>
      <c r="C315" s="81"/>
      <c r="D315" s="81"/>
      <c r="E315" s="81"/>
      <c r="F315" s="81"/>
      <c r="G315" s="81"/>
      <c r="H315" s="81"/>
      <c r="I315" s="289"/>
      <c r="J315" s="289"/>
      <c r="K315" s="105"/>
      <c r="L315" s="81"/>
      <c r="M315" s="289"/>
      <c r="N315" s="289"/>
      <c r="O315" s="105"/>
      <c r="P315" s="81"/>
      <c r="Q315" s="289"/>
      <c r="R315" s="81"/>
      <c r="S315" s="105"/>
      <c r="T315" s="81"/>
      <c r="U315" s="81"/>
      <c r="V315" s="81"/>
      <c r="W315" s="81"/>
      <c r="X315" s="81"/>
      <c r="Y315" s="81"/>
      <c r="Z315" s="81"/>
    </row>
    <row r="316" spans="1:26" ht="24" customHeight="1" x14ac:dyDescent="0.5">
      <c r="A316" s="81"/>
      <c r="B316" s="81"/>
      <c r="C316" s="81"/>
      <c r="D316" s="81"/>
      <c r="E316" s="81"/>
      <c r="F316" s="81"/>
      <c r="G316" s="81"/>
      <c r="H316" s="81"/>
      <c r="I316" s="289"/>
      <c r="J316" s="289"/>
      <c r="K316" s="105"/>
      <c r="L316" s="81"/>
      <c r="M316" s="289"/>
      <c r="N316" s="289"/>
      <c r="O316" s="105"/>
      <c r="P316" s="81"/>
      <c r="Q316" s="289"/>
      <c r="R316" s="81"/>
      <c r="S316" s="105"/>
      <c r="T316" s="81"/>
      <c r="U316" s="81"/>
      <c r="V316" s="81"/>
      <c r="W316" s="81"/>
      <c r="X316" s="81"/>
      <c r="Y316" s="81"/>
      <c r="Z316" s="81"/>
    </row>
    <row r="317" spans="1:26" ht="24" customHeight="1" x14ac:dyDescent="0.5">
      <c r="A317" s="81"/>
      <c r="B317" s="81"/>
      <c r="C317" s="81"/>
      <c r="D317" s="81"/>
      <c r="E317" s="81"/>
      <c r="F317" s="81"/>
      <c r="G317" s="81"/>
      <c r="H317" s="81"/>
      <c r="I317" s="289"/>
      <c r="J317" s="289"/>
      <c r="K317" s="105"/>
      <c r="L317" s="81"/>
      <c r="M317" s="289"/>
      <c r="N317" s="289"/>
      <c r="O317" s="105"/>
      <c r="P317" s="81"/>
      <c r="Q317" s="289"/>
      <c r="R317" s="81"/>
      <c r="S317" s="105"/>
      <c r="T317" s="81"/>
      <c r="U317" s="81"/>
      <c r="V317" s="81"/>
      <c r="W317" s="81"/>
      <c r="X317" s="81"/>
      <c r="Y317" s="81"/>
      <c r="Z317" s="81"/>
    </row>
    <row r="318" spans="1:26" ht="24" customHeight="1" x14ac:dyDescent="0.5">
      <c r="A318" s="81"/>
      <c r="B318" s="81"/>
      <c r="C318" s="81"/>
      <c r="D318" s="81"/>
      <c r="E318" s="81"/>
      <c r="F318" s="81"/>
      <c r="G318" s="81"/>
      <c r="H318" s="81"/>
      <c r="I318" s="289"/>
      <c r="J318" s="289"/>
      <c r="K318" s="105"/>
      <c r="L318" s="81"/>
      <c r="M318" s="289"/>
      <c r="N318" s="289"/>
      <c r="O318" s="105"/>
      <c r="P318" s="81"/>
      <c r="Q318" s="289"/>
      <c r="R318" s="81"/>
      <c r="S318" s="105"/>
      <c r="T318" s="81"/>
      <c r="U318" s="81"/>
      <c r="V318" s="81"/>
      <c r="W318" s="81"/>
      <c r="X318" s="81"/>
      <c r="Y318" s="81"/>
      <c r="Z318" s="81"/>
    </row>
    <row r="319" spans="1:26" ht="24" customHeight="1" x14ac:dyDescent="0.5">
      <c r="A319" s="81"/>
      <c r="B319" s="81"/>
      <c r="C319" s="81"/>
      <c r="D319" s="81"/>
      <c r="E319" s="81"/>
      <c r="F319" s="81"/>
      <c r="G319" s="81"/>
      <c r="H319" s="81"/>
      <c r="I319" s="289"/>
      <c r="J319" s="289"/>
      <c r="K319" s="105"/>
      <c r="L319" s="81"/>
      <c r="M319" s="289"/>
      <c r="N319" s="289"/>
      <c r="O319" s="105"/>
      <c r="P319" s="81"/>
      <c r="Q319" s="289"/>
      <c r="R319" s="81"/>
      <c r="S319" s="105"/>
      <c r="T319" s="81"/>
      <c r="U319" s="81"/>
      <c r="V319" s="81"/>
      <c r="W319" s="81"/>
      <c r="X319" s="81"/>
      <c r="Y319" s="81"/>
      <c r="Z319" s="81"/>
    </row>
    <row r="320" spans="1:26" ht="24" customHeight="1" x14ac:dyDescent="0.5">
      <c r="A320" s="81"/>
      <c r="B320" s="81"/>
      <c r="C320" s="81"/>
      <c r="D320" s="81"/>
      <c r="E320" s="81"/>
      <c r="F320" s="81"/>
      <c r="G320" s="81"/>
      <c r="H320" s="81"/>
      <c r="I320" s="289"/>
      <c r="J320" s="289"/>
      <c r="K320" s="105"/>
      <c r="L320" s="81"/>
      <c r="M320" s="289"/>
      <c r="N320" s="289"/>
      <c r="O320" s="105"/>
      <c r="P320" s="81"/>
      <c r="Q320" s="289"/>
      <c r="R320" s="81"/>
      <c r="S320" s="105"/>
      <c r="T320" s="81"/>
      <c r="U320" s="81"/>
      <c r="V320" s="81"/>
      <c r="W320" s="81"/>
      <c r="X320" s="81"/>
      <c r="Y320" s="81"/>
      <c r="Z320" s="81"/>
    </row>
    <row r="321" spans="1:26" ht="24" customHeight="1" x14ac:dyDescent="0.5">
      <c r="A321" s="81"/>
      <c r="B321" s="81"/>
      <c r="C321" s="81"/>
      <c r="D321" s="81"/>
      <c r="E321" s="81"/>
      <c r="F321" s="81"/>
      <c r="G321" s="81"/>
      <c r="H321" s="81"/>
      <c r="I321" s="289"/>
      <c r="J321" s="289"/>
      <c r="K321" s="105"/>
      <c r="L321" s="81"/>
      <c r="M321" s="289"/>
      <c r="N321" s="289"/>
      <c r="O321" s="105"/>
      <c r="P321" s="81"/>
      <c r="Q321" s="289"/>
      <c r="R321" s="81"/>
      <c r="S321" s="105"/>
      <c r="T321" s="81"/>
      <c r="U321" s="81"/>
      <c r="V321" s="81"/>
      <c r="W321" s="81"/>
      <c r="X321" s="81"/>
      <c r="Y321" s="81"/>
      <c r="Z321" s="81"/>
    </row>
    <row r="322" spans="1:26" ht="24" customHeight="1" x14ac:dyDescent="0.5">
      <c r="A322" s="81"/>
      <c r="B322" s="81"/>
      <c r="C322" s="81"/>
      <c r="D322" s="81"/>
      <c r="E322" s="81"/>
      <c r="F322" s="81"/>
      <c r="G322" s="81"/>
      <c r="H322" s="81"/>
      <c r="I322" s="289"/>
      <c r="J322" s="289"/>
      <c r="K322" s="105"/>
      <c r="L322" s="81"/>
      <c r="M322" s="289"/>
      <c r="N322" s="289"/>
      <c r="O322" s="105"/>
      <c r="P322" s="81"/>
      <c r="Q322" s="289"/>
      <c r="R322" s="81"/>
      <c r="S322" s="105"/>
      <c r="T322" s="81"/>
      <c r="U322" s="81"/>
      <c r="V322" s="81"/>
      <c r="W322" s="81"/>
      <c r="X322" s="81"/>
      <c r="Y322" s="81"/>
      <c r="Z322" s="81"/>
    </row>
    <row r="323" spans="1:26" ht="24" customHeight="1" x14ac:dyDescent="0.5">
      <c r="A323" s="81"/>
      <c r="B323" s="81"/>
      <c r="C323" s="81"/>
      <c r="D323" s="81"/>
      <c r="E323" s="81"/>
      <c r="F323" s="81"/>
      <c r="G323" s="81"/>
      <c r="H323" s="81"/>
      <c r="I323" s="289"/>
      <c r="J323" s="289"/>
      <c r="K323" s="105"/>
      <c r="L323" s="81"/>
      <c r="M323" s="289"/>
      <c r="N323" s="289"/>
      <c r="O323" s="105"/>
      <c r="P323" s="81"/>
      <c r="Q323" s="289"/>
      <c r="R323" s="81"/>
      <c r="S323" s="105"/>
      <c r="T323" s="81"/>
      <c r="U323" s="81"/>
      <c r="V323" s="81"/>
      <c r="W323" s="81"/>
      <c r="X323" s="81"/>
      <c r="Y323" s="81"/>
      <c r="Z323" s="81"/>
    </row>
    <row r="324" spans="1:26" ht="24" customHeight="1" x14ac:dyDescent="0.5">
      <c r="A324" s="81"/>
      <c r="B324" s="81"/>
      <c r="C324" s="81"/>
      <c r="D324" s="81"/>
      <c r="E324" s="81"/>
      <c r="F324" s="81"/>
      <c r="G324" s="81"/>
      <c r="H324" s="81"/>
      <c r="I324" s="289"/>
      <c r="J324" s="289"/>
      <c r="K324" s="105"/>
      <c r="L324" s="81"/>
      <c r="M324" s="289"/>
      <c r="N324" s="289"/>
      <c r="O324" s="105"/>
      <c r="P324" s="81"/>
      <c r="Q324" s="289"/>
      <c r="R324" s="81"/>
      <c r="S324" s="105"/>
      <c r="T324" s="81"/>
      <c r="U324" s="81"/>
      <c r="V324" s="81"/>
      <c r="W324" s="81"/>
      <c r="X324" s="81"/>
      <c r="Y324" s="81"/>
      <c r="Z324" s="81"/>
    </row>
    <row r="325" spans="1:26" ht="24" customHeight="1" x14ac:dyDescent="0.5">
      <c r="A325" s="81"/>
      <c r="B325" s="81"/>
      <c r="C325" s="81"/>
      <c r="D325" s="81"/>
      <c r="E325" s="81"/>
      <c r="F325" s="81"/>
      <c r="G325" s="81"/>
      <c r="H325" s="81"/>
      <c r="I325" s="289"/>
      <c r="J325" s="289"/>
      <c r="K325" s="105"/>
      <c r="L325" s="81"/>
      <c r="M325" s="289"/>
      <c r="N325" s="289"/>
      <c r="O325" s="105"/>
      <c r="P325" s="81"/>
      <c r="Q325" s="289"/>
      <c r="R325" s="81"/>
      <c r="S325" s="105"/>
      <c r="T325" s="81"/>
      <c r="U325" s="81"/>
      <c r="V325" s="81"/>
      <c r="W325" s="81"/>
      <c r="X325" s="81"/>
      <c r="Y325" s="81"/>
      <c r="Z325" s="81"/>
    </row>
    <row r="326" spans="1:26" ht="24" customHeight="1" x14ac:dyDescent="0.5">
      <c r="A326" s="81"/>
      <c r="B326" s="81"/>
      <c r="C326" s="81"/>
      <c r="D326" s="81"/>
      <c r="E326" s="81"/>
      <c r="F326" s="81"/>
      <c r="G326" s="81"/>
      <c r="H326" s="81"/>
      <c r="I326" s="289"/>
      <c r="J326" s="289"/>
      <c r="K326" s="105"/>
      <c r="L326" s="81"/>
      <c r="M326" s="289"/>
      <c r="N326" s="289"/>
      <c r="O326" s="105"/>
      <c r="P326" s="81"/>
      <c r="Q326" s="289"/>
      <c r="R326" s="81"/>
      <c r="S326" s="105"/>
      <c r="T326" s="81"/>
      <c r="U326" s="81"/>
      <c r="V326" s="81"/>
      <c r="W326" s="81"/>
      <c r="X326" s="81"/>
      <c r="Y326" s="81"/>
      <c r="Z326" s="81"/>
    </row>
    <row r="327" spans="1:26" ht="24" customHeight="1" x14ac:dyDescent="0.5">
      <c r="A327" s="81"/>
      <c r="B327" s="81"/>
      <c r="C327" s="81"/>
      <c r="D327" s="81"/>
      <c r="E327" s="81"/>
      <c r="F327" s="81"/>
      <c r="G327" s="81"/>
      <c r="H327" s="81"/>
      <c r="I327" s="289"/>
      <c r="J327" s="289"/>
      <c r="K327" s="105"/>
      <c r="L327" s="81"/>
      <c r="M327" s="289"/>
      <c r="N327" s="289"/>
      <c r="O327" s="105"/>
      <c r="P327" s="81"/>
      <c r="Q327" s="289"/>
      <c r="R327" s="81"/>
      <c r="S327" s="105"/>
      <c r="T327" s="81"/>
      <c r="U327" s="81"/>
      <c r="V327" s="81"/>
      <c r="W327" s="81"/>
      <c r="X327" s="81"/>
      <c r="Y327" s="81"/>
      <c r="Z327" s="81"/>
    </row>
    <row r="328" spans="1:26" ht="24" customHeight="1" x14ac:dyDescent="0.5">
      <c r="A328" s="81"/>
      <c r="B328" s="81"/>
      <c r="C328" s="81"/>
      <c r="D328" s="81"/>
      <c r="E328" s="81"/>
      <c r="F328" s="81"/>
      <c r="G328" s="81"/>
      <c r="H328" s="81"/>
      <c r="I328" s="289"/>
      <c r="J328" s="289"/>
      <c r="K328" s="105"/>
      <c r="L328" s="81"/>
      <c r="M328" s="289"/>
      <c r="N328" s="289"/>
      <c r="O328" s="105"/>
      <c r="P328" s="81"/>
      <c r="Q328" s="289"/>
      <c r="R328" s="81"/>
      <c r="S328" s="105"/>
      <c r="T328" s="81"/>
      <c r="U328" s="81"/>
      <c r="V328" s="81"/>
      <c r="W328" s="81"/>
      <c r="X328" s="81"/>
      <c r="Y328" s="81"/>
      <c r="Z328" s="81"/>
    </row>
    <row r="329" spans="1:26" ht="24" customHeight="1" x14ac:dyDescent="0.5">
      <c r="A329" s="81"/>
      <c r="B329" s="81"/>
      <c r="C329" s="81"/>
      <c r="D329" s="81"/>
      <c r="E329" s="81"/>
      <c r="F329" s="81"/>
      <c r="G329" s="81"/>
      <c r="H329" s="81"/>
      <c r="I329" s="289"/>
      <c r="J329" s="289"/>
      <c r="K329" s="105"/>
      <c r="L329" s="81"/>
      <c r="M329" s="289"/>
      <c r="N329" s="289"/>
      <c r="O329" s="105"/>
      <c r="P329" s="81"/>
      <c r="Q329" s="289"/>
      <c r="R329" s="81"/>
      <c r="S329" s="105"/>
      <c r="T329" s="81"/>
      <c r="U329" s="81"/>
      <c r="V329" s="81"/>
      <c r="W329" s="81"/>
      <c r="X329" s="81"/>
      <c r="Y329" s="81"/>
      <c r="Z329" s="81"/>
    </row>
    <row r="330" spans="1:26" ht="24" customHeight="1" x14ac:dyDescent="0.5">
      <c r="A330" s="81"/>
      <c r="B330" s="81"/>
      <c r="C330" s="81"/>
      <c r="D330" s="81"/>
      <c r="E330" s="81"/>
      <c r="F330" s="81"/>
      <c r="G330" s="81"/>
      <c r="H330" s="81"/>
      <c r="I330" s="289"/>
      <c r="J330" s="289"/>
      <c r="K330" s="105"/>
      <c r="L330" s="81"/>
      <c r="M330" s="289"/>
      <c r="N330" s="289"/>
      <c r="O330" s="105"/>
      <c r="P330" s="81"/>
      <c r="Q330" s="289"/>
      <c r="R330" s="81"/>
      <c r="S330" s="105"/>
      <c r="T330" s="81"/>
      <c r="U330" s="81"/>
      <c r="V330" s="81"/>
      <c r="W330" s="81"/>
      <c r="X330" s="81"/>
      <c r="Y330" s="81"/>
      <c r="Z330" s="81"/>
    </row>
    <row r="331" spans="1:26" ht="24" customHeight="1" x14ac:dyDescent="0.5">
      <c r="A331" s="81"/>
      <c r="B331" s="81"/>
      <c r="C331" s="81"/>
      <c r="D331" s="81"/>
      <c r="E331" s="81"/>
      <c r="F331" s="81"/>
      <c r="G331" s="81"/>
      <c r="H331" s="81"/>
      <c r="I331" s="289"/>
      <c r="J331" s="289"/>
      <c r="K331" s="105"/>
      <c r="L331" s="81"/>
      <c r="M331" s="289"/>
      <c r="N331" s="289"/>
      <c r="O331" s="105"/>
      <c r="P331" s="81"/>
      <c r="Q331" s="289"/>
      <c r="R331" s="81"/>
      <c r="S331" s="105"/>
      <c r="T331" s="81"/>
      <c r="U331" s="81"/>
      <c r="V331" s="81"/>
      <c r="W331" s="81"/>
      <c r="X331" s="81"/>
      <c r="Y331" s="81"/>
      <c r="Z331" s="81"/>
    </row>
    <row r="332" spans="1:26" ht="24" customHeight="1" x14ac:dyDescent="0.5">
      <c r="A332" s="81"/>
      <c r="B332" s="81"/>
      <c r="C332" s="81"/>
      <c r="D332" s="81"/>
      <c r="E332" s="81"/>
      <c r="F332" s="81"/>
      <c r="G332" s="81"/>
      <c r="H332" s="81"/>
      <c r="I332" s="289"/>
      <c r="J332" s="289"/>
      <c r="K332" s="105"/>
      <c r="L332" s="81"/>
      <c r="M332" s="289"/>
      <c r="N332" s="289"/>
      <c r="O332" s="105"/>
      <c r="P332" s="81"/>
      <c r="Q332" s="289"/>
      <c r="R332" s="81"/>
      <c r="S332" s="105"/>
      <c r="T332" s="81"/>
      <c r="U332" s="81"/>
      <c r="V332" s="81"/>
      <c r="W332" s="81"/>
      <c r="X332" s="81"/>
      <c r="Y332" s="81"/>
      <c r="Z332" s="81"/>
    </row>
    <row r="333" spans="1:26" ht="24" customHeight="1" x14ac:dyDescent="0.5">
      <c r="A333" s="81"/>
      <c r="B333" s="81"/>
      <c r="C333" s="81"/>
      <c r="D333" s="81"/>
      <c r="E333" s="81"/>
      <c r="F333" s="81"/>
      <c r="G333" s="81"/>
      <c r="H333" s="81"/>
      <c r="I333" s="289"/>
      <c r="J333" s="289"/>
      <c r="K333" s="105"/>
      <c r="L333" s="81"/>
      <c r="M333" s="289"/>
      <c r="N333" s="289"/>
      <c r="O333" s="105"/>
      <c r="P333" s="81"/>
      <c r="Q333" s="289"/>
      <c r="R333" s="81"/>
      <c r="S333" s="105"/>
      <c r="T333" s="81"/>
      <c r="U333" s="81"/>
      <c r="V333" s="81"/>
      <c r="W333" s="81"/>
      <c r="X333" s="81"/>
      <c r="Y333" s="81"/>
      <c r="Z333" s="81"/>
    </row>
    <row r="334" spans="1:26" ht="24" customHeight="1" x14ac:dyDescent="0.5">
      <c r="A334" s="81"/>
      <c r="B334" s="81"/>
      <c r="C334" s="81"/>
      <c r="D334" s="81"/>
      <c r="E334" s="81"/>
      <c r="F334" s="81"/>
      <c r="G334" s="81"/>
      <c r="H334" s="81"/>
      <c r="I334" s="289"/>
      <c r="J334" s="289"/>
      <c r="K334" s="105"/>
      <c r="L334" s="81"/>
      <c r="M334" s="289"/>
      <c r="N334" s="289"/>
      <c r="O334" s="105"/>
      <c r="P334" s="81"/>
      <c r="Q334" s="289"/>
      <c r="R334" s="81"/>
      <c r="S334" s="105"/>
      <c r="T334" s="81"/>
      <c r="U334" s="81"/>
      <c r="V334" s="81"/>
      <c r="W334" s="81"/>
      <c r="X334" s="81"/>
      <c r="Y334" s="81"/>
      <c r="Z334" s="81"/>
    </row>
    <row r="335" spans="1:26" ht="24" customHeight="1" x14ac:dyDescent="0.5">
      <c r="A335" s="81"/>
      <c r="B335" s="81"/>
      <c r="C335" s="81"/>
      <c r="D335" s="81"/>
      <c r="E335" s="81"/>
      <c r="F335" s="81"/>
      <c r="G335" s="81"/>
      <c r="H335" s="81"/>
      <c r="I335" s="289"/>
      <c r="J335" s="289"/>
      <c r="K335" s="105"/>
      <c r="L335" s="81"/>
      <c r="M335" s="289"/>
      <c r="N335" s="289"/>
      <c r="O335" s="105"/>
      <c r="P335" s="81"/>
      <c r="Q335" s="289"/>
      <c r="R335" s="81"/>
      <c r="S335" s="105"/>
      <c r="T335" s="81"/>
      <c r="U335" s="81"/>
      <c r="V335" s="81"/>
      <c r="W335" s="81"/>
      <c r="X335" s="81"/>
      <c r="Y335" s="81"/>
      <c r="Z335" s="81"/>
    </row>
    <row r="336" spans="1:26" ht="24" customHeight="1" x14ac:dyDescent="0.5">
      <c r="A336" s="81"/>
      <c r="B336" s="81"/>
      <c r="C336" s="81"/>
      <c r="D336" s="81"/>
      <c r="E336" s="81"/>
      <c r="F336" s="81"/>
      <c r="G336" s="81"/>
      <c r="H336" s="81"/>
      <c r="I336" s="289"/>
      <c r="J336" s="289"/>
      <c r="K336" s="105"/>
      <c r="L336" s="81"/>
      <c r="M336" s="289"/>
      <c r="N336" s="289"/>
      <c r="O336" s="105"/>
      <c r="P336" s="81"/>
      <c r="Q336" s="289"/>
      <c r="R336" s="81"/>
      <c r="S336" s="105"/>
      <c r="T336" s="81"/>
      <c r="U336" s="81"/>
      <c r="V336" s="81"/>
      <c r="W336" s="81"/>
      <c r="X336" s="81"/>
      <c r="Y336" s="81"/>
      <c r="Z336" s="81"/>
    </row>
    <row r="337" spans="1:26" ht="24" customHeight="1" x14ac:dyDescent="0.5">
      <c r="A337" s="81"/>
      <c r="B337" s="81"/>
      <c r="C337" s="81"/>
      <c r="D337" s="81"/>
      <c r="E337" s="81"/>
      <c r="F337" s="81"/>
      <c r="G337" s="81"/>
      <c r="H337" s="81"/>
      <c r="I337" s="289"/>
      <c r="J337" s="289"/>
      <c r="K337" s="105"/>
      <c r="L337" s="81"/>
      <c r="M337" s="289"/>
      <c r="N337" s="289"/>
      <c r="O337" s="105"/>
      <c r="P337" s="81"/>
      <c r="Q337" s="289"/>
      <c r="R337" s="81"/>
      <c r="S337" s="105"/>
      <c r="T337" s="81"/>
      <c r="U337" s="81"/>
      <c r="V337" s="81"/>
      <c r="W337" s="81"/>
      <c r="X337" s="81"/>
      <c r="Y337" s="81"/>
      <c r="Z337" s="81"/>
    </row>
    <row r="338" spans="1:26" ht="24" customHeight="1" x14ac:dyDescent="0.5">
      <c r="A338" s="81"/>
      <c r="B338" s="81"/>
      <c r="C338" s="81"/>
      <c r="D338" s="81"/>
      <c r="E338" s="81"/>
      <c r="F338" s="81"/>
      <c r="G338" s="81"/>
      <c r="H338" s="81"/>
      <c r="I338" s="289"/>
      <c r="J338" s="289"/>
      <c r="K338" s="105"/>
      <c r="L338" s="81"/>
      <c r="M338" s="289"/>
      <c r="N338" s="289"/>
      <c r="O338" s="105"/>
      <c r="P338" s="81"/>
      <c r="Q338" s="289"/>
      <c r="R338" s="81"/>
      <c r="S338" s="105"/>
      <c r="T338" s="81"/>
      <c r="U338" s="81"/>
      <c r="V338" s="81"/>
      <c r="W338" s="81"/>
      <c r="X338" s="81"/>
      <c r="Y338" s="81"/>
      <c r="Z338" s="81"/>
    </row>
    <row r="339" spans="1:26" ht="24" customHeight="1" x14ac:dyDescent="0.5">
      <c r="A339" s="81"/>
      <c r="B339" s="81"/>
      <c r="C339" s="81"/>
      <c r="D339" s="81"/>
      <c r="E339" s="81"/>
      <c r="F339" s="81"/>
      <c r="G339" s="81"/>
      <c r="H339" s="81"/>
      <c r="I339" s="289"/>
      <c r="J339" s="289"/>
      <c r="K339" s="105"/>
      <c r="L339" s="81"/>
      <c r="M339" s="289"/>
      <c r="N339" s="289"/>
      <c r="O339" s="105"/>
      <c r="P339" s="81"/>
      <c r="Q339" s="289"/>
      <c r="R339" s="81"/>
      <c r="S339" s="105"/>
      <c r="T339" s="81"/>
      <c r="U339" s="81"/>
      <c r="V339" s="81"/>
      <c r="W339" s="81"/>
      <c r="X339" s="81"/>
      <c r="Y339" s="81"/>
      <c r="Z339" s="81"/>
    </row>
    <row r="340" spans="1:26" ht="24" customHeight="1" x14ac:dyDescent="0.5">
      <c r="A340" s="81"/>
      <c r="B340" s="81"/>
      <c r="C340" s="81"/>
      <c r="D340" s="81"/>
      <c r="E340" s="81"/>
      <c r="F340" s="81"/>
      <c r="G340" s="81"/>
      <c r="H340" s="81"/>
      <c r="I340" s="289"/>
      <c r="J340" s="289"/>
      <c r="K340" s="105"/>
      <c r="L340" s="81"/>
      <c r="M340" s="289"/>
      <c r="N340" s="289"/>
      <c r="O340" s="105"/>
      <c r="P340" s="81"/>
      <c r="Q340" s="289"/>
      <c r="R340" s="81"/>
      <c r="S340" s="105"/>
      <c r="T340" s="81"/>
      <c r="U340" s="81"/>
      <c r="V340" s="81"/>
      <c r="W340" s="81"/>
      <c r="X340" s="81"/>
      <c r="Y340" s="81"/>
      <c r="Z340" s="81"/>
    </row>
    <row r="341" spans="1:26" ht="24" customHeight="1" x14ac:dyDescent="0.5">
      <c r="A341" s="81"/>
      <c r="B341" s="81"/>
      <c r="C341" s="81"/>
      <c r="D341" s="81"/>
      <c r="E341" s="81"/>
      <c r="F341" s="81"/>
      <c r="G341" s="81"/>
      <c r="H341" s="81"/>
      <c r="I341" s="289"/>
      <c r="J341" s="289"/>
      <c r="K341" s="105"/>
      <c r="L341" s="81"/>
      <c r="M341" s="289"/>
      <c r="N341" s="289"/>
      <c r="O341" s="105"/>
      <c r="P341" s="81"/>
      <c r="Q341" s="289"/>
      <c r="R341" s="81"/>
      <c r="S341" s="105"/>
      <c r="T341" s="81"/>
      <c r="U341" s="81"/>
      <c r="V341" s="81"/>
      <c r="W341" s="81"/>
      <c r="X341" s="81"/>
      <c r="Y341" s="81"/>
      <c r="Z341" s="81"/>
    </row>
    <row r="342" spans="1:26" ht="24" customHeight="1" x14ac:dyDescent="0.5">
      <c r="A342" s="81"/>
      <c r="B342" s="81"/>
      <c r="C342" s="81"/>
      <c r="D342" s="81"/>
      <c r="E342" s="81"/>
      <c r="F342" s="81"/>
      <c r="G342" s="81"/>
      <c r="H342" s="81"/>
      <c r="I342" s="289"/>
      <c r="J342" s="289"/>
      <c r="K342" s="105"/>
      <c r="L342" s="81"/>
      <c r="M342" s="289"/>
      <c r="N342" s="289"/>
      <c r="O342" s="105"/>
      <c r="P342" s="81"/>
      <c r="Q342" s="289"/>
      <c r="R342" s="81"/>
      <c r="S342" s="105"/>
      <c r="T342" s="81"/>
      <c r="U342" s="81"/>
      <c r="V342" s="81"/>
      <c r="W342" s="81"/>
      <c r="X342" s="81"/>
      <c r="Y342" s="81"/>
      <c r="Z342" s="81"/>
    </row>
    <row r="343" spans="1:26" ht="24" customHeight="1" x14ac:dyDescent="0.5">
      <c r="A343" s="81"/>
      <c r="B343" s="81"/>
      <c r="C343" s="81"/>
      <c r="D343" s="81"/>
      <c r="E343" s="81"/>
      <c r="F343" s="81"/>
      <c r="G343" s="81"/>
      <c r="H343" s="81"/>
      <c r="I343" s="289"/>
      <c r="J343" s="289"/>
      <c r="K343" s="105"/>
      <c r="L343" s="81"/>
      <c r="M343" s="289"/>
      <c r="N343" s="289"/>
      <c r="O343" s="105"/>
      <c r="P343" s="81"/>
      <c r="Q343" s="289"/>
      <c r="R343" s="81"/>
      <c r="S343" s="105"/>
      <c r="T343" s="81"/>
      <c r="U343" s="81"/>
      <c r="V343" s="81"/>
      <c r="W343" s="81"/>
      <c r="X343" s="81"/>
      <c r="Y343" s="81"/>
      <c r="Z343" s="81"/>
    </row>
    <row r="344" spans="1:26" ht="24" customHeight="1" x14ac:dyDescent="0.5">
      <c r="A344" s="81"/>
      <c r="B344" s="81"/>
      <c r="C344" s="81"/>
      <c r="D344" s="81"/>
      <c r="E344" s="81"/>
      <c r="F344" s="81"/>
      <c r="G344" s="81"/>
      <c r="H344" s="81"/>
      <c r="I344" s="289"/>
      <c r="J344" s="289"/>
      <c r="K344" s="105"/>
      <c r="L344" s="81"/>
      <c r="M344" s="289"/>
      <c r="N344" s="289"/>
      <c r="O344" s="105"/>
      <c r="P344" s="81"/>
      <c r="Q344" s="289"/>
      <c r="R344" s="81"/>
      <c r="S344" s="105"/>
      <c r="T344" s="81"/>
      <c r="U344" s="81"/>
      <c r="V344" s="81"/>
      <c r="W344" s="81"/>
      <c r="X344" s="81"/>
      <c r="Y344" s="81"/>
      <c r="Z344" s="81"/>
    </row>
    <row r="345" spans="1:26" ht="24" customHeight="1" x14ac:dyDescent="0.5">
      <c r="A345" s="81"/>
      <c r="B345" s="81"/>
      <c r="C345" s="81"/>
      <c r="D345" s="81"/>
      <c r="E345" s="81"/>
      <c r="F345" s="81"/>
      <c r="G345" s="81"/>
      <c r="H345" s="81"/>
      <c r="I345" s="289"/>
      <c r="J345" s="289"/>
      <c r="K345" s="105"/>
      <c r="L345" s="81"/>
      <c r="M345" s="289"/>
      <c r="N345" s="289"/>
      <c r="O345" s="105"/>
      <c r="P345" s="81"/>
      <c r="Q345" s="289"/>
      <c r="R345" s="81"/>
      <c r="S345" s="105"/>
      <c r="T345" s="81"/>
      <c r="U345" s="81"/>
      <c r="V345" s="81"/>
      <c r="W345" s="81"/>
      <c r="X345" s="81"/>
      <c r="Y345" s="81"/>
      <c r="Z345" s="81"/>
    </row>
    <row r="346" spans="1:26" ht="24" customHeight="1" x14ac:dyDescent="0.5">
      <c r="A346" s="81"/>
      <c r="B346" s="81"/>
      <c r="C346" s="81"/>
      <c r="D346" s="81"/>
      <c r="E346" s="81"/>
      <c r="F346" s="81"/>
      <c r="G346" s="81"/>
      <c r="H346" s="81"/>
      <c r="I346" s="289"/>
      <c r="J346" s="289"/>
      <c r="K346" s="105"/>
      <c r="L346" s="81"/>
      <c r="M346" s="289"/>
      <c r="N346" s="289"/>
      <c r="O346" s="105"/>
      <c r="P346" s="81"/>
      <c r="Q346" s="289"/>
      <c r="R346" s="81"/>
      <c r="S346" s="105"/>
      <c r="T346" s="81"/>
      <c r="U346" s="81"/>
      <c r="V346" s="81"/>
      <c r="W346" s="81"/>
      <c r="X346" s="81"/>
      <c r="Y346" s="81"/>
      <c r="Z346" s="81"/>
    </row>
    <row r="347" spans="1:26" ht="24" customHeight="1" x14ac:dyDescent="0.5">
      <c r="A347" s="81"/>
      <c r="B347" s="81"/>
      <c r="C347" s="81"/>
      <c r="D347" s="81"/>
      <c r="E347" s="81"/>
      <c r="F347" s="81"/>
      <c r="G347" s="81"/>
      <c r="H347" s="81"/>
      <c r="I347" s="289"/>
      <c r="J347" s="289"/>
      <c r="K347" s="105"/>
      <c r="L347" s="81"/>
      <c r="M347" s="289"/>
      <c r="N347" s="289"/>
      <c r="O347" s="105"/>
      <c r="P347" s="81"/>
      <c r="Q347" s="289"/>
      <c r="R347" s="81"/>
      <c r="S347" s="105"/>
      <c r="T347" s="81"/>
      <c r="U347" s="81"/>
      <c r="V347" s="81"/>
      <c r="W347" s="81"/>
      <c r="X347" s="81"/>
      <c r="Y347" s="81"/>
      <c r="Z347" s="81"/>
    </row>
    <row r="348" spans="1:26" ht="24" customHeight="1" x14ac:dyDescent="0.5">
      <c r="A348" s="81"/>
      <c r="B348" s="81"/>
      <c r="C348" s="81"/>
      <c r="D348" s="81"/>
      <c r="E348" s="81"/>
      <c r="F348" s="81"/>
      <c r="G348" s="81"/>
      <c r="H348" s="81"/>
      <c r="I348" s="289"/>
      <c r="J348" s="289"/>
      <c r="K348" s="105"/>
      <c r="L348" s="81"/>
      <c r="M348" s="289"/>
      <c r="N348" s="289"/>
      <c r="O348" s="105"/>
      <c r="P348" s="81"/>
      <c r="Q348" s="289"/>
      <c r="R348" s="81"/>
      <c r="S348" s="105"/>
      <c r="T348" s="81"/>
      <c r="U348" s="81"/>
      <c r="V348" s="81"/>
      <c r="W348" s="81"/>
      <c r="X348" s="81"/>
      <c r="Y348" s="81"/>
      <c r="Z348" s="81"/>
    </row>
    <row r="349" spans="1:26" ht="24" customHeight="1" x14ac:dyDescent="0.5">
      <c r="A349" s="81"/>
      <c r="B349" s="81"/>
      <c r="C349" s="81"/>
      <c r="D349" s="81"/>
      <c r="E349" s="81"/>
      <c r="F349" s="81"/>
      <c r="G349" s="81"/>
      <c r="H349" s="81"/>
      <c r="I349" s="289"/>
      <c r="J349" s="289"/>
      <c r="K349" s="105"/>
      <c r="L349" s="81"/>
      <c r="M349" s="289"/>
      <c r="N349" s="289"/>
      <c r="O349" s="105"/>
      <c r="P349" s="81"/>
      <c r="Q349" s="289"/>
      <c r="R349" s="81"/>
      <c r="S349" s="105"/>
      <c r="T349" s="81"/>
      <c r="U349" s="81"/>
      <c r="V349" s="81"/>
      <c r="W349" s="81"/>
      <c r="X349" s="81"/>
      <c r="Y349" s="81"/>
      <c r="Z349" s="81"/>
    </row>
    <row r="350" spans="1:26" ht="24" customHeight="1" x14ac:dyDescent="0.5">
      <c r="A350" s="81"/>
      <c r="B350" s="81"/>
      <c r="C350" s="81"/>
      <c r="D350" s="81"/>
      <c r="E350" s="81"/>
      <c r="F350" s="81"/>
      <c r="G350" s="81"/>
      <c r="H350" s="81"/>
      <c r="I350" s="289"/>
      <c r="J350" s="289"/>
      <c r="K350" s="105"/>
      <c r="L350" s="81"/>
      <c r="M350" s="289"/>
      <c r="N350" s="289"/>
      <c r="O350" s="105"/>
      <c r="P350" s="81"/>
      <c r="Q350" s="289"/>
      <c r="R350" s="81"/>
      <c r="S350" s="105"/>
      <c r="T350" s="81"/>
      <c r="U350" s="81"/>
      <c r="V350" s="81"/>
      <c r="W350" s="81"/>
      <c r="X350" s="81"/>
      <c r="Y350" s="81"/>
      <c r="Z350" s="81"/>
    </row>
    <row r="351" spans="1:26" ht="24" customHeight="1" x14ac:dyDescent="0.5">
      <c r="A351" s="81"/>
      <c r="B351" s="81"/>
      <c r="C351" s="81"/>
      <c r="D351" s="81"/>
      <c r="E351" s="81"/>
      <c r="F351" s="81"/>
      <c r="G351" s="81"/>
      <c r="H351" s="81"/>
      <c r="I351" s="289"/>
      <c r="J351" s="289"/>
      <c r="K351" s="105"/>
      <c r="L351" s="81"/>
      <c r="M351" s="289"/>
      <c r="N351" s="289"/>
      <c r="O351" s="105"/>
      <c r="P351" s="81"/>
      <c r="Q351" s="289"/>
      <c r="R351" s="81"/>
      <c r="S351" s="105"/>
      <c r="T351" s="81"/>
      <c r="U351" s="81"/>
      <c r="V351" s="81"/>
      <c r="W351" s="81"/>
      <c r="X351" s="81"/>
      <c r="Y351" s="81"/>
      <c r="Z351" s="81"/>
    </row>
    <row r="352" spans="1:26" ht="24" customHeight="1" x14ac:dyDescent="0.5">
      <c r="A352" s="81"/>
      <c r="B352" s="81"/>
      <c r="C352" s="81"/>
      <c r="D352" s="81"/>
      <c r="E352" s="81"/>
      <c r="F352" s="81"/>
      <c r="G352" s="81"/>
      <c r="H352" s="81"/>
      <c r="I352" s="289"/>
      <c r="J352" s="289"/>
      <c r="K352" s="105"/>
      <c r="L352" s="81"/>
      <c r="M352" s="289"/>
      <c r="N352" s="289"/>
      <c r="O352" s="105"/>
      <c r="P352" s="81"/>
      <c r="Q352" s="289"/>
      <c r="R352" s="81"/>
      <c r="S352" s="105"/>
      <c r="T352" s="81"/>
      <c r="U352" s="81"/>
      <c r="V352" s="81"/>
      <c r="W352" s="81"/>
      <c r="X352" s="81"/>
      <c r="Y352" s="81"/>
      <c r="Z352" s="81"/>
    </row>
    <row r="353" spans="1:26" ht="24" customHeight="1" x14ac:dyDescent="0.5">
      <c r="A353" s="81"/>
      <c r="B353" s="81"/>
      <c r="C353" s="81"/>
      <c r="D353" s="81"/>
      <c r="E353" s="81"/>
      <c r="F353" s="81"/>
      <c r="G353" s="81"/>
      <c r="H353" s="81"/>
      <c r="I353" s="289"/>
      <c r="J353" s="289"/>
      <c r="K353" s="105"/>
      <c r="L353" s="81"/>
      <c r="M353" s="289"/>
      <c r="N353" s="289"/>
      <c r="O353" s="105"/>
      <c r="P353" s="81"/>
      <c r="Q353" s="289"/>
      <c r="R353" s="81"/>
      <c r="S353" s="105"/>
      <c r="T353" s="81"/>
      <c r="U353" s="81"/>
      <c r="V353" s="81"/>
      <c r="W353" s="81"/>
      <c r="X353" s="81"/>
      <c r="Y353" s="81"/>
      <c r="Z353" s="81"/>
    </row>
    <row r="354" spans="1:26" ht="24" customHeight="1" x14ac:dyDescent="0.5">
      <c r="A354" s="81"/>
      <c r="B354" s="81"/>
      <c r="C354" s="81"/>
      <c r="D354" s="81"/>
      <c r="E354" s="81"/>
      <c r="F354" s="81"/>
      <c r="G354" s="81"/>
      <c r="H354" s="81"/>
      <c r="I354" s="289"/>
      <c r="J354" s="289"/>
      <c r="K354" s="105"/>
      <c r="L354" s="81"/>
      <c r="M354" s="289"/>
      <c r="N354" s="289"/>
      <c r="O354" s="105"/>
      <c r="P354" s="81"/>
      <c r="Q354" s="289"/>
      <c r="R354" s="81"/>
      <c r="S354" s="105"/>
      <c r="T354" s="81"/>
      <c r="U354" s="81"/>
      <c r="V354" s="81"/>
      <c r="W354" s="81"/>
      <c r="X354" s="81"/>
      <c r="Y354" s="81"/>
      <c r="Z354" s="81"/>
    </row>
    <row r="355" spans="1:26" ht="24" customHeight="1" x14ac:dyDescent="0.5">
      <c r="A355" s="81"/>
      <c r="B355" s="81"/>
      <c r="C355" s="81"/>
      <c r="D355" s="81"/>
      <c r="E355" s="81"/>
      <c r="F355" s="81"/>
      <c r="G355" s="81"/>
      <c r="H355" s="81"/>
      <c r="I355" s="289"/>
      <c r="J355" s="289"/>
      <c r="K355" s="105"/>
      <c r="L355" s="81"/>
      <c r="M355" s="289"/>
      <c r="N355" s="289"/>
      <c r="O355" s="105"/>
      <c r="P355" s="81"/>
      <c r="Q355" s="289"/>
      <c r="R355" s="81"/>
      <c r="S355" s="105"/>
      <c r="T355" s="81"/>
      <c r="U355" s="81"/>
      <c r="V355" s="81"/>
      <c r="W355" s="81"/>
      <c r="X355" s="81"/>
      <c r="Y355" s="81"/>
      <c r="Z355" s="81"/>
    </row>
    <row r="356" spans="1:26" ht="24" customHeight="1" x14ac:dyDescent="0.5">
      <c r="A356" s="81"/>
      <c r="B356" s="81"/>
      <c r="C356" s="81"/>
      <c r="D356" s="81"/>
      <c r="E356" s="81"/>
      <c r="F356" s="81"/>
      <c r="G356" s="81"/>
      <c r="H356" s="81"/>
      <c r="I356" s="289"/>
      <c r="J356" s="289"/>
      <c r="K356" s="105"/>
      <c r="L356" s="81"/>
      <c r="M356" s="289"/>
      <c r="N356" s="289"/>
      <c r="O356" s="105"/>
      <c r="P356" s="81"/>
      <c r="Q356" s="289"/>
      <c r="R356" s="81"/>
      <c r="S356" s="105"/>
      <c r="T356" s="81"/>
      <c r="U356" s="81"/>
      <c r="V356" s="81"/>
      <c r="W356" s="81"/>
      <c r="X356" s="81"/>
      <c r="Y356" s="81"/>
      <c r="Z356" s="81"/>
    </row>
    <row r="357" spans="1:26" ht="24" customHeight="1" x14ac:dyDescent="0.5">
      <c r="A357" s="81"/>
      <c r="B357" s="81"/>
      <c r="C357" s="81"/>
      <c r="D357" s="81"/>
      <c r="E357" s="81"/>
      <c r="F357" s="81"/>
      <c r="G357" s="81"/>
      <c r="H357" s="81"/>
      <c r="I357" s="289"/>
      <c r="J357" s="289"/>
      <c r="K357" s="105"/>
      <c r="L357" s="81"/>
      <c r="M357" s="289"/>
      <c r="N357" s="289"/>
      <c r="O357" s="105"/>
      <c r="P357" s="81"/>
      <c r="Q357" s="289"/>
      <c r="R357" s="81"/>
      <c r="S357" s="105"/>
      <c r="T357" s="81"/>
      <c r="U357" s="81"/>
      <c r="V357" s="81"/>
      <c r="W357" s="81"/>
      <c r="X357" s="81"/>
      <c r="Y357" s="81"/>
      <c r="Z357" s="81"/>
    </row>
    <row r="358" spans="1:26" ht="24" customHeight="1" x14ac:dyDescent="0.5">
      <c r="A358" s="81"/>
      <c r="B358" s="81"/>
      <c r="C358" s="81"/>
      <c r="D358" s="81"/>
      <c r="E358" s="81"/>
      <c r="F358" s="81"/>
      <c r="G358" s="81"/>
      <c r="H358" s="81"/>
      <c r="I358" s="289"/>
      <c r="J358" s="289"/>
      <c r="K358" s="105"/>
      <c r="L358" s="81"/>
      <c r="M358" s="289"/>
      <c r="N358" s="289"/>
      <c r="O358" s="105"/>
      <c r="P358" s="81"/>
      <c r="Q358" s="289"/>
      <c r="R358" s="81"/>
      <c r="S358" s="105"/>
      <c r="T358" s="81"/>
      <c r="U358" s="81"/>
      <c r="V358" s="81"/>
      <c r="W358" s="81"/>
      <c r="X358" s="81"/>
      <c r="Y358" s="81"/>
      <c r="Z358" s="81"/>
    </row>
    <row r="359" spans="1:26" ht="24" customHeight="1" x14ac:dyDescent="0.5">
      <c r="A359" s="81"/>
      <c r="B359" s="81"/>
      <c r="C359" s="81"/>
      <c r="D359" s="81"/>
      <c r="E359" s="81"/>
      <c r="F359" s="81"/>
      <c r="G359" s="81"/>
      <c r="H359" s="81"/>
      <c r="I359" s="289"/>
      <c r="J359" s="289"/>
      <c r="K359" s="105"/>
      <c r="L359" s="81"/>
      <c r="M359" s="289"/>
      <c r="N359" s="289"/>
      <c r="O359" s="105"/>
      <c r="P359" s="81"/>
      <c r="Q359" s="289"/>
      <c r="R359" s="81"/>
      <c r="S359" s="105"/>
      <c r="T359" s="81"/>
      <c r="U359" s="81"/>
      <c r="V359" s="81"/>
      <c r="W359" s="81"/>
      <c r="X359" s="81"/>
      <c r="Y359" s="81"/>
      <c r="Z359" s="81"/>
    </row>
    <row r="360" spans="1:26" ht="24" customHeight="1" x14ac:dyDescent="0.5">
      <c r="A360" s="81"/>
      <c r="B360" s="81"/>
      <c r="C360" s="81"/>
      <c r="D360" s="81"/>
      <c r="E360" s="81"/>
      <c r="F360" s="81"/>
      <c r="G360" s="81"/>
      <c r="H360" s="81"/>
      <c r="I360" s="289"/>
      <c r="J360" s="289"/>
      <c r="K360" s="105"/>
      <c r="L360" s="81"/>
      <c r="M360" s="289"/>
      <c r="N360" s="289"/>
      <c r="O360" s="105"/>
      <c r="P360" s="81"/>
      <c r="Q360" s="289"/>
      <c r="R360" s="81"/>
      <c r="S360" s="105"/>
      <c r="T360" s="81"/>
      <c r="U360" s="81"/>
      <c r="V360" s="81"/>
      <c r="W360" s="81"/>
      <c r="X360" s="81"/>
      <c r="Y360" s="81"/>
      <c r="Z360" s="81"/>
    </row>
    <row r="361" spans="1:26" ht="24" customHeight="1" x14ac:dyDescent="0.5">
      <c r="A361" s="81"/>
      <c r="B361" s="81"/>
      <c r="C361" s="81"/>
      <c r="D361" s="81"/>
      <c r="E361" s="81"/>
      <c r="F361" s="81"/>
      <c r="G361" s="81"/>
      <c r="H361" s="81"/>
      <c r="I361" s="289"/>
      <c r="J361" s="289"/>
      <c r="K361" s="105"/>
      <c r="L361" s="81"/>
      <c r="M361" s="289"/>
      <c r="N361" s="289"/>
      <c r="O361" s="105"/>
      <c r="P361" s="81"/>
      <c r="Q361" s="289"/>
      <c r="R361" s="81"/>
      <c r="S361" s="105"/>
      <c r="T361" s="81"/>
      <c r="U361" s="81"/>
      <c r="V361" s="81"/>
      <c r="W361" s="81"/>
      <c r="X361" s="81"/>
      <c r="Y361" s="81"/>
      <c r="Z361" s="81"/>
    </row>
    <row r="362" spans="1:26" ht="24" customHeight="1" x14ac:dyDescent="0.5">
      <c r="A362" s="81"/>
      <c r="B362" s="81"/>
      <c r="C362" s="81"/>
      <c r="D362" s="81"/>
      <c r="E362" s="81"/>
      <c r="F362" s="81"/>
      <c r="G362" s="81"/>
      <c r="H362" s="81"/>
      <c r="I362" s="289"/>
      <c r="J362" s="289"/>
      <c r="K362" s="105"/>
      <c r="L362" s="81"/>
      <c r="M362" s="289"/>
      <c r="N362" s="289"/>
      <c r="O362" s="105"/>
      <c r="P362" s="81"/>
      <c r="Q362" s="289"/>
      <c r="R362" s="81"/>
      <c r="S362" s="105"/>
      <c r="T362" s="81"/>
      <c r="U362" s="81"/>
      <c r="V362" s="81"/>
      <c r="W362" s="81"/>
      <c r="X362" s="81"/>
      <c r="Y362" s="81"/>
      <c r="Z362" s="81"/>
    </row>
    <row r="363" spans="1:26" ht="24" customHeight="1" x14ac:dyDescent="0.5">
      <c r="A363" s="81"/>
      <c r="B363" s="81"/>
      <c r="C363" s="81"/>
      <c r="D363" s="81"/>
      <c r="E363" s="81"/>
      <c r="F363" s="81"/>
      <c r="G363" s="81"/>
      <c r="H363" s="81"/>
      <c r="I363" s="289"/>
      <c r="J363" s="289"/>
      <c r="K363" s="105"/>
      <c r="L363" s="81"/>
      <c r="M363" s="289"/>
      <c r="N363" s="289"/>
      <c r="O363" s="105"/>
      <c r="P363" s="81"/>
      <c r="Q363" s="289"/>
      <c r="R363" s="81"/>
      <c r="S363" s="105"/>
      <c r="T363" s="81"/>
      <c r="U363" s="81"/>
      <c r="V363" s="81"/>
      <c r="W363" s="81"/>
      <c r="X363" s="81"/>
      <c r="Y363" s="81"/>
      <c r="Z363" s="81"/>
    </row>
    <row r="364" spans="1:26" ht="24" customHeight="1" x14ac:dyDescent="0.5">
      <c r="A364" s="81"/>
      <c r="B364" s="81"/>
      <c r="C364" s="81"/>
      <c r="D364" s="81"/>
      <c r="E364" s="81"/>
      <c r="F364" s="81"/>
      <c r="G364" s="81"/>
      <c r="H364" s="81"/>
      <c r="I364" s="289"/>
      <c r="J364" s="289"/>
      <c r="K364" s="105"/>
      <c r="L364" s="81"/>
      <c r="M364" s="289"/>
      <c r="N364" s="289"/>
      <c r="O364" s="105"/>
      <c r="P364" s="81"/>
      <c r="Q364" s="289"/>
      <c r="R364" s="81"/>
      <c r="S364" s="105"/>
      <c r="T364" s="81"/>
      <c r="U364" s="81"/>
      <c r="V364" s="81"/>
      <c r="W364" s="81"/>
      <c r="X364" s="81"/>
      <c r="Y364" s="81"/>
      <c r="Z364" s="81"/>
    </row>
    <row r="365" spans="1:26" ht="24" customHeight="1" x14ac:dyDescent="0.5">
      <c r="A365" s="81"/>
      <c r="B365" s="81"/>
      <c r="C365" s="81"/>
      <c r="D365" s="81"/>
      <c r="E365" s="81"/>
      <c r="F365" s="81"/>
      <c r="G365" s="81"/>
      <c r="H365" s="81"/>
      <c r="I365" s="289"/>
      <c r="J365" s="289"/>
      <c r="K365" s="105"/>
      <c r="L365" s="81"/>
      <c r="M365" s="289"/>
      <c r="N365" s="289"/>
      <c r="O365" s="105"/>
      <c r="P365" s="81"/>
      <c r="Q365" s="289"/>
      <c r="R365" s="81"/>
      <c r="S365" s="105"/>
      <c r="T365" s="81"/>
      <c r="U365" s="81"/>
      <c r="V365" s="81"/>
      <c r="W365" s="81"/>
      <c r="X365" s="81"/>
      <c r="Y365" s="81"/>
      <c r="Z365" s="81"/>
    </row>
    <row r="366" spans="1:26" ht="24" customHeight="1" x14ac:dyDescent="0.5">
      <c r="A366" s="81"/>
      <c r="B366" s="81"/>
      <c r="C366" s="81"/>
      <c r="D366" s="81"/>
      <c r="E366" s="81"/>
      <c r="F366" s="81"/>
      <c r="G366" s="81"/>
      <c r="H366" s="81"/>
      <c r="I366" s="289"/>
      <c r="J366" s="289"/>
      <c r="K366" s="105"/>
      <c r="L366" s="81"/>
      <c r="M366" s="289"/>
      <c r="N366" s="289"/>
      <c r="O366" s="105"/>
      <c r="P366" s="81"/>
      <c r="Q366" s="289"/>
      <c r="R366" s="81"/>
      <c r="S366" s="105"/>
      <c r="T366" s="81"/>
      <c r="U366" s="81"/>
      <c r="V366" s="81"/>
      <c r="W366" s="81"/>
      <c r="X366" s="81"/>
      <c r="Y366" s="81"/>
      <c r="Z366" s="81"/>
    </row>
    <row r="367" spans="1:26" ht="24" customHeight="1" x14ac:dyDescent="0.5">
      <c r="A367" s="81"/>
      <c r="B367" s="81"/>
      <c r="C367" s="81"/>
      <c r="D367" s="81"/>
      <c r="E367" s="81"/>
      <c r="F367" s="81"/>
      <c r="G367" s="81"/>
      <c r="H367" s="81"/>
      <c r="I367" s="289"/>
      <c r="J367" s="289"/>
      <c r="K367" s="105"/>
      <c r="L367" s="81"/>
      <c r="M367" s="289"/>
      <c r="N367" s="289"/>
      <c r="O367" s="105"/>
      <c r="P367" s="81"/>
      <c r="Q367" s="289"/>
      <c r="R367" s="81"/>
      <c r="S367" s="105"/>
      <c r="T367" s="81"/>
      <c r="U367" s="81"/>
      <c r="V367" s="81"/>
      <c r="W367" s="81"/>
      <c r="X367" s="81"/>
      <c r="Y367" s="81"/>
      <c r="Z367" s="81"/>
    </row>
    <row r="368" spans="1:26" ht="24" customHeight="1" x14ac:dyDescent="0.5">
      <c r="A368" s="81"/>
      <c r="B368" s="81"/>
      <c r="C368" s="81"/>
      <c r="D368" s="81"/>
      <c r="E368" s="81"/>
      <c r="F368" s="81"/>
      <c r="G368" s="81"/>
      <c r="H368" s="81"/>
      <c r="I368" s="289"/>
      <c r="J368" s="289"/>
      <c r="K368" s="105"/>
      <c r="L368" s="81"/>
      <c r="M368" s="289"/>
      <c r="N368" s="289"/>
      <c r="O368" s="105"/>
      <c r="P368" s="81"/>
      <c r="Q368" s="289"/>
      <c r="R368" s="81"/>
      <c r="S368" s="105"/>
      <c r="T368" s="81"/>
      <c r="U368" s="81"/>
      <c r="V368" s="81"/>
      <c r="W368" s="81"/>
      <c r="X368" s="81"/>
      <c r="Y368" s="81"/>
      <c r="Z368" s="81"/>
    </row>
    <row r="369" spans="1:26" ht="24" customHeight="1" x14ac:dyDescent="0.5">
      <c r="A369" s="81"/>
      <c r="B369" s="81"/>
      <c r="C369" s="81"/>
      <c r="D369" s="81"/>
      <c r="E369" s="81"/>
      <c r="F369" s="81"/>
      <c r="G369" s="81"/>
      <c r="H369" s="81"/>
      <c r="I369" s="289"/>
      <c r="J369" s="289"/>
      <c r="K369" s="105"/>
      <c r="L369" s="81"/>
      <c r="M369" s="289"/>
      <c r="N369" s="289"/>
      <c r="O369" s="105"/>
      <c r="P369" s="81"/>
      <c r="Q369" s="289"/>
      <c r="R369" s="81"/>
      <c r="S369" s="105"/>
      <c r="T369" s="81"/>
      <c r="U369" s="81"/>
      <c r="V369" s="81"/>
      <c r="W369" s="81"/>
      <c r="X369" s="81"/>
      <c r="Y369" s="81"/>
      <c r="Z369" s="81"/>
    </row>
    <row r="370" spans="1:26" ht="24" customHeight="1" x14ac:dyDescent="0.5">
      <c r="A370" s="81"/>
      <c r="B370" s="81"/>
      <c r="C370" s="81"/>
      <c r="D370" s="81"/>
      <c r="E370" s="81"/>
      <c r="F370" s="81"/>
      <c r="G370" s="81"/>
      <c r="H370" s="81"/>
      <c r="I370" s="289"/>
      <c r="J370" s="289"/>
      <c r="K370" s="105"/>
      <c r="L370" s="81"/>
      <c r="M370" s="289"/>
      <c r="N370" s="289"/>
      <c r="O370" s="105"/>
      <c r="P370" s="81"/>
      <c r="Q370" s="289"/>
      <c r="R370" s="81"/>
      <c r="S370" s="105"/>
      <c r="T370" s="81"/>
      <c r="U370" s="81"/>
      <c r="V370" s="81"/>
      <c r="W370" s="81"/>
      <c r="X370" s="81"/>
      <c r="Y370" s="81"/>
      <c r="Z370" s="81"/>
    </row>
    <row r="371" spans="1:26" ht="24" customHeight="1" x14ac:dyDescent="0.5">
      <c r="A371" s="81"/>
      <c r="B371" s="81"/>
      <c r="C371" s="81"/>
      <c r="D371" s="81"/>
      <c r="E371" s="81"/>
      <c r="F371" s="81"/>
      <c r="G371" s="81"/>
      <c r="H371" s="81"/>
      <c r="I371" s="289"/>
      <c r="J371" s="289"/>
      <c r="K371" s="105"/>
      <c r="L371" s="81"/>
      <c r="M371" s="289"/>
      <c r="N371" s="289"/>
      <c r="O371" s="105"/>
      <c r="P371" s="81"/>
      <c r="Q371" s="289"/>
      <c r="R371" s="81"/>
      <c r="S371" s="105"/>
      <c r="T371" s="81"/>
      <c r="U371" s="81"/>
      <c r="V371" s="81"/>
      <c r="W371" s="81"/>
      <c r="X371" s="81"/>
      <c r="Y371" s="81"/>
      <c r="Z371" s="81"/>
    </row>
    <row r="372" spans="1:26" ht="24" customHeight="1" x14ac:dyDescent="0.5">
      <c r="A372" s="81"/>
      <c r="B372" s="81"/>
      <c r="C372" s="81"/>
      <c r="D372" s="81"/>
      <c r="E372" s="81"/>
      <c r="F372" s="81"/>
      <c r="G372" s="81"/>
      <c r="H372" s="81"/>
      <c r="I372" s="289"/>
      <c r="J372" s="289"/>
      <c r="K372" s="105"/>
      <c r="L372" s="81"/>
      <c r="M372" s="289"/>
      <c r="N372" s="289"/>
      <c r="O372" s="105"/>
      <c r="P372" s="81"/>
      <c r="Q372" s="289"/>
      <c r="R372" s="81"/>
      <c r="S372" s="105"/>
      <c r="T372" s="81"/>
      <c r="U372" s="81"/>
      <c r="V372" s="81"/>
      <c r="W372" s="81"/>
      <c r="X372" s="81"/>
      <c r="Y372" s="81"/>
      <c r="Z372" s="81"/>
    </row>
    <row r="373" spans="1:26" ht="24" customHeight="1" x14ac:dyDescent="0.5">
      <c r="A373" s="81"/>
      <c r="B373" s="81"/>
      <c r="C373" s="81"/>
      <c r="D373" s="81"/>
      <c r="E373" s="81"/>
      <c r="F373" s="81"/>
      <c r="G373" s="81"/>
      <c r="H373" s="81"/>
      <c r="I373" s="289"/>
      <c r="J373" s="289"/>
      <c r="K373" s="105"/>
      <c r="L373" s="81"/>
      <c r="M373" s="289"/>
      <c r="N373" s="289"/>
      <c r="O373" s="105"/>
      <c r="P373" s="81"/>
      <c r="Q373" s="289"/>
      <c r="R373" s="81"/>
      <c r="S373" s="105"/>
      <c r="T373" s="81"/>
      <c r="U373" s="81"/>
      <c r="V373" s="81"/>
      <c r="W373" s="81"/>
      <c r="X373" s="81"/>
      <c r="Y373" s="81"/>
      <c r="Z373" s="81"/>
    </row>
    <row r="374" spans="1:26" ht="24" customHeight="1" x14ac:dyDescent="0.5">
      <c r="A374" s="81"/>
      <c r="B374" s="81"/>
      <c r="C374" s="81"/>
      <c r="D374" s="81"/>
      <c r="E374" s="81"/>
      <c r="F374" s="81"/>
      <c r="G374" s="81"/>
      <c r="H374" s="81"/>
      <c r="I374" s="289"/>
      <c r="J374" s="289"/>
      <c r="K374" s="105"/>
      <c r="L374" s="81"/>
      <c r="M374" s="289"/>
      <c r="N374" s="289"/>
      <c r="O374" s="105"/>
      <c r="P374" s="81"/>
      <c r="Q374" s="289"/>
      <c r="R374" s="81"/>
      <c r="S374" s="105"/>
      <c r="T374" s="81"/>
      <c r="U374" s="81"/>
      <c r="V374" s="81"/>
      <c r="W374" s="81"/>
      <c r="X374" s="81"/>
      <c r="Y374" s="81"/>
      <c r="Z374" s="81"/>
    </row>
    <row r="375" spans="1:26" ht="24" customHeight="1" x14ac:dyDescent="0.5">
      <c r="A375" s="81"/>
      <c r="B375" s="81"/>
      <c r="C375" s="81"/>
      <c r="D375" s="81"/>
      <c r="E375" s="81"/>
      <c r="F375" s="81"/>
      <c r="G375" s="81"/>
      <c r="H375" s="81"/>
      <c r="I375" s="289"/>
      <c r="J375" s="289"/>
      <c r="K375" s="105"/>
      <c r="L375" s="81"/>
      <c r="M375" s="289"/>
      <c r="N375" s="289"/>
      <c r="O375" s="105"/>
      <c r="P375" s="81"/>
      <c r="Q375" s="289"/>
      <c r="R375" s="81"/>
      <c r="S375" s="105"/>
      <c r="T375" s="81"/>
      <c r="U375" s="81"/>
      <c r="V375" s="81"/>
      <c r="W375" s="81"/>
      <c r="X375" s="81"/>
      <c r="Y375" s="81"/>
      <c r="Z375" s="81"/>
    </row>
    <row r="376" spans="1:26" ht="24" customHeight="1" x14ac:dyDescent="0.5">
      <c r="A376" s="81"/>
      <c r="B376" s="81"/>
      <c r="C376" s="81"/>
      <c r="D376" s="81"/>
      <c r="E376" s="81"/>
      <c r="F376" s="81"/>
      <c r="G376" s="81"/>
      <c r="H376" s="81"/>
      <c r="I376" s="289"/>
      <c r="J376" s="289"/>
      <c r="K376" s="105"/>
      <c r="L376" s="81"/>
      <c r="M376" s="289"/>
      <c r="N376" s="289"/>
      <c r="O376" s="105"/>
      <c r="P376" s="81"/>
      <c r="Q376" s="289"/>
      <c r="R376" s="81"/>
      <c r="S376" s="105"/>
      <c r="T376" s="81"/>
      <c r="U376" s="81"/>
      <c r="V376" s="81"/>
      <c r="W376" s="81"/>
      <c r="X376" s="81"/>
      <c r="Y376" s="81"/>
      <c r="Z376" s="81"/>
    </row>
    <row r="377" spans="1:26" ht="24" customHeight="1" x14ac:dyDescent="0.5">
      <c r="A377" s="81"/>
      <c r="B377" s="81"/>
      <c r="C377" s="81"/>
      <c r="D377" s="81"/>
      <c r="E377" s="81"/>
      <c r="F377" s="81"/>
      <c r="G377" s="81"/>
      <c r="H377" s="81"/>
      <c r="I377" s="289"/>
      <c r="J377" s="289"/>
      <c r="K377" s="105"/>
      <c r="L377" s="81"/>
      <c r="M377" s="289"/>
      <c r="N377" s="289"/>
      <c r="O377" s="105"/>
      <c r="P377" s="81"/>
      <c r="Q377" s="289"/>
      <c r="R377" s="81"/>
      <c r="S377" s="105"/>
      <c r="T377" s="81"/>
      <c r="U377" s="81"/>
      <c r="V377" s="81"/>
      <c r="W377" s="81"/>
      <c r="X377" s="81"/>
      <c r="Y377" s="81"/>
      <c r="Z377" s="81"/>
    </row>
    <row r="378" spans="1:26" ht="24" customHeight="1" x14ac:dyDescent="0.5">
      <c r="A378" s="81"/>
      <c r="B378" s="81"/>
      <c r="C378" s="81"/>
      <c r="D378" s="81"/>
      <c r="E378" s="81"/>
      <c r="F378" s="81"/>
      <c r="G378" s="81"/>
      <c r="H378" s="81"/>
      <c r="I378" s="289"/>
      <c r="J378" s="289"/>
      <c r="K378" s="105"/>
      <c r="L378" s="81"/>
      <c r="M378" s="289"/>
      <c r="N378" s="289"/>
      <c r="O378" s="105"/>
      <c r="P378" s="81"/>
      <c r="Q378" s="289"/>
      <c r="R378" s="81"/>
      <c r="S378" s="105"/>
      <c r="T378" s="81"/>
      <c r="U378" s="81"/>
      <c r="V378" s="81"/>
      <c r="W378" s="81"/>
      <c r="X378" s="81"/>
      <c r="Y378" s="81"/>
      <c r="Z378" s="81"/>
    </row>
    <row r="379" spans="1:26" ht="24" customHeight="1" x14ac:dyDescent="0.5">
      <c r="A379" s="81"/>
      <c r="B379" s="81"/>
      <c r="C379" s="81"/>
      <c r="D379" s="81"/>
      <c r="E379" s="81"/>
      <c r="F379" s="81"/>
      <c r="G379" s="81"/>
      <c r="H379" s="81"/>
      <c r="I379" s="289"/>
      <c r="J379" s="289"/>
      <c r="K379" s="105"/>
      <c r="L379" s="81"/>
      <c r="M379" s="289"/>
      <c r="N379" s="289"/>
      <c r="O379" s="105"/>
      <c r="P379" s="81"/>
      <c r="Q379" s="289"/>
      <c r="R379" s="81"/>
      <c r="S379" s="105"/>
      <c r="T379" s="81"/>
      <c r="U379" s="81"/>
      <c r="V379" s="81"/>
      <c r="W379" s="81"/>
      <c r="X379" s="81"/>
      <c r="Y379" s="81"/>
      <c r="Z379" s="81"/>
    </row>
    <row r="380" spans="1:26" ht="24" customHeight="1" x14ac:dyDescent="0.5">
      <c r="A380" s="81"/>
      <c r="B380" s="81"/>
      <c r="C380" s="81"/>
      <c r="D380" s="81"/>
      <c r="E380" s="81"/>
      <c r="F380" s="81"/>
      <c r="G380" s="81"/>
      <c r="H380" s="81"/>
      <c r="I380" s="289"/>
      <c r="J380" s="289"/>
      <c r="K380" s="105"/>
      <c r="L380" s="81"/>
      <c r="M380" s="289"/>
      <c r="N380" s="289"/>
      <c r="O380" s="105"/>
      <c r="P380" s="81"/>
      <c r="Q380" s="289"/>
      <c r="R380" s="81"/>
      <c r="S380" s="105"/>
      <c r="T380" s="81"/>
      <c r="U380" s="81"/>
      <c r="V380" s="81"/>
      <c r="W380" s="81"/>
      <c r="X380" s="81"/>
      <c r="Y380" s="81"/>
      <c r="Z380" s="81"/>
    </row>
    <row r="381" spans="1:26" ht="24" customHeight="1" x14ac:dyDescent="0.5">
      <c r="A381" s="81"/>
      <c r="B381" s="81"/>
      <c r="C381" s="81"/>
      <c r="D381" s="81"/>
      <c r="E381" s="81"/>
      <c r="F381" s="81"/>
      <c r="G381" s="81"/>
      <c r="H381" s="81"/>
      <c r="I381" s="289"/>
      <c r="J381" s="289"/>
      <c r="K381" s="105"/>
      <c r="L381" s="81"/>
      <c r="M381" s="289"/>
      <c r="N381" s="289"/>
      <c r="O381" s="105"/>
      <c r="P381" s="81"/>
      <c r="Q381" s="289"/>
      <c r="R381" s="81"/>
      <c r="S381" s="105"/>
      <c r="T381" s="81"/>
      <c r="U381" s="81"/>
      <c r="V381" s="81"/>
      <c r="W381" s="81"/>
      <c r="X381" s="81"/>
      <c r="Y381" s="81"/>
      <c r="Z381" s="81"/>
    </row>
    <row r="382" spans="1:26" ht="24" customHeight="1" x14ac:dyDescent="0.5">
      <c r="A382" s="81"/>
      <c r="B382" s="81"/>
      <c r="C382" s="81"/>
      <c r="D382" s="81"/>
      <c r="E382" s="81"/>
      <c r="F382" s="81"/>
      <c r="G382" s="81"/>
      <c r="H382" s="81"/>
      <c r="I382" s="289"/>
      <c r="J382" s="289"/>
      <c r="K382" s="105"/>
      <c r="L382" s="81"/>
      <c r="M382" s="289"/>
      <c r="N382" s="289"/>
      <c r="O382" s="105"/>
      <c r="P382" s="81"/>
      <c r="Q382" s="289"/>
      <c r="R382" s="81"/>
      <c r="S382" s="105"/>
      <c r="T382" s="81"/>
      <c r="U382" s="81"/>
      <c r="V382" s="81"/>
      <c r="W382" s="81"/>
      <c r="X382" s="81"/>
      <c r="Y382" s="81"/>
      <c r="Z382" s="81"/>
    </row>
    <row r="383" spans="1:26" ht="24" customHeight="1" x14ac:dyDescent="0.5">
      <c r="A383" s="81"/>
      <c r="B383" s="81"/>
      <c r="C383" s="81"/>
      <c r="D383" s="81"/>
      <c r="E383" s="81"/>
      <c r="F383" s="81"/>
      <c r="G383" s="81"/>
      <c r="H383" s="81"/>
      <c r="I383" s="289"/>
      <c r="J383" s="289"/>
      <c r="K383" s="105"/>
      <c r="L383" s="81"/>
      <c r="M383" s="289"/>
      <c r="N383" s="289"/>
      <c r="O383" s="105"/>
      <c r="P383" s="81"/>
      <c r="Q383" s="289"/>
      <c r="R383" s="81"/>
      <c r="S383" s="105"/>
      <c r="T383" s="81"/>
      <c r="U383" s="81"/>
      <c r="V383" s="81"/>
      <c r="W383" s="81"/>
      <c r="X383" s="81"/>
      <c r="Y383" s="81"/>
      <c r="Z383" s="81"/>
    </row>
    <row r="384" spans="1:26" ht="24" customHeight="1" x14ac:dyDescent="0.5">
      <c r="A384" s="81"/>
      <c r="B384" s="81"/>
      <c r="C384" s="81"/>
      <c r="D384" s="81"/>
      <c r="E384" s="81"/>
      <c r="F384" s="81"/>
      <c r="G384" s="81"/>
      <c r="H384" s="81"/>
      <c r="I384" s="289"/>
      <c r="J384" s="289"/>
      <c r="K384" s="105"/>
      <c r="L384" s="81"/>
      <c r="M384" s="289"/>
      <c r="N384" s="289"/>
      <c r="O384" s="105"/>
      <c r="P384" s="81"/>
      <c r="Q384" s="289"/>
      <c r="R384" s="81"/>
      <c r="S384" s="105"/>
      <c r="T384" s="81"/>
      <c r="U384" s="81"/>
      <c r="V384" s="81"/>
      <c r="W384" s="81"/>
      <c r="X384" s="81"/>
      <c r="Y384" s="81"/>
      <c r="Z384" s="81"/>
    </row>
    <row r="385" spans="1:26" ht="24" customHeight="1" x14ac:dyDescent="0.5">
      <c r="A385" s="81"/>
      <c r="B385" s="81"/>
      <c r="C385" s="81"/>
      <c r="D385" s="81"/>
      <c r="E385" s="81"/>
      <c r="F385" s="81"/>
      <c r="G385" s="81"/>
      <c r="H385" s="81"/>
      <c r="I385" s="289"/>
      <c r="J385" s="289"/>
      <c r="K385" s="105"/>
      <c r="L385" s="81"/>
      <c r="M385" s="289"/>
      <c r="N385" s="289"/>
      <c r="O385" s="105"/>
      <c r="P385" s="81"/>
      <c r="Q385" s="289"/>
      <c r="R385" s="81"/>
      <c r="S385" s="105"/>
      <c r="T385" s="81"/>
      <c r="U385" s="81"/>
      <c r="V385" s="81"/>
      <c r="W385" s="81"/>
      <c r="X385" s="81"/>
      <c r="Y385" s="81"/>
      <c r="Z385" s="81"/>
    </row>
    <row r="386" spans="1:26" ht="24" customHeight="1" x14ac:dyDescent="0.5">
      <c r="A386" s="81"/>
      <c r="B386" s="81"/>
      <c r="C386" s="81"/>
      <c r="D386" s="81"/>
      <c r="E386" s="81"/>
      <c r="F386" s="81"/>
      <c r="G386" s="81"/>
      <c r="H386" s="81"/>
      <c r="I386" s="289"/>
      <c r="J386" s="289"/>
      <c r="K386" s="105"/>
      <c r="L386" s="81"/>
      <c r="M386" s="289"/>
      <c r="N386" s="289"/>
      <c r="O386" s="105"/>
      <c r="P386" s="81"/>
      <c r="Q386" s="289"/>
      <c r="R386" s="81"/>
      <c r="S386" s="105"/>
      <c r="T386" s="81"/>
      <c r="U386" s="81"/>
      <c r="V386" s="81"/>
      <c r="W386" s="81"/>
      <c r="X386" s="81"/>
      <c r="Y386" s="81"/>
      <c r="Z386" s="81"/>
    </row>
    <row r="387" spans="1:26" ht="24" customHeight="1" x14ac:dyDescent="0.5">
      <c r="A387" s="81"/>
      <c r="B387" s="81"/>
      <c r="C387" s="81"/>
      <c r="D387" s="81"/>
      <c r="E387" s="81"/>
      <c r="F387" s="81"/>
      <c r="G387" s="81"/>
      <c r="H387" s="81"/>
      <c r="I387" s="289"/>
      <c r="J387" s="289"/>
      <c r="K387" s="105"/>
      <c r="L387" s="81"/>
      <c r="M387" s="289"/>
      <c r="N387" s="289"/>
      <c r="O387" s="105"/>
      <c r="P387" s="81"/>
      <c r="Q387" s="289"/>
      <c r="R387" s="81"/>
      <c r="S387" s="105"/>
      <c r="T387" s="81"/>
      <c r="U387" s="81"/>
      <c r="V387" s="81"/>
      <c r="W387" s="81"/>
      <c r="X387" s="81"/>
      <c r="Y387" s="81"/>
      <c r="Z387" s="81"/>
    </row>
    <row r="388" spans="1:26" ht="24" customHeight="1" x14ac:dyDescent="0.5">
      <c r="A388" s="81"/>
      <c r="B388" s="81"/>
      <c r="C388" s="81"/>
      <c r="D388" s="81"/>
      <c r="E388" s="81"/>
      <c r="F388" s="81"/>
      <c r="G388" s="81"/>
      <c r="H388" s="81"/>
      <c r="I388" s="289"/>
      <c r="J388" s="289"/>
      <c r="K388" s="105"/>
      <c r="L388" s="81"/>
      <c r="M388" s="289"/>
      <c r="N388" s="289"/>
      <c r="O388" s="105"/>
      <c r="P388" s="81"/>
      <c r="Q388" s="289"/>
      <c r="R388" s="81"/>
      <c r="S388" s="105"/>
      <c r="T388" s="81"/>
      <c r="U388" s="81"/>
      <c r="V388" s="81"/>
      <c r="W388" s="81"/>
      <c r="X388" s="81"/>
      <c r="Y388" s="81"/>
      <c r="Z388" s="81"/>
    </row>
    <row r="389" spans="1:26" ht="24" customHeight="1" x14ac:dyDescent="0.5">
      <c r="A389" s="81"/>
      <c r="B389" s="81"/>
      <c r="C389" s="81"/>
      <c r="D389" s="81"/>
      <c r="E389" s="81"/>
      <c r="F389" s="81"/>
      <c r="G389" s="81"/>
      <c r="H389" s="81"/>
      <c r="I389" s="289"/>
      <c r="J389" s="289"/>
      <c r="K389" s="105"/>
      <c r="L389" s="81"/>
      <c r="M389" s="289"/>
      <c r="N389" s="289"/>
      <c r="O389" s="105"/>
      <c r="P389" s="81"/>
      <c r="Q389" s="289"/>
      <c r="R389" s="81"/>
      <c r="S389" s="105"/>
      <c r="T389" s="81"/>
      <c r="U389" s="81"/>
      <c r="V389" s="81"/>
      <c r="W389" s="81"/>
      <c r="X389" s="81"/>
      <c r="Y389" s="81"/>
      <c r="Z389" s="81"/>
    </row>
    <row r="390" spans="1:26" ht="24" customHeight="1" x14ac:dyDescent="0.5">
      <c r="A390" s="81"/>
      <c r="B390" s="81"/>
      <c r="C390" s="81"/>
      <c r="D390" s="81"/>
      <c r="E390" s="81"/>
      <c r="F390" s="81"/>
      <c r="G390" s="81"/>
      <c r="H390" s="81"/>
      <c r="I390" s="289"/>
      <c r="J390" s="289"/>
      <c r="K390" s="105"/>
      <c r="L390" s="81"/>
      <c r="M390" s="289"/>
      <c r="N390" s="289"/>
      <c r="O390" s="105"/>
      <c r="P390" s="81"/>
      <c r="Q390" s="289"/>
      <c r="R390" s="81"/>
      <c r="S390" s="105"/>
      <c r="T390" s="81"/>
      <c r="U390" s="81"/>
      <c r="V390" s="81"/>
      <c r="W390" s="81"/>
      <c r="X390" s="81"/>
      <c r="Y390" s="81"/>
      <c r="Z390" s="81"/>
    </row>
    <row r="391" spans="1:26" ht="24" customHeight="1" x14ac:dyDescent="0.5">
      <c r="A391" s="81"/>
      <c r="B391" s="81"/>
      <c r="C391" s="81"/>
      <c r="D391" s="81"/>
      <c r="E391" s="81"/>
      <c r="F391" s="81"/>
      <c r="G391" s="81"/>
      <c r="H391" s="81"/>
      <c r="I391" s="289"/>
      <c r="J391" s="289"/>
      <c r="K391" s="105"/>
      <c r="L391" s="81"/>
      <c r="M391" s="289"/>
      <c r="N391" s="289"/>
      <c r="O391" s="105"/>
      <c r="P391" s="81"/>
      <c r="Q391" s="289"/>
      <c r="R391" s="81"/>
      <c r="S391" s="105"/>
      <c r="T391" s="81"/>
      <c r="U391" s="81"/>
      <c r="V391" s="81"/>
      <c r="W391" s="81"/>
      <c r="X391" s="81"/>
      <c r="Y391" s="81"/>
      <c r="Z391" s="81"/>
    </row>
    <row r="392" spans="1:26" ht="24" customHeight="1" x14ac:dyDescent="0.5">
      <c r="A392" s="81"/>
      <c r="B392" s="81"/>
      <c r="C392" s="81"/>
      <c r="D392" s="81"/>
      <c r="E392" s="81"/>
      <c r="F392" s="81"/>
      <c r="G392" s="81"/>
      <c r="H392" s="81"/>
      <c r="I392" s="289"/>
      <c r="J392" s="289"/>
      <c r="K392" s="105"/>
      <c r="L392" s="81"/>
      <c r="M392" s="289"/>
      <c r="N392" s="289"/>
      <c r="O392" s="105"/>
      <c r="P392" s="81"/>
      <c r="Q392" s="289"/>
      <c r="R392" s="81"/>
      <c r="S392" s="105"/>
      <c r="T392" s="81"/>
      <c r="U392" s="81"/>
      <c r="V392" s="81"/>
      <c r="W392" s="81"/>
      <c r="X392" s="81"/>
      <c r="Y392" s="81"/>
      <c r="Z392" s="81"/>
    </row>
    <row r="393" spans="1:26" ht="24" customHeight="1" x14ac:dyDescent="0.5">
      <c r="A393" s="81"/>
      <c r="B393" s="81"/>
      <c r="C393" s="81"/>
      <c r="D393" s="81"/>
      <c r="E393" s="81"/>
      <c r="F393" s="81"/>
      <c r="G393" s="81"/>
      <c r="H393" s="81"/>
      <c r="I393" s="289"/>
      <c r="J393" s="289"/>
      <c r="K393" s="105"/>
      <c r="L393" s="81"/>
      <c r="M393" s="289"/>
      <c r="N393" s="289"/>
      <c r="O393" s="105"/>
      <c r="P393" s="81"/>
      <c r="Q393" s="289"/>
      <c r="R393" s="81"/>
      <c r="S393" s="105"/>
      <c r="T393" s="81"/>
      <c r="U393" s="81"/>
      <c r="V393" s="81"/>
      <c r="W393" s="81"/>
      <c r="X393" s="81"/>
      <c r="Y393" s="81"/>
      <c r="Z393" s="81"/>
    </row>
    <row r="394" spans="1:26" ht="24" customHeight="1" x14ac:dyDescent="0.5">
      <c r="A394" s="81"/>
      <c r="B394" s="81"/>
      <c r="C394" s="81"/>
      <c r="D394" s="81"/>
      <c r="E394" s="81"/>
      <c r="F394" s="81"/>
      <c r="G394" s="81"/>
      <c r="H394" s="81"/>
      <c r="I394" s="289"/>
      <c r="J394" s="289"/>
      <c r="K394" s="105"/>
      <c r="L394" s="81"/>
      <c r="M394" s="289"/>
      <c r="N394" s="289"/>
      <c r="O394" s="105"/>
      <c r="P394" s="81"/>
      <c r="Q394" s="289"/>
      <c r="R394" s="81"/>
      <c r="S394" s="105"/>
      <c r="T394" s="81"/>
      <c r="U394" s="81"/>
      <c r="V394" s="81"/>
      <c r="W394" s="81"/>
      <c r="X394" s="81"/>
      <c r="Y394" s="81"/>
      <c r="Z394" s="81"/>
    </row>
    <row r="395" spans="1:26" ht="24" customHeight="1" x14ac:dyDescent="0.5">
      <c r="A395" s="81"/>
      <c r="B395" s="81"/>
      <c r="C395" s="81"/>
      <c r="D395" s="81"/>
      <c r="E395" s="81"/>
      <c r="F395" s="81"/>
      <c r="G395" s="81"/>
      <c r="H395" s="81"/>
      <c r="I395" s="289"/>
      <c r="J395" s="289"/>
      <c r="K395" s="105"/>
      <c r="L395" s="81"/>
      <c r="M395" s="289"/>
      <c r="N395" s="289"/>
      <c r="O395" s="105"/>
      <c r="P395" s="81"/>
      <c r="Q395" s="289"/>
      <c r="R395" s="81"/>
      <c r="S395" s="105"/>
      <c r="T395" s="81"/>
      <c r="U395" s="81"/>
      <c r="V395" s="81"/>
      <c r="W395" s="81"/>
      <c r="X395" s="81"/>
      <c r="Y395" s="81"/>
      <c r="Z395" s="81"/>
    </row>
    <row r="396" spans="1:26" ht="24" customHeight="1" x14ac:dyDescent="0.5">
      <c r="A396" s="81"/>
      <c r="B396" s="81"/>
      <c r="C396" s="81"/>
      <c r="D396" s="81"/>
      <c r="E396" s="81"/>
      <c r="F396" s="81"/>
      <c r="G396" s="81"/>
      <c r="H396" s="81"/>
      <c r="I396" s="289"/>
      <c r="J396" s="289"/>
      <c r="K396" s="105"/>
      <c r="L396" s="81"/>
      <c r="M396" s="289"/>
      <c r="N396" s="289"/>
      <c r="O396" s="105"/>
      <c r="P396" s="81"/>
      <c r="Q396" s="289"/>
      <c r="R396" s="81"/>
      <c r="S396" s="105"/>
      <c r="T396" s="81"/>
      <c r="U396" s="81"/>
      <c r="V396" s="81"/>
      <c r="W396" s="81"/>
      <c r="X396" s="81"/>
      <c r="Y396" s="81"/>
      <c r="Z396" s="81"/>
    </row>
    <row r="397" spans="1:26" ht="24" customHeight="1" x14ac:dyDescent="0.5">
      <c r="A397" s="81"/>
      <c r="B397" s="81"/>
      <c r="C397" s="81"/>
      <c r="D397" s="81"/>
      <c r="E397" s="81"/>
      <c r="F397" s="81"/>
      <c r="G397" s="81"/>
      <c r="H397" s="81"/>
      <c r="I397" s="289"/>
      <c r="J397" s="289"/>
      <c r="K397" s="105"/>
      <c r="L397" s="81"/>
      <c r="M397" s="289"/>
      <c r="N397" s="289"/>
      <c r="O397" s="105"/>
      <c r="P397" s="81"/>
      <c r="Q397" s="289"/>
      <c r="R397" s="81"/>
      <c r="S397" s="105"/>
      <c r="T397" s="81"/>
      <c r="U397" s="81"/>
      <c r="V397" s="81"/>
      <c r="W397" s="81"/>
      <c r="X397" s="81"/>
      <c r="Y397" s="81"/>
      <c r="Z397" s="81"/>
    </row>
    <row r="398" spans="1:26" ht="24" customHeight="1" x14ac:dyDescent="0.5">
      <c r="A398" s="81"/>
      <c r="B398" s="81"/>
      <c r="C398" s="81"/>
      <c r="D398" s="81"/>
      <c r="E398" s="81"/>
      <c r="F398" s="81"/>
      <c r="G398" s="81"/>
      <c r="H398" s="81"/>
      <c r="I398" s="289"/>
      <c r="J398" s="289"/>
      <c r="K398" s="105"/>
      <c r="L398" s="81"/>
      <c r="M398" s="289"/>
      <c r="N398" s="289"/>
      <c r="O398" s="105"/>
      <c r="P398" s="81"/>
      <c r="Q398" s="289"/>
      <c r="R398" s="81"/>
      <c r="S398" s="105"/>
      <c r="T398" s="81"/>
      <c r="U398" s="81"/>
      <c r="V398" s="81"/>
      <c r="W398" s="81"/>
      <c r="X398" s="81"/>
      <c r="Y398" s="81"/>
      <c r="Z398" s="81"/>
    </row>
    <row r="399" spans="1:26" ht="24" customHeight="1" x14ac:dyDescent="0.5">
      <c r="A399" s="81"/>
      <c r="B399" s="81"/>
      <c r="C399" s="81"/>
      <c r="D399" s="81"/>
      <c r="E399" s="81"/>
      <c r="F399" s="81"/>
      <c r="G399" s="81"/>
      <c r="H399" s="81"/>
      <c r="I399" s="289"/>
      <c r="J399" s="289"/>
      <c r="K399" s="105"/>
      <c r="L399" s="81"/>
      <c r="M399" s="289"/>
      <c r="N399" s="289"/>
      <c r="O399" s="105"/>
      <c r="P399" s="81"/>
      <c r="Q399" s="289"/>
      <c r="R399" s="81"/>
      <c r="S399" s="105"/>
      <c r="T399" s="81"/>
      <c r="U399" s="81"/>
      <c r="V399" s="81"/>
      <c r="W399" s="81"/>
      <c r="X399" s="81"/>
      <c r="Y399" s="81"/>
      <c r="Z399" s="81"/>
    </row>
    <row r="400" spans="1:26" ht="24" customHeight="1" x14ac:dyDescent="0.5">
      <c r="A400" s="81"/>
      <c r="B400" s="81"/>
      <c r="C400" s="81"/>
      <c r="D400" s="81"/>
      <c r="E400" s="81"/>
      <c r="F400" s="81"/>
      <c r="G400" s="81"/>
      <c r="H400" s="81"/>
      <c r="I400" s="289"/>
      <c r="J400" s="289"/>
      <c r="K400" s="105"/>
      <c r="L400" s="81"/>
      <c r="M400" s="289"/>
      <c r="N400" s="289"/>
      <c r="O400" s="105"/>
      <c r="P400" s="81"/>
      <c r="Q400" s="289"/>
      <c r="R400" s="81"/>
      <c r="S400" s="105"/>
      <c r="T400" s="81"/>
      <c r="U400" s="81"/>
      <c r="V400" s="81"/>
      <c r="W400" s="81"/>
      <c r="X400" s="81"/>
      <c r="Y400" s="81"/>
      <c r="Z400" s="81"/>
    </row>
    <row r="401" spans="1:26" ht="24" customHeight="1" x14ac:dyDescent="0.5">
      <c r="A401" s="81"/>
      <c r="B401" s="81"/>
      <c r="C401" s="81"/>
      <c r="D401" s="81"/>
      <c r="E401" s="81"/>
      <c r="F401" s="81"/>
      <c r="G401" s="81"/>
      <c r="H401" s="81"/>
      <c r="I401" s="289"/>
      <c r="J401" s="289"/>
      <c r="K401" s="105"/>
      <c r="L401" s="81"/>
      <c r="M401" s="289"/>
      <c r="N401" s="289"/>
      <c r="O401" s="105"/>
      <c r="P401" s="81"/>
      <c r="Q401" s="289"/>
      <c r="R401" s="81"/>
      <c r="S401" s="105"/>
      <c r="T401" s="81"/>
      <c r="U401" s="81"/>
      <c r="V401" s="81"/>
      <c r="W401" s="81"/>
      <c r="X401" s="81"/>
      <c r="Y401" s="81"/>
      <c r="Z401" s="81"/>
    </row>
    <row r="402" spans="1:26" ht="24" customHeight="1" x14ac:dyDescent="0.5">
      <c r="A402" s="81"/>
      <c r="B402" s="81"/>
      <c r="C402" s="81"/>
      <c r="D402" s="81"/>
      <c r="E402" s="81"/>
      <c r="F402" s="81"/>
      <c r="G402" s="81"/>
      <c r="H402" s="81"/>
      <c r="I402" s="289"/>
      <c r="J402" s="289"/>
      <c r="K402" s="105"/>
      <c r="L402" s="81"/>
      <c r="M402" s="289"/>
      <c r="N402" s="289"/>
      <c r="O402" s="105"/>
      <c r="P402" s="81"/>
      <c r="Q402" s="289"/>
      <c r="R402" s="81"/>
      <c r="S402" s="105"/>
      <c r="T402" s="81"/>
      <c r="U402" s="81"/>
      <c r="V402" s="81"/>
      <c r="W402" s="81"/>
      <c r="X402" s="81"/>
      <c r="Y402" s="81"/>
      <c r="Z402" s="81"/>
    </row>
    <row r="403" spans="1:26" ht="24" customHeight="1" x14ac:dyDescent="0.5">
      <c r="A403" s="81"/>
      <c r="B403" s="81"/>
      <c r="C403" s="81"/>
      <c r="D403" s="81"/>
      <c r="E403" s="81"/>
      <c r="F403" s="81"/>
      <c r="G403" s="81"/>
      <c r="H403" s="81"/>
      <c r="I403" s="289"/>
      <c r="J403" s="289"/>
      <c r="K403" s="105"/>
      <c r="L403" s="81"/>
      <c r="M403" s="289"/>
      <c r="N403" s="289"/>
      <c r="O403" s="105"/>
      <c r="P403" s="81"/>
      <c r="Q403" s="289"/>
      <c r="R403" s="81"/>
      <c r="S403" s="105"/>
      <c r="T403" s="81"/>
      <c r="U403" s="81"/>
      <c r="V403" s="81"/>
      <c r="W403" s="81"/>
      <c r="X403" s="81"/>
      <c r="Y403" s="81"/>
      <c r="Z403" s="81"/>
    </row>
    <row r="404" spans="1:26" ht="24" customHeight="1" x14ac:dyDescent="0.5">
      <c r="A404" s="81"/>
      <c r="B404" s="81"/>
      <c r="C404" s="81"/>
      <c r="D404" s="81"/>
      <c r="E404" s="81"/>
      <c r="F404" s="81"/>
      <c r="G404" s="81"/>
      <c r="H404" s="81"/>
      <c r="I404" s="289"/>
      <c r="J404" s="289"/>
      <c r="K404" s="105"/>
      <c r="L404" s="81"/>
      <c r="M404" s="289"/>
      <c r="N404" s="289"/>
      <c r="O404" s="105"/>
      <c r="P404" s="81"/>
      <c r="Q404" s="289"/>
      <c r="R404" s="81"/>
      <c r="S404" s="105"/>
      <c r="T404" s="81"/>
      <c r="U404" s="81"/>
      <c r="V404" s="81"/>
      <c r="W404" s="81"/>
      <c r="X404" s="81"/>
      <c r="Y404" s="81"/>
      <c r="Z404" s="81"/>
    </row>
    <row r="405" spans="1:26" ht="24" customHeight="1" x14ac:dyDescent="0.5">
      <c r="A405" s="81"/>
      <c r="B405" s="81"/>
      <c r="C405" s="81"/>
      <c r="D405" s="81"/>
      <c r="E405" s="81"/>
      <c r="F405" s="81"/>
      <c r="G405" s="81"/>
      <c r="H405" s="81"/>
      <c r="I405" s="289"/>
      <c r="J405" s="289"/>
      <c r="K405" s="105"/>
      <c r="L405" s="81"/>
      <c r="M405" s="289"/>
      <c r="N405" s="289"/>
      <c r="O405" s="105"/>
      <c r="P405" s="81"/>
      <c r="Q405" s="289"/>
      <c r="R405" s="81"/>
      <c r="S405" s="105"/>
      <c r="T405" s="81"/>
      <c r="U405" s="81"/>
      <c r="V405" s="81"/>
      <c r="W405" s="81"/>
      <c r="X405" s="81"/>
      <c r="Y405" s="81"/>
      <c r="Z405" s="81"/>
    </row>
    <row r="406" spans="1:26" ht="24" customHeight="1" x14ac:dyDescent="0.5">
      <c r="A406" s="81"/>
      <c r="B406" s="81"/>
      <c r="C406" s="81"/>
      <c r="D406" s="81"/>
      <c r="E406" s="81"/>
      <c r="F406" s="81"/>
      <c r="G406" s="81"/>
      <c r="H406" s="81"/>
      <c r="I406" s="289"/>
      <c r="J406" s="289"/>
      <c r="K406" s="105"/>
      <c r="L406" s="81"/>
      <c r="M406" s="289"/>
      <c r="N406" s="289"/>
      <c r="O406" s="105"/>
      <c r="P406" s="81"/>
      <c r="Q406" s="289"/>
      <c r="R406" s="81"/>
      <c r="S406" s="105"/>
      <c r="T406" s="81"/>
      <c r="U406" s="81"/>
      <c r="V406" s="81"/>
      <c r="W406" s="81"/>
      <c r="X406" s="81"/>
      <c r="Y406" s="81"/>
      <c r="Z406" s="81"/>
    </row>
    <row r="407" spans="1:26" ht="24" customHeight="1" x14ac:dyDescent="0.5">
      <c r="A407" s="81"/>
      <c r="B407" s="81"/>
      <c r="C407" s="81"/>
      <c r="D407" s="81"/>
      <c r="E407" s="81"/>
      <c r="F407" s="81"/>
      <c r="G407" s="81"/>
      <c r="H407" s="81"/>
      <c r="I407" s="289"/>
      <c r="J407" s="289"/>
      <c r="K407" s="105"/>
      <c r="L407" s="81"/>
      <c r="M407" s="289"/>
      <c r="N407" s="289"/>
      <c r="O407" s="105"/>
      <c r="P407" s="81"/>
      <c r="Q407" s="289"/>
      <c r="R407" s="81"/>
      <c r="S407" s="105"/>
      <c r="T407" s="81"/>
      <c r="U407" s="81"/>
      <c r="V407" s="81"/>
      <c r="W407" s="81"/>
      <c r="X407" s="81"/>
      <c r="Y407" s="81"/>
      <c r="Z407" s="81"/>
    </row>
    <row r="408" spans="1:26" ht="24" customHeight="1" x14ac:dyDescent="0.5">
      <c r="A408" s="81"/>
      <c r="B408" s="81"/>
      <c r="C408" s="81"/>
      <c r="D408" s="81"/>
      <c r="E408" s="81"/>
      <c r="F408" s="81"/>
      <c r="G408" s="81"/>
      <c r="H408" s="81"/>
      <c r="I408" s="289"/>
      <c r="J408" s="289"/>
      <c r="K408" s="105"/>
      <c r="L408" s="81"/>
      <c r="M408" s="289"/>
      <c r="N408" s="289"/>
      <c r="O408" s="105"/>
      <c r="P408" s="81"/>
      <c r="Q408" s="289"/>
      <c r="R408" s="81"/>
      <c r="S408" s="105"/>
      <c r="T408" s="81"/>
      <c r="U408" s="81"/>
      <c r="V408" s="81"/>
      <c r="W408" s="81"/>
      <c r="X408" s="81"/>
      <c r="Y408" s="81"/>
      <c r="Z408" s="81"/>
    </row>
    <row r="409" spans="1:26" ht="24" customHeight="1" x14ac:dyDescent="0.5">
      <c r="A409" s="81"/>
      <c r="B409" s="81"/>
      <c r="C409" s="81"/>
      <c r="D409" s="81"/>
      <c r="E409" s="81"/>
      <c r="F409" s="81"/>
      <c r="G409" s="81"/>
      <c r="H409" s="81"/>
      <c r="I409" s="289"/>
      <c r="J409" s="289"/>
      <c r="K409" s="105"/>
      <c r="L409" s="81"/>
      <c r="M409" s="289"/>
      <c r="N409" s="289"/>
      <c r="O409" s="105"/>
      <c r="P409" s="81"/>
      <c r="Q409" s="289"/>
      <c r="R409" s="81"/>
      <c r="S409" s="105"/>
      <c r="T409" s="81"/>
      <c r="U409" s="81"/>
      <c r="V409" s="81"/>
      <c r="W409" s="81"/>
      <c r="X409" s="81"/>
      <c r="Y409" s="81"/>
      <c r="Z409" s="81"/>
    </row>
    <row r="410" spans="1:26" ht="24" customHeight="1" x14ac:dyDescent="0.5">
      <c r="A410" s="81"/>
      <c r="B410" s="81"/>
      <c r="C410" s="81"/>
      <c r="D410" s="81"/>
      <c r="E410" s="81"/>
      <c r="F410" s="81"/>
      <c r="G410" s="81"/>
      <c r="H410" s="81"/>
      <c r="I410" s="289"/>
      <c r="J410" s="289"/>
      <c r="K410" s="105"/>
      <c r="L410" s="81"/>
      <c r="M410" s="289"/>
      <c r="N410" s="289"/>
      <c r="O410" s="105"/>
      <c r="P410" s="81"/>
      <c r="Q410" s="289"/>
      <c r="R410" s="81"/>
      <c r="S410" s="105"/>
      <c r="T410" s="81"/>
      <c r="U410" s="81"/>
      <c r="V410" s="81"/>
      <c r="W410" s="81"/>
      <c r="X410" s="81"/>
      <c r="Y410" s="81"/>
      <c r="Z410" s="81"/>
    </row>
    <row r="411" spans="1:26" ht="24" customHeight="1" x14ac:dyDescent="0.5">
      <c r="A411" s="81"/>
      <c r="B411" s="81"/>
      <c r="C411" s="81"/>
      <c r="D411" s="81"/>
      <c r="E411" s="81"/>
      <c r="F411" s="81"/>
      <c r="G411" s="81"/>
      <c r="H411" s="81"/>
      <c r="I411" s="289"/>
      <c r="J411" s="289"/>
      <c r="K411" s="105"/>
      <c r="L411" s="81"/>
      <c r="M411" s="289"/>
      <c r="N411" s="289"/>
      <c r="O411" s="105"/>
      <c r="P411" s="81"/>
      <c r="Q411" s="289"/>
      <c r="R411" s="81"/>
      <c r="S411" s="105"/>
      <c r="T411" s="81"/>
      <c r="U411" s="81"/>
      <c r="V411" s="81"/>
      <c r="W411" s="81"/>
      <c r="X411" s="81"/>
      <c r="Y411" s="81"/>
      <c r="Z411" s="81"/>
    </row>
    <row r="412" spans="1:26" ht="24" customHeight="1" x14ac:dyDescent="0.5">
      <c r="A412" s="81"/>
      <c r="B412" s="81"/>
      <c r="C412" s="81"/>
      <c r="D412" s="81"/>
      <c r="E412" s="81"/>
      <c r="F412" s="81"/>
      <c r="G412" s="81"/>
      <c r="H412" s="81"/>
      <c r="I412" s="289"/>
      <c r="J412" s="289"/>
      <c r="K412" s="105"/>
      <c r="L412" s="81"/>
      <c r="M412" s="289"/>
      <c r="N412" s="289"/>
      <c r="O412" s="105"/>
      <c r="P412" s="81"/>
      <c r="Q412" s="289"/>
      <c r="R412" s="81"/>
      <c r="S412" s="105"/>
      <c r="T412" s="81"/>
      <c r="U412" s="81"/>
      <c r="V412" s="81"/>
      <c r="W412" s="81"/>
      <c r="X412" s="81"/>
      <c r="Y412" s="81"/>
      <c r="Z412" s="81"/>
    </row>
    <row r="413" spans="1:26" ht="24" customHeight="1" x14ac:dyDescent="0.5">
      <c r="A413" s="81"/>
      <c r="B413" s="81"/>
      <c r="C413" s="81"/>
      <c r="D413" s="81"/>
      <c r="E413" s="81"/>
      <c r="F413" s="81"/>
      <c r="G413" s="81"/>
      <c r="H413" s="81"/>
      <c r="I413" s="289"/>
      <c r="J413" s="289"/>
      <c r="K413" s="105"/>
      <c r="L413" s="81"/>
      <c r="M413" s="289"/>
      <c r="N413" s="289"/>
      <c r="O413" s="105"/>
      <c r="P413" s="81"/>
      <c r="Q413" s="289"/>
      <c r="R413" s="81"/>
      <c r="S413" s="105"/>
      <c r="T413" s="81"/>
      <c r="U413" s="81"/>
      <c r="V413" s="81"/>
      <c r="W413" s="81"/>
      <c r="X413" s="81"/>
      <c r="Y413" s="81"/>
      <c r="Z413" s="81"/>
    </row>
    <row r="414" spans="1:26" ht="24" customHeight="1" x14ac:dyDescent="0.5">
      <c r="A414" s="81"/>
      <c r="B414" s="81"/>
      <c r="C414" s="81"/>
      <c r="D414" s="81"/>
      <c r="E414" s="81"/>
      <c r="F414" s="81"/>
      <c r="G414" s="81"/>
      <c r="H414" s="81"/>
      <c r="I414" s="289"/>
      <c r="J414" s="289"/>
      <c r="K414" s="105"/>
      <c r="L414" s="81"/>
      <c r="M414" s="289"/>
      <c r="N414" s="289"/>
      <c r="O414" s="105"/>
      <c r="P414" s="81"/>
      <c r="Q414" s="289"/>
      <c r="R414" s="81"/>
      <c r="S414" s="105"/>
      <c r="T414" s="81"/>
      <c r="U414" s="81"/>
      <c r="V414" s="81"/>
      <c r="W414" s="81"/>
      <c r="X414" s="81"/>
      <c r="Y414" s="81"/>
      <c r="Z414" s="81"/>
    </row>
    <row r="415" spans="1:26" ht="24" customHeight="1" x14ac:dyDescent="0.5">
      <c r="A415" s="81"/>
      <c r="B415" s="81"/>
      <c r="C415" s="81"/>
      <c r="D415" s="81"/>
      <c r="E415" s="81"/>
      <c r="F415" s="81"/>
      <c r="G415" s="81"/>
      <c r="H415" s="81"/>
      <c r="I415" s="289"/>
      <c r="J415" s="289"/>
      <c r="K415" s="105"/>
      <c r="L415" s="81"/>
      <c r="M415" s="289"/>
      <c r="N415" s="289"/>
      <c r="O415" s="105"/>
      <c r="P415" s="81"/>
      <c r="Q415" s="289"/>
      <c r="R415" s="81"/>
      <c r="S415" s="105"/>
      <c r="T415" s="81"/>
      <c r="U415" s="81"/>
      <c r="V415" s="81"/>
      <c r="W415" s="81"/>
      <c r="X415" s="81"/>
      <c r="Y415" s="81"/>
      <c r="Z415" s="81"/>
    </row>
    <row r="416" spans="1:26" ht="24" customHeight="1" x14ac:dyDescent="0.5">
      <c r="A416" s="81"/>
      <c r="B416" s="81"/>
      <c r="C416" s="81"/>
      <c r="D416" s="81"/>
      <c r="E416" s="81"/>
      <c r="F416" s="81"/>
      <c r="G416" s="81"/>
      <c r="H416" s="81"/>
      <c r="I416" s="289"/>
      <c r="J416" s="289"/>
      <c r="K416" s="105"/>
      <c r="L416" s="81"/>
      <c r="M416" s="289"/>
      <c r="N416" s="289"/>
      <c r="O416" s="105"/>
      <c r="P416" s="81"/>
      <c r="Q416" s="289"/>
      <c r="R416" s="81"/>
      <c r="S416" s="105"/>
      <c r="T416" s="81"/>
      <c r="U416" s="81"/>
      <c r="V416" s="81"/>
      <c r="W416" s="81"/>
      <c r="X416" s="81"/>
      <c r="Y416" s="81"/>
      <c r="Z416" s="81"/>
    </row>
    <row r="417" spans="1:26" ht="24" customHeight="1" x14ac:dyDescent="0.5">
      <c r="A417" s="81"/>
      <c r="B417" s="81"/>
      <c r="C417" s="81"/>
      <c r="D417" s="81"/>
      <c r="E417" s="81"/>
      <c r="F417" s="81"/>
      <c r="G417" s="81"/>
      <c r="H417" s="81"/>
      <c r="I417" s="289"/>
      <c r="J417" s="289"/>
      <c r="K417" s="105"/>
      <c r="L417" s="81"/>
      <c r="M417" s="289"/>
      <c r="N417" s="289"/>
      <c r="O417" s="105"/>
      <c r="P417" s="81"/>
      <c r="Q417" s="289"/>
      <c r="R417" s="81"/>
      <c r="S417" s="105"/>
      <c r="T417" s="81"/>
      <c r="U417" s="81"/>
      <c r="V417" s="81"/>
      <c r="W417" s="81"/>
      <c r="X417" s="81"/>
      <c r="Y417" s="81"/>
      <c r="Z417" s="81"/>
    </row>
    <row r="418" spans="1:26" ht="24" customHeight="1" x14ac:dyDescent="0.5">
      <c r="A418" s="81"/>
      <c r="B418" s="81"/>
      <c r="C418" s="81"/>
      <c r="D418" s="81"/>
      <c r="E418" s="81"/>
      <c r="F418" s="81"/>
      <c r="G418" s="81"/>
      <c r="H418" s="81"/>
      <c r="I418" s="289"/>
      <c r="J418" s="289"/>
      <c r="K418" s="105"/>
      <c r="L418" s="81"/>
      <c r="M418" s="289"/>
      <c r="N418" s="289"/>
      <c r="O418" s="105"/>
      <c r="P418" s="81"/>
      <c r="Q418" s="289"/>
      <c r="R418" s="81"/>
      <c r="S418" s="105"/>
      <c r="T418" s="81"/>
      <c r="U418" s="81"/>
      <c r="V418" s="81"/>
      <c r="W418" s="81"/>
      <c r="X418" s="81"/>
      <c r="Y418" s="81"/>
      <c r="Z418" s="81"/>
    </row>
    <row r="419" spans="1:26" ht="24" customHeight="1" x14ac:dyDescent="0.5">
      <c r="A419" s="81"/>
      <c r="B419" s="81"/>
      <c r="C419" s="81"/>
      <c r="D419" s="81"/>
      <c r="E419" s="81"/>
      <c r="F419" s="81"/>
      <c r="G419" s="81"/>
      <c r="H419" s="81"/>
      <c r="I419" s="289"/>
      <c r="J419" s="289"/>
      <c r="K419" s="105"/>
      <c r="L419" s="81"/>
      <c r="M419" s="289"/>
      <c r="N419" s="289"/>
      <c r="O419" s="105"/>
      <c r="P419" s="81"/>
      <c r="Q419" s="289"/>
      <c r="R419" s="81"/>
      <c r="S419" s="105"/>
      <c r="T419" s="81"/>
      <c r="U419" s="81"/>
      <c r="V419" s="81"/>
      <c r="W419" s="81"/>
      <c r="X419" s="81"/>
      <c r="Y419" s="81"/>
      <c r="Z419" s="81"/>
    </row>
    <row r="420" spans="1:26" ht="24" customHeight="1" x14ac:dyDescent="0.5">
      <c r="A420" s="81"/>
      <c r="B420" s="81"/>
      <c r="C420" s="81"/>
      <c r="D420" s="81"/>
      <c r="E420" s="81"/>
      <c r="F420" s="81"/>
      <c r="G420" s="81"/>
      <c r="H420" s="81"/>
      <c r="I420" s="289"/>
      <c r="J420" s="289"/>
      <c r="K420" s="105"/>
      <c r="L420" s="81"/>
      <c r="M420" s="289"/>
      <c r="N420" s="289"/>
      <c r="O420" s="105"/>
      <c r="P420" s="81"/>
      <c r="Q420" s="289"/>
      <c r="R420" s="81"/>
      <c r="S420" s="105"/>
      <c r="T420" s="81"/>
      <c r="U420" s="81"/>
      <c r="V420" s="81"/>
      <c r="W420" s="81"/>
      <c r="X420" s="81"/>
      <c r="Y420" s="81"/>
      <c r="Z420" s="81"/>
    </row>
    <row r="421" spans="1:26" ht="24" customHeight="1" x14ac:dyDescent="0.5">
      <c r="A421" s="81"/>
      <c r="B421" s="81"/>
      <c r="C421" s="81"/>
      <c r="D421" s="81"/>
      <c r="E421" s="81"/>
      <c r="F421" s="81"/>
      <c r="G421" s="81"/>
      <c r="H421" s="81"/>
      <c r="I421" s="289"/>
      <c r="J421" s="289"/>
      <c r="K421" s="105"/>
      <c r="L421" s="81"/>
      <c r="M421" s="289"/>
      <c r="N421" s="289"/>
      <c r="O421" s="105"/>
      <c r="P421" s="81"/>
      <c r="Q421" s="289"/>
      <c r="R421" s="81"/>
      <c r="S421" s="105"/>
      <c r="T421" s="81"/>
      <c r="U421" s="81"/>
      <c r="V421" s="81"/>
      <c r="W421" s="81"/>
      <c r="X421" s="81"/>
      <c r="Y421" s="81"/>
      <c r="Z421" s="81"/>
    </row>
    <row r="422" spans="1:26" ht="24" customHeight="1" x14ac:dyDescent="0.5">
      <c r="A422" s="81"/>
      <c r="B422" s="81"/>
      <c r="C422" s="81"/>
      <c r="D422" s="81"/>
      <c r="E422" s="81"/>
      <c r="F422" s="81"/>
      <c r="G422" s="81"/>
      <c r="H422" s="81"/>
      <c r="I422" s="289"/>
      <c r="J422" s="289"/>
      <c r="K422" s="105"/>
      <c r="L422" s="81"/>
      <c r="M422" s="289"/>
      <c r="N422" s="289"/>
      <c r="O422" s="105"/>
      <c r="P422" s="81"/>
      <c r="Q422" s="289"/>
      <c r="R422" s="81"/>
      <c r="S422" s="105"/>
      <c r="T422" s="81"/>
      <c r="U422" s="81"/>
      <c r="V422" s="81"/>
      <c r="W422" s="81"/>
      <c r="X422" s="81"/>
      <c r="Y422" s="81"/>
      <c r="Z422" s="81"/>
    </row>
    <row r="423" spans="1:26" ht="24" customHeight="1" x14ac:dyDescent="0.5">
      <c r="A423" s="81"/>
      <c r="B423" s="81"/>
      <c r="C423" s="81"/>
      <c r="D423" s="81"/>
      <c r="E423" s="81"/>
      <c r="F423" s="81"/>
      <c r="G423" s="81"/>
      <c r="H423" s="81"/>
      <c r="I423" s="289"/>
      <c r="J423" s="289"/>
      <c r="K423" s="105"/>
      <c r="L423" s="81"/>
      <c r="M423" s="289"/>
      <c r="N423" s="289"/>
      <c r="O423" s="105"/>
      <c r="P423" s="81"/>
      <c r="Q423" s="289"/>
      <c r="R423" s="81"/>
      <c r="S423" s="105"/>
      <c r="T423" s="81"/>
      <c r="U423" s="81"/>
      <c r="V423" s="81"/>
      <c r="W423" s="81"/>
      <c r="X423" s="81"/>
      <c r="Y423" s="81"/>
      <c r="Z423" s="81"/>
    </row>
    <row r="424" spans="1:26" ht="24" customHeight="1" x14ac:dyDescent="0.5">
      <c r="A424" s="81"/>
      <c r="B424" s="81"/>
      <c r="C424" s="81"/>
      <c r="D424" s="81"/>
      <c r="E424" s="81"/>
      <c r="F424" s="81"/>
      <c r="G424" s="81"/>
      <c r="H424" s="81"/>
      <c r="I424" s="289"/>
      <c r="J424" s="289"/>
      <c r="K424" s="105"/>
      <c r="L424" s="81"/>
      <c r="M424" s="289"/>
      <c r="N424" s="289"/>
      <c r="O424" s="105"/>
      <c r="P424" s="81"/>
      <c r="Q424" s="289"/>
      <c r="R424" s="81"/>
      <c r="S424" s="105"/>
      <c r="T424" s="81"/>
      <c r="U424" s="81"/>
      <c r="V424" s="81"/>
      <c r="W424" s="81"/>
      <c r="X424" s="81"/>
      <c r="Y424" s="81"/>
      <c r="Z424" s="81"/>
    </row>
    <row r="425" spans="1:26" ht="24" customHeight="1" x14ac:dyDescent="0.5">
      <c r="A425" s="81"/>
      <c r="B425" s="81"/>
      <c r="C425" s="81"/>
      <c r="D425" s="81"/>
      <c r="E425" s="81"/>
      <c r="F425" s="81"/>
      <c r="G425" s="81"/>
      <c r="H425" s="81"/>
      <c r="I425" s="289"/>
      <c r="J425" s="289"/>
      <c r="K425" s="105"/>
      <c r="L425" s="81"/>
      <c r="M425" s="289"/>
      <c r="N425" s="289"/>
      <c r="O425" s="105"/>
      <c r="P425" s="81"/>
      <c r="Q425" s="289"/>
      <c r="R425" s="81"/>
      <c r="S425" s="105"/>
      <c r="T425" s="81"/>
      <c r="U425" s="81"/>
      <c r="V425" s="81"/>
      <c r="W425" s="81"/>
      <c r="X425" s="81"/>
      <c r="Y425" s="81"/>
      <c r="Z425" s="81"/>
    </row>
    <row r="426" spans="1:26" ht="24" customHeight="1" x14ac:dyDescent="0.5">
      <c r="A426" s="81"/>
      <c r="B426" s="81"/>
      <c r="C426" s="81"/>
      <c r="D426" s="81"/>
      <c r="E426" s="81"/>
      <c r="F426" s="81"/>
      <c r="G426" s="81"/>
      <c r="H426" s="81"/>
      <c r="I426" s="289"/>
      <c r="J426" s="289"/>
      <c r="K426" s="105"/>
      <c r="L426" s="81"/>
      <c r="M426" s="289"/>
      <c r="N426" s="289"/>
      <c r="O426" s="105"/>
      <c r="P426" s="81"/>
      <c r="Q426" s="289"/>
      <c r="R426" s="81"/>
      <c r="S426" s="105"/>
      <c r="T426" s="81"/>
      <c r="U426" s="81"/>
      <c r="V426" s="81"/>
      <c r="W426" s="81"/>
      <c r="X426" s="81"/>
      <c r="Y426" s="81"/>
      <c r="Z426" s="81"/>
    </row>
    <row r="427" spans="1:26" ht="24" customHeight="1" x14ac:dyDescent="0.5">
      <c r="A427" s="81"/>
      <c r="B427" s="81"/>
      <c r="C427" s="81"/>
      <c r="D427" s="81"/>
      <c r="E427" s="81"/>
      <c r="F427" s="81"/>
      <c r="G427" s="81"/>
      <c r="H427" s="81"/>
      <c r="I427" s="289"/>
      <c r="J427" s="289"/>
      <c r="K427" s="105"/>
      <c r="L427" s="81"/>
      <c r="M427" s="289"/>
      <c r="N427" s="289"/>
      <c r="O427" s="105"/>
      <c r="P427" s="81"/>
      <c r="Q427" s="289"/>
      <c r="R427" s="81"/>
      <c r="S427" s="105"/>
      <c r="T427" s="81"/>
      <c r="U427" s="81"/>
      <c r="V427" s="81"/>
      <c r="W427" s="81"/>
      <c r="X427" s="81"/>
      <c r="Y427" s="81"/>
      <c r="Z427" s="81"/>
    </row>
    <row r="428" spans="1:26" ht="24" customHeight="1" x14ac:dyDescent="0.5">
      <c r="A428" s="81"/>
      <c r="B428" s="81"/>
      <c r="C428" s="81"/>
      <c r="D428" s="81"/>
      <c r="E428" s="81"/>
      <c r="F428" s="81"/>
      <c r="G428" s="81"/>
      <c r="H428" s="81"/>
      <c r="I428" s="289"/>
      <c r="J428" s="289"/>
      <c r="K428" s="105"/>
      <c r="L428" s="81"/>
      <c r="M428" s="289"/>
      <c r="N428" s="289"/>
      <c r="O428" s="105"/>
      <c r="P428" s="81"/>
      <c r="Q428" s="289"/>
      <c r="R428" s="81"/>
      <c r="S428" s="105"/>
      <c r="T428" s="81"/>
      <c r="U428" s="81"/>
      <c r="V428" s="81"/>
      <c r="W428" s="81"/>
      <c r="X428" s="81"/>
      <c r="Y428" s="81"/>
      <c r="Z428" s="81"/>
    </row>
    <row r="429" spans="1:26" ht="24" customHeight="1" x14ac:dyDescent="0.5">
      <c r="A429" s="81"/>
      <c r="B429" s="81"/>
      <c r="C429" s="81"/>
      <c r="D429" s="81"/>
      <c r="E429" s="81"/>
      <c r="F429" s="81"/>
      <c r="G429" s="81"/>
      <c r="H429" s="81"/>
      <c r="I429" s="289"/>
      <c r="J429" s="289"/>
      <c r="K429" s="105"/>
      <c r="L429" s="81"/>
      <c r="M429" s="289"/>
      <c r="N429" s="289"/>
      <c r="O429" s="105"/>
      <c r="P429" s="81"/>
      <c r="Q429" s="289"/>
      <c r="R429" s="81"/>
      <c r="S429" s="105"/>
      <c r="T429" s="81"/>
      <c r="U429" s="81"/>
      <c r="V429" s="81"/>
      <c r="W429" s="81"/>
      <c r="X429" s="81"/>
      <c r="Y429" s="81"/>
      <c r="Z429" s="81"/>
    </row>
    <row r="430" spans="1:26" ht="24" customHeight="1" x14ac:dyDescent="0.5">
      <c r="A430" s="81"/>
      <c r="B430" s="81"/>
      <c r="C430" s="81"/>
      <c r="D430" s="81"/>
      <c r="E430" s="81"/>
      <c r="F430" s="81"/>
      <c r="G430" s="81"/>
      <c r="H430" s="81"/>
      <c r="I430" s="289"/>
      <c r="J430" s="289"/>
      <c r="K430" s="105"/>
      <c r="L430" s="81"/>
      <c r="M430" s="289"/>
      <c r="N430" s="289"/>
      <c r="O430" s="105"/>
      <c r="P430" s="81"/>
      <c r="Q430" s="289"/>
      <c r="R430" s="81"/>
      <c r="S430" s="105"/>
      <c r="T430" s="81"/>
      <c r="U430" s="81"/>
      <c r="V430" s="81"/>
      <c r="W430" s="81"/>
      <c r="X430" s="81"/>
      <c r="Y430" s="81"/>
      <c r="Z430" s="81"/>
    </row>
    <row r="431" spans="1:26" ht="24" customHeight="1" x14ac:dyDescent="0.5">
      <c r="A431" s="81"/>
      <c r="B431" s="81"/>
      <c r="C431" s="81"/>
      <c r="D431" s="81"/>
      <c r="E431" s="81"/>
      <c r="F431" s="81"/>
      <c r="G431" s="81"/>
      <c r="H431" s="81"/>
      <c r="I431" s="289"/>
      <c r="J431" s="289"/>
      <c r="K431" s="105"/>
      <c r="L431" s="81"/>
      <c r="M431" s="289"/>
      <c r="N431" s="289"/>
      <c r="O431" s="105"/>
      <c r="P431" s="81"/>
      <c r="Q431" s="289"/>
      <c r="R431" s="81"/>
      <c r="S431" s="105"/>
      <c r="T431" s="81"/>
      <c r="U431" s="81"/>
      <c r="V431" s="81"/>
      <c r="W431" s="81"/>
      <c r="X431" s="81"/>
      <c r="Y431" s="81"/>
      <c r="Z431" s="81"/>
    </row>
    <row r="432" spans="1:26" ht="24" customHeight="1" x14ac:dyDescent="0.5">
      <c r="A432" s="81"/>
      <c r="B432" s="81"/>
      <c r="C432" s="81"/>
      <c r="D432" s="81"/>
      <c r="E432" s="81"/>
      <c r="F432" s="81"/>
      <c r="G432" s="81"/>
      <c r="H432" s="81"/>
      <c r="I432" s="289"/>
      <c r="J432" s="289"/>
      <c r="K432" s="105"/>
      <c r="L432" s="81"/>
      <c r="M432" s="289"/>
      <c r="N432" s="289"/>
      <c r="O432" s="105"/>
      <c r="P432" s="81"/>
      <c r="Q432" s="289"/>
      <c r="R432" s="81"/>
      <c r="S432" s="105"/>
      <c r="T432" s="81"/>
      <c r="U432" s="81"/>
      <c r="V432" s="81"/>
      <c r="W432" s="81"/>
      <c r="X432" s="81"/>
      <c r="Y432" s="81"/>
      <c r="Z432" s="81"/>
    </row>
    <row r="433" spans="1:26" ht="24" customHeight="1" x14ac:dyDescent="0.5">
      <c r="A433" s="81"/>
      <c r="B433" s="81"/>
      <c r="C433" s="81"/>
      <c r="D433" s="81"/>
      <c r="E433" s="81"/>
      <c r="F433" s="81"/>
      <c r="G433" s="81"/>
      <c r="H433" s="81"/>
      <c r="I433" s="289"/>
      <c r="J433" s="289"/>
      <c r="K433" s="105"/>
      <c r="L433" s="81"/>
      <c r="M433" s="289"/>
      <c r="N433" s="289"/>
      <c r="O433" s="105"/>
      <c r="P433" s="81"/>
      <c r="Q433" s="289"/>
      <c r="R433" s="81"/>
      <c r="S433" s="105"/>
      <c r="T433" s="81"/>
      <c r="U433" s="81"/>
      <c r="V433" s="81"/>
      <c r="W433" s="81"/>
      <c r="X433" s="81"/>
      <c r="Y433" s="81"/>
      <c r="Z433" s="81"/>
    </row>
    <row r="434" spans="1:26" ht="24" customHeight="1" x14ac:dyDescent="0.5">
      <c r="A434" s="81"/>
      <c r="B434" s="81"/>
      <c r="C434" s="81"/>
      <c r="D434" s="81"/>
      <c r="E434" s="81"/>
      <c r="F434" s="81"/>
      <c r="G434" s="81"/>
      <c r="H434" s="81"/>
      <c r="I434" s="289"/>
      <c r="J434" s="289"/>
      <c r="K434" s="105"/>
      <c r="L434" s="81"/>
      <c r="M434" s="289"/>
      <c r="N434" s="289"/>
      <c r="O434" s="105"/>
      <c r="P434" s="81"/>
      <c r="Q434" s="289"/>
      <c r="R434" s="81"/>
      <c r="S434" s="105"/>
      <c r="T434" s="81"/>
      <c r="U434" s="81"/>
      <c r="V434" s="81"/>
      <c r="W434" s="81"/>
      <c r="X434" s="81"/>
      <c r="Y434" s="81"/>
      <c r="Z434" s="81"/>
    </row>
    <row r="435" spans="1:26" ht="24" customHeight="1" x14ac:dyDescent="0.5">
      <c r="A435" s="81"/>
      <c r="B435" s="81"/>
      <c r="C435" s="81"/>
      <c r="D435" s="81"/>
      <c r="E435" s="81"/>
      <c r="F435" s="81"/>
      <c r="G435" s="81"/>
      <c r="H435" s="81"/>
      <c r="I435" s="289"/>
      <c r="J435" s="289"/>
      <c r="K435" s="105"/>
      <c r="L435" s="81"/>
      <c r="M435" s="289"/>
      <c r="N435" s="289"/>
      <c r="O435" s="105"/>
      <c r="P435" s="81"/>
      <c r="Q435" s="289"/>
      <c r="R435" s="81"/>
      <c r="S435" s="105"/>
      <c r="T435" s="81"/>
      <c r="U435" s="81"/>
      <c r="V435" s="81"/>
      <c r="W435" s="81"/>
      <c r="X435" s="81"/>
      <c r="Y435" s="81"/>
      <c r="Z435" s="81"/>
    </row>
    <row r="436" spans="1:26" ht="24" customHeight="1" x14ac:dyDescent="0.5">
      <c r="A436" s="81"/>
      <c r="B436" s="81"/>
      <c r="C436" s="81"/>
      <c r="D436" s="81"/>
      <c r="E436" s="81"/>
      <c r="F436" s="81"/>
      <c r="G436" s="81"/>
      <c r="H436" s="81"/>
      <c r="I436" s="289"/>
      <c r="J436" s="289"/>
      <c r="K436" s="105"/>
      <c r="L436" s="81"/>
      <c r="M436" s="289"/>
      <c r="N436" s="289"/>
      <c r="O436" s="105"/>
      <c r="P436" s="81"/>
      <c r="Q436" s="289"/>
      <c r="R436" s="81"/>
      <c r="S436" s="105"/>
      <c r="T436" s="81"/>
      <c r="U436" s="81"/>
      <c r="V436" s="81"/>
      <c r="W436" s="81"/>
      <c r="X436" s="81"/>
      <c r="Y436" s="81"/>
      <c r="Z436" s="81"/>
    </row>
    <row r="437" spans="1:26" ht="24" customHeight="1" x14ac:dyDescent="0.5">
      <c r="A437" s="81"/>
      <c r="B437" s="81"/>
      <c r="C437" s="81"/>
      <c r="D437" s="81"/>
      <c r="E437" s="81"/>
      <c r="F437" s="81"/>
      <c r="G437" s="81"/>
      <c r="H437" s="81"/>
      <c r="I437" s="289"/>
      <c r="J437" s="289"/>
      <c r="K437" s="105"/>
      <c r="L437" s="81"/>
      <c r="M437" s="289"/>
      <c r="N437" s="289"/>
      <c r="O437" s="105"/>
      <c r="P437" s="81"/>
      <c r="Q437" s="289"/>
      <c r="R437" s="81"/>
      <c r="S437" s="105"/>
      <c r="T437" s="81"/>
      <c r="U437" s="81"/>
      <c r="V437" s="81"/>
      <c r="W437" s="81"/>
      <c r="X437" s="81"/>
      <c r="Y437" s="81"/>
      <c r="Z437" s="81"/>
    </row>
    <row r="438" spans="1:26" ht="24" customHeight="1" x14ac:dyDescent="0.5">
      <c r="A438" s="81"/>
      <c r="B438" s="81"/>
      <c r="C438" s="81"/>
      <c r="D438" s="81"/>
      <c r="E438" s="81"/>
      <c r="F438" s="81"/>
      <c r="G438" s="81"/>
      <c r="H438" s="81"/>
      <c r="I438" s="289"/>
      <c r="J438" s="289"/>
      <c r="K438" s="105"/>
      <c r="L438" s="81"/>
      <c r="M438" s="289"/>
      <c r="N438" s="289"/>
      <c r="O438" s="105"/>
      <c r="P438" s="81"/>
      <c r="Q438" s="289"/>
      <c r="R438" s="81"/>
      <c r="S438" s="105"/>
      <c r="T438" s="81"/>
      <c r="U438" s="81"/>
      <c r="V438" s="81"/>
      <c r="W438" s="81"/>
      <c r="X438" s="81"/>
      <c r="Y438" s="81"/>
      <c r="Z438" s="81"/>
    </row>
    <row r="439" spans="1:26" ht="24" customHeight="1" x14ac:dyDescent="0.5">
      <c r="A439" s="81"/>
      <c r="B439" s="81"/>
      <c r="C439" s="81"/>
      <c r="D439" s="81"/>
      <c r="E439" s="81"/>
      <c r="F439" s="81"/>
      <c r="G439" s="81"/>
      <c r="H439" s="81"/>
      <c r="I439" s="289"/>
      <c r="J439" s="289"/>
      <c r="K439" s="105"/>
      <c r="L439" s="81"/>
      <c r="M439" s="289"/>
      <c r="N439" s="289"/>
      <c r="O439" s="105"/>
      <c r="P439" s="81"/>
      <c r="Q439" s="289"/>
      <c r="R439" s="81"/>
      <c r="S439" s="105"/>
      <c r="T439" s="81"/>
      <c r="U439" s="81"/>
      <c r="V439" s="81"/>
      <c r="W439" s="81"/>
      <c r="X439" s="81"/>
      <c r="Y439" s="81"/>
      <c r="Z439" s="81"/>
    </row>
    <row r="440" spans="1:26" ht="24" customHeight="1" x14ac:dyDescent="0.5">
      <c r="A440" s="81"/>
      <c r="B440" s="81"/>
      <c r="C440" s="81"/>
      <c r="D440" s="81"/>
      <c r="E440" s="81"/>
      <c r="F440" s="81"/>
      <c r="G440" s="81"/>
      <c r="H440" s="81"/>
      <c r="I440" s="289"/>
      <c r="J440" s="289"/>
      <c r="K440" s="105"/>
      <c r="L440" s="81"/>
      <c r="M440" s="289"/>
      <c r="N440" s="289"/>
      <c r="O440" s="105"/>
      <c r="P440" s="81"/>
      <c r="Q440" s="289"/>
      <c r="R440" s="81"/>
      <c r="S440" s="105"/>
      <c r="T440" s="81"/>
      <c r="U440" s="81"/>
      <c r="V440" s="81"/>
      <c r="W440" s="81"/>
      <c r="X440" s="81"/>
      <c r="Y440" s="81"/>
      <c r="Z440" s="81"/>
    </row>
    <row r="441" spans="1:26" ht="24" customHeight="1" x14ac:dyDescent="0.5">
      <c r="A441" s="81"/>
      <c r="B441" s="81"/>
      <c r="C441" s="81"/>
      <c r="D441" s="81"/>
      <c r="E441" s="81"/>
      <c r="F441" s="81"/>
      <c r="G441" s="81"/>
      <c r="H441" s="81"/>
      <c r="I441" s="289"/>
      <c r="J441" s="289"/>
      <c r="K441" s="105"/>
      <c r="L441" s="81"/>
      <c r="M441" s="289"/>
      <c r="N441" s="289"/>
      <c r="O441" s="105"/>
      <c r="P441" s="81"/>
      <c r="Q441" s="289"/>
      <c r="R441" s="81"/>
      <c r="S441" s="105"/>
      <c r="T441" s="81"/>
      <c r="U441" s="81"/>
      <c r="V441" s="81"/>
      <c r="W441" s="81"/>
      <c r="X441" s="81"/>
      <c r="Y441" s="81"/>
      <c r="Z441" s="81"/>
    </row>
    <row r="442" spans="1:26" ht="24" customHeight="1" x14ac:dyDescent="0.5">
      <c r="A442" s="81"/>
      <c r="B442" s="81"/>
      <c r="C442" s="81"/>
      <c r="D442" s="81"/>
      <c r="E442" s="81"/>
      <c r="F442" s="81"/>
      <c r="G442" s="81"/>
      <c r="H442" s="81"/>
      <c r="I442" s="289"/>
      <c r="J442" s="289"/>
      <c r="K442" s="105"/>
      <c r="L442" s="81"/>
      <c r="M442" s="289"/>
      <c r="N442" s="289"/>
      <c r="O442" s="105"/>
      <c r="P442" s="81"/>
      <c r="Q442" s="289"/>
      <c r="R442" s="81"/>
      <c r="S442" s="105"/>
      <c r="T442" s="81"/>
      <c r="U442" s="81"/>
      <c r="V442" s="81"/>
      <c r="W442" s="81"/>
      <c r="X442" s="81"/>
      <c r="Y442" s="81"/>
      <c r="Z442" s="81"/>
    </row>
    <row r="443" spans="1:26" ht="24" customHeight="1" x14ac:dyDescent="0.5">
      <c r="A443" s="81"/>
      <c r="B443" s="81"/>
      <c r="C443" s="81"/>
      <c r="D443" s="81"/>
      <c r="E443" s="81"/>
      <c r="F443" s="81"/>
      <c r="G443" s="81"/>
      <c r="H443" s="81"/>
      <c r="I443" s="289"/>
      <c r="J443" s="289"/>
      <c r="K443" s="105"/>
      <c r="L443" s="81"/>
      <c r="M443" s="289"/>
      <c r="N443" s="289"/>
      <c r="O443" s="105"/>
      <c r="P443" s="81"/>
      <c r="Q443" s="289"/>
      <c r="R443" s="81"/>
      <c r="S443" s="105"/>
      <c r="T443" s="81"/>
      <c r="U443" s="81"/>
      <c r="V443" s="81"/>
      <c r="W443" s="81"/>
      <c r="X443" s="81"/>
      <c r="Y443" s="81"/>
      <c r="Z443" s="81"/>
    </row>
    <row r="444" spans="1:26" ht="24" customHeight="1" x14ac:dyDescent="0.5">
      <c r="A444" s="81"/>
      <c r="B444" s="81"/>
      <c r="C444" s="81"/>
      <c r="D444" s="81"/>
      <c r="E444" s="81"/>
      <c r="F444" s="81"/>
      <c r="G444" s="81"/>
      <c r="H444" s="81"/>
      <c r="I444" s="289"/>
      <c r="J444" s="289"/>
      <c r="K444" s="105"/>
      <c r="L444" s="81"/>
      <c r="M444" s="289"/>
      <c r="N444" s="289"/>
      <c r="O444" s="105"/>
      <c r="P444" s="81"/>
      <c r="Q444" s="289"/>
      <c r="R444" s="81"/>
      <c r="S444" s="105"/>
      <c r="T444" s="81"/>
      <c r="U444" s="81"/>
      <c r="V444" s="81"/>
      <c r="W444" s="81"/>
      <c r="X444" s="81"/>
      <c r="Y444" s="81"/>
      <c r="Z444" s="81"/>
    </row>
    <row r="445" spans="1:26" ht="24" customHeight="1" x14ac:dyDescent="0.5">
      <c r="A445" s="81"/>
      <c r="B445" s="81"/>
      <c r="C445" s="81"/>
      <c r="D445" s="81"/>
      <c r="E445" s="81"/>
      <c r="F445" s="81"/>
      <c r="G445" s="81"/>
      <c r="H445" s="81"/>
      <c r="I445" s="289"/>
      <c r="J445" s="289"/>
      <c r="K445" s="105"/>
      <c r="L445" s="81"/>
      <c r="M445" s="289"/>
      <c r="N445" s="289"/>
      <c r="O445" s="105"/>
      <c r="P445" s="81"/>
      <c r="Q445" s="289"/>
      <c r="R445" s="81"/>
      <c r="S445" s="105"/>
      <c r="T445" s="81"/>
      <c r="U445" s="81"/>
      <c r="V445" s="81"/>
      <c r="W445" s="81"/>
      <c r="X445" s="81"/>
      <c r="Y445" s="81"/>
      <c r="Z445" s="81"/>
    </row>
    <row r="446" spans="1:26" ht="24" customHeight="1" x14ac:dyDescent="0.5">
      <c r="A446" s="81"/>
      <c r="B446" s="81"/>
      <c r="C446" s="81"/>
      <c r="D446" s="81"/>
      <c r="E446" s="81"/>
      <c r="F446" s="81"/>
      <c r="G446" s="81"/>
      <c r="H446" s="81"/>
      <c r="I446" s="289"/>
      <c r="J446" s="289"/>
      <c r="K446" s="105"/>
      <c r="L446" s="81"/>
      <c r="M446" s="289"/>
      <c r="N446" s="289"/>
      <c r="O446" s="105"/>
      <c r="P446" s="81"/>
      <c r="Q446" s="289"/>
      <c r="R446" s="81"/>
      <c r="S446" s="105"/>
      <c r="T446" s="81"/>
      <c r="U446" s="81"/>
      <c r="V446" s="81"/>
      <c r="W446" s="81"/>
      <c r="X446" s="81"/>
      <c r="Y446" s="81"/>
      <c r="Z446" s="81"/>
    </row>
    <row r="447" spans="1:26" ht="24" customHeight="1" x14ac:dyDescent="0.5">
      <c r="A447" s="81"/>
      <c r="B447" s="81"/>
      <c r="C447" s="81"/>
      <c r="D447" s="81"/>
      <c r="E447" s="81"/>
      <c r="F447" s="81"/>
      <c r="G447" s="81"/>
      <c r="H447" s="81"/>
      <c r="I447" s="289"/>
      <c r="J447" s="289"/>
      <c r="K447" s="105"/>
      <c r="L447" s="81"/>
      <c r="M447" s="289"/>
      <c r="N447" s="289"/>
      <c r="O447" s="105"/>
      <c r="P447" s="81"/>
      <c r="Q447" s="289"/>
      <c r="R447" s="81"/>
      <c r="S447" s="105"/>
      <c r="T447" s="81"/>
      <c r="U447" s="81"/>
      <c r="V447" s="81"/>
      <c r="W447" s="81"/>
      <c r="X447" s="81"/>
      <c r="Y447" s="81"/>
      <c r="Z447" s="81"/>
    </row>
    <row r="448" spans="1:26" ht="24" customHeight="1" x14ac:dyDescent="0.5">
      <c r="A448" s="81"/>
      <c r="B448" s="81"/>
      <c r="C448" s="81"/>
      <c r="D448" s="81"/>
      <c r="E448" s="81"/>
      <c r="F448" s="81"/>
      <c r="G448" s="81"/>
      <c r="H448" s="81"/>
      <c r="I448" s="289"/>
      <c r="J448" s="289"/>
      <c r="K448" s="105"/>
      <c r="L448" s="81"/>
      <c r="M448" s="289"/>
      <c r="N448" s="289"/>
      <c r="O448" s="105"/>
      <c r="P448" s="81"/>
      <c r="Q448" s="289"/>
      <c r="R448" s="81"/>
      <c r="S448" s="105"/>
      <c r="T448" s="81"/>
      <c r="U448" s="81"/>
      <c r="V448" s="81"/>
      <c r="W448" s="81"/>
      <c r="X448" s="81"/>
      <c r="Y448" s="81"/>
      <c r="Z448" s="81"/>
    </row>
    <row r="449" spans="1:26" ht="24" customHeight="1" x14ac:dyDescent="0.5">
      <c r="A449" s="81"/>
      <c r="B449" s="81"/>
      <c r="C449" s="81"/>
      <c r="D449" s="81"/>
      <c r="E449" s="81"/>
      <c r="F449" s="81"/>
      <c r="G449" s="81"/>
      <c r="H449" s="81"/>
      <c r="I449" s="289"/>
      <c r="J449" s="289"/>
      <c r="K449" s="105"/>
      <c r="L449" s="81"/>
      <c r="M449" s="289"/>
      <c r="N449" s="289"/>
      <c r="O449" s="105"/>
      <c r="P449" s="81"/>
      <c r="Q449" s="289"/>
      <c r="R449" s="81"/>
      <c r="S449" s="105"/>
      <c r="T449" s="81"/>
      <c r="U449" s="81"/>
      <c r="V449" s="81"/>
      <c r="W449" s="81"/>
      <c r="X449" s="81"/>
      <c r="Y449" s="81"/>
      <c r="Z449" s="81"/>
    </row>
    <row r="450" spans="1:26" ht="24" customHeight="1" x14ac:dyDescent="0.5">
      <c r="A450" s="81"/>
      <c r="B450" s="81"/>
      <c r="C450" s="81"/>
      <c r="D450" s="81"/>
      <c r="E450" s="81"/>
      <c r="F450" s="81"/>
      <c r="G450" s="81"/>
      <c r="H450" s="81"/>
      <c r="I450" s="289"/>
      <c r="J450" s="289"/>
      <c r="K450" s="105"/>
      <c r="L450" s="81"/>
      <c r="M450" s="289"/>
      <c r="N450" s="289"/>
      <c r="O450" s="105"/>
      <c r="P450" s="81"/>
      <c r="Q450" s="289"/>
      <c r="R450" s="81"/>
      <c r="S450" s="105"/>
      <c r="T450" s="81"/>
      <c r="U450" s="81"/>
      <c r="V450" s="81"/>
      <c r="W450" s="81"/>
      <c r="X450" s="81"/>
      <c r="Y450" s="81"/>
      <c r="Z450" s="81"/>
    </row>
    <row r="451" spans="1:26" ht="24" customHeight="1" x14ac:dyDescent="0.5">
      <c r="A451" s="81"/>
      <c r="B451" s="81"/>
      <c r="C451" s="81"/>
      <c r="D451" s="81"/>
      <c r="E451" s="81"/>
      <c r="F451" s="81"/>
      <c r="G451" s="81"/>
      <c r="H451" s="81"/>
      <c r="I451" s="289"/>
      <c r="J451" s="289"/>
      <c r="K451" s="105"/>
      <c r="L451" s="81"/>
      <c r="M451" s="289"/>
      <c r="N451" s="289"/>
      <c r="O451" s="105"/>
      <c r="P451" s="81"/>
      <c r="Q451" s="289"/>
      <c r="R451" s="81"/>
      <c r="S451" s="105"/>
      <c r="T451" s="81"/>
      <c r="U451" s="81"/>
      <c r="V451" s="81"/>
      <c r="W451" s="81"/>
      <c r="X451" s="81"/>
      <c r="Y451" s="81"/>
      <c r="Z451" s="81"/>
    </row>
    <row r="452" spans="1:26" ht="24" customHeight="1" x14ac:dyDescent="0.5">
      <c r="A452" s="81"/>
      <c r="B452" s="81"/>
      <c r="C452" s="81"/>
      <c r="D452" s="81"/>
      <c r="E452" s="81"/>
      <c r="F452" s="81"/>
      <c r="G452" s="81"/>
      <c r="H452" s="81"/>
      <c r="I452" s="289"/>
      <c r="J452" s="289"/>
      <c r="K452" s="105"/>
      <c r="L452" s="81"/>
      <c r="M452" s="289"/>
      <c r="N452" s="289"/>
      <c r="O452" s="105"/>
      <c r="P452" s="81"/>
      <c r="Q452" s="289"/>
      <c r="R452" s="81"/>
      <c r="S452" s="105"/>
      <c r="T452" s="81"/>
      <c r="U452" s="81"/>
      <c r="V452" s="81"/>
      <c r="W452" s="81"/>
      <c r="X452" s="81"/>
      <c r="Y452" s="81"/>
      <c r="Z452" s="81"/>
    </row>
    <row r="453" spans="1:26" ht="24" customHeight="1" x14ac:dyDescent="0.5">
      <c r="A453" s="81"/>
      <c r="B453" s="81"/>
      <c r="C453" s="81"/>
      <c r="D453" s="81"/>
      <c r="E453" s="81"/>
      <c r="F453" s="81"/>
      <c r="G453" s="81"/>
      <c r="H453" s="81"/>
      <c r="I453" s="289"/>
      <c r="J453" s="289"/>
      <c r="K453" s="105"/>
      <c r="L453" s="81"/>
      <c r="M453" s="289"/>
      <c r="N453" s="289"/>
      <c r="O453" s="105"/>
      <c r="P453" s="81"/>
      <c r="Q453" s="289"/>
      <c r="R453" s="81"/>
      <c r="S453" s="105"/>
      <c r="T453" s="81"/>
      <c r="U453" s="81"/>
      <c r="V453" s="81"/>
      <c r="W453" s="81"/>
      <c r="X453" s="81"/>
      <c r="Y453" s="81"/>
      <c r="Z453" s="81"/>
    </row>
    <row r="454" spans="1:26" ht="24" customHeight="1" x14ac:dyDescent="0.5">
      <c r="A454" s="81"/>
      <c r="B454" s="81"/>
      <c r="C454" s="81"/>
      <c r="D454" s="81"/>
      <c r="E454" s="81"/>
      <c r="F454" s="81"/>
      <c r="G454" s="81"/>
      <c r="H454" s="81"/>
      <c r="I454" s="289"/>
      <c r="J454" s="289"/>
      <c r="K454" s="105"/>
      <c r="L454" s="81"/>
      <c r="M454" s="289"/>
      <c r="N454" s="289"/>
      <c r="O454" s="105"/>
      <c r="P454" s="81"/>
      <c r="Q454" s="289"/>
      <c r="R454" s="81"/>
      <c r="S454" s="105"/>
      <c r="T454" s="81"/>
      <c r="U454" s="81"/>
      <c r="V454" s="81"/>
      <c r="W454" s="81"/>
      <c r="X454" s="81"/>
      <c r="Y454" s="81"/>
      <c r="Z454" s="81"/>
    </row>
    <row r="455" spans="1:26" ht="24" customHeight="1" x14ac:dyDescent="0.5">
      <c r="A455" s="81"/>
      <c r="B455" s="81"/>
      <c r="C455" s="81"/>
      <c r="D455" s="81"/>
      <c r="E455" s="81"/>
      <c r="F455" s="81"/>
      <c r="G455" s="81"/>
      <c r="H455" s="81"/>
      <c r="I455" s="289"/>
      <c r="J455" s="289"/>
      <c r="K455" s="105"/>
      <c r="L455" s="81"/>
      <c r="M455" s="289"/>
      <c r="N455" s="289"/>
      <c r="O455" s="105"/>
      <c r="P455" s="81"/>
      <c r="Q455" s="289"/>
      <c r="R455" s="81"/>
      <c r="S455" s="105"/>
      <c r="T455" s="81"/>
      <c r="U455" s="81"/>
      <c r="V455" s="81"/>
      <c r="W455" s="81"/>
      <c r="X455" s="81"/>
      <c r="Y455" s="81"/>
      <c r="Z455" s="81"/>
    </row>
    <row r="456" spans="1:26" ht="24" customHeight="1" x14ac:dyDescent="0.5">
      <c r="A456" s="81"/>
      <c r="B456" s="81"/>
      <c r="C456" s="81"/>
      <c r="D456" s="81"/>
      <c r="E456" s="81"/>
      <c r="F456" s="81"/>
      <c r="G456" s="81"/>
      <c r="H456" s="81"/>
      <c r="I456" s="289"/>
      <c r="J456" s="289"/>
      <c r="K456" s="105"/>
      <c r="L456" s="81"/>
      <c r="M456" s="289"/>
      <c r="N456" s="289"/>
      <c r="O456" s="105"/>
      <c r="P456" s="81"/>
      <c r="Q456" s="289"/>
      <c r="R456" s="81"/>
      <c r="S456" s="105"/>
      <c r="T456" s="81"/>
      <c r="U456" s="81"/>
      <c r="V456" s="81"/>
      <c r="W456" s="81"/>
      <c r="X456" s="81"/>
      <c r="Y456" s="81"/>
      <c r="Z456" s="81"/>
    </row>
    <row r="457" spans="1:26" ht="24" customHeight="1" x14ac:dyDescent="0.5">
      <c r="A457" s="81"/>
      <c r="B457" s="81"/>
      <c r="C457" s="81"/>
      <c r="D457" s="81"/>
      <c r="E457" s="81"/>
      <c r="F457" s="81"/>
      <c r="G457" s="81"/>
      <c r="H457" s="81"/>
      <c r="I457" s="289"/>
      <c r="J457" s="289"/>
      <c r="K457" s="105"/>
      <c r="L457" s="81"/>
      <c r="M457" s="289"/>
      <c r="N457" s="289"/>
      <c r="O457" s="105"/>
      <c r="P457" s="81"/>
      <c r="Q457" s="289"/>
      <c r="R457" s="81"/>
      <c r="S457" s="105"/>
      <c r="T457" s="81"/>
      <c r="U457" s="81"/>
      <c r="V457" s="81"/>
      <c r="W457" s="81"/>
      <c r="X457" s="81"/>
      <c r="Y457" s="81"/>
      <c r="Z457" s="81"/>
    </row>
    <row r="458" spans="1:26" ht="24" customHeight="1" x14ac:dyDescent="0.5">
      <c r="A458" s="81"/>
      <c r="B458" s="81"/>
      <c r="C458" s="81"/>
      <c r="D458" s="81"/>
      <c r="E458" s="81"/>
      <c r="F458" s="81"/>
      <c r="G458" s="81"/>
      <c r="H458" s="81"/>
      <c r="I458" s="289"/>
      <c r="J458" s="289"/>
      <c r="K458" s="105"/>
      <c r="L458" s="81"/>
      <c r="M458" s="289"/>
      <c r="N458" s="289"/>
      <c r="O458" s="105"/>
      <c r="P458" s="81"/>
      <c r="Q458" s="289"/>
      <c r="R458" s="81"/>
      <c r="S458" s="105"/>
      <c r="T458" s="81"/>
      <c r="U458" s="81"/>
      <c r="V458" s="81"/>
      <c r="W458" s="81"/>
      <c r="X458" s="81"/>
      <c r="Y458" s="81"/>
      <c r="Z458" s="81"/>
    </row>
    <row r="459" spans="1:26" ht="24" customHeight="1" x14ac:dyDescent="0.5">
      <c r="A459" s="81"/>
      <c r="B459" s="81"/>
      <c r="C459" s="81"/>
      <c r="D459" s="81"/>
      <c r="E459" s="81"/>
      <c r="F459" s="81"/>
      <c r="G459" s="81"/>
      <c r="H459" s="81"/>
      <c r="I459" s="289"/>
      <c r="J459" s="289"/>
      <c r="K459" s="105"/>
      <c r="L459" s="81"/>
      <c r="M459" s="289"/>
      <c r="N459" s="289"/>
      <c r="O459" s="105"/>
      <c r="P459" s="81"/>
      <c r="Q459" s="289"/>
      <c r="R459" s="81"/>
      <c r="S459" s="105"/>
      <c r="T459" s="81"/>
      <c r="U459" s="81"/>
      <c r="V459" s="81"/>
      <c r="W459" s="81"/>
      <c r="X459" s="81"/>
      <c r="Y459" s="81"/>
      <c r="Z459" s="81"/>
    </row>
    <row r="460" spans="1:26" ht="24" customHeight="1" x14ac:dyDescent="0.5">
      <c r="A460" s="81"/>
      <c r="B460" s="81"/>
      <c r="C460" s="81"/>
      <c r="D460" s="81"/>
      <c r="E460" s="81"/>
      <c r="F460" s="81"/>
      <c r="G460" s="81"/>
      <c r="H460" s="81"/>
      <c r="I460" s="289"/>
      <c r="J460" s="289"/>
      <c r="K460" s="105"/>
      <c r="L460" s="81"/>
      <c r="M460" s="289"/>
      <c r="N460" s="289"/>
      <c r="O460" s="105"/>
      <c r="P460" s="81"/>
      <c r="Q460" s="289"/>
      <c r="R460" s="81"/>
      <c r="S460" s="105"/>
      <c r="T460" s="81"/>
      <c r="U460" s="81"/>
      <c r="V460" s="81"/>
      <c r="W460" s="81"/>
      <c r="X460" s="81"/>
      <c r="Y460" s="81"/>
      <c r="Z460" s="81"/>
    </row>
    <row r="461" spans="1:26" ht="24" customHeight="1" x14ac:dyDescent="0.5">
      <c r="A461" s="81"/>
      <c r="B461" s="81"/>
      <c r="C461" s="81"/>
      <c r="D461" s="81"/>
      <c r="E461" s="81"/>
      <c r="F461" s="81"/>
      <c r="G461" s="81"/>
      <c r="H461" s="81"/>
      <c r="I461" s="289"/>
      <c r="J461" s="289"/>
      <c r="K461" s="105"/>
      <c r="L461" s="81"/>
      <c r="M461" s="289"/>
      <c r="N461" s="289"/>
      <c r="O461" s="105"/>
      <c r="P461" s="81"/>
      <c r="Q461" s="289"/>
      <c r="R461" s="81"/>
      <c r="S461" s="105"/>
      <c r="T461" s="81"/>
      <c r="U461" s="81"/>
      <c r="V461" s="81"/>
      <c r="W461" s="81"/>
      <c r="X461" s="81"/>
      <c r="Y461" s="81"/>
      <c r="Z461" s="81"/>
    </row>
    <row r="462" spans="1:26" ht="24" customHeight="1" x14ac:dyDescent="0.5">
      <c r="A462" s="81"/>
      <c r="B462" s="81"/>
      <c r="C462" s="81"/>
      <c r="D462" s="81"/>
      <c r="E462" s="81"/>
      <c r="F462" s="81"/>
      <c r="G462" s="81"/>
      <c r="H462" s="81"/>
      <c r="I462" s="289"/>
      <c r="J462" s="289"/>
      <c r="K462" s="105"/>
      <c r="L462" s="81"/>
      <c r="M462" s="289"/>
      <c r="N462" s="289"/>
      <c r="O462" s="105"/>
      <c r="P462" s="81"/>
      <c r="Q462" s="289"/>
      <c r="R462" s="81"/>
      <c r="S462" s="105"/>
      <c r="T462" s="81"/>
      <c r="U462" s="81"/>
      <c r="V462" s="81"/>
      <c r="W462" s="81"/>
      <c r="X462" s="81"/>
      <c r="Y462" s="81"/>
      <c r="Z462" s="81"/>
    </row>
    <row r="463" spans="1:26" ht="24" customHeight="1" x14ac:dyDescent="0.5">
      <c r="A463" s="81"/>
      <c r="B463" s="81"/>
      <c r="C463" s="81"/>
      <c r="D463" s="81"/>
      <c r="E463" s="81"/>
      <c r="F463" s="81"/>
      <c r="G463" s="81"/>
      <c r="H463" s="81"/>
      <c r="I463" s="289"/>
      <c r="J463" s="289"/>
      <c r="K463" s="105"/>
      <c r="L463" s="81"/>
      <c r="M463" s="289"/>
      <c r="N463" s="289"/>
      <c r="O463" s="105"/>
      <c r="P463" s="81"/>
      <c r="Q463" s="289"/>
      <c r="R463" s="81"/>
      <c r="S463" s="105"/>
      <c r="T463" s="81"/>
      <c r="U463" s="81"/>
      <c r="V463" s="81"/>
      <c r="W463" s="81"/>
      <c r="X463" s="81"/>
      <c r="Y463" s="81"/>
      <c r="Z463" s="81"/>
    </row>
    <row r="464" spans="1:26" ht="24" customHeight="1" x14ac:dyDescent="0.5">
      <c r="A464" s="81"/>
      <c r="B464" s="81"/>
      <c r="C464" s="81"/>
      <c r="D464" s="81"/>
      <c r="E464" s="81"/>
      <c r="F464" s="81"/>
      <c r="G464" s="81"/>
      <c r="H464" s="81"/>
      <c r="I464" s="289"/>
      <c r="J464" s="289"/>
      <c r="K464" s="105"/>
      <c r="L464" s="81"/>
      <c r="M464" s="289"/>
      <c r="N464" s="289"/>
      <c r="O464" s="105"/>
      <c r="P464" s="81"/>
      <c r="Q464" s="289"/>
      <c r="R464" s="81"/>
      <c r="S464" s="105"/>
      <c r="T464" s="81"/>
      <c r="U464" s="81"/>
      <c r="V464" s="81"/>
      <c r="W464" s="81"/>
      <c r="X464" s="81"/>
      <c r="Y464" s="81"/>
      <c r="Z464" s="81"/>
    </row>
    <row r="465" spans="1:26" ht="24" customHeight="1" x14ac:dyDescent="0.5">
      <c r="A465" s="81"/>
      <c r="B465" s="81"/>
      <c r="C465" s="81"/>
      <c r="D465" s="81"/>
      <c r="E465" s="81"/>
      <c r="F465" s="81"/>
      <c r="G465" s="81"/>
      <c r="H465" s="81"/>
      <c r="I465" s="289"/>
      <c r="J465" s="289"/>
      <c r="K465" s="105"/>
      <c r="L465" s="81"/>
      <c r="M465" s="289"/>
      <c r="N465" s="289"/>
      <c r="O465" s="105"/>
      <c r="P465" s="81"/>
      <c r="Q465" s="289"/>
      <c r="R465" s="81"/>
      <c r="S465" s="105"/>
      <c r="T465" s="81"/>
      <c r="U465" s="81"/>
      <c r="V465" s="81"/>
      <c r="W465" s="81"/>
      <c r="X465" s="81"/>
      <c r="Y465" s="81"/>
      <c r="Z465" s="81"/>
    </row>
    <row r="466" spans="1:26" ht="24" customHeight="1" x14ac:dyDescent="0.5">
      <c r="A466" s="81"/>
      <c r="B466" s="81"/>
      <c r="C466" s="81"/>
      <c r="D466" s="81"/>
      <c r="E466" s="81"/>
      <c r="F466" s="81"/>
      <c r="G466" s="81"/>
      <c r="H466" s="81"/>
      <c r="I466" s="289"/>
      <c r="J466" s="289"/>
      <c r="K466" s="105"/>
      <c r="L466" s="81"/>
      <c r="M466" s="289"/>
      <c r="N466" s="289"/>
      <c r="O466" s="105"/>
      <c r="P466" s="81"/>
      <c r="Q466" s="289"/>
      <c r="R466" s="81"/>
      <c r="S466" s="105"/>
      <c r="T466" s="81"/>
      <c r="U466" s="81"/>
      <c r="V466" s="81"/>
      <c r="W466" s="81"/>
      <c r="X466" s="81"/>
      <c r="Y466" s="81"/>
      <c r="Z466" s="81"/>
    </row>
    <row r="467" spans="1:26" ht="24" customHeight="1" x14ac:dyDescent="0.5">
      <c r="A467" s="81"/>
      <c r="B467" s="81"/>
      <c r="C467" s="81"/>
      <c r="D467" s="81"/>
      <c r="E467" s="81"/>
      <c r="F467" s="81"/>
      <c r="G467" s="81"/>
      <c r="H467" s="81"/>
      <c r="I467" s="289"/>
      <c r="J467" s="289"/>
      <c r="K467" s="105"/>
      <c r="L467" s="81"/>
      <c r="M467" s="289"/>
      <c r="N467" s="289"/>
      <c r="O467" s="105"/>
      <c r="P467" s="81"/>
      <c r="Q467" s="289"/>
      <c r="R467" s="81"/>
      <c r="S467" s="105"/>
      <c r="T467" s="81"/>
      <c r="U467" s="81"/>
      <c r="V467" s="81"/>
      <c r="W467" s="81"/>
      <c r="X467" s="81"/>
      <c r="Y467" s="81"/>
      <c r="Z467" s="81"/>
    </row>
    <row r="468" spans="1:26" ht="24" customHeight="1" x14ac:dyDescent="0.5">
      <c r="A468" s="81"/>
      <c r="B468" s="81"/>
      <c r="C468" s="81"/>
      <c r="D468" s="81"/>
      <c r="E468" s="81"/>
      <c r="F468" s="81"/>
      <c r="G468" s="81"/>
      <c r="H468" s="81"/>
      <c r="I468" s="289"/>
      <c r="J468" s="289"/>
      <c r="K468" s="105"/>
      <c r="L468" s="81"/>
      <c r="M468" s="289"/>
      <c r="N468" s="289"/>
      <c r="O468" s="105"/>
      <c r="P468" s="81"/>
      <c r="Q468" s="289"/>
      <c r="R468" s="81"/>
      <c r="S468" s="105"/>
      <c r="T468" s="81"/>
      <c r="U468" s="81"/>
      <c r="V468" s="81"/>
      <c r="W468" s="81"/>
      <c r="X468" s="81"/>
      <c r="Y468" s="81"/>
      <c r="Z468" s="81"/>
    </row>
    <row r="469" spans="1:26" ht="24" customHeight="1" x14ac:dyDescent="0.5">
      <c r="A469" s="81"/>
      <c r="B469" s="81"/>
      <c r="C469" s="81"/>
      <c r="D469" s="81"/>
      <c r="E469" s="81"/>
      <c r="F469" s="81"/>
      <c r="G469" s="81"/>
      <c r="H469" s="81"/>
      <c r="I469" s="289"/>
      <c r="J469" s="289"/>
      <c r="K469" s="105"/>
      <c r="L469" s="81"/>
      <c r="M469" s="289"/>
      <c r="N469" s="289"/>
      <c r="O469" s="105"/>
      <c r="P469" s="81"/>
      <c r="Q469" s="289"/>
      <c r="R469" s="81"/>
      <c r="S469" s="105"/>
      <c r="T469" s="81"/>
      <c r="U469" s="81"/>
      <c r="V469" s="81"/>
      <c r="W469" s="81"/>
      <c r="X469" s="81"/>
      <c r="Y469" s="81"/>
      <c r="Z469" s="81"/>
    </row>
    <row r="470" spans="1:26" ht="24" customHeight="1" x14ac:dyDescent="0.5">
      <c r="A470" s="81"/>
      <c r="B470" s="81"/>
      <c r="C470" s="81"/>
      <c r="D470" s="81"/>
      <c r="E470" s="81"/>
      <c r="F470" s="81"/>
      <c r="G470" s="81"/>
      <c r="H470" s="81"/>
      <c r="I470" s="289"/>
      <c r="J470" s="289"/>
      <c r="K470" s="105"/>
      <c r="L470" s="81"/>
      <c r="M470" s="289"/>
      <c r="N470" s="289"/>
      <c r="O470" s="105"/>
      <c r="P470" s="81"/>
      <c r="Q470" s="289"/>
      <c r="R470" s="81"/>
      <c r="S470" s="105"/>
      <c r="T470" s="81"/>
      <c r="U470" s="81"/>
      <c r="V470" s="81"/>
      <c r="W470" s="81"/>
      <c r="X470" s="81"/>
      <c r="Y470" s="81"/>
      <c r="Z470" s="81"/>
    </row>
    <row r="471" spans="1:26" ht="24" customHeight="1" x14ac:dyDescent="0.5">
      <c r="A471" s="81"/>
      <c r="B471" s="81"/>
      <c r="C471" s="81"/>
      <c r="D471" s="81"/>
      <c r="E471" s="81"/>
      <c r="F471" s="81"/>
      <c r="G471" s="81"/>
      <c r="H471" s="81"/>
      <c r="I471" s="289"/>
      <c r="J471" s="289"/>
      <c r="K471" s="105"/>
      <c r="L471" s="81"/>
      <c r="M471" s="289"/>
      <c r="N471" s="289"/>
      <c r="O471" s="105"/>
      <c r="P471" s="81"/>
      <c r="Q471" s="289"/>
      <c r="R471" s="81"/>
      <c r="S471" s="105"/>
      <c r="T471" s="81"/>
      <c r="U471" s="81"/>
      <c r="V471" s="81"/>
      <c r="W471" s="81"/>
      <c r="X471" s="81"/>
      <c r="Y471" s="81"/>
      <c r="Z471" s="81"/>
    </row>
    <row r="472" spans="1:26" ht="24" customHeight="1" x14ac:dyDescent="0.5">
      <c r="A472" s="81"/>
      <c r="B472" s="81"/>
      <c r="C472" s="81"/>
      <c r="D472" s="81"/>
      <c r="E472" s="81"/>
      <c r="F472" s="81"/>
      <c r="G472" s="81"/>
      <c r="H472" s="81"/>
      <c r="I472" s="289"/>
      <c r="J472" s="289"/>
      <c r="K472" s="105"/>
      <c r="L472" s="81"/>
      <c r="M472" s="289"/>
      <c r="N472" s="289"/>
      <c r="O472" s="105"/>
      <c r="P472" s="81"/>
      <c r="Q472" s="289"/>
      <c r="R472" s="81"/>
      <c r="S472" s="105"/>
      <c r="T472" s="81"/>
      <c r="U472" s="81"/>
      <c r="V472" s="81"/>
      <c r="W472" s="81"/>
      <c r="X472" s="81"/>
      <c r="Y472" s="81"/>
      <c r="Z472" s="81"/>
    </row>
    <row r="473" spans="1:26" ht="24" customHeight="1" x14ac:dyDescent="0.5">
      <c r="A473" s="81"/>
      <c r="B473" s="81"/>
      <c r="C473" s="81"/>
      <c r="D473" s="81"/>
      <c r="E473" s="81"/>
      <c r="F473" s="81"/>
      <c r="G473" s="81"/>
      <c r="H473" s="81"/>
      <c r="I473" s="289"/>
      <c r="J473" s="289"/>
      <c r="K473" s="105"/>
      <c r="L473" s="81"/>
      <c r="M473" s="289"/>
      <c r="N473" s="289"/>
      <c r="O473" s="105"/>
      <c r="P473" s="81"/>
      <c r="Q473" s="289"/>
      <c r="R473" s="81"/>
      <c r="S473" s="105"/>
      <c r="T473" s="81"/>
      <c r="U473" s="81"/>
      <c r="V473" s="81"/>
      <c r="W473" s="81"/>
      <c r="X473" s="81"/>
      <c r="Y473" s="81"/>
      <c r="Z473" s="81"/>
    </row>
    <row r="474" spans="1:26" ht="24" customHeight="1" x14ac:dyDescent="0.5">
      <c r="A474" s="81"/>
      <c r="B474" s="81"/>
      <c r="C474" s="81"/>
      <c r="D474" s="81"/>
      <c r="E474" s="81"/>
      <c r="F474" s="81"/>
      <c r="G474" s="81"/>
      <c r="H474" s="81"/>
      <c r="I474" s="289"/>
      <c r="J474" s="289"/>
      <c r="K474" s="105"/>
      <c r="L474" s="81"/>
      <c r="M474" s="289"/>
      <c r="N474" s="289"/>
      <c r="O474" s="105"/>
      <c r="P474" s="81"/>
      <c r="Q474" s="289"/>
      <c r="R474" s="81"/>
      <c r="S474" s="105"/>
      <c r="T474" s="81"/>
      <c r="U474" s="81"/>
      <c r="V474" s="81"/>
      <c r="W474" s="81"/>
      <c r="X474" s="81"/>
      <c r="Y474" s="81"/>
      <c r="Z474" s="81"/>
    </row>
    <row r="475" spans="1:26" ht="24" customHeight="1" x14ac:dyDescent="0.5">
      <c r="A475" s="81"/>
      <c r="B475" s="81"/>
      <c r="C475" s="81"/>
      <c r="D475" s="81"/>
      <c r="E475" s="81"/>
      <c r="F475" s="81"/>
      <c r="G475" s="81"/>
      <c r="H475" s="81"/>
      <c r="I475" s="289"/>
      <c r="J475" s="289"/>
      <c r="K475" s="105"/>
      <c r="L475" s="81"/>
      <c r="M475" s="289"/>
      <c r="N475" s="289"/>
      <c r="O475" s="105"/>
      <c r="P475" s="81"/>
      <c r="Q475" s="289"/>
      <c r="R475" s="81"/>
      <c r="S475" s="105"/>
      <c r="T475" s="81"/>
      <c r="U475" s="81"/>
      <c r="V475" s="81"/>
      <c r="W475" s="81"/>
      <c r="X475" s="81"/>
      <c r="Y475" s="81"/>
      <c r="Z475" s="81"/>
    </row>
    <row r="476" spans="1:26" ht="24" customHeight="1" x14ac:dyDescent="0.5">
      <c r="A476" s="81"/>
      <c r="B476" s="81"/>
      <c r="C476" s="81"/>
      <c r="D476" s="81"/>
      <c r="E476" s="81"/>
      <c r="F476" s="81"/>
      <c r="G476" s="81"/>
      <c r="H476" s="81"/>
      <c r="I476" s="289"/>
      <c r="J476" s="289"/>
      <c r="K476" s="105"/>
      <c r="L476" s="81"/>
      <c r="M476" s="289"/>
      <c r="N476" s="289"/>
      <c r="O476" s="105"/>
      <c r="P476" s="81"/>
      <c r="Q476" s="289"/>
      <c r="R476" s="81"/>
      <c r="S476" s="105"/>
      <c r="T476" s="81"/>
      <c r="U476" s="81"/>
      <c r="V476" s="81"/>
      <c r="W476" s="81"/>
      <c r="X476" s="81"/>
      <c r="Y476" s="81"/>
      <c r="Z476" s="81"/>
    </row>
    <row r="477" spans="1:26" ht="24" customHeight="1" x14ac:dyDescent="0.5">
      <c r="A477" s="81"/>
      <c r="B477" s="81"/>
      <c r="C477" s="81"/>
      <c r="D477" s="81"/>
      <c r="E477" s="81"/>
      <c r="F477" s="81"/>
      <c r="G477" s="81"/>
      <c r="H477" s="81"/>
      <c r="I477" s="289"/>
      <c r="J477" s="289"/>
      <c r="K477" s="105"/>
      <c r="L477" s="81"/>
      <c r="M477" s="289"/>
      <c r="N477" s="289"/>
      <c r="O477" s="105"/>
      <c r="P477" s="81"/>
      <c r="Q477" s="289"/>
      <c r="R477" s="81"/>
      <c r="S477" s="105"/>
      <c r="T477" s="81"/>
      <c r="U477" s="81"/>
      <c r="V477" s="81"/>
      <c r="W477" s="81"/>
      <c r="X477" s="81"/>
      <c r="Y477" s="81"/>
      <c r="Z477" s="81"/>
    </row>
    <row r="478" spans="1:26" ht="24" customHeight="1" x14ac:dyDescent="0.5">
      <c r="A478" s="81"/>
      <c r="B478" s="81"/>
      <c r="C478" s="81"/>
      <c r="D478" s="81"/>
      <c r="E478" s="81"/>
      <c r="F478" s="81"/>
      <c r="G478" s="81"/>
      <c r="H478" s="81"/>
      <c r="I478" s="289"/>
      <c r="J478" s="289"/>
      <c r="K478" s="105"/>
      <c r="L478" s="81"/>
      <c r="M478" s="289"/>
      <c r="N478" s="289"/>
      <c r="O478" s="105"/>
      <c r="P478" s="81"/>
      <c r="Q478" s="289"/>
      <c r="R478" s="81"/>
      <c r="S478" s="105"/>
      <c r="T478" s="81"/>
      <c r="U478" s="81"/>
      <c r="V478" s="81"/>
      <c r="W478" s="81"/>
      <c r="X478" s="81"/>
      <c r="Y478" s="81"/>
      <c r="Z478" s="81"/>
    </row>
    <row r="479" spans="1:26" ht="24" customHeight="1" x14ac:dyDescent="0.5">
      <c r="A479" s="81"/>
      <c r="B479" s="81"/>
      <c r="C479" s="81"/>
      <c r="D479" s="81"/>
      <c r="E479" s="81"/>
      <c r="F479" s="81"/>
      <c r="G479" s="81"/>
      <c r="H479" s="81"/>
      <c r="I479" s="289"/>
      <c r="J479" s="289"/>
      <c r="K479" s="105"/>
      <c r="L479" s="81"/>
      <c r="M479" s="289"/>
      <c r="N479" s="289"/>
      <c r="O479" s="105"/>
      <c r="P479" s="81"/>
      <c r="Q479" s="289"/>
      <c r="R479" s="81"/>
      <c r="S479" s="105"/>
      <c r="T479" s="81"/>
      <c r="U479" s="81"/>
      <c r="V479" s="81"/>
      <c r="W479" s="81"/>
      <c r="X479" s="81"/>
      <c r="Y479" s="81"/>
      <c r="Z479" s="81"/>
    </row>
    <row r="480" spans="1:26" ht="24" customHeight="1" x14ac:dyDescent="0.5">
      <c r="A480" s="81"/>
      <c r="B480" s="81"/>
      <c r="C480" s="81"/>
      <c r="D480" s="81"/>
      <c r="E480" s="81"/>
      <c r="F480" s="81"/>
      <c r="G480" s="81"/>
      <c r="H480" s="81"/>
      <c r="I480" s="289"/>
      <c r="J480" s="289"/>
      <c r="K480" s="105"/>
      <c r="L480" s="81"/>
      <c r="M480" s="289"/>
      <c r="N480" s="289"/>
      <c r="O480" s="105"/>
      <c r="P480" s="81"/>
      <c r="Q480" s="289"/>
      <c r="R480" s="81"/>
      <c r="S480" s="105"/>
      <c r="T480" s="81"/>
      <c r="U480" s="81"/>
      <c r="V480" s="81"/>
      <c r="W480" s="81"/>
      <c r="X480" s="81"/>
      <c r="Y480" s="81"/>
      <c r="Z480" s="81"/>
    </row>
    <row r="481" spans="1:26" ht="24" customHeight="1" x14ac:dyDescent="0.5">
      <c r="A481" s="81"/>
      <c r="B481" s="81"/>
      <c r="C481" s="81"/>
      <c r="D481" s="81"/>
      <c r="E481" s="81"/>
      <c r="F481" s="81"/>
      <c r="G481" s="81"/>
      <c r="H481" s="81"/>
      <c r="I481" s="289"/>
      <c r="J481" s="289"/>
      <c r="K481" s="105"/>
      <c r="L481" s="81"/>
      <c r="M481" s="289"/>
      <c r="N481" s="289"/>
      <c r="O481" s="105"/>
      <c r="P481" s="81"/>
      <c r="Q481" s="289"/>
      <c r="R481" s="81"/>
      <c r="S481" s="105"/>
      <c r="T481" s="81"/>
      <c r="U481" s="81"/>
      <c r="V481" s="81"/>
      <c r="W481" s="81"/>
      <c r="X481" s="81"/>
      <c r="Y481" s="81"/>
      <c r="Z481" s="81"/>
    </row>
    <row r="482" spans="1:26" ht="24" customHeight="1" x14ac:dyDescent="0.5">
      <c r="A482" s="81"/>
      <c r="B482" s="81"/>
      <c r="C482" s="81"/>
      <c r="D482" s="81"/>
      <c r="E482" s="81"/>
      <c r="F482" s="81"/>
      <c r="G482" s="81"/>
      <c r="H482" s="81"/>
      <c r="I482" s="289"/>
      <c r="J482" s="289"/>
      <c r="K482" s="105"/>
      <c r="L482" s="81"/>
      <c r="M482" s="289"/>
      <c r="N482" s="289"/>
      <c r="O482" s="105"/>
      <c r="P482" s="81"/>
      <c r="Q482" s="289"/>
      <c r="R482" s="81"/>
      <c r="S482" s="105"/>
      <c r="T482" s="81"/>
      <c r="U482" s="81"/>
      <c r="V482" s="81"/>
      <c r="W482" s="81"/>
      <c r="X482" s="81"/>
      <c r="Y482" s="81"/>
      <c r="Z482" s="81"/>
    </row>
    <row r="483" spans="1:26" ht="24" customHeight="1" x14ac:dyDescent="0.5">
      <c r="A483" s="81"/>
      <c r="B483" s="81"/>
      <c r="C483" s="81"/>
      <c r="D483" s="81"/>
      <c r="E483" s="81"/>
      <c r="F483" s="81"/>
      <c r="G483" s="81"/>
      <c r="H483" s="81"/>
      <c r="I483" s="289"/>
      <c r="J483" s="289"/>
      <c r="K483" s="105"/>
      <c r="L483" s="81"/>
      <c r="M483" s="289"/>
      <c r="N483" s="289"/>
      <c r="O483" s="105"/>
      <c r="P483" s="81"/>
      <c r="Q483" s="289"/>
      <c r="R483" s="81"/>
      <c r="S483" s="105"/>
      <c r="T483" s="81"/>
      <c r="U483" s="81"/>
      <c r="V483" s="81"/>
      <c r="W483" s="81"/>
      <c r="X483" s="81"/>
      <c r="Y483" s="81"/>
      <c r="Z483" s="81"/>
    </row>
    <row r="484" spans="1:26" ht="24" customHeight="1" x14ac:dyDescent="0.5">
      <c r="A484" s="81"/>
      <c r="B484" s="81"/>
      <c r="C484" s="81"/>
      <c r="D484" s="81"/>
      <c r="E484" s="81"/>
      <c r="F484" s="81"/>
      <c r="G484" s="81"/>
      <c r="H484" s="81"/>
      <c r="I484" s="289"/>
      <c r="J484" s="289"/>
      <c r="K484" s="105"/>
      <c r="L484" s="81"/>
      <c r="M484" s="289"/>
      <c r="N484" s="289"/>
      <c r="O484" s="105"/>
      <c r="P484" s="81"/>
      <c r="Q484" s="289"/>
      <c r="R484" s="81"/>
      <c r="S484" s="105"/>
      <c r="T484" s="81"/>
      <c r="U484" s="81"/>
      <c r="V484" s="81"/>
      <c r="W484" s="81"/>
      <c r="X484" s="81"/>
      <c r="Y484" s="81"/>
      <c r="Z484" s="81"/>
    </row>
    <row r="485" spans="1:26" ht="24" customHeight="1" x14ac:dyDescent="0.5">
      <c r="A485" s="81"/>
      <c r="B485" s="81"/>
      <c r="C485" s="81"/>
      <c r="D485" s="81"/>
      <c r="E485" s="81"/>
      <c r="F485" s="81"/>
      <c r="G485" s="81"/>
      <c r="H485" s="81"/>
      <c r="I485" s="289"/>
      <c r="J485" s="289"/>
      <c r="K485" s="105"/>
      <c r="L485" s="81"/>
      <c r="M485" s="289"/>
      <c r="N485" s="289"/>
      <c r="O485" s="105"/>
      <c r="P485" s="81"/>
      <c r="Q485" s="289"/>
      <c r="R485" s="81"/>
      <c r="S485" s="105"/>
      <c r="T485" s="81"/>
      <c r="U485" s="81"/>
      <c r="V485" s="81"/>
      <c r="W485" s="81"/>
      <c r="X485" s="81"/>
      <c r="Y485" s="81"/>
      <c r="Z485" s="81"/>
    </row>
    <row r="486" spans="1:26" ht="24" customHeight="1" x14ac:dyDescent="0.5">
      <c r="A486" s="81"/>
      <c r="B486" s="81"/>
      <c r="C486" s="81"/>
      <c r="D486" s="81"/>
      <c r="E486" s="81"/>
      <c r="F486" s="81"/>
      <c r="G486" s="81"/>
      <c r="H486" s="81"/>
      <c r="I486" s="289"/>
      <c r="J486" s="289"/>
      <c r="K486" s="105"/>
      <c r="L486" s="81"/>
      <c r="M486" s="289"/>
      <c r="N486" s="289"/>
      <c r="O486" s="105"/>
      <c r="P486" s="81"/>
      <c r="Q486" s="289"/>
      <c r="R486" s="81"/>
      <c r="S486" s="105"/>
      <c r="T486" s="81"/>
      <c r="U486" s="81"/>
      <c r="V486" s="81"/>
      <c r="W486" s="81"/>
      <c r="X486" s="81"/>
      <c r="Y486" s="81"/>
      <c r="Z486" s="81"/>
    </row>
    <row r="487" spans="1:26" ht="24" customHeight="1" x14ac:dyDescent="0.5">
      <c r="A487" s="81"/>
      <c r="B487" s="81"/>
      <c r="C487" s="81"/>
      <c r="D487" s="81"/>
      <c r="E487" s="81"/>
      <c r="F487" s="81"/>
      <c r="G487" s="81"/>
      <c r="H487" s="81"/>
      <c r="I487" s="289"/>
      <c r="J487" s="289"/>
      <c r="K487" s="105"/>
      <c r="L487" s="81"/>
      <c r="M487" s="289"/>
      <c r="N487" s="289"/>
      <c r="O487" s="105"/>
      <c r="P487" s="81"/>
      <c r="Q487" s="289"/>
      <c r="R487" s="81"/>
      <c r="S487" s="105"/>
      <c r="T487" s="81"/>
      <c r="U487" s="81"/>
      <c r="V487" s="81"/>
      <c r="W487" s="81"/>
      <c r="X487" s="81"/>
      <c r="Y487" s="81"/>
      <c r="Z487" s="81"/>
    </row>
    <row r="488" spans="1:26" ht="24" customHeight="1" x14ac:dyDescent="0.5">
      <c r="A488" s="81"/>
      <c r="B488" s="81"/>
      <c r="C488" s="81"/>
      <c r="D488" s="81"/>
      <c r="E488" s="81"/>
      <c r="F488" s="81"/>
      <c r="G488" s="81"/>
      <c r="H488" s="81"/>
      <c r="I488" s="289"/>
      <c r="J488" s="289"/>
      <c r="K488" s="105"/>
      <c r="L488" s="81"/>
      <c r="M488" s="289"/>
      <c r="N488" s="289"/>
      <c r="O488" s="105"/>
      <c r="P488" s="81"/>
      <c r="Q488" s="289"/>
      <c r="R488" s="81"/>
      <c r="S488" s="105"/>
      <c r="T488" s="81"/>
      <c r="U488" s="81"/>
      <c r="V488" s="81"/>
      <c r="W488" s="81"/>
      <c r="X488" s="81"/>
      <c r="Y488" s="81"/>
      <c r="Z488" s="81"/>
    </row>
    <row r="489" spans="1:26" ht="24" customHeight="1" x14ac:dyDescent="0.5">
      <c r="A489" s="81"/>
      <c r="B489" s="81"/>
      <c r="C489" s="81"/>
      <c r="D489" s="81"/>
      <c r="E489" s="81"/>
      <c r="F489" s="81"/>
      <c r="G489" s="81"/>
      <c r="H489" s="81"/>
      <c r="I489" s="289"/>
      <c r="J489" s="289"/>
      <c r="K489" s="105"/>
      <c r="L489" s="81"/>
      <c r="M489" s="289"/>
      <c r="N489" s="289"/>
      <c r="O489" s="105"/>
      <c r="P489" s="81"/>
      <c r="Q489" s="289"/>
      <c r="R489" s="81"/>
      <c r="S489" s="105"/>
      <c r="T489" s="81"/>
      <c r="U489" s="81"/>
      <c r="V489" s="81"/>
      <c r="W489" s="81"/>
      <c r="X489" s="81"/>
      <c r="Y489" s="81"/>
      <c r="Z489" s="81"/>
    </row>
    <row r="490" spans="1:26" ht="24" customHeight="1" x14ac:dyDescent="0.5">
      <c r="A490" s="81"/>
      <c r="B490" s="81"/>
      <c r="C490" s="81"/>
      <c r="D490" s="81"/>
      <c r="E490" s="81"/>
      <c r="F490" s="81"/>
      <c r="G490" s="81"/>
      <c r="H490" s="81"/>
      <c r="I490" s="289"/>
      <c r="J490" s="289"/>
      <c r="K490" s="105"/>
      <c r="L490" s="81"/>
      <c r="M490" s="289"/>
      <c r="N490" s="289"/>
      <c r="O490" s="105"/>
      <c r="P490" s="81"/>
      <c r="Q490" s="289"/>
      <c r="R490" s="81"/>
      <c r="S490" s="105"/>
      <c r="T490" s="81"/>
      <c r="U490" s="81"/>
      <c r="V490" s="81"/>
      <c r="W490" s="81"/>
      <c r="X490" s="81"/>
      <c r="Y490" s="81"/>
      <c r="Z490" s="81"/>
    </row>
    <row r="491" spans="1:26" ht="24" customHeight="1" x14ac:dyDescent="0.5">
      <c r="A491" s="81"/>
      <c r="B491" s="81"/>
      <c r="C491" s="81"/>
      <c r="D491" s="81"/>
      <c r="E491" s="81"/>
      <c r="F491" s="81"/>
      <c r="G491" s="81"/>
      <c r="H491" s="81"/>
      <c r="I491" s="289"/>
      <c r="J491" s="289"/>
      <c r="K491" s="105"/>
      <c r="L491" s="81"/>
      <c r="M491" s="289"/>
      <c r="N491" s="289"/>
      <c r="O491" s="105"/>
      <c r="P491" s="81"/>
      <c r="Q491" s="289"/>
      <c r="R491" s="81"/>
      <c r="S491" s="105"/>
      <c r="T491" s="81"/>
      <c r="U491" s="81"/>
      <c r="V491" s="81"/>
      <c r="W491" s="81"/>
      <c r="X491" s="81"/>
      <c r="Y491" s="81"/>
      <c r="Z491" s="81"/>
    </row>
    <row r="492" spans="1:26" ht="24" customHeight="1" x14ac:dyDescent="0.5">
      <c r="A492" s="81"/>
      <c r="B492" s="81"/>
      <c r="C492" s="81"/>
      <c r="D492" s="81"/>
      <c r="E492" s="81"/>
      <c r="F492" s="81"/>
      <c r="G492" s="81"/>
      <c r="H492" s="81"/>
      <c r="I492" s="289"/>
      <c r="J492" s="289"/>
      <c r="K492" s="105"/>
      <c r="L492" s="81"/>
      <c r="M492" s="289"/>
      <c r="N492" s="289"/>
      <c r="O492" s="105"/>
      <c r="P492" s="81"/>
      <c r="Q492" s="289"/>
      <c r="R492" s="81"/>
      <c r="S492" s="105"/>
      <c r="T492" s="81"/>
      <c r="U492" s="81"/>
      <c r="V492" s="81"/>
      <c r="W492" s="81"/>
      <c r="X492" s="81"/>
      <c r="Y492" s="81"/>
      <c r="Z492" s="81"/>
    </row>
    <row r="493" spans="1:26" ht="24" customHeight="1" x14ac:dyDescent="0.5">
      <c r="A493" s="81"/>
      <c r="B493" s="81"/>
      <c r="C493" s="81"/>
      <c r="D493" s="81"/>
      <c r="E493" s="81"/>
      <c r="F493" s="81"/>
      <c r="G493" s="81"/>
      <c r="H493" s="81"/>
      <c r="I493" s="289"/>
      <c r="J493" s="289"/>
      <c r="K493" s="105"/>
      <c r="L493" s="81"/>
      <c r="M493" s="289"/>
      <c r="N493" s="289"/>
      <c r="O493" s="105"/>
      <c r="P493" s="81"/>
      <c r="Q493" s="289"/>
      <c r="R493" s="81"/>
      <c r="S493" s="105"/>
      <c r="T493" s="81"/>
      <c r="U493" s="81"/>
      <c r="V493" s="81"/>
      <c r="W493" s="81"/>
      <c r="X493" s="81"/>
      <c r="Y493" s="81"/>
      <c r="Z493" s="81"/>
    </row>
    <row r="494" spans="1:26" ht="24" customHeight="1" x14ac:dyDescent="0.5">
      <c r="A494" s="81"/>
      <c r="B494" s="81"/>
      <c r="C494" s="81"/>
      <c r="D494" s="81"/>
      <c r="E494" s="81"/>
      <c r="F494" s="81"/>
      <c r="G494" s="81"/>
      <c r="H494" s="81"/>
      <c r="I494" s="289"/>
      <c r="J494" s="289"/>
      <c r="K494" s="105"/>
      <c r="L494" s="81"/>
      <c r="M494" s="289"/>
      <c r="N494" s="289"/>
      <c r="O494" s="105"/>
      <c r="P494" s="81"/>
      <c r="Q494" s="289"/>
      <c r="R494" s="81"/>
      <c r="S494" s="105"/>
      <c r="T494" s="81"/>
      <c r="U494" s="81"/>
      <c r="V494" s="81"/>
      <c r="W494" s="81"/>
      <c r="X494" s="81"/>
      <c r="Y494" s="81"/>
      <c r="Z494" s="81"/>
    </row>
    <row r="495" spans="1:26" ht="24" customHeight="1" x14ac:dyDescent="0.5">
      <c r="A495" s="81"/>
      <c r="B495" s="81"/>
      <c r="C495" s="81"/>
      <c r="D495" s="81"/>
      <c r="E495" s="81"/>
      <c r="F495" s="81"/>
      <c r="G495" s="81"/>
      <c r="H495" s="81"/>
      <c r="I495" s="289"/>
      <c r="J495" s="289"/>
      <c r="K495" s="105"/>
      <c r="L495" s="81"/>
      <c r="M495" s="289"/>
      <c r="N495" s="289"/>
      <c r="O495" s="105"/>
      <c r="P495" s="81"/>
      <c r="Q495" s="289"/>
      <c r="R495" s="81"/>
      <c r="S495" s="105"/>
      <c r="T495" s="81"/>
      <c r="U495" s="81"/>
      <c r="V495" s="81"/>
      <c r="W495" s="81"/>
      <c r="X495" s="81"/>
      <c r="Y495" s="81"/>
      <c r="Z495" s="81"/>
    </row>
    <row r="496" spans="1:26" ht="24" customHeight="1" x14ac:dyDescent="0.5">
      <c r="A496" s="81"/>
      <c r="B496" s="81"/>
      <c r="C496" s="81"/>
      <c r="D496" s="81"/>
      <c r="E496" s="81"/>
      <c r="F496" s="81"/>
      <c r="G496" s="81"/>
      <c r="H496" s="81"/>
      <c r="I496" s="289"/>
      <c r="J496" s="289"/>
      <c r="K496" s="105"/>
      <c r="L496" s="81"/>
      <c r="M496" s="289"/>
      <c r="N496" s="289"/>
      <c r="O496" s="105"/>
      <c r="P496" s="81"/>
      <c r="Q496" s="289"/>
      <c r="R496" s="81"/>
      <c r="S496" s="105"/>
      <c r="T496" s="81"/>
      <c r="U496" s="81"/>
      <c r="V496" s="81"/>
      <c r="W496" s="81"/>
      <c r="X496" s="81"/>
      <c r="Y496" s="81"/>
      <c r="Z496" s="81"/>
    </row>
    <row r="497" spans="1:26" ht="24" customHeight="1" x14ac:dyDescent="0.5">
      <c r="A497" s="81"/>
      <c r="B497" s="81"/>
      <c r="C497" s="81"/>
      <c r="D497" s="81"/>
      <c r="E497" s="81"/>
      <c r="F497" s="81"/>
      <c r="G497" s="81"/>
      <c r="H497" s="81"/>
      <c r="I497" s="289"/>
      <c r="J497" s="289"/>
      <c r="K497" s="105"/>
      <c r="L497" s="81"/>
      <c r="M497" s="289"/>
      <c r="N497" s="289"/>
      <c r="O497" s="105"/>
      <c r="P497" s="81"/>
      <c r="Q497" s="289"/>
      <c r="R497" s="81"/>
      <c r="S497" s="105"/>
      <c r="T497" s="81"/>
      <c r="U497" s="81"/>
      <c r="V497" s="81"/>
      <c r="W497" s="81"/>
      <c r="X497" s="81"/>
      <c r="Y497" s="81"/>
      <c r="Z497" s="81"/>
    </row>
    <row r="498" spans="1:26" ht="24" customHeight="1" x14ac:dyDescent="0.5">
      <c r="A498" s="81"/>
      <c r="B498" s="81"/>
      <c r="C498" s="81"/>
      <c r="D498" s="81"/>
      <c r="E498" s="81"/>
      <c r="F498" s="81"/>
      <c r="G498" s="81"/>
      <c r="H498" s="81"/>
      <c r="I498" s="289"/>
      <c r="J498" s="289"/>
      <c r="K498" s="105"/>
      <c r="L498" s="81"/>
      <c r="M498" s="289"/>
      <c r="N498" s="289"/>
      <c r="O498" s="105"/>
      <c r="P498" s="81"/>
      <c r="Q498" s="289"/>
      <c r="R498" s="81"/>
      <c r="S498" s="105"/>
      <c r="T498" s="81"/>
      <c r="U498" s="81"/>
      <c r="V498" s="81"/>
      <c r="W498" s="81"/>
      <c r="X498" s="81"/>
      <c r="Y498" s="81"/>
      <c r="Z498" s="81"/>
    </row>
    <row r="499" spans="1:26" ht="24" customHeight="1" x14ac:dyDescent="0.5">
      <c r="A499" s="81"/>
      <c r="B499" s="81"/>
      <c r="C499" s="81"/>
      <c r="D499" s="81"/>
      <c r="E499" s="81"/>
      <c r="F499" s="81"/>
      <c r="G499" s="81"/>
      <c r="H499" s="81"/>
      <c r="I499" s="289"/>
      <c r="J499" s="289"/>
      <c r="K499" s="105"/>
      <c r="L499" s="81"/>
      <c r="M499" s="289"/>
      <c r="N499" s="289"/>
      <c r="O499" s="105"/>
      <c r="P499" s="81"/>
      <c r="Q499" s="289"/>
      <c r="R499" s="81"/>
      <c r="S499" s="105"/>
      <c r="T499" s="81"/>
      <c r="U499" s="81"/>
      <c r="V499" s="81"/>
      <c r="W499" s="81"/>
      <c r="X499" s="81"/>
      <c r="Y499" s="81"/>
      <c r="Z499" s="81"/>
    </row>
    <row r="500" spans="1:26" ht="24" customHeight="1" x14ac:dyDescent="0.5">
      <c r="A500" s="81"/>
      <c r="B500" s="81"/>
      <c r="C500" s="81"/>
      <c r="D500" s="81"/>
      <c r="E500" s="81"/>
      <c r="F500" s="81"/>
      <c r="G500" s="81"/>
      <c r="H500" s="81"/>
      <c r="I500" s="289"/>
      <c r="J500" s="289"/>
      <c r="K500" s="105"/>
      <c r="L500" s="81"/>
      <c r="M500" s="289"/>
      <c r="N500" s="289"/>
      <c r="O500" s="105"/>
      <c r="P500" s="81"/>
      <c r="Q500" s="289"/>
      <c r="R500" s="81"/>
      <c r="S500" s="105"/>
      <c r="T500" s="81"/>
      <c r="U500" s="81"/>
      <c r="V500" s="81"/>
      <c r="W500" s="81"/>
      <c r="X500" s="81"/>
      <c r="Y500" s="81"/>
      <c r="Z500" s="81"/>
    </row>
    <row r="501" spans="1:26" ht="24" customHeight="1" x14ac:dyDescent="0.5">
      <c r="A501" s="81"/>
      <c r="B501" s="81"/>
      <c r="C501" s="81"/>
      <c r="D501" s="81"/>
      <c r="E501" s="81"/>
      <c r="F501" s="81"/>
      <c r="G501" s="81"/>
      <c r="H501" s="81"/>
      <c r="I501" s="289"/>
      <c r="J501" s="289"/>
      <c r="K501" s="105"/>
      <c r="L501" s="81"/>
      <c r="M501" s="289"/>
      <c r="N501" s="289"/>
      <c r="O501" s="105"/>
      <c r="P501" s="81"/>
      <c r="Q501" s="289"/>
      <c r="R501" s="81"/>
      <c r="S501" s="105"/>
      <c r="T501" s="81"/>
      <c r="U501" s="81"/>
      <c r="V501" s="81"/>
      <c r="W501" s="81"/>
      <c r="X501" s="81"/>
      <c r="Y501" s="81"/>
      <c r="Z501" s="81"/>
    </row>
    <row r="502" spans="1:26" ht="24" customHeight="1" x14ac:dyDescent="0.5">
      <c r="A502" s="81"/>
      <c r="B502" s="81"/>
      <c r="C502" s="81"/>
      <c r="D502" s="81"/>
      <c r="E502" s="81"/>
      <c r="F502" s="81"/>
      <c r="G502" s="81"/>
      <c r="H502" s="81"/>
      <c r="I502" s="289"/>
      <c r="J502" s="289"/>
      <c r="K502" s="105"/>
      <c r="L502" s="81"/>
      <c r="M502" s="289"/>
      <c r="N502" s="289"/>
      <c r="O502" s="105"/>
      <c r="P502" s="81"/>
      <c r="Q502" s="289"/>
      <c r="R502" s="81"/>
      <c r="S502" s="105"/>
      <c r="T502" s="81"/>
      <c r="U502" s="81"/>
      <c r="V502" s="81"/>
      <c r="W502" s="81"/>
      <c r="X502" s="81"/>
      <c r="Y502" s="81"/>
      <c r="Z502" s="81"/>
    </row>
    <row r="503" spans="1:26" ht="24" customHeight="1" x14ac:dyDescent="0.5">
      <c r="A503" s="81"/>
      <c r="B503" s="81"/>
      <c r="C503" s="81"/>
      <c r="D503" s="81"/>
      <c r="E503" s="81"/>
      <c r="F503" s="81"/>
      <c r="G503" s="81"/>
      <c r="H503" s="81"/>
      <c r="I503" s="289"/>
      <c r="J503" s="289"/>
      <c r="K503" s="105"/>
      <c r="L503" s="81"/>
      <c r="M503" s="289"/>
      <c r="N503" s="289"/>
      <c r="O503" s="105"/>
      <c r="P503" s="81"/>
      <c r="Q503" s="289"/>
      <c r="R503" s="81"/>
      <c r="S503" s="105"/>
      <c r="T503" s="81"/>
      <c r="U503" s="81"/>
      <c r="V503" s="81"/>
      <c r="W503" s="81"/>
      <c r="X503" s="81"/>
      <c r="Y503" s="81"/>
      <c r="Z503" s="81"/>
    </row>
    <row r="504" spans="1:26" ht="24" customHeight="1" x14ac:dyDescent="0.5">
      <c r="A504" s="81"/>
      <c r="B504" s="81"/>
      <c r="C504" s="81"/>
      <c r="D504" s="81"/>
      <c r="E504" s="81"/>
      <c r="F504" s="81"/>
      <c r="G504" s="81"/>
      <c r="H504" s="81"/>
      <c r="I504" s="289"/>
      <c r="J504" s="289"/>
      <c r="K504" s="105"/>
      <c r="L504" s="81"/>
      <c r="M504" s="289"/>
      <c r="N504" s="289"/>
      <c r="O504" s="105"/>
      <c r="P504" s="81"/>
      <c r="Q504" s="289"/>
      <c r="R504" s="81"/>
      <c r="S504" s="105"/>
      <c r="T504" s="81"/>
      <c r="U504" s="81"/>
      <c r="V504" s="81"/>
      <c r="W504" s="81"/>
      <c r="X504" s="81"/>
      <c r="Y504" s="81"/>
      <c r="Z504" s="81"/>
    </row>
    <row r="505" spans="1:26" ht="24" customHeight="1" x14ac:dyDescent="0.5">
      <c r="A505" s="81"/>
      <c r="B505" s="81"/>
      <c r="C505" s="81"/>
      <c r="D505" s="81"/>
      <c r="E505" s="81"/>
      <c r="F505" s="81"/>
      <c r="G505" s="81"/>
      <c r="H505" s="81"/>
      <c r="I505" s="289"/>
      <c r="J505" s="289"/>
      <c r="K505" s="105"/>
      <c r="L505" s="81"/>
      <c r="M505" s="289"/>
      <c r="N505" s="289"/>
      <c r="O505" s="105"/>
      <c r="P505" s="81"/>
      <c r="Q505" s="289"/>
      <c r="R505" s="81"/>
      <c r="S505" s="105"/>
      <c r="T505" s="81"/>
      <c r="U505" s="81"/>
      <c r="V505" s="81"/>
      <c r="W505" s="81"/>
      <c r="X505" s="81"/>
      <c r="Y505" s="81"/>
      <c r="Z505" s="81"/>
    </row>
    <row r="506" spans="1:26" ht="24" customHeight="1" x14ac:dyDescent="0.5">
      <c r="A506" s="81"/>
      <c r="B506" s="81"/>
      <c r="C506" s="81"/>
      <c r="D506" s="81"/>
      <c r="E506" s="81"/>
      <c r="F506" s="81"/>
      <c r="G506" s="81"/>
      <c r="H506" s="81"/>
      <c r="I506" s="289"/>
      <c r="J506" s="289"/>
      <c r="K506" s="105"/>
      <c r="L506" s="81"/>
      <c r="M506" s="289"/>
      <c r="N506" s="289"/>
      <c r="O506" s="105"/>
      <c r="P506" s="81"/>
      <c r="Q506" s="289"/>
      <c r="R506" s="81"/>
      <c r="S506" s="105"/>
      <c r="T506" s="81"/>
      <c r="U506" s="81"/>
      <c r="V506" s="81"/>
      <c r="W506" s="81"/>
      <c r="X506" s="81"/>
      <c r="Y506" s="81"/>
      <c r="Z506" s="81"/>
    </row>
    <row r="507" spans="1:26" ht="24" customHeight="1" x14ac:dyDescent="0.5">
      <c r="A507" s="81"/>
      <c r="B507" s="81"/>
      <c r="C507" s="81"/>
      <c r="D507" s="81"/>
      <c r="E507" s="81"/>
      <c r="F507" s="81"/>
      <c r="G507" s="81"/>
      <c r="H507" s="81"/>
      <c r="I507" s="289"/>
      <c r="J507" s="289"/>
      <c r="K507" s="105"/>
      <c r="L507" s="81"/>
      <c r="M507" s="289"/>
      <c r="N507" s="289"/>
      <c r="O507" s="105"/>
      <c r="P507" s="81"/>
      <c r="Q507" s="289"/>
      <c r="R507" s="81"/>
      <c r="S507" s="105"/>
      <c r="T507" s="81"/>
      <c r="U507" s="81"/>
      <c r="V507" s="81"/>
      <c r="W507" s="81"/>
      <c r="X507" s="81"/>
      <c r="Y507" s="81"/>
      <c r="Z507" s="81"/>
    </row>
    <row r="508" spans="1:26" ht="24" customHeight="1" x14ac:dyDescent="0.5">
      <c r="A508" s="81"/>
      <c r="B508" s="81"/>
      <c r="C508" s="81"/>
      <c r="D508" s="81"/>
      <c r="E508" s="81"/>
      <c r="F508" s="81"/>
      <c r="G508" s="81"/>
      <c r="H508" s="81"/>
      <c r="I508" s="289"/>
      <c r="J508" s="289"/>
      <c r="K508" s="105"/>
      <c r="L508" s="81"/>
      <c r="M508" s="289"/>
      <c r="N508" s="289"/>
      <c r="O508" s="105"/>
      <c r="P508" s="81"/>
      <c r="Q508" s="289"/>
      <c r="R508" s="81"/>
      <c r="S508" s="105"/>
      <c r="T508" s="81"/>
      <c r="U508" s="81"/>
      <c r="V508" s="81"/>
      <c r="W508" s="81"/>
      <c r="X508" s="81"/>
      <c r="Y508" s="81"/>
      <c r="Z508" s="81"/>
    </row>
    <row r="509" spans="1:26" ht="24" customHeight="1" x14ac:dyDescent="0.5">
      <c r="A509" s="81"/>
      <c r="B509" s="81"/>
      <c r="C509" s="81"/>
      <c r="D509" s="81"/>
      <c r="E509" s="81"/>
      <c r="F509" s="81"/>
      <c r="G509" s="81"/>
      <c r="H509" s="81"/>
      <c r="I509" s="289"/>
      <c r="J509" s="289"/>
      <c r="K509" s="105"/>
      <c r="L509" s="81"/>
      <c r="M509" s="289"/>
      <c r="N509" s="289"/>
      <c r="O509" s="105"/>
      <c r="P509" s="81"/>
      <c r="Q509" s="289"/>
      <c r="R509" s="81"/>
      <c r="S509" s="105"/>
      <c r="T509" s="81"/>
      <c r="U509" s="81"/>
      <c r="V509" s="81"/>
      <c r="W509" s="81"/>
      <c r="X509" s="81"/>
      <c r="Y509" s="81"/>
      <c r="Z509" s="81"/>
    </row>
    <row r="510" spans="1:26" ht="24" customHeight="1" x14ac:dyDescent="0.5">
      <c r="A510" s="81"/>
      <c r="B510" s="81"/>
      <c r="C510" s="81"/>
      <c r="D510" s="81"/>
      <c r="E510" s="81"/>
      <c r="F510" s="81"/>
      <c r="G510" s="81"/>
      <c r="H510" s="81"/>
      <c r="I510" s="289"/>
      <c r="J510" s="289"/>
      <c r="K510" s="105"/>
      <c r="L510" s="81"/>
      <c r="M510" s="289"/>
      <c r="N510" s="289"/>
      <c r="O510" s="105"/>
      <c r="P510" s="81"/>
      <c r="Q510" s="289"/>
      <c r="R510" s="81"/>
      <c r="S510" s="105"/>
      <c r="T510" s="81"/>
      <c r="U510" s="81"/>
      <c r="V510" s="81"/>
      <c r="W510" s="81"/>
      <c r="X510" s="81"/>
      <c r="Y510" s="81"/>
      <c r="Z510" s="81"/>
    </row>
    <row r="511" spans="1:26" ht="24" customHeight="1" x14ac:dyDescent="0.5">
      <c r="A511" s="81"/>
      <c r="B511" s="81"/>
      <c r="C511" s="81"/>
      <c r="D511" s="81"/>
      <c r="E511" s="81"/>
      <c r="F511" s="81"/>
      <c r="G511" s="81"/>
      <c r="H511" s="81"/>
      <c r="I511" s="289"/>
      <c r="J511" s="289"/>
      <c r="K511" s="105"/>
      <c r="L511" s="81"/>
      <c r="M511" s="289"/>
      <c r="N511" s="289"/>
      <c r="O511" s="105"/>
      <c r="P511" s="81"/>
      <c r="Q511" s="289"/>
      <c r="R511" s="81"/>
      <c r="S511" s="105"/>
      <c r="T511" s="81"/>
      <c r="U511" s="81"/>
      <c r="V511" s="81"/>
      <c r="W511" s="81"/>
      <c r="X511" s="81"/>
      <c r="Y511" s="81"/>
      <c r="Z511" s="81"/>
    </row>
    <row r="512" spans="1:26" ht="24" customHeight="1" x14ac:dyDescent="0.5">
      <c r="A512" s="81"/>
      <c r="B512" s="81"/>
      <c r="C512" s="81"/>
      <c r="D512" s="81"/>
      <c r="E512" s="81"/>
      <c r="F512" s="81"/>
      <c r="G512" s="81"/>
      <c r="H512" s="81"/>
      <c r="I512" s="289"/>
      <c r="J512" s="289"/>
      <c r="K512" s="105"/>
      <c r="L512" s="81"/>
      <c r="M512" s="289"/>
      <c r="N512" s="289"/>
      <c r="O512" s="105"/>
      <c r="P512" s="81"/>
      <c r="Q512" s="289"/>
      <c r="R512" s="81"/>
      <c r="S512" s="105"/>
      <c r="T512" s="81"/>
      <c r="U512" s="81"/>
      <c r="V512" s="81"/>
      <c r="W512" s="81"/>
      <c r="X512" s="81"/>
      <c r="Y512" s="81"/>
      <c r="Z512" s="81"/>
    </row>
    <row r="513" spans="1:26" ht="24" customHeight="1" x14ac:dyDescent="0.5">
      <c r="A513" s="81"/>
      <c r="B513" s="81"/>
      <c r="C513" s="81"/>
      <c r="D513" s="81"/>
      <c r="E513" s="81"/>
      <c r="F513" s="81"/>
      <c r="G513" s="81"/>
      <c r="H513" s="81"/>
      <c r="I513" s="289"/>
      <c r="J513" s="289"/>
      <c r="K513" s="105"/>
      <c r="L513" s="81"/>
      <c r="M513" s="289"/>
      <c r="N513" s="289"/>
      <c r="O513" s="105"/>
      <c r="P513" s="81"/>
      <c r="Q513" s="289"/>
      <c r="R513" s="81"/>
      <c r="S513" s="105"/>
      <c r="T513" s="81"/>
      <c r="U513" s="81"/>
      <c r="V513" s="81"/>
      <c r="W513" s="81"/>
      <c r="X513" s="81"/>
      <c r="Y513" s="81"/>
      <c r="Z513" s="81"/>
    </row>
    <row r="514" spans="1:26" ht="24" customHeight="1" x14ac:dyDescent="0.5">
      <c r="A514" s="81"/>
      <c r="B514" s="81"/>
      <c r="C514" s="81"/>
      <c r="D514" s="81"/>
      <c r="E514" s="81"/>
      <c r="F514" s="81"/>
      <c r="G514" s="81"/>
      <c r="H514" s="81"/>
      <c r="I514" s="289"/>
      <c r="J514" s="289"/>
      <c r="K514" s="105"/>
      <c r="L514" s="81"/>
      <c r="M514" s="289"/>
      <c r="N514" s="289"/>
      <c r="O514" s="105"/>
      <c r="P514" s="81"/>
      <c r="Q514" s="289"/>
      <c r="R514" s="81"/>
      <c r="S514" s="105"/>
      <c r="T514" s="81"/>
      <c r="U514" s="81"/>
      <c r="V514" s="81"/>
      <c r="W514" s="81"/>
      <c r="X514" s="81"/>
      <c r="Y514" s="81"/>
      <c r="Z514" s="81"/>
    </row>
    <row r="515" spans="1:26" ht="24" customHeight="1" x14ac:dyDescent="0.5">
      <c r="A515" s="81"/>
      <c r="B515" s="81"/>
      <c r="C515" s="81"/>
      <c r="D515" s="81"/>
      <c r="E515" s="81"/>
      <c r="F515" s="81"/>
      <c r="G515" s="81"/>
      <c r="H515" s="81"/>
      <c r="I515" s="289"/>
      <c r="J515" s="289"/>
      <c r="K515" s="105"/>
      <c r="L515" s="81"/>
      <c r="M515" s="289"/>
      <c r="N515" s="289"/>
      <c r="O515" s="105"/>
      <c r="P515" s="81"/>
      <c r="Q515" s="289"/>
      <c r="R515" s="81"/>
      <c r="S515" s="105"/>
      <c r="T515" s="81"/>
      <c r="U515" s="81"/>
      <c r="V515" s="81"/>
      <c r="W515" s="81"/>
      <c r="X515" s="81"/>
      <c r="Y515" s="81"/>
      <c r="Z515" s="81"/>
    </row>
    <row r="516" spans="1:26" ht="24" customHeight="1" x14ac:dyDescent="0.5">
      <c r="A516" s="81"/>
      <c r="B516" s="81"/>
      <c r="C516" s="81"/>
      <c r="D516" s="81"/>
      <c r="E516" s="81"/>
      <c r="F516" s="81"/>
      <c r="G516" s="81"/>
      <c r="H516" s="81"/>
      <c r="I516" s="289"/>
      <c r="J516" s="289"/>
      <c r="K516" s="105"/>
      <c r="L516" s="81"/>
      <c r="M516" s="289"/>
      <c r="N516" s="289"/>
      <c r="O516" s="105"/>
      <c r="P516" s="81"/>
      <c r="Q516" s="289"/>
      <c r="R516" s="81"/>
      <c r="S516" s="105"/>
      <c r="T516" s="81"/>
      <c r="U516" s="81"/>
      <c r="V516" s="81"/>
      <c r="W516" s="81"/>
      <c r="X516" s="81"/>
      <c r="Y516" s="81"/>
      <c r="Z516" s="81"/>
    </row>
    <row r="517" spans="1:26" ht="24" customHeight="1" x14ac:dyDescent="0.5">
      <c r="A517" s="81"/>
      <c r="B517" s="81"/>
      <c r="C517" s="81"/>
      <c r="D517" s="81"/>
      <c r="E517" s="81"/>
      <c r="F517" s="81"/>
      <c r="G517" s="81"/>
      <c r="H517" s="81"/>
      <c r="I517" s="289"/>
      <c r="J517" s="289"/>
      <c r="K517" s="105"/>
      <c r="L517" s="81"/>
      <c r="M517" s="289"/>
      <c r="N517" s="289"/>
      <c r="O517" s="105"/>
      <c r="P517" s="81"/>
      <c r="Q517" s="289"/>
      <c r="R517" s="81"/>
      <c r="S517" s="105"/>
      <c r="T517" s="81"/>
      <c r="U517" s="81"/>
      <c r="V517" s="81"/>
      <c r="W517" s="81"/>
      <c r="X517" s="81"/>
      <c r="Y517" s="81"/>
      <c r="Z517" s="81"/>
    </row>
    <row r="518" spans="1:26" ht="24" customHeight="1" x14ac:dyDescent="0.5">
      <c r="A518" s="81"/>
      <c r="B518" s="81"/>
      <c r="C518" s="81"/>
      <c r="D518" s="81"/>
      <c r="E518" s="81"/>
      <c r="F518" s="81"/>
      <c r="G518" s="81"/>
      <c r="H518" s="81"/>
      <c r="I518" s="289"/>
      <c r="J518" s="289"/>
      <c r="K518" s="105"/>
      <c r="L518" s="81"/>
      <c r="M518" s="289"/>
      <c r="N518" s="289"/>
      <c r="O518" s="105"/>
      <c r="P518" s="81"/>
      <c r="Q518" s="289"/>
      <c r="R518" s="81"/>
      <c r="S518" s="105"/>
      <c r="T518" s="81"/>
      <c r="U518" s="81"/>
      <c r="V518" s="81"/>
      <c r="W518" s="81"/>
      <c r="X518" s="81"/>
      <c r="Y518" s="81"/>
      <c r="Z518" s="81"/>
    </row>
    <row r="519" spans="1:26" ht="24" customHeight="1" x14ac:dyDescent="0.5">
      <c r="A519" s="81"/>
      <c r="B519" s="81"/>
      <c r="C519" s="81"/>
      <c r="D519" s="81"/>
      <c r="E519" s="81"/>
      <c r="F519" s="81"/>
      <c r="G519" s="81"/>
      <c r="H519" s="81"/>
      <c r="I519" s="289"/>
      <c r="J519" s="289"/>
      <c r="K519" s="105"/>
      <c r="L519" s="81"/>
      <c r="M519" s="289"/>
      <c r="N519" s="289"/>
      <c r="O519" s="105"/>
      <c r="P519" s="81"/>
      <c r="Q519" s="289"/>
      <c r="R519" s="81"/>
      <c r="S519" s="105"/>
      <c r="T519" s="81"/>
      <c r="U519" s="81"/>
      <c r="V519" s="81"/>
      <c r="W519" s="81"/>
      <c r="X519" s="81"/>
      <c r="Y519" s="81"/>
      <c r="Z519" s="81"/>
    </row>
    <row r="520" spans="1:26" ht="24" customHeight="1" x14ac:dyDescent="0.5">
      <c r="A520" s="81"/>
      <c r="B520" s="81"/>
      <c r="C520" s="81"/>
      <c r="D520" s="81"/>
      <c r="E520" s="81"/>
      <c r="F520" s="81"/>
      <c r="G520" s="81"/>
      <c r="H520" s="81"/>
      <c r="I520" s="289"/>
      <c r="J520" s="289"/>
      <c r="K520" s="105"/>
      <c r="L520" s="81"/>
      <c r="M520" s="289"/>
      <c r="N520" s="289"/>
      <c r="O520" s="105"/>
      <c r="P520" s="81"/>
      <c r="Q520" s="289"/>
      <c r="R520" s="81"/>
      <c r="S520" s="105"/>
      <c r="T520" s="81"/>
      <c r="U520" s="81"/>
      <c r="V520" s="81"/>
      <c r="W520" s="81"/>
      <c r="X520" s="81"/>
      <c r="Y520" s="81"/>
      <c r="Z520" s="81"/>
    </row>
    <row r="521" spans="1:26" ht="24" customHeight="1" x14ac:dyDescent="0.5">
      <c r="A521" s="81"/>
      <c r="B521" s="81"/>
      <c r="C521" s="81"/>
      <c r="D521" s="81"/>
      <c r="E521" s="81"/>
      <c r="F521" s="81"/>
      <c r="G521" s="81"/>
      <c r="H521" s="81"/>
      <c r="I521" s="289"/>
      <c r="J521" s="289"/>
      <c r="K521" s="105"/>
      <c r="L521" s="81"/>
      <c r="M521" s="289"/>
      <c r="N521" s="289"/>
      <c r="O521" s="105"/>
      <c r="P521" s="81"/>
      <c r="Q521" s="289"/>
      <c r="R521" s="81"/>
      <c r="S521" s="105"/>
      <c r="T521" s="81"/>
      <c r="U521" s="81"/>
      <c r="V521" s="81"/>
      <c r="W521" s="81"/>
      <c r="X521" s="81"/>
      <c r="Y521" s="81"/>
      <c r="Z521" s="81"/>
    </row>
    <row r="522" spans="1:26" ht="24" customHeight="1" x14ac:dyDescent="0.5">
      <c r="A522" s="81"/>
      <c r="B522" s="81"/>
      <c r="C522" s="81"/>
      <c r="D522" s="81"/>
      <c r="E522" s="81"/>
      <c r="F522" s="81"/>
      <c r="G522" s="81"/>
      <c r="H522" s="81"/>
      <c r="I522" s="289"/>
      <c r="J522" s="289"/>
      <c r="K522" s="105"/>
      <c r="L522" s="81"/>
      <c r="M522" s="289"/>
      <c r="N522" s="289"/>
      <c r="O522" s="105"/>
      <c r="P522" s="81"/>
      <c r="Q522" s="289"/>
      <c r="R522" s="81"/>
      <c r="S522" s="105"/>
      <c r="T522" s="81"/>
      <c r="U522" s="81"/>
      <c r="V522" s="81"/>
      <c r="W522" s="81"/>
      <c r="X522" s="81"/>
      <c r="Y522" s="81"/>
      <c r="Z522" s="81"/>
    </row>
    <row r="523" spans="1:26" ht="24" customHeight="1" x14ac:dyDescent="0.5">
      <c r="A523" s="81"/>
      <c r="B523" s="81"/>
      <c r="C523" s="81"/>
      <c r="D523" s="81"/>
      <c r="E523" s="81"/>
      <c r="F523" s="81"/>
      <c r="G523" s="81"/>
      <c r="H523" s="81"/>
      <c r="I523" s="289"/>
      <c r="J523" s="289"/>
      <c r="K523" s="105"/>
      <c r="L523" s="81"/>
      <c r="M523" s="289"/>
      <c r="N523" s="289"/>
      <c r="O523" s="105"/>
      <c r="P523" s="81"/>
      <c r="Q523" s="289"/>
      <c r="R523" s="81"/>
      <c r="S523" s="105"/>
      <c r="T523" s="81"/>
      <c r="U523" s="81"/>
      <c r="V523" s="81"/>
      <c r="W523" s="81"/>
      <c r="X523" s="81"/>
      <c r="Y523" s="81"/>
      <c r="Z523" s="81"/>
    </row>
    <row r="524" spans="1:26" ht="24" customHeight="1" x14ac:dyDescent="0.5">
      <c r="A524" s="81"/>
      <c r="B524" s="81"/>
      <c r="C524" s="81"/>
      <c r="D524" s="81"/>
      <c r="E524" s="81"/>
      <c r="F524" s="81"/>
      <c r="G524" s="81"/>
      <c r="H524" s="81"/>
      <c r="I524" s="289"/>
      <c r="J524" s="289"/>
      <c r="K524" s="105"/>
      <c r="L524" s="81"/>
      <c r="M524" s="289"/>
      <c r="N524" s="289"/>
      <c r="O524" s="105"/>
      <c r="P524" s="81"/>
      <c r="Q524" s="289"/>
      <c r="R524" s="81"/>
      <c r="S524" s="105"/>
      <c r="T524" s="81"/>
      <c r="U524" s="81"/>
      <c r="V524" s="81"/>
      <c r="W524" s="81"/>
      <c r="X524" s="81"/>
      <c r="Y524" s="81"/>
      <c r="Z524" s="81"/>
    </row>
    <row r="525" spans="1:26" ht="24" customHeight="1" x14ac:dyDescent="0.5">
      <c r="A525" s="81"/>
      <c r="B525" s="81"/>
      <c r="C525" s="81"/>
      <c r="D525" s="81"/>
      <c r="E525" s="81"/>
      <c r="F525" s="81"/>
      <c r="G525" s="81"/>
      <c r="H525" s="81"/>
      <c r="I525" s="289"/>
      <c r="J525" s="289"/>
      <c r="K525" s="105"/>
      <c r="L525" s="81"/>
      <c r="M525" s="289"/>
      <c r="N525" s="289"/>
      <c r="O525" s="105"/>
      <c r="P525" s="81"/>
      <c r="Q525" s="289"/>
      <c r="R525" s="81"/>
      <c r="S525" s="105"/>
      <c r="T525" s="81"/>
      <c r="U525" s="81"/>
      <c r="V525" s="81"/>
      <c r="W525" s="81"/>
      <c r="X525" s="81"/>
      <c r="Y525" s="81"/>
      <c r="Z525" s="81"/>
    </row>
    <row r="526" spans="1:26" ht="24" customHeight="1" x14ac:dyDescent="0.5">
      <c r="A526" s="81"/>
      <c r="B526" s="81"/>
      <c r="C526" s="81"/>
      <c r="D526" s="81"/>
      <c r="E526" s="81"/>
      <c r="F526" s="81"/>
      <c r="G526" s="81"/>
      <c r="H526" s="81"/>
      <c r="I526" s="289"/>
      <c r="J526" s="289"/>
      <c r="K526" s="105"/>
      <c r="L526" s="81"/>
      <c r="M526" s="289"/>
      <c r="N526" s="289"/>
      <c r="O526" s="105"/>
      <c r="P526" s="81"/>
      <c r="Q526" s="289"/>
      <c r="R526" s="81"/>
      <c r="S526" s="105"/>
      <c r="T526" s="81"/>
      <c r="U526" s="81"/>
      <c r="V526" s="81"/>
      <c r="W526" s="81"/>
      <c r="X526" s="81"/>
      <c r="Y526" s="81"/>
      <c r="Z526" s="81"/>
    </row>
    <row r="527" spans="1:26" ht="24" customHeight="1" x14ac:dyDescent="0.5">
      <c r="A527" s="81"/>
      <c r="B527" s="81"/>
      <c r="C527" s="81"/>
      <c r="D527" s="81"/>
      <c r="E527" s="81"/>
      <c r="F527" s="81"/>
      <c r="G527" s="81"/>
      <c r="H527" s="81"/>
      <c r="I527" s="289"/>
      <c r="J527" s="289"/>
      <c r="K527" s="105"/>
      <c r="L527" s="81"/>
      <c r="M527" s="289"/>
      <c r="N527" s="289"/>
      <c r="O527" s="105"/>
      <c r="P527" s="81"/>
      <c r="Q527" s="289"/>
      <c r="R527" s="81"/>
      <c r="S527" s="105"/>
      <c r="T527" s="81"/>
      <c r="U527" s="81"/>
      <c r="V527" s="81"/>
      <c r="W527" s="81"/>
      <c r="X527" s="81"/>
      <c r="Y527" s="81"/>
      <c r="Z527" s="81"/>
    </row>
    <row r="528" spans="1:26" ht="24" customHeight="1" x14ac:dyDescent="0.5">
      <c r="A528" s="81"/>
      <c r="B528" s="81"/>
      <c r="C528" s="81"/>
      <c r="D528" s="81"/>
      <c r="E528" s="81"/>
      <c r="F528" s="81"/>
      <c r="G528" s="81"/>
      <c r="H528" s="81"/>
      <c r="I528" s="289"/>
      <c r="J528" s="289"/>
      <c r="K528" s="105"/>
      <c r="L528" s="81"/>
      <c r="M528" s="289"/>
      <c r="N528" s="289"/>
      <c r="O528" s="105"/>
      <c r="P528" s="81"/>
      <c r="Q528" s="289"/>
      <c r="R528" s="81"/>
      <c r="S528" s="105"/>
      <c r="T528" s="81"/>
      <c r="U528" s="81"/>
      <c r="V528" s="81"/>
      <c r="W528" s="81"/>
      <c r="X528" s="81"/>
      <c r="Y528" s="81"/>
      <c r="Z528" s="81"/>
    </row>
    <row r="529" spans="1:26" ht="24" customHeight="1" x14ac:dyDescent="0.5">
      <c r="A529" s="81"/>
      <c r="B529" s="81"/>
      <c r="C529" s="81"/>
      <c r="D529" s="81"/>
      <c r="E529" s="81"/>
      <c r="F529" s="81"/>
      <c r="G529" s="81"/>
      <c r="H529" s="81"/>
      <c r="I529" s="289"/>
      <c r="J529" s="289"/>
      <c r="K529" s="105"/>
      <c r="L529" s="81"/>
      <c r="M529" s="289"/>
      <c r="N529" s="289"/>
      <c r="O529" s="105"/>
      <c r="P529" s="81"/>
      <c r="Q529" s="289"/>
      <c r="R529" s="81"/>
      <c r="S529" s="105"/>
      <c r="T529" s="81"/>
      <c r="U529" s="81"/>
      <c r="V529" s="81"/>
      <c r="W529" s="81"/>
      <c r="X529" s="81"/>
      <c r="Y529" s="81"/>
      <c r="Z529" s="81"/>
    </row>
    <row r="530" spans="1:26" ht="24" customHeight="1" x14ac:dyDescent="0.5">
      <c r="A530" s="81"/>
      <c r="B530" s="81"/>
      <c r="C530" s="81"/>
      <c r="D530" s="81"/>
      <c r="E530" s="81"/>
      <c r="F530" s="81"/>
      <c r="G530" s="81"/>
      <c r="H530" s="81"/>
      <c r="I530" s="289"/>
      <c r="J530" s="289"/>
      <c r="K530" s="105"/>
      <c r="L530" s="81"/>
      <c r="M530" s="289"/>
      <c r="N530" s="289"/>
      <c r="O530" s="105"/>
      <c r="P530" s="81"/>
      <c r="Q530" s="289"/>
      <c r="R530" s="81"/>
      <c r="S530" s="105"/>
      <c r="T530" s="81"/>
      <c r="U530" s="81"/>
      <c r="V530" s="81"/>
      <c r="W530" s="81"/>
      <c r="X530" s="81"/>
      <c r="Y530" s="81"/>
      <c r="Z530" s="81"/>
    </row>
    <row r="531" spans="1:26" ht="24" customHeight="1" x14ac:dyDescent="0.5">
      <c r="A531" s="81"/>
      <c r="B531" s="81"/>
      <c r="C531" s="81"/>
      <c r="D531" s="81"/>
      <c r="E531" s="81"/>
      <c r="F531" s="81"/>
      <c r="G531" s="81"/>
      <c r="H531" s="81"/>
      <c r="I531" s="289"/>
      <c r="J531" s="289"/>
      <c r="K531" s="105"/>
      <c r="L531" s="81"/>
      <c r="M531" s="289"/>
      <c r="N531" s="289"/>
      <c r="O531" s="105"/>
      <c r="P531" s="81"/>
      <c r="Q531" s="289"/>
      <c r="R531" s="81"/>
      <c r="S531" s="105"/>
      <c r="T531" s="81"/>
      <c r="U531" s="81"/>
      <c r="V531" s="81"/>
      <c r="W531" s="81"/>
      <c r="X531" s="81"/>
      <c r="Y531" s="81"/>
      <c r="Z531" s="81"/>
    </row>
    <row r="532" spans="1:26" ht="24" customHeight="1" x14ac:dyDescent="0.5">
      <c r="A532" s="81"/>
      <c r="B532" s="81"/>
      <c r="C532" s="81"/>
      <c r="D532" s="81"/>
      <c r="E532" s="81"/>
      <c r="F532" s="81"/>
      <c r="G532" s="81"/>
      <c r="H532" s="81"/>
      <c r="I532" s="289"/>
      <c r="J532" s="289"/>
      <c r="K532" s="105"/>
      <c r="L532" s="81"/>
      <c r="M532" s="289"/>
      <c r="N532" s="289"/>
      <c r="O532" s="105"/>
      <c r="P532" s="81"/>
      <c r="Q532" s="289"/>
      <c r="R532" s="81"/>
      <c r="S532" s="105"/>
      <c r="T532" s="81"/>
      <c r="U532" s="81"/>
      <c r="V532" s="81"/>
      <c r="W532" s="81"/>
      <c r="X532" s="81"/>
      <c r="Y532" s="81"/>
      <c r="Z532" s="81"/>
    </row>
    <row r="533" spans="1:26" ht="24" customHeight="1" x14ac:dyDescent="0.5">
      <c r="A533" s="81"/>
      <c r="B533" s="81"/>
      <c r="C533" s="81"/>
      <c r="D533" s="81"/>
      <c r="E533" s="81"/>
      <c r="F533" s="81"/>
      <c r="G533" s="81"/>
      <c r="H533" s="81"/>
      <c r="I533" s="289"/>
      <c r="J533" s="289"/>
      <c r="K533" s="105"/>
      <c r="L533" s="81"/>
      <c r="M533" s="289"/>
      <c r="N533" s="289"/>
      <c r="O533" s="105"/>
      <c r="P533" s="81"/>
      <c r="Q533" s="289"/>
      <c r="R533" s="81"/>
      <c r="S533" s="105"/>
      <c r="T533" s="81"/>
      <c r="U533" s="81"/>
      <c r="V533" s="81"/>
      <c r="W533" s="81"/>
      <c r="X533" s="81"/>
      <c r="Y533" s="81"/>
      <c r="Z533" s="81"/>
    </row>
    <row r="534" spans="1:26" ht="24" customHeight="1" x14ac:dyDescent="0.5">
      <c r="A534" s="81"/>
      <c r="B534" s="81"/>
      <c r="C534" s="81"/>
      <c r="D534" s="81"/>
      <c r="E534" s="81"/>
      <c r="F534" s="81"/>
      <c r="G534" s="81"/>
      <c r="H534" s="81"/>
      <c r="I534" s="289"/>
      <c r="J534" s="289"/>
      <c r="K534" s="105"/>
      <c r="L534" s="81"/>
      <c r="M534" s="289"/>
      <c r="N534" s="289"/>
      <c r="O534" s="105"/>
      <c r="P534" s="81"/>
      <c r="Q534" s="289"/>
      <c r="R534" s="81"/>
      <c r="S534" s="105"/>
      <c r="T534" s="81"/>
      <c r="U534" s="81"/>
      <c r="V534" s="81"/>
      <c r="W534" s="81"/>
      <c r="X534" s="81"/>
      <c r="Y534" s="81"/>
      <c r="Z534" s="81"/>
    </row>
    <row r="535" spans="1:26" ht="24" customHeight="1" x14ac:dyDescent="0.5">
      <c r="A535" s="81"/>
      <c r="B535" s="81"/>
      <c r="C535" s="81"/>
      <c r="D535" s="81"/>
      <c r="E535" s="81"/>
      <c r="F535" s="81"/>
      <c r="G535" s="81"/>
      <c r="H535" s="81"/>
      <c r="I535" s="289"/>
      <c r="J535" s="289"/>
      <c r="K535" s="105"/>
      <c r="L535" s="81"/>
      <c r="M535" s="289"/>
      <c r="N535" s="289"/>
      <c r="O535" s="105"/>
      <c r="P535" s="81"/>
      <c r="Q535" s="289"/>
      <c r="R535" s="81"/>
      <c r="S535" s="105"/>
      <c r="T535" s="81"/>
      <c r="U535" s="81"/>
      <c r="V535" s="81"/>
      <c r="W535" s="81"/>
      <c r="X535" s="81"/>
      <c r="Y535" s="81"/>
      <c r="Z535" s="81"/>
    </row>
    <row r="536" spans="1:26" ht="24" customHeight="1" x14ac:dyDescent="0.5">
      <c r="A536" s="81"/>
      <c r="B536" s="81"/>
      <c r="C536" s="81"/>
      <c r="D536" s="81"/>
      <c r="E536" s="81"/>
      <c r="F536" s="81"/>
      <c r="G536" s="81"/>
      <c r="H536" s="81"/>
      <c r="I536" s="289"/>
      <c r="J536" s="289"/>
      <c r="K536" s="105"/>
      <c r="L536" s="81"/>
      <c r="M536" s="289"/>
      <c r="N536" s="289"/>
      <c r="O536" s="105"/>
      <c r="P536" s="81"/>
      <c r="Q536" s="289"/>
      <c r="R536" s="81"/>
      <c r="S536" s="105"/>
      <c r="T536" s="81"/>
      <c r="U536" s="81"/>
      <c r="V536" s="81"/>
      <c r="W536" s="81"/>
      <c r="X536" s="81"/>
      <c r="Y536" s="81"/>
      <c r="Z536" s="81"/>
    </row>
    <row r="537" spans="1:26" ht="24" customHeight="1" x14ac:dyDescent="0.5">
      <c r="A537" s="81"/>
      <c r="B537" s="81"/>
      <c r="C537" s="81"/>
      <c r="D537" s="81"/>
      <c r="E537" s="81"/>
      <c r="F537" s="81"/>
      <c r="G537" s="81"/>
      <c r="H537" s="81"/>
      <c r="I537" s="289"/>
      <c r="J537" s="289"/>
      <c r="K537" s="105"/>
      <c r="L537" s="81"/>
      <c r="M537" s="289"/>
      <c r="N537" s="289"/>
      <c r="O537" s="105"/>
      <c r="P537" s="81"/>
      <c r="Q537" s="289"/>
      <c r="R537" s="81"/>
      <c r="S537" s="105"/>
      <c r="T537" s="81"/>
      <c r="U537" s="81"/>
      <c r="V537" s="81"/>
      <c r="W537" s="81"/>
      <c r="X537" s="81"/>
      <c r="Y537" s="81"/>
      <c r="Z537" s="81"/>
    </row>
    <row r="538" spans="1:26" ht="24" customHeight="1" x14ac:dyDescent="0.5">
      <c r="A538" s="81"/>
      <c r="B538" s="81"/>
      <c r="C538" s="81"/>
      <c r="D538" s="81"/>
      <c r="E538" s="81"/>
      <c r="F538" s="81"/>
      <c r="G538" s="81"/>
      <c r="H538" s="81"/>
      <c r="I538" s="289"/>
      <c r="J538" s="289"/>
      <c r="K538" s="105"/>
      <c r="L538" s="81"/>
      <c r="M538" s="289"/>
      <c r="N538" s="289"/>
      <c r="O538" s="105"/>
      <c r="P538" s="81"/>
      <c r="Q538" s="289"/>
      <c r="R538" s="81"/>
      <c r="S538" s="105"/>
      <c r="T538" s="81"/>
      <c r="U538" s="81"/>
      <c r="V538" s="81"/>
      <c r="W538" s="81"/>
      <c r="X538" s="81"/>
      <c r="Y538" s="81"/>
      <c r="Z538" s="81"/>
    </row>
    <row r="539" spans="1:26" ht="24" customHeight="1" x14ac:dyDescent="0.5">
      <c r="A539" s="81"/>
      <c r="B539" s="81"/>
      <c r="C539" s="81"/>
      <c r="D539" s="81"/>
      <c r="E539" s="81"/>
      <c r="F539" s="81"/>
      <c r="G539" s="81"/>
      <c r="H539" s="81"/>
      <c r="I539" s="289"/>
      <c r="J539" s="289"/>
      <c r="K539" s="105"/>
      <c r="L539" s="81"/>
      <c r="M539" s="289"/>
      <c r="N539" s="289"/>
      <c r="O539" s="105"/>
      <c r="P539" s="81"/>
      <c r="Q539" s="289"/>
      <c r="R539" s="81"/>
      <c r="S539" s="105"/>
      <c r="T539" s="81"/>
      <c r="U539" s="81"/>
      <c r="V539" s="81"/>
      <c r="W539" s="81"/>
      <c r="X539" s="81"/>
      <c r="Y539" s="81"/>
      <c r="Z539" s="81"/>
    </row>
    <row r="540" spans="1:26" ht="24" customHeight="1" x14ac:dyDescent="0.5">
      <c r="A540" s="81"/>
      <c r="B540" s="81"/>
      <c r="C540" s="81"/>
      <c r="D540" s="81"/>
      <c r="E540" s="81"/>
      <c r="F540" s="81"/>
      <c r="G540" s="81"/>
      <c r="H540" s="81"/>
      <c r="I540" s="289"/>
      <c r="J540" s="289"/>
      <c r="K540" s="105"/>
      <c r="L540" s="81"/>
      <c r="M540" s="289"/>
      <c r="N540" s="289"/>
      <c r="O540" s="105"/>
      <c r="P540" s="81"/>
      <c r="Q540" s="289"/>
      <c r="R540" s="81"/>
      <c r="S540" s="105"/>
      <c r="T540" s="81"/>
      <c r="U540" s="81"/>
      <c r="V540" s="81"/>
      <c r="W540" s="81"/>
      <c r="X540" s="81"/>
      <c r="Y540" s="81"/>
      <c r="Z540" s="81"/>
    </row>
    <row r="541" spans="1:26" ht="24" customHeight="1" x14ac:dyDescent="0.5">
      <c r="A541" s="81"/>
      <c r="B541" s="81"/>
      <c r="C541" s="81"/>
      <c r="D541" s="81"/>
      <c r="E541" s="81"/>
      <c r="F541" s="81"/>
      <c r="G541" s="81"/>
      <c r="H541" s="81"/>
      <c r="I541" s="289"/>
      <c r="J541" s="289"/>
      <c r="K541" s="105"/>
      <c r="L541" s="81"/>
      <c r="M541" s="289"/>
      <c r="N541" s="289"/>
      <c r="O541" s="105"/>
      <c r="P541" s="81"/>
      <c r="Q541" s="289"/>
      <c r="R541" s="81"/>
      <c r="S541" s="105"/>
      <c r="T541" s="81"/>
      <c r="U541" s="81"/>
      <c r="V541" s="81"/>
      <c r="W541" s="81"/>
      <c r="X541" s="81"/>
      <c r="Y541" s="81"/>
      <c r="Z541" s="81"/>
    </row>
    <row r="542" spans="1:26" ht="24" customHeight="1" x14ac:dyDescent="0.5">
      <c r="A542" s="81"/>
      <c r="B542" s="81"/>
      <c r="C542" s="81"/>
      <c r="D542" s="81"/>
      <c r="E542" s="81"/>
      <c r="F542" s="81"/>
      <c r="G542" s="81"/>
      <c r="H542" s="81"/>
      <c r="I542" s="289"/>
      <c r="J542" s="289"/>
      <c r="K542" s="105"/>
      <c r="L542" s="81"/>
      <c r="M542" s="289"/>
      <c r="N542" s="289"/>
      <c r="O542" s="105"/>
      <c r="P542" s="81"/>
      <c r="Q542" s="289"/>
      <c r="R542" s="81"/>
      <c r="S542" s="105"/>
      <c r="T542" s="81"/>
      <c r="U542" s="81"/>
      <c r="V542" s="81"/>
      <c r="W542" s="81"/>
      <c r="X542" s="81"/>
      <c r="Y542" s="81"/>
      <c r="Z542" s="81"/>
    </row>
    <row r="543" spans="1:26" ht="24" customHeight="1" x14ac:dyDescent="0.5">
      <c r="A543" s="81"/>
      <c r="B543" s="81"/>
      <c r="C543" s="81"/>
      <c r="D543" s="81"/>
      <c r="E543" s="81"/>
      <c r="F543" s="81"/>
      <c r="G543" s="81"/>
      <c r="H543" s="81"/>
      <c r="I543" s="289"/>
      <c r="J543" s="289"/>
      <c r="K543" s="105"/>
      <c r="L543" s="81"/>
      <c r="M543" s="289"/>
      <c r="N543" s="289"/>
      <c r="O543" s="105"/>
      <c r="P543" s="81"/>
      <c r="Q543" s="289"/>
      <c r="R543" s="81"/>
      <c r="S543" s="105"/>
      <c r="T543" s="81"/>
      <c r="U543" s="81"/>
      <c r="V543" s="81"/>
      <c r="W543" s="81"/>
      <c r="X543" s="81"/>
      <c r="Y543" s="81"/>
      <c r="Z543" s="81"/>
    </row>
    <row r="544" spans="1:26" ht="24" customHeight="1" x14ac:dyDescent="0.5">
      <c r="A544" s="81"/>
      <c r="B544" s="81"/>
      <c r="C544" s="81"/>
      <c r="D544" s="81"/>
      <c r="E544" s="81"/>
      <c r="F544" s="81"/>
      <c r="G544" s="81"/>
      <c r="H544" s="81"/>
      <c r="I544" s="289"/>
      <c r="J544" s="289"/>
      <c r="K544" s="105"/>
      <c r="L544" s="81"/>
      <c r="M544" s="289"/>
      <c r="N544" s="289"/>
      <c r="O544" s="105"/>
      <c r="P544" s="81"/>
      <c r="Q544" s="289"/>
      <c r="R544" s="81"/>
      <c r="S544" s="105"/>
      <c r="T544" s="81"/>
      <c r="U544" s="81"/>
      <c r="V544" s="81"/>
      <c r="W544" s="81"/>
      <c r="X544" s="81"/>
      <c r="Y544" s="81"/>
      <c r="Z544" s="81"/>
    </row>
    <row r="545" spans="1:26" ht="24" customHeight="1" x14ac:dyDescent="0.5">
      <c r="A545" s="81"/>
      <c r="B545" s="81"/>
      <c r="C545" s="81"/>
      <c r="D545" s="81"/>
      <c r="E545" s="81"/>
      <c r="F545" s="81"/>
      <c r="G545" s="81"/>
      <c r="H545" s="81"/>
      <c r="I545" s="289"/>
      <c r="J545" s="289"/>
      <c r="K545" s="105"/>
      <c r="L545" s="81"/>
      <c r="M545" s="289"/>
      <c r="N545" s="289"/>
      <c r="O545" s="105"/>
      <c r="P545" s="81"/>
      <c r="Q545" s="289"/>
      <c r="R545" s="81"/>
      <c r="S545" s="105"/>
      <c r="T545" s="81"/>
      <c r="U545" s="81"/>
      <c r="V545" s="81"/>
      <c r="W545" s="81"/>
      <c r="X545" s="81"/>
      <c r="Y545" s="81"/>
      <c r="Z545" s="81"/>
    </row>
    <row r="546" spans="1:26" ht="24" customHeight="1" x14ac:dyDescent="0.5">
      <c r="A546" s="81"/>
      <c r="B546" s="81"/>
      <c r="C546" s="81"/>
      <c r="D546" s="81"/>
      <c r="E546" s="81"/>
      <c r="F546" s="81"/>
      <c r="G546" s="81"/>
      <c r="H546" s="81"/>
      <c r="I546" s="289"/>
      <c r="J546" s="289"/>
      <c r="K546" s="105"/>
      <c r="L546" s="81"/>
      <c r="M546" s="289"/>
      <c r="N546" s="289"/>
      <c r="O546" s="105"/>
      <c r="P546" s="81"/>
      <c r="Q546" s="289"/>
      <c r="R546" s="81"/>
      <c r="S546" s="105"/>
      <c r="T546" s="81"/>
      <c r="U546" s="81"/>
      <c r="V546" s="81"/>
      <c r="W546" s="81"/>
      <c r="X546" s="81"/>
      <c r="Y546" s="81"/>
      <c r="Z546" s="81"/>
    </row>
    <row r="547" spans="1:26" ht="24" customHeight="1" x14ac:dyDescent="0.5">
      <c r="A547" s="81"/>
      <c r="B547" s="81"/>
      <c r="C547" s="81"/>
      <c r="D547" s="81"/>
      <c r="E547" s="81"/>
      <c r="F547" s="81"/>
      <c r="G547" s="81"/>
      <c r="H547" s="81"/>
      <c r="I547" s="289"/>
      <c r="J547" s="289"/>
      <c r="K547" s="105"/>
      <c r="L547" s="81"/>
      <c r="M547" s="289"/>
      <c r="N547" s="289"/>
      <c r="O547" s="105"/>
      <c r="P547" s="81"/>
      <c r="Q547" s="289"/>
      <c r="R547" s="81"/>
      <c r="S547" s="105"/>
      <c r="T547" s="81"/>
      <c r="U547" s="81"/>
      <c r="V547" s="81"/>
      <c r="W547" s="81"/>
      <c r="X547" s="81"/>
      <c r="Y547" s="81"/>
      <c r="Z547" s="81"/>
    </row>
    <row r="548" spans="1:26" ht="24" customHeight="1" x14ac:dyDescent="0.5">
      <c r="A548" s="81"/>
      <c r="B548" s="81"/>
      <c r="C548" s="81"/>
      <c r="D548" s="81"/>
      <c r="E548" s="81"/>
      <c r="F548" s="81"/>
      <c r="G548" s="81"/>
      <c r="H548" s="81"/>
      <c r="I548" s="289"/>
      <c r="J548" s="289"/>
      <c r="K548" s="105"/>
      <c r="L548" s="81"/>
      <c r="M548" s="289"/>
      <c r="N548" s="289"/>
      <c r="O548" s="105"/>
      <c r="P548" s="81"/>
      <c r="Q548" s="289"/>
      <c r="R548" s="81"/>
      <c r="S548" s="105"/>
      <c r="T548" s="81"/>
      <c r="U548" s="81"/>
      <c r="V548" s="81"/>
      <c r="W548" s="81"/>
      <c r="X548" s="81"/>
      <c r="Y548" s="81"/>
      <c r="Z548" s="81"/>
    </row>
    <row r="549" spans="1:26" ht="24" customHeight="1" x14ac:dyDescent="0.5">
      <c r="A549" s="81"/>
      <c r="B549" s="81"/>
      <c r="C549" s="81"/>
      <c r="D549" s="81"/>
      <c r="E549" s="81"/>
      <c r="F549" s="81"/>
      <c r="G549" s="81"/>
      <c r="H549" s="81"/>
      <c r="I549" s="289"/>
      <c r="J549" s="289"/>
      <c r="K549" s="105"/>
      <c r="L549" s="81"/>
      <c r="M549" s="289"/>
      <c r="N549" s="289"/>
      <c r="O549" s="105"/>
      <c r="P549" s="81"/>
      <c r="Q549" s="289"/>
      <c r="R549" s="81"/>
      <c r="S549" s="105"/>
      <c r="T549" s="81"/>
      <c r="U549" s="81"/>
      <c r="V549" s="81"/>
      <c r="W549" s="81"/>
      <c r="X549" s="81"/>
      <c r="Y549" s="81"/>
      <c r="Z549" s="81"/>
    </row>
    <row r="550" spans="1:26" ht="24" customHeight="1" x14ac:dyDescent="0.5">
      <c r="A550" s="81"/>
      <c r="B550" s="81"/>
      <c r="C550" s="81"/>
      <c r="D550" s="81"/>
      <c r="E550" s="81"/>
      <c r="F550" s="81"/>
      <c r="G550" s="81"/>
      <c r="H550" s="81"/>
      <c r="I550" s="289"/>
      <c r="J550" s="289"/>
      <c r="K550" s="105"/>
      <c r="L550" s="81"/>
      <c r="M550" s="289"/>
      <c r="N550" s="289"/>
      <c r="O550" s="105"/>
      <c r="P550" s="81"/>
      <c r="Q550" s="289"/>
      <c r="R550" s="81"/>
      <c r="S550" s="105"/>
      <c r="T550" s="81"/>
      <c r="U550" s="81"/>
      <c r="V550" s="81"/>
      <c r="W550" s="81"/>
      <c r="X550" s="81"/>
      <c r="Y550" s="81"/>
      <c r="Z550" s="81"/>
    </row>
    <row r="551" spans="1:26" ht="24" customHeight="1" x14ac:dyDescent="0.5">
      <c r="A551" s="81"/>
      <c r="B551" s="81"/>
      <c r="C551" s="81"/>
      <c r="D551" s="81"/>
      <c r="E551" s="81"/>
      <c r="F551" s="81"/>
      <c r="G551" s="81"/>
      <c r="H551" s="81"/>
      <c r="I551" s="289"/>
      <c r="J551" s="289"/>
      <c r="K551" s="105"/>
      <c r="L551" s="81"/>
      <c r="M551" s="289"/>
      <c r="N551" s="289"/>
      <c r="O551" s="105"/>
      <c r="P551" s="81"/>
      <c r="Q551" s="289"/>
      <c r="R551" s="81"/>
      <c r="S551" s="105"/>
      <c r="T551" s="81"/>
      <c r="U551" s="81"/>
      <c r="V551" s="81"/>
      <c r="W551" s="81"/>
      <c r="X551" s="81"/>
      <c r="Y551" s="81"/>
      <c r="Z551" s="81"/>
    </row>
    <row r="552" spans="1:26" ht="24" customHeight="1" x14ac:dyDescent="0.5">
      <c r="A552" s="81"/>
      <c r="B552" s="81"/>
      <c r="C552" s="81"/>
      <c r="D552" s="81"/>
      <c r="E552" s="81"/>
      <c r="F552" s="81"/>
      <c r="G552" s="81"/>
      <c r="H552" s="81"/>
      <c r="I552" s="289"/>
      <c r="J552" s="289"/>
      <c r="K552" s="105"/>
      <c r="L552" s="81"/>
      <c r="M552" s="289"/>
      <c r="N552" s="289"/>
      <c r="O552" s="105"/>
      <c r="P552" s="81"/>
      <c r="Q552" s="289"/>
      <c r="R552" s="81"/>
      <c r="S552" s="105"/>
      <c r="T552" s="81"/>
      <c r="U552" s="81"/>
      <c r="V552" s="81"/>
      <c r="W552" s="81"/>
      <c r="X552" s="81"/>
      <c r="Y552" s="81"/>
      <c r="Z552" s="81"/>
    </row>
    <row r="553" spans="1:26" ht="24" customHeight="1" x14ac:dyDescent="0.5">
      <c r="A553" s="81"/>
      <c r="B553" s="81"/>
      <c r="C553" s="81"/>
      <c r="D553" s="81"/>
      <c r="E553" s="81"/>
      <c r="F553" s="81"/>
      <c r="G553" s="81"/>
      <c r="H553" s="81"/>
      <c r="I553" s="289"/>
      <c r="J553" s="289"/>
      <c r="K553" s="105"/>
      <c r="L553" s="81"/>
      <c r="M553" s="289"/>
      <c r="N553" s="289"/>
      <c r="O553" s="105"/>
      <c r="P553" s="81"/>
      <c r="Q553" s="289"/>
      <c r="R553" s="81"/>
      <c r="S553" s="105"/>
      <c r="T553" s="81"/>
      <c r="U553" s="81"/>
      <c r="V553" s="81"/>
      <c r="W553" s="81"/>
      <c r="X553" s="81"/>
      <c r="Y553" s="81"/>
      <c r="Z553" s="81"/>
    </row>
    <row r="554" spans="1:26" ht="24" customHeight="1" x14ac:dyDescent="0.5">
      <c r="A554" s="81"/>
      <c r="B554" s="81"/>
      <c r="C554" s="81"/>
      <c r="D554" s="81"/>
      <c r="E554" s="81"/>
      <c r="F554" s="81"/>
      <c r="G554" s="81"/>
      <c r="H554" s="81"/>
      <c r="I554" s="289"/>
      <c r="J554" s="289"/>
      <c r="K554" s="105"/>
      <c r="L554" s="81"/>
      <c r="M554" s="289"/>
      <c r="N554" s="289"/>
      <c r="O554" s="105"/>
      <c r="P554" s="81"/>
      <c r="Q554" s="289"/>
      <c r="R554" s="81"/>
      <c r="S554" s="105"/>
      <c r="T554" s="81"/>
      <c r="U554" s="81"/>
      <c r="V554" s="81"/>
      <c r="W554" s="81"/>
      <c r="X554" s="81"/>
      <c r="Y554" s="81"/>
      <c r="Z554" s="81"/>
    </row>
    <row r="555" spans="1:26" ht="24" customHeight="1" x14ac:dyDescent="0.5">
      <c r="A555" s="81"/>
      <c r="B555" s="81"/>
      <c r="C555" s="81"/>
      <c r="D555" s="81"/>
      <c r="E555" s="81"/>
      <c r="F555" s="81"/>
      <c r="G555" s="81"/>
      <c r="H555" s="81"/>
      <c r="I555" s="289"/>
      <c r="J555" s="289"/>
      <c r="K555" s="105"/>
      <c r="L555" s="81"/>
      <c r="M555" s="289"/>
      <c r="N555" s="289"/>
      <c r="O555" s="105"/>
      <c r="P555" s="81"/>
      <c r="Q555" s="289"/>
      <c r="R555" s="81"/>
      <c r="S555" s="105"/>
      <c r="T555" s="81"/>
      <c r="U555" s="81"/>
      <c r="V555" s="81"/>
      <c r="W555" s="81"/>
      <c r="X555" s="81"/>
      <c r="Y555" s="81"/>
      <c r="Z555" s="81"/>
    </row>
    <row r="556" spans="1:26" ht="24" customHeight="1" x14ac:dyDescent="0.5">
      <c r="A556" s="81"/>
      <c r="B556" s="81"/>
      <c r="C556" s="81"/>
      <c r="D556" s="81"/>
      <c r="E556" s="81"/>
      <c r="F556" s="81"/>
      <c r="G556" s="81"/>
      <c r="H556" s="81"/>
      <c r="I556" s="289"/>
      <c r="J556" s="289"/>
      <c r="K556" s="105"/>
      <c r="L556" s="81"/>
      <c r="M556" s="289"/>
      <c r="N556" s="289"/>
      <c r="O556" s="105"/>
      <c r="P556" s="81"/>
      <c r="Q556" s="289"/>
      <c r="R556" s="81"/>
      <c r="S556" s="105"/>
      <c r="T556" s="81"/>
      <c r="U556" s="81"/>
      <c r="V556" s="81"/>
      <c r="W556" s="81"/>
      <c r="X556" s="81"/>
      <c r="Y556" s="81"/>
      <c r="Z556" s="81"/>
    </row>
    <row r="557" spans="1:26" ht="24" customHeight="1" x14ac:dyDescent="0.5">
      <c r="A557" s="81"/>
      <c r="B557" s="81"/>
      <c r="C557" s="81"/>
      <c r="D557" s="81"/>
      <c r="E557" s="81"/>
      <c r="F557" s="81"/>
      <c r="G557" s="81"/>
      <c r="H557" s="81"/>
      <c r="I557" s="289"/>
      <c r="J557" s="289"/>
      <c r="K557" s="105"/>
      <c r="L557" s="81"/>
      <c r="M557" s="289"/>
      <c r="N557" s="289"/>
      <c r="O557" s="105"/>
      <c r="P557" s="81"/>
      <c r="Q557" s="289"/>
      <c r="R557" s="81"/>
      <c r="S557" s="105"/>
      <c r="T557" s="81"/>
      <c r="U557" s="81"/>
      <c r="V557" s="81"/>
      <c r="W557" s="81"/>
      <c r="X557" s="81"/>
      <c r="Y557" s="81"/>
      <c r="Z557" s="81"/>
    </row>
    <row r="558" spans="1:26" ht="24" customHeight="1" x14ac:dyDescent="0.5">
      <c r="A558" s="81"/>
      <c r="B558" s="81"/>
      <c r="C558" s="81"/>
      <c r="D558" s="81"/>
      <c r="E558" s="81"/>
      <c r="F558" s="81"/>
      <c r="G558" s="81"/>
      <c r="H558" s="81"/>
      <c r="I558" s="289"/>
      <c r="J558" s="289"/>
      <c r="K558" s="105"/>
      <c r="L558" s="81"/>
      <c r="M558" s="289"/>
      <c r="N558" s="289"/>
      <c r="O558" s="105"/>
      <c r="P558" s="81"/>
      <c r="Q558" s="289"/>
      <c r="R558" s="81"/>
      <c r="S558" s="105"/>
      <c r="T558" s="81"/>
      <c r="U558" s="81"/>
      <c r="V558" s="81"/>
      <c r="W558" s="81"/>
      <c r="X558" s="81"/>
      <c r="Y558" s="81"/>
      <c r="Z558" s="81"/>
    </row>
    <row r="559" spans="1:26" ht="24" customHeight="1" x14ac:dyDescent="0.5">
      <c r="A559" s="81"/>
      <c r="B559" s="81"/>
      <c r="C559" s="81"/>
      <c r="D559" s="81"/>
      <c r="E559" s="81"/>
      <c r="F559" s="81"/>
      <c r="G559" s="81"/>
      <c r="H559" s="81"/>
      <c r="I559" s="289"/>
      <c r="J559" s="289"/>
      <c r="K559" s="105"/>
      <c r="L559" s="81"/>
      <c r="M559" s="289"/>
      <c r="N559" s="289"/>
      <c r="O559" s="105"/>
      <c r="P559" s="81"/>
      <c r="Q559" s="289"/>
      <c r="R559" s="81"/>
      <c r="S559" s="105"/>
      <c r="T559" s="81"/>
      <c r="U559" s="81"/>
      <c r="V559" s="81"/>
      <c r="W559" s="81"/>
      <c r="X559" s="81"/>
      <c r="Y559" s="81"/>
      <c r="Z559" s="81"/>
    </row>
    <row r="560" spans="1:26" ht="24" customHeight="1" x14ac:dyDescent="0.5">
      <c r="A560" s="81"/>
      <c r="B560" s="81"/>
      <c r="C560" s="81"/>
      <c r="D560" s="81"/>
      <c r="E560" s="81"/>
      <c r="F560" s="81"/>
      <c r="G560" s="81"/>
      <c r="H560" s="81"/>
      <c r="I560" s="289"/>
      <c r="J560" s="289"/>
      <c r="K560" s="105"/>
      <c r="L560" s="81"/>
      <c r="M560" s="289"/>
      <c r="N560" s="289"/>
      <c r="O560" s="105"/>
      <c r="P560" s="81"/>
      <c r="Q560" s="289"/>
      <c r="R560" s="81"/>
      <c r="S560" s="105"/>
      <c r="T560" s="81"/>
      <c r="U560" s="81"/>
      <c r="V560" s="81"/>
      <c r="W560" s="81"/>
      <c r="X560" s="81"/>
      <c r="Y560" s="81"/>
      <c r="Z560" s="81"/>
    </row>
    <row r="561" spans="1:26" ht="24" customHeight="1" x14ac:dyDescent="0.5">
      <c r="A561" s="81"/>
      <c r="B561" s="81"/>
      <c r="C561" s="81"/>
      <c r="D561" s="81"/>
      <c r="E561" s="81"/>
      <c r="F561" s="81"/>
      <c r="G561" s="81"/>
      <c r="H561" s="81"/>
      <c r="I561" s="289"/>
      <c r="J561" s="289"/>
      <c r="K561" s="105"/>
      <c r="L561" s="81"/>
      <c r="M561" s="289"/>
      <c r="N561" s="289"/>
      <c r="O561" s="105"/>
      <c r="P561" s="81"/>
      <c r="Q561" s="289"/>
      <c r="R561" s="81"/>
      <c r="S561" s="105"/>
      <c r="T561" s="81"/>
      <c r="U561" s="81"/>
      <c r="V561" s="81"/>
      <c r="W561" s="81"/>
      <c r="X561" s="81"/>
      <c r="Y561" s="81"/>
      <c r="Z561" s="81"/>
    </row>
    <row r="562" spans="1:26" ht="24" customHeight="1" x14ac:dyDescent="0.5">
      <c r="A562" s="81"/>
      <c r="B562" s="81"/>
      <c r="C562" s="81"/>
      <c r="D562" s="81"/>
      <c r="E562" s="81"/>
      <c r="F562" s="81"/>
      <c r="G562" s="81"/>
      <c r="H562" s="81"/>
      <c r="I562" s="289"/>
      <c r="J562" s="289"/>
      <c r="K562" s="105"/>
      <c r="L562" s="81"/>
      <c r="M562" s="289"/>
      <c r="N562" s="289"/>
      <c r="O562" s="105"/>
      <c r="P562" s="81"/>
      <c r="Q562" s="289"/>
      <c r="R562" s="81"/>
      <c r="S562" s="105"/>
      <c r="T562" s="81"/>
      <c r="U562" s="81"/>
      <c r="V562" s="81"/>
      <c r="W562" s="81"/>
      <c r="X562" s="81"/>
      <c r="Y562" s="81"/>
      <c r="Z562" s="81"/>
    </row>
    <row r="563" spans="1:26" ht="24" customHeight="1" x14ac:dyDescent="0.5">
      <c r="A563" s="81"/>
      <c r="B563" s="81"/>
      <c r="C563" s="81"/>
      <c r="D563" s="81"/>
      <c r="E563" s="81"/>
      <c r="F563" s="81"/>
      <c r="G563" s="81"/>
      <c r="H563" s="81"/>
      <c r="I563" s="289"/>
      <c r="J563" s="289"/>
      <c r="K563" s="105"/>
      <c r="L563" s="81"/>
      <c r="M563" s="289"/>
      <c r="N563" s="289"/>
      <c r="O563" s="105"/>
      <c r="P563" s="81"/>
      <c r="Q563" s="289"/>
      <c r="R563" s="81"/>
      <c r="S563" s="105"/>
      <c r="T563" s="81"/>
      <c r="U563" s="81"/>
      <c r="V563" s="81"/>
      <c r="W563" s="81"/>
      <c r="X563" s="81"/>
      <c r="Y563" s="81"/>
      <c r="Z563" s="81"/>
    </row>
    <row r="564" spans="1:26" ht="24" customHeight="1" x14ac:dyDescent="0.5">
      <c r="A564" s="81"/>
      <c r="B564" s="81"/>
      <c r="C564" s="81"/>
      <c r="D564" s="81"/>
      <c r="E564" s="81"/>
      <c r="F564" s="81"/>
      <c r="G564" s="81"/>
      <c r="H564" s="81"/>
      <c r="I564" s="289"/>
      <c r="J564" s="289"/>
      <c r="K564" s="105"/>
      <c r="L564" s="81"/>
      <c r="M564" s="289"/>
      <c r="N564" s="289"/>
      <c r="O564" s="105"/>
      <c r="P564" s="81"/>
      <c r="Q564" s="289"/>
      <c r="R564" s="81"/>
      <c r="S564" s="105"/>
      <c r="T564" s="81"/>
      <c r="U564" s="81"/>
      <c r="V564" s="81"/>
      <c r="W564" s="81"/>
      <c r="X564" s="81"/>
      <c r="Y564" s="81"/>
      <c r="Z564" s="81"/>
    </row>
    <row r="565" spans="1:26" ht="24" customHeight="1" x14ac:dyDescent="0.5">
      <c r="A565" s="81"/>
      <c r="B565" s="81"/>
      <c r="C565" s="81"/>
      <c r="D565" s="81"/>
      <c r="E565" s="81"/>
      <c r="F565" s="81"/>
      <c r="G565" s="81"/>
      <c r="H565" s="81"/>
      <c r="I565" s="289"/>
      <c r="J565" s="289"/>
      <c r="K565" s="105"/>
      <c r="L565" s="81"/>
      <c r="M565" s="289"/>
      <c r="N565" s="289"/>
      <c r="O565" s="105"/>
      <c r="P565" s="81"/>
      <c r="Q565" s="289"/>
      <c r="R565" s="81"/>
      <c r="S565" s="105"/>
      <c r="T565" s="81"/>
      <c r="U565" s="81"/>
      <c r="V565" s="81"/>
      <c r="W565" s="81"/>
      <c r="X565" s="81"/>
      <c r="Y565" s="81"/>
      <c r="Z565" s="81"/>
    </row>
    <row r="566" spans="1:26" ht="24" customHeight="1" x14ac:dyDescent="0.5">
      <c r="A566" s="81"/>
      <c r="B566" s="81"/>
      <c r="C566" s="81"/>
      <c r="D566" s="81"/>
      <c r="E566" s="81"/>
      <c r="F566" s="81"/>
      <c r="G566" s="81"/>
      <c r="H566" s="81"/>
      <c r="I566" s="289"/>
      <c r="J566" s="289"/>
      <c r="K566" s="105"/>
      <c r="L566" s="81"/>
      <c r="M566" s="289"/>
      <c r="N566" s="289"/>
      <c r="O566" s="105"/>
      <c r="P566" s="81"/>
      <c r="Q566" s="289"/>
      <c r="R566" s="81"/>
      <c r="S566" s="105"/>
      <c r="T566" s="81"/>
      <c r="U566" s="81"/>
      <c r="V566" s="81"/>
      <c r="W566" s="81"/>
      <c r="X566" s="81"/>
      <c r="Y566" s="81"/>
      <c r="Z566" s="81"/>
    </row>
    <row r="567" spans="1:26" ht="24" customHeight="1" x14ac:dyDescent="0.5">
      <c r="A567" s="81"/>
      <c r="B567" s="81"/>
      <c r="C567" s="81"/>
      <c r="D567" s="81"/>
      <c r="E567" s="81"/>
      <c r="F567" s="81"/>
      <c r="G567" s="81"/>
      <c r="H567" s="81"/>
      <c r="I567" s="289"/>
      <c r="J567" s="289"/>
      <c r="K567" s="105"/>
      <c r="L567" s="81"/>
      <c r="M567" s="289"/>
      <c r="N567" s="289"/>
      <c r="O567" s="105"/>
      <c r="P567" s="81"/>
      <c r="Q567" s="289"/>
      <c r="R567" s="81"/>
      <c r="S567" s="105"/>
      <c r="T567" s="81"/>
      <c r="U567" s="81"/>
      <c r="V567" s="81"/>
      <c r="W567" s="81"/>
      <c r="X567" s="81"/>
      <c r="Y567" s="81"/>
      <c r="Z567" s="81"/>
    </row>
    <row r="568" spans="1:26" ht="24" customHeight="1" x14ac:dyDescent="0.5">
      <c r="A568" s="81"/>
      <c r="B568" s="81"/>
      <c r="C568" s="81"/>
      <c r="D568" s="81"/>
      <c r="E568" s="81"/>
      <c r="F568" s="81"/>
      <c r="G568" s="81"/>
      <c r="H568" s="81"/>
      <c r="I568" s="289"/>
      <c r="J568" s="289"/>
      <c r="K568" s="105"/>
      <c r="L568" s="81"/>
      <c r="M568" s="289"/>
      <c r="N568" s="289"/>
      <c r="O568" s="105"/>
      <c r="P568" s="81"/>
      <c r="Q568" s="289"/>
      <c r="R568" s="81"/>
      <c r="S568" s="105"/>
      <c r="T568" s="81"/>
      <c r="U568" s="81"/>
      <c r="V568" s="81"/>
      <c r="W568" s="81"/>
      <c r="X568" s="81"/>
      <c r="Y568" s="81"/>
      <c r="Z568" s="81"/>
    </row>
    <row r="569" spans="1:26" ht="24" customHeight="1" x14ac:dyDescent="0.5">
      <c r="A569" s="81"/>
      <c r="B569" s="81"/>
      <c r="C569" s="81"/>
      <c r="D569" s="81"/>
      <c r="E569" s="81"/>
      <c r="F569" s="81"/>
      <c r="G569" s="81"/>
      <c r="H569" s="81"/>
      <c r="I569" s="289"/>
      <c r="J569" s="289"/>
      <c r="K569" s="105"/>
      <c r="L569" s="81"/>
      <c r="M569" s="289"/>
      <c r="N569" s="289"/>
      <c r="O569" s="105"/>
      <c r="P569" s="81"/>
      <c r="Q569" s="289"/>
      <c r="R569" s="81"/>
      <c r="S569" s="105"/>
      <c r="T569" s="81"/>
      <c r="U569" s="81"/>
      <c r="V569" s="81"/>
      <c r="W569" s="81"/>
      <c r="X569" s="81"/>
      <c r="Y569" s="81"/>
      <c r="Z569" s="81"/>
    </row>
    <row r="570" spans="1:26" ht="24" customHeight="1" x14ac:dyDescent="0.5">
      <c r="A570" s="81"/>
      <c r="B570" s="81"/>
      <c r="C570" s="81"/>
      <c r="D570" s="81"/>
      <c r="E570" s="81"/>
      <c r="F570" s="81"/>
      <c r="G570" s="81"/>
      <c r="H570" s="81"/>
      <c r="I570" s="289"/>
      <c r="J570" s="289"/>
      <c r="K570" s="105"/>
      <c r="L570" s="81"/>
      <c r="M570" s="289"/>
      <c r="N570" s="289"/>
      <c r="O570" s="105"/>
      <c r="P570" s="81"/>
      <c r="Q570" s="289"/>
      <c r="R570" s="81"/>
      <c r="S570" s="105"/>
      <c r="T570" s="81"/>
      <c r="U570" s="81"/>
      <c r="V570" s="81"/>
      <c r="W570" s="81"/>
      <c r="X570" s="81"/>
      <c r="Y570" s="81"/>
      <c r="Z570" s="81"/>
    </row>
    <row r="571" spans="1:26" ht="24" customHeight="1" x14ac:dyDescent="0.5">
      <c r="A571" s="81"/>
      <c r="B571" s="81"/>
      <c r="C571" s="81"/>
      <c r="D571" s="81"/>
      <c r="E571" s="81"/>
      <c r="F571" s="81"/>
      <c r="G571" s="81"/>
      <c r="H571" s="81"/>
      <c r="I571" s="289"/>
      <c r="J571" s="289"/>
      <c r="K571" s="105"/>
      <c r="L571" s="81"/>
      <c r="M571" s="289"/>
      <c r="N571" s="289"/>
      <c r="O571" s="105"/>
      <c r="P571" s="81"/>
      <c r="Q571" s="289"/>
      <c r="R571" s="81"/>
      <c r="S571" s="105"/>
      <c r="T571" s="81"/>
      <c r="U571" s="81"/>
      <c r="V571" s="81"/>
      <c r="W571" s="81"/>
      <c r="X571" s="81"/>
      <c r="Y571" s="81"/>
      <c r="Z571" s="81"/>
    </row>
    <row r="572" spans="1:26" ht="24" customHeight="1" x14ac:dyDescent="0.5">
      <c r="A572" s="81"/>
      <c r="B572" s="81"/>
      <c r="C572" s="81"/>
      <c r="D572" s="81"/>
      <c r="E572" s="81"/>
      <c r="F572" s="81"/>
      <c r="G572" s="81"/>
      <c r="H572" s="81"/>
      <c r="I572" s="289"/>
      <c r="J572" s="289"/>
      <c r="K572" s="105"/>
      <c r="L572" s="81"/>
      <c r="M572" s="289"/>
      <c r="N572" s="289"/>
      <c r="O572" s="105"/>
      <c r="P572" s="81"/>
      <c r="Q572" s="289"/>
      <c r="R572" s="81"/>
      <c r="S572" s="105"/>
      <c r="T572" s="81"/>
      <c r="U572" s="81"/>
      <c r="V572" s="81"/>
      <c r="W572" s="81"/>
      <c r="X572" s="81"/>
      <c r="Y572" s="81"/>
      <c r="Z572" s="81"/>
    </row>
    <row r="573" spans="1:26" ht="24" customHeight="1" x14ac:dyDescent="0.5">
      <c r="A573" s="81"/>
      <c r="B573" s="81"/>
      <c r="C573" s="81"/>
      <c r="D573" s="81"/>
      <c r="E573" s="81"/>
      <c r="F573" s="81"/>
      <c r="G573" s="81"/>
      <c r="H573" s="81"/>
      <c r="I573" s="289"/>
      <c r="J573" s="289"/>
      <c r="K573" s="105"/>
      <c r="L573" s="81"/>
      <c r="M573" s="289"/>
      <c r="N573" s="289"/>
      <c r="O573" s="105"/>
      <c r="P573" s="81"/>
      <c r="Q573" s="289"/>
      <c r="R573" s="81"/>
      <c r="S573" s="105"/>
      <c r="T573" s="81"/>
      <c r="U573" s="81"/>
      <c r="V573" s="81"/>
      <c r="W573" s="81"/>
      <c r="X573" s="81"/>
      <c r="Y573" s="81"/>
      <c r="Z573" s="81"/>
    </row>
    <row r="574" spans="1:26" ht="24" customHeight="1" x14ac:dyDescent="0.5">
      <c r="A574" s="81"/>
      <c r="B574" s="81"/>
      <c r="C574" s="81"/>
      <c r="D574" s="81"/>
      <c r="E574" s="81"/>
      <c r="F574" s="81"/>
      <c r="G574" s="81"/>
      <c r="H574" s="81"/>
      <c r="I574" s="289"/>
      <c r="J574" s="289"/>
      <c r="K574" s="105"/>
      <c r="L574" s="81"/>
      <c r="M574" s="289"/>
      <c r="N574" s="289"/>
      <c r="O574" s="105"/>
      <c r="P574" s="81"/>
      <c r="Q574" s="289"/>
      <c r="R574" s="81"/>
      <c r="S574" s="105"/>
      <c r="T574" s="81"/>
      <c r="U574" s="81"/>
      <c r="V574" s="81"/>
      <c r="W574" s="81"/>
      <c r="X574" s="81"/>
      <c r="Y574" s="81"/>
      <c r="Z574" s="81"/>
    </row>
    <row r="575" spans="1:26" ht="24" customHeight="1" x14ac:dyDescent="0.5">
      <c r="A575" s="81"/>
      <c r="B575" s="81"/>
      <c r="C575" s="81"/>
      <c r="D575" s="81"/>
      <c r="E575" s="81"/>
      <c r="F575" s="81"/>
      <c r="G575" s="81"/>
      <c r="H575" s="81"/>
      <c r="I575" s="289"/>
      <c r="J575" s="289"/>
      <c r="K575" s="105"/>
      <c r="L575" s="81"/>
      <c r="M575" s="289"/>
      <c r="N575" s="289"/>
      <c r="O575" s="105"/>
      <c r="P575" s="81"/>
      <c r="Q575" s="289"/>
      <c r="R575" s="81"/>
      <c r="S575" s="105"/>
      <c r="T575" s="81"/>
      <c r="U575" s="81"/>
      <c r="V575" s="81"/>
      <c r="W575" s="81"/>
      <c r="X575" s="81"/>
      <c r="Y575" s="81"/>
      <c r="Z575" s="81"/>
    </row>
    <row r="576" spans="1:26" ht="24" customHeight="1" x14ac:dyDescent="0.5">
      <c r="A576" s="81"/>
      <c r="B576" s="81"/>
      <c r="C576" s="81"/>
      <c r="D576" s="81"/>
      <c r="E576" s="81"/>
      <c r="F576" s="81"/>
      <c r="G576" s="81"/>
      <c r="H576" s="81"/>
      <c r="I576" s="289"/>
      <c r="J576" s="289"/>
      <c r="K576" s="105"/>
      <c r="L576" s="81"/>
      <c r="M576" s="289"/>
      <c r="N576" s="289"/>
      <c r="O576" s="105"/>
      <c r="P576" s="81"/>
      <c r="Q576" s="289"/>
      <c r="R576" s="81"/>
      <c r="S576" s="105"/>
      <c r="T576" s="81"/>
      <c r="U576" s="81"/>
      <c r="V576" s="81"/>
      <c r="W576" s="81"/>
      <c r="X576" s="81"/>
      <c r="Y576" s="81"/>
      <c r="Z576" s="81"/>
    </row>
    <row r="577" spans="1:26" ht="24" customHeight="1" x14ac:dyDescent="0.5">
      <c r="A577" s="81"/>
      <c r="B577" s="81"/>
      <c r="C577" s="81"/>
      <c r="D577" s="81"/>
      <c r="E577" s="81"/>
      <c r="F577" s="81"/>
      <c r="G577" s="81"/>
      <c r="H577" s="81"/>
      <c r="I577" s="289"/>
      <c r="J577" s="289"/>
      <c r="K577" s="105"/>
      <c r="L577" s="81"/>
      <c r="M577" s="289"/>
      <c r="N577" s="289"/>
      <c r="O577" s="105"/>
      <c r="P577" s="81"/>
      <c r="Q577" s="289"/>
      <c r="R577" s="81"/>
      <c r="S577" s="105"/>
      <c r="T577" s="81"/>
      <c r="U577" s="81"/>
      <c r="V577" s="81"/>
      <c r="W577" s="81"/>
      <c r="X577" s="81"/>
      <c r="Y577" s="81"/>
      <c r="Z577" s="81"/>
    </row>
    <row r="578" spans="1:26" ht="24" customHeight="1" x14ac:dyDescent="0.5">
      <c r="A578" s="81"/>
      <c r="B578" s="81"/>
      <c r="C578" s="81"/>
      <c r="D578" s="81"/>
      <c r="E578" s="81"/>
      <c r="F578" s="81"/>
      <c r="G578" s="81"/>
      <c r="H578" s="81"/>
      <c r="I578" s="289"/>
      <c r="J578" s="289"/>
      <c r="K578" s="105"/>
      <c r="L578" s="81"/>
      <c r="M578" s="289"/>
      <c r="N578" s="289"/>
      <c r="O578" s="105"/>
      <c r="P578" s="81"/>
      <c r="Q578" s="289"/>
      <c r="R578" s="81"/>
      <c r="S578" s="105"/>
      <c r="T578" s="81"/>
      <c r="U578" s="81"/>
      <c r="V578" s="81"/>
      <c r="W578" s="81"/>
      <c r="X578" s="81"/>
      <c r="Y578" s="81"/>
      <c r="Z578" s="81"/>
    </row>
    <row r="579" spans="1:26" ht="24" customHeight="1" x14ac:dyDescent="0.5">
      <c r="A579" s="81"/>
      <c r="B579" s="81"/>
      <c r="C579" s="81"/>
      <c r="D579" s="81"/>
      <c r="E579" s="81"/>
      <c r="F579" s="81"/>
      <c r="G579" s="81"/>
      <c r="H579" s="81"/>
      <c r="I579" s="289"/>
      <c r="J579" s="289"/>
      <c r="K579" s="105"/>
      <c r="L579" s="81"/>
      <c r="M579" s="289"/>
      <c r="N579" s="289"/>
      <c r="O579" s="105"/>
      <c r="P579" s="81"/>
      <c r="Q579" s="289"/>
      <c r="R579" s="81"/>
      <c r="S579" s="105"/>
      <c r="T579" s="81"/>
      <c r="U579" s="81"/>
      <c r="V579" s="81"/>
      <c r="W579" s="81"/>
      <c r="X579" s="81"/>
      <c r="Y579" s="81"/>
      <c r="Z579" s="81"/>
    </row>
    <row r="580" spans="1:26" ht="24" customHeight="1" x14ac:dyDescent="0.5">
      <c r="A580" s="81"/>
      <c r="B580" s="81"/>
      <c r="C580" s="81"/>
      <c r="D580" s="81"/>
      <c r="E580" s="81"/>
      <c r="F580" s="81"/>
      <c r="G580" s="81"/>
      <c r="H580" s="81"/>
      <c r="I580" s="289"/>
      <c r="J580" s="289"/>
      <c r="K580" s="105"/>
      <c r="L580" s="81"/>
      <c r="M580" s="289"/>
      <c r="N580" s="289"/>
      <c r="O580" s="105"/>
      <c r="P580" s="81"/>
      <c r="Q580" s="289"/>
      <c r="R580" s="81"/>
      <c r="S580" s="105"/>
      <c r="T580" s="81"/>
      <c r="U580" s="81"/>
      <c r="V580" s="81"/>
      <c r="W580" s="81"/>
      <c r="X580" s="81"/>
      <c r="Y580" s="81"/>
      <c r="Z580" s="81"/>
    </row>
    <row r="581" spans="1:26" ht="24" customHeight="1" x14ac:dyDescent="0.5">
      <c r="A581" s="81"/>
      <c r="B581" s="81"/>
      <c r="C581" s="81"/>
      <c r="D581" s="81"/>
      <c r="E581" s="81"/>
      <c r="F581" s="81"/>
      <c r="G581" s="81"/>
      <c r="H581" s="81"/>
      <c r="I581" s="289"/>
      <c r="J581" s="289"/>
      <c r="K581" s="105"/>
      <c r="L581" s="81"/>
      <c r="M581" s="289"/>
      <c r="N581" s="289"/>
      <c r="O581" s="105"/>
      <c r="P581" s="81"/>
      <c r="Q581" s="289"/>
      <c r="R581" s="81"/>
      <c r="S581" s="105"/>
      <c r="T581" s="81"/>
      <c r="U581" s="81"/>
      <c r="V581" s="81"/>
      <c r="W581" s="81"/>
      <c r="X581" s="81"/>
      <c r="Y581" s="81"/>
      <c r="Z581" s="81"/>
    </row>
    <row r="582" spans="1:26" ht="24" customHeight="1" x14ac:dyDescent="0.5">
      <c r="A582" s="81"/>
      <c r="B582" s="81"/>
      <c r="C582" s="81"/>
      <c r="D582" s="81"/>
      <c r="E582" s="81"/>
      <c r="F582" s="81"/>
      <c r="G582" s="81"/>
      <c r="H582" s="81"/>
      <c r="I582" s="289"/>
      <c r="J582" s="289"/>
      <c r="K582" s="105"/>
      <c r="L582" s="81"/>
      <c r="M582" s="289"/>
      <c r="N582" s="289"/>
      <c r="O582" s="105"/>
      <c r="P582" s="81"/>
      <c r="Q582" s="289"/>
      <c r="R582" s="81"/>
      <c r="S582" s="105"/>
      <c r="T582" s="81"/>
      <c r="U582" s="81"/>
      <c r="V582" s="81"/>
      <c r="W582" s="81"/>
      <c r="X582" s="81"/>
      <c r="Y582" s="81"/>
      <c r="Z582" s="81"/>
    </row>
    <row r="583" spans="1:26" ht="24" customHeight="1" x14ac:dyDescent="0.5">
      <c r="A583" s="81"/>
      <c r="B583" s="81"/>
      <c r="C583" s="81"/>
      <c r="D583" s="81"/>
      <c r="E583" s="81"/>
      <c r="F583" s="81"/>
      <c r="G583" s="81"/>
      <c r="H583" s="81"/>
      <c r="I583" s="289"/>
      <c r="J583" s="289"/>
      <c r="K583" s="105"/>
      <c r="L583" s="81"/>
      <c r="M583" s="289"/>
      <c r="N583" s="289"/>
      <c r="O583" s="105"/>
      <c r="P583" s="81"/>
      <c r="Q583" s="289"/>
      <c r="R583" s="81"/>
      <c r="S583" s="105"/>
      <c r="T583" s="81"/>
      <c r="U583" s="81"/>
      <c r="V583" s="81"/>
      <c r="W583" s="81"/>
      <c r="X583" s="81"/>
      <c r="Y583" s="81"/>
      <c r="Z583" s="81"/>
    </row>
    <row r="584" spans="1:26" ht="24" customHeight="1" x14ac:dyDescent="0.5">
      <c r="A584" s="81"/>
      <c r="B584" s="81"/>
      <c r="C584" s="81"/>
      <c r="D584" s="81"/>
      <c r="E584" s="81"/>
      <c r="F584" s="81"/>
      <c r="G584" s="81"/>
      <c r="H584" s="81"/>
      <c r="I584" s="289"/>
      <c r="J584" s="289"/>
      <c r="K584" s="105"/>
      <c r="L584" s="81"/>
      <c r="M584" s="289"/>
      <c r="N584" s="289"/>
      <c r="O584" s="105"/>
      <c r="P584" s="81"/>
      <c r="Q584" s="289"/>
      <c r="R584" s="81"/>
      <c r="S584" s="105"/>
      <c r="T584" s="81"/>
      <c r="U584" s="81"/>
      <c r="V584" s="81"/>
      <c r="W584" s="81"/>
      <c r="X584" s="81"/>
      <c r="Y584" s="81"/>
      <c r="Z584" s="81"/>
    </row>
    <row r="585" spans="1:26" ht="24" customHeight="1" x14ac:dyDescent="0.5">
      <c r="A585" s="81"/>
      <c r="B585" s="81"/>
      <c r="C585" s="81"/>
      <c r="D585" s="81"/>
      <c r="E585" s="81"/>
      <c r="F585" s="81"/>
      <c r="G585" s="81"/>
      <c r="H585" s="81"/>
      <c r="I585" s="289"/>
      <c r="J585" s="289"/>
      <c r="K585" s="105"/>
      <c r="L585" s="81"/>
      <c r="M585" s="289"/>
      <c r="N585" s="289"/>
      <c r="O585" s="105"/>
      <c r="P585" s="81"/>
      <c r="Q585" s="289"/>
      <c r="R585" s="81"/>
      <c r="S585" s="105"/>
      <c r="T585" s="81"/>
      <c r="U585" s="81"/>
      <c r="V585" s="81"/>
      <c r="W585" s="81"/>
      <c r="X585" s="81"/>
      <c r="Y585" s="81"/>
      <c r="Z585" s="81"/>
    </row>
    <row r="586" spans="1:26" ht="24" customHeight="1" x14ac:dyDescent="0.5">
      <c r="A586" s="81"/>
      <c r="B586" s="81"/>
      <c r="C586" s="81"/>
      <c r="D586" s="81"/>
      <c r="E586" s="81"/>
      <c r="F586" s="81"/>
      <c r="G586" s="81"/>
      <c r="H586" s="81"/>
      <c r="I586" s="289"/>
      <c r="J586" s="289"/>
      <c r="K586" s="105"/>
      <c r="L586" s="81"/>
      <c r="M586" s="289"/>
      <c r="N586" s="289"/>
      <c r="O586" s="105"/>
      <c r="P586" s="81"/>
      <c r="Q586" s="289"/>
      <c r="R586" s="81"/>
      <c r="S586" s="105"/>
      <c r="T586" s="81"/>
      <c r="U586" s="81"/>
      <c r="V586" s="81"/>
      <c r="W586" s="81"/>
      <c r="X586" s="81"/>
      <c r="Y586" s="81"/>
      <c r="Z586" s="81"/>
    </row>
    <row r="587" spans="1:26" ht="24" customHeight="1" x14ac:dyDescent="0.5">
      <c r="A587" s="81"/>
      <c r="B587" s="81"/>
      <c r="C587" s="81"/>
      <c r="D587" s="81"/>
      <c r="E587" s="81"/>
      <c r="F587" s="81"/>
      <c r="G587" s="81"/>
      <c r="H587" s="81"/>
      <c r="I587" s="289"/>
      <c r="J587" s="289"/>
      <c r="K587" s="105"/>
      <c r="L587" s="81"/>
      <c r="M587" s="289"/>
      <c r="N587" s="289"/>
      <c r="O587" s="105"/>
      <c r="P587" s="81"/>
      <c r="Q587" s="289"/>
      <c r="R587" s="81"/>
      <c r="S587" s="105"/>
      <c r="T587" s="81"/>
      <c r="U587" s="81"/>
      <c r="V587" s="81"/>
      <c r="W587" s="81"/>
      <c r="X587" s="81"/>
      <c r="Y587" s="81"/>
      <c r="Z587" s="81"/>
    </row>
    <row r="588" spans="1:26" ht="24" customHeight="1" x14ac:dyDescent="0.5">
      <c r="A588" s="81"/>
      <c r="B588" s="81"/>
      <c r="C588" s="81"/>
      <c r="D588" s="81"/>
      <c r="E588" s="81"/>
      <c r="F588" s="81"/>
      <c r="G588" s="81"/>
      <c r="H588" s="81"/>
      <c r="I588" s="289"/>
      <c r="J588" s="289"/>
      <c r="K588" s="105"/>
      <c r="L588" s="81"/>
      <c r="M588" s="289"/>
      <c r="N588" s="289"/>
      <c r="O588" s="105"/>
      <c r="P588" s="81"/>
      <c r="Q588" s="289"/>
      <c r="R588" s="81"/>
      <c r="S588" s="105"/>
      <c r="T588" s="81"/>
      <c r="U588" s="81"/>
      <c r="V588" s="81"/>
      <c r="W588" s="81"/>
      <c r="X588" s="81"/>
      <c r="Y588" s="81"/>
      <c r="Z588" s="81"/>
    </row>
    <row r="589" spans="1:26" ht="24" customHeight="1" x14ac:dyDescent="0.5">
      <c r="A589" s="81"/>
      <c r="B589" s="81"/>
      <c r="C589" s="81"/>
      <c r="D589" s="81"/>
      <c r="E589" s="81"/>
      <c r="F589" s="81"/>
      <c r="G589" s="81"/>
      <c r="H589" s="81"/>
      <c r="I589" s="289"/>
      <c r="J589" s="289"/>
      <c r="K589" s="105"/>
      <c r="L589" s="81"/>
      <c r="M589" s="289"/>
      <c r="N589" s="289"/>
      <c r="O589" s="105"/>
      <c r="P589" s="81"/>
      <c r="Q589" s="289"/>
      <c r="R589" s="81"/>
      <c r="S589" s="105"/>
      <c r="T589" s="81"/>
      <c r="U589" s="81"/>
      <c r="V589" s="81"/>
      <c r="W589" s="81"/>
      <c r="X589" s="81"/>
      <c r="Y589" s="81"/>
      <c r="Z589" s="81"/>
    </row>
    <row r="590" spans="1:26" ht="24" customHeight="1" x14ac:dyDescent="0.5">
      <c r="A590" s="81"/>
      <c r="B590" s="81"/>
      <c r="C590" s="81"/>
      <c r="D590" s="81"/>
      <c r="E590" s="81"/>
      <c r="F590" s="81"/>
      <c r="G590" s="81"/>
      <c r="H590" s="81"/>
      <c r="I590" s="289"/>
      <c r="J590" s="289"/>
      <c r="K590" s="105"/>
      <c r="L590" s="81"/>
      <c r="M590" s="289"/>
      <c r="N590" s="289"/>
      <c r="O590" s="105"/>
      <c r="P590" s="81"/>
      <c r="Q590" s="289"/>
      <c r="R590" s="81"/>
      <c r="S590" s="105"/>
      <c r="T590" s="81"/>
      <c r="U590" s="81"/>
      <c r="V590" s="81"/>
      <c r="W590" s="81"/>
      <c r="X590" s="81"/>
      <c r="Y590" s="81"/>
      <c r="Z590" s="81"/>
    </row>
    <row r="591" spans="1:26" ht="24" customHeight="1" x14ac:dyDescent="0.5">
      <c r="A591" s="81"/>
      <c r="B591" s="81"/>
      <c r="C591" s="81"/>
      <c r="D591" s="81"/>
      <c r="E591" s="81"/>
      <c r="F591" s="81"/>
      <c r="G591" s="81"/>
      <c r="H591" s="81"/>
      <c r="I591" s="289"/>
      <c r="J591" s="289"/>
      <c r="K591" s="105"/>
      <c r="L591" s="81"/>
      <c r="M591" s="289"/>
      <c r="N591" s="289"/>
      <c r="O591" s="105"/>
      <c r="P591" s="81"/>
      <c r="Q591" s="289"/>
      <c r="R591" s="81"/>
      <c r="S591" s="105"/>
      <c r="T591" s="81"/>
      <c r="U591" s="81"/>
      <c r="V591" s="81"/>
      <c r="W591" s="81"/>
      <c r="X591" s="81"/>
      <c r="Y591" s="81"/>
      <c r="Z591" s="81"/>
    </row>
    <row r="592" spans="1:26" ht="24" customHeight="1" x14ac:dyDescent="0.5">
      <c r="A592" s="81"/>
      <c r="B592" s="81"/>
      <c r="C592" s="81"/>
      <c r="D592" s="81"/>
      <c r="E592" s="81"/>
      <c r="F592" s="81"/>
      <c r="G592" s="81"/>
      <c r="H592" s="81"/>
      <c r="I592" s="289"/>
      <c r="J592" s="289"/>
      <c r="K592" s="105"/>
      <c r="L592" s="81"/>
      <c r="M592" s="289"/>
      <c r="N592" s="289"/>
      <c r="O592" s="105"/>
      <c r="P592" s="81"/>
      <c r="Q592" s="289"/>
      <c r="R592" s="81"/>
      <c r="S592" s="105"/>
      <c r="T592" s="81"/>
      <c r="U592" s="81"/>
      <c r="V592" s="81"/>
      <c r="W592" s="81"/>
      <c r="X592" s="81"/>
      <c r="Y592" s="81"/>
      <c r="Z592" s="81"/>
    </row>
    <row r="593" spans="1:26" ht="24" customHeight="1" x14ac:dyDescent="0.5">
      <c r="A593" s="81"/>
      <c r="B593" s="81"/>
      <c r="C593" s="81"/>
      <c r="D593" s="81"/>
      <c r="E593" s="81"/>
      <c r="F593" s="81"/>
      <c r="G593" s="81"/>
      <c r="H593" s="81"/>
      <c r="I593" s="289"/>
      <c r="J593" s="289"/>
      <c r="K593" s="105"/>
      <c r="L593" s="81"/>
      <c r="M593" s="289"/>
      <c r="N593" s="289"/>
      <c r="O593" s="105"/>
      <c r="P593" s="81"/>
      <c r="Q593" s="289"/>
      <c r="R593" s="81"/>
      <c r="S593" s="105"/>
      <c r="T593" s="81"/>
      <c r="U593" s="81"/>
      <c r="V593" s="81"/>
      <c r="W593" s="81"/>
      <c r="X593" s="81"/>
      <c r="Y593" s="81"/>
      <c r="Z593" s="81"/>
    </row>
    <row r="594" spans="1:26" ht="24" customHeight="1" x14ac:dyDescent="0.5">
      <c r="A594" s="81"/>
      <c r="B594" s="81"/>
      <c r="C594" s="81"/>
      <c r="D594" s="81"/>
      <c r="E594" s="81"/>
      <c r="F594" s="81"/>
      <c r="G594" s="81"/>
      <c r="H594" s="81"/>
      <c r="I594" s="289"/>
      <c r="J594" s="289"/>
      <c r="K594" s="105"/>
      <c r="L594" s="81"/>
      <c r="M594" s="289"/>
      <c r="N594" s="289"/>
      <c r="O594" s="105"/>
      <c r="P594" s="81"/>
      <c r="Q594" s="289"/>
      <c r="R594" s="81"/>
      <c r="S594" s="105"/>
      <c r="T594" s="81"/>
      <c r="U594" s="81"/>
      <c r="V594" s="81"/>
      <c r="W594" s="81"/>
      <c r="X594" s="81"/>
      <c r="Y594" s="81"/>
      <c r="Z594" s="81"/>
    </row>
    <row r="595" spans="1:26" ht="24" customHeight="1" x14ac:dyDescent="0.5">
      <c r="A595" s="81"/>
      <c r="B595" s="81"/>
      <c r="C595" s="81"/>
      <c r="D595" s="81"/>
      <c r="E595" s="81"/>
      <c r="F595" s="81"/>
      <c r="G595" s="81"/>
      <c r="H595" s="81"/>
      <c r="I595" s="289"/>
      <c r="J595" s="289"/>
      <c r="K595" s="105"/>
      <c r="L595" s="81"/>
      <c r="M595" s="289"/>
      <c r="N595" s="289"/>
      <c r="O595" s="105"/>
      <c r="P595" s="81"/>
      <c r="Q595" s="289"/>
      <c r="R595" s="81"/>
      <c r="S595" s="105"/>
      <c r="T595" s="81"/>
      <c r="U595" s="81"/>
      <c r="V595" s="81"/>
      <c r="W595" s="81"/>
      <c r="X595" s="81"/>
      <c r="Y595" s="81"/>
      <c r="Z595" s="81"/>
    </row>
    <row r="596" spans="1:26" ht="24" customHeight="1" x14ac:dyDescent="0.5">
      <c r="A596" s="81"/>
      <c r="B596" s="81"/>
      <c r="C596" s="81"/>
      <c r="D596" s="81"/>
      <c r="E596" s="81"/>
      <c r="F596" s="81"/>
      <c r="G596" s="81"/>
      <c r="H596" s="81"/>
      <c r="I596" s="289"/>
      <c r="J596" s="289"/>
      <c r="K596" s="105"/>
      <c r="L596" s="81"/>
      <c r="M596" s="289"/>
      <c r="N596" s="289"/>
      <c r="O596" s="105"/>
      <c r="P596" s="81"/>
      <c r="Q596" s="289"/>
      <c r="R596" s="81"/>
      <c r="S596" s="105"/>
      <c r="T596" s="81"/>
      <c r="U596" s="81"/>
      <c r="V596" s="81"/>
      <c r="W596" s="81"/>
      <c r="X596" s="81"/>
      <c r="Y596" s="81"/>
      <c r="Z596" s="81"/>
    </row>
    <row r="597" spans="1:26" ht="24" customHeight="1" x14ac:dyDescent="0.5">
      <c r="A597" s="81"/>
      <c r="B597" s="81"/>
      <c r="C597" s="81"/>
      <c r="D597" s="81"/>
      <c r="E597" s="81"/>
      <c r="F597" s="81"/>
      <c r="G597" s="81"/>
      <c r="H597" s="81"/>
      <c r="I597" s="289"/>
      <c r="J597" s="289"/>
      <c r="K597" s="105"/>
      <c r="L597" s="81"/>
      <c r="M597" s="289"/>
      <c r="N597" s="289"/>
      <c r="O597" s="105"/>
      <c r="P597" s="81"/>
      <c r="Q597" s="289"/>
      <c r="R597" s="81"/>
      <c r="S597" s="105"/>
      <c r="T597" s="81"/>
      <c r="U597" s="81"/>
      <c r="V597" s="81"/>
      <c r="W597" s="81"/>
      <c r="X597" s="81"/>
      <c r="Y597" s="81"/>
      <c r="Z597" s="81"/>
    </row>
    <row r="598" spans="1:26" ht="24" customHeight="1" x14ac:dyDescent="0.5">
      <c r="A598" s="81"/>
      <c r="B598" s="81"/>
      <c r="C598" s="81"/>
      <c r="D598" s="81"/>
      <c r="E598" s="81"/>
      <c r="F598" s="81"/>
      <c r="G598" s="81"/>
      <c r="H598" s="81"/>
      <c r="I598" s="289"/>
      <c r="J598" s="289"/>
      <c r="K598" s="105"/>
      <c r="L598" s="81"/>
      <c r="M598" s="289"/>
      <c r="N598" s="289"/>
      <c r="O598" s="105"/>
      <c r="P598" s="81"/>
      <c r="Q598" s="289"/>
      <c r="R598" s="81"/>
      <c r="S598" s="105"/>
      <c r="T598" s="81"/>
      <c r="U598" s="81"/>
      <c r="V598" s="81"/>
      <c r="W598" s="81"/>
      <c r="X598" s="81"/>
      <c r="Y598" s="81"/>
      <c r="Z598" s="81"/>
    </row>
    <row r="599" spans="1:26" ht="24" customHeight="1" x14ac:dyDescent="0.5">
      <c r="A599" s="81"/>
      <c r="B599" s="81"/>
      <c r="C599" s="81"/>
      <c r="D599" s="81"/>
      <c r="E599" s="81"/>
      <c r="F599" s="81"/>
      <c r="G599" s="81"/>
      <c r="H599" s="81"/>
      <c r="I599" s="289"/>
      <c r="J599" s="289"/>
      <c r="K599" s="105"/>
      <c r="L599" s="81"/>
      <c r="M599" s="289"/>
      <c r="N599" s="289"/>
      <c r="O599" s="105"/>
      <c r="P599" s="81"/>
      <c r="Q599" s="289"/>
      <c r="R599" s="81"/>
      <c r="S599" s="105"/>
      <c r="T599" s="81"/>
      <c r="U599" s="81"/>
      <c r="V599" s="81"/>
      <c r="W599" s="81"/>
      <c r="X599" s="81"/>
      <c r="Y599" s="81"/>
      <c r="Z599" s="81"/>
    </row>
    <row r="600" spans="1:26" ht="24" customHeight="1" x14ac:dyDescent="0.5">
      <c r="A600" s="81"/>
      <c r="B600" s="81"/>
      <c r="C600" s="81"/>
      <c r="D600" s="81"/>
      <c r="E600" s="81"/>
      <c r="F600" s="81"/>
      <c r="G600" s="81"/>
      <c r="H600" s="81"/>
      <c r="I600" s="289"/>
      <c r="J600" s="289"/>
      <c r="K600" s="105"/>
      <c r="L600" s="81"/>
      <c r="M600" s="289"/>
      <c r="N600" s="289"/>
      <c r="O600" s="105"/>
      <c r="P600" s="81"/>
      <c r="Q600" s="289"/>
      <c r="R600" s="81"/>
      <c r="S600" s="105"/>
      <c r="T600" s="81"/>
      <c r="U600" s="81"/>
      <c r="V600" s="81"/>
      <c r="W600" s="81"/>
      <c r="X600" s="81"/>
      <c r="Y600" s="81"/>
      <c r="Z600" s="81"/>
    </row>
    <row r="601" spans="1:26" ht="24" customHeight="1" x14ac:dyDescent="0.5">
      <c r="A601" s="81"/>
      <c r="B601" s="81"/>
      <c r="C601" s="81"/>
      <c r="D601" s="81"/>
      <c r="E601" s="81"/>
      <c r="F601" s="81"/>
      <c r="G601" s="81"/>
      <c r="H601" s="81"/>
      <c r="I601" s="289"/>
      <c r="J601" s="289"/>
      <c r="K601" s="105"/>
      <c r="L601" s="81"/>
      <c r="M601" s="289"/>
      <c r="N601" s="289"/>
      <c r="O601" s="105"/>
      <c r="P601" s="81"/>
      <c r="Q601" s="289"/>
      <c r="R601" s="81"/>
      <c r="S601" s="105"/>
      <c r="T601" s="81"/>
      <c r="U601" s="81"/>
      <c r="V601" s="81"/>
      <c r="W601" s="81"/>
      <c r="X601" s="81"/>
      <c r="Y601" s="81"/>
      <c r="Z601" s="81"/>
    </row>
    <row r="602" spans="1:26" ht="24" customHeight="1" x14ac:dyDescent="0.5">
      <c r="A602" s="81"/>
      <c r="B602" s="81"/>
      <c r="C602" s="81"/>
      <c r="D602" s="81"/>
      <c r="E602" s="81"/>
      <c r="F602" s="81"/>
      <c r="G602" s="81"/>
      <c r="H602" s="81"/>
      <c r="I602" s="289"/>
      <c r="J602" s="289"/>
      <c r="K602" s="105"/>
      <c r="L602" s="81"/>
      <c r="M602" s="289"/>
      <c r="N602" s="289"/>
      <c r="O602" s="105"/>
      <c r="P602" s="81"/>
      <c r="Q602" s="289"/>
      <c r="R602" s="81"/>
      <c r="S602" s="105"/>
      <c r="T602" s="81"/>
      <c r="U602" s="81"/>
      <c r="V602" s="81"/>
      <c r="W602" s="81"/>
      <c r="X602" s="81"/>
      <c r="Y602" s="81"/>
      <c r="Z602" s="81"/>
    </row>
    <row r="603" spans="1:26" ht="24" customHeight="1" x14ac:dyDescent="0.5">
      <c r="A603" s="81"/>
      <c r="B603" s="81"/>
      <c r="C603" s="81"/>
      <c r="D603" s="81"/>
      <c r="E603" s="81"/>
      <c r="F603" s="81"/>
      <c r="G603" s="81"/>
      <c r="H603" s="81"/>
      <c r="I603" s="289"/>
      <c r="J603" s="289"/>
      <c r="K603" s="105"/>
      <c r="L603" s="81"/>
      <c r="M603" s="289"/>
      <c r="N603" s="289"/>
      <c r="O603" s="105"/>
      <c r="P603" s="81"/>
      <c r="Q603" s="289"/>
      <c r="R603" s="81"/>
      <c r="S603" s="105"/>
      <c r="T603" s="81"/>
      <c r="U603" s="81"/>
      <c r="V603" s="81"/>
      <c r="W603" s="81"/>
      <c r="X603" s="81"/>
      <c r="Y603" s="81"/>
      <c r="Z603" s="81"/>
    </row>
    <row r="604" spans="1:26" ht="24" customHeight="1" x14ac:dyDescent="0.5">
      <c r="A604" s="81"/>
      <c r="B604" s="81"/>
      <c r="C604" s="81"/>
      <c r="D604" s="81"/>
      <c r="E604" s="81"/>
      <c r="F604" s="81"/>
      <c r="G604" s="81"/>
      <c r="H604" s="81"/>
      <c r="I604" s="289"/>
      <c r="J604" s="289"/>
      <c r="K604" s="105"/>
      <c r="L604" s="81"/>
      <c r="M604" s="289"/>
      <c r="N604" s="289"/>
      <c r="O604" s="105"/>
      <c r="P604" s="81"/>
      <c r="Q604" s="289"/>
      <c r="R604" s="81"/>
      <c r="S604" s="105"/>
      <c r="T604" s="81"/>
      <c r="U604" s="81"/>
      <c r="V604" s="81"/>
      <c r="W604" s="81"/>
      <c r="X604" s="81"/>
      <c r="Y604" s="81"/>
      <c r="Z604" s="81"/>
    </row>
    <row r="605" spans="1:26" ht="24" customHeight="1" x14ac:dyDescent="0.5">
      <c r="A605" s="81"/>
      <c r="B605" s="81"/>
      <c r="C605" s="81"/>
      <c r="D605" s="81"/>
      <c r="E605" s="81"/>
      <c r="F605" s="81"/>
      <c r="G605" s="81"/>
      <c r="H605" s="81"/>
      <c r="I605" s="289"/>
      <c r="J605" s="289"/>
      <c r="K605" s="105"/>
      <c r="L605" s="81"/>
      <c r="M605" s="289"/>
      <c r="N605" s="289"/>
      <c r="O605" s="105"/>
      <c r="P605" s="81"/>
      <c r="Q605" s="289"/>
      <c r="R605" s="81"/>
      <c r="S605" s="105"/>
      <c r="T605" s="81"/>
      <c r="U605" s="81"/>
      <c r="V605" s="81"/>
      <c r="W605" s="81"/>
      <c r="X605" s="81"/>
      <c r="Y605" s="81"/>
      <c r="Z605" s="81"/>
    </row>
    <row r="606" spans="1:26" ht="24" customHeight="1" x14ac:dyDescent="0.5">
      <c r="A606" s="81"/>
      <c r="B606" s="81"/>
      <c r="C606" s="81"/>
      <c r="D606" s="81"/>
      <c r="E606" s="81"/>
      <c r="F606" s="81"/>
      <c r="G606" s="81"/>
      <c r="H606" s="81"/>
      <c r="I606" s="289"/>
      <c r="J606" s="289"/>
      <c r="K606" s="105"/>
      <c r="L606" s="81"/>
      <c r="M606" s="289"/>
      <c r="N606" s="289"/>
      <c r="O606" s="105"/>
      <c r="P606" s="81"/>
      <c r="Q606" s="289"/>
      <c r="R606" s="81"/>
      <c r="S606" s="105"/>
      <c r="T606" s="81"/>
      <c r="U606" s="81"/>
      <c r="V606" s="81"/>
      <c r="W606" s="81"/>
      <c r="X606" s="81"/>
      <c r="Y606" s="81"/>
      <c r="Z606" s="81"/>
    </row>
    <row r="607" spans="1:26" ht="24" customHeight="1" x14ac:dyDescent="0.5">
      <c r="A607" s="81"/>
      <c r="B607" s="81"/>
      <c r="C607" s="81"/>
      <c r="D607" s="81"/>
      <c r="E607" s="81"/>
      <c r="F607" s="81"/>
      <c r="G607" s="81"/>
      <c r="H607" s="81"/>
      <c r="I607" s="289"/>
      <c r="J607" s="289"/>
      <c r="K607" s="105"/>
      <c r="L607" s="81"/>
      <c r="M607" s="289"/>
      <c r="N607" s="289"/>
      <c r="O607" s="105"/>
      <c r="P607" s="81"/>
      <c r="Q607" s="289"/>
      <c r="R607" s="81"/>
      <c r="S607" s="105"/>
      <c r="T607" s="81"/>
      <c r="U607" s="81"/>
      <c r="V607" s="81"/>
      <c r="W607" s="81"/>
      <c r="X607" s="81"/>
      <c r="Y607" s="81"/>
      <c r="Z607" s="81"/>
    </row>
    <row r="608" spans="1:26" ht="24" customHeight="1" x14ac:dyDescent="0.5">
      <c r="A608" s="81"/>
      <c r="B608" s="81"/>
      <c r="C608" s="81"/>
      <c r="D608" s="81"/>
      <c r="E608" s="81"/>
      <c r="F608" s="81"/>
      <c r="G608" s="81"/>
      <c r="H608" s="81"/>
      <c r="I608" s="289"/>
      <c r="J608" s="289"/>
      <c r="K608" s="105"/>
      <c r="L608" s="81"/>
      <c r="M608" s="289"/>
      <c r="N608" s="289"/>
      <c r="O608" s="105"/>
      <c r="P608" s="81"/>
      <c r="Q608" s="289"/>
      <c r="R608" s="81"/>
      <c r="S608" s="105"/>
      <c r="T608" s="81"/>
      <c r="U608" s="81"/>
      <c r="V608" s="81"/>
      <c r="W608" s="81"/>
      <c r="X608" s="81"/>
      <c r="Y608" s="81"/>
      <c r="Z608" s="81"/>
    </row>
    <row r="609" spans="1:26" ht="24" customHeight="1" x14ac:dyDescent="0.5">
      <c r="A609" s="81"/>
      <c r="B609" s="81"/>
      <c r="C609" s="81"/>
      <c r="D609" s="81"/>
      <c r="E609" s="81"/>
      <c r="F609" s="81"/>
      <c r="G609" s="81"/>
      <c r="H609" s="81"/>
      <c r="I609" s="289"/>
      <c r="J609" s="289"/>
      <c r="K609" s="105"/>
      <c r="L609" s="81"/>
      <c r="M609" s="289"/>
      <c r="N609" s="289"/>
      <c r="O609" s="105"/>
      <c r="P609" s="81"/>
      <c r="Q609" s="289"/>
      <c r="R609" s="81"/>
      <c r="S609" s="105"/>
      <c r="T609" s="81"/>
      <c r="U609" s="81"/>
      <c r="V609" s="81"/>
      <c r="W609" s="81"/>
      <c r="X609" s="81"/>
      <c r="Y609" s="81"/>
      <c r="Z609" s="81"/>
    </row>
    <row r="610" spans="1:26" ht="24" customHeight="1" x14ac:dyDescent="0.5">
      <c r="A610" s="81"/>
      <c r="B610" s="81"/>
      <c r="C610" s="81"/>
      <c r="D610" s="81"/>
      <c r="E610" s="81"/>
      <c r="F610" s="81"/>
      <c r="G610" s="81"/>
      <c r="H610" s="81"/>
      <c r="I610" s="289"/>
      <c r="J610" s="289"/>
      <c r="K610" s="105"/>
      <c r="L610" s="81"/>
      <c r="M610" s="289"/>
      <c r="N610" s="289"/>
      <c r="O610" s="105"/>
      <c r="P610" s="81"/>
      <c r="Q610" s="289"/>
      <c r="R610" s="81"/>
      <c r="S610" s="105"/>
      <c r="T610" s="81"/>
      <c r="U610" s="81"/>
      <c r="V610" s="81"/>
      <c r="W610" s="81"/>
      <c r="X610" s="81"/>
      <c r="Y610" s="81"/>
      <c r="Z610" s="81"/>
    </row>
    <row r="611" spans="1:26" ht="24" customHeight="1" x14ac:dyDescent="0.5">
      <c r="A611" s="81"/>
      <c r="B611" s="81"/>
      <c r="C611" s="81"/>
      <c r="D611" s="81"/>
      <c r="E611" s="81"/>
      <c r="F611" s="81"/>
      <c r="G611" s="81"/>
      <c r="H611" s="81"/>
      <c r="I611" s="289"/>
      <c r="J611" s="289"/>
      <c r="K611" s="105"/>
      <c r="L611" s="81"/>
      <c r="M611" s="289"/>
      <c r="N611" s="289"/>
      <c r="O611" s="105"/>
      <c r="P611" s="81"/>
      <c r="Q611" s="289"/>
      <c r="R611" s="81"/>
      <c r="S611" s="105"/>
      <c r="T611" s="81"/>
      <c r="U611" s="81"/>
      <c r="V611" s="81"/>
      <c r="W611" s="81"/>
      <c r="X611" s="81"/>
      <c r="Y611" s="81"/>
      <c r="Z611" s="81"/>
    </row>
    <row r="612" spans="1:26" ht="24" customHeight="1" x14ac:dyDescent="0.5">
      <c r="A612" s="81"/>
      <c r="B612" s="81"/>
      <c r="C612" s="81"/>
      <c r="D612" s="81"/>
      <c r="E612" s="81"/>
      <c r="F612" s="81"/>
      <c r="G612" s="81"/>
      <c r="H612" s="81"/>
      <c r="I612" s="289"/>
      <c r="J612" s="289"/>
      <c r="K612" s="105"/>
      <c r="L612" s="81"/>
      <c r="M612" s="289"/>
      <c r="N612" s="289"/>
      <c r="O612" s="105"/>
      <c r="P612" s="81"/>
      <c r="Q612" s="289"/>
      <c r="R612" s="81"/>
      <c r="S612" s="105"/>
      <c r="T612" s="81"/>
      <c r="U612" s="81"/>
      <c r="V612" s="81"/>
      <c r="W612" s="81"/>
      <c r="X612" s="81"/>
      <c r="Y612" s="81"/>
      <c r="Z612" s="81"/>
    </row>
    <row r="613" spans="1:26" ht="24" customHeight="1" x14ac:dyDescent="0.5">
      <c r="A613" s="81"/>
      <c r="B613" s="81"/>
      <c r="C613" s="81"/>
      <c r="D613" s="81"/>
      <c r="E613" s="81"/>
      <c r="F613" s="81"/>
      <c r="G613" s="81"/>
      <c r="H613" s="81"/>
      <c r="I613" s="289"/>
      <c r="J613" s="289"/>
      <c r="K613" s="105"/>
      <c r="L613" s="81"/>
      <c r="M613" s="289"/>
      <c r="N613" s="289"/>
      <c r="O613" s="105"/>
      <c r="P613" s="81"/>
      <c r="Q613" s="289"/>
      <c r="R613" s="81"/>
      <c r="S613" s="105"/>
      <c r="T613" s="81"/>
      <c r="U613" s="81"/>
      <c r="V613" s="81"/>
      <c r="W613" s="81"/>
      <c r="X613" s="81"/>
      <c r="Y613" s="81"/>
      <c r="Z613" s="81"/>
    </row>
    <row r="614" spans="1:26" ht="24" customHeight="1" x14ac:dyDescent="0.5">
      <c r="A614" s="81"/>
      <c r="B614" s="81"/>
      <c r="C614" s="81"/>
      <c r="D614" s="81"/>
      <c r="E614" s="81"/>
      <c r="F614" s="81"/>
      <c r="G614" s="81"/>
      <c r="H614" s="81"/>
      <c r="I614" s="289"/>
      <c r="J614" s="289"/>
      <c r="K614" s="105"/>
      <c r="L614" s="81"/>
      <c r="M614" s="289"/>
      <c r="N614" s="289"/>
      <c r="O614" s="105"/>
      <c r="P614" s="81"/>
      <c r="Q614" s="289"/>
      <c r="R614" s="81"/>
      <c r="S614" s="105"/>
      <c r="T614" s="81"/>
      <c r="U614" s="81"/>
      <c r="V614" s="81"/>
      <c r="W614" s="81"/>
      <c r="X614" s="81"/>
      <c r="Y614" s="81"/>
      <c r="Z614" s="81"/>
    </row>
    <row r="615" spans="1:26" ht="24" customHeight="1" x14ac:dyDescent="0.5">
      <c r="A615" s="81"/>
      <c r="B615" s="81"/>
      <c r="C615" s="81"/>
      <c r="D615" s="81"/>
      <c r="E615" s="81"/>
      <c r="F615" s="81"/>
      <c r="G615" s="81"/>
      <c r="H615" s="81"/>
      <c r="I615" s="289"/>
      <c r="J615" s="289"/>
      <c r="K615" s="105"/>
      <c r="L615" s="81"/>
      <c r="M615" s="289"/>
      <c r="N615" s="289"/>
      <c r="O615" s="105"/>
      <c r="P615" s="81"/>
      <c r="Q615" s="289"/>
      <c r="R615" s="81"/>
      <c r="S615" s="105"/>
      <c r="T615" s="81"/>
      <c r="U615" s="81"/>
      <c r="V615" s="81"/>
      <c r="W615" s="81"/>
      <c r="X615" s="81"/>
      <c r="Y615" s="81"/>
      <c r="Z615" s="81"/>
    </row>
    <row r="616" spans="1:26" ht="24" customHeight="1" x14ac:dyDescent="0.5">
      <c r="A616" s="81"/>
      <c r="B616" s="81"/>
      <c r="C616" s="81"/>
      <c r="D616" s="81"/>
      <c r="E616" s="81"/>
      <c r="F616" s="81"/>
      <c r="G616" s="81"/>
      <c r="H616" s="81"/>
      <c r="I616" s="289"/>
      <c r="J616" s="289"/>
      <c r="K616" s="105"/>
      <c r="L616" s="81"/>
      <c r="M616" s="289"/>
      <c r="N616" s="289"/>
      <c r="O616" s="105"/>
      <c r="P616" s="81"/>
      <c r="Q616" s="289"/>
      <c r="R616" s="81"/>
      <c r="S616" s="105"/>
      <c r="T616" s="81"/>
      <c r="U616" s="81"/>
      <c r="V616" s="81"/>
      <c r="W616" s="81"/>
      <c r="X616" s="81"/>
      <c r="Y616" s="81"/>
      <c r="Z616" s="81"/>
    </row>
    <row r="617" spans="1:26" ht="24" customHeight="1" x14ac:dyDescent="0.5">
      <c r="A617" s="81"/>
      <c r="B617" s="81"/>
      <c r="C617" s="81"/>
      <c r="D617" s="81"/>
      <c r="E617" s="81"/>
      <c r="F617" s="81"/>
      <c r="G617" s="81"/>
      <c r="H617" s="81"/>
      <c r="I617" s="289"/>
      <c r="J617" s="289"/>
      <c r="K617" s="105"/>
      <c r="L617" s="81"/>
      <c r="M617" s="289"/>
      <c r="N617" s="289"/>
      <c r="O617" s="105"/>
      <c r="P617" s="81"/>
      <c r="Q617" s="289"/>
      <c r="R617" s="81"/>
      <c r="S617" s="105"/>
      <c r="T617" s="81"/>
      <c r="U617" s="81"/>
      <c r="V617" s="81"/>
      <c r="W617" s="81"/>
      <c r="X617" s="81"/>
      <c r="Y617" s="81"/>
      <c r="Z617" s="81"/>
    </row>
    <row r="618" spans="1:26" ht="24" customHeight="1" x14ac:dyDescent="0.5">
      <c r="A618" s="81"/>
      <c r="B618" s="81"/>
      <c r="C618" s="81"/>
      <c r="D618" s="81"/>
      <c r="E618" s="81"/>
      <c r="F618" s="81"/>
      <c r="G618" s="81"/>
      <c r="H618" s="81"/>
      <c r="I618" s="289"/>
      <c r="J618" s="289"/>
      <c r="K618" s="105"/>
      <c r="L618" s="81"/>
      <c r="M618" s="289"/>
      <c r="N618" s="289"/>
      <c r="O618" s="105"/>
      <c r="P618" s="81"/>
      <c r="Q618" s="289"/>
      <c r="R618" s="81"/>
      <c r="S618" s="105"/>
      <c r="T618" s="81"/>
      <c r="U618" s="81"/>
      <c r="V618" s="81"/>
      <c r="W618" s="81"/>
      <c r="X618" s="81"/>
      <c r="Y618" s="81"/>
      <c r="Z618" s="81"/>
    </row>
    <row r="619" spans="1:26" ht="24" customHeight="1" x14ac:dyDescent="0.5">
      <c r="A619" s="81"/>
      <c r="B619" s="81"/>
      <c r="C619" s="81"/>
      <c r="D619" s="81"/>
      <c r="E619" s="81"/>
      <c r="F619" s="81"/>
      <c r="G619" s="81"/>
      <c r="H619" s="81"/>
      <c r="I619" s="289"/>
      <c r="J619" s="289"/>
      <c r="K619" s="105"/>
      <c r="L619" s="81"/>
      <c r="M619" s="289"/>
      <c r="N619" s="289"/>
      <c r="O619" s="105"/>
      <c r="P619" s="81"/>
      <c r="Q619" s="289"/>
      <c r="R619" s="81"/>
      <c r="S619" s="105"/>
      <c r="T619" s="81"/>
      <c r="U619" s="81"/>
      <c r="V619" s="81"/>
      <c r="W619" s="81"/>
      <c r="X619" s="81"/>
      <c r="Y619" s="81"/>
      <c r="Z619" s="81"/>
    </row>
    <row r="620" spans="1:26" ht="24" customHeight="1" x14ac:dyDescent="0.5">
      <c r="A620" s="81"/>
      <c r="B620" s="81"/>
      <c r="C620" s="81"/>
      <c r="D620" s="81"/>
      <c r="E620" s="81"/>
      <c r="F620" s="81"/>
      <c r="G620" s="81"/>
      <c r="H620" s="81"/>
      <c r="I620" s="289"/>
      <c r="J620" s="289"/>
      <c r="K620" s="105"/>
      <c r="L620" s="81"/>
      <c r="M620" s="289"/>
      <c r="N620" s="289"/>
      <c r="O620" s="105"/>
      <c r="P620" s="81"/>
      <c r="Q620" s="289"/>
      <c r="R620" s="81"/>
      <c r="S620" s="105"/>
      <c r="T620" s="81"/>
      <c r="U620" s="81"/>
      <c r="V620" s="81"/>
      <c r="W620" s="81"/>
      <c r="X620" s="81"/>
      <c r="Y620" s="81"/>
      <c r="Z620" s="81"/>
    </row>
    <row r="621" spans="1:26" ht="24" customHeight="1" x14ac:dyDescent="0.5">
      <c r="A621" s="81"/>
      <c r="B621" s="81"/>
      <c r="C621" s="81"/>
      <c r="D621" s="81"/>
      <c r="E621" s="81"/>
      <c r="F621" s="81"/>
      <c r="G621" s="81"/>
      <c r="H621" s="81"/>
      <c r="I621" s="289"/>
      <c r="J621" s="289"/>
      <c r="K621" s="105"/>
      <c r="L621" s="81"/>
      <c r="M621" s="289"/>
      <c r="N621" s="289"/>
      <c r="O621" s="105"/>
      <c r="P621" s="81"/>
      <c r="Q621" s="289"/>
      <c r="R621" s="81"/>
      <c r="S621" s="105"/>
      <c r="T621" s="81"/>
      <c r="U621" s="81"/>
      <c r="V621" s="81"/>
      <c r="W621" s="81"/>
      <c r="X621" s="81"/>
      <c r="Y621" s="81"/>
      <c r="Z621" s="81"/>
    </row>
    <row r="622" spans="1:26" ht="24" customHeight="1" x14ac:dyDescent="0.5">
      <c r="A622" s="81"/>
      <c r="B622" s="81"/>
      <c r="C622" s="81"/>
      <c r="D622" s="81"/>
      <c r="E622" s="81"/>
      <c r="F622" s="81"/>
      <c r="G622" s="81"/>
      <c r="H622" s="81"/>
      <c r="I622" s="289"/>
      <c r="J622" s="289"/>
      <c r="K622" s="105"/>
      <c r="L622" s="81"/>
      <c r="M622" s="289"/>
      <c r="N622" s="289"/>
      <c r="O622" s="105"/>
      <c r="P622" s="81"/>
      <c r="Q622" s="289"/>
      <c r="R622" s="81"/>
      <c r="S622" s="105"/>
      <c r="T622" s="81"/>
      <c r="U622" s="81"/>
      <c r="V622" s="81"/>
      <c r="W622" s="81"/>
      <c r="X622" s="81"/>
      <c r="Y622" s="81"/>
      <c r="Z622" s="81"/>
    </row>
    <row r="623" spans="1:26" ht="24" customHeight="1" x14ac:dyDescent="0.5">
      <c r="A623" s="81"/>
      <c r="B623" s="81"/>
      <c r="C623" s="81"/>
      <c r="D623" s="81"/>
      <c r="E623" s="81"/>
      <c r="F623" s="81"/>
      <c r="G623" s="81"/>
      <c r="H623" s="81"/>
      <c r="I623" s="289"/>
      <c r="J623" s="289"/>
      <c r="K623" s="105"/>
      <c r="L623" s="81"/>
      <c r="M623" s="289"/>
      <c r="N623" s="289"/>
      <c r="O623" s="105"/>
      <c r="P623" s="81"/>
      <c r="Q623" s="289"/>
      <c r="R623" s="81"/>
      <c r="S623" s="105"/>
      <c r="T623" s="81"/>
      <c r="U623" s="81"/>
      <c r="V623" s="81"/>
      <c r="W623" s="81"/>
      <c r="X623" s="81"/>
      <c r="Y623" s="81"/>
      <c r="Z623" s="81"/>
    </row>
    <row r="624" spans="1:26" ht="24" customHeight="1" x14ac:dyDescent="0.5">
      <c r="A624" s="81"/>
      <c r="B624" s="81"/>
      <c r="C624" s="81"/>
      <c r="D624" s="81"/>
      <c r="E624" s="81"/>
      <c r="F624" s="81"/>
      <c r="G624" s="81"/>
      <c r="H624" s="81"/>
      <c r="I624" s="289"/>
      <c r="J624" s="289"/>
      <c r="K624" s="105"/>
      <c r="L624" s="81"/>
      <c r="M624" s="289"/>
      <c r="N624" s="289"/>
      <c r="O624" s="105"/>
      <c r="P624" s="81"/>
      <c r="Q624" s="289"/>
      <c r="R624" s="81"/>
      <c r="S624" s="105"/>
      <c r="T624" s="81"/>
      <c r="U624" s="81"/>
      <c r="V624" s="81"/>
      <c r="W624" s="81"/>
      <c r="X624" s="81"/>
      <c r="Y624" s="81"/>
      <c r="Z624" s="81"/>
    </row>
    <row r="625" spans="1:26" ht="24" customHeight="1" x14ac:dyDescent="0.5">
      <c r="A625" s="81"/>
      <c r="B625" s="81"/>
      <c r="C625" s="81"/>
      <c r="D625" s="81"/>
      <c r="E625" s="81"/>
      <c r="F625" s="81"/>
      <c r="G625" s="81"/>
      <c r="H625" s="81"/>
      <c r="I625" s="289"/>
      <c r="J625" s="289"/>
      <c r="K625" s="105"/>
      <c r="L625" s="81"/>
      <c r="M625" s="289"/>
      <c r="N625" s="289"/>
      <c r="O625" s="105"/>
      <c r="P625" s="81"/>
      <c r="Q625" s="289"/>
      <c r="R625" s="81"/>
      <c r="S625" s="105"/>
      <c r="T625" s="81"/>
      <c r="U625" s="81"/>
      <c r="V625" s="81"/>
      <c r="W625" s="81"/>
      <c r="X625" s="81"/>
      <c r="Y625" s="81"/>
      <c r="Z625" s="81"/>
    </row>
    <row r="626" spans="1:26" ht="24" customHeight="1" x14ac:dyDescent="0.5">
      <c r="A626" s="81"/>
      <c r="B626" s="81"/>
      <c r="C626" s="81"/>
      <c r="D626" s="81"/>
      <c r="E626" s="81"/>
      <c r="F626" s="81"/>
      <c r="G626" s="81"/>
      <c r="H626" s="81"/>
      <c r="I626" s="289"/>
      <c r="J626" s="289"/>
      <c r="K626" s="105"/>
      <c r="L626" s="81"/>
      <c r="M626" s="289"/>
      <c r="N626" s="289"/>
      <c r="O626" s="105"/>
      <c r="P626" s="81"/>
      <c r="Q626" s="289"/>
      <c r="R626" s="81"/>
      <c r="S626" s="105"/>
      <c r="T626" s="81"/>
      <c r="U626" s="81"/>
      <c r="V626" s="81"/>
      <c r="W626" s="81"/>
      <c r="X626" s="81"/>
      <c r="Y626" s="81"/>
      <c r="Z626" s="81"/>
    </row>
    <row r="627" spans="1:26" ht="24" customHeight="1" x14ac:dyDescent="0.5">
      <c r="A627" s="81"/>
      <c r="B627" s="81"/>
      <c r="C627" s="81"/>
      <c r="D627" s="81"/>
      <c r="E627" s="81"/>
      <c r="F627" s="81"/>
      <c r="G627" s="81"/>
      <c r="H627" s="81"/>
      <c r="I627" s="289"/>
      <c r="J627" s="289"/>
      <c r="K627" s="105"/>
      <c r="L627" s="81"/>
      <c r="M627" s="289"/>
      <c r="N627" s="289"/>
      <c r="O627" s="105"/>
      <c r="P627" s="81"/>
      <c r="Q627" s="289"/>
      <c r="R627" s="81"/>
      <c r="S627" s="105"/>
      <c r="T627" s="81"/>
      <c r="U627" s="81"/>
      <c r="V627" s="81"/>
      <c r="W627" s="81"/>
      <c r="X627" s="81"/>
      <c r="Y627" s="81"/>
      <c r="Z627" s="81"/>
    </row>
    <row r="628" spans="1:26" ht="24" customHeight="1" x14ac:dyDescent="0.5">
      <c r="A628" s="81"/>
      <c r="B628" s="81"/>
      <c r="C628" s="81"/>
      <c r="D628" s="81"/>
      <c r="E628" s="81"/>
      <c r="F628" s="81"/>
      <c r="G628" s="81"/>
      <c r="H628" s="81"/>
      <c r="I628" s="289"/>
      <c r="J628" s="289"/>
      <c r="K628" s="105"/>
      <c r="L628" s="81"/>
      <c r="M628" s="289"/>
      <c r="N628" s="289"/>
      <c r="O628" s="105"/>
      <c r="P628" s="81"/>
      <c r="Q628" s="289"/>
      <c r="R628" s="81"/>
      <c r="S628" s="105"/>
      <c r="T628" s="81"/>
      <c r="U628" s="81"/>
      <c r="V628" s="81"/>
      <c r="W628" s="81"/>
      <c r="X628" s="81"/>
      <c r="Y628" s="81"/>
      <c r="Z628" s="81"/>
    </row>
    <row r="629" spans="1:26" ht="24" customHeight="1" x14ac:dyDescent="0.5">
      <c r="A629" s="81"/>
      <c r="B629" s="81"/>
      <c r="C629" s="81"/>
      <c r="D629" s="81"/>
      <c r="E629" s="81"/>
      <c r="F629" s="81"/>
      <c r="G629" s="81"/>
      <c r="H629" s="81"/>
      <c r="I629" s="289"/>
      <c r="J629" s="289"/>
      <c r="K629" s="105"/>
      <c r="L629" s="81"/>
      <c r="M629" s="289"/>
      <c r="N629" s="289"/>
      <c r="O629" s="105"/>
      <c r="P629" s="81"/>
      <c r="Q629" s="289"/>
      <c r="R629" s="81"/>
      <c r="S629" s="105"/>
      <c r="T629" s="81"/>
      <c r="U629" s="81"/>
      <c r="V629" s="81"/>
      <c r="W629" s="81"/>
      <c r="X629" s="81"/>
      <c r="Y629" s="81"/>
      <c r="Z629" s="81"/>
    </row>
    <row r="630" spans="1:26" ht="24" customHeight="1" x14ac:dyDescent="0.5">
      <c r="A630" s="81"/>
      <c r="B630" s="81"/>
      <c r="C630" s="81"/>
      <c r="D630" s="81"/>
      <c r="E630" s="81"/>
      <c r="F630" s="81"/>
      <c r="G630" s="81"/>
      <c r="H630" s="81"/>
      <c r="I630" s="289"/>
      <c r="J630" s="289"/>
      <c r="K630" s="105"/>
      <c r="L630" s="81"/>
      <c r="M630" s="289"/>
      <c r="N630" s="289"/>
      <c r="O630" s="105"/>
      <c r="P630" s="81"/>
      <c r="Q630" s="289"/>
      <c r="R630" s="81"/>
      <c r="S630" s="105"/>
      <c r="T630" s="81"/>
      <c r="U630" s="81"/>
      <c r="V630" s="81"/>
      <c r="W630" s="81"/>
      <c r="X630" s="81"/>
      <c r="Y630" s="81"/>
      <c r="Z630" s="81"/>
    </row>
    <row r="631" spans="1:26" ht="24" customHeight="1" x14ac:dyDescent="0.5">
      <c r="A631" s="81"/>
      <c r="B631" s="81"/>
      <c r="C631" s="81"/>
      <c r="D631" s="81"/>
      <c r="E631" s="81"/>
      <c r="F631" s="81"/>
      <c r="G631" s="81"/>
      <c r="H631" s="81"/>
      <c r="I631" s="289"/>
      <c r="J631" s="289"/>
      <c r="K631" s="105"/>
      <c r="L631" s="81"/>
      <c r="M631" s="289"/>
      <c r="N631" s="289"/>
      <c r="O631" s="105"/>
      <c r="P631" s="81"/>
      <c r="Q631" s="289"/>
      <c r="R631" s="81"/>
      <c r="S631" s="105"/>
      <c r="T631" s="81"/>
      <c r="U631" s="81"/>
      <c r="V631" s="81"/>
      <c r="W631" s="81"/>
      <c r="X631" s="81"/>
      <c r="Y631" s="81"/>
      <c r="Z631" s="81"/>
    </row>
    <row r="632" spans="1:26" ht="24" customHeight="1" x14ac:dyDescent="0.5">
      <c r="A632" s="81"/>
      <c r="B632" s="81"/>
      <c r="C632" s="81"/>
      <c r="D632" s="81"/>
      <c r="E632" s="81"/>
      <c r="F632" s="81"/>
      <c r="G632" s="81"/>
      <c r="H632" s="81"/>
      <c r="I632" s="289"/>
      <c r="J632" s="289"/>
      <c r="K632" s="105"/>
      <c r="L632" s="81"/>
      <c r="M632" s="289"/>
      <c r="N632" s="289"/>
      <c r="O632" s="105"/>
      <c r="P632" s="81"/>
      <c r="Q632" s="289"/>
      <c r="R632" s="81"/>
      <c r="S632" s="105"/>
      <c r="T632" s="81"/>
      <c r="U632" s="81"/>
      <c r="V632" s="81"/>
      <c r="W632" s="81"/>
      <c r="X632" s="81"/>
      <c r="Y632" s="81"/>
      <c r="Z632" s="81"/>
    </row>
    <row r="633" spans="1:26" ht="24" customHeight="1" x14ac:dyDescent="0.5">
      <c r="A633" s="81"/>
      <c r="B633" s="81"/>
      <c r="C633" s="81"/>
      <c r="D633" s="81"/>
      <c r="E633" s="81"/>
      <c r="F633" s="81"/>
      <c r="G633" s="81"/>
      <c r="H633" s="81"/>
      <c r="I633" s="289"/>
      <c r="J633" s="289"/>
      <c r="K633" s="105"/>
      <c r="L633" s="81"/>
      <c r="M633" s="289"/>
      <c r="N633" s="289"/>
      <c r="O633" s="105"/>
      <c r="P633" s="81"/>
      <c r="Q633" s="289"/>
      <c r="R633" s="81"/>
      <c r="S633" s="105"/>
      <c r="T633" s="81"/>
      <c r="U633" s="81"/>
      <c r="V633" s="81"/>
      <c r="W633" s="81"/>
      <c r="X633" s="81"/>
      <c r="Y633" s="81"/>
      <c r="Z633" s="81"/>
    </row>
    <row r="634" spans="1:26" ht="24" customHeight="1" x14ac:dyDescent="0.5">
      <c r="A634" s="81"/>
      <c r="B634" s="81"/>
      <c r="C634" s="81"/>
      <c r="D634" s="81"/>
      <c r="E634" s="81"/>
      <c r="F634" s="81"/>
      <c r="G634" s="81"/>
      <c r="H634" s="81"/>
      <c r="I634" s="289"/>
      <c r="J634" s="289"/>
      <c r="K634" s="105"/>
      <c r="L634" s="81"/>
      <c r="M634" s="289"/>
      <c r="N634" s="289"/>
      <c r="O634" s="105"/>
      <c r="P634" s="81"/>
      <c r="Q634" s="289"/>
      <c r="R634" s="81"/>
      <c r="S634" s="105"/>
      <c r="T634" s="81"/>
      <c r="U634" s="81"/>
      <c r="V634" s="81"/>
      <c r="W634" s="81"/>
      <c r="X634" s="81"/>
      <c r="Y634" s="81"/>
      <c r="Z634" s="81"/>
    </row>
    <row r="635" spans="1:26" ht="24" customHeight="1" x14ac:dyDescent="0.5">
      <c r="A635" s="81"/>
      <c r="B635" s="81"/>
      <c r="C635" s="81"/>
      <c r="D635" s="81"/>
      <c r="E635" s="81"/>
      <c r="F635" s="81"/>
      <c r="G635" s="81"/>
      <c r="H635" s="81"/>
      <c r="I635" s="289"/>
      <c r="J635" s="289"/>
      <c r="K635" s="105"/>
      <c r="L635" s="81"/>
      <c r="M635" s="289"/>
      <c r="N635" s="289"/>
      <c r="O635" s="105"/>
      <c r="P635" s="81"/>
      <c r="Q635" s="289"/>
      <c r="R635" s="81"/>
      <c r="S635" s="105"/>
      <c r="T635" s="81"/>
      <c r="U635" s="81"/>
      <c r="V635" s="81"/>
      <c r="W635" s="81"/>
      <c r="X635" s="81"/>
      <c r="Y635" s="81"/>
      <c r="Z635" s="81"/>
    </row>
    <row r="636" spans="1:26" ht="24" customHeight="1" x14ac:dyDescent="0.5">
      <c r="A636" s="81"/>
      <c r="B636" s="81"/>
      <c r="C636" s="81"/>
      <c r="D636" s="81"/>
      <c r="E636" s="81"/>
      <c r="F636" s="81"/>
      <c r="G636" s="81"/>
      <c r="H636" s="81"/>
      <c r="I636" s="289"/>
      <c r="J636" s="289"/>
      <c r="K636" s="105"/>
      <c r="L636" s="81"/>
      <c r="M636" s="289"/>
      <c r="N636" s="289"/>
      <c r="O636" s="105"/>
      <c r="P636" s="81"/>
      <c r="Q636" s="289"/>
      <c r="R636" s="81"/>
      <c r="S636" s="105"/>
      <c r="T636" s="81"/>
      <c r="U636" s="81"/>
      <c r="V636" s="81"/>
      <c r="W636" s="81"/>
      <c r="X636" s="81"/>
      <c r="Y636" s="81"/>
      <c r="Z636" s="81"/>
    </row>
    <row r="637" spans="1:26" ht="24" customHeight="1" x14ac:dyDescent="0.5">
      <c r="A637" s="81"/>
      <c r="B637" s="81"/>
      <c r="C637" s="81"/>
      <c r="D637" s="81"/>
      <c r="E637" s="81"/>
      <c r="F637" s="81"/>
      <c r="G637" s="81"/>
      <c r="H637" s="81"/>
      <c r="I637" s="289"/>
      <c r="J637" s="289"/>
      <c r="K637" s="105"/>
      <c r="L637" s="81"/>
      <c r="M637" s="289"/>
      <c r="N637" s="289"/>
      <c r="O637" s="105"/>
      <c r="P637" s="81"/>
      <c r="Q637" s="289"/>
      <c r="R637" s="81"/>
      <c r="S637" s="105"/>
      <c r="T637" s="81"/>
      <c r="U637" s="81"/>
      <c r="V637" s="81"/>
      <c r="W637" s="81"/>
      <c r="X637" s="81"/>
      <c r="Y637" s="81"/>
      <c r="Z637" s="81"/>
    </row>
    <row r="638" spans="1:26" ht="24" customHeight="1" x14ac:dyDescent="0.5">
      <c r="A638" s="81"/>
      <c r="B638" s="81"/>
      <c r="C638" s="81"/>
      <c r="D638" s="81"/>
      <c r="E638" s="81"/>
      <c r="F638" s="81"/>
      <c r="G638" s="81"/>
      <c r="H638" s="81"/>
      <c r="I638" s="289"/>
      <c r="J638" s="289"/>
      <c r="K638" s="105"/>
      <c r="L638" s="81"/>
      <c r="M638" s="289"/>
      <c r="N638" s="289"/>
      <c r="O638" s="105"/>
      <c r="P638" s="81"/>
      <c r="Q638" s="289"/>
      <c r="R638" s="81"/>
      <c r="S638" s="105"/>
      <c r="T638" s="81"/>
      <c r="U638" s="81"/>
      <c r="V638" s="81"/>
      <c r="W638" s="81"/>
      <c r="X638" s="81"/>
      <c r="Y638" s="81"/>
      <c r="Z638" s="81"/>
    </row>
    <row r="639" spans="1:26" ht="24" customHeight="1" x14ac:dyDescent="0.5">
      <c r="A639" s="81"/>
      <c r="B639" s="81"/>
      <c r="C639" s="81"/>
      <c r="D639" s="81"/>
      <c r="E639" s="81"/>
      <c r="F639" s="81"/>
      <c r="G639" s="81"/>
      <c r="H639" s="81"/>
      <c r="I639" s="289"/>
      <c r="J639" s="289"/>
      <c r="K639" s="105"/>
      <c r="L639" s="81"/>
      <c r="M639" s="289"/>
      <c r="N639" s="289"/>
      <c r="O639" s="105"/>
      <c r="P639" s="81"/>
      <c r="Q639" s="289"/>
      <c r="R639" s="81"/>
      <c r="S639" s="105"/>
      <c r="T639" s="81"/>
      <c r="U639" s="81"/>
      <c r="V639" s="81"/>
      <c r="W639" s="81"/>
      <c r="X639" s="81"/>
      <c r="Y639" s="81"/>
      <c r="Z639" s="81"/>
    </row>
    <row r="640" spans="1:26" ht="24" customHeight="1" x14ac:dyDescent="0.5">
      <c r="A640" s="81"/>
      <c r="B640" s="81"/>
      <c r="C640" s="81"/>
      <c r="D640" s="81"/>
      <c r="E640" s="81"/>
      <c r="F640" s="81"/>
      <c r="G640" s="81"/>
      <c r="H640" s="81"/>
      <c r="I640" s="289"/>
      <c r="J640" s="289"/>
      <c r="K640" s="105"/>
      <c r="L640" s="81"/>
      <c r="M640" s="289"/>
      <c r="N640" s="289"/>
      <c r="O640" s="105"/>
      <c r="P640" s="81"/>
      <c r="Q640" s="289"/>
      <c r="R640" s="81"/>
      <c r="S640" s="105"/>
      <c r="T640" s="81"/>
      <c r="U640" s="81"/>
      <c r="V640" s="81"/>
      <c r="W640" s="81"/>
      <c r="X640" s="81"/>
      <c r="Y640" s="81"/>
      <c r="Z640" s="81"/>
    </row>
    <row r="641" spans="1:26" ht="24" customHeight="1" x14ac:dyDescent="0.5">
      <c r="A641" s="81"/>
      <c r="B641" s="81"/>
      <c r="C641" s="81"/>
      <c r="D641" s="81"/>
      <c r="E641" s="81"/>
      <c r="F641" s="81"/>
      <c r="G641" s="81"/>
      <c r="H641" s="81"/>
      <c r="I641" s="289"/>
      <c r="J641" s="289"/>
      <c r="K641" s="105"/>
      <c r="L641" s="81"/>
      <c r="M641" s="289"/>
      <c r="N641" s="289"/>
      <c r="O641" s="105"/>
      <c r="P641" s="81"/>
      <c r="Q641" s="289"/>
      <c r="R641" s="81"/>
      <c r="S641" s="105"/>
      <c r="T641" s="81"/>
      <c r="U641" s="81"/>
      <c r="V641" s="81"/>
      <c r="W641" s="81"/>
      <c r="X641" s="81"/>
      <c r="Y641" s="81"/>
      <c r="Z641" s="81"/>
    </row>
    <row r="642" spans="1:26" ht="24" customHeight="1" x14ac:dyDescent="0.5">
      <c r="A642" s="81"/>
      <c r="B642" s="81"/>
      <c r="C642" s="81"/>
      <c r="D642" s="81"/>
      <c r="E642" s="81"/>
      <c r="F642" s="81"/>
      <c r="G642" s="81"/>
      <c r="H642" s="81"/>
      <c r="I642" s="289"/>
      <c r="J642" s="289"/>
      <c r="K642" s="105"/>
      <c r="L642" s="81"/>
      <c r="M642" s="289"/>
      <c r="N642" s="289"/>
      <c r="O642" s="105"/>
      <c r="P642" s="81"/>
      <c r="Q642" s="289"/>
      <c r="R642" s="81"/>
      <c r="S642" s="105"/>
      <c r="T642" s="81"/>
      <c r="U642" s="81"/>
      <c r="V642" s="81"/>
      <c r="W642" s="81"/>
      <c r="X642" s="81"/>
      <c r="Y642" s="81"/>
      <c r="Z642" s="81"/>
    </row>
    <row r="643" spans="1:26" ht="24" customHeight="1" x14ac:dyDescent="0.5">
      <c r="A643" s="81"/>
      <c r="B643" s="81"/>
      <c r="C643" s="81"/>
      <c r="D643" s="81"/>
      <c r="E643" s="81"/>
      <c r="F643" s="81"/>
      <c r="G643" s="81"/>
      <c r="H643" s="81"/>
      <c r="I643" s="289"/>
      <c r="J643" s="289"/>
      <c r="K643" s="105"/>
      <c r="L643" s="81"/>
      <c r="M643" s="289"/>
      <c r="N643" s="289"/>
      <c r="O643" s="105"/>
      <c r="P643" s="81"/>
      <c r="Q643" s="289"/>
      <c r="R643" s="81"/>
      <c r="S643" s="105"/>
      <c r="T643" s="81"/>
      <c r="U643" s="81"/>
      <c r="V643" s="81"/>
      <c r="W643" s="81"/>
      <c r="X643" s="81"/>
      <c r="Y643" s="81"/>
      <c r="Z643" s="81"/>
    </row>
    <row r="644" spans="1:26" ht="24" customHeight="1" x14ac:dyDescent="0.5">
      <c r="A644" s="81"/>
      <c r="B644" s="81"/>
      <c r="C644" s="81"/>
      <c r="D644" s="81"/>
      <c r="E644" s="81"/>
      <c r="F644" s="81"/>
      <c r="G644" s="81"/>
      <c r="H644" s="81"/>
      <c r="I644" s="289"/>
      <c r="J644" s="289"/>
      <c r="K644" s="105"/>
      <c r="L644" s="81"/>
      <c r="M644" s="289"/>
      <c r="N644" s="289"/>
      <c r="O644" s="105"/>
      <c r="P644" s="81"/>
      <c r="Q644" s="289"/>
      <c r="R644" s="81"/>
      <c r="S644" s="105"/>
      <c r="T644" s="81"/>
      <c r="U644" s="81"/>
      <c r="V644" s="81"/>
      <c r="W644" s="81"/>
      <c r="X644" s="81"/>
      <c r="Y644" s="81"/>
      <c r="Z644" s="81"/>
    </row>
    <row r="645" spans="1:26" ht="24" customHeight="1" x14ac:dyDescent="0.5">
      <c r="A645" s="81"/>
      <c r="B645" s="81"/>
      <c r="C645" s="81"/>
      <c r="D645" s="81"/>
      <c r="E645" s="81"/>
      <c r="F645" s="81"/>
      <c r="G645" s="81"/>
      <c r="H645" s="81"/>
      <c r="I645" s="289"/>
      <c r="J645" s="289"/>
      <c r="K645" s="105"/>
      <c r="L645" s="81"/>
      <c r="M645" s="289"/>
      <c r="N645" s="289"/>
      <c r="O645" s="105"/>
      <c r="P645" s="81"/>
      <c r="Q645" s="289"/>
      <c r="R645" s="81"/>
      <c r="S645" s="105"/>
      <c r="T645" s="81"/>
      <c r="U645" s="81"/>
      <c r="V645" s="81"/>
      <c r="W645" s="81"/>
      <c r="X645" s="81"/>
      <c r="Y645" s="81"/>
      <c r="Z645" s="81"/>
    </row>
    <row r="646" spans="1:26" ht="24" customHeight="1" x14ac:dyDescent="0.5">
      <c r="A646" s="81"/>
      <c r="B646" s="81"/>
      <c r="C646" s="81"/>
      <c r="D646" s="81"/>
      <c r="E646" s="81"/>
      <c r="F646" s="81"/>
      <c r="G646" s="81"/>
      <c r="H646" s="81"/>
      <c r="I646" s="289"/>
      <c r="J646" s="289"/>
      <c r="K646" s="105"/>
      <c r="L646" s="81"/>
      <c r="M646" s="289"/>
      <c r="N646" s="289"/>
      <c r="O646" s="105"/>
      <c r="P646" s="81"/>
      <c r="Q646" s="289"/>
      <c r="R646" s="81"/>
      <c r="S646" s="105"/>
      <c r="T646" s="81"/>
      <c r="U646" s="81"/>
      <c r="V646" s="81"/>
      <c r="W646" s="81"/>
      <c r="X646" s="81"/>
      <c r="Y646" s="81"/>
      <c r="Z646" s="81"/>
    </row>
    <row r="647" spans="1:26" ht="24" customHeight="1" x14ac:dyDescent="0.5">
      <c r="A647" s="81"/>
      <c r="B647" s="81"/>
      <c r="C647" s="81"/>
      <c r="D647" s="81"/>
      <c r="E647" s="81"/>
      <c r="F647" s="81"/>
      <c r="G647" s="81"/>
      <c r="H647" s="81"/>
      <c r="I647" s="289"/>
      <c r="J647" s="289"/>
      <c r="K647" s="105"/>
      <c r="L647" s="81"/>
      <c r="M647" s="289"/>
      <c r="N647" s="289"/>
      <c r="O647" s="105"/>
      <c r="P647" s="81"/>
      <c r="Q647" s="289"/>
      <c r="R647" s="81"/>
      <c r="S647" s="105"/>
      <c r="T647" s="81"/>
      <c r="U647" s="81"/>
      <c r="V647" s="81"/>
      <c r="W647" s="81"/>
      <c r="X647" s="81"/>
      <c r="Y647" s="81"/>
      <c r="Z647" s="81"/>
    </row>
    <row r="648" spans="1:26" ht="24" customHeight="1" x14ac:dyDescent="0.5">
      <c r="A648" s="81"/>
      <c r="B648" s="81"/>
      <c r="C648" s="81"/>
      <c r="D648" s="81"/>
      <c r="E648" s="81"/>
      <c r="F648" s="81"/>
      <c r="G648" s="81"/>
      <c r="H648" s="81"/>
      <c r="I648" s="289"/>
      <c r="J648" s="289"/>
      <c r="K648" s="105"/>
      <c r="L648" s="81"/>
      <c r="M648" s="289"/>
      <c r="N648" s="289"/>
      <c r="O648" s="105"/>
      <c r="P648" s="81"/>
      <c r="Q648" s="289"/>
      <c r="R648" s="81"/>
      <c r="S648" s="105"/>
      <c r="T648" s="81"/>
      <c r="U648" s="81"/>
      <c r="V648" s="81"/>
      <c r="W648" s="81"/>
      <c r="X648" s="81"/>
      <c r="Y648" s="81"/>
      <c r="Z648" s="81"/>
    </row>
    <row r="649" spans="1:26" ht="24" customHeight="1" x14ac:dyDescent="0.5">
      <c r="A649" s="81"/>
      <c r="B649" s="81"/>
      <c r="C649" s="81"/>
      <c r="D649" s="81"/>
      <c r="E649" s="81"/>
      <c r="F649" s="81"/>
      <c r="G649" s="81"/>
      <c r="H649" s="81"/>
      <c r="I649" s="289"/>
      <c r="J649" s="289"/>
      <c r="K649" s="105"/>
      <c r="L649" s="81"/>
      <c r="M649" s="289"/>
      <c r="N649" s="289"/>
      <c r="O649" s="105"/>
      <c r="P649" s="81"/>
      <c r="Q649" s="289"/>
      <c r="R649" s="81"/>
      <c r="S649" s="105"/>
      <c r="T649" s="81"/>
      <c r="U649" s="81"/>
      <c r="V649" s="81"/>
      <c r="W649" s="81"/>
      <c r="X649" s="81"/>
      <c r="Y649" s="81"/>
      <c r="Z649" s="81"/>
    </row>
    <row r="650" spans="1:26" ht="24" customHeight="1" x14ac:dyDescent="0.5">
      <c r="A650" s="81"/>
      <c r="B650" s="81"/>
      <c r="C650" s="81"/>
      <c r="D650" s="81"/>
      <c r="E650" s="81"/>
      <c r="F650" s="81"/>
      <c r="G650" s="81"/>
      <c r="H650" s="81"/>
      <c r="I650" s="289"/>
      <c r="J650" s="289"/>
      <c r="K650" s="105"/>
      <c r="L650" s="81"/>
      <c r="M650" s="289"/>
      <c r="N650" s="289"/>
      <c r="O650" s="105"/>
      <c r="P650" s="81"/>
      <c r="Q650" s="289"/>
      <c r="R650" s="81"/>
      <c r="S650" s="105"/>
      <c r="T650" s="81"/>
      <c r="U650" s="81"/>
      <c r="V650" s="81"/>
      <c r="W650" s="81"/>
      <c r="X650" s="81"/>
      <c r="Y650" s="81"/>
      <c r="Z650" s="81"/>
    </row>
    <row r="651" spans="1:26" ht="24" customHeight="1" x14ac:dyDescent="0.5">
      <c r="A651" s="81"/>
      <c r="B651" s="81"/>
      <c r="C651" s="81"/>
      <c r="D651" s="81"/>
      <c r="E651" s="81"/>
      <c r="F651" s="81"/>
      <c r="G651" s="81"/>
      <c r="H651" s="81"/>
      <c r="I651" s="289"/>
      <c r="J651" s="289"/>
      <c r="K651" s="105"/>
      <c r="L651" s="81"/>
      <c r="M651" s="289"/>
      <c r="N651" s="289"/>
      <c r="O651" s="105"/>
      <c r="P651" s="81"/>
      <c r="Q651" s="289"/>
      <c r="R651" s="81"/>
      <c r="S651" s="105"/>
      <c r="T651" s="81"/>
      <c r="U651" s="81"/>
      <c r="V651" s="81"/>
      <c r="W651" s="81"/>
      <c r="X651" s="81"/>
      <c r="Y651" s="81"/>
      <c r="Z651" s="81"/>
    </row>
    <row r="652" spans="1:26" ht="24" customHeight="1" x14ac:dyDescent="0.5">
      <c r="A652" s="81"/>
      <c r="B652" s="81"/>
      <c r="C652" s="81"/>
      <c r="D652" s="81"/>
      <c r="E652" s="81"/>
      <c r="F652" s="81"/>
      <c r="G652" s="81"/>
      <c r="H652" s="81"/>
      <c r="I652" s="289"/>
      <c r="J652" s="289"/>
      <c r="K652" s="105"/>
      <c r="L652" s="81"/>
      <c r="M652" s="289"/>
      <c r="N652" s="289"/>
      <c r="O652" s="105"/>
      <c r="P652" s="81"/>
      <c r="Q652" s="289"/>
      <c r="R652" s="81"/>
      <c r="S652" s="105"/>
      <c r="T652" s="81"/>
      <c r="U652" s="81"/>
      <c r="V652" s="81"/>
      <c r="W652" s="81"/>
      <c r="X652" s="81"/>
      <c r="Y652" s="81"/>
      <c r="Z652" s="81"/>
    </row>
    <row r="653" spans="1:26" ht="24" customHeight="1" x14ac:dyDescent="0.5">
      <c r="A653" s="81"/>
      <c r="B653" s="81"/>
      <c r="C653" s="81"/>
      <c r="D653" s="81"/>
      <c r="E653" s="81"/>
      <c r="F653" s="81"/>
      <c r="G653" s="81"/>
      <c r="H653" s="81"/>
      <c r="I653" s="289"/>
      <c r="J653" s="289"/>
      <c r="K653" s="105"/>
      <c r="L653" s="81"/>
      <c r="M653" s="289"/>
      <c r="N653" s="289"/>
      <c r="O653" s="105"/>
      <c r="P653" s="81"/>
      <c r="Q653" s="289"/>
      <c r="R653" s="81"/>
      <c r="S653" s="105"/>
      <c r="T653" s="81"/>
      <c r="U653" s="81"/>
      <c r="V653" s="81"/>
      <c r="W653" s="81"/>
      <c r="X653" s="81"/>
      <c r="Y653" s="81"/>
      <c r="Z653" s="81"/>
    </row>
    <row r="654" spans="1:26" ht="24" customHeight="1" x14ac:dyDescent="0.5">
      <c r="A654" s="81"/>
      <c r="B654" s="81"/>
      <c r="C654" s="81"/>
      <c r="D654" s="81"/>
      <c r="E654" s="81"/>
      <c r="F654" s="81"/>
      <c r="G654" s="81"/>
      <c r="H654" s="81"/>
      <c r="I654" s="289"/>
      <c r="J654" s="289"/>
      <c r="K654" s="105"/>
      <c r="L654" s="81"/>
      <c r="M654" s="289"/>
      <c r="N654" s="289"/>
      <c r="O654" s="105"/>
      <c r="P654" s="81"/>
      <c r="Q654" s="289"/>
      <c r="R654" s="81"/>
      <c r="S654" s="105"/>
      <c r="T654" s="81"/>
      <c r="U654" s="81"/>
      <c r="V654" s="81"/>
      <c r="W654" s="81"/>
      <c r="X654" s="81"/>
      <c r="Y654" s="81"/>
      <c r="Z654" s="81"/>
    </row>
    <row r="655" spans="1:26" ht="24" customHeight="1" x14ac:dyDescent="0.5">
      <c r="A655" s="81"/>
      <c r="B655" s="81"/>
      <c r="C655" s="81"/>
      <c r="D655" s="81"/>
      <c r="E655" s="81"/>
      <c r="F655" s="81"/>
      <c r="G655" s="81"/>
      <c r="H655" s="81"/>
      <c r="I655" s="289"/>
      <c r="J655" s="289"/>
      <c r="K655" s="105"/>
      <c r="L655" s="81"/>
      <c r="M655" s="289"/>
      <c r="N655" s="289"/>
      <c r="O655" s="105"/>
      <c r="P655" s="81"/>
      <c r="Q655" s="289"/>
      <c r="R655" s="81"/>
      <c r="S655" s="105"/>
      <c r="T655" s="81"/>
      <c r="U655" s="81"/>
      <c r="V655" s="81"/>
      <c r="W655" s="81"/>
      <c r="X655" s="81"/>
      <c r="Y655" s="81"/>
      <c r="Z655" s="81"/>
    </row>
    <row r="656" spans="1:26" ht="24" customHeight="1" x14ac:dyDescent="0.5">
      <c r="A656" s="81"/>
      <c r="B656" s="81"/>
      <c r="C656" s="81"/>
      <c r="D656" s="81"/>
      <c r="E656" s="81"/>
      <c r="F656" s="81"/>
      <c r="G656" s="81"/>
      <c r="H656" s="81"/>
      <c r="I656" s="289"/>
      <c r="J656" s="289"/>
      <c r="K656" s="105"/>
      <c r="L656" s="81"/>
      <c r="M656" s="289"/>
      <c r="N656" s="289"/>
      <c r="O656" s="105"/>
      <c r="P656" s="81"/>
      <c r="Q656" s="289"/>
      <c r="R656" s="81"/>
      <c r="S656" s="105"/>
      <c r="T656" s="81"/>
      <c r="U656" s="81"/>
      <c r="V656" s="81"/>
      <c r="W656" s="81"/>
      <c r="X656" s="81"/>
      <c r="Y656" s="81"/>
      <c r="Z656" s="81"/>
    </row>
    <row r="657" spans="1:26" ht="24" customHeight="1" x14ac:dyDescent="0.5">
      <c r="A657" s="81"/>
      <c r="B657" s="81"/>
      <c r="C657" s="81"/>
      <c r="D657" s="81"/>
      <c r="E657" s="81"/>
      <c r="F657" s="81"/>
      <c r="G657" s="81"/>
      <c r="H657" s="81"/>
      <c r="I657" s="289"/>
      <c r="J657" s="289"/>
      <c r="K657" s="105"/>
      <c r="L657" s="81"/>
      <c r="M657" s="289"/>
      <c r="N657" s="289"/>
      <c r="O657" s="105"/>
      <c r="P657" s="81"/>
      <c r="Q657" s="289"/>
      <c r="R657" s="81"/>
      <c r="S657" s="105"/>
      <c r="T657" s="81"/>
      <c r="U657" s="81"/>
      <c r="V657" s="81"/>
      <c r="W657" s="81"/>
      <c r="X657" s="81"/>
      <c r="Y657" s="81"/>
      <c r="Z657" s="81"/>
    </row>
    <row r="658" spans="1:26" ht="24" customHeight="1" x14ac:dyDescent="0.5">
      <c r="A658" s="81"/>
      <c r="B658" s="81"/>
      <c r="C658" s="81"/>
      <c r="D658" s="81"/>
      <c r="E658" s="81"/>
      <c r="F658" s="81"/>
      <c r="G658" s="81"/>
      <c r="H658" s="81"/>
      <c r="I658" s="289"/>
      <c r="J658" s="289"/>
      <c r="K658" s="105"/>
      <c r="L658" s="81"/>
      <c r="M658" s="289"/>
      <c r="N658" s="289"/>
      <c r="O658" s="105"/>
      <c r="P658" s="81"/>
      <c r="Q658" s="289"/>
      <c r="R658" s="81"/>
      <c r="S658" s="105"/>
      <c r="T658" s="81"/>
      <c r="U658" s="81"/>
      <c r="V658" s="81"/>
      <c r="W658" s="81"/>
      <c r="X658" s="81"/>
      <c r="Y658" s="81"/>
      <c r="Z658" s="81"/>
    </row>
    <row r="659" spans="1:26" ht="24" customHeight="1" x14ac:dyDescent="0.5">
      <c r="A659" s="81"/>
      <c r="B659" s="81"/>
      <c r="C659" s="81"/>
      <c r="D659" s="81"/>
      <c r="E659" s="81"/>
      <c r="F659" s="81"/>
      <c r="G659" s="81"/>
      <c r="H659" s="81"/>
      <c r="I659" s="289"/>
      <c r="J659" s="289"/>
      <c r="K659" s="105"/>
      <c r="L659" s="81"/>
      <c r="M659" s="289"/>
      <c r="N659" s="289"/>
      <c r="O659" s="105"/>
      <c r="P659" s="81"/>
      <c r="Q659" s="289"/>
      <c r="R659" s="81"/>
      <c r="S659" s="105"/>
      <c r="T659" s="81"/>
      <c r="U659" s="81"/>
      <c r="V659" s="81"/>
      <c r="W659" s="81"/>
      <c r="X659" s="81"/>
      <c r="Y659" s="81"/>
      <c r="Z659" s="81"/>
    </row>
    <row r="660" spans="1:26" ht="24" customHeight="1" x14ac:dyDescent="0.5">
      <c r="A660" s="81"/>
      <c r="B660" s="81"/>
      <c r="C660" s="81"/>
      <c r="D660" s="81"/>
      <c r="E660" s="81"/>
      <c r="F660" s="81"/>
      <c r="G660" s="81"/>
      <c r="H660" s="81"/>
      <c r="I660" s="289"/>
      <c r="J660" s="289"/>
      <c r="K660" s="105"/>
      <c r="L660" s="81"/>
      <c r="M660" s="289"/>
      <c r="N660" s="289"/>
      <c r="O660" s="105"/>
      <c r="P660" s="81"/>
      <c r="Q660" s="289"/>
      <c r="R660" s="81"/>
      <c r="S660" s="105"/>
      <c r="T660" s="81"/>
      <c r="U660" s="81"/>
      <c r="V660" s="81"/>
      <c r="W660" s="81"/>
      <c r="X660" s="81"/>
      <c r="Y660" s="81"/>
      <c r="Z660" s="81"/>
    </row>
    <row r="661" spans="1:26" ht="24" customHeight="1" x14ac:dyDescent="0.5">
      <c r="A661" s="81"/>
      <c r="B661" s="81"/>
      <c r="C661" s="81"/>
      <c r="D661" s="81"/>
      <c r="E661" s="81"/>
      <c r="F661" s="81"/>
      <c r="G661" s="81"/>
      <c r="H661" s="81"/>
      <c r="I661" s="289"/>
      <c r="J661" s="289"/>
      <c r="K661" s="105"/>
      <c r="L661" s="81"/>
      <c r="M661" s="289"/>
      <c r="N661" s="289"/>
      <c r="O661" s="105"/>
      <c r="P661" s="81"/>
      <c r="Q661" s="289"/>
      <c r="R661" s="81"/>
      <c r="S661" s="105"/>
      <c r="T661" s="81"/>
      <c r="U661" s="81"/>
      <c r="V661" s="81"/>
      <c r="W661" s="81"/>
      <c r="X661" s="81"/>
      <c r="Y661" s="81"/>
      <c r="Z661" s="81"/>
    </row>
    <row r="662" spans="1:26" ht="24" customHeight="1" x14ac:dyDescent="0.5">
      <c r="A662" s="81"/>
      <c r="B662" s="81"/>
      <c r="C662" s="81"/>
      <c r="D662" s="81"/>
      <c r="E662" s="81"/>
      <c r="F662" s="81"/>
      <c r="G662" s="81"/>
      <c r="H662" s="81"/>
      <c r="I662" s="289"/>
      <c r="J662" s="289"/>
      <c r="K662" s="105"/>
      <c r="L662" s="81"/>
      <c r="M662" s="289"/>
      <c r="N662" s="289"/>
      <c r="O662" s="105"/>
      <c r="P662" s="81"/>
      <c r="Q662" s="289"/>
      <c r="R662" s="81"/>
      <c r="S662" s="105"/>
      <c r="T662" s="81"/>
      <c r="U662" s="81"/>
      <c r="V662" s="81"/>
      <c r="W662" s="81"/>
      <c r="X662" s="81"/>
      <c r="Y662" s="81"/>
      <c r="Z662" s="81"/>
    </row>
    <row r="663" spans="1:26" ht="24" customHeight="1" x14ac:dyDescent="0.5">
      <c r="A663" s="81"/>
      <c r="B663" s="81"/>
      <c r="C663" s="81"/>
      <c r="D663" s="81"/>
      <c r="E663" s="81"/>
      <c r="F663" s="81"/>
      <c r="G663" s="81"/>
      <c r="H663" s="81"/>
      <c r="I663" s="289"/>
      <c r="J663" s="289"/>
      <c r="K663" s="105"/>
      <c r="L663" s="81"/>
      <c r="M663" s="289"/>
      <c r="N663" s="289"/>
      <c r="O663" s="105"/>
      <c r="P663" s="81"/>
      <c r="Q663" s="289"/>
      <c r="R663" s="81"/>
      <c r="S663" s="105"/>
      <c r="T663" s="81"/>
      <c r="U663" s="81"/>
      <c r="V663" s="81"/>
      <c r="W663" s="81"/>
      <c r="X663" s="81"/>
      <c r="Y663" s="81"/>
      <c r="Z663" s="81"/>
    </row>
    <row r="664" spans="1:26" ht="24" customHeight="1" x14ac:dyDescent="0.5">
      <c r="A664" s="81"/>
      <c r="B664" s="81"/>
      <c r="C664" s="81"/>
      <c r="D664" s="81"/>
      <c r="E664" s="81"/>
      <c r="F664" s="81"/>
      <c r="G664" s="81"/>
      <c r="H664" s="81"/>
      <c r="I664" s="289"/>
      <c r="J664" s="289"/>
      <c r="K664" s="105"/>
      <c r="L664" s="81"/>
      <c r="M664" s="289"/>
      <c r="N664" s="289"/>
      <c r="O664" s="105"/>
      <c r="P664" s="81"/>
      <c r="Q664" s="289"/>
      <c r="R664" s="81"/>
      <c r="S664" s="105"/>
      <c r="T664" s="81"/>
      <c r="U664" s="81"/>
      <c r="V664" s="81"/>
      <c r="W664" s="81"/>
      <c r="X664" s="81"/>
      <c r="Y664" s="81"/>
      <c r="Z664" s="81"/>
    </row>
    <row r="665" spans="1:26" ht="24" customHeight="1" x14ac:dyDescent="0.5">
      <c r="A665" s="81"/>
      <c r="B665" s="81"/>
      <c r="C665" s="81"/>
      <c r="D665" s="81"/>
      <c r="E665" s="81"/>
      <c r="F665" s="81"/>
      <c r="G665" s="81"/>
      <c r="H665" s="81"/>
      <c r="I665" s="289"/>
      <c r="J665" s="289"/>
      <c r="K665" s="105"/>
      <c r="L665" s="81"/>
      <c r="M665" s="289"/>
      <c r="N665" s="289"/>
      <c r="O665" s="105"/>
      <c r="P665" s="81"/>
      <c r="Q665" s="289"/>
      <c r="R665" s="81"/>
      <c r="S665" s="105"/>
      <c r="T665" s="81"/>
      <c r="U665" s="81"/>
      <c r="V665" s="81"/>
      <c r="W665" s="81"/>
      <c r="X665" s="81"/>
      <c r="Y665" s="81"/>
      <c r="Z665" s="81"/>
    </row>
    <row r="666" spans="1:26" ht="24" customHeight="1" x14ac:dyDescent="0.5">
      <c r="A666" s="81"/>
      <c r="B666" s="81"/>
      <c r="C666" s="81"/>
      <c r="D666" s="81"/>
      <c r="E666" s="81"/>
      <c r="F666" s="81"/>
      <c r="G666" s="81"/>
      <c r="H666" s="81"/>
      <c r="I666" s="289"/>
      <c r="J666" s="289"/>
      <c r="K666" s="105"/>
      <c r="L666" s="81"/>
      <c r="M666" s="289"/>
      <c r="N666" s="289"/>
      <c r="O666" s="105"/>
      <c r="P666" s="81"/>
      <c r="Q666" s="289"/>
      <c r="R666" s="81"/>
      <c r="S666" s="105"/>
      <c r="T666" s="81"/>
      <c r="U666" s="81"/>
      <c r="V666" s="81"/>
      <c r="W666" s="81"/>
      <c r="X666" s="81"/>
      <c r="Y666" s="81"/>
      <c r="Z666" s="81"/>
    </row>
    <row r="667" spans="1:26" ht="24" customHeight="1" x14ac:dyDescent="0.5">
      <c r="A667" s="81"/>
      <c r="B667" s="81"/>
      <c r="C667" s="81"/>
      <c r="D667" s="81"/>
      <c r="E667" s="81"/>
      <c r="F667" s="81"/>
      <c r="G667" s="81"/>
      <c r="H667" s="81"/>
      <c r="I667" s="289"/>
      <c r="J667" s="289"/>
      <c r="K667" s="105"/>
      <c r="L667" s="81"/>
      <c r="M667" s="289"/>
      <c r="N667" s="289"/>
      <c r="O667" s="105"/>
      <c r="P667" s="81"/>
      <c r="Q667" s="289"/>
      <c r="R667" s="81"/>
      <c r="S667" s="105"/>
      <c r="T667" s="81"/>
      <c r="U667" s="81"/>
      <c r="V667" s="81"/>
      <c r="W667" s="81"/>
      <c r="X667" s="81"/>
      <c r="Y667" s="81"/>
      <c r="Z667" s="81"/>
    </row>
    <row r="668" spans="1:26" ht="24" customHeight="1" x14ac:dyDescent="0.5">
      <c r="A668" s="81"/>
      <c r="B668" s="81"/>
      <c r="C668" s="81"/>
      <c r="D668" s="81"/>
      <c r="E668" s="81"/>
      <c r="F668" s="81"/>
      <c r="G668" s="81"/>
      <c r="H668" s="81"/>
      <c r="I668" s="289"/>
      <c r="J668" s="289"/>
      <c r="K668" s="105"/>
      <c r="L668" s="81"/>
      <c r="M668" s="289"/>
      <c r="N668" s="289"/>
      <c r="O668" s="105"/>
      <c r="P668" s="81"/>
      <c r="Q668" s="289"/>
      <c r="R668" s="81"/>
      <c r="S668" s="105"/>
      <c r="T668" s="81"/>
      <c r="U668" s="81"/>
      <c r="V668" s="81"/>
      <c r="W668" s="81"/>
      <c r="X668" s="81"/>
      <c r="Y668" s="81"/>
      <c r="Z668" s="81"/>
    </row>
    <row r="669" spans="1:26" ht="24" customHeight="1" x14ac:dyDescent="0.5">
      <c r="A669" s="81"/>
      <c r="B669" s="81"/>
      <c r="C669" s="81"/>
      <c r="D669" s="81"/>
      <c r="E669" s="81"/>
      <c r="F669" s="81"/>
      <c r="G669" s="81"/>
      <c r="H669" s="81"/>
      <c r="I669" s="289"/>
      <c r="J669" s="289"/>
      <c r="K669" s="105"/>
      <c r="L669" s="81"/>
      <c r="M669" s="289"/>
      <c r="N669" s="289"/>
      <c r="O669" s="105"/>
      <c r="P669" s="81"/>
      <c r="Q669" s="289"/>
      <c r="R669" s="81"/>
      <c r="S669" s="105"/>
      <c r="T669" s="81"/>
      <c r="U669" s="81"/>
      <c r="V669" s="81"/>
      <c r="W669" s="81"/>
      <c r="X669" s="81"/>
      <c r="Y669" s="81"/>
      <c r="Z669" s="81"/>
    </row>
    <row r="670" spans="1:26" ht="24" customHeight="1" x14ac:dyDescent="0.5">
      <c r="A670" s="81"/>
      <c r="B670" s="81"/>
      <c r="C670" s="81"/>
      <c r="D670" s="81"/>
      <c r="E670" s="81"/>
      <c r="F670" s="81"/>
      <c r="G670" s="81"/>
      <c r="H670" s="81"/>
      <c r="I670" s="289"/>
      <c r="J670" s="289"/>
      <c r="K670" s="105"/>
      <c r="L670" s="81"/>
      <c r="M670" s="289"/>
      <c r="N670" s="289"/>
      <c r="O670" s="105"/>
      <c r="P670" s="81"/>
      <c r="Q670" s="289"/>
      <c r="R670" s="81"/>
      <c r="S670" s="105"/>
      <c r="T670" s="81"/>
      <c r="U670" s="81"/>
      <c r="V670" s="81"/>
      <c r="W670" s="81"/>
      <c r="X670" s="81"/>
      <c r="Y670" s="81"/>
      <c r="Z670" s="81"/>
    </row>
    <row r="671" spans="1:26" ht="24" customHeight="1" x14ac:dyDescent="0.5">
      <c r="A671" s="81"/>
      <c r="B671" s="81"/>
      <c r="C671" s="81"/>
      <c r="D671" s="81"/>
      <c r="E671" s="81"/>
      <c r="F671" s="81"/>
      <c r="G671" s="81"/>
      <c r="H671" s="81"/>
      <c r="I671" s="289"/>
      <c r="J671" s="289"/>
      <c r="K671" s="105"/>
      <c r="L671" s="81"/>
      <c r="M671" s="289"/>
      <c r="N671" s="289"/>
      <c r="O671" s="105"/>
      <c r="P671" s="81"/>
      <c r="Q671" s="289"/>
      <c r="R671" s="81"/>
      <c r="S671" s="105"/>
      <c r="T671" s="81"/>
      <c r="U671" s="81"/>
      <c r="V671" s="81"/>
      <c r="W671" s="81"/>
      <c r="X671" s="81"/>
      <c r="Y671" s="81"/>
      <c r="Z671" s="81"/>
    </row>
    <row r="672" spans="1:26" ht="24" customHeight="1" x14ac:dyDescent="0.5">
      <c r="A672" s="81"/>
      <c r="B672" s="81"/>
      <c r="C672" s="81"/>
      <c r="D672" s="81"/>
      <c r="E672" s="81"/>
      <c r="F672" s="81"/>
      <c r="G672" s="81"/>
      <c r="H672" s="81"/>
      <c r="I672" s="289"/>
      <c r="J672" s="289"/>
      <c r="K672" s="105"/>
      <c r="L672" s="81"/>
      <c r="M672" s="289"/>
      <c r="N672" s="289"/>
      <c r="O672" s="105"/>
      <c r="P672" s="81"/>
      <c r="Q672" s="289"/>
      <c r="R672" s="81"/>
      <c r="S672" s="105"/>
      <c r="T672" s="81"/>
      <c r="U672" s="81"/>
      <c r="V672" s="81"/>
      <c r="W672" s="81"/>
      <c r="X672" s="81"/>
      <c r="Y672" s="81"/>
      <c r="Z672" s="81"/>
    </row>
    <row r="673" spans="1:26" ht="24" customHeight="1" x14ac:dyDescent="0.5">
      <c r="A673" s="81"/>
      <c r="B673" s="81"/>
      <c r="C673" s="81"/>
      <c r="D673" s="81"/>
      <c r="E673" s="81"/>
      <c r="F673" s="81"/>
      <c r="G673" s="81"/>
      <c r="H673" s="81"/>
      <c r="I673" s="289"/>
      <c r="J673" s="289"/>
      <c r="K673" s="105"/>
      <c r="L673" s="81"/>
      <c r="M673" s="289"/>
      <c r="N673" s="289"/>
      <c r="O673" s="105"/>
      <c r="P673" s="81"/>
      <c r="Q673" s="289"/>
      <c r="R673" s="81"/>
      <c r="S673" s="105"/>
      <c r="T673" s="81"/>
      <c r="U673" s="81"/>
      <c r="V673" s="81"/>
      <c r="W673" s="81"/>
      <c r="X673" s="81"/>
      <c r="Y673" s="81"/>
      <c r="Z673" s="81"/>
    </row>
    <row r="674" spans="1:26" ht="24" customHeight="1" x14ac:dyDescent="0.5">
      <c r="A674" s="81"/>
      <c r="B674" s="81"/>
      <c r="C674" s="81"/>
      <c r="D674" s="81"/>
      <c r="E674" s="81"/>
      <c r="F674" s="81"/>
      <c r="G674" s="81"/>
      <c r="H674" s="81"/>
      <c r="I674" s="289"/>
      <c r="J674" s="289"/>
      <c r="K674" s="105"/>
      <c r="L674" s="81"/>
      <c r="M674" s="289"/>
      <c r="N674" s="289"/>
      <c r="O674" s="105"/>
      <c r="P674" s="81"/>
      <c r="Q674" s="289"/>
      <c r="R674" s="81"/>
      <c r="S674" s="105"/>
      <c r="T674" s="81"/>
      <c r="U674" s="81"/>
      <c r="V674" s="81"/>
      <c r="W674" s="81"/>
      <c r="X674" s="81"/>
      <c r="Y674" s="81"/>
      <c r="Z674" s="81"/>
    </row>
    <row r="675" spans="1:26" ht="24" customHeight="1" x14ac:dyDescent="0.5">
      <c r="A675" s="81"/>
      <c r="B675" s="81"/>
      <c r="C675" s="81"/>
      <c r="D675" s="81"/>
      <c r="E675" s="81"/>
      <c r="F675" s="81"/>
      <c r="G675" s="81"/>
      <c r="H675" s="81"/>
      <c r="I675" s="289"/>
      <c r="J675" s="289"/>
      <c r="K675" s="105"/>
      <c r="L675" s="81"/>
      <c r="M675" s="289"/>
      <c r="N675" s="289"/>
      <c r="O675" s="105"/>
      <c r="P675" s="81"/>
      <c r="Q675" s="289"/>
      <c r="R675" s="81"/>
      <c r="S675" s="105"/>
      <c r="T675" s="81"/>
      <c r="U675" s="81"/>
      <c r="V675" s="81"/>
      <c r="W675" s="81"/>
      <c r="X675" s="81"/>
      <c r="Y675" s="81"/>
      <c r="Z675" s="81"/>
    </row>
    <row r="676" spans="1:26" ht="24" customHeight="1" x14ac:dyDescent="0.5">
      <c r="A676" s="81"/>
      <c r="B676" s="81"/>
      <c r="C676" s="81"/>
      <c r="D676" s="81"/>
      <c r="E676" s="81"/>
      <c r="F676" s="81"/>
      <c r="G676" s="81"/>
      <c r="H676" s="81"/>
      <c r="I676" s="289"/>
      <c r="J676" s="289"/>
      <c r="K676" s="105"/>
      <c r="L676" s="81"/>
      <c r="M676" s="289"/>
      <c r="N676" s="289"/>
      <c r="O676" s="105"/>
      <c r="P676" s="81"/>
      <c r="Q676" s="289"/>
      <c r="R676" s="81"/>
      <c r="S676" s="105"/>
      <c r="T676" s="81"/>
      <c r="U676" s="81"/>
      <c r="V676" s="81"/>
      <c r="W676" s="81"/>
      <c r="X676" s="81"/>
      <c r="Y676" s="81"/>
      <c r="Z676" s="81"/>
    </row>
    <row r="677" spans="1:26" ht="24" customHeight="1" x14ac:dyDescent="0.5">
      <c r="A677" s="81"/>
      <c r="B677" s="81"/>
      <c r="C677" s="81"/>
      <c r="D677" s="81"/>
      <c r="E677" s="81"/>
      <c r="F677" s="81"/>
      <c r="G677" s="81"/>
      <c r="H677" s="81"/>
      <c r="I677" s="289"/>
      <c r="J677" s="289"/>
      <c r="K677" s="105"/>
      <c r="L677" s="81"/>
      <c r="M677" s="289"/>
      <c r="N677" s="289"/>
      <c r="O677" s="105"/>
      <c r="P677" s="81"/>
      <c r="Q677" s="289"/>
      <c r="R677" s="81"/>
      <c r="S677" s="105"/>
      <c r="T677" s="81"/>
      <c r="U677" s="81"/>
      <c r="V677" s="81"/>
      <c r="W677" s="81"/>
      <c r="X677" s="81"/>
      <c r="Y677" s="81"/>
      <c r="Z677" s="81"/>
    </row>
    <row r="678" spans="1:26" ht="24" customHeight="1" x14ac:dyDescent="0.5">
      <c r="A678" s="81"/>
      <c r="B678" s="81"/>
      <c r="C678" s="81"/>
      <c r="D678" s="81"/>
      <c r="E678" s="81"/>
      <c r="F678" s="81"/>
      <c r="G678" s="81"/>
      <c r="H678" s="81"/>
      <c r="I678" s="289"/>
      <c r="J678" s="289"/>
      <c r="K678" s="105"/>
      <c r="L678" s="81"/>
      <c r="M678" s="289"/>
      <c r="N678" s="289"/>
      <c r="O678" s="105"/>
      <c r="P678" s="81"/>
      <c r="Q678" s="289"/>
      <c r="R678" s="81"/>
      <c r="S678" s="105"/>
      <c r="T678" s="81"/>
      <c r="U678" s="81"/>
      <c r="V678" s="81"/>
      <c r="W678" s="81"/>
      <c r="X678" s="81"/>
      <c r="Y678" s="81"/>
      <c r="Z678" s="81"/>
    </row>
    <row r="679" spans="1:26" ht="24" customHeight="1" x14ac:dyDescent="0.5">
      <c r="A679" s="81"/>
      <c r="B679" s="81"/>
      <c r="C679" s="81"/>
      <c r="D679" s="81"/>
      <c r="E679" s="81"/>
      <c r="F679" s="81"/>
      <c r="G679" s="81"/>
      <c r="H679" s="81"/>
      <c r="I679" s="289"/>
      <c r="J679" s="289"/>
      <c r="K679" s="105"/>
      <c r="L679" s="81"/>
      <c r="M679" s="289"/>
      <c r="N679" s="289"/>
      <c r="O679" s="105"/>
      <c r="P679" s="81"/>
      <c r="Q679" s="289"/>
      <c r="R679" s="81"/>
      <c r="S679" s="105"/>
      <c r="T679" s="81"/>
      <c r="U679" s="81"/>
      <c r="V679" s="81"/>
      <c r="W679" s="81"/>
      <c r="X679" s="81"/>
      <c r="Y679" s="81"/>
      <c r="Z679" s="81"/>
    </row>
    <row r="680" spans="1:26" ht="24" customHeight="1" x14ac:dyDescent="0.5">
      <c r="A680" s="81"/>
      <c r="B680" s="81"/>
      <c r="C680" s="81"/>
      <c r="D680" s="81"/>
      <c r="E680" s="81"/>
      <c r="F680" s="81"/>
      <c r="G680" s="81"/>
      <c r="H680" s="81"/>
      <c r="I680" s="289"/>
      <c r="J680" s="289"/>
      <c r="K680" s="105"/>
      <c r="L680" s="81"/>
      <c r="M680" s="289"/>
      <c r="N680" s="289"/>
      <c r="O680" s="105"/>
      <c r="P680" s="81"/>
      <c r="Q680" s="289"/>
      <c r="R680" s="81"/>
      <c r="S680" s="105"/>
      <c r="T680" s="81"/>
      <c r="U680" s="81"/>
      <c r="V680" s="81"/>
      <c r="W680" s="81"/>
      <c r="X680" s="81"/>
      <c r="Y680" s="81"/>
      <c r="Z680" s="81"/>
    </row>
    <row r="681" spans="1:26" ht="24" customHeight="1" x14ac:dyDescent="0.5">
      <c r="A681" s="81"/>
      <c r="B681" s="81"/>
      <c r="C681" s="81"/>
      <c r="D681" s="81"/>
      <c r="E681" s="81"/>
      <c r="F681" s="81"/>
      <c r="G681" s="81"/>
      <c r="H681" s="81"/>
      <c r="I681" s="289"/>
      <c r="J681" s="289"/>
      <c r="K681" s="105"/>
      <c r="L681" s="81"/>
      <c r="M681" s="289"/>
      <c r="N681" s="289"/>
      <c r="O681" s="105"/>
      <c r="P681" s="81"/>
      <c r="Q681" s="289"/>
      <c r="R681" s="81"/>
      <c r="S681" s="105"/>
      <c r="T681" s="81"/>
      <c r="U681" s="81"/>
      <c r="V681" s="81"/>
      <c r="W681" s="81"/>
      <c r="X681" s="81"/>
      <c r="Y681" s="81"/>
      <c r="Z681" s="81"/>
    </row>
    <row r="682" spans="1:26" ht="24" customHeight="1" x14ac:dyDescent="0.5">
      <c r="A682" s="81"/>
      <c r="B682" s="81"/>
      <c r="C682" s="81"/>
      <c r="D682" s="81"/>
      <c r="E682" s="81"/>
      <c r="F682" s="81"/>
      <c r="G682" s="81"/>
      <c r="H682" s="81"/>
      <c r="I682" s="289"/>
      <c r="J682" s="289"/>
      <c r="K682" s="105"/>
      <c r="L682" s="81"/>
      <c r="M682" s="289"/>
      <c r="N682" s="289"/>
      <c r="O682" s="105"/>
      <c r="P682" s="81"/>
      <c r="Q682" s="289"/>
      <c r="R682" s="81"/>
      <c r="S682" s="105"/>
      <c r="T682" s="81"/>
      <c r="U682" s="81"/>
      <c r="V682" s="81"/>
      <c r="W682" s="81"/>
      <c r="X682" s="81"/>
      <c r="Y682" s="81"/>
      <c r="Z682" s="81"/>
    </row>
    <row r="683" spans="1:26" ht="24" customHeight="1" x14ac:dyDescent="0.5">
      <c r="A683" s="81"/>
      <c r="B683" s="81"/>
      <c r="C683" s="81"/>
      <c r="D683" s="81"/>
      <c r="E683" s="81"/>
      <c r="F683" s="81"/>
      <c r="G683" s="81"/>
      <c r="H683" s="81"/>
      <c r="I683" s="289"/>
      <c r="J683" s="289"/>
      <c r="K683" s="105"/>
      <c r="L683" s="81"/>
      <c r="M683" s="289"/>
      <c r="N683" s="289"/>
      <c r="O683" s="105"/>
      <c r="P683" s="81"/>
      <c r="Q683" s="289"/>
      <c r="R683" s="81"/>
      <c r="S683" s="105"/>
      <c r="T683" s="81"/>
      <c r="U683" s="81"/>
      <c r="V683" s="81"/>
      <c r="W683" s="81"/>
      <c r="X683" s="81"/>
      <c r="Y683" s="81"/>
      <c r="Z683" s="81"/>
    </row>
    <row r="684" spans="1:26" ht="24" customHeight="1" x14ac:dyDescent="0.5">
      <c r="A684" s="81"/>
      <c r="B684" s="81"/>
      <c r="C684" s="81"/>
      <c r="D684" s="81"/>
      <c r="E684" s="81"/>
      <c r="F684" s="81"/>
      <c r="G684" s="81"/>
      <c r="H684" s="81"/>
      <c r="I684" s="289"/>
      <c r="J684" s="289"/>
      <c r="K684" s="105"/>
      <c r="L684" s="81"/>
      <c r="M684" s="289"/>
      <c r="N684" s="289"/>
      <c r="O684" s="105"/>
      <c r="P684" s="81"/>
      <c r="Q684" s="289"/>
      <c r="R684" s="81"/>
      <c r="S684" s="105"/>
      <c r="T684" s="81"/>
      <c r="U684" s="81"/>
      <c r="V684" s="81"/>
      <c r="W684" s="81"/>
      <c r="X684" s="81"/>
      <c r="Y684" s="81"/>
      <c r="Z684" s="81"/>
    </row>
    <row r="685" spans="1:26" ht="24" customHeight="1" x14ac:dyDescent="0.5">
      <c r="A685" s="81"/>
      <c r="B685" s="81"/>
      <c r="C685" s="81"/>
      <c r="D685" s="81"/>
      <c r="E685" s="81"/>
      <c r="F685" s="81"/>
      <c r="G685" s="81"/>
      <c r="H685" s="81"/>
      <c r="I685" s="289"/>
      <c r="J685" s="289"/>
      <c r="K685" s="105"/>
      <c r="L685" s="81"/>
      <c r="M685" s="289"/>
      <c r="N685" s="289"/>
      <c r="O685" s="105"/>
      <c r="P685" s="81"/>
      <c r="Q685" s="289"/>
      <c r="R685" s="81"/>
      <c r="S685" s="105"/>
      <c r="T685" s="81"/>
      <c r="U685" s="81"/>
      <c r="V685" s="81"/>
      <c r="W685" s="81"/>
      <c r="X685" s="81"/>
      <c r="Y685" s="81"/>
      <c r="Z685" s="81"/>
    </row>
    <row r="686" spans="1:26" ht="24" customHeight="1" x14ac:dyDescent="0.5">
      <c r="A686" s="81"/>
      <c r="B686" s="81"/>
      <c r="C686" s="81"/>
      <c r="D686" s="81"/>
      <c r="E686" s="81"/>
      <c r="F686" s="81"/>
      <c r="G686" s="81"/>
      <c r="H686" s="81"/>
      <c r="I686" s="289"/>
      <c r="J686" s="289"/>
      <c r="K686" s="105"/>
      <c r="L686" s="81"/>
      <c r="M686" s="289"/>
      <c r="N686" s="289"/>
      <c r="O686" s="105"/>
      <c r="P686" s="81"/>
      <c r="Q686" s="289"/>
      <c r="R686" s="81"/>
      <c r="S686" s="105"/>
      <c r="T686" s="81"/>
      <c r="U686" s="81"/>
      <c r="V686" s="81"/>
      <c r="W686" s="81"/>
      <c r="X686" s="81"/>
      <c r="Y686" s="81"/>
      <c r="Z686" s="81"/>
    </row>
    <row r="687" spans="1:26" ht="24" customHeight="1" x14ac:dyDescent="0.5">
      <c r="A687" s="81"/>
      <c r="B687" s="81"/>
      <c r="C687" s="81"/>
      <c r="D687" s="81"/>
      <c r="E687" s="81"/>
      <c r="F687" s="81"/>
      <c r="G687" s="81"/>
      <c r="H687" s="81"/>
      <c r="I687" s="289"/>
      <c r="J687" s="289"/>
      <c r="K687" s="105"/>
      <c r="L687" s="81"/>
      <c r="M687" s="289"/>
      <c r="N687" s="289"/>
      <c r="O687" s="105"/>
      <c r="P687" s="81"/>
      <c r="Q687" s="289"/>
      <c r="R687" s="81"/>
      <c r="S687" s="105"/>
      <c r="T687" s="81"/>
      <c r="U687" s="81"/>
      <c r="V687" s="81"/>
      <c r="W687" s="81"/>
      <c r="X687" s="81"/>
      <c r="Y687" s="81"/>
      <c r="Z687" s="81"/>
    </row>
    <row r="688" spans="1:26" ht="24" customHeight="1" x14ac:dyDescent="0.5">
      <c r="A688" s="81"/>
      <c r="B688" s="81"/>
      <c r="C688" s="81"/>
      <c r="D688" s="81"/>
      <c r="E688" s="81"/>
      <c r="F688" s="81"/>
      <c r="G688" s="81"/>
      <c r="H688" s="81"/>
      <c r="I688" s="289"/>
      <c r="J688" s="289"/>
      <c r="K688" s="105"/>
      <c r="L688" s="81"/>
      <c r="M688" s="289"/>
      <c r="N688" s="289"/>
      <c r="O688" s="105"/>
      <c r="P688" s="81"/>
      <c r="Q688" s="289"/>
      <c r="R688" s="81"/>
      <c r="S688" s="105"/>
      <c r="T688" s="81"/>
      <c r="U688" s="81"/>
      <c r="V688" s="81"/>
      <c r="W688" s="81"/>
      <c r="X688" s="81"/>
      <c r="Y688" s="81"/>
      <c r="Z688" s="81"/>
    </row>
    <row r="689" spans="1:26" ht="24" customHeight="1" x14ac:dyDescent="0.5">
      <c r="A689" s="81"/>
      <c r="B689" s="81"/>
      <c r="C689" s="81"/>
      <c r="D689" s="81"/>
      <c r="E689" s="81"/>
      <c r="F689" s="81"/>
      <c r="G689" s="81"/>
      <c r="H689" s="81"/>
      <c r="I689" s="289"/>
      <c r="J689" s="289"/>
      <c r="K689" s="105"/>
      <c r="L689" s="81"/>
      <c r="M689" s="289"/>
      <c r="N689" s="289"/>
      <c r="O689" s="105"/>
      <c r="P689" s="81"/>
      <c r="Q689" s="289"/>
      <c r="R689" s="81"/>
      <c r="S689" s="105"/>
      <c r="T689" s="81"/>
      <c r="U689" s="81"/>
      <c r="V689" s="81"/>
      <c r="W689" s="81"/>
      <c r="X689" s="81"/>
      <c r="Y689" s="81"/>
      <c r="Z689" s="81"/>
    </row>
    <row r="690" spans="1:26" ht="24" customHeight="1" x14ac:dyDescent="0.5">
      <c r="A690" s="81"/>
      <c r="B690" s="81"/>
      <c r="C690" s="81"/>
      <c r="D690" s="81"/>
      <c r="E690" s="81"/>
      <c r="F690" s="81"/>
      <c r="G690" s="81"/>
      <c r="H690" s="81"/>
      <c r="I690" s="289"/>
      <c r="J690" s="289"/>
      <c r="K690" s="105"/>
      <c r="L690" s="81"/>
      <c r="M690" s="289"/>
      <c r="N690" s="289"/>
      <c r="O690" s="105"/>
      <c r="P690" s="81"/>
      <c r="Q690" s="289"/>
      <c r="R690" s="81"/>
      <c r="S690" s="105"/>
      <c r="T690" s="81"/>
      <c r="U690" s="81"/>
      <c r="V690" s="81"/>
      <c r="W690" s="81"/>
      <c r="X690" s="81"/>
      <c r="Y690" s="81"/>
      <c r="Z690" s="81"/>
    </row>
    <row r="691" spans="1:26" ht="24" customHeight="1" x14ac:dyDescent="0.5">
      <c r="A691" s="81"/>
      <c r="B691" s="81"/>
      <c r="C691" s="81"/>
      <c r="D691" s="81"/>
      <c r="E691" s="81"/>
      <c r="F691" s="81"/>
      <c r="G691" s="81"/>
      <c r="H691" s="81"/>
      <c r="I691" s="289"/>
      <c r="J691" s="289"/>
      <c r="K691" s="105"/>
      <c r="L691" s="81"/>
      <c r="M691" s="289"/>
      <c r="N691" s="289"/>
      <c r="O691" s="105"/>
      <c r="P691" s="81"/>
      <c r="Q691" s="289"/>
      <c r="R691" s="81"/>
      <c r="S691" s="105"/>
      <c r="T691" s="81"/>
      <c r="U691" s="81"/>
      <c r="V691" s="81"/>
      <c r="W691" s="81"/>
      <c r="X691" s="81"/>
      <c r="Y691" s="81"/>
      <c r="Z691" s="81"/>
    </row>
    <row r="692" spans="1:26" ht="24" customHeight="1" x14ac:dyDescent="0.5">
      <c r="A692" s="81"/>
      <c r="B692" s="81"/>
      <c r="C692" s="81"/>
      <c r="D692" s="81"/>
      <c r="E692" s="81"/>
      <c r="F692" s="81"/>
      <c r="G692" s="81"/>
      <c r="H692" s="81"/>
      <c r="I692" s="289"/>
      <c r="J692" s="289"/>
      <c r="K692" s="105"/>
      <c r="L692" s="81"/>
      <c r="M692" s="289"/>
      <c r="N692" s="289"/>
      <c r="O692" s="105"/>
      <c r="P692" s="81"/>
      <c r="Q692" s="289"/>
      <c r="R692" s="81"/>
      <c r="S692" s="105"/>
      <c r="T692" s="81"/>
      <c r="U692" s="81"/>
      <c r="V692" s="81"/>
      <c r="W692" s="81"/>
      <c r="X692" s="81"/>
      <c r="Y692" s="81"/>
      <c r="Z692" s="81"/>
    </row>
    <row r="693" spans="1:26" ht="24" customHeight="1" x14ac:dyDescent="0.5">
      <c r="A693" s="81"/>
      <c r="B693" s="81"/>
      <c r="C693" s="81"/>
      <c r="D693" s="81"/>
      <c r="E693" s="81"/>
      <c r="F693" s="81"/>
      <c r="G693" s="81"/>
      <c r="H693" s="81"/>
      <c r="I693" s="289"/>
      <c r="J693" s="289"/>
      <c r="K693" s="105"/>
      <c r="L693" s="81"/>
      <c r="M693" s="289"/>
      <c r="N693" s="289"/>
      <c r="O693" s="105"/>
      <c r="P693" s="81"/>
      <c r="Q693" s="289"/>
      <c r="R693" s="81"/>
      <c r="S693" s="105"/>
      <c r="T693" s="81"/>
      <c r="U693" s="81"/>
      <c r="V693" s="81"/>
      <c r="W693" s="81"/>
      <c r="X693" s="81"/>
      <c r="Y693" s="81"/>
      <c r="Z693" s="81"/>
    </row>
    <row r="694" spans="1:26" ht="24" customHeight="1" x14ac:dyDescent="0.5">
      <c r="A694" s="81"/>
      <c r="B694" s="81"/>
      <c r="C694" s="81"/>
      <c r="D694" s="81"/>
      <c r="E694" s="81"/>
      <c r="F694" s="81"/>
      <c r="G694" s="81"/>
      <c r="H694" s="81"/>
      <c r="I694" s="289"/>
      <c r="J694" s="289"/>
      <c r="K694" s="105"/>
      <c r="L694" s="81"/>
      <c r="M694" s="289"/>
      <c r="N694" s="289"/>
      <c r="O694" s="105"/>
      <c r="P694" s="81"/>
      <c r="Q694" s="289"/>
      <c r="R694" s="81"/>
      <c r="S694" s="105"/>
      <c r="T694" s="81"/>
      <c r="U694" s="81"/>
      <c r="V694" s="81"/>
      <c r="W694" s="81"/>
      <c r="X694" s="81"/>
      <c r="Y694" s="81"/>
      <c r="Z694" s="81"/>
    </row>
    <row r="695" spans="1:26" ht="24" customHeight="1" x14ac:dyDescent="0.5">
      <c r="A695" s="81"/>
      <c r="B695" s="81"/>
      <c r="C695" s="81"/>
      <c r="D695" s="81"/>
      <c r="E695" s="81"/>
      <c r="F695" s="81"/>
      <c r="G695" s="81"/>
      <c r="H695" s="81"/>
      <c r="I695" s="289"/>
      <c r="J695" s="289"/>
      <c r="K695" s="105"/>
      <c r="L695" s="81"/>
      <c r="M695" s="289"/>
      <c r="N695" s="289"/>
      <c r="O695" s="105"/>
      <c r="P695" s="81"/>
      <c r="Q695" s="289"/>
      <c r="R695" s="81"/>
      <c r="S695" s="105"/>
      <c r="T695" s="81"/>
      <c r="U695" s="81"/>
      <c r="V695" s="81"/>
      <c r="W695" s="81"/>
      <c r="X695" s="81"/>
      <c r="Y695" s="81"/>
      <c r="Z695" s="81"/>
    </row>
    <row r="696" spans="1:26" ht="24" customHeight="1" x14ac:dyDescent="0.5">
      <c r="A696" s="81"/>
      <c r="B696" s="81"/>
      <c r="C696" s="81"/>
      <c r="D696" s="81"/>
      <c r="E696" s="81"/>
      <c r="F696" s="81"/>
      <c r="G696" s="81"/>
      <c r="H696" s="81"/>
      <c r="I696" s="289"/>
      <c r="J696" s="289"/>
      <c r="K696" s="105"/>
      <c r="L696" s="81"/>
      <c r="M696" s="289"/>
      <c r="N696" s="289"/>
      <c r="O696" s="105"/>
      <c r="P696" s="81"/>
      <c r="Q696" s="289"/>
      <c r="R696" s="81"/>
      <c r="S696" s="105"/>
      <c r="T696" s="81"/>
      <c r="U696" s="81"/>
      <c r="V696" s="81"/>
      <c r="W696" s="81"/>
      <c r="X696" s="81"/>
      <c r="Y696" s="81"/>
      <c r="Z696" s="81"/>
    </row>
    <row r="697" spans="1:26" ht="24" customHeight="1" x14ac:dyDescent="0.5">
      <c r="A697" s="81"/>
      <c r="B697" s="81"/>
      <c r="C697" s="81"/>
      <c r="D697" s="81"/>
      <c r="E697" s="81"/>
      <c r="F697" s="81"/>
      <c r="G697" s="81"/>
      <c r="H697" s="81"/>
      <c r="I697" s="289"/>
      <c r="J697" s="289"/>
      <c r="K697" s="105"/>
      <c r="L697" s="81"/>
      <c r="M697" s="289"/>
      <c r="N697" s="289"/>
      <c r="O697" s="105"/>
      <c r="P697" s="81"/>
      <c r="Q697" s="289"/>
      <c r="R697" s="81"/>
      <c r="S697" s="105"/>
      <c r="T697" s="81"/>
      <c r="U697" s="81"/>
      <c r="V697" s="81"/>
      <c r="W697" s="81"/>
      <c r="X697" s="81"/>
      <c r="Y697" s="81"/>
      <c r="Z697" s="81"/>
    </row>
    <row r="698" spans="1:26" ht="24" customHeight="1" x14ac:dyDescent="0.5">
      <c r="A698" s="81"/>
      <c r="B698" s="81"/>
      <c r="C698" s="81"/>
      <c r="D698" s="81"/>
      <c r="E698" s="81"/>
      <c r="F698" s="81"/>
      <c r="G698" s="81"/>
      <c r="H698" s="81"/>
      <c r="I698" s="289"/>
      <c r="J698" s="289"/>
      <c r="K698" s="105"/>
      <c r="L698" s="81"/>
      <c r="M698" s="289"/>
      <c r="N698" s="289"/>
      <c r="O698" s="105"/>
      <c r="P698" s="81"/>
      <c r="Q698" s="289"/>
      <c r="R698" s="81"/>
      <c r="S698" s="105"/>
      <c r="T698" s="81"/>
      <c r="U698" s="81"/>
      <c r="V698" s="81"/>
      <c r="W698" s="81"/>
      <c r="X698" s="81"/>
      <c r="Y698" s="81"/>
      <c r="Z698" s="81"/>
    </row>
    <row r="699" spans="1:26" ht="24" customHeight="1" x14ac:dyDescent="0.5">
      <c r="A699" s="81"/>
      <c r="B699" s="81"/>
      <c r="C699" s="81"/>
      <c r="D699" s="81"/>
      <c r="E699" s="81"/>
      <c r="F699" s="81"/>
      <c r="G699" s="81"/>
      <c r="H699" s="81"/>
      <c r="I699" s="289"/>
      <c r="J699" s="289"/>
      <c r="K699" s="105"/>
      <c r="L699" s="81"/>
      <c r="M699" s="289"/>
      <c r="N699" s="289"/>
      <c r="O699" s="105"/>
      <c r="P699" s="81"/>
      <c r="Q699" s="289"/>
      <c r="R699" s="81"/>
      <c r="S699" s="105"/>
      <c r="T699" s="81"/>
      <c r="U699" s="81"/>
      <c r="V699" s="81"/>
      <c r="W699" s="81"/>
      <c r="X699" s="81"/>
      <c r="Y699" s="81"/>
      <c r="Z699" s="81"/>
    </row>
    <row r="700" spans="1:26" ht="24" customHeight="1" x14ac:dyDescent="0.5">
      <c r="A700" s="81"/>
      <c r="B700" s="81"/>
      <c r="C700" s="81"/>
      <c r="D700" s="81"/>
      <c r="E700" s="81"/>
      <c r="F700" s="81"/>
      <c r="G700" s="81"/>
      <c r="H700" s="81"/>
      <c r="I700" s="289"/>
      <c r="J700" s="289"/>
      <c r="K700" s="105"/>
      <c r="L700" s="81"/>
      <c r="M700" s="289"/>
      <c r="N700" s="289"/>
      <c r="O700" s="105"/>
      <c r="P700" s="81"/>
      <c r="Q700" s="289"/>
      <c r="R700" s="81"/>
      <c r="S700" s="105"/>
      <c r="T700" s="81"/>
      <c r="U700" s="81"/>
      <c r="V700" s="81"/>
      <c r="W700" s="81"/>
      <c r="X700" s="81"/>
      <c r="Y700" s="81"/>
      <c r="Z700" s="81"/>
    </row>
    <row r="701" spans="1:26" ht="24" customHeight="1" x14ac:dyDescent="0.5">
      <c r="A701" s="81"/>
      <c r="B701" s="81"/>
      <c r="C701" s="81"/>
      <c r="D701" s="81"/>
      <c r="E701" s="81"/>
      <c r="F701" s="81"/>
      <c r="G701" s="81"/>
      <c r="H701" s="81"/>
      <c r="I701" s="289"/>
      <c r="J701" s="289"/>
      <c r="K701" s="105"/>
      <c r="L701" s="81"/>
      <c r="M701" s="289"/>
      <c r="N701" s="289"/>
      <c r="O701" s="105"/>
      <c r="P701" s="81"/>
      <c r="Q701" s="289"/>
      <c r="R701" s="81"/>
      <c r="S701" s="105"/>
      <c r="T701" s="81"/>
      <c r="U701" s="81"/>
      <c r="V701" s="81"/>
      <c r="W701" s="81"/>
      <c r="X701" s="81"/>
      <c r="Y701" s="81"/>
      <c r="Z701" s="81"/>
    </row>
    <row r="702" spans="1:26" ht="24" customHeight="1" x14ac:dyDescent="0.5">
      <c r="A702" s="81"/>
      <c r="B702" s="81"/>
      <c r="C702" s="81"/>
      <c r="D702" s="81"/>
      <c r="E702" s="81"/>
      <c r="F702" s="81"/>
      <c r="G702" s="81"/>
      <c r="H702" s="81"/>
      <c r="I702" s="289"/>
      <c r="J702" s="289"/>
      <c r="K702" s="105"/>
      <c r="L702" s="81"/>
      <c r="M702" s="289"/>
      <c r="N702" s="289"/>
      <c r="O702" s="105"/>
      <c r="P702" s="81"/>
      <c r="Q702" s="289"/>
      <c r="R702" s="81"/>
      <c r="S702" s="105"/>
      <c r="T702" s="81"/>
      <c r="U702" s="81"/>
      <c r="V702" s="81"/>
      <c r="W702" s="81"/>
      <c r="X702" s="81"/>
      <c r="Y702" s="81"/>
      <c r="Z702" s="81"/>
    </row>
    <row r="703" spans="1:26" ht="24" customHeight="1" x14ac:dyDescent="0.5">
      <c r="A703" s="81"/>
      <c r="B703" s="81"/>
      <c r="C703" s="81"/>
      <c r="D703" s="81"/>
      <c r="E703" s="81"/>
      <c r="F703" s="81"/>
      <c r="G703" s="81"/>
      <c r="H703" s="81"/>
      <c r="I703" s="289"/>
      <c r="J703" s="289"/>
      <c r="K703" s="105"/>
      <c r="L703" s="81"/>
      <c r="M703" s="289"/>
      <c r="N703" s="289"/>
      <c r="O703" s="105"/>
      <c r="P703" s="81"/>
      <c r="Q703" s="289"/>
      <c r="R703" s="81"/>
      <c r="S703" s="105"/>
      <c r="T703" s="81"/>
      <c r="U703" s="81"/>
      <c r="V703" s="81"/>
      <c r="W703" s="81"/>
      <c r="X703" s="81"/>
      <c r="Y703" s="81"/>
      <c r="Z703" s="81"/>
    </row>
    <row r="704" spans="1:26" ht="24" customHeight="1" x14ac:dyDescent="0.5">
      <c r="A704" s="81"/>
      <c r="B704" s="81"/>
      <c r="C704" s="81"/>
      <c r="D704" s="81"/>
      <c r="E704" s="81"/>
      <c r="F704" s="81"/>
      <c r="G704" s="81"/>
      <c r="H704" s="81"/>
      <c r="I704" s="289"/>
      <c r="J704" s="289"/>
      <c r="K704" s="105"/>
      <c r="L704" s="81"/>
      <c r="M704" s="289"/>
      <c r="N704" s="289"/>
      <c r="O704" s="105"/>
      <c r="P704" s="81"/>
      <c r="Q704" s="289"/>
      <c r="R704" s="81"/>
      <c r="S704" s="105"/>
      <c r="T704" s="81"/>
      <c r="U704" s="81"/>
      <c r="V704" s="81"/>
      <c r="W704" s="81"/>
      <c r="X704" s="81"/>
      <c r="Y704" s="81"/>
      <c r="Z704" s="81"/>
    </row>
    <row r="705" spans="1:26" ht="24" customHeight="1" x14ac:dyDescent="0.5">
      <c r="A705" s="81"/>
      <c r="B705" s="81"/>
      <c r="C705" s="81"/>
      <c r="D705" s="81"/>
      <c r="E705" s="81"/>
      <c r="F705" s="81"/>
      <c r="G705" s="81"/>
      <c r="H705" s="81"/>
      <c r="I705" s="289"/>
      <c r="J705" s="289"/>
      <c r="K705" s="105"/>
      <c r="L705" s="81"/>
      <c r="M705" s="289"/>
      <c r="N705" s="289"/>
      <c r="O705" s="105"/>
      <c r="P705" s="81"/>
      <c r="Q705" s="289"/>
      <c r="R705" s="81"/>
      <c r="S705" s="105"/>
      <c r="T705" s="81"/>
      <c r="U705" s="81"/>
      <c r="V705" s="81"/>
      <c r="W705" s="81"/>
      <c r="X705" s="81"/>
      <c r="Y705" s="81"/>
      <c r="Z705" s="81"/>
    </row>
    <row r="706" spans="1:26" ht="24" customHeight="1" x14ac:dyDescent="0.5">
      <c r="A706" s="81"/>
      <c r="B706" s="81"/>
      <c r="C706" s="81"/>
      <c r="D706" s="81"/>
      <c r="E706" s="81"/>
      <c r="F706" s="81"/>
      <c r="G706" s="81"/>
      <c r="H706" s="81"/>
      <c r="I706" s="289"/>
      <c r="J706" s="289"/>
      <c r="K706" s="105"/>
      <c r="L706" s="81"/>
      <c r="M706" s="289"/>
      <c r="N706" s="289"/>
      <c r="O706" s="105"/>
      <c r="P706" s="81"/>
      <c r="Q706" s="289"/>
      <c r="R706" s="81"/>
      <c r="S706" s="105"/>
      <c r="T706" s="81"/>
      <c r="U706" s="81"/>
      <c r="V706" s="81"/>
      <c r="W706" s="81"/>
      <c r="X706" s="81"/>
      <c r="Y706" s="81"/>
      <c r="Z706" s="81"/>
    </row>
    <row r="707" spans="1:26" ht="24" customHeight="1" x14ac:dyDescent="0.5">
      <c r="A707" s="81"/>
      <c r="B707" s="81"/>
      <c r="C707" s="81"/>
      <c r="D707" s="81"/>
      <c r="E707" s="81"/>
      <c r="F707" s="81"/>
      <c r="G707" s="81"/>
      <c r="H707" s="81"/>
      <c r="I707" s="289"/>
      <c r="J707" s="289"/>
      <c r="K707" s="105"/>
      <c r="L707" s="81"/>
      <c r="M707" s="289"/>
      <c r="N707" s="289"/>
      <c r="O707" s="105"/>
      <c r="P707" s="81"/>
      <c r="Q707" s="289"/>
      <c r="R707" s="81"/>
      <c r="S707" s="105"/>
      <c r="T707" s="81"/>
      <c r="U707" s="81"/>
      <c r="V707" s="81"/>
      <c r="W707" s="81"/>
      <c r="X707" s="81"/>
      <c r="Y707" s="81"/>
      <c r="Z707" s="81"/>
    </row>
    <row r="708" spans="1:26" ht="24" customHeight="1" x14ac:dyDescent="0.5">
      <c r="A708" s="81"/>
      <c r="B708" s="81"/>
      <c r="C708" s="81"/>
      <c r="D708" s="81"/>
      <c r="E708" s="81"/>
      <c r="F708" s="81"/>
      <c r="G708" s="81"/>
      <c r="H708" s="81"/>
      <c r="I708" s="289"/>
      <c r="J708" s="289"/>
      <c r="K708" s="105"/>
      <c r="L708" s="81"/>
      <c r="M708" s="289"/>
      <c r="N708" s="289"/>
      <c r="O708" s="105"/>
      <c r="P708" s="81"/>
      <c r="Q708" s="289"/>
      <c r="R708" s="81"/>
      <c r="S708" s="105"/>
      <c r="T708" s="81"/>
      <c r="U708" s="81"/>
      <c r="V708" s="81"/>
      <c r="W708" s="81"/>
      <c r="X708" s="81"/>
      <c r="Y708" s="81"/>
      <c r="Z708" s="81"/>
    </row>
    <row r="709" spans="1:26" ht="24" customHeight="1" x14ac:dyDescent="0.5">
      <c r="A709" s="81"/>
      <c r="B709" s="81"/>
      <c r="C709" s="81"/>
      <c r="D709" s="81"/>
      <c r="E709" s="81"/>
      <c r="F709" s="81"/>
      <c r="G709" s="81"/>
      <c r="H709" s="81"/>
      <c r="I709" s="289"/>
      <c r="J709" s="289"/>
      <c r="K709" s="105"/>
      <c r="L709" s="81"/>
      <c r="M709" s="289"/>
      <c r="N709" s="289"/>
      <c r="O709" s="105"/>
      <c r="P709" s="81"/>
      <c r="Q709" s="289"/>
      <c r="R709" s="81"/>
      <c r="S709" s="105"/>
      <c r="T709" s="81"/>
      <c r="U709" s="81"/>
      <c r="V709" s="81"/>
      <c r="W709" s="81"/>
      <c r="X709" s="81"/>
      <c r="Y709" s="81"/>
      <c r="Z709" s="81"/>
    </row>
    <row r="710" spans="1:26" ht="24" customHeight="1" x14ac:dyDescent="0.5">
      <c r="A710" s="81"/>
      <c r="B710" s="81"/>
      <c r="C710" s="81"/>
      <c r="D710" s="81"/>
      <c r="E710" s="81"/>
      <c r="F710" s="81"/>
      <c r="G710" s="81"/>
      <c r="H710" s="81"/>
      <c r="I710" s="289"/>
      <c r="J710" s="289"/>
      <c r="K710" s="105"/>
      <c r="L710" s="81"/>
      <c r="M710" s="289"/>
      <c r="N710" s="289"/>
      <c r="O710" s="105"/>
      <c r="P710" s="81"/>
      <c r="Q710" s="289"/>
      <c r="R710" s="81"/>
      <c r="S710" s="105"/>
      <c r="T710" s="81"/>
      <c r="U710" s="81"/>
      <c r="V710" s="81"/>
      <c r="W710" s="81"/>
      <c r="X710" s="81"/>
      <c r="Y710" s="81"/>
      <c r="Z710" s="81"/>
    </row>
    <row r="711" spans="1:26" ht="24" customHeight="1" x14ac:dyDescent="0.5">
      <c r="A711" s="81"/>
      <c r="B711" s="81"/>
      <c r="C711" s="81"/>
      <c r="D711" s="81"/>
      <c r="E711" s="81"/>
      <c r="F711" s="81"/>
      <c r="G711" s="81"/>
      <c r="H711" s="81"/>
      <c r="I711" s="289"/>
      <c r="J711" s="289"/>
      <c r="K711" s="105"/>
      <c r="L711" s="81"/>
      <c r="M711" s="289"/>
      <c r="N711" s="289"/>
      <c r="O711" s="105"/>
      <c r="P711" s="81"/>
      <c r="Q711" s="289"/>
      <c r="R711" s="81"/>
      <c r="S711" s="105"/>
      <c r="T711" s="81"/>
      <c r="U711" s="81"/>
      <c r="V711" s="81"/>
      <c r="W711" s="81"/>
      <c r="X711" s="81"/>
      <c r="Y711" s="81"/>
      <c r="Z711" s="81"/>
    </row>
    <row r="712" spans="1:26" ht="24" customHeight="1" x14ac:dyDescent="0.5">
      <c r="A712" s="81"/>
      <c r="B712" s="81"/>
      <c r="C712" s="81"/>
      <c r="D712" s="81"/>
      <c r="E712" s="81"/>
      <c r="F712" s="81"/>
      <c r="G712" s="81"/>
      <c r="H712" s="81"/>
      <c r="I712" s="289"/>
      <c r="J712" s="289"/>
      <c r="K712" s="105"/>
      <c r="L712" s="81"/>
      <c r="M712" s="289"/>
      <c r="N712" s="289"/>
      <c r="O712" s="105"/>
      <c r="P712" s="81"/>
      <c r="Q712" s="289"/>
      <c r="R712" s="81"/>
      <c r="S712" s="105"/>
      <c r="T712" s="81"/>
      <c r="U712" s="81"/>
      <c r="V712" s="81"/>
      <c r="W712" s="81"/>
      <c r="X712" s="81"/>
      <c r="Y712" s="81"/>
      <c r="Z712" s="81"/>
    </row>
    <row r="713" spans="1:26" ht="24" customHeight="1" x14ac:dyDescent="0.5">
      <c r="A713" s="81"/>
      <c r="B713" s="81"/>
      <c r="C713" s="81"/>
      <c r="D713" s="81"/>
      <c r="E713" s="81"/>
      <c r="F713" s="81"/>
      <c r="G713" s="81"/>
      <c r="H713" s="81"/>
      <c r="I713" s="289"/>
      <c r="J713" s="289"/>
      <c r="K713" s="105"/>
      <c r="L713" s="81"/>
      <c r="M713" s="289"/>
      <c r="N713" s="289"/>
      <c r="O713" s="105"/>
      <c r="P713" s="81"/>
      <c r="Q713" s="289"/>
      <c r="R713" s="81"/>
      <c r="S713" s="105"/>
      <c r="T713" s="81"/>
      <c r="U713" s="81"/>
      <c r="V713" s="81"/>
      <c r="W713" s="81"/>
      <c r="X713" s="81"/>
      <c r="Y713" s="81"/>
      <c r="Z713" s="81"/>
    </row>
    <row r="714" spans="1:26" ht="24" customHeight="1" x14ac:dyDescent="0.5">
      <c r="A714" s="81"/>
      <c r="B714" s="81"/>
      <c r="C714" s="81"/>
      <c r="D714" s="81"/>
      <c r="E714" s="81"/>
      <c r="F714" s="81"/>
      <c r="G714" s="81"/>
      <c r="H714" s="81"/>
      <c r="I714" s="289"/>
      <c r="J714" s="289"/>
      <c r="K714" s="105"/>
      <c r="L714" s="81"/>
      <c r="M714" s="289"/>
      <c r="N714" s="289"/>
      <c r="O714" s="105"/>
      <c r="P714" s="81"/>
      <c r="Q714" s="289"/>
      <c r="R714" s="81"/>
      <c r="S714" s="105"/>
      <c r="T714" s="81"/>
      <c r="U714" s="81"/>
      <c r="V714" s="81"/>
      <c r="W714" s="81"/>
      <c r="X714" s="81"/>
      <c r="Y714" s="81"/>
      <c r="Z714" s="81"/>
    </row>
    <row r="715" spans="1:26" ht="24" customHeight="1" x14ac:dyDescent="0.5">
      <c r="A715" s="81"/>
      <c r="B715" s="81"/>
      <c r="C715" s="81"/>
      <c r="D715" s="81"/>
      <c r="E715" s="81"/>
      <c r="F715" s="81"/>
      <c r="G715" s="81"/>
      <c r="H715" s="81"/>
      <c r="I715" s="289"/>
      <c r="J715" s="289"/>
      <c r="K715" s="105"/>
      <c r="L715" s="81"/>
      <c r="M715" s="289"/>
      <c r="N715" s="289"/>
      <c r="O715" s="105"/>
      <c r="P715" s="81"/>
      <c r="Q715" s="289"/>
      <c r="R715" s="81"/>
      <c r="S715" s="105"/>
      <c r="T715" s="81"/>
      <c r="U715" s="81"/>
      <c r="V715" s="81"/>
      <c r="W715" s="81"/>
      <c r="X715" s="81"/>
      <c r="Y715" s="81"/>
      <c r="Z715" s="81"/>
    </row>
    <row r="716" spans="1:26" ht="24" customHeight="1" x14ac:dyDescent="0.5">
      <c r="A716" s="81"/>
      <c r="B716" s="81"/>
      <c r="C716" s="81"/>
      <c r="D716" s="81"/>
      <c r="E716" s="81"/>
      <c r="F716" s="81"/>
      <c r="G716" s="81"/>
      <c r="H716" s="81"/>
      <c r="I716" s="289"/>
      <c r="J716" s="289"/>
      <c r="K716" s="105"/>
      <c r="L716" s="81"/>
      <c r="M716" s="289"/>
      <c r="N716" s="289"/>
      <c r="O716" s="105"/>
      <c r="P716" s="81"/>
      <c r="Q716" s="289"/>
      <c r="R716" s="81"/>
      <c r="S716" s="105"/>
      <c r="T716" s="81"/>
      <c r="U716" s="81"/>
      <c r="V716" s="81"/>
      <c r="W716" s="81"/>
      <c r="X716" s="81"/>
      <c r="Y716" s="81"/>
      <c r="Z716" s="81"/>
    </row>
    <row r="717" spans="1:26" ht="24" customHeight="1" x14ac:dyDescent="0.5">
      <c r="A717" s="81"/>
      <c r="B717" s="81"/>
      <c r="C717" s="81"/>
      <c r="D717" s="81"/>
      <c r="E717" s="81"/>
      <c r="F717" s="81"/>
      <c r="G717" s="81"/>
      <c r="H717" s="81"/>
      <c r="I717" s="289"/>
      <c r="J717" s="289"/>
      <c r="K717" s="105"/>
      <c r="L717" s="81"/>
      <c r="M717" s="289"/>
      <c r="N717" s="289"/>
      <c r="O717" s="105"/>
      <c r="P717" s="81"/>
      <c r="Q717" s="289"/>
      <c r="R717" s="81"/>
      <c r="S717" s="105"/>
      <c r="T717" s="81"/>
      <c r="U717" s="81"/>
      <c r="V717" s="81"/>
      <c r="W717" s="81"/>
      <c r="X717" s="81"/>
      <c r="Y717" s="81"/>
      <c r="Z717" s="81"/>
    </row>
    <row r="718" spans="1:26" ht="24" customHeight="1" x14ac:dyDescent="0.5">
      <c r="A718" s="81"/>
      <c r="B718" s="81"/>
      <c r="C718" s="81"/>
      <c r="D718" s="81"/>
      <c r="E718" s="81"/>
      <c r="F718" s="81"/>
      <c r="G718" s="81"/>
      <c r="H718" s="81"/>
      <c r="I718" s="289"/>
      <c r="J718" s="289"/>
      <c r="K718" s="105"/>
      <c r="L718" s="81"/>
      <c r="M718" s="289"/>
      <c r="N718" s="289"/>
      <c r="O718" s="105"/>
      <c r="P718" s="81"/>
      <c r="Q718" s="289"/>
      <c r="R718" s="81"/>
      <c r="S718" s="105"/>
      <c r="T718" s="81"/>
      <c r="U718" s="81"/>
      <c r="V718" s="81"/>
      <c r="W718" s="81"/>
      <c r="X718" s="81"/>
      <c r="Y718" s="81"/>
      <c r="Z718" s="81"/>
    </row>
    <row r="719" spans="1:26" ht="24" customHeight="1" x14ac:dyDescent="0.5">
      <c r="A719" s="81"/>
      <c r="B719" s="81"/>
      <c r="C719" s="81"/>
      <c r="D719" s="81"/>
      <c r="E719" s="81"/>
      <c r="F719" s="81"/>
      <c r="G719" s="81"/>
      <c r="H719" s="81"/>
      <c r="I719" s="289"/>
      <c r="J719" s="289"/>
      <c r="K719" s="105"/>
      <c r="L719" s="81"/>
      <c r="M719" s="289"/>
      <c r="N719" s="289"/>
      <c r="O719" s="105"/>
      <c r="P719" s="81"/>
      <c r="Q719" s="289"/>
      <c r="R719" s="81"/>
      <c r="S719" s="105"/>
      <c r="T719" s="81"/>
      <c r="U719" s="81"/>
      <c r="V719" s="81"/>
      <c r="W719" s="81"/>
      <c r="X719" s="81"/>
      <c r="Y719" s="81"/>
      <c r="Z719" s="81"/>
    </row>
    <row r="720" spans="1:26" ht="24" customHeight="1" x14ac:dyDescent="0.5">
      <c r="A720" s="81"/>
      <c r="B720" s="81"/>
      <c r="C720" s="81"/>
      <c r="D720" s="81"/>
      <c r="E720" s="81"/>
      <c r="F720" s="81"/>
      <c r="G720" s="81"/>
      <c r="H720" s="81"/>
      <c r="I720" s="289"/>
      <c r="J720" s="289"/>
      <c r="K720" s="105"/>
      <c r="L720" s="81"/>
      <c r="M720" s="289"/>
      <c r="N720" s="289"/>
      <c r="O720" s="105"/>
      <c r="P720" s="81"/>
      <c r="Q720" s="289"/>
      <c r="R720" s="81"/>
      <c r="S720" s="105"/>
      <c r="T720" s="81"/>
      <c r="U720" s="81"/>
      <c r="V720" s="81"/>
      <c r="W720" s="81"/>
      <c r="X720" s="81"/>
      <c r="Y720" s="81"/>
      <c r="Z720" s="81"/>
    </row>
    <row r="721" spans="1:26" ht="24" customHeight="1" x14ac:dyDescent="0.5">
      <c r="A721" s="81"/>
      <c r="B721" s="81"/>
      <c r="C721" s="81"/>
      <c r="D721" s="81"/>
      <c r="E721" s="81"/>
      <c r="F721" s="81"/>
      <c r="G721" s="81"/>
      <c r="H721" s="81"/>
      <c r="I721" s="289"/>
      <c r="J721" s="289"/>
      <c r="K721" s="105"/>
      <c r="L721" s="81"/>
      <c r="M721" s="289"/>
      <c r="N721" s="289"/>
      <c r="O721" s="105"/>
      <c r="P721" s="81"/>
      <c r="Q721" s="289"/>
      <c r="R721" s="81"/>
      <c r="S721" s="105"/>
      <c r="T721" s="81"/>
      <c r="U721" s="81"/>
      <c r="V721" s="81"/>
      <c r="W721" s="81"/>
      <c r="X721" s="81"/>
      <c r="Y721" s="81"/>
      <c r="Z721" s="81"/>
    </row>
    <row r="722" spans="1:26" ht="24" customHeight="1" x14ac:dyDescent="0.5">
      <c r="A722" s="81"/>
      <c r="B722" s="81"/>
      <c r="C722" s="81"/>
      <c r="D722" s="81"/>
      <c r="E722" s="81"/>
      <c r="F722" s="81"/>
      <c r="G722" s="81"/>
      <c r="H722" s="81"/>
      <c r="I722" s="289"/>
      <c r="J722" s="289"/>
      <c r="K722" s="105"/>
      <c r="L722" s="81"/>
      <c r="M722" s="289"/>
      <c r="N722" s="289"/>
      <c r="O722" s="105"/>
      <c r="P722" s="81"/>
      <c r="Q722" s="289"/>
      <c r="R722" s="81"/>
      <c r="S722" s="105"/>
      <c r="T722" s="81"/>
      <c r="U722" s="81"/>
      <c r="V722" s="81"/>
      <c r="W722" s="81"/>
      <c r="X722" s="81"/>
      <c r="Y722" s="81"/>
      <c r="Z722" s="81"/>
    </row>
    <row r="723" spans="1:26" ht="24" customHeight="1" x14ac:dyDescent="0.5">
      <c r="A723" s="81"/>
      <c r="B723" s="81"/>
      <c r="C723" s="81"/>
      <c r="D723" s="81"/>
      <c r="E723" s="81"/>
      <c r="F723" s="81"/>
      <c r="G723" s="81"/>
      <c r="H723" s="81"/>
      <c r="I723" s="289"/>
      <c r="J723" s="289"/>
      <c r="K723" s="105"/>
      <c r="L723" s="81"/>
      <c r="M723" s="289"/>
      <c r="N723" s="289"/>
      <c r="O723" s="105"/>
      <c r="P723" s="81"/>
      <c r="Q723" s="289"/>
      <c r="R723" s="81"/>
      <c r="S723" s="105"/>
      <c r="T723" s="81"/>
      <c r="U723" s="81"/>
      <c r="V723" s="81"/>
      <c r="W723" s="81"/>
      <c r="X723" s="81"/>
      <c r="Y723" s="81"/>
      <c r="Z723" s="81"/>
    </row>
    <row r="724" spans="1:26" ht="24" customHeight="1" x14ac:dyDescent="0.5">
      <c r="A724" s="81"/>
      <c r="B724" s="81"/>
      <c r="C724" s="81"/>
      <c r="D724" s="81"/>
      <c r="E724" s="81"/>
      <c r="F724" s="81"/>
      <c r="G724" s="81"/>
      <c r="H724" s="81"/>
      <c r="I724" s="289"/>
      <c r="J724" s="289"/>
      <c r="K724" s="105"/>
      <c r="L724" s="81"/>
      <c r="M724" s="289"/>
      <c r="N724" s="289"/>
      <c r="O724" s="105"/>
      <c r="P724" s="81"/>
      <c r="Q724" s="289"/>
      <c r="R724" s="81"/>
      <c r="S724" s="105"/>
      <c r="T724" s="81"/>
      <c r="U724" s="81"/>
      <c r="V724" s="81"/>
      <c r="W724" s="81"/>
      <c r="X724" s="81"/>
      <c r="Y724" s="81"/>
      <c r="Z724" s="81"/>
    </row>
    <row r="725" spans="1:26" ht="24" customHeight="1" x14ac:dyDescent="0.5">
      <c r="A725" s="81"/>
      <c r="B725" s="81"/>
      <c r="C725" s="81"/>
      <c r="D725" s="81"/>
      <c r="E725" s="81"/>
      <c r="F725" s="81"/>
      <c r="G725" s="81"/>
      <c r="H725" s="81"/>
      <c r="I725" s="289"/>
      <c r="J725" s="289"/>
      <c r="K725" s="105"/>
      <c r="L725" s="81"/>
      <c r="M725" s="289"/>
      <c r="N725" s="289"/>
      <c r="O725" s="105"/>
      <c r="P725" s="81"/>
      <c r="Q725" s="289"/>
      <c r="R725" s="81"/>
      <c r="S725" s="105"/>
      <c r="T725" s="81"/>
      <c r="U725" s="81"/>
      <c r="V725" s="81"/>
      <c r="W725" s="81"/>
      <c r="X725" s="81"/>
      <c r="Y725" s="81"/>
      <c r="Z725" s="81"/>
    </row>
    <row r="726" spans="1:26" ht="24" customHeight="1" x14ac:dyDescent="0.5">
      <c r="A726" s="81"/>
      <c r="B726" s="81"/>
      <c r="C726" s="81"/>
      <c r="D726" s="81"/>
      <c r="E726" s="81"/>
      <c r="F726" s="81"/>
      <c r="G726" s="81"/>
      <c r="H726" s="81"/>
      <c r="I726" s="289"/>
      <c r="J726" s="289"/>
      <c r="K726" s="105"/>
      <c r="L726" s="81"/>
      <c r="M726" s="289"/>
      <c r="N726" s="289"/>
      <c r="O726" s="105"/>
      <c r="P726" s="81"/>
      <c r="Q726" s="289"/>
      <c r="R726" s="81"/>
      <c r="S726" s="105"/>
      <c r="T726" s="81"/>
      <c r="U726" s="81"/>
      <c r="V726" s="81"/>
      <c r="W726" s="81"/>
      <c r="X726" s="81"/>
      <c r="Y726" s="81"/>
      <c r="Z726" s="81"/>
    </row>
    <row r="727" spans="1:26" ht="24" customHeight="1" x14ac:dyDescent="0.5">
      <c r="A727" s="81"/>
      <c r="B727" s="81"/>
      <c r="C727" s="81"/>
      <c r="D727" s="81"/>
      <c r="E727" s="81"/>
      <c r="F727" s="81"/>
      <c r="G727" s="81"/>
      <c r="H727" s="81"/>
      <c r="I727" s="289"/>
      <c r="J727" s="289"/>
      <c r="K727" s="105"/>
      <c r="L727" s="81"/>
      <c r="M727" s="289"/>
      <c r="N727" s="289"/>
      <c r="O727" s="105"/>
      <c r="P727" s="81"/>
      <c r="Q727" s="289"/>
      <c r="R727" s="81"/>
      <c r="S727" s="105"/>
      <c r="T727" s="81"/>
      <c r="U727" s="81"/>
      <c r="V727" s="81"/>
      <c r="W727" s="81"/>
      <c r="X727" s="81"/>
      <c r="Y727" s="81"/>
      <c r="Z727" s="81"/>
    </row>
    <row r="728" spans="1:26" ht="24" customHeight="1" x14ac:dyDescent="0.5">
      <c r="A728" s="81"/>
      <c r="B728" s="81"/>
      <c r="C728" s="81"/>
      <c r="D728" s="81"/>
      <c r="E728" s="81"/>
      <c r="F728" s="81"/>
      <c r="G728" s="81"/>
      <c r="H728" s="81"/>
      <c r="I728" s="289"/>
      <c r="J728" s="289"/>
      <c r="K728" s="105"/>
      <c r="L728" s="81"/>
      <c r="M728" s="289"/>
      <c r="N728" s="289"/>
      <c r="O728" s="105"/>
      <c r="P728" s="81"/>
      <c r="Q728" s="289"/>
      <c r="R728" s="81"/>
      <c r="S728" s="105"/>
      <c r="T728" s="81"/>
      <c r="U728" s="81"/>
      <c r="V728" s="81"/>
      <c r="W728" s="81"/>
      <c r="X728" s="81"/>
      <c r="Y728" s="81"/>
      <c r="Z728" s="81"/>
    </row>
    <row r="729" spans="1:26" ht="24" customHeight="1" x14ac:dyDescent="0.5">
      <c r="A729" s="81"/>
      <c r="B729" s="81"/>
      <c r="C729" s="81"/>
      <c r="D729" s="81"/>
      <c r="E729" s="81"/>
      <c r="F729" s="81"/>
      <c r="G729" s="81"/>
      <c r="H729" s="81"/>
      <c r="I729" s="289"/>
      <c r="J729" s="289"/>
      <c r="K729" s="105"/>
      <c r="L729" s="81"/>
      <c r="M729" s="289"/>
      <c r="N729" s="289"/>
      <c r="O729" s="105"/>
      <c r="P729" s="81"/>
      <c r="Q729" s="289"/>
      <c r="R729" s="81"/>
      <c r="S729" s="105"/>
      <c r="T729" s="81"/>
      <c r="U729" s="81"/>
      <c r="V729" s="81"/>
      <c r="W729" s="81"/>
      <c r="X729" s="81"/>
      <c r="Y729" s="81"/>
      <c r="Z729" s="81"/>
    </row>
    <row r="730" spans="1:26" ht="24" customHeight="1" x14ac:dyDescent="0.5">
      <c r="A730" s="81"/>
      <c r="B730" s="81"/>
      <c r="C730" s="81"/>
      <c r="D730" s="81"/>
      <c r="E730" s="81"/>
      <c r="F730" s="81"/>
      <c r="G730" s="81"/>
      <c r="H730" s="81"/>
      <c r="I730" s="289"/>
      <c r="J730" s="289"/>
      <c r="K730" s="105"/>
      <c r="L730" s="81"/>
      <c r="M730" s="289"/>
      <c r="N730" s="289"/>
      <c r="O730" s="105"/>
      <c r="P730" s="81"/>
      <c r="Q730" s="289"/>
      <c r="R730" s="81"/>
      <c r="S730" s="105"/>
      <c r="T730" s="81"/>
      <c r="U730" s="81"/>
      <c r="V730" s="81"/>
      <c r="W730" s="81"/>
      <c r="X730" s="81"/>
      <c r="Y730" s="81"/>
      <c r="Z730" s="81"/>
    </row>
    <row r="731" spans="1:26" ht="24" customHeight="1" x14ac:dyDescent="0.5">
      <c r="A731" s="81"/>
      <c r="B731" s="81"/>
      <c r="C731" s="81"/>
      <c r="D731" s="81"/>
      <c r="E731" s="81"/>
      <c r="F731" s="81"/>
      <c r="G731" s="81"/>
      <c r="H731" s="81"/>
      <c r="I731" s="289"/>
      <c r="J731" s="289"/>
      <c r="K731" s="105"/>
      <c r="L731" s="81"/>
      <c r="M731" s="289"/>
      <c r="N731" s="289"/>
      <c r="O731" s="105"/>
      <c r="P731" s="81"/>
      <c r="Q731" s="289"/>
      <c r="R731" s="81"/>
      <c r="S731" s="105"/>
      <c r="T731" s="81"/>
      <c r="U731" s="81"/>
      <c r="V731" s="81"/>
      <c r="W731" s="81"/>
      <c r="X731" s="81"/>
      <c r="Y731" s="81"/>
      <c r="Z731" s="81"/>
    </row>
    <row r="732" spans="1:26" ht="24" customHeight="1" x14ac:dyDescent="0.5">
      <c r="A732" s="81"/>
      <c r="B732" s="81"/>
      <c r="C732" s="81"/>
      <c r="D732" s="81"/>
      <c r="E732" s="81"/>
      <c r="F732" s="81"/>
      <c r="G732" s="81"/>
      <c r="H732" s="81"/>
      <c r="I732" s="289"/>
      <c r="J732" s="289"/>
      <c r="K732" s="105"/>
      <c r="L732" s="81"/>
      <c r="M732" s="289"/>
      <c r="N732" s="289"/>
      <c r="O732" s="105"/>
      <c r="P732" s="81"/>
      <c r="Q732" s="289"/>
      <c r="R732" s="81"/>
      <c r="S732" s="105"/>
      <c r="T732" s="81"/>
      <c r="U732" s="81"/>
      <c r="V732" s="81"/>
      <c r="W732" s="81"/>
      <c r="X732" s="81"/>
      <c r="Y732" s="81"/>
      <c r="Z732" s="81"/>
    </row>
    <row r="733" spans="1:26" ht="24" customHeight="1" x14ac:dyDescent="0.5">
      <c r="A733" s="81"/>
      <c r="B733" s="81"/>
      <c r="C733" s="81"/>
      <c r="D733" s="81"/>
      <c r="E733" s="81"/>
      <c r="F733" s="81"/>
      <c r="G733" s="81"/>
      <c r="H733" s="81"/>
      <c r="I733" s="289"/>
      <c r="J733" s="289"/>
      <c r="K733" s="105"/>
      <c r="L733" s="81"/>
      <c r="M733" s="289"/>
      <c r="N733" s="289"/>
      <c r="O733" s="105"/>
      <c r="P733" s="81"/>
      <c r="Q733" s="289"/>
      <c r="R733" s="81"/>
      <c r="S733" s="105"/>
      <c r="T733" s="81"/>
      <c r="U733" s="81"/>
      <c r="V733" s="81"/>
      <c r="W733" s="81"/>
      <c r="X733" s="81"/>
      <c r="Y733" s="81"/>
      <c r="Z733" s="81"/>
    </row>
    <row r="734" spans="1:26" ht="24" customHeight="1" x14ac:dyDescent="0.5">
      <c r="A734" s="81"/>
      <c r="B734" s="81"/>
      <c r="C734" s="81"/>
      <c r="D734" s="81"/>
      <c r="E734" s="81"/>
      <c r="F734" s="81"/>
      <c r="G734" s="81"/>
      <c r="H734" s="81"/>
      <c r="I734" s="289"/>
      <c r="J734" s="289"/>
      <c r="K734" s="105"/>
      <c r="L734" s="81"/>
      <c r="M734" s="289"/>
      <c r="N734" s="289"/>
      <c r="O734" s="105"/>
      <c r="P734" s="81"/>
      <c r="Q734" s="289"/>
      <c r="R734" s="81"/>
      <c r="S734" s="105"/>
      <c r="T734" s="81"/>
      <c r="U734" s="81"/>
      <c r="V734" s="81"/>
      <c r="W734" s="81"/>
      <c r="X734" s="81"/>
      <c r="Y734" s="81"/>
      <c r="Z734" s="81"/>
    </row>
    <row r="735" spans="1:26" ht="24" customHeight="1" x14ac:dyDescent="0.5">
      <c r="A735" s="81"/>
      <c r="B735" s="81"/>
      <c r="C735" s="81"/>
      <c r="D735" s="81"/>
      <c r="E735" s="81"/>
      <c r="F735" s="81"/>
      <c r="G735" s="81"/>
      <c r="H735" s="81"/>
      <c r="I735" s="289"/>
      <c r="J735" s="289"/>
      <c r="K735" s="105"/>
      <c r="L735" s="81"/>
      <c r="M735" s="289"/>
      <c r="N735" s="289"/>
      <c r="O735" s="105"/>
      <c r="P735" s="81"/>
      <c r="Q735" s="289"/>
      <c r="R735" s="81"/>
      <c r="S735" s="105"/>
      <c r="T735" s="81"/>
      <c r="U735" s="81"/>
      <c r="V735" s="81"/>
      <c r="W735" s="81"/>
      <c r="X735" s="81"/>
      <c r="Y735" s="81"/>
      <c r="Z735" s="81"/>
    </row>
    <row r="736" spans="1:26" ht="24" customHeight="1" x14ac:dyDescent="0.5">
      <c r="A736" s="81"/>
      <c r="B736" s="81"/>
      <c r="C736" s="81"/>
      <c r="D736" s="81"/>
      <c r="E736" s="81"/>
      <c r="F736" s="81"/>
      <c r="G736" s="81"/>
      <c r="H736" s="81"/>
      <c r="I736" s="289"/>
      <c r="J736" s="289"/>
      <c r="K736" s="105"/>
      <c r="L736" s="81"/>
      <c r="M736" s="289"/>
      <c r="N736" s="289"/>
      <c r="O736" s="105"/>
      <c r="P736" s="81"/>
      <c r="Q736" s="289"/>
      <c r="R736" s="81"/>
      <c r="S736" s="105"/>
      <c r="T736" s="81"/>
      <c r="U736" s="81"/>
      <c r="V736" s="81"/>
      <c r="W736" s="81"/>
      <c r="X736" s="81"/>
      <c r="Y736" s="81"/>
      <c r="Z736" s="81"/>
    </row>
    <row r="737" spans="1:26" ht="24" customHeight="1" x14ac:dyDescent="0.5">
      <c r="A737" s="81"/>
      <c r="B737" s="81"/>
      <c r="C737" s="81"/>
      <c r="D737" s="81"/>
      <c r="E737" s="81"/>
      <c r="F737" s="81"/>
      <c r="G737" s="81"/>
      <c r="H737" s="81"/>
      <c r="I737" s="289"/>
      <c r="J737" s="289"/>
      <c r="K737" s="105"/>
      <c r="L737" s="81"/>
      <c r="M737" s="289"/>
      <c r="N737" s="289"/>
      <c r="O737" s="105"/>
      <c r="P737" s="81"/>
      <c r="Q737" s="289"/>
      <c r="R737" s="81"/>
      <c r="S737" s="105"/>
      <c r="T737" s="81"/>
      <c r="U737" s="81"/>
      <c r="V737" s="81"/>
      <c r="W737" s="81"/>
      <c r="X737" s="81"/>
      <c r="Y737" s="81"/>
      <c r="Z737" s="81"/>
    </row>
    <row r="738" spans="1:26" ht="24" customHeight="1" x14ac:dyDescent="0.5">
      <c r="A738" s="81"/>
      <c r="B738" s="81"/>
      <c r="C738" s="81"/>
      <c r="D738" s="81"/>
      <c r="E738" s="81"/>
      <c r="F738" s="81"/>
      <c r="G738" s="81"/>
      <c r="H738" s="81"/>
      <c r="I738" s="289"/>
      <c r="J738" s="289"/>
      <c r="K738" s="105"/>
      <c r="L738" s="81"/>
      <c r="M738" s="289"/>
      <c r="N738" s="289"/>
      <c r="O738" s="105"/>
      <c r="P738" s="81"/>
      <c r="Q738" s="289"/>
      <c r="R738" s="81"/>
      <c r="S738" s="105"/>
      <c r="T738" s="81"/>
      <c r="U738" s="81"/>
      <c r="V738" s="81"/>
      <c r="W738" s="81"/>
      <c r="X738" s="81"/>
      <c r="Y738" s="81"/>
      <c r="Z738" s="81"/>
    </row>
    <row r="739" spans="1:26" ht="24" customHeight="1" x14ac:dyDescent="0.5">
      <c r="A739" s="81"/>
      <c r="B739" s="81"/>
      <c r="C739" s="81"/>
      <c r="D739" s="81"/>
      <c r="E739" s="81"/>
      <c r="F739" s="81"/>
      <c r="G739" s="81"/>
      <c r="H739" s="81"/>
      <c r="I739" s="289"/>
      <c r="J739" s="289"/>
      <c r="K739" s="105"/>
      <c r="L739" s="81"/>
      <c r="M739" s="289"/>
      <c r="N739" s="289"/>
      <c r="O739" s="105"/>
      <c r="P739" s="81"/>
      <c r="Q739" s="289"/>
      <c r="R739" s="81"/>
      <c r="S739" s="105"/>
      <c r="T739" s="81"/>
      <c r="U739" s="81"/>
      <c r="V739" s="81"/>
      <c r="W739" s="81"/>
      <c r="X739" s="81"/>
      <c r="Y739" s="81"/>
      <c r="Z739" s="81"/>
    </row>
    <row r="740" spans="1:26" ht="24" customHeight="1" x14ac:dyDescent="0.5">
      <c r="A740" s="81"/>
      <c r="B740" s="81"/>
      <c r="C740" s="81"/>
      <c r="D740" s="81"/>
      <c r="E740" s="81"/>
      <c r="F740" s="81"/>
      <c r="G740" s="81"/>
      <c r="H740" s="81"/>
      <c r="I740" s="289"/>
      <c r="J740" s="289"/>
      <c r="K740" s="105"/>
      <c r="L740" s="81"/>
      <c r="M740" s="289"/>
      <c r="N740" s="289"/>
      <c r="O740" s="105"/>
      <c r="P740" s="81"/>
      <c r="Q740" s="289"/>
      <c r="R740" s="81"/>
      <c r="S740" s="105"/>
      <c r="T740" s="81"/>
      <c r="U740" s="81"/>
      <c r="V740" s="81"/>
      <c r="W740" s="81"/>
      <c r="X740" s="81"/>
      <c r="Y740" s="81"/>
      <c r="Z740" s="81"/>
    </row>
    <row r="741" spans="1:26" ht="24" customHeight="1" x14ac:dyDescent="0.5">
      <c r="A741" s="81"/>
      <c r="B741" s="81"/>
      <c r="C741" s="81"/>
      <c r="D741" s="81"/>
      <c r="E741" s="81"/>
      <c r="F741" s="81"/>
      <c r="G741" s="81"/>
      <c r="H741" s="81"/>
      <c r="I741" s="289"/>
      <c r="J741" s="289"/>
      <c r="K741" s="105"/>
      <c r="L741" s="81"/>
      <c r="M741" s="289"/>
      <c r="N741" s="289"/>
      <c r="O741" s="105"/>
      <c r="P741" s="81"/>
      <c r="Q741" s="289"/>
      <c r="R741" s="81"/>
      <c r="S741" s="105"/>
      <c r="T741" s="81"/>
      <c r="U741" s="81"/>
      <c r="V741" s="81"/>
      <c r="W741" s="81"/>
      <c r="X741" s="81"/>
      <c r="Y741" s="81"/>
      <c r="Z741" s="81"/>
    </row>
    <row r="742" spans="1:26" ht="24" customHeight="1" x14ac:dyDescent="0.5">
      <c r="A742" s="81"/>
      <c r="B742" s="81"/>
      <c r="C742" s="81"/>
      <c r="D742" s="81"/>
      <c r="E742" s="81"/>
      <c r="F742" s="81"/>
      <c r="G742" s="81"/>
      <c r="H742" s="81"/>
      <c r="I742" s="289"/>
      <c r="J742" s="289"/>
      <c r="K742" s="105"/>
      <c r="L742" s="81"/>
      <c r="M742" s="289"/>
      <c r="N742" s="289"/>
      <c r="O742" s="105"/>
      <c r="P742" s="81"/>
      <c r="Q742" s="289"/>
      <c r="R742" s="81"/>
      <c r="S742" s="105"/>
      <c r="T742" s="81"/>
      <c r="U742" s="81"/>
      <c r="V742" s="81"/>
      <c r="W742" s="81"/>
      <c r="X742" s="81"/>
      <c r="Y742" s="81"/>
      <c r="Z742" s="81"/>
    </row>
    <row r="743" spans="1:26" ht="24" customHeight="1" x14ac:dyDescent="0.5">
      <c r="A743" s="81"/>
      <c r="B743" s="81"/>
      <c r="C743" s="81"/>
      <c r="D743" s="81"/>
      <c r="E743" s="81"/>
      <c r="F743" s="81"/>
      <c r="G743" s="81"/>
      <c r="H743" s="81"/>
      <c r="I743" s="289"/>
      <c r="J743" s="289"/>
      <c r="K743" s="105"/>
      <c r="L743" s="81"/>
      <c r="M743" s="289"/>
      <c r="N743" s="289"/>
      <c r="O743" s="105"/>
      <c r="P743" s="81"/>
      <c r="Q743" s="289"/>
      <c r="R743" s="81"/>
      <c r="S743" s="105"/>
      <c r="T743" s="81"/>
      <c r="U743" s="81"/>
      <c r="V743" s="81"/>
      <c r="W743" s="81"/>
      <c r="X743" s="81"/>
      <c r="Y743" s="81"/>
      <c r="Z743" s="81"/>
    </row>
    <row r="744" spans="1:26" ht="24" customHeight="1" x14ac:dyDescent="0.5">
      <c r="A744" s="81"/>
      <c r="B744" s="81"/>
      <c r="C744" s="81"/>
      <c r="D744" s="81"/>
      <c r="E744" s="81"/>
      <c r="F744" s="81"/>
      <c r="G744" s="81"/>
      <c r="H744" s="81"/>
      <c r="I744" s="289"/>
      <c r="J744" s="289"/>
      <c r="K744" s="105"/>
      <c r="L744" s="81"/>
      <c r="M744" s="289"/>
      <c r="N744" s="289"/>
      <c r="O744" s="105"/>
      <c r="P744" s="81"/>
      <c r="Q744" s="289"/>
      <c r="R744" s="81"/>
      <c r="S744" s="105"/>
      <c r="T744" s="81"/>
      <c r="U744" s="81"/>
      <c r="V744" s="81"/>
      <c r="W744" s="81"/>
      <c r="X744" s="81"/>
      <c r="Y744" s="81"/>
      <c r="Z744" s="81"/>
    </row>
    <row r="745" spans="1:26" ht="24" customHeight="1" x14ac:dyDescent="0.5">
      <c r="A745" s="81"/>
      <c r="B745" s="81"/>
      <c r="C745" s="81"/>
      <c r="D745" s="81"/>
      <c r="E745" s="81"/>
      <c r="F745" s="81"/>
      <c r="G745" s="81"/>
      <c r="H745" s="81"/>
      <c r="I745" s="289"/>
      <c r="J745" s="289"/>
      <c r="K745" s="105"/>
      <c r="L745" s="81"/>
      <c r="M745" s="289"/>
      <c r="N745" s="289"/>
      <c r="O745" s="105"/>
      <c r="P745" s="81"/>
      <c r="Q745" s="289"/>
      <c r="R745" s="81"/>
      <c r="S745" s="105"/>
      <c r="T745" s="81"/>
      <c r="U745" s="81"/>
      <c r="V745" s="81"/>
      <c r="W745" s="81"/>
      <c r="X745" s="81"/>
      <c r="Y745" s="81"/>
      <c r="Z745" s="81"/>
    </row>
    <row r="746" spans="1:26" ht="24" customHeight="1" x14ac:dyDescent="0.5">
      <c r="A746" s="81"/>
      <c r="B746" s="81"/>
      <c r="C746" s="81"/>
      <c r="D746" s="81"/>
      <c r="E746" s="81"/>
      <c r="F746" s="81"/>
      <c r="G746" s="81"/>
      <c r="H746" s="81"/>
      <c r="I746" s="289"/>
      <c r="J746" s="289"/>
      <c r="K746" s="105"/>
      <c r="L746" s="81"/>
      <c r="M746" s="289"/>
      <c r="N746" s="289"/>
      <c r="O746" s="105"/>
      <c r="P746" s="81"/>
      <c r="Q746" s="289"/>
      <c r="R746" s="81"/>
      <c r="S746" s="105"/>
      <c r="T746" s="81"/>
      <c r="U746" s="81"/>
      <c r="V746" s="81"/>
      <c r="W746" s="81"/>
      <c r="X746" s="81"/>
      <c r="Y746" s="81"/>
      <c r="Z746" s="81"/>
    </row>
    <row r="747" spans="1:26" ht="24" customHeight="1" x14ac:dyDescent="0.5">
      <c r="A747" s="81"/>
      <c r="B747" s="81"/>
      <c r="C747" s="81"/>
      <c r="D747" s="81"/>
      <c r="E747" s="81"/>
      <c r="F747" s="81"/>
      <c r="G747" s="81"/>
      <c r="H747" s="81"/>
      <c r="I747" s="289"/>
      <c r="J747" s="289"/>
      <c r="K747" s="105"/>
      <c r="L747" s="81"/>
      <c r="M747" s="289"/>
      <c r="N747" s="289"/>
      <c r="O747" s="105"/>
      <c r="P747" s="81"/>
      <c r="Q747" s="289"/>
      <c r="R747" s="81"/>
      <c r="S747" s="105"/>
      <c r="T747" s="81"/>
      <c r="U747" s="81"/>
      <c r="V747" s="81"/>
      <c r="W747" s="81"/>
      <c r="X747" s="81"/>
      <c r="Y747" s="81"/>
      <c r="Z747" s="81"/>
    </row>
    <row r="748" spans="1:26" ht="24" customHeight="1" x14ac:dyDescent="0.5">
      <c r="A748" s="81"/>
      <c r="B748" s="81"/>
      <c r="C748" s="81"/>
      <c r="D748" s="81"/>
      <c r="E748" s="81"/>
      <c r="F748" s="81"/>
      <c r="G748" s="81"/>
      <c r="H748" s="81"/>
      <c r="I748" s="289"/>
      <c r="J748" s="289"/>
      <c r="K748" s="105"/>
      <c r="L748" s="81"/>
      <c r="M748" s="289"/>
      <c r="N748" s="289"/>
      <c r="O748" s="105"/>
      <c r="P748" s="81"/>
      <c r="Q748" s="289"/>
      <c r="R748" s="81"/>
      <c r="S748" s="105"/>
      <c r="T748" s="81"/>
      <c r="U748" s="81"/>
      <c r="V748" s="81"/>
      <c r="W748" s="81"/>
      <c r="X748" s="81"/>
      <c r="Y748" s="81"/>
      <c r="Z748" s="81"/>
    </row>
    <row r="749" spans="1:26" ht="24" customHeight="1" x14ac:dyDescent="0.5">
      <c r="A749" s="81"/>
      <c r="B749" s="81"/>
      <c r="C749" s="81"/>
      <c r="D749" s="81"/>
      <c r="E749" s="81"/>
      <c r="F749" s="81"/>
      <c r="G749" s="81"/>
      <c r="H749" s="81"/>
      <c r="I749" s="289"/>
      <c r="J749" s="289"/>
      <c r="K749" s="105"/>
      <c r="L749" s="81"/>
      <c r="M749" s="289"/>
      <c r="N749" s="289"/>
      <c r="O749" s="105"/>
      <c r="P749" s="81"/>
      <c r="Q749" s="289"/>
      <c r="R749" s="81"/>
      <c r="S749" s="105"/>
      <c r="T749" s="81"/>
      <c r="U749" s="81"/>
      <c r="V749" s="81"/>
      <c r="W749" s="81"/>
      <c r="X749" s="81"/>
      <c r="Y749" s="81"/>
      <c r="Z749" s="81"/>
    </row>
    <row r="750" spans="1:26" ht="24" customHeight="1" x14ac:dyDescent="0.5">
      <c r="A750" s="81"/>
      <c r="B750" s="81"/>
      <c r="C750" s="81"/>
      <c r="D750" s="81"/>
      <c r="E750" s="81"/>
      <c r="F750" s="81"/>
      <c r="G750" s="81"/>
      <c r="H750" s="81"/>
      <c r="I750" s="289"/>
      <c r="J750" s="289"/>
      <c r="K750" s="105"/>
      <c r="L750" s="81"/>
      <c r="M750" s="289"/>
      <c r="N750" s="289"/>
      <c r="O750" s="105"/>
      <c r="P750" s="81"/>
      <c r="Q750" s="289"/>
      <c r="R750" s="81"/>
      <c r="S750" s="105"/>
      <c r="T750" s="81"/>
      <c r="U750" s="81"/>
      <c r="V750" s="81"/>
      <c r="W750" s="81"/>
      <c r="X750" s="81"/>
      <c r="Y750" s="81"/>
      <c r="Z750" s="81"/>
    </row>
    <row r="751" spans="1:26" ht="24" customHeight="1" x14ac:dyDescent="0.5">
      <c r="A751" s="81"/>
      <c r="B751" s="81"/>
      <c r="C751" s="81"/>
      <c r="D751" s="81"/>
      <c r="E751" s="81"/>
      <c r="F751" s="81"/>
      <c r="G751" s="81"/>
      <c r="H751" s="81"/>
      <c r="I751" s="289"/>
      <c r="J751" s="289"/>
      <c r="K751" s="105"/>
      <c r="L751" s="81"/>
      <c r="M751" s="289"/>
      <c r="N751" s="289"/>
      <c r="O751" s="105"/>
      <c r="P751" s="81"/>
      <c r="Q751" s="289"/>
      <c r="R751" s="81"/>
      <c r="S751" s="105"/>
      <c r="T751" s="81"/>
      <c r="U751" s="81"/>
      <c r="V751" s="81"/>
      <c r="W751" s="81"/>
      <c r="X751" s="81"/>
      <c r="Y751" s="81"/>
      <c r="Z751" s="81"/>
    </row>
    <row r="752" spans="1:26" ht="24" customHeight="1" x14ac:dyDescent="0.5">
      <c r="A752" s="81"/>
      <c r="B752" s="81"/>
      <c r="C752" s="81"/>
      <c r="D752" s="81"/>
      <c r="E752" s="81"/>
      <c r="F752" s="81"/>
      <c r="G752" s="81"/>
      <c r="H752" s="81"/>
      <c r="I752" s="289"/>
      <c r="J752" s="289"/>
      <c r="K752" s="105"/>
      <c r="L752" s="81"/>
      <c r="M752" s="289"/>
      <c r="N752" s="289"/>
      <c r="O752" s="105"/>
      <c r="P752" s="81"/>
      <c r="Q752" s="289"/>
      <c r="R752" s="81"/>
      <c r="S752" s="105"/>
      <c r="T752" s="81"/>
      <c r="U752" s="81"/>
      <c r="V752" s="81"/>
      <c r="W752" s="81"/>
      <c r="X752" s="81"/>
      <c r="Y752" s="81"/>
      <c r="Z752" s="81"/>
    </row>
    <row r="753" spans="1:26" ht="24" customHeight="1" x14ac:dyDescent="0.5">
      <c r="A753" s="81"/>
      <c r="B753" s="81"/>
      <c r="C753" s="81"/>
      <c r="D753" s="81"/>
      <c r="E753" s="81"/>
      <c r="F753" s="81"/>
      <c r="G753" s="81"/>
      <c r="H753" s="81"/>
      <c r="I753" s="289"/>
      <c r="J753" s="289"/>
      <c r="K753" s="105"/>
      <c r="L753" s="81"/>
      <c r="M753" s="289"/>
      <c r="N753" s="289"/>
      <c r="O753" s="105"/>
      <c r="P753" s="81"/>
      <c r="Q753" s="289"/>
      <c r="R753" s="81"/>
      <c r="S753" s="105"/>
      <c r="T753" s="81"/>
      <c r="U753" s="81"/>
      <c r="V753" s="81"/>
      <c r="W753" s="81"/>
      <c r="X753" s="81"/>
      <c r="Y753" s="81"/>
      <c r="Z753" s="81"/>
    </row>
    <row r="754" spans="1:26" ht="24" customHeight="1" x14ac:dyDescent="0.5">
      <c r="A754" s="81"/>
      <c r="B754" s="81"/>
      <c r="C754" s="81"/>
      <c r="D754" s="81"/>
      <c r="E754" s="81"/>
      <c r="F754" s="81"/>
      <c r="G754" s="81"/>
      <c r="H754" s="81"/>
      <c r="I754" s="289"/>
      <c r="J754" s="289"/>
      <c r="K754" s="105"/>
      <c r="L754" s="81"/>
      <c r="M754" s="289"/>
      <c r="N754" s="289"/>
      <c r="O754" s="105"/>
      <c r="P754" s="81"/>
      <c r="Q754" s="289"/>
      <c r="R754" s="81"/>
      <c r="S754" s="105"/>
      <c r="T754" s="81"/>
      <c r="U754" s="81"/>
      <c r="V754" s="81"/>
      <c r="W754" s="81"/>
      <c r="X754" s="81"/>
      <c r="Y754" s="81"/>
      <c r="Z754" s="81"/>
    </row>
    <row r="755" spans="1:26" ht="24" customHeight="1" x14ac:dyDescent="0.5">
      <c r="A755" s="81"/>
      <c r="B755" s="81"/>
      <c r="C755" s="81"/>
      <c r="D755" s="81"/>
      <c r="E755" s="81"/>
      <c r="F755" s="81"/>
      <c r="G755" s="81"/>
      <c r="H755" s="81"/>
      <c r="I755" s="289"/>
      <c r="J755" s="289"/>
      <c r="K755" s="105"/>
      <c r="L755" s="81"/>
      <c r="M755" s="289"/>
      <c r="N755" s="289"/>
      <c r="O755" s="105"/>
      <c r="P755" s="81"/>
      <c r="Q755" s="289"/>
      <c r="R755" s="81"/>
      <c r="S755" s="105"/>
      <c r="T755" s="81"/>
      <c r="U755" s="81"/>
      <c r="V755" s="81"/>
      <c r="W755" s="81"/>
      <c r="X755" s="81"/>
      <c r="Y755" s="81"/>
      <c r="Z755" s="81"/>
    </row>
    <row r="756" spans="1:26" ht="24" customHeight="1" x14ac:dyDescent="0.5">
      <c r="A756" s="81"/>
      <c r="B756" s="81"/>
      <c r="C756" s="81"/>
      <c r="D756" s="81"/>
      <c r="E756" s="81"/>
      <c r="F756" s="81"/>
      <c r="G756" s="81"/>
      <c r="H756" s="81"/>
      <c r="I756" s="289"/>
      <c r="J756" s="289"/>
      <c r="K756" s="105"/>
      <c r="L756" s="81"/>
      <c r="M756" s="289"/>
      <c r="N756" s="289"/>
      <c r="O756" s="105"/>
      <c r="P756" s="81"/>
      <c r="Q756" s="289"/>
      <c r="R756" s="81"/>
      <c r="S756" s="105"/>
      <c r="T756" s="81"/>
      <c r="U756" s="81"/>
      <c r="V756" s="81"/>
      <c r="W756" s="81"/>
      <c r="X756" s="81"/>
      <c r="Y756" s="81"/>
      <c r="Z756" s="81"/>
    </row>
    <row r="757" spans="1:26" ht="24" customHeight="1" x14ac:dyDescent="0.5">
      <c r="A757" s="81"/>
      <c r="B757" s="81"/>
      <c r="C757" s="81"/>
      <c r="D757" s="81"/>
      <c r="E757" s="81"/>
      <c r="F757" s="81"/>
      <c r="G757" s="81"/>
      <c r="H757" s="81"/>
      <c r="I757" s="289"/>
      <c r="J757" s="289"/>
      <c r="K757" s="105"/>
      <c r="L757" s="81"/>
      <c r="M757" s="289"/>
      <c r="N757" s="289"/>
      <c r="O757" s="105"/>
      <c r="P757" s="81"/>
      <c r="Q757" s="289"/>
      <c r="R757" s="81"/>
      <c r="S757" s="105"/>
      <c r="T757" s="81"/>
      <c r="U757" s="81"/>
      <c r="V757" s="81"/>
      <c r="W757" s="81"/>
      <c r="X757" s="81"/>
      <c r="Y757" s="81"/>
      <c r="Z757" s="81"/>
    </row>
    <row r="758" spans="1:26" ht="24" customHeight="1" x14ac:dyDescent="0.5">
      <c r="A758" s="81"/>
      <c r="B758" s="81"/>
      <c r="C758" s="81"/>
      <c r="D758" s="81"/>
      <c r="E758" s="81"/>
      <c r="F758" s="81"/>
      <c r="G758" s="81"/>
      <c r="H758" s="81"/>
      <c r="I758" s="289"/>
      <c r="J758" s="289"/>
      <c r="K758" s="105"/>
      <c r="L758" s="81"/>
      <c r="M758" s="289"/>
      <c r="N758" s="289"/>
      <c r="O758" s="105"/>
      <c r="P758" s="81"/>
      <c r="Q758" s="289"/>
      <c r="R758" s="81"/>
      <c r="S758" s="105"/>
      <c r="T758" s="81"/>
      <c r="U758" s="81"/>
      <c r="V758" s="81"/>
      <c r="W758" s="81"/>
      <c r="X758" s="81"/>
      <c r="Y758" s="81"/>
      <c r="Z758" s="81"/>
    </row>
    <row r="759" spans="1:26" ht="24" customHeight="1" x14ac:dyDescent="0.5">
      <c r="A759" s="81"/>
      <c r="B759" s="81"/>
      <c r="C759" s="81"/>
      <c r="D759" s="81"/>
      <c r="E759" s="81"/>
      <c r="F759" s="81"/>
      <c r="G759" s="81"/>
      <c r="H759" s="81"/>
      <c r="I759" s="289"/>
      <c r="J759" s="289"/>
      <c r="K759" s="105"/>
      <c r="L759" s="81"/>
      <c r="M759" s="289"/>
      <c r="N759" s="289"/>
      <c r="O759" s="105"/>
      <c r="P759" s="81"/>
      <c r="Q759" s="289"/>
      <c r="R759" s="81"/>
      <c r="S759" s="105"/>
      <c r="T759" s="81"/>
      <c r="U759" s="81"/>
      <c r="V759" s="81"/>
      <c r="W759" s="81"/>
      <c r="X759" s="81"/>
      <c r="Y759" s="81"/>
      <c r="Z759" s="81"/>
    </row>
    <row r="760" spans="1:26" ht="24" customHeight="1" x14ac:dyDescent="0.5">
      <c r="A760" s="81"/>
      <c r="B760" s="81"/>
      <c r="C760" s="81"/>
      <c r="D760" s="81"/>
      <c r="E760" s="81"/>
      <c r="F760" s="81"/>
      <c r="G760" s="81"/>
      <c r="H760" s="81"/>
      <c r="I760" s="289"/>
      <c r="J760" s="289"/>
      <c r="K760" s="105"/>
      <c r="L760" s="81"/>
      <c r="M760" s="289"/>
      <c r="N760" s="289"/>
      <c r="O760" s="105"/>
      <c r="P760" s="81"/>
      <c r="Q760" s="289"/>
      <c r="R760" s="81"/>
      <c r="S760" s="105"/>
      <c r="T760" s="81"/>
      <c r="U760" s="81"/>
      <c r="V760" s="81"/>
      <c r="W760" s="81"/>
      <c r="X760" s="81"/>
      <c r="Y760" s="81"/>
      <c r="Z760" s="81"/>
    </row>
    <row r="761" spans="1:26" ht="24" customHeight="1" x14ac:dyDescent="0.5">
      <c r="A761" s="81"/>
      <c r="B761" s="81"/>
      <c r="C761" s="81"/>
      <c r="D761" s="81"/>
      <c r="E761" s="81"/>
      <c r="F761" s="81"/>
      <c r="G761" s="81"/>
      <c r="H761" s="81"/>
      <c r="I761" s="289"/>
      <c r="J761" s="289"/>
      <c r="K761" s="105"/>
      <c r="L761" s="81"/>
      <c r="M761" s="289"/>
      <c r="N761" s="289"/>
      <c r="O761" s="105"/>
      <c r="P761" s="81"/>
      <c r="Q761" s="289"/>
      <c r="R761" s="81"/>
      <c r="S761" s="105"/>
      <c r="T761" s="81"/>
      <c r="U761" s="81"/>
      <c r="V761" s="81"/>
      <c r="W761" s="81"/>
      <c r="X761" s="81"/>
      <c r="Y761" s="81"/>
      <c r="Z761" s="81"/>
    </row>
    <row r="762" spans="1:26" ht="24" customHeight="1" x14ac:dyDescent="0.5">
      <c r="A762" s="81"/>
      <c r="B762" s="81"/>
      <c r="C762" s="81"/>
      <c r="D762" s="81"/>
      <c r="E762" s="81"/>
      <c r="F762" s="81"/>
      <c r="G762" s="81"/>
      <c r="H762" s="81"/>
      <c r="I762" s="289"/>
      <c r="J762" s="289"/>
      <c r="K762" s="105"/>
      <c r="L762" s="81"/>
      <c r="M762" s="289"/>
      <c r="N762" s="289"/>
      <c r="O762" s="105"/>
      <c r="P762" s="81"/>
      <c r="Q762" s="289"/>
      <c r="R762" s="81"/>
      <c r="S762" s="105"/>
      <c r="T762" s="81"/>
      <c r="U762" s="81"/>
      <c r="V762" s="81"/>
      <c r="W762" s="81"/>
      <c r="X762" s="81"/>
      <c r="Y762" s="81"/>
      <c r="Z762" s="81"/>
    </row>
    <row r="763" spans="1:26" ht="24" customHeight="1" x14ac:dyDescent="0.5">
      <c r="A763" s="81"/>
      <c r="B763" s="81"/>
      <c r="C763" s="81"/>
      <c r="D763" s="81"/>
      <c r="E763" s="81"/>
      <c r="F763" s="81"/>
      <c r="G763" s="81"/>
      <c r="H763" s="81"/>
      <c r="I763" s="289"/>
      <c r="J763" s="289"/>
      <c r="K763" s="105"/>
      <c r="L763" s="81"/>
      <c r="M763" s="289"/>
      <c r="N763" s="289"/>
      <c r="O763" s="105"/>
      <c r="P763" s="81"/>
      <c r="Q763" s="289"/>
      <c r="R763" s="81"/>
      <c r="S763" s="105"/>
      <c r="T763" s="81"/>
      <c r="U763" s="81"/>
      <c r="V763" s="81"/>
      <c r="W763" s="81"/>
      <c r="X763" s="81"/>
      <c r="Y763" s="81"/>
      <c r="Z763" s="81"/>
    </row>
    <row r="764" spans="1:26" ht="24" customHeight="1" x14ac:dyDescent="0.5">
      <c r="A764" s="81"/>
      <c r="B764" s="81"/>
      <c r="C764" s="81"/>
      <c r="D764" s="81"/>
      <c r="E764" s="81"/>
      <c r="F764" s="81"/>
      <c r="G764" s="81"/>
      <c r="H764" s="81"/>
      <c r="I764" s="289"/>
      <c r="J764" s="289"/>
      <c r="K764" s="105"/>
      <c r="L764" s="81"/>
      <c r="M764" s="289"/>
      <c r="N764" s="289"/>
      <c r="O764" s="105"/>
      <c r="P764" s="81"/>
      <c r="Q764" s="289"/>
      <c r="R764" s="81"/>
      <c r="S764" s="105"/>
      <c r="T764" s="81"/>
      <c r="U764" s="81"/>
      <c r="V764" s="81"/>
      <c r="W764" s="81"/>
      <c r="X764" s="81"/>
      <c r="Y764" s="81"/>
      <c r="Z764" s="81"/>
    </row>
    <row r="765" spans="1:26" ht="24" customHeight="1" x14ac:dyDescent="0.5">
      <c r="A765" s="81"/>
      <c r="B765" s="81"/>
      <c r="C765" s="81"/>
      <c r="D765" s="81"/>
      <c r="E765" s="81"/>
      <c r="F765" s="81"/>
      <c r="G765" s="81"/>
      <c r="H765" s="81"/>
      <c r="I765" s="289"/>
      <c r="J765" s="289"/>
      <c r="K765" s="105"/>
      <c r="L765" s="81"/>
      <c r="M765" s="289"/>
      <c r="N765" s="289"/>
      <c r="O765" s="105"/>
      <c r="P765" s="81"/>
      <c r="Q765" s="289"/>
      <c r="R765" s="81"/>
      <c r="S765" s="105"/>
      <c r="T765" s="81"/>
      <c r="U765" s="81"/>
      <c r="V765" s="81"/>
      <c r="W765" s="81"/>
      <c r="X765" s="81"/>
      <c r="Y765" s="81"/>
      <c r="Z765" s="81"/>
    </row>
    <row r="766" spans="1:26" ht="24" customHeight="1" x14ac:dyDescent="0.5">
      <c r="A766" s="81"/>
      <c r="B766" s="81"/>
      <c r="C766" s="81"/>
      <c r="D766" s="81"/>
      <c r="E766" s="81"/>
      <c r="F766" s="81"/>
      <c r="G766" s="81"/>
      <c r="H766" s="81"/>
      <c r="I766" s="289"/>
      <c r="J766" s="289"/>
      <c r="K766" s="105"/>
      <c r="L766" s="81"/>
      <c r="M766" s="289"/>
      <c r="N766" s="289"/>
      <c r="O766" s="105"/>
      <c r="P766" s="81"/>
      <c r="Q766" s="289"/>
      <c r="R766" s="81"/>
      <c r="S766" s="105"/>
      <c r="T766" s="81"/>
      <c r="U766" s="81"/>
      <c r="V766" s="81"/>
      <c r="W766" s="81"/>
      <c r="X766" s="81"/>
      <c r="Y766" s="81"/>
      <c r="Z766" s="81"/>
    </row>
    <row r="767" spans="1:26" ht="24" customHeight="1" x14ac:dyDescent="0.5">
      <c r="A767" s="81"/>
      <c r="B767" s="81"/>
      <c r="C767" s="81"/>
      <c r="D767" s="81"/>
      <c r="E767" s="81"/>
      <c r="F767" s="81"/>
      <c r="G767" s="81"/>
      <c r="H767" s="81"/>
      <c r="I767" s="289"/>
      <c r="J767" s="289"/>
      <c r="K767" s="105"/>
      <c r="L767" s="81"/>
      <c r="M767" s="289"/>
      <c r="N767" s="289"/>
      <c r="O767" s="105"/>
      <c r="P767" s="81"/>
      <c r="Q767" s="289"/>
      <c r="R767" s="81"/>
      <c r="S767" s="105"/>
      <c r="T767" s="81"/>
      <c r="U767" s="81"/>
      <c r="V767" s="81"/>
      <c r="W767" s="81"/>
      <c r="X767" s="81"/>
      <c r="Y767" s="81"/>
      <c r="Z767" s="81"/>
    </row>
    <row r="768" spans="1:26" ht="24" customHeight="1" x14ac:dyDescent="0.5">
      <c r="A768" s="81"/>
      <c r="B768" s="81"/>
      <c r="C768" s="81"/>
      <c r="D768" s="81"/>
      <c r="E768" s="81"/>
      <c r="F768" s="81"/>
      <c r="G768" s="81"/>
      <c r="H768" s="81"/>
      <c r="I768" s="289"/>
      <c r="J768" s="289"/>
      <c r="K768" s="105"/>
      <c r="L768" s="81"/>
      <c r="M768" s="289"/>
      <c r="N768" s="289"/>
      <c r="O768" s="105"/>
      <c r="P768" s="81"/>
      <c r="Q768" s="289"/>
      <c r="R768" s="81"/>
      <c r="S768" s="105"/>
      <c r="T768" s="81"/>
      <c r="U768" s="81"/>
      <c r="V768" s="81"/>
      <c r="W768" s="81"/>
      <c r="X768" s="81"/>
      <c r="Y768" s="81"/>
      <c r="Z768" s="81"/>
    </row>
    <row r="769" spans="1:26" ht="24" customHeight="1" x14ac:dyDescent="0.5">
      <c r="A769" s="81"/>
      <c r="B769" s="81"/>
      <c r="C769" s="81"/>
      <c r="D769" s="81"/>
      <c r="E769" s="81"/>
      <c r="F769" s="81"/>
      <c r="G769" s="81"/>
      <c r="H769" s="81"/>
      <c r="I769" s="289"/>
      <c r="J769" s="289"/>
      <c r="K769" s="105"/>
      <c r="L769" s="81"/>
      <c r="M769" s="289"/>
      <c r="N769" s="289"/>
      <c r="O769" s="105"/>
      <c r="P769" s="81"/>
      <c r="Q769" s="289"/>
      <c r="R769" s="81"/>
      <c r="S769" s="105"/>
      <c r="T769" s="81"/>
      <c r="U769" s="81"/>
      <c r="V769" s="81"/>
      <c r="W769" s="81"/>
      <c r="X769" s="81"/>
      <c r="Y769" s="81"/>
      <c r="Z769" s="81"/>
    </row>
    <row r="770" spans="1:26" ht="24" customHeight="1" x14ac:dyDescent="0.5">
      <c r="A770" s="81"/>
      <c r="B770" s="81"/>
      <c r="C770" s="81"/>
      <c r="D770" s="81"/>
      <c r="E770" s="81"/>
      <c r="F770" s="81"/>
      <c r="G770" s="81"/>
      <c r="H770" s="81"/>
      <c r="I770" s="289"/>
      <c r="J770" s="289"/>
      <c r="K770" s="105"/>
      <c r="L770" s="81"/>
      <c r="M770" s="289"/>
      <c r="N770" s="289"/>
      <c r="O770" s="105"/>
      <c r="P770" s="81"/>
      <c r="Q770" s="289"/>
      <c r="R770" s="81"/>
      <c r="S770" s="105"/>
      <c r="T770" s="81"/>
      <c r="U770" s="81"/>
      <c r="V770" s="81"/>
      <c r="W770" s="81"/>
      <c r="X770" s="81"/>
      <c r="Y770" s="81"/>
      <c r="Z770" s="81"/>
    </row>
    <row r="771" spans="1:26" ht="24" customHeight="1" x14ac:dyDescent="0.5">
      <c r="A771" s="81"/>
      <c r="B771" s="81"/>
      <c r="C771" s="81"/>
      <c r="D771" s="81"/>
      <c r="E771" s="81"/>
      <c r="F771" s="81"/>
      <c r="G771" s="81"/>
      <c r="H771" s="81"/>
      <c r="I771" s="289"/>
      <c r="J771" s="289"/>
      <c r="K771" s="105"/>
      <c r="L771" s="81"/>
      <c r="M771" s="289"/>
      <c r="N771" s="289"/>
      <c r="O771" s="105"/>
      <c r="P771" s="81"/>
      <c r="Q771" s="289"/>
      <c r="R771" s="81"/>
      <c r="S771" s="105"/>
      <c r="T771" s="81"/>
      <c r="U771" s="81"/>
      <c r="V771" s="81"/>
      <c r="W771" s="81"/>
      <c r="X771" s="81"/>
      <c r="Y771" s="81"/>
      <c r="Z771" s="81"/>
    </row>
    <row r="772" spans="1:26" ht="24" customHeight="1" x14ac:dyDescent="0.5">
      <c r="A772" s="81"/>
      <c r="B772" s="81"/>
      <c r="C772" s="81"/>
      <c r="D772" s="81"/>
      <c r="E772" s="81"/>
      <c r="F772" s="81"/>
      <c r="G772" s="81"/>
      <c r="H772" s="81"/>
      <c r="I772" s="289"/>
      <c r="J772" s="289"/>
      <c r="K772" s="105"/>
      <c r="L772" s="81"/>
      <c r="M772" s="289"/>
      <c r="N772" s="289"/>
      <c r="O772" s="105"/>
      <c r="P772" s="81"/>
      <c r="Q772" s="289"/>
      <c r="R772" s="81"/>
      <c r="S772" s="105"/>
      <c r="T772" s="81"/>
      <c r="U772" s="81"/>
      <c r="V772" s="81"/>
      <c r="W772" s="81"/>
      <c r="X772" s="81"/>
      <c r="Y772" s="81"/>
      <c r="Z772" s="81"/>
    </row>
    <row r="773" spans="1:26" ht="24" customHeight="1" x14ac:dyDescent="0.5">
      <c r="A773" s="81"/>
      <c r="B773" s="81"/>
      <c r="C773" s="81"/>
      <c r="D773" s="81"/>
      <c r="E773" s="81"/>
      <c r="F773" s="81"/>
      <c r="G773" s="81"/>
      <c r="H773" s="81"/>
      <c r="I773" s="289"/>
      <c r="J773" s="289"/>
      <c r="K773" s="105"/>
      <c r="L773" s="81"/>
      <c r="M773" s="289"/>
      <c r="N773" s="289"/>
      <c r="O773" s="105"/>
      <c r="P773" s="81"/>
      <c r="Q773" s="289"/>
      <c r="R773" s="81"/>
      <c r="S773" s="105"/>
      <c r="T773" s="81"/>
      <c r="U773" s="81"/>
      <c r="V773" s="81"/>
      <c r="W773" s="81"/>
      <c r="X773" s="81"/>
      <c r="Y773" s="81"/>
      <c r="Z773" s="81"/>
    </row>
    <row r="774" spans="1:26" ht="24" customHeight="1" x14ac:dyDescent="0.5">
      <c r="A774" s="81"/>
      <c r="B774" s="81"/>
      <c r="C774" s="81"/>
      <c r="D774" s="81"/>
      <c r="E774" s="81"/>
      <c r="F774" s="81"/>
      <c r="G774" s="81"/>
      <c r="H774" s="81"/>
      <c r="I774" s="289"/>
      <c r="J774" s="289"/>
      <c r="K774" s="105"/>
      <c r="L774" s="81"/>
      <c r="M774" s="289"/>
      <c r="N774" s="289"/>
      <c r="O774" s="105"/>
      <c r="P774" s="81"/>
      <c r="Q774" s="289"/>
      <c r="R774" s="81"/>
      <c r="S774" s="105"/>
      <c r="T774" s="81"/>
      <c r="U774" s="81"/>
      <c r="V774" s="81"/>
      <c r="W774" s="81"/>
      <c r="X774" s="81"/>
      <c r="Y774" s="81"/>
      <c r="Z774" s="81"/>
    </row>
    <row r="775" spans="1:26" ht="24" customHeight="1" x14ac:dyDescent="0.5">
      <c r="A775" s="81"/>
      <c r="B775" s="81"/>
      <c r="C775" s="81"/>
      <c r="D775" s="81"/>
      <c r="E775" s="81"/>
      <c r="F775" s="81"/>
      <c r="G775" s="81"/>
      <c r="H775" s="81"/>
      <c r="I775" s="289"/>
      <c r="J775" s="289"/>
      <c r="K775" s="105"/>
      <c r="L775" s="81"/>
      <c r="M775" s="289"/>
      <c r="N775" s="289"/>
      <c r="O775" s="105"/>
      <c r="P775" s="81"/>
      <c r="Q775" s="289"/>
      <c r="R775" s="81"/>
      <c r="S775" s="105"/>
      <c r="T775" s="81"/>
      <c r="U775" s="81"/>
      <c r="V775" s="81"/>
      <c r="W775" s="81"/>
      <c r="X775" s="81"/>
      <c r="Y775" s="81"/>
      <c r="Z775" s="81"/>
    </row>
    <row r="776" spans="1:26" ht="24" customHeight="1" x14ac:dyDescent="0.5">
      <c r="A776" s="81"/>
      <c r="B776" s="81"/>
      <c r="C776" s="81"/>
      <c r="D776" s="81"/>
      <c r="E776" s="81"/>
      <c r="F776" s="81"/>
      <c r="G776" s="81"/>
      <c r="H776" s="81"/>
      <c r="I776" s="289"/>
      <c r="J776" s="289"/>
      <c r="K776" s="105"/>
      <c r="L776" s="81"/>
      <c r="M776" s="289"/>
      <c r="N776" s="289"/>
      <c r="O776" s="105"/>
      <c r="P776" s="81"/>
      <c r="Q776" s="289"/>
      <c r="R776" s="81"/>
      <c r="S776" s="105"/>
      <c r="T776" s="81"/>
      <c r="U776" s="81"/>
      <c r="V776" s="81"/>
      <c r="W776" s="81"/>
      <c r="X776" s="81"/>
      <c r="Y776" s="81"/>
      <c r="Z776" s="81"/>
    </row>
    <row r="777" spans="1:26" ht="24" customHeight="1" x14ac:dyDescent="0.5">
      <c r="A777" s="81"/>
      <c r="B777" s="81"/>
      <c r="C777" s="81"/>
      <c r="D777" s="81"/>
      <c r="E777" s="81"/>
      <c r="F777" s="81"/>
      <c r="G777" s="81"/>
      <c r="H777" s="81"/>
      <c r="I777" s="289"/>
      <c r="J777" s="289"/>
      <c r="K777" s="105"/>
      <c r="L777" s="81"/>
      <c r="M777" s="289"/>
      <c r="N777" s="289"/>
      <c r="O777" s="105"/>
      <c r="P777" s="81"/>
      <c r="Q777" s="289"/>
      <c r="R777" s="81"/>
      <c r="S777" s="105"/>
      <c r="T777" s="81"/>
      <c r="U777" s="81"/>
      <c r="V777" s="81"/>
      <c r="W777" s="81"/>
      <c r="X777" s="81"/>
      <c r="Y777" s="81"/>
      <c r="Z777" s="81"/>
    </row>
    <row r="778" spans="1:26" ht="24" customHeight="1" x14ac:dyDescent="0.5">
      <c r="A778" s="81"/>
      <c r="B778" s="81"/>
      <c r="C778" s="81"/>
      <c r="D778" s="81"/>
      <c r="E778" s="81"/>
      <c r="F778" s="81"/>
      <c r="G778" s="81"/>
      <c r="H778" s="81"/>
      <c r="I778" s="289"/>
      <c r="J778" s="289"/>
      <c r="K778" s="105"/>
      <c r="L778" s="81"/>
      <c r="M778" s="289"/>
      <c r="N778" s="289"/>
      <c r="O778" s="105"/>
      <c r="P778" s="81"/>
      <c r="Q778" s="289"/>
      <c r="R778" s="81"/>
      <c r="S778" s="105"/>
      <c r="T778" s="81"/>
      <c r="U778" s="81"/>
      <c r="V778" s="81"/>
      <c r="W778" s="81"/>
      <c r="X778" s="81"/>
      <c r="Y778" s="81"/>
      <c r="Z778" s="81"/>
    </row>
    <row r="779" spans="1:26" ht="24" customHeight="1" x14ac:dyDescent="0.5">
      <c r="A779" s="81"/>
      <c r="B779" s="81"/>
      <c r="C779" s="81"/>
      <c r="D779" s="81"/>
      <c r="E779" s="81"/>
      <c r="F779" s="81"/>
      <c r="G779" s="81"/>
      <c r="H779" s="81"/>
      <c r="I779" s="289"/>
      <c r="J779" s="289"/>
      <c r="K779" s="105"/>
      <c r="L779" s="81"/>
      <c r="M779" s="289"/>
      <c r="N779" s="289"/>
      <c r="O779" s="105"/>
      <c r="P779" s="81"/>
      <c r="Q779" s="289"/>
      <c r="R779" s="81"/>
      <c r="S779" s="105"/>
      <c r="T779" s="81"/>
      <c r="U779" s="81"/>
      <c r="V779" s="81"/>
      <c r="W779" s="81"/>
      <c r="X779" s="81"/>
      <c r="Y779" s="81"/>
      <c r="Z779" s="81"/>
    </row>
    <row r="780" spans="1:26" ht="24" customHeight="1" x14ac:dyDescent="0.5">
      <c r="A780" s="81"/>
      <c r="B780" s="81"/>
      <c r="C780" s="81"/>
      <c r="D780" s="81"/>
      <c r="E780" s="81"/>
      <c r="F780" s="81"/>
      <c r="G780" s="81"/>
      <c r="H780" s="81"/>
      <c r="I780" s="289"/>
      <c r="J780" s="289"/>
      <c r="K780" s="105"/>
      <c r="L780" s="81"/>
      <c r="M780" s="289"/>
      <c r="N780" s="289"/>
      <c r="O780" s="105"/>
      <c r="P780" s="81"/>
      <c r="Q780" s="289"/>
      <c r="R780" s="81"/>
      <c r="S780" s="105"/>
      <c r="T780" s="81"/>
      <c r="U780" s="81"/>
      <c r="V780" s="81"/>
      <c r="W780" s="81"/>
      <c r="X780" s="81"/>
      <c r="Y780" s="81"/>
      <c r="Z780" s="81"/>
    </row>
    <row r="781" spans="1:26" ht="24" customHeight="1" x14ac:dyDescent="0.5">
      <c r="A781" s="81"/>
      <c r="B781" s="81"/>
      <c r="C781" s="81"/>
      <c r="D781" s="81"/>
      <c r="E781" s="81"/>
      <c r="F781" s="81"/>
      <c r="G781" s="81"/>
      <c r="H781" s="81"/>
      <c r="I781" s="289"/>
      <c r="J781" s="289"/>
      <c r="K781" s="105"/>
      <c r="L781" s="81"/>
      <c r="M781" s="289"/>
      <c r="N781" s="289"/>
      <c r="O781" s="105"/>
      <c r="P781" s="81"/>
      <c r="Q781" s="289"/>
      <c r="R781" s="81"/>
      <c r="S781" s="105"/>
      <c r="T781" s="81"/>
      <c r="U781" s="81"/>
      <c r="V781" s="81"/>
      <c r="W781" s="81"/>
      <c r="X781" s="81"/>
      <c r="Y781" s="81"/>
      <c r="Z781" s="81"/>
    </row>
    <row r="782" spans="1:26" ht="24" customHeight="1" x14ac:dyDescent="0.5">
      <c r="A782" s="81"/>
      <c r="B782" s="81"/>
      <c r="C782" s="81"/>
      <c r="D782" s="81"/>
      <c r="E782" s="81"/>
      <c r="F782" s="81"/>
      <c r="G782" s="81"/>
      <c r="H782" s="81"/>
      <c r="I782" s="289"/>
      <c r="J782" s="289"/>
      <c r="K782" s="105"/>
      <c r="L782" s="81"/>
      <c r="M782" s="289"/>
      <c r="N782" s="289"/>
      <c r="O782" s="105"/>
      <c r="P782" s="81"/>
      <c r="Q782" s="289"/>
      <c r="R782" s="81"/>
      <c r="S782" s="105"/>
      <c r="T782" s="81"/>
      <c r="U782" s="81"/>
      <c r="V782" s="81"/>
      <c r="W782" s="81"/>
      <c r="X782" s="81"/>
      <c r="Y782" s="81"/>
      <c r="Z782" s="81"/>
    </row>
    <row r="783" spans="1:26" ht="24" customHeight="1" x14ac:dyDescent="0.5">
      <c r="A783" s="81"/>
      <c r="B783" s="81"/>
      <c r="C783" s="81"/>
      <c r="D783" s="81"/>
      <c r="E783" s="81"/>
      <c r="F783" s="81"/>
      <c r="G783" s="81"/>
      <c r="H783" s="81"/>
      <c r="I783" s="289"/>
      <c r="J783" s="289"/>
      <c r="K783" s="105"/>
      <c r="L783" s="81"/>
      <c r="M783" s="289"/>
      <c r="N783" s="289"/>
      <c r="O783" s="105"/>
      <c r="P783" s="81"/>
      <c r="Q783" s="289"/>
      <c r="R783" s="81"/>
      <c r="S783" s="105"/>
      <c r="T783" s="81"/>
      <c r="U783" s="81"/>
      <c r="V783" s="81"/>
      <c r="W783" s="81"/>
      <c r="X783" s="81"/>
      <c r="Y783" s="81"/>
      <c r="Z783" s="81"/>
    </row>
    <row r="784" spans="1:26" ht="24" customHeight="1" x14ac:dyDescent="0.5">
      <c r="A784" s="81"/>
      <c r="B784" s="81"/>
      <c r="C784" s="81"/>
      <c r="D784" s="81"/>
      <c r="E784" s="81"/>
      <c r="F784" s="81"/>
      <c r="G784" s="81"/>
      <c r="H784" s="81"/>
      <c r="I784" s="289"/>
      <c r="J784" s="289"/>
      <c r="K784" s="105"/>
      <c r="L784" s="81"/>
      <c r="M784" s="289"/>
      <c r="N784" s="289"/>
      <c r="O784" s="105"/>
      <c r="P784" s="81"/>
      <c r="Q784" s="289"/>
      <c r="R784" s="81"/>
      <c r="S784" s="105"/>
      <c r="T784" s="81"/>
      <c r="U784" s="81"/>
      <c r="V784" s="81"/>
      <c r="W784" s="81"/>
      <c r="X784" s="81"/>
      <c r="Y784" s="81"/>
      <c r="Z784" s="81"/>
    </row>
    <row r="785" spans="1:26" ht="24" customHeight="1" x14ac:dyDescent="0.5">
      <c r="A785" s="81"/>
      <c r="B785" s="81"/>
      <c r="C785" s="81"/>
      <c r="D785" s="81"/>
      <c r="E785" s="81"/>
      <c r="F785" s="81"/>
      <c r="G785" s="81"/>
      <c r="H785" s="81"/>
      <c r="I785" s="289"/>
      <c r="J785" s="289"/>
      <c r="K785" s="105"/>
      <c r="L785" s="81"/>
      <c r="M785" s="289"/>
      <c r="N785" s="289"/>
      <c r="O785" s="105"/>
      <c r="P785" s="81"/>
      <c r="Q785" s="289"/>
      <c r="R785" s="81"/>
      <c r="S785" s="105"/>
      <c r="T785" s="81"/>
      <c r="U785" s="81"/>
      <c r="V785" s="81"/>
      <c r="W785" s="81"/>
      <c r="X785" s="81"/>
      <c r="Y785" s="81"/>
      <c r="Z785" s="81"/>
    </row>
    <row r="786" spans="1:26" ht="24" customHeight="1" x14ac:dyDescent="0.5">
      <c r="A786" s="81"/>
      <c r="B786" s="81"/>
      <c r="C786" s="81"/>
      <c r="D786" s="81"/>
      <c r="E786" s="81"/>
      <c r="F786" s="81"/>
      <c r="G786" s="81"/>
      <c r="H786" s="81"/>
      <c r="I786" s="289"/>
      <c r="J786" s="289"/>
      <c r="K786" s="105"/>
      <c r="L786" s="81"/>
      <c r="M786" s="289"/>
      <c r="N786" s="289"/>
      <c r="O786" s="105"/>
      <c r="P786" s="81"/>
      <c r="Q786" s="289"/>
      <c r="R786" s="81"/>
      <c r="S786" s="105"/>
      <c r="T786" s="81"/>
      <c r="U786" s="81"/>
      <c r="V786" s="81"/>
      <c r="W786" s="81"/>
      <c r="X786" s="81"/>
      <c r="Y786" s="81"/>
      <c r="Z786" s="81"/>
    </row>
    <row r="787" spans="1:26" ht="24" customHeight="1" x14ac:dyDescent="0.5">
      <c r="A787" s="81"/>
      <c r="B787" s="81"/>
      <c r="C787" s="81"/>
      <c r="D787" s="81"/>
      <c r="E787" s="81"/>
      <c r="F787" s="81"/>
      <c r="G787" s="81"/>
      <c r="H787" s="81"/>
      <c r="I787" s="289"/>
      <c r="J787" s="289"/>
      <c r="K787" s="105"/>
      <c r="L787" s="81"/>
      <c r="M787" s="289"/>
      <c r="N787" s="289"/>
      <c r="O787" s="105"/>
      <c r="P787" s="81"/>
      <c r="Q787" s="289"/>
      <c r="R787" s="81"/>
      <c r="S787" s="105"/>
      <c r="T787" s="81"/>
      <c r="U787" s="81"/>
      <c r="V787" s="81"/>
      <c r="W787" s="81"/>
      <c r="X787" s="81"/>
      <c r="Y787" s="81"/>
      <c r="Z787" s="81"/>
    </row>
    <row r="788" spans="1:26" ht="24" customHeight="1" x14ac:dyDescent="0.5">
      <c r="A788" s="81"/>
      <c r="B788" s="81"/>
      <c r="C788" s="81"/>
      <c r="D788" s="81"/>
      <c r="E788" s="81"/>
      <c r="F788" s="81"/>
      <c r="G788" s="81"/>
      <c r="H788" s="81"/>
      <c r="I788" s="289"/>
      <c r="J788" s="289"/>
      <c r="K788" s="105"/>
      <c r="L788" s="81"/>
      <c r="M788" s="289"/>
      <c r="N788" s="289"/>
      <c r="O788" s="105"/>
      <c r="P788" s="81"/>
      <c r="Q788" s="289"/>
      <c r="R788" s="81"/>
      <c r="S788" s="105"/>
      <c r="T788" s="81"/>
      <c r="U788" s="81"/>
      <c r="V788" s="81"/>
      <c r="W788" s="81"/>
      <c r="X788" s="81"/>
      <c r="Y788" s="81"/>
      <c r="Z788" s="81"/>
    </row>
    <row r="789" spans="1:26" ht="24" customHeight="1" x14ac:dyDescent="0.5">
      <c r="A789" s="81"/>
      <c r="B789" s="81"/>
      <c r="C789" s="81"/>
      <c r="D789" s="81"/>
      <c r="E789" s="81"/>
      <c r="F789" s="81"/>
      <c r="G789" s="81"/>
      <c r="H789" s="81"/>
      <c r="I789" s="289"/>
      <c r="J789" s="289"/>
      <c r="K789" s="105"/>
      <c r="L789" s="81"/>
      <c r="M789" s="289"/>
      <c r="N789" s="289"/>
      <c r="O789" s="105"/>
      <c r="P789" s="81"/>
      <c r="Q789" s="289"/>
      <c r="R789" s="81"/>
      <c r="S789" s="105"/>
      <c r="T789" s="81"/>
      <c r="U789" s="81"/>
      <c r="V789" s="81"/>
      <c r="W789" s="81"/>
      <c r="X789" s="81"/>
      <c r="Y789" s="81"/>
      <c r="Z789" s="81"/>
    </row>
    <row r="790" spans="1:26" ht="24" customHeight="1" x14ac:dyDescent="0.5">
      <c r="A790" s="81"/>
      <c r="B790" s="81"/>
      <c r="C790" s="81"/>
      <c r="D790" s="81"/>
      <c r="E790" s="81"/>
      <c r="F790" s="81"/>
      <c r="G790" s="81"/>
      <c r="H790" s="81"/>
      <c r="I790" s="289"/>
      <c r="J790" s="289"/>
      <c r="K790" s="105"/>
      <c r="L790" s="81"/>
      <c r="M790" s="289"/>
      <c r="N790" s="289"/>
      <c r="O790" s="105"/>
      <c r="P790" s="81"/>
      <c r="Q790" s="289"/>
      <c r="R790" s="81"/>
      <c r="S790" s="105"/>
      <c r="T790" s="81"/>
      <c r="U790" s="81"/>
      <c r="V790" s="81"/>
      <c r="W790" s="81"/>
      <c r="X790" s="81"/>
      <c r="Y790" s="81"/>
      <c r="Z790" s="81"/>
    </row>
    <row r="791" spans="1:26" ht="24" customHeight="1" x14ac:dyDescent="0.5">
      <c r="A791" s="81"/>
      <c r="B791" s="81"/>
      <c r="C791" s="81"/>
      <c r="D791" s="81"/>
      <c r="E791" s="81"/>
      <c r="F791" s="81"/>
      <c r="G791" s="81"/>
      <c r="H791" s="81"/>
      <c r="I791" s="289"/>
      <c r="J791" s="289"/>
      <c r="K791" s="105"/>
      <c r="L791" s="81"/>
      <c r="M791" s="289"/>
      <c r="N791" s="289"/>
      <c r="O791" s="105"/>
      <c r="P791" s="81"/>
      <c r="Q791" s="289"/>
      <c r="R791" s="81"/>
      <c r="S791" s="105"/>
      <c r="T791" s="81"/>
      <c r="U791" s="81"/>
      <c r="V791" s="81"/>
      <c r="W791" s="81"/>
      <c r="X791" s="81"/>
      <c r="Y791" s="81"/>
      <c r="Z791" s="81"/>
    </row>
    <row r="792" spans="1:26" ht="24" customHeight="1" x14ac:dyDescent="0.5">
      <c r="A792" s="81"/>
      <c r="B792" s="81"/>
      <c r="C792" s="81"/>
      <c r="D792" s="81"/>
      <c r="E792" s="81"/>
      <c r="F792" s="81"/>
      <c r="G792" s="81"/>
      <c r="H792" s="81"/>
      <c r="I792" s="289"/>
      <c r="J792" s="289"/>
      <c r="K792" s="105"/>
      <c r="L792" s="81"/>
      <c r="M792" s="289"/>
      <c r="N792" s="289"/>
      <c r="O792" s="105"/>
      <c r="P792" s="81"/>
      <c r="Q792" s="289"/>
      <c r="R792" s="81"/>
      <c r="S792" s="105"/>
      <c r="T792" s="81"/>
      <c r="U792" s="81"/>
      <c r="V792" s="81"/>
      <c r="W792" s="81"/>
      <c r="X792" s="81"/>
      <c r="Y792" s="81"/>
      <c r="Z792" s="81"/>
    </row>
    <row r="793" spans="1:26" ht="24" customHeight="1" x14ac:dyDescent="0.5">
      <c r="A793" s="81"/>
      <c r="B793" s="81"/>
      <c r="C793" s="81"/>
      <c r="D793" s="81"/>
      <c r="E793" s="81"/>
      <c r="F793" s="81"/>
      <c r="G793" s="81"/>
      <c r="H793" s="81"/>
      <c r="I793" s="289"/>
      <c r="J793" s="289"/>
      <c r="K793" s="105"/>
      <c r="L793" s="81"/>
      <c r="M793" s="289"/>
      <c r="N793" s="289"/>
      <c r="O793" s="105"/>
      <c r="P793" s="81"/>
      <c r="Q793" s="289"/>
      <c r="R793" s="81"/>
      <c r="S793" s="105"/>
      <c r="T793" s="81"/>
      <c r="U793" s="81"/>
      <c r="V793" s="81"/>
      <c r="W793" s="81"/>
      <c r="X793" s="81"/>
      <c r="Y793" s="81"/>
      <c r="Z793" s="81"/>
    </row>
    <row r="794" spans="1:26" ht="24" customHeight="1" x14ac:dyDescent="0.5">
      <c r="A794" s="81"/>
      <c r="B794" s="81"/>
      <c r="C794" s="81"/>
      <c r="D794" s="81"/>
      <c r="E794" s="81"/>
      <c r="F794" s="81"/>
      <c r="G794" s="81"/>
      <c r="H794" s="81"/>
      <c r="I794" s="289"/>
      <c r="J794" s="289"/>
      <c r="K794" s="105"/>
      <c r="L794" s="81"/>
      <c r="M794" s="289"/>
      <c r="N794" s="289"/>
      <c r="O794" s="105"/>
      <c r="P794" s="81"/>
      <c r="Q794" s="289"/>
      <c r="R794" s="81"/>
      <c r="S794" s="105"/>
      <c r="T794" s="81"/>
      <c r="U794" s="81"/>
      <c r="V794" s="81"/>
      <c r="W794" s="81"/>
      <c r="X794" s="81"/>
      <c r="Y794" s="81"/>
      <c r="Z794" s="81"/>
    </row>
    <row r="795" spans="1:26" ht="24" customHeight="1" x14ac:dyDescent="0.5">
      <c r="A795" s="81"/>
      <c r="B795" s="81"/>
      <c r="C795" s="81"/>
      <c r="D795" s="81"/>
      <c r="E795" s="81"/>
      <c r="F795" s="81"/>
      <c r="G795" s="81"/>
      <c r="H795" s="81"/>
      <c r="I795" s="289"/>
      <c r="J795" s="289"/>
      <c r="K795" s="105"/>
      <c r="L795" s="81"/>
      <c r="M795" s="289"/>
      <c r="N795" s="289"/>
      <c r="O795" s="105"/>
      <c r="P795" s="81"/>
      <c r="Q795" s="289"/>
      <c r="R795" s="81"/>
      <c r="S795" s="105"/>
      <c r="T795" s="81"/>
      <c r="U795" s="81"/>
      <c r="V795" s="81"/>
      <c r="W795" s="81"/>
      <c r="X795" s="81"/>
      <c r="Y795" s="81"/>
      <c r="Z795" s="81"/>
    </row>
    <row r="796" spans="1:26" ht="24" customHeight="1" x14ac:dyDescent="0.5">
      <c r="A796" s="81"/>
      <c r="B796" s="81"/>
      <c r="C796" s="81"/>
      <c r="D796" s="81"/>
      <c r="E796" s="81"/>
      <c r="F796" s="81"/>
      <c r="G796" s="81"/>
      <c r="H796" s="81"/>
      <c r="I796" s="289"/>
      <c r="J796" s="289"/>
      <c r="K796" s="105"/>
      <c r="L796" s="81"/>
      <c r="M796" s="289"/>
      <c r="N796" s="289"/>
      <c r="O796" s="105"/>
      <c r="P796" s="81"/>
      <c r="Q796" s="289"/>
      <c r="R796" s="81"/>
      <c r="S796" s="105"/>
      <c r="T796" s="81"/>
      <c r="U796" s="81"/>
      <c r="V796" s="81"/>
      <c r="W796" s="81"/>
      <c r="X796" s="81"/>
      <c r="Y796" s="81"/>
      <c r="Z796" s="81"/>
    </row>
    <row r="797" spans="1:26" ht="24" customHeight="1" x14ac:dyDescent="0.5">
      <c r="A797" s="81"/>
      <c r="B797" s="81"/>
      <c r="C797" s="81"/>
      <c r="D797" s="81"/>
      <c r="E797" s="81"/>
      <c r="F797" s="81"/>
      <c r="G797" s="81"/>
      <c r="H797" s="81"/>
      <c r="I797" s="289"/>
      <c r="J797" s="289"/>
      <c r="K797" s="105"/>
      <c r="L797" s="81"/>
      <c r="M797" s="289"/>
      <c r="N797" s="289"/>
      <c r="O797" s="105"/>
      <c r="P797" s="81"/>
      <c r="Q797" s="289"/>
      <c r="R797" s="81"/>
      <c r="S797" s="105"/>
      <c r="T797" s="81"/>
      <c r="U797" s="81"/>
      <c r="V797" s="81"/>
      <c r="W797" s="81"/>
      <c r="X797" s="81"/>
      <c r="Y797" s="81"/>
      <c r="Z797" s="81"/>
    </row>
    <row r="798" spans="1:26" ht="24" customHeight="1" x14ac:dyDescent="0.5">
      <c r="A798" s="81"/>
      <c r="B798" s="81"/>
      <c r="C798" s="81"/>
      <c r="D798" s="81"/>
      <c r="E798" s="81"/>
      <c r="F798" s="81"/>
      <c r="G798" s="81"/>
      <c r="H798" s="81"/>
      <c r="I798" s="289"/>
      <c r="J798" s="289"/>
      <c r="K798" s="105"/>
      <c r="L798" s="81"/>
      <c r="M798" s="289"/>
      <c r="N798" s="289"/>
      <c r="O798" s="105"/>
      <c r="P798" s="81"/>
      <c r="Q798" s="289"/>
      <c r="R798" s="81"/>
      <c r="S798" s="105"/>
      <c r="T798" s="81"/>
      <c r="U798" s="81"/>
      <c r="V798" s="81"/>
      <c r="W798" s="81"/>
      <c r="X798" s="81"/>
      <c r="Y798" s="81"/>
      <c r="Z798" s="81"/>
    </row>
    <row r="799" spans="1:26" ht="24" customHeight="1" x14ac:dyDescent="0.5">
      <c r="A799" s="81"/>
      <c r="B799" s="81"/>
      <c r="C799" s="81"/>
      <c r="D799" s="81"/>
      <c r="E799" s="81"/>
      <c r="F799" s="81"/>
      <c r="G799" s="81"/>
      <c r="H799" s="81"/>
      <c r="I799" s="289"/>
      <c r="J799" s="289"/>
      <c r="K799" s="105"/>
      <c r="L799" s="81"/>
      <c r="M799" s="289"/>
      <c r="N799" s="289"/>
      <c r="O799" s="105"/>
      <c r="P799" s="81"/>
      <c r="Q799" s="289"/>
      <c r="R799" s="81"/>
      <c r="S799" s="105"/>
      <c r="T799" s="81"/>
      <c r="U799" s="81"/>
      <c r="V799" s="81"/>
      <c r="W799" s="81"/>
      <c r="X799" s="81"/>
      <c r="Y799" s="81"/>
      <c r="Z799" s="81"/>
    </row>
    <row r="800" spans="1:26" ht="24" customHeight="1" x14ac:dyDescent="0.5">
      <c r="A800" s="81"/>
      <c r="B800" s="81"/>
      <c r="C800" s="81"/>
      <c r="D800" s="81"/>
      <c r="E800" s="81"/>
      <c r="F800" s="81"/>
      <c r="G800" s="81"/>
      <c r="H800" s="81"/>
      <c r="I800" s="289"/>
      <c r="J800" s="289"/>
      <c r="K800" s="105"/>
      <c r="L800" s="81"/>
      <c r="M800" s="289"/>
      <c r="N800" s="289"/>
      <c r="O800" s="105"/>
      <c r="P800" s="81"/>
      <c r="Q800" s="289"/>
      <c r="R800" s="81"/>
      <c r="S800" s="105"/>
      <c r="T800" s="81"/>
      <c r="U800" s="81"/>
      <c r="V800" s="81"/>
      <c r="W800" s="81"/>
      <c r="X800" s="81"/>
      <c r="Y800" s="81"/>
      <c r="Z800" s="81"/>
    </row>
    <row r="801" spans="1:26" ht="24" customHeight="1" x14ac:dyDescent="0.5">
      <c r="A801" s="81"/>
      <c r="B801" s="81"/>
      <c r="C801" s="81"/>
      <c r="D801" s="81"/>
      <c r="E801" s="81"/>
      <c r="F801" s="81"/>
      <c r="G801" s="81"/>
      <c r="H801" s="81"/>
      <c r="I801" s="289"/>
      <c r="J801" s="289"/>
      <c r="K801" s="105"/>
      <c r="L801" s="81"/>
      <c r="M801" s="289"/>
      <c r="N801" s="289"/>
      <c r="O801" s="105"/>
      <c r="P801" s="81"/>
      <c r="Q801" s="289"/>
      <c r="R801" s="81"/>
      <c r="S801" s="105"/>
      <c r="T801" s="81"/>
      <c r="U801" s="81"/>
      <c r="V801" s="81"/>
      <c r="W801" s="81"/>
      <c r="X801" s="81"/>
      <c r="Y801" s="81"/>
      <c r="Z801" s="81"/>
    </row>
    <row r="802" spans="1:26" ht="24" customHeight="1" x14ac:dyDescent="0.5">
      <c r="A802" s="81"/>
      <c r="B802" s="81"/>
      <c r="C802" s="81"/>
      <c r="D802" s="81"/>
      <c r="E802" s="81"/>
      <c r="F802" s="81"/>
      <c r="G802" s="81"/>
      <c r="H802" s="81"/>
      <c r="I802" s="289"/>
      <c r="J802" s="289"/>
      <c r="K802" s="105"/>
      <c r="L802" s="81"/>
      <c r="M802" s="289"/>
      <c r="N802" s="289"/>
      <c r="O802" s="105"/>
      <c r="P802" s="81"/>
      <c r="Q802" s="289"/>
      <c r="R802" s="81"/>
      <c r="S802" s="105"/>
      <c r="T802" s="81"/>
      <c r="U802" s="81"/>
      <c r="V802" s="81"/>
      <c r="W802" s="81"/>
      <c r="X802" s="81"/>
      <c r="Y802" s="81"/>
      <c r="Z802" s="81"/>
    </row>
    <row r="803" spans="1:26" ht="24" customHeight="1" x14ac:dyDescent="0.5">
      <c r="A803" s="81"/>
      <c r="B803" s="81"/>
      <c r="C803" s="81"/>
      <c r="D803" s="81"/>
      <c r="E803" s="81"/>
      <c r="F803" s="81"/>
      <c r="G803" s="81"/>
      <c r="H803" s="81"/>
      <c r="I803" s="289"/>
      <c r="J803" s="289"/>
      <c r="K803" s="105"/>
      <c r="L803" s="81"/>
      <c r="M803" s="289"/>
      <c r="N803" s="289"/>
      <c r="O803" s="105"/>
      <c r="P803" s="81"/>
      <c r="Q803" s="289"/>
      <c r="R803" s="81"/>
      <c r="S803" s="105"/>
      <c r="T803" s="81"/>
      <c r="U803" s="81"/>
      <c r="V803" s="81"/>
      <c r="W803" s="81"/>
      <c r="X803" s="81"/>
      <c r="Y803" s="81"/>
      <c r="Z803" s="81"/>
    </row>
    <row r="804" spans="1:26" ht="24" customHeight="1" x14ac:dyDescent="0.5">
      <c r="A804" s="81"/>
      <c r="B804" s="81"/>
      <c r="C804" s="81"/>
      <c r="D804" s="81"/>
      <c r="E804" s="81"/>
      <c r="F804" s="81"/>
      <c r="G804" s="81"/>
      <c r="H804" s="81"/>
      <c r="I804" s="289"/>
      <c r="J804" s="289"/>
      <c r="K804" s="105"/>
      <c r="L804" s="81"/>
      <c r="M804" s="289"/>
      <c r="N804" s="289"/>
      <c r="O804" s="105"/>
      <c r="P804" s="81"/>
      <c r="Q804" s="289"/>
      <c r="R804" s="81"/>
      <c r="S804" s="105"/>
      <c r="T804" s="81"/>
      <c r="U804" s="81"/>
      <c r="V804" s="81"/>
      <c r="W804" s="81"/>
      <c r="X804" s="81"/>
      <c r="Y804" s="81"/>
      <c r="Z804" s="81"/>
    </row>
    <row r="805" spans="1:26" ht="24" customHeight="1" x14ac:dyDescent="0.5">
      <c r="A805" s="81"/>
      <c r="B805" s="81"/>
      <c r="C805" s="81"/>
      <c r="D805" s="81"/>
      <c r="E805" s="81"/>
      <c r="F805" s="81"/>
      <c r="G805" s="81"/>
      <c r="H805" s="81"/>
      <c r="I805" s="289"/>
      <c r="J805" s="289"/>
      <c r="K805" s="105"/>
      <c r="L805" s="81"/>
      <c r="M805" s="289"/>
      <c r="N805" s="289"/>
      <c r="O805" s="105"/>
      <c r="P805" s="81"/>
      <c r="Q805" s="289"/>
      <c r="R805" s="81"/>
      <c r="S805" s="105"/>
      <c r="T805" s="81"/>
      <c r="U805" s="81"/>
      <c r="V805" s="81"/>
      <c r="W805" s="81"/>
      <c r="X805" s="81"/>
      <c r="Y805" s="81"/>
      <c r="Z805" s="81"/>
    </row>
    <row r="806" spans="1:26" ht="24" customHeight="1" x14ac:dyDescent="0.5">
      <c r="A806" s="81"/>
      <c r="B806" s="81"/>
      <c r="C806" s="81"/>
      <c r="D806" s="81"/>
      <c r="E806" s="81"/>
      <c r="F806" s="81"/>
      <c r="G806" s="81"/>
      <c r="H806" s="81"/>
      <c r="I806" s="289"/>
      <c r="J806" s="289"/>
      <c r="K806" s="105"/>
      <c r="L806" s="81"/>
      <c r="M806" s="289"/>
      <c r="N806" s="289"/>
      <c r="O806" s="105"/>
      <c r="P806" s="81"/>
      <c r="Q806" s="289"/>
      <c r="R806" s="81"/>
      <c r="S806" s="105"/>
      <c r="T806" s="81"/>
      <c r="U806" s="81"/>
      <c r="V806" s="81"/>
      <c r="W806" s="81"/>
      <c r="X806" s="81"/>
      <c r="Y806" s="81"/>
      <c r="Z806" s="81"/>
    </row>
    <row r="807" spans="1:26" ht="24" customHeight="1" x14ac:dyDescent="0.5">
      <c r="A807" s="81"/>
      <c r="B807" s="81"/>
      <c r="C807" s="81"/>
      <c r="D807" s="81"/>
      <c r="E807" s="81"/>
      <c r="F807" s="81"/>
      <c r="G807" s="81"/>
      <c r="H807" s="81"/>
      <c r="I807" s="289"/>
      <c r="J807" s="289"/>
      <c r="K807" s="105"/>
      <c r="L807" s="81"/>
      <c r="M807" s="289"/>
      <c r="N807" s="289"/>
      <c r="O807" s="105"/>
      <c r="P807" s="81"/>
      <c r="Q807" s="289"/>
      <c r="R807" s="81"/>
      <c r="S807" s="105"/>
      <c r="T807" s="81"/>
      <c r="U807" s="81"/>
      <c r="V807" s="81"/>
      <c r="W807" s="81"/>
      <c r="X807" s="81"/>
      <c r="Y807" s="81"/>
      <c r="Z807" s="81"/>
    </row>
    <row r="808" spans="1:26" ht="24" customHeight="1" x14ac:dyDescent="0.5">
      <c r="A808" s="81"/>
      <c r="B808" s="81"/>
      <c r="C808" s="81"/>
      <c r="D808" s="81"/>
      <c r="E808" s="81"/>
      <c r="F808" s="81"/>
      <c r="G808" s="81"/>
      <c r="H808" s="81"/>
      <c r="I808" s="289"/>
      <c r="J808" s="289"/>
      <c r="K808" s="105"/>
      <c r="L808" s="81"/>
      <c r="M808" s="289"/>
      <c r="N808" s="289"/>
      <c r="O808" s="105"/>
      <c r="P808" s="81"/>
      <c r="Q808" s="289"/>
      <c r="R808" s="81"/>
      <c r="S808" s="105"/>
      <c r="T808" s="81"/>
      <c r="U808" s="81"/>
      <c r="V808" s="81"/>
      <c r="W808" s="81"/>
      <c r="X808" s="81"/>
      <c r="Y808" s="81"/>
      <c r="Z808" s="81"/>
    </row>
    <row r="809" spans="1:26" ht="24" customHeight="1" x14ac:dyDescent="0.5">
      <c r="A809" s="81"/>
      <c r="B809" s="81"/>
      <c r="C809" s="81"/>
      <c r="D809" s="81"/>
      <c r="E809" s="81"/>
      <c r="F809" s="81"/>
      <c r="G809" s="81"/>
      <c r="H809" s="81"/>
      <c r="I809" s="289"/>
      <c r="J809" s="289"/>
      <c r="K809" s="105"/>
      <c r="L809" s="81"/>
      <c r="M809" s="289"/>
      <c r="N809" s="289"/>
      <c r="O809" s="105"/>
      <c r="P809" s="81"/>
      <c r="Q809" s="289"/>
      <c r="R809" s="81"/>
      <c r="S809" s="105"/>
      <c r="T809" s="81"/>
      <c r="U809" s="81"/>
      <c r="V809" s="81"/>
      <c r="W809" s="81"/>
      <c r="X809" s="81"/>
      <c r="Y809" s="81"/>
      <c r="Z809" s="81"/>
    </row>
    <row r="810" spans="1:26" ht="24" customHeight="1" x14ac:dyDescent="0.5">
      <c r="A810" s="81"/>
      <c r="B810" s="81"/>
      <c r="C810" s="81"/>
      <c r="D810" s="81"/>
      <c r="E810" s="81"/>
      <c r="F810" s="81"/>
      <c r="G810" s="81"/>
      <c r="H810" s="81"/>
      <c r="I810" s="289"/>
      <c r="J810" s="289"/>
      <c r="K810" s="105"/>
      <c r="L810" s="81"/>
      <c r="M810" s="289"/>
      <c r="N810" s="289"/>
      <c r="O810" s="105"/>
      <c r="P810" s="81"/>
      <c r="Q810" s="289"/>
      <c r="R810" s="81"/>
      <c r="S810" s="105"/>
      <c r="T810" s="81"/>
      <c r="U810" s="81"/>
      <c r="V810" s="81"/>
      <c r="W810" s="81"/>
      <c r="X810" s="81"/>
      <c r="Y810" s="81"/>
      <c r="Z810" s="81"/>
    </row>
    <row r="811" spans="1:26" ht="24" customHeight="1" x14ac:dyDescent="0.5">
      <c r="A811" s="81"/>
      <c r="B811" s="81"/>
      <c r="C811" s="81"/>
      <c r="D811" s="81"/>
      <c r="E811" s="81"/>
      <c r="F811" s="81"/>
      <c r="G811" s="81"/>
      <c r="H811" s="81"/>
      <c r="I811" s="289"/>
      <c r="J811" s="289"/>
      <c r="K811" s="105"/>
      <c r="L811" s="81"/>
      <c r="M811" s="289"/>
      <c r="N811" s="289"/>
      <c r="O811" s="105"/>
      <c r="P811" s="81"/>
      <c r="Q811" s="289"/>
      <c r="R811" s="81"/>
      <c r="S811" s="105"/>
      <c r="T811" s="81"/>
      <c r="U811" s="81"/>
      <c r="V811" s="81"/>
      <c r="W811" s="81"/>
      <c r="X811" s="81"/>
      <c r="Y811" s="81"/>
      <c r="Z811" s="81"/>
    </row>
    <row r="812" spans="1:26" ht="24" customHeight="1" x14ac:dyDescent="0.5">
      <c r="A812" s="81"/>
      <c r="B812" s="81"/>
      <c r="C812" s="81"/>
      <c r="D812" s="81"/>
      <c r="E812" s="81"/>
      <c r="F812" s="81"/>
      <c r="G812" s="81"/>
      <c r="H812" s="81"/>
      <c r="I812" s="289"/>
      <c r="J812" s="289"/>
      <c r="K812" s="105"/>
      <c r="L812" s="81"/>
      <c r="M812" s="289"/>
      <c r="N812" s="289"/>
      <c r="O812" s="105"/>
      <c r="P812" s="81"/>
      <c r="Q812" s="289"/>
      <c r="R812" s="81"/>
      <c r="S812" s="105"/>
      <c r="T812" s="81"/>
      <c r="U812" s="81"/>
      <c r="V812" s="81"/>
      <c r="W812" s="81"/>
      <c r="X812" s="81"/>
      <c r="Y812" s="81"/>
      <c r="Z812" s="81"/>
    </row>
    <row r="813" spans="1:26" ht="24" customHeight="1" x14ac:dyDescent="0.5">
      <c r="A813" s="81"/>
      <c r="B813" s="81"/>
      <c r="C813" s="81"/>
      <c r="D813" s="81"/>
      <c r="E813" s="81"/>
      <c r="F813" s="81"/>
      <c r="G813" s="81"/>
      <c r="H813" s="81"/>
      <c r="I813" s="289"/>
      <c r="J813" s="289"/>
      <c r="K813" s="105"/>
      <c r="L813" s="81"/>
      <c r="M813" s="289"/>
      <c r="N813" s="289"/>
      <c r="O813" s="105"/>
      <c r="P813" s="81"/>
      <c r="Q813" s="289"/>
      <c r="R813" s="81"/>
      <c r="S813" s="105"/>
      <c r="T813" s="81"/>
      <c r="U813" s="81"/>
      <c r="V813" s="81"/>
      <c r="W813" s="81"/>
      <c r="X813" s="81"/>
      <c r="Y813" s="81"/>
      <c r="Z813" s="81"/>
    </row>
    <row r="814" spans="1:26" ht="24" customHeight="1" x14ac:dyDescent="0.5">
      <c r="A814" s="81"/>
      <c r="B814" s="81"/>
      <c r="C814" s="81"/>
      <c r="D814" s="81"/>
      <c r="E814" s="81"/>
      <c r="F814" s="81"/>
      <c r="G814" s="81"/>
      <c r="H814" s="81"/>
      <c r="I814" s="289"/>
      <c r="J814" s="289"/>
      <c r="K814" s="105"/>
      <c r="L814" s="81"/>
      <c r="M814" s="289"/>
      <c r="N814" s="289"/>
      <c r="O814" s="105"/>
      <c r="P814" s="81"/>
      <c r="Q814" s="289"/>
      <c r="R814" s="81"/>
      <c r="S814" s="105"/>
      <c r="T814" s="81"/>
      <c r="U814" s="81"/>
      <c r="V814" s="81"/>
      <c r="W814" s="81"/>
      <c r="X814" s="81"/>
      <c r="Y814" s="81"/>
      <c r="Z814" s="81"/>
    </row>
    <row r="815" spans="1:26" ht="24" customHeight="1" x14ac:dyDescent="0.5">
      <c r="A815" s="81"/>
      <c r="B815" s="81"/>
      <c r="C815" s="81"/>
      <c r="D815" s="81"/>
      <c r="E815" s="81"/>
      <c r="F815" s="81"/>
      <c r="G815" s="81"/>
      <c r="H815" s="81"/>
      <c r="I815" s="289"/>
      <c r="J815" s="289"/>
      <c r="K815" s="105"/>
      <c r="L815" s="81"/>
      <c r="M815" s="289"/>
      <c r="N815" s="289"/>
      <c r="O815" s="105"/>
      <c r="P815" s="81"/>
      <c r="Q815" s="289"/>
      <c r="R815" s="81"/>
      <c r="S815" s="105"/>
      <c r="T815" s="81"/>
      <c r="U815" s="81"/>
      <c r="V815" s="81"/>
      <c r="W815" s="81"/>
      <c r="X815" s="81"/>
      <c r="Y815" s="81"/>
      <c r="Z815" s="81"/>
    </row>
    <row r="816" spans="1:26" ht="24" customHeight="1" x14ac:dyDescent="0.5">
      <c r="A816" s="81"/>
      <c r="B816" s="81"/>
      <c r="C816" s="81"/>
      <c r="D816" s="81"/>
      <c r="E816" s="81"/>
      <c r="F816" s="81"/>
      <c r="G816" s="81"/>
      <c r="H816" s="81"/>
      <c r="I816" s="289"/>
      <c r="J816" s="289"/>
      <c r="K816" s="105"/>
      <c r="L816" s="81"/>
      <c r="M816" s="289"/>
      <c r="N816" s="289"/>
      <c r="O816" s="105"/>
      <c r="P816" s="81"/>
      <c r="Q816" s="289"/>
      <c r="R816" s="81"/>
      <c r="S816" s="105"/>
      <c r="T816" s="81"/>
      <c r="U816" s="81"/>
      <c r="V816" s="81"/>
      <c r="W816" s="81"/>
      <c r="X816" s="81"/>
      <c r="Y816" s="81"/>
      <c r="Z816" s="81"/>
    </row>
    <row r="817" spans="1:26" ht="24" customHeight="1" x14ac:dyDescent="0.5">
      <c r="A817" s="81"/>
      <c r="B817" s="81"/>
      <c r="C817" s="81"/>
      <c r="D817" s="81"/>
      <c r="E817" s="81"/>
      <c r="F817" s="81"/>
      <c r="G817" s="81"/>
      <c r="H817" s="81"/>
      <c r="I817" s="289"/>
      <c r="J817" s="289"/>
      <c r="K817" s="105"/>
      <c r="L817" s="81"/>
      <c r="M817" s="289"/>
      <c r="N817" s="289"/>
      <c r="O817" s="105"/>
      <c r="P817" s="81"/>
      <c r="Q817" s="289"/>
      <c r="R817" s="81"/>
      <c r="S817" s="105"/>
      <c r="T817" s="81"/>
      <c r="U817" s="81"/>
      <c r="V817" s="81"/>
      <c r="W817" s="81"/>
      <c r="X817" s="81"/>
      <c r="Y817" s="81"/>
      <c r="Z817" s="81"/>
    </row>
    <row r="818" spans="1:26" ht="24" customHeight="1" x14ac:dyDescent="0.5">
      <c r="A818" s="81"/>
      <c r="B818" s="81"/>
      <c r="C818" s="81"/>
      <c r="D818" s="81"/>
      <c r="E818" s="81"/>
      <c r="F818" s="81"/>
      <c r="G818" s="81"/>
      <c r="H818" s="81"/>
      <c r="I818" s="289"/>
      <c r="J818" s="289"/>
      <c r="K818" s="105"/>
      <c r="L818" s="81"/>
      <c r="M818" s="289"/>
      <c r="N818" s="289"/>
      <c r="O818" s="105"/>
      <c r="P818" s="81"/>
      <c r="Q818" s="289"/>
      <c r="R818" s="81"/>
      <c r="S818" s="105"/>
      <c r="T818" s="81"/>
      <c r="U818" s="81"/>
      <c r="V818" s="81"/>
      <c r="W818" s="81"/>
      <c r="X818" s="81"/>
      <c r="Y818" s="81"/>
      <c r="Z818" s="81"/>
    </row>
    <row r="819" spans="1:26" ht="24" customHeight="1" x14ac:dyDescent="0.5">
      <c r="A819" s="81"/>
      <c r="B819" s="81"/>
      <c r="C819" s="81"/>
      <c r="D819" s="81"/>
      <c r="E819" s="81"/>
      <c r="F819" s="81"/>
      <c r="G819" s="81"/>
      <c r="H819" s="81"/>
      <c r="I819" s="289"/>
      <c r="J819" s="289"/>
      <c r="K819" s="105"/>
      <c r="L819" s="81"/>
      <c r="M819" s="289"/>
      <c r="N819" s="289"/>
      <c r="O819" s="105"/>
      <c r="P819" s="81"/>
      <c r="Q819" s="289"/>
      <c r="R819" s="81"/>
      <c r="S819" s="105"/>
      <c r="T819" s="81"/>
      <c r="U819" s="81"/>
      <c r="V819" s="81"/>
      <c r="W819" s="81"/>
      <c r="X819" s="81"/>
      <c r="Y819" s="81"/>
      <c r="Z819" s="81"/>
    </row>
    <row r="820" spans="1:26" ht="24" customHeight="1" x14ac:dyDescent="0.5">
      <c r="A820" s="81"/>
      <c r="B820" s="81"/>
      <c r="C820" s="81"/>
      <c r="D820" s="81"/>
      <c r="E820" s="81"/>
      <c r="F820" s="81"/>
      <c r="G820" s="81"/>
      <c r="H820" s="81"/>
      <c r="I820" s="289"/>
      <c r="J820" s="289"/>
      <c r="K820" s="105"/>
      <c r="L820" s="81"/>
      <c r="M820" s="289"/>
      <c r="N820" s="289"/>
      <c r="O820" s="105"/>
      <c r="P820" s="81"/>
      <c r="Q820" s="289"/>
      <c r="R820" s="81"/>
      <c r="S820" s="105"/>
      <c r="T820" s="81"/>
      <c r="U820" s="81"/>
      <c r="V820" s="81"/>
      <c r="W820" s="81"/>
      <c r="X820" s="81"/>
      <c r="Y820" s="81"/>
      <c r="Z820" s="81"/>
    </row>
    <row r="821" spans="1:26" ht="24" customHeight="1" x14ac:dyDescent="0.5">
      <c r="A821" s="81"/>
      <c r="B821" s="81"/>
      <c r="C821" s="81"/>
      <c r="D821" s="81"/>
      <c r="E821" s="81"/>
      <c r="F821" s="81"/>
      <c r="G821" s="81"/>
      <c r="H821" s="81"/>
      <c r="I821" s="289"/>
      <c r="J821" s="289"/>
      <c r="K821" s="105"/>
      <c r="L821" s="81"/>
      <c r="M821" s="289"/>
      <c r="N821" s="289"/>
      <c r="O821" s="105"/>
      <c r="P821" s="81"/>
      <c r="Q821" s="289"/>
      <c r="R821" s="81"/>
      <c r="S821" s="105"/>
      <c r="T821" s="81"/>
      <c r="U821" s="81"/>
      <c r="V821" s="81"/>
      <c r="W821" s="81"/>
      <c r="X821" s="81"/>
      <c r="Y821" s="81"/>
      <c r="Z821" s="81"/>
    </row>
    <row r="822" spans="1:26" ht="24" customHeight="1" x14ac:dyDescent="0.5">
      <c r="A822" s="81"/>
      <c r="B822" s="81"/>
      <c r="C822" s="81"/>
      <c r="D822" s="81"/>
      <c r="E822" s="81"/>
      <c r="F822" s="81"/>
      <c r="G822" s="81"/>
      <c r="H822" s="81"/>
      <c r="I822" s="289"/>
      <c r="J822" s="289"/>
      <c r="K822" s="105"/>
      <c r="L822" s="81"/>
      <c r="M822" s="289"/>
      <c r="N822" s="289"/>
      <c r="O822" s="105"/>
      <c r="P822" s="81"/>
      <c r="Q822" s="289"/>
      <c r="R822" s="81"/>
      <c r="S822" s="105"/>
      <c r="T822" s="81"/>
      <c r="U822" s="81"/>
      <c r="V822" s="81"/>
      <c r="W822" s="81"/>
      <c r="X822" s="81"/>
      <c r="Y822" s="81"/>
      <c r="Z822" s="81"/>
    </row>
    <row r="823" spans="1:26" ht="24" customHeight="1" x14ac:dyDescent="0.5">
      <c r="A823" s="81"/>
      <c r="B823" s="81"/>
      <c r="C823" s="81"/>
      <c r="D823" s="81"/>
      <c r="E823" s="81"/>
      <c r="F823" s="81"/>
      <c r="G823" s="81"/>
      <c r="H823" s="81"/>
      <c r="I823" s="289"/>
      <c r="J823" s="289"/>
      <c r="K823" s="105"/>
      <c r="L823" s="81"/>
      <c r="M823" s="289"/>
      <c r="N823" s="289"/>
      <c r="O823" s="105"/>
      <c r="P823" s="81"/>
      <c r="Q823" s="289"/>
      <c r="R823" s="81"/>
      <c r="S823" s="105"/>
      <c r="T823" s="81"/>
      <c r="U823" s="81"/>
      <c r="V823" s="81"/>
      <c r="W823" s="81"/>
      <c r="X823" s="81"/>
      <c r="Y823" s="81"/>
      <c r="Z823" s="81"/>
    </row>
    <row r="824" spans="1:26" ht="24" customHeight="1" x14ac:dyDescent="0.5">
      <c r="A824" s="81"/>
      <c r="B824" s="81"/>
      <c r="C824" s="81"/>
      <c r="D824" s="81"/>
      <c r="E824" s="81"/>
      <c r="F824" s="81"/>
      <c r="G824" s="81"/>
      <c r="H824" s="81"/>
      <c r="I824" s="289"/>
      <c r="J824" s="289"/>
      <c r="K824" s="105"/>
      <c r="L824" s="81"/>
      <c r="M824" s="289"/>
      <c r="N824" s="289"/>
      <c r="O824" s="105"/>
      <c r="P824" s="81"/>
      <c r="Q824" s="289"/>
      <c r="R824" s="81"/>
      <c r="S824" s="105"/>
      <c r="T824" s="81"/>
      <c r="U824" s="81"/>
      <c r="V824" s="81"/>
      <c r="W824" s="81"/>
      <c r="X824" s="81"/>
      <c r="Y824" s="81"/>
      <c r="Z824" s="81"/>
    </row>
    <row r="825" spans="1:26" ht="24" customHeight="1" x14ac:dyDescent="0.5">
      <c r="A825" s="81"/>
      <c r="B825" s="81"/>
      <c r="C825" s="81"/>
      <c r="D825" s="81"/>
      <c r="E825" s="81"/>
      <c r="F825" s="81"/>
      <c r="G825" s="81"/>
      <c r="H825" s="81"/>
      <c r="I825" s="289"/>
      <c r="J825" s="289"/>
      <c r="K825" s="105"/>
      <c r="L825" s="81"/>
      <c r="M825" s="289"/>
      <c r="N825" s="289"/>
      <c r="O825" s="105"/>
      <c r="P825" s="81"/>
      <c r="Q825" s="289"/>
      <c r="R825" s="81"/>
      <c r="S825" s="105"/>
      <c r="T825" s="81"/>
      <c r="U825" s="81"/>
      <c r="V825" s="81"/>
      <c r="W825" s="81"/>
      <c r="X825" s="81"/>
      <c r="Y825" s="81"/>
      <c r="Z825" s="81"/>
    </row>
    <row r="826" spans="1:26" ht="24" customHeight="1" x14ac:dyDescent="0.5">
      <c r="A826" s="81"/>
      <c r="B826" s="81"/>
      <c r="C826" s="81"/>
      <c r="D826" s="81"/>
      <c r="E826" s="81"/>
      <c r="F826" s="81"/>
      <c r="G826" s="81"/>
      <c r="H826" s="81"/>
      <c r="I826" s="289"/>
      <c r="J826" s="289"/>
      <c r="K826" s="105"/>
      <c r="L826" s="81"/>
      <c r="M826" s="289"/>
      <c r="N826" s="289"/>
      <c r="O826" s="105"/>
      <c r="P826" s="81"/>
      <c r="Q826" s="289"/>
      <c r="R826" s="81"/>
      <c r="S826" s="105"/>
      <c r="T826" s="81"/>
      <c r="U826" s="81"/>
      <c r="V826" s="81"/>
      <c r="W826" s="81"/>
      <c r="X826" s="81"/>
      <c r="Y826" s="81"/>
      <c r="Z826" s="81"/>
    </row>
    <row r="827" spans="1:26" ht="24" customHeight="1" x14ac:dyDescent="0.5">
      <c r="A827" s="81"/>
      <c r="B827" s="81"/>
      <c r="C827" s="81"/>
      <c r="D827" s="81"/>
      <c r="E827" s="81"/>
      <c r="F827" s="81"/>
      <c r="G827" s="81"/>
      <c r="H827" s="81"/>
      <c r="I827" s="289"/>
      <c r="J827" s="289"/>
      <c r="K827" s="105"/>
      <c r="L827" s="81"/>
      <c r="M827" s="289"/>
      <c r="N827" s="289"/>
      <c r="O827" s="105"/>
      <c r="P827" s="81"/>
      <c r="Q827" s="289"/>
      <c r="R827" s="81"/>
      <c r="S827" s="105"/>
      <c r="T827" s="81"/>
      <c r="U827" s="81"/>
      <c r="V827" s="81"/>
      <c r="W827" s="81"/>
      <c r="X827" s="81"/>
      <c r="Y827" s="81"/>
      <c r="Z827" s="81"/>
    </row>
    <row r="828" spans="1:26" ht="24" customHeight="1" x14ac:dyDescent="0.5">
      <c r="A828" s="81"/>
      <c r="B828" s="81"/>
      <c r="C828" s="81"/>
      <c r="D828" s="81"/>
      <c r="E828" s="81"/>
      <c r="F828" s="81"/>
      <c r="G828" s="81"/>
      <c r="H828" s="81"/>
      <c r="I828" s="289"/>
      <c r="J828" s="289"/>
      <c r="K828" s="105"/>
      <c r="L828" s="81"/>
      <c r="M828" s="289"/>
      <c r="N828" s="289"/>
      <c r="O828" s="105"/>
      <c r="P828" s="81"/>
      <c r="Q828" s="289"/>
      <c r="R828" s="81"/>
      <c r="S828" s="105"/>
      <c r="T828" s="81"/>
      <c r="U828" s="81"/>
      <c r="V828" s="81"/>
      <c r="W828" s="81"/>
      <c r="X828" s="81"/>
      <c r="Y828" s="81"/>
      <c r="Z828" s="81"/>
    </row>
    <row r="829" spans="1:26" ht="24" customHeight="1" x14ac:dyDescent="0.5">
      <c r="A829" s="81"/>
      <c r="B829" s="81"/>
      <c r="C829" s="81"/>
      <c r="D829" s="81"/>
      <c r="E829" s="81"/>
      <c r="F829" s="81"/>
      <c r="G829" s="81"/>
      <c r="H829" s="81"/>
      <c r="I829" s="289"/>
      <c r="J829" s="289"/>
      <c r="K829" s="105"/>
      <c r="L829" s="81"/>
      <c r="M829" s="289"/>
      <c r="N829" s="289"/>
      <c r="O829" s="105"/>
      <c r="P829" s="81"/>
      <c r="Q829" s="289"/>
      <c r="R829" s="81"/>
      <c r="S829" s="105"/>
      <c r="T829" s="81"/>
      <c r="U829" s="81"/>
      <c r="V829" s="81"/>
      <c r="W829" s="81"/>
      <c r="X829" s="81"/>
      <c r="Y829" s="81"/>
      <c r="Z829" s="81"/>
    </row>
    <row r="830" spans="1:26" ht="24" customHeight="1" x14ac:dyDescent="0.5">
      <c r="A830" s="81"/>
      <c r="B830" s="81"/>
      <c r="C830" s="81"/>
      <c r="D830" s="81"/>
      <c r="E830" s="81"/>
      <c r="F830" s="81"/>
      <c r="G830" s="81"/>
      <c r="H830" s="81"/>
      <c r="I830" s="289"/>
      <c r="J830" s="289"/>
      <c r="K830" s="105"/>
      <c r="L830" s="81"/>
      <c r="M830" s="289"/>
      <c r="N830" s="289"/>
      <c r="O830" s="105"/>
      <c r="P830" s="81"/>
      <c r="Q830" s="289"/>
      <c r="R830" s="81"/>
      <c r="S830" s="105"/>
      <c r="T830" s="81"/>
      <c r="U830" s="81"/>
      <c r="V830" s="81"/>
      <c r="W830" s="81"/>
      <c r="X830" s="81"/>
      <c r="Y830" s="81"/>
      <c r="Z830" s="81"/>
    </row>
    <row r="831" spans="1:26" ht="24" customHeight="1" x14ac:dyDescent="0.5">
      <c r="A831" s="81"/>
      <c r="B831" s="81"/>
      <c r="C831" s="81"/>
      <c r="D831" s="81"/>
      <c r="E831" s="81"/>
      <c r="F831" s="81"/>
      <c r="G831" s="81"/>
      <c r="H831" s="81"/>
      <c r="I831" s="289"/>
      <c r="J831" s="289"/>
      <c r="K831" s="105"/>
      <c r="L831" s="81"/>
      <c r="M831" s="289"/>
      <c r="N831" s="289"/>
      <c r="O831" s="105"/>
      <c r="P831" s="81"/>
      <c r="Q831" s="289"/>
      <c r="R831" s="81"/>
      <c r="S831" s="105"/>
      <c r="T831" s="81"/>
      <c r="U831" s="81"/>
      <c r="V831" s="81"/>
      <c r="W831" s="81"/>
      <c r="X831" s="81"/>
      <c r="Y831" s="81"/>
      <c r="Z831" s="81"/>
    </row>
    <row r="832" spans="1:26" ht="24" customHeight="1" x14ac:dyDescent="0.5">
      <c r="A832" s="81"/>
      <c r="B832" s="81"/>
      <c r="C832" s="81"/>
      <c r="D832" s="81"/>
      <c r="E832" s="81"/>
      <c r="F832" s="81"/>
      <c r="G832" s="81"/>
      <c r="H832" s="81"/>
      <c r="I832" s="289"/>
      <c r="J832" s="289"/>
      <c r="K832" s="105"/>
      <c r="L832" s="81"/>
      <c r="M832" s="289"/>
      <c r="N832" s="289"/>
      <c r="O832" s="105"/>
      <c r="P832" s="81"/>
      <c r="Q832" s="289"/>
      <c r="R832" s="81"/>
      <c r="S832" s="105"/>
      <c r="T832" s="81"/>
      <c r="U832" s="81"/>
      <c r="V832" s="81"/>
      <c r="W832" s="81"/>
      <c r="X832" s="81"/>
      <c r="Y832" s="81"/>
      <c r="Z832" s="81"/>
    </row>
    <row r="833" spans="1:26" ht="24" customHeight="1" x14ac:dyDescent="0.5">
      <c r="A833" s="81"/>
      <c r="B833" s="81"/>
      <c r="C833" s="81"/>
      <c r="D833" s="81"/>
      <c r="E833" s="81"/>
      <c r="F833" s="81"/>
      <c r="G833" s="81"/>
      <c r="H833" s="81"/>
      <c r="I833" s="289"/>
      <c r="J833" s="289"/>
      <c r="K833" s="105"/>
      <c r="L833" s="81"/>
      <c r="M833" s="289"/>
      <c r="N833" s="289"/>
      <c r="O833" s="105"/>
      <c r="P833" s="81"/>
      <c r="Q833" s="289"/>
      <c r="R833" s="81"/>
      <c r="S833" s="105"/>
      <c r="T833" s="81"/>
      <c r="U833" s="81"/>
      <c r="V833" s="81"/>
      <c r="W833" s="81"/>
      <c r="X833" s="81"/>
      <c r="Y833" s="81"/>
      <c r="Z833" s="81"/>
    </row>
    <row r="834" spans="1:26" ht="24" customHeight="1" x14ac:dyDescent="0.5">
      <c r="A834" s="81"/>
      <c r="B834" s="81"/>
      <c r="C834" s="81"/>
      <c r="D834" s="81"/>
      <c r="E834" s="81"/>
      <c r="F834" s="81"/>
      <c r="G834" s="81"/>
      <c r="H834" s="81"/>
      <c r="I834" s="289"/>
      <c r="J834" s="289"/>
      <c r="K834" s="105"/>
      <c r="L834" s="81"/>
      <c r="M834" s="289"/>
      <c r="N834" s="289"/>
      <c r="O834" s="105"/>
      <c r="P834" s="81"/>
      <c r="Q834" s="289"/>
      <c r="R834" s="81"/>
      <c r="S834" s="105"/>
      <c r="T834" s="81"/>
      <c r="U834" s="81"/>
      <c r="V834" s="81"/>
      <c r="W834" s="81"/>
      <c r="X834" s="81"/>
      <c r="Y834" s="81"/>
      <c r="Z834" s="81"/>
    </row>
    <row r="835" spans="1:26" ht="24" customHeight="1" x14ac:dyDescent="0.5">
      <c r="A835" s="81"/>
      <c r="B835" s="81"/>
      <c r="C835" s="81"/>
      <c r="D835" s="81"/>
      <c r="E835" s="81"/>
      <c r="F835" s="81"/>
      <c r="G835" s="81"/>
      <c r="H835" s="81"/>
      <c r="I835" s="289"/>
      <c r="J835" s="289"/>
      <c r="K835" s="105"/>
      <c r="L835" s="81"/>
      <c r="M835" s="289"/>
      <c r="N835" s="289"/>
      <c r="O835" s="105"/>
      <c r="P835" s="81"/>
      <c r="Q835" s="289"/>
      <c r="R835" s="81"/>
      <c r="S835" s="105"/>
      <c r="T835" s="81"/>
      <c r="U835" s="81"/>
      <c r="V835" s="81"/>
      <c r="W835" s="81"/>
      <c r="X835" s="81"/>
      <c r="Y835" s="81"/>
      <c r="Z835" s="81"/>
    </row>
    <row r="836" spans="1:26" ht="24" customHeight="1" x14ac:dyDescent="0.5">
      <c r="A836" s="81"/>
      <c r="B836" s="81"/>
      <c r="C836" s="81"/>
      <c r="D836" s="81"/>
      <c r="E836" s="81"/>
      <c r="F836" s="81"/>
      <c r="G836" s="81"/>
      <c r="H836" s="81"/>
      <c r="I836" s="289"/>
      <c r="J836" s="289"/>
      <c r="K836" s="105"/>
      <c r="L836" s="81"/>
      <c r="M836" s="289"/>
      <c r="N836" s="289"/>
      <c r="O836" s="105"/>
      <c r="P836" s="81"/>
      <c r="Q836" s="289"/>
      <c r="R836" s="81"/>
      <c r="S836" s="105"/>
      <c r="T836" s="81"/>
      <c r="U836" s="81"/>
      <c r="V836" s="81"/>
      <c r="W836" s="81"/>
      <c r="X836" s="81"/>
      <c r="Y836" s="81"/>
      <c r="Z836" s="81"/>
    </row>
    <row r="837" spans="1:26" ht="24" customHeight="1" x14ac:dyDescent="0.5">
      <c r="A837" s="81"/>
      <c r="B837" s="81"/>
      <c r="C837" s="81"/>
      <c r="D837" s="81"/>
      <c r="E837" s="81"/>
      <c r="F837" s="81"/>
      <c r="G837" s="81"/>
      <c r="H837" s="81"/>
      <c r="I837" s="289"/>
      <c r="J837" s="289"/>
      <c r="K837" s="105"/>
      <c r="L837" s="81"/>
      <c r="M837" s="289"/>
      <c r="N837" s="289"/>
      <c r="O837" s="105"/>
      <c r="P837" s="81"/>
      <c r="Q837" s="289"/>
      <c r="R837" s="81"/>
      <c r="S837" s="105"/>
      <c r="T837" s="81"/>
      <c r="U837" s="81"/>
      <c r="V837" s="81"/>
      <c r="W837" s="81"/>
      <c r="X837" s="81"/>
      <c r="Y837" s="81"/>
      <c r="Z837" s="81"/>
    </row>
    <row r="838" spans="1:26" ht="24" customHeight="1" x14ac:dyDescent="0.5">
      <c r="A838" s="81"/>
      <c r="B838" s="81"/>
      <c r="C838" s="81"/>
      <c r="D838" s="81"/>
      <c r="E838" s="81"/>
      <c r="F838" s="81"/>
      <c r="G838" s="81"/>
      <c r="H838" s="81"/>
      <c r="I838" s="289"/>
      <c r="J838" s="289"/>
      <c r="K838" s="105"/>
      <c r="L838" s="81"/>
      <c r="M838" s="289"/>
      <c r="N838" s="289"/>
      <c r="O838" s="105"/>
      <c r="P838" s="81"/>
      <c r="Q838" s="289"/>
      <c r="R838" s="81"/>
      <c r="S838" s="105"/>
      <c r="T838" s="81"/>
      <c r="U838" s="81"/>
      <c r="V838" s="81"/>
      <c r="W838" s="81"/>
      <c r="X838" s="81"/>
      <c r="Y838" s="81"/>
      <c r="Z838" s="81"/>
    </row>
    <row r="839" spans="1:26" ht="24" customHeight="1" x14ac:dyDescent="0.5">
      <c r="A839" s="81"/>
      <c r="B839" s="81"/>
      <c r="C839" s="81"/>
      <c r="D839" s="81"/>
      <c r="E839" s="81"/>
      <c r="F839" s="81"/>
      <c r="G839" s="81"/>
      <c r="H839" s="81"/>
      <c r="I839" s="289"/>
      <c r="J839" s="289"/>
      <c r="K839" s="105"/>
      <c r="L839" s="81"/>
      <c r="M839" s="289"/>
      <c r="N839" s="289"/>
      <c r="O839" s="105"/>
      <c r="P839" s="81"/>
      <c r="Q839" s="289"/>
      <c r="R839" s="81"/>
      <c r="S839" s="105"/>
      <c r="T839" s="81"/>
      <c r="U839" s="81"/>
      <c r="V839" s="81"/>
      <c r="W839" s="81"/>
      <c r="X839" s="81"/>
      <c r="Y839" s="81"/>
      <c r="Z839" s="81"/>
    </row>
    <row r="840" spans="1:26" ht="24" customHeight="1" x14ac:dyDescent="0.5">
      <c r="A840" s="81"/>
      <c r="B840" s="81"/>
      <c r="C840" s="81"/>
      <c r="D840" s="81"/>
      <c r="E840" s="81"/>
      <c r="F840" s="81"/>
      <c r="G840" s="81"/>
      <c r="H840" s="81"/>
      <c r="I840" s="289"/>
      <c r="J840" s="289"/>
      <c r="K840" s="105"/>
      <c r="L840" s="81"/>
      <c r="M840" s="289"/>
      <c r="N840" s="289"/>
      <c r="O840" s="105"/>
      <c r="P840" s="81"/>
      <c r="Q840" s="289"/>
      <c r="R840" s="81"/>
      <c r="S840" s="105"/>
      <c r="T840" s="81"/>
      <c r="U840" s="81"/>
      <c r="V840" s="81"/>
      <c r="W840" s="81"/>
      <c r="X840" s="81"/>
      <c r="Y840" s="81"/>
      <c r="Z840" s="81"/>
    </row>
    <row r="841" spans="1:26" ht="24" customHeight="1" x14ac:dyDescent="0.5">
      <c r="A841" s="81"/>
      <c r="B841" s="81"/>
      <c r="C841" s="81"/>
      <c r="D841" s="81"/>
      <c r="E841" s="81"/>
      <c r="F841" s="81"/>
      <c r="G841" s="81"/>
      <c r="H841" s="81"/>
      <c r="I841" s="289"/>
      <c r="J841" s="289"/>
      <c r="K841" s="105"/>
      <c r="L841" s="81"/>
      <c r="M841" s="289"/>
      <c r="N841" s="289"/>
      <c r="O841" s="105"/>
      <c r="P841" s="81"/>
      <c r="Q841" s="289"/>
      <c r="R841" s="81"/>
      <c r="S841" s="105"/>
      <c r="T841" s="81"/>
      <c r="U841" s="81"/>
      <c r="V841" s="81"/>
      <c r="W841" s="81"/>
      <c r="X841" s="81"/>
      <c r="Y841" s="81"/>
      <c r="Z841" s="81"/>
    </row>
    <row r="842" spans="1:26" ht="24" customHeight="1" x14ac:dyDescent="0.5">
      <c r="A842" s="81"/>
      <c r="B842" s="81"/>
      <c r="C842" s="81"/>
      <c r="D842" s="81"/>
      <c r="E842" s="81"/>
      <c r="F842" s="81"/>
      <c r="G842" s="81"/>
      <c r="H842" s="81"/>
      <c r="I842" s="289"/>
      <c r="J842" s="289"/>
      <c r="K842" s="105"/>
      <c r="L842" s="81"/>
      <c r="M842" s="289"/>
      <c r="N842" s="289"/>
      <c r="O842" s="105"/>
      <c r="P842" s="81"/>
      <c r="Q842" s="289"/>
      <c r="R842" s="81"/>
      <c r="S842" s="105"/>
      <c r="T842" s="81"/>
      <c r="U842" s="81"/>
      <c r="V842" s="81"/>
      <c r="W842" s="81"/>
      <c r="X842" s="81"/>
      <c r="Y842" s="81"/>
      <c r="Z842" s="81"/>
    </row>
    <row r="843" spans="1:26" ht="24" customHeight="1" x14ac:dyDescent="0.5">
      <c r="A843" s="81"/>
      <c r="B843" s="81"/>
      <c r="C843" s="81"/>
      <c r="D843" s="81"/>
      <c r="E843" s="81"/>
      <c r="F843" s="81"/>
      <c r="G843" s="81"/>
      <c r="H843" s="81"/>
      <c r="I843" s="289"/>
      <c r="J843" s="289"/>
      <c r="K843" s="105"/>
      <c r="L843" s="81"/>
      <c r="M843" s="289"/>
      <c r="N843" s="289"/>
      <c r="O843" s="105"/>
      <c r="P843" s="81"/>
      <c r="Q843" s="289"/>
      <c r="R843" s="81"/>
      <c r="S843" s="105"/>
      <c r="T843" s="81"/>
      <c r="U843" s="81"/>
      <c r="V843" s="81"/>
      <c r="W843" s="81"/>
      <c r="X843" s="81"/>
      <c r="Y843" s="81"/>
      <c r="Z843" s="81"/>
    </row>
    <row r="844" spans="1:26" ht="24" customHeight="1" x14ac:dyDescent="0.5">
      <c r="A844" s="81"/>
      <c r="B844" s="81"/>
      <c r="C844" s="81"/>
      <c r="D844" s="81"/>
      <c r="E844" s="81"/>
      <c r="F844" s="81"/>
      <c r="G844" s="81"/>
      <c r="H844" s="81"/>
      <c r="I844" s="289"/>
      <c r="J844" s="289"/>
      <c r="K844" s="105"/>
      <c r="L844" s="81"/>
      <c r="M844" s="289"/>
      <c r="N844" s="289"/>
      <c r="O844" s="105"/>
      <c r="P844" s="81"/>
      <c r="Q844" s="289"/>
      <c r="R844" s="81"/>
      <c r="S844" s="105"/>
      <c r="T844" s="81"/>
      <c r="U844" s="81"/>
      <c r="V844" s="81"/>
      <c r="W844" s="81"/>
      <c r="X844" s="81"/>
      <c r="Y844" s="81"/>
      <c r="Z844" s="81"/>
    </row>
    <row r="845" spans="1:26" ht="24" customHeight="1" x14ac:dyDescent="0.5">
      <c r="A845" s="81"/>
      <c r="B845" s="81"/>
      <c r="C845" s="81"/>
      <c r="D845" s="81"/>
      <c r="E845" s="81"/>
      <c r="F845" s="81"/>
      <c r="G845" s="81"/>
      <c r="H845" s="81"/>
      <c r="I845" s="289"/>
      <c r="J845" s="289"/>
      <c r="K845" s="105"/>
      <c r="L845" s="81"/>
      <c r="M845" s="289"/>
      <c r="N845" s="289"/>
      <c r="O845" s="105"/>
      <c r="P845" s="81"/>
      <c r="Q845" s="289"/>
      <c r="R845" s="81"/>
      <c r="S845" s="105"/>
      <c r="T845" s="81"/>
      <c r="U845" s="81"/>
      <c r="V845" s="81"/>
      <c r="W845" s="81"/>
      <c r="X845" s="81"/>
      <c r="Y845" s="81"/>
      <c r="Z845" s="81"/>
    </row>
    <row r="846" spans="1:26" ht="24" customHeight="1" x14ac:dyDescent="0.5">
      <c r="A846" s="81"/>
      <c r="B846" s="81"/>
      <c r="C846" s="81"/>
      <c r="D846" s="81"/>
      <c r="E846" s="81"/>
      <c r="F846" s="81"/>
      <c r="G846" s="81"/>
      <c r="H846" s="81"/>
      <c r="I846" s="289"/>
      <c r="J846" s="289"/>
      <c r="K846" s="105"/>
      <c r="L846" s="81"/>
      <c r="M846" s="289"/>
      <c r="N846" s="289"/>
      <c r="O846" s="105"/>
      <c r="P846" s="81"/>
      <c r="Q846" s="289"/>
      <c r="R846" s="81"/>
      <c r="S846" s="105"/>
      <c r="T846" s="81"/>
      <c r="U846" s="81"/>
      <c r="V846" s="81"/>
      <c r="W846" s="81"/>
      <c r="X846" s="81"/>
      <c r="Y846" s="81"/>
      <c r="Z846" s="81"/>
    </row>
    <row r="847" spans="1:26" ht="24" customHeight="1" x14ac:dyDescent="0.5">
      <c r="A847" s="81"/>
      <c r="B847" s="81"/>
      <c r="C847" s="81"/>
      <c r="D847" s="81"/>
      <c r="E847" s="81"/>
      <c r="F847" s="81"/>
      <c r="G847" s="81"/>
      <c r="H847" s="81"/>
      <c r="I847" s="289"/>
      <c r="J847" s="289"/>
      <c r="K847" s="105"/>
      <c r="L847" s="81"/>
      <c r="M847" s="289"/>
      <c r="N847" s="289"/>
      <c r="O847" s="105"/>
      <c r="P847" s="81"/>
      <c r="Q847" s="289"/>
      <c r="R847" s="81"/>
      <c r="S847" s="105"/>
      <c r="T847" s="81"/>
      <c r="U847" s="81"/>
      <c r="V847" s="81"/>
      <c r="W847" s="81"/>
      <c r="X847" s="81"/>
      <c r="Y847" s="81"/>
      <c r="Z847" s="81"/>
    </row>
    <row r="848" spans="1:26" ht="24" customHeight="1" x14ac:dyDescent="0.5">
      <c r="A848" s="81"/>
      <c r="B848" s="81"/>
      <c r="C848" s="81"/>
      <c r="D848" s="81"/>
      <c r="E848" s="81"/>
      <c r="F848" s="81"/>
      <c r="G848" s="81"/>
      <c r="H848" s="81"/>
      <c r="I848" s="289"/>
      <c r="J848" s="289"/>
      <c r="K848" s="105"/>
      <c r="L848" s="81"/>
      <c r="M848" s="289"/>
      <c r="N848" s="289"/>
      <c r="O848" s="105"/>
      <c r="P848" s="81"/>
      <c r="Q848" s="289"/>
      <c r="R848" s="81"/>
      <c r="S848" s="105"/>
      <c r="T848" s="81"/>
      <c r="U848" s="81"/>
      <c r="V848" s="81"/>
      <c r="W848" s="81"/>
      <c r="X848" s="81"/>
      <c r="Y848" s="81"/>
      <c r="Z848" s="81"/>
    </row>
    <row r="849" spans="1:26" ht="24" customHeight="1" x14ac:dyDescent="0.5">
      <c r="A849" s="81"/>
      <c r="B849" s="81"/>
      <c r="C849" s="81"/>
      <c r="D849" s="81"/>
      <c r="E849" s="81"/>
      <c r="F849" s="81"/>
      <c r="G849" s="81"/>
      <c r="H849" s="81"/>
      <c r="I849" s="289"/>
      <c r="J849" s="289"/>
      <c r="K849" s="105"/>
      <c r="L849" s="81"/>
      <c r="M849" s="289"/>
      <c r="N849" s="289"/>
      <c r="O849" s="105"/>
      <c r="P849" s="81"/>
      <c r="Q849" s="289"/>
      <c r="R849" s="81"/>
      <c r="S849" s="105"/>
      <c r="T849" s="81"/>
      <c r="U849" s="81"/>
      <c r="V849" s="81"/>
      <c r="W849" s="81"/>
      <c r="X849" s="81"/>
      <c r="Y849" s="81"/>
      <c r="Z849" s="81"/>
    </row>
    <row r="850" spans="1:26" ht="24" customHeight="1" x14ac:dyDescent="0.5">
      <c r="A850" s="81"/>
      <c r="B850" s="81"/>
      <c r="C850" s="81"/>
      <c r="D850" s="81"/>
      <c r="E850" s="81"/>
      <c r="F850" s="81"/>
      <c r="G850" s="81"/>
      <c r="H850" s="81"/>
      <c r="I850" s="289"/>
      <c r="J850" s="289"/>
      <c r="K850" s="105"/>
      <c r="L850" s="81"/>
      <c r="M850" s="289"/>
      <c r="N850" s="289"/>
      <c r="O850" s="105"/>
      <c r="P850" s="81"/>
      <c r="Q850" s="289"/>
      <c r="R850" s="81"/>
      <c r="S850" s="105"/>
      <c r="T850" s="81"/>
      <c r="U850" s="81"/>
      <c r="V850" s="81"/>
      <c r="W850" s="81"/>
      <c r="X850" s="81"/>
      <c r="Y850" s="81"/>
      <c r="Z850" s="81"/>
    </row>
    <row r="851" spans="1:26" ht="24" customHeight="1" x14ac:dyDescent="0.5">
      <c r="A851" s="81"/>
      <c r="B851" s="81"/>
      <c r="C851" s="81"/>
      <c r="D851" s="81"/>
      <c r="E851" s="81"/>
      <c r="F851" s="81"/>
      <c r="G851" s="81"/>
      <c r="H851" s="81"/>
      <c r="I851" s="289"/>
      <c r="J851" s="289"/>
      <c r="K851" s="105"/>
      <c r="L851" s="81"/>
      <c r="M851" s="289"/>
      <c r="N851" s="289"/>
      <c r="O851" s="105"/>
      <c r="P851" s="81"/>
      <c r="Q851" s="289"/>
      <c r="R851" s="81"/>
      <c r="S851" s="105"/>
      <c r="T851" s="81"/>
      <c r="U851" s="81"/>
      <c r="V851" s="81"/>
      <c r="W851" s="81"/>
      <c r="X851" s="81"/>
      <c r="Y851" s="81"/>
      <c r="Z851" s="81"/>
    </row>
    <row r="852" spans="1:26" ht="24" customHeight="1" x14ac:dyDescent="0.5">
      <c r="A852" s="81"/>
      <c r="B852" s="81"/>
      <c r="C852" s="81"/>
      <c r="D852" s="81"/>
      <c r="E852" s="81"/>
      <c r="F852" s="81"/>
      <c r="G852" s="81"/>
      <c r="H852" s="81"/>
      <c r="I852" s="289"/>
      <c r="J852" s="289"/>
      <c r="K852" s="105"/>
      <c r="L852" s="81"/>
      <c r="M852" s="289"/>
      <c r="N852" s="289"/>
      <c r="O852" s="105"/>
      <c r="P852" s="81"/>
      <c r="Q852" s="289"/>
      <c r="R852" s="81"/>
      <c r="S852" s="105"/>
      <c r="T852" s="81"/>
      <c r="U852" s="81"/>
      <c r="V852" s="81"/>
      <c r="W852" s="81"/>
      <c r="X852" s="81"/>
      <c r="Y852" s="81"/>
      <c r="Z852" s="81"/>
    </row>
    <row r="853" spans="1:26" ht="24" customHeight="1" x14ac:dyDescent="0.5">
      <c r="A853" s="81"/>
      <c r="B853" s="81"/>
      <c r="C853" s="81"/>
      <c r="D853" s="81"/>
      <c r="E853" s="81"/>
      <c r="F853" s="81"/>
      <c r="G853" s="81"/>
      <c r="H853" s="81"/>
      <c r="I853" s="289"/>
      <c r="J853" s="289"/>
      <c r="K853" s="105"/>
      <c r="L853" s="81"/>
      <c r="M853" s="289"/>
      <c r="N853" s="289"/>
      <c r="O853" s="105"/>
      <c r="P853" s="81"/>
      <c r="Q853" s="289"/>
      <c r="R853" s="81"/>
      <c r="S853" s="105"/>
      <c r="T853" s="81"/>
      <c r="U853" s="81"/>
      <c r="V853" s="81"/>
      <c r="W853" s="81"/>
      <c r="X853" s="81"/>
      <c r="Y853" s="81"/>
      <c r="Z853" s="81"/>
    </row>
    <row r="854" spans="1:26" ht="24" customHeight="1" x14ac:dyDescent="0.5">
      <c r="A854" s="81"/>
      <c r="B854" s="81"/>
      <c r="C854" s="81"/>
      <c r="D854" s="81"/>
      <c r="E854" s="81"/>
      <c r="F854" s="81"/>
      <c r="G854" s="81"/>
      <c r="H854" s="81"/>
      <c r="I854" s="289"/>
      <c r="J854" s="289"/>
      <c r="K854" s="105"/>
      <c r="L854" s="81"/>
      <c r="M854" s="289"/>
      <c r="N854" s="289"/>
      <c r="O854" s="105"/>
      <c r="P854" s="81"/>
      <c r="Q854" s="289"/>
      <c r="R854" s="81"/>
      <c r="S854" s="105"/>
      <c r="T854" s="81"/>
      <c r="U854" s="81"/>
      <c r="V854" s="81"/>
      <c r="W854" s="81"/>
      <c r="X854" s="81"/>
      <c r="Y854" s="81"/>
      <c r="Z854" s="81"/>
    </row>
    <row r="855" spans="1:26" ht="24" customHeight="1" x14ac:dyDescent="0.5">
      <c r="A855" s="81"/>
      <c r="B855" s="81"/>
      <c r="C855" s="81"/>
      <c r="D855" s="81"/>
      <c r="E855" s="81"/>
      <c r="F855" s="81"/>
      <c r="G855" s="81"/>
      <c r="H855" s="81"/>
      <c r="I855" s="289"/>
      <c r="J855" s="289"/>
      <c r="K855" s="105"/>
      <c r="L855" s="81"/>
      <c r="M855" s="289"/>
      <c r="N855" s="289"/>
      <c r="O855" s="105"/>
      <c r="P855" s="81"/>
      <c r="Q855" s="289"/>
      <c r="R855" s="81"/>
      <c r="S855" s="105"/>
      <c r="T855" s="81"/>
      <c r="U855" s="81"/>
      <c r="V855" s="81"/>
      <c r="W855" s="81"/>
      <c r="X855" s="81"/>
      <c r="Y855" s="81"/>
      <c r="Z855" s="81"/>
    </row>
    <row r="856" spans="1:26" ht="24" customHeight="1" x14ac:dyDescent="0.5">
      <c r="A856" s="81"/>
      <c r="B856" s="81"/>
      <c r="C856" s="81"/>
      <c r="D856" s="81"/>
      <c r="E856" s="81"/>
      <c r="F856" s="81"/>
      <c r="G856" s="81"/>
      <c r="H856" s="81"/>
      <c r="I856" s="289"/>
      <c r="J856" s="289"/>
      <c r="K856" s="105"/>
      <c r="L856" s="81"/>
      <c r="M856" s="289"/>
      <c r="N856" s="289"/>
      <c r="O856" s="105"/>
      <c r="P856" s="81"/>
      <c r="Q856" s="289"/>
      <c r="R856" s="81"/>
      <c r="S856" s="105"/>
      <c r="T856" s="81"/>
      <c r="U856" s="81"/>
      <c r="V856" s="81"/>
      <c r="W856" s="81"/>
      <c r="X856" s="81"/>
      <c r="Y856" s="81"/>
      <c r="Z856" s="81"/>
    </row>
    <row r="857" spans="1:26" ht="24" customHeight="1" x14ac:dyDescent="0.5">
      <c r="A857" s="81"/>
      <c r="B857" s="81"/>
      <c r="C857" s="81"/>
      <c r="D857" s="81"/>
      <c r="E857" s="81"/>
      <c r="F857" s="81"/>
      <c r="G857" s="81"/>
      <c r="H857" s="81"/>
      <c r="I857" s="289"/>
      <c r="J857" s="289"/>
      <c r="K857" s="105"/>
      <c r="L857" s="81"/>
      <c r="M857" s="289"/>
      <c r="N857" s="289"/>
      <c r="O857" s="105"/>
      <c r="P857" s="81"/>
      <c r="Q857" s="289"/>
      <c r="R857" s="81"/>
      <c r="S857" s="105"/>
      <c r="T857" s="81"/>
      <c r="U857" s="81"/>
      <c r="V857" s="81"/>
      <c r="W857" s="81"/>
      <c r="X857" s="81"/>
      <c r="Y857" s="81"/>
      <c r="Z857" s="81"/>
    </row>
    <row r="858" spans="1:26" ht="24" customHeight="1" x14ac:dyDescent="0.5">
      <c r="A858" s="81"/>
      <c r="B858" s="81"/>
      <c r="C858" s="81"/>
      <c r="D858" s="81"/>
      <c r="E858" s="81"/>
      <c r="F858" s="81"/>
      <c r="G858" s="81"/>
      <c r="H858" s="81"/>
      <c r="I858" s="289"/>
      <c r="J858" s="289"/>
      <c r="K858" s="105"/>
      <c r="L858" s="81"/>
      <c r="M858" s="289"/>
      <c r="N858" s="289"/>
      <c r="O858" s="105"/>
      <c r="P858" s="81"/>
      <c r="Q858" s="289"/>
      <c r="R858" s="81"/>
      <c r="S858" s="105"/>
      <c r="T858" s="81"/>
      <c r="U858" s="81"/>
      <c r="V858" s="81"/>
      <c r="W858" s="81"/>
      <c r="X858" s="81"/>
      <c r="Y858" s="81"/>
      <c r="Z858" s="81"/>
    </row>
    <row r="859" spans="1:26" ht="24" customHeight="1" x14ac:dyDescent="0.5">
      <c r="A859" s="81"/>
      <c r="B859" s="81"/>
      <c r="C859" s="81"/>
      <c r="D859" s="81"/>
      <c r="E859" s="81"/>
      <c r="F859" s="81"/>
      <c r="G859" s="81"/>
      <c r="H859" s="81"/>
      <c r="I859" s="289"/>
      <c r="J859" s="289"/>
      <c r="K859" s="105"/>
      <c r="L859" s="81"/>
      <c r="M859" s="289"/>
      <c r="N859" s="289"/>
      <c r="O859" s="105"/>
      <c r="P859" s="81"/>
      <c r="Q859" s="289"/>
      <c r="R859" s="81"/>
      <c r="S859" s="105"/>
      <c r="T859" s="81"/>
      <c r="U859" s="81"/>
      <c r="V859" s="81"/>
      <c r="W859" s="81"/>
      <c r="X859" s="81"/>
      <c r="Y859" s="81"/>
      <c r="Z859" s="81"/>
    </row>
    <row r="860" spans="1:26" ht="24" customHeight="1" x14ac:dyDescent="0.5">
      <c r="A860" s="81"/>
      <c r="B860" s="81"/>
      <c r="C860" s="81"/>
      <c r="D860" s="81"/>
      <c r="E860" s="81"/>
      <c r="F860" s="81"/>
      <c r="G860" s="81"/>
      <c r="H860" s="81"/>
      <c r="I860" s="289"/>
      <c r="J860" s="289"/>
      <c r="K860" s="105"/>
      <c r="L860" s="81"/>
      <c r="M860" s="289"/>
      <c r="N860" s="289"/>
      <c r="O860" s="105"/>
      <c r="P860" s="81"/>
      <c r="Q860" s="289"/>
      <c r="R860" s="81"/>
      <c r="S860" s="105"/>
      <c r="T860" s="81"/>
      <c r="U860" s="81"/>
      <c r="V860" s="81"/>
      <c r="W860" s="81"/>
      <c r="X860" s="81"/>
      <c r="Y860" s="81"/>
      <c r="Z860" s="81"/>
    </row>
    <row r="861" spans="1:26" ht="24" customHeight="1" x14ac:dyDescent="0.5">
      <c r="A861" s="81"/>
      <c r="B861" s="81"/>
      <c r="C861" s="81"/>
      <c r="D861" s="81"/>
      <c r="E861" s="81"/>
      <c r="F861" s="81"/>
      <c r="G861" s="81"/>
      <c r="H861" s="81"/>
      <c r="I861" s="289"/>
      <c r="J861" s="289"/>
      <c r="K861" s="105"/>
      <c r="L861" s="81"/>
      <c r="M861" s="289"/>
      <c r="N861" s="289"/>
      <c r="O861" s="105"/>
      <c r="P861" s="81"/>
      <c r="Q861" s="289"/>
      <c r="R861" s="81"/>
      <c r="S861" s="105"/>
      <c r="T861" s="81"/>
      <c r="U861" s="81"/>
      <c r="V861" s="81"/>
      <c r="W861" s="81"/>
      <c r="X861" s="81"/>
      <c r="Y861" s="81"/>
      <c r="Z861" s="81"/>
    </row>
    <row r="862" spans="1:26" ht="24" customHeight="1" x14ac:dyDescent="0.5">
      <c r="A862" s="81"/>
      <c r="B862" s="81"/>
      <c r="C862" s="81"/>
      <c r="D862" s="81"/>
      <c r="E862" s="81"/>
      <c r="F862" s="81"/>
      <c r="G862" s="81"/>
      <c r="H862" s="81"/>
      <c r="I862" s="289"/>
      <c r="J862" s="289"/>
      <c r="K862" s="105"/>
      <c r="L862" s="81"/>
      <c r="M862" s="289"/>
      <c r="N862" s="289"/>
      <c r="O862" s="105"/>
      <c r="P862" s="81"/>
      <c r="Q862" s="289"/>
      <c r="R862" s="81"/>
      <c r="S862" s="105"/>
      <c r="T862" s="81"/>
      <c r="U862" s="81"/>
      <c r="V862" s="81"/>
      <c r="W862" s="81"/>
      <c r="X862" s="81"/>
      <c r="Y862" s="81"/>
      <c r="Z862" s="81"/>
    </row>
    <row r="863" spans="1:26" ht="24" customHeight="1" x14ac:dyDescent="0.5">
      <c r="A863" s="81"/>
      <c r="B863" s="81"/>
      <c r="C863" s="81"/>
      <c r="D863" s="81"/>
      <c r="E863" s="81"/>
      <c r="F863" s="81"/>
      <c r="G863" s="81"/>
      <c r="H863" s="81"/>
      <c r="I863" s="289"/>
      <c r="J863" s="289"/>
      <c r="K863" s="105"/>
      <c r="L863" s="81"/>
      <c r="M863" s="289"/>
      <c r="N863" s="289"/>
      <c r="O863" s="105"/>
      <c r="P863" s="81"/>
      <c r="Q863" s="289"/>
      <c r="R863" s="81"/>
      <c r="S863" s="105"/>
      <c r="T863" s="81"/>
      <c r="U863" s="81"/>
      <c r="V863" s="81"/>
      <c r="W863" s="81"/>
      <c r="X863" s="81"/>
      <c r="Y863" s="81"/>
      <c r="Z863" s="81"/>
    </row>
    <row r="864" spans="1:26" ht="24" customHeight="1" x14ac:dyDescent="0.5">
      <c r="A864" s="81"/>
      <c r="B864" s="81"/>
      <c r="C864" s="81"/>
      <c r="D864" s="81"/>
      <c r="E864" s="81"/>
      <c r="F864" s="81"/>
      <c r="G864" s="81"/>
      <c r="H864" s="81"/>
      <c r="I864" s="289"/>
      <c r="J864" s="289"/>
      <c r="K864" s="105"/>
      <c r="L864" s="81"/>
      <c r="M864" s="289"/>
      <c r="N864" s="289"/>
      <c r="O864" s="105"/>
      <c r="P864" s="81"/>
      <c r="Q864" s="289"/>
      <c r="R864" s="81"/>
      <c r="S864" s="105"/>
      <c r="T864" s="81"/>
      <c r="U864" s="81"/>
      <c r="V864" s="81"/>
      <c r="W864" s="81"/>
      <c r="X864" s="81"/>
      <c r="Y864" s="81"/>
      <c r="Z864" s="81"/>
    </row>
    <row r="865" spans="1:26" ht="24" customHeight="1" x14ac:dyDescent="0.5">
      <c r="A865" s="81"/>
      <c r="B865" s="81"/>
      <c r="C865" s="81"/>
      <c r="D865" s="81"/>
      <c r="E865" s="81"/>
      <c r="F865" s="81"/>
      <c r="G865" s="81"/>
      <c r="H865" s="81"/>
      <c r="I865" s="289"/>
      <c r="J865" s="289"/>
      <c r="K865" s="105"/>
      <c r="L865" s="81"/>
      <c r="M865" s="289"/>
      <c r="N865" s="289"/>
      <c r="O865" s="105"/>
      <c r="P865" s="81"/>
      <c r="Q865" s="289"/>
      <c r="R865" s="81"/>
      <c r="S865" s="105"/>
      <c r="T865" s="81"/>
      <c r="U865" s="81"/>
      <c r="V865" s="81"/>
      <c r="W865" s="81"/>
      <c r="X865" s="81"/>
      <c r="Y865" s="81"/>
      <c r="Z865" s="81"/>
    </row>
    <row r="866" spans="1:26" ht="24" customHeight="1" x14ac:dyDescent="0.5">
      <c r="A866" s="81"/>
      <c r="B866" s="81"/>
      <c r="C866" s="81"/>
      <c r="D866" s="81"/>
      <c r="E866" s="81"/>
      <c r="F866" s="81"/>
      <c r="G866" s="81"/>
      <c r="H866" s="81"/>
      <c r="I866" s="289"/>
      <c r="J866" s="289"/>
      <c r="K866" s="105"/>
      <c r="L866" s="81"/>
      <c r="M866" s="289"/>
      <c r="N866" s="289"/>
      <c r="O866" s="105"/>
      <c r="P866" s="81"/>
      <c r="Q866" s="289"/>
      <c r="R866" s="81"/>
      <c r="S866" s="105"/>
      <c r="T866" s="81"/>
      <c r="U866" s="81"/>
      <c r="V866" s="81"/>
      <c r="W866" s="81"/>
      <c r="X866" s="81"/>
      <c r="Y866" s="81"/>
      <c r="Z866" s="81"/>
    </row>
    <row r="867" spans="1:26" ht="24" customHeight="1" x14ac:dyDescent="0.5">
      <c r="A867" s="81"/>
      <c r="B867" s="81"/>
      <c r="C867" s="81"/>
      <c r="D867" s="81"/>
      <c r="E867" s="81"/>
      <c r="F867" s="81"/>
      <c r="G867" s="81"/>
      <c r="H867" s="81"/>
      <c r="I867" s="289"/>
      <c r="J867" s="289"/>
      <c r="K867" s="105"/>
      <c r="L867" s="81"/>
      <c r="M867" s="289"/>
      <c r="N867" s="289"/>
      <c r="O867" s="105"/>
      <c r="P867" s="81"/>
      <c r="Q867" s="289"/>
      <c r="R867" s="81"/>
      <c r="S867" s="105"/>
      <c r="T867" s="81"/>
      <c r="U867" s="81"/>
      <c r="V867" s="81"/>
      <c r="W867" s="81"/>
      <c r="X867" s="81"/>
      <c r="Y867" s="81"/>
      <c r="Z867" s="81"/>
    </row>
    <row r="868" spans="1:26" ht="24" customHeight="1" x14ac:dyDescent="0.5">
      <c r="A868" s="81"/>
      <c r="B868" s="81"/>
      <c r="C868" s="81"/>
      <c r="D868" s="81"/>
      <c r="E868" s="81"/>
      <c r="F868" s="81"/>
      <c r="G868" s="81"/>
      <c r="H868" s="81"/>
      <c r="I868" s="289"/>
      <c r="J868" s="289"/>
      <c r="K868" s="105"/>
      <c r="L868" s="81"/>
      <c r="M868" s="289"/>
      <c r="N868" s="289"/>
      <c r="O868" s="105"/>
      <c r="P868" s="81"/>
      <c r="Q868" s="289"/>
      <c r="R868" s="81"/>
      <c r="S868" s="105"/>
      <c r="T868" s="81"/>
      <c r="U868" s="81"/>
      <c r="V868" s="81"/>
      <c r="W868" s="81"/>
      <c r="X868" s="81"/>
      <c r="Y868" s="81"/>
      <c r="Z868" s="81"/>
    </row>
    <row r="869" spans="1:26" ht="24" customHeight="1" x14ac:dyDescent="0.5">
      <c r="A869" s="81"/>
      <c r="B869" s="81"/>
      <c r="C869" s="81"/>
      <c r="D869" s="81"/>
      <c r="E869" s="81"/>
      <c r="F869" s="81"/>
      <c r="G869" s="81"/>
      <c r="H869" s="81"/>
      <c r="I869" s="289"/>
      <c r="J869" s="289"/>
      <c r="K869" s="105"/>
      <c r="L869" s="81"/>
      <c r="M869" s="289"/>
      <c r="N869" s="289"/>
      <c r="O869" s="105"/>
      <c r="P869" s="81"/>
      <c r="Q869" s="289"/>
      <c r="R869" s="81"/>
      <c r="S869" s="105"/>
      <c r="T869" s="81"/>
      <c r="U869" s="81"/>
      <c r="V869" s="81"/>
      <c r="W869" s="81"/>
      <c r="X869" s="81"/>
      <c r="Y869" s="81"/>
      <c r="Z869" s="81"/>
    </row>
    <row r="870" spans="1:26" ht="24" customHeight="1" x14ac:dyDescent="0.5">
      <c r="A870" s="81"/>
      <c r="B870" s="81"/>
      <c r="C870" s="81"/>
      <c r="D870" s="81"/>
      <c r="E870" s="81"/>
      <c r="F870" s="81"/>
      <c r="G870" s="81"/>
      <c r="H870" s="81"/>
      <c r="I870" s="289"/>
      <c r="J870" s="289"/>
      <c r="K870" s="105"/>
      <c r="L870" s="81"/>
      <c r="M870" s="289"/>
      <c r="N870" s="289"/>
      <c r="O870" s="105"/>
      <c r="P870" s="81"/>
      <c r="Q870" s="289"/>
      <c r="R870" s="81"/>
      <c r="S870" s="105"/>
      <c r="T870" s="81"/>
      <c r="U870" s="81"/>
      <c r="V870" s="81"/>
      <c r="W870" s="81"/>
      <c r="X870" s="81"/>
      <c r="Y870" s="81"/>
      <c r="Z870" s="81"/>
    </row>
    <row r="871" spans="1:26" ht="24" customHeight="1" x14ac:dyDescent="0.5">
      <c r="A871" s="81"/>
      <c r="B871" s="81"/>
      <c r="C871" s="81"/>
      <c r="D871" s="81"/>
      <c r="E871" s="81"/>
      <c r="F871" s="81"/>
      <c r="G871" s="81"/>
      <c r="H871" s="81"/>
      <c r="I871" s="289"/>
      <c r="J871" s="289"/>
      <c r="K871" s="105"/>
      <c r="L871" s="81"/>
      <c r="M871" s="289"/>
      <c r="N871" s="289"/>
      <c r="O871" s="105"/>
      <c r="P871" s="81"/>
      <c r="Q871" s="289"/>
      <c r="R871" s="81"/>
      <c r="S871" s="105"/>
      <c r="T871" s="81"/>
      <c r="U871" s="81"/>
      <c r="V871" s="81"/>
      <c r="W871" s="81"/>
      <c r="X871" s="81"/>
      <c r="Y871" s="81"/>
      <c r="Z871" s="81"/>
    </row>
    <row r="872" spans="1:26" ht="24" customHeight="1" x14ac:dyDescent="0.5">
      <c r="A872" s="81"/>
      <c r="B872" s="81"/>
      <c r="C872" s="81"/>
      <c r="D872" s="81"/>
      <c r="E872" s="81"/>
      <c r="F872" s="81"/>
      <c r="G872" s="81"/>
      <c r="H872" s="81"/>
      <c r="I872" s="289"/>
      <c r="J872" s="289"/>
      <c r="K872" s="105"/>
      <c r="L872" s="81"/>
      <c r="M872" s="289"/>
      <c r="N872" s="289"/>
      <c r="O872" s="105"/>
      <c r="P872" s="81"/>
      <c r="Q872" s="289"/>
      <c r="R872" s="81"/>
      <c r="S872" s="105"/>
      <c r="T872" s="81"/>
      <c r="U872" s="81"/>
      <c r="V872" s="81"/>
      <c r="W872" s="81"/>
      <c r="X872" s="81"/>
      <c r="Y872" s="81"/>
      <c r="Z872" s="81"/>
    </row>
    <row r="873" spans="1:26" ht="24" customHeight="1" x14ac:dyDescent="0.5">
      <c r="A873" s="81"/>
      <c r="B873" s="81"/>
      <c r="C873" s="81"/>
      <c r="D873" s="81"/>
      <c r="E873" s="81"/>
      <c r="F873" s="81"/>
      <c r="G873" s="81"/>
      <c r="H873" s="81"/>
      <c r="I873" s="289"/>
      <c r="J873" s="289"/>
      <c r="K873" s="105"/>
      <c r="L873" s="81"/>
      <c r="M873" s="289"/>
      <c r="N873" s="289"/>
      <c r="O873" s="105"/>
      <c r="P873" s="81"/>
      <c r="Q873" s="289"/>
      <c r="R873" s="81"/>
      <c r="S873" s="105"/>
      <c r="T873" s="81"/>
      <c r="U873" s="81"/>
      <c r="V873" s="81"/>
      <c r="W873" s="81"/>
      <c r="X873" s="81"/>
      <c r="Y873" s="81"/>
      <c r="Z873" s="81"/>
    </row>
    <row r="874" spans="1:26" ht="24" customHeight="1" x14ac:dyDescent="0.5">
      <c r="A874" s="81"/>
      <c r="B874" s="81"/>
      <c r="C874" s="81"/>
      <c r="D874" s="81"/>
      <c r="E874" s="81"/>
      <c r="F874" s="81"/>
      <c r="G874" s="81"/>
      <c r="H874" s="81"/>
      <c r="I874" s="289"/>
      <c r="J874" s="289"/>
      <c r="K874" s="105"/>
      <c r="L874" s="81"/>
      <c r="M874" s="289"/>
      <c r="N874" s="289"/>
      <c r="O874" s="105"/>
      <c r="P874" s="81"/>
      <c r="Q874" s="289"/>
      <c r="R874" s="81"/>
      <c r="S874" s="105"/>
      <c r="T874" s="81"/>
      <c r="U874" s="81"/>
      <c r="V874" s="81"/>
      <c r="W874" s="81"/>
      <c r="X874" s="81"/>
      <c r="Y874" s="81"/>
      <c r="Z874" s="81"/>
    </row>
    <row r="875" spans="1:26" ht="24" customHeight="1" x14ac:dyDescent="0.5">
      <c r="A875" s="81"/>
      <c r="B875" s="81"/>
      <c r="C875" s="81"/>
      <c r="D875" s="81"/>
      <c r="E875" s="81"/>
      <c r="F875" s="81"/>
      <c r="G875" s="81"/>
      <c r="H875" s="81"/>
      <c r="I875" s="289"/>
      <c r="J875" s="289"/>
      <c r="K875" s="105"/>
      <c r="L875" s="81"/>
      <c r="M875" s="289"/>
      <c r="N875" s="289"/>
      <c r="O875" s="105"/>
      <c r="P875" s="81"/>
      <c r="Q875" s="289"/>
      <c r="R875" s="81"/>
      <c r="S875" s="105"/>
      <c r="T875" s="81"/>
      <c r="U875" s="81"/>
      <c r="V875" s="81"/>
      <c r="W875" s="81"/>
      <c r="X875" s="81"/>
      <c r="Y875" s="81"/>
      <c r="Z875" s="81"/>
    </row>
    <row r="876" spans="1:26" ht="24" customHeight="1" x14ac:dyDescent="0.5">
      <c r="A876" s="81"/>
      <c r="B876" s="81"/>
      <c r="C876" s="81"/>
      <c r="D876" s="81"/>
      <c r="E876" s="81"/>
      <c r="F876" s="81"/>
      <c r="G876" s="81"/>
      <c r="H876" s="81"/>
      <c r="I876" s="289"/>
      <c r="J876" s="289"/>
      <c r="K876" s="105"/>
      <c r="L876" s="81"/>
      <c r="M876" s="289"/>
      <c r="N876" s="289"/>
      <c r="O876" s="105"/>
      <c r="P876" s="81"/>
      <c r="Q876" s="289"/>
      <c r="R876" s="81"/>
      <c r="S876" s="105"/>
      <c r="T876" s="81"/>
      <c r="U876" s="81"/>
      <c r="V876" s="81"/>
      <c r="W876" s="81"/>
      <c r="X876" s="81"/>
      <c r="Y876" s="81"/>
      <c r="Z876" s="81"/>
    </row>
    <row r="877" spans="1:26" ht="24" customHeight="1" x14ac:dyDescent="0.5">
      <c r="A877" s="81"/>
      <c r="B877" s="81"/>
      <c r="C877" s="81"/>
      <c r="D877" s="81"/>
      <c r="E877" s="81"/>
      <c r="F877" s="81"/>
      <c r="G877" s="81"/>
      <c r="H877" s="81"/>
      <c r="I877" s="289"/>
      <c r="J877" s="289"/>
      <c r="K877" s="105"/>
      <c r="L877" s="81"/>
      <c r="M877" s="289"/>
      <c r="N877" s="289"/>
      <c r="O877" s="105"/>
      <c r="P877" s="81"/>
      <c r="Q877" s="289"/>
      <c r="R877" s="81"/>
      <c r="S877" s="105"/>
      <c r="T877" s="81"/>
      <c r="U877" s="81"/>
      <c r="V877" s="81"/>
      <c r="W877" s="81"/>
      <c r="X877" s="81"/>
      <c r="Y877" s="81"/>
      <c r="Z877" s="81"/>
    </row>
    <row r="878" spans="1:26" ht="24" customHeight="1" x14ac:dyDescent="0.5">
      <c r="A878" s="81"/>
      <c r="B878" s="81"/>
      <c r="C878" s="81"/>
      <c r="D878" s="81"/>
      <c r="E878" s="81"/>
      <c r="F878" s="81"/>
      <c r="G878" s="81"/>
      <c r="H878" s="81"/>
      <c r="I878" s="289"/>
      <c r="J878" s="289"/>
      <c r="K878" s="105"/>
      <c r="L878" s="81"/>
      <c r="M878" s="289"/>
      <c r="N878" s="289"/>
      <c r="O878" s="105"/>
      <c r="P878" s="81"/>
      <c r="Q878" s="289"/>
      <c r="R878" s="81"/>
      <c r="S878" s="105"/>
      <c r="T878" s="81"/>
      <c r="U878" s="81"/>
      <c r="V878" s="81"/>
      <c r="W878" s="81"/>
      <c r="X878" s="81"/>
      <c r="Y878" s="81"/>
      <c r="Z878" s="81"/>
    </row>
    <row r="879" spans="1:26" ht="24" customHeight="1" x14ac:dyDescent="0.5">
      <c r="A879" s="81"/>
      <c r="B879" s="81"/>
      <c r="C879" s="81"/>
      <c r="D879" s="81"/>
      <c r="E879" s="81"/>
      <c r="F879" s="81"/>
      <c r="G879" s="81"/>
      <c r="H879" s="81"/>
      <c r="I879" s="289"/>
      <c r="J879" s="289"/>
      <c r="K879" s="105"/>
      <c r="L879" s="81"/>
      <c r="M879" s="289"/>
      <c r="N879" s="289"/>
      <c r="O879" s="105"/>
      <c r="P879" s="81"/>
      <c r="Q879" s="289"/>
      <c r="R879" s="81"/>
      <c r="S879" s="105"/>
      <c r="T879" s="81"/>
      <c r="U879" s="81"/>
      <c r="V879" s="81"/>
      <c r="W879" s="81"/>
      <c r="X879" s="81"/>
      <c r="Y879" s="81"/>
      <c r="Z879" s="81"/>
    </row>
    <row r="880" spans="1:26" ht="24" customHeight="1" x14ac:dyDescent="0.5">
      <c r="A880" s="81"/>
      <c r="B880" s="81"/>
      <c r="C880" s="81"/>
      <c r="D880" s="81"/>
      <c r="E880" s="81"/>
      <c r="F880" s="81"/>
      <c r="G880" s="81"/>
      <c r="H880" s="81"/>
      <c r="I880" s="289"/>
      <c r="J880" s="289"/>
      <c r="K880" s="105"/>
      <c r="L880" s="81"/>
      <c r="M880" s="289"/>
      <c r="N880" s="289"/>
      <c r="O880" s="105"/>
      <c r="P880" s="81"/>
      <c r="Q880" s="289"/>
      <c r="R880" s="81"/>
      <c r="S880" s="105"/>
      <c r="T880" s="81"/>
      <c r="U880" s="81"/>
      <c r="V880" s="81"/>
      <c r="W880" s="81"/>
      <c r="X880" s="81"/>
      <c r="Y880" s="81"/>
      <c r="Z880" s="81"/>
    </row>
    <row r="881" spans="1:26" ht="24" customHeight="1" x14ac:dyDescent="0.5">
      <c r="A881" s="81"/>
      <c r="B881" s="81"/>
      <c r="C881" s="81"/>
      <c r="D881" s="81"/>
      <c r="E881" s="81"/>
      <c r="F881" s="81"/>
      <c r="G881" s="81"/>
      <c r="H881" s="81"/>
      <c r="I881" s="289"/>
      <c r="J881" s="289"/>
      <c r="K881" s="105"/>
      <c r="L881" s="81"/>
      <c r="M881" s="289"/>
      <c r="N881" s="289"/>
      <c r="O881" s="105"/>
      <c r="P881" s="81"/>
      <c r="Q881" s="289"/>
      <c r="R881" s="81"/>
      <c r="S881" s="105"/>
      <c r="T881" s="81"/>
      <c r="U881" s="81"/>
      <c r="V881" s="81"/>
      <c r="W881" s="81"/>
      <c r="X881" s="81"/>
      <c r="Y881" s="81"/>
      <c r="Z881" s="81"/>
    </row>
    <row r="882" spans="1:26" ht="24" customHeight="1" x14ac:dyDescent="0.5">
      <c r="A882" s="81"/>
      <c r="B882" s="81"/>
      <c r="C882" s="81"/>
      <c r="D882" s="81"/>
      <c r="E882" s="81"/>
      <c r="F882" s="81"/>
      <c r="G882" s="81"/>
      <c r="H882" s="81"/>
      <c r="I882" s="289"/>
      <c r="J882" s="289"/>
      <c r="K882" s="105"/>
      <c r="L882" s="81"/>
      <c r="M882" s="289"/>
      <c r="N882" s="289"/>
      <c r="O882" s="105"/>
      <c r="P882" s="81"/>
      <c r="Q882" s="289"/>
      <c r="R882" s="81"/>
      <c r="S882" s="105"/>
      <c r="T882" s="81"/>
      <c r="U882" s="81"/>
      <c r="V882" s="81"/>
      <c r="W882" s="81"/>
      <c r="X882" s="81"/>
      <c r="Y882" s="81"/>
      <c r="Z882" s="81"/>
    </row>
    <row r="883" spans="1:26" ht="24" customHeight="1" x14ac:dyDescent="0.5">
      <c r="A883" s="81"/>
      <c r="B883" s="81"/>
      <c r="C883" s="81"/>
      <c r="D883" s="81"/>
      <c r="E883" s="81"/>
      <c r="F883" s="81"/>
      <c r="G883" s="81"/>
      <c r="H883" s="81"/>
      <c r="I883" s="289"/>
      <c r="J883" s="289"/>
      <c r="K883" s="105"/>
      <c r="L883" s="81"/>
      <c r="M883" s="289"/>
      <c r="N883" s="289"/>
      <c r="O883" s="105"/>
      <c r="P883" s="81"/>
      <c r="Q883" s="289"/>
      <c r="R883" s="81"/>
      <c r="S883" s="105"/>
      <c r="T883" s="81"/>
      <c r="U883" s="81"/>
      <c r="V883" s="81"/>
      <c r="W883" s="81"/>
      <c r="X883" s="81"/>
      <c r="Y883" s="81"/>
      <c r="Z883" s="81"/>
    </row>
    <row r="884" spans="1:26" ht="24" customHeight="1" x14ac:dyDescent="0.5">
      <c r="A884" s="81"/>
      <c r="B884" s="81"/>
      <c r="C884" s="81"/>
      <c r="D884" s="81"/>
      <c r="E884" s="81"/>
      <c r="F884" s="81"/>
      <c r="G884" s="81"/>
      <c r="H884" s="81"/>
      <c r="I884" s="289"/>
      <c r="J884" s="289"/>
      <c r="K884" s="105"/>
      <c r="L884" s="81"/>
      <c r="M884" s="289"/>
      <c r="N884" s="289"/>
      <c r="O884" s="105"/>
      <c r="P884" s="81"/>
      <c r="Q884" s="289"/>
      <c r="R884" s="81"/>
      <c r="S884" s="105"/>
      <c r="T884" s="81"/>
      <c r="U884" s="81"/>
      <c r="V884" s="81"/>
      <c r="W884" s="81"/>
      <c r="X884" s="81"/>
      <c r="Y884" s="81"/>
      <c r="Z884" s="81"/>
    </row>
    <row r="885" spans="1:26" ht="24" customHeight="1" x14ac:dyDescent="0.5">
      <c r="A885" s="81"/>
      <c r="B885" s="81"/>
      <c r="C885" s="81"/>
      <c r="D885" s="81"/>
      <c r="E885" s="81"/>
      <c r="F885" s="81"/>
      <c r="G885" s="81"/>
      <c r="H885" s="81"/>
      <c r="I885" s="289"/>
      <c r="J885" s="289"/>
      <c r="K885" s="105"/>
      <c r="L885" s="81"/>
      <c r="M885" s="289"/>
      <c r="N885" s="289"/>
      <c r="O885" s="105"/>
      <c r="P885" s="81"/>
      <c r="Q885" s="289"/>
      <c r="R885" s="81"/>
      <c r="S885" s="105"/>
      <c r="T885" s="81"/>
      <c r="U885" s="81"/>
      <c r="V885" s="81"/>
      <c r="W885" s="81"/>
      <c r="X885" s="81"/>
      <c r="Y885" s="81"/>
      <c r="Z885" s="81"/>
    </row>
    <row r="886" spans="1:26" ht="24" customHeight="1" x14ac:dyDescent="0.5">
      <c r="A886" s="81"/>
      <c r="B886" s="81"/>
      <c r="C886" s="81"/>
      <c r="D886" s="81"/>
      <c r="E886" s="81"/>
      <c r="F886" s="81"/>
      <c r="G886" s="81"/>
      <c r="H886" s="81"/>
      <c r="I886" s="289"/>
      <c r="J886" s="289"/>
      <c r="K886" s="105"/>
      <c r="L886" s="81"/>
      <c r="M886" s="289"/>
      <c r="N886" s="289"/>
      <c r="O886" s="105"/>
      <c r="P886" s="81"/>
      <c r="Q886" s="289"/>
      <c r="R886" s="81"/>
      <c r="S886" s="105"/>
      <c r="T886" s="81"/>
      <c r="U886" s="81"/>
      <c r="V886" s="81"/>
      <c r="W886" s="81"/>
      <c r="X886" s="81"/>
      <c r="Y886" s="81"/>
      <c r="Z886" s="81"/>
    </row>
    <row r="887" spans="1:26" ht="24" customHeight="1" x14ac:dyDescent="0.5">
      <c r="A887" s="81"/>
      <c r="B887" s="81"/>
      <c r="C887" s="81"/>
      <c r="D887" s="81"/>
      <c r="E887" s="81"/>
      <c r="F887" s="81"/>
      <c r="G887" s="81"/>
      <c r="H887" s="81"/>
      <c r="I887" s="289"/>
      <c r="J887" s="289"/>
      <c r="K887" s="105"/>
      <c r="L887" s="81"/>
      <c r="M887" s="289"/>
      <c r="N887" s="289"/>
      <c r="O887" s="105"/>
      <c r="P887" s="81"/>
      <c r="Q887" s="289"/>
      <c r="R887" s="81"/>
      <c r="S887" s="105"/>
      <c r="T887" s="81"/>
      <c r="U887" s="81"/>
      <c r="V887" s="81"/>
      <c r="W887" s="81"/>
      <c r="X887" s="81"/>
      <c r="Y887" s="81"/>
      <c r="Z887" s="81"/>
    </row>
    <row r="888" spans="1:26" ht="24" customHeight="1" x14ac:dyDescent="0.5">
      <c r="A888" s="81"/>
      <c r="B888" s="81"/>
      <c r="C888" s="81"/>
      <c r="D888" s="81"/>
      <c r="E888" s="81"/>
      <c r="F888" s="81"/>
      <c r="G888" s="81"/>
      <c r="H888" s="81"/>
      <c r="I888" s="289"/>
      <c r="J888" s="289"/>
      <c r="K888" s="105"/>
      <c r="L888" s="81"/>
      <c r="M888" s="289"/>
      <c r="N888" s="289"/>
      <c r="O888" s="105"/>
      <c r="P888" s="81"/>
      <c r="Q888" s="289"/>
      <c r="R888" s="81"/>
      <c r="S888" s="105"/>
      <c r="T888" s="81"/>
      <c r="U888" s="81"/>
      <c r="V888" s="81"/>
      <c r="W888" s="81"/>
      <c r="X888" s="81"/>
      <c r="Y888" s="81"/>
      <c r="Z888" s="81"/>
    </row>
    <row r="889" spans="1:26" ht="24" customHeight="1" x14ac:dyDescent="0.5">
      <c r="A889" s="81"/>
      <c r="B889" s="81"/>
      <c r="C889" s="81"/>
      <c r="D889" s="81"/>
      <c r="E889" s="81"/>
      <c r="F889" s="81"/>
      <c r="G889" s="81"/>
      <c r="H889" s="81"/>
      <c r="I889" s="289"/>
      <c r="J889" s="289"/>
      <c r="K889" s="105"/>
      <c r="L889" s="81"/>
      <c r="M889" s="289"/>
      <c r="N889" s="289"/>
      <c r="O889" s="105"/>
      <c r="P889" s="81"/>
      <c r="Q889" s="289"/>
      <c r="R889" s="81"/>
      <c r="S889" s="105"/>
      <c r="T889" s="81"/>
      <c r="U889" s="81"/>
      <c r="V889" s="81"/>
      <c r="W889" s="81"/>
      <c r="X889" s="81"/>
      <c r="Y889" s="81"/>
      <c r="Z889" s="81"/>
    </row>
    <row r="890" spans="1:26" ht="24" customHeight="1" x14ac:dyDescent="0.5">
      <c r="A890" s="81"/>
      <c r="B890" s="81"/>
      <c r="C890" s="81"/>
      <c r="D890" s="81"/>
      <c r="E890" s="81"/>
      <c r="F890" s="81"/>
      <c r="G890" s="81"/>
      <c r="H890" s="81"/>
      <c r="I890" s="289"/>
      <c r="J890" s="289"/>
      <c r="K890" s="105"/>
      <c r="L890" s="81"/>
      <c r="M890" s="289"/>
      <c r="N890" s="289"/>
      <c r="O890" s="105"/>
      <c r="P890" s="81"/>
      <c r="Q890" s="289"/>
      <c r="R890" s="81"/>
      <c r="S890" s="105"/>
      <c r="T890" s="81"/>
      <c r="U890" s="81"/>
      <c r="V890" s="81"/>
      <c r="W890" s="81"/>
      <c r="X890" s="81"/>
      <c r="Y890" s="81"/>
      <c r="Z890" s="81"/>
    </row>
    <row r="891" spans="1:26" ht="24" customHeight="1" x14ac:dyDescent="0.5">
      <c r="A891" s="81"/>
      <c r="B891" s="81"/>
      <c r="C891" s="81"/>
      <c r="D891" s="81"/>
      <c r="E891" s="81"/>
      <c r="F891" s="81"/>
      <c r="G891" s="81"/>
      <c r="H891" s="81"/>
      <c r="I891" s="289"/>
      <c r="J891" s="289"/>
      <c r="K891" s="105"/>
      <c r="L891" s="81"/>
      <c r="M891" s="289"/>
      <c r="N891" s="289"/>
      <c r="O891" s="105"/>
      <c r="P891" s="81"/>
      <c r="Q891" s="289"/>
      <c r="R891" s="81"/>
      <c r="S891" s="105"/>
      <c r="T891" s="81"/>
      <c r="U891" s="81"/>
      <c r="V891" s="81"/>
      <c r="W891" s="81"/>
      <c r="X891" s="81"/>
      <c r="Y891" s="81"/>
      <c r="Z891" s="81"/>
    </row>
    <row r="892" spans="1:26" ht="24" customHeight="1" x14ac:dyDescent="0.5">
      <c r="A892" s="81"/>
      <c r="B892" s="81"/>
      <c r="C892" s="81"/>
      <c r="D892" s="81"/>
      <c r="E892" s="81"/>
      <c r="F892" s="81"/>
      <c r="G892" s="81"/>
      <c r="H892" s="81"/>
      <c r="I892" s="289"/>
      <c r="J892" s="289"/>
      <c r="K892" s="105"/>
      <c r="L892" s="81"/>
      <c r="M892" s="289"/>
      <c r="N892" s="289"/>
      <c r="O892" s="105"/>
      <c r="P892" s="81"/>
      <c r="Q892" s="289"/>
      <c r="R892" s="81"/>
      <c r="S892" s="105"/>
      <c r="T892" s="81"/>
      <c r="U892" s="81"/>
      <c r="V892" s="81"/>
      <c r="W892" s="81"/>
      <c r="X892" s="81"/>
      <c r="Y892" s="81"/>
      <c r="Z892" s="81"/>
    </row>
    <row r="893" spans="1:26" ht="24" customHeight="1" x14ac:dyDescent="0.5">
      <c r="A893" s="81"/>
      <c r="B893" s="81"/>
      <c r="C893" s="81"/>
      <c r="D893" s="81"/>
      <c r="E893" s="81"/>
      <c r="F893" s="81"/>
      <c r="G893" s="81"/>
      <c r="H893" s="81"/>
      <c r="I893" s="289"/>
      <c r="J893" s="289"/>
      <c r="K893" s="105"/>
      <c r="L893" s="81"/>
      <c r="M893" s="289"/>
      <c r="N893" s="289"/>
      <c r="O893" s="105"/>
      <c r="P893" s="81"/>
      <c r="Q893" s="289"/>
      <c r="R893" s="81"/>
      <c r="S893" s="105"/>
      <c r="T893" s="81"/>
      <c r="U893" s="81"/>
      <c r="V893" s="81"/>
      <c r="W893" s="81"/>
      <c r="X893" s="81"/>
      <c r="Y893" s="81"/>
      <c r="Z893" s="81"/>
    </row>
    <row r="894" spans="1:26" ht="24" customHeight="1" x14ac:dyDescent="0.5">
      <c r="A894" s="81"/>
      <c r="B894" s="81"/>
      <c r="C894" s="81"/>
      <c r="D894" s="81"/>
      <c r="E894" s="81"/>
      <c r="F894" s="81"/>
      <c r="G894" s="81"/>
      <c r="H894" s="81"/>
      <c r="I894" s="289"/>
      <c r="J894" s="289"/>
      <c r="K894" s="105"/>
      <c r="L894" s="81"/>
      <c r="M894" s="289"/>
      <c r="N894" s="289"/>
      <c r="O894" s="105"/>
      <c r="P894" s="81"/>
      <c r="Q894" s="289"/>
      <c r="R894" s="81"/>
      <c r="S894" s="105"/>
      <c r="T894" s="81"/>
      <c r="U894" s="81"/>
      <c r="V894" s="81"/>
      <c r="W894" s="81"/>
      <c r="X894" s="81"/>
      <c r="Y894" s="81"/>
      <c r="Z894" s="81"/>
    </row>
    <row r="895" spans="1:26" ht="24" customHeight="1" x14ac:dyDescent="0.5">
      <c r="A895" s="81"/>
      <c r="B895" s="81"/>
      <c r="C895" s="81"/>
      <c r="D895" s="81"/>
      <c r="E895" s="81"/>
      <c r="F895" s="81"/>
      <c r="G895" s="81"/>
      <c r="H895" s="81"/>
      <c r="I895" s="289"/>
      <c r="J895" s="289"/>
      <c r="K895" s="105"/>
      <c r="L895" s="81"/>
      <c r="M895" s="289"/>
      <c r="N895" s="289"/>
      <c r="O895" s="105"/>
      <c r="P895" s="81"/>
      <c r="Q895" s="289"/>
      <c r="R895" s="81"/>
      <c r="S895" s="105"/>
      <c r="T895" s="81"/>
      <c r="U895" s="81"/>
      <c r="V895" s="81"/>
      <c r="W895" s="81"/>
      <c r="X895" s="81"/>
      <c r="Y895" s="81"/>
      <c r="Z895" s="81"/>
    </row>
    <row r="896" spans="1:26" ht="24" customHeight="1" x14ac:dyDescent="0.5">
      <c r="A896" s="81"/>
      <c r="B896" s="81"/>
      <c r="C896" s="81"/>
      <c r="D896" s="81"/>
      <c r="E896" s="81"/>
      <c r="F896" s="81"/>
      <c r="G896" s="81"/>
      <c r="H896" s="81"/>
      <c r="I896" s="289"/>
      <c r="J896" s="289"/>
      <c r="K896" s="105"/>
      <c r="L896" s="81"/>
      <c r="M896" s="289"/>
      <c r="N896" s="289"/>
      <c r="O896" s="105"/>
      <c r="P896" s="81"/>
      <c r="Q896" s="289"/>
      <c r="R896" s="81"/>
      <c r="S896" s="105"/>
      <c r="T896" s="81"/>
      <c r="U896" s="81"/>
      <c r="V896" s="81"/>
      <c r="W896" s="81"/>
      <c r="X896" s="81"/>
      <c r="Y896" s="81"/>
      <c r="Z896" s="81"/>
    </row>
    <row r="897" spans="1:26" ht="24" customHeight="1" x14ac:dyDescent="0.5">
      <c r="A897" s="81"/>
      <c r="B897" s="81"/>
      <c r="C897" s="81"/>
      <c r="D897" s="81"/>
      <c r="E897" s="81"/>
      <c r="F897" s="81"/>
      <c r="G897" s="81"/>
      <c r="H897" s="81"/>
      <c r="I897" s="289"/>
      <c r="J897" s="289"/>
      <c r="K897" s="105"/>
      <c r="L897" s="81"/>
      <c r="M897" s="289"/>
      <c r="N897" s="289"/>
      <c r="O897" s="105"/>
      <c r="P897" s="81"/>
      <c r="Q897" s="289"/>
      <c r="R897" s="81"/>
      <c r="S897" s="105"/>
      <c r="T897" s="81"/>
      <c r="U897" s="81"/>
      <c r="V897" s="81"/>
      <c r="W897" s="81"/>
      <c r="X897" s="81"/>
      <c r="Y897" s="81"/>
      <c r="Z897" s="81"/>
    </row>
    <row r="898" spans="1:26" ht="24" customHeight="1" x14ac:dyDescent="0.5">
      <c r="A898" s="81"/>
      <c r="B898" s="81"/>
      <c r="C898" s="81"/>
      <c r="D898" s="81"/>
      <c r="E898" s="81"/>
      <c r="F898" s="81"/>
      <c r="G898" s="81"/>
      <c r="H898" s="81"/>
      <c r="I898" s="289"/>
      <c r="J898" s="289"/>
      <c r="K898" s="105"/>
      <c r="L898" s="81"/>
      <c r="M898" s="289"/>
      <c r="N898" s="289"/>
      <c r="O898" s="105"/>
      <c r="P898" s="81"/>
      <c r="Q898" s="289"/>
      <c r="R898" s="81"/>
      <c r="S898" s="105"/>
      <c r="T898" s="81"/>
      <c r="U898" s="81"/>
      <c r="V898" s="81"/>
      <c r="W898" s="81"/>
      <c r="X898" s="81"/>
      <c r="Y898" s="81"/>
      <c r="Z898" s="81"/>
    </row>
    <row r="899" spans="1:26" ht="24" customHeight="1" x14ac:dyDescent="0.5">
      <c r="A899" s="81"/>
      <c r="B899" s="81"/>
      <c r="C899" s="81"/>
      <c r="D899" s="81"/>
      <c r="E899" s="81"/>
      <c r="F899" s="81"/>
      <c r="G899" s="81"/>
      <c r="H899" s="81"/>
      <c r="I899" s="289"/>
      <c r="J899" s="289"/>
      <c r="K899" s="105"/>
      <c r="L899" s="81"/>
      <c r="M899" s="289"/>
      <c r="N899" s="289"/>
      <c r="O899" s="105"/>
      <c r="P899" s="81"/>
      <c r="Q899" s="289"/>
      <c r="R899" s="81"/>
      <c r="S899" s="105"/>
      <c r="T899" s="81"/>
      <c r="U899" s="81"/>
      <c r="V899" s="81"/>
      <c r="W899" s="81"/>
      <c r="X899" s="81"/>
      <c r="Y899" s="81"/>
      <c r="Z899" s="81"/>
    </row>
    <row r="900" spans="1:26" ht="24" customHeight="1" x14ac:dyDescent="0.5">
      <c r="A900" s="81"/>
      <c r="B900" s="81"/>
      <c r="C900" s="81"/>
      <c r="D900" s="81"/>
      <c r="E900" s="81"/>
      <c r="F900" s="81"/>
      <c r="G900" s="81"/>
      <c r="H900" s="81"/>
      <c r="I900" s="289"/>
      <c r="J900" s="289"/>
      <c r="K900" s="105"/>
      <c r="L900" s="81"/>
      <c r="M900" s="289"/>
      <c r="N900" s="289"/>
      <c r="O900" s="105"/>
      <c r="P900" s="81"/>
      <c r="Q900" s="289"/>
      <c r="R900" s="81"/>
      <c r="S900" s="105"/>
      <c r="T900" s="81"/>
      <c r="U900" s="81"/>
      <c r="V900" s="81"/>
      <c r="W900" s="81"/>
      <c r="X900" s="81"/>
      <c r="Y900" s="81"/>
      <c r="Z900" s="81"/>
    </row>
    <row r="901" spans="1:26" ht="24" customHeight="1" x14ac:dyDescent="0.5">
      <c r="A901" s="81"/>
      <c r="B901" s="81"/>
      <c r="C901" s="81"/>
      <c r="D901" s="81"/>
      <c r="E901" s="81"/>
      <c r="F901" s="81"/>
      <c r="G901" s="81"/>
      <c r="H901" s="81"/>
      <c r="I901" s="289"/>
      <c r="J901" s="289"/>
      <c r="K901" s="105"/>
      <c r="L901" s="81"/>
      <c r="M901" s="289"/>
      <c r="N901" s="289"/>
      <c r="O901" s="105"/>
      <c r="P901" s="81"/>
      <c r="Q901" s="289"/>
      <c r="R901" s="81"/>
      <c r="S901" s="105"/>
      <c r="T901" s="81"/>
      <c r="U901" s="81"/>
      <c r="V901" s="81"/>
      <c r="W901" s="81"/>
      <c r="X901" s="81"/>
      <c r="Y901" s="81"/>
      <c r="Z901" s="81"/>
    </row>
    <row r="902" spans="1:26" ht="24" customHeight="1" x14ac:dyDescent="0.5">
      <c r="A902" s="81"/>
      <c r="B902" s="81"/>
      <c r="C902" s="81"/>
      <c r="D902" s="81"/>
      <c r="E902" s="81"/>
      <c r="F902" s="81"/>
      <c r="G902" s="81"/>
      <c r="H902" s="81"/>
      <c r="I902" s="289"/>
      <c r="J902" s="289"/>
      <c r="K902" s="105"/>
      <c r="L902" s="81"/>
      <c r="M902" s="289"/>
      <c r="N902" s="289"/>
      <c r="O902" s="105"/>
      <c r="P902" s="81"/>
      <c r="Q902" s="289"/>
      <c r="R902" s="81"/>
      <c r="S902" s="105"/>
      <c r="T902" s="81"/>
      <c r="U902" s="81"/>
      <c r="V902" s="81"/>
      <c r="W902" s="81"/>
      <c r="X902" s="81"/>
      <c r="Y902" s="81"/>
      <c r="Z902" s="81"/>
    </row>
    <row r="903" spans="1:26" ht="24" customHeight="1" x14ac:dyDescent="0.5">
      <c r="A903" s="81"/>
      <c r="B903" s="81"/>
      <c r="C903" s="81"/>
      <c r="D903" s="81"/>
      <c r="E903" s="81"/>
      <c r="F903" s="81"/>
      <c r="G903" s="81"/>
      <c r="H903" s="81"/>
      <c r="I903" s="289"/>
      <c r="J903" s="289"/>
      <c r="K903" s="105"/>
      <c r="L903" s="81"/>
      <c r="M903" s="289"/>
      <c r="N903" s="289"/>
      <c r="O903" s="105"/>
      <c r="P903" s="81"/>
      <c r="Q903" s="289"/>
      <c r="R903" s="81"/>
      <c r="S903" s="105"/>
      <c r="T903" s="81"/>
      <c r="U903" s="81"/>
      <c r="V903" s="81"/>
      <c r="W903" s="81"/>
      <c r="X903" s="81"/>
      <c r="Y903" s="81"/>
      <c r="Z903" s="81"/>
    </row>
    <row r="904" spans="1:26" ht="24" customHeight="1" x14ac:dyDescent="0.5">
      <c r="A904" s="81"/>
      <c r="B904" s="81"/>
      <c r="C904" s="81"/>
      <c r="D904" s="81"/>
      <c r="E904" s="81"/>
      <c r="F904" s="81"/>
      <c r="G904" s="81"/>
      <c r="H904" s="81"/>
      <c r="I904" s="289"/>
      <c r="J904" s="289"/>
      <c r="K904" s="105"/>
      <c r="L904" s="81"/>
      <c r="M904" s="289"/>
      <c r="N904" s="289"/>
      <c r="O904" s="105"/>
      <c r="P904" s="81"/>
      <c r="Q904" s="289"/>
      <c r="R904" s="81"/>
      <c r="S904" s="105"/>
      <c r="T904" s="81"/>
      <c r="U904" s="81"/>
      <c r="V904" s="81"/>
      <c r="W904" s="81"/>
      <c r="X904" s="81"/>
      <c r="Y904" s="81"/>
      <c r="Z904" s="81"/>
    </row>
    <row r="905" spans="1:26" ht="24" customHeight="1" x14ac:dyDescent="0.5">
      <c r="A905" s="81"/>
      <c r="B905" s="81"/>
      <c r="C905" s="81"/>
      <c r="D905" s="81"/>
      <c r="E905" s="81"/>
      <c r="F905" s="81"/>
      <c r="G905" s="81"/>
      <c r="H905" s="81"/>
      <c r="I905" s="289"/>
      <c r="J905" s="289"/>
      <c r="K905" s="105"/>
      <c r="L905" s="81"/>
      <c r="M905" s="289"/>
      <c r="N905" s="289"/>
      <c r="O905" s="105"/>
      <c r="P905" s="81"/>
      <c r="Q905" s="289"/>
      <c r="R905" s="81"/>
      <c r="S905" s="105"/>
      <c r="T905" s="81"/>
      <c r="U905" s="81"/>
      <c r="V905" s="81"/>
      <c r="W905" s="81"/>
      <c r="X905" s="81"/>
      <c r="Y905" s="81"/>
      <c r="Z905" s="81"/>
    </row>
    <row r="906" spans="1:26" ht="24" customHeight="1" x14ac:dyDescent="0.5">
      <c r="A906" s="81"/>
      <c r="B906" s="81"/>
      <c r="C906" s="81"/>
      <c r="D906" s="81"/>
      <c r="E906" s="81"/>
      <c r="F906" s="81"/>
      <c r="G906" s="81"/>
      <c r="H906" s="81"/>
      <c r="I906" s="289"/>
      <c r="J906" s="289"/>
      <c r="K906" s="105"/>
      <c r="L906" s="81"/>
      <c r="M906" s="289"/>
      <c r="N906" s="289"/>
      <c r="O906" s="105"/>
      <c r="P906" s="81"/>
      <c r="Q906" s="289"/>
      <c r="R906" s="81"/>
      <c r="S906" s="105"/>
      <c r="T906" s="81"/>
      <c r="U906" s="81"/>
      <c r="V906" s="81"/>
      <c r="W906" s="81"/>
      <c r="X906" s="81"/>
      <c r="Y906" s="81"/>
      <c r="Z906" s="81"/>
    </row>
    <row r="907" spans="1:26" ht="24" customHeight="1" x14ac:dyDescent="0.5">
      <c r="A907" s="81"/>
      <c r="B907" s="81"/>
      <c r="C907" s="81"/>
      <c r="D907" s="81"/>
      <c r="E907" s="81"/>
      <c r="F907" s="81"/>
      <c r="G907" s="81"/>
      <c r="H907" s="81"/>
      <c r="I907" s="289"/>
      <c r="J907" s="289"/>
      <c r="K907" s="105"/>
      <c r="L907" s="81"/>
      <c r="M907" s="289"/>
      <c r="N907" s="289"/>
      <c r="O907" s="105"/>
      <c r="P907" s="81"/>
      <c r="Q907" s="289"/>
      <c r="R907" s="81"/>
      <c r="S907" s="105"/>
      <c r="T907" s="81"/>
      <c r="U907" s="81"/>
      <c r="V907" s="81"/>
      <c r="W907" s="81"/>
      <c r="X907" s="81"/>
      <c r="Y907" s="81"/>
      <c r="Z907" s="81"/>
    </row>
    <row r="908" spans="1:26" ht="24" customHeight="1" x14ac:dyDescent="0.5">
      <c r="A908" s="81"/>
      <c r="B908" s="81"/>
      <c r="C908" s="81"/>
      <c r="D908" s="81"/>
      <c r="E908" s="81"/>
      <c r="F908" s="81"/>
      <c r="G908" s="81"/>
      <c r="H908" s="81"/>
      <c r="I908" s="289"/>
      <c r="J908" s="289"/>
      <c r="K908" s="105"/>
      <c r="L908" s="81"/>
      <c r="M908" s="289"/>
      <c r="N908" s="289"/>
      <c r="O908" s="105"/>
      <c r="P908" s="81"/>
      <c r="Q908" s="289"/>
      <c r="R908" s="81"/>
      <c r="S908" s="105"/>
      <c r="T908" s="81"/>
      <c r="U908" s="81"/>
      <c r="V908" s="81"/>
      <c r="W908" s="81"/>
      <c r="X908" s="81"/>
      <c r="Y908" s="81"/>
      <c r="Z908" s="81"/>
    </row>
    <row r="909" spans="1:26" ht="24" customHeight="1" x14ac:dyDescent="0.5">
      <c r="A909" s="81"/>
      <c r="B909" s="81"/>
      <c r="C909" s="81"/>
      <c r="D909" s="81"/>
      <c r="E909" s="81"/>
      <c r="F909" s="81"/>
      <c r="G909" s="81"/>
      <c r="H909" s="81"/>
      <c r="I909" s="289"/>
      <c r="J909" s="289"/>
      <c r="K909" s="105"/>
      <c r="L909" s="81"/>
      <c r="M909" s="289"/>
      <c r="N909" s="289"/>
      <c r="O909" s="105"/>
      <c r="P909" s="81"/>
      <c r="Q909" s="289"/>
      <c r="R909" s="81"/>
      <c r="S909" s="105"/>
      <c r="T909" s="81"/>
      <c r="U909" s="81"/>
      <c r="V909" s="81"/>
      <c r="W909" s="81"/>
      <c r="X909" s="81"/>
      <c r="Y909" s="81"/>
      <c r="Z909" s="81"/>
    </row>
    <row r="910" spans="1:26" ht="24" customHeight="1" x14ac:dyDescent="0.5">
      <c r="A910" s="81"/>
      <c r="B910" s="81"/>
      <c r="C910" s="81"/>
      <c r="D910" s="81"/>
      <c r="E910" s="81"/>
      <c r="F910" s="81"/>
      <c r="G910" s="81"/>
      <c r="H910" s="81"/>
      <c r="I910" s="289"/>
      <c r="J910" s="289"/>
      <c r="K910" s="105"/>
      <c r="L910" s="81"/>
      <c r="M910" s="289"/>
      <c r="N910" s="289"/>
      <c r="O910" s="105"/>
      <c r="P910" s="81"/>
      <c r="Q910" s="289"/>
      <c r="R910" s="81"/>
      <c r="S910" s="105"/>
      <c r="T910" s="81"/>
      <c r="U910" s="81"/>
      <c r="V910" s="81"/>
      <c r="W910" s="81"/>
      <c r="X910" s="81"/>
      <c r="Y910" s="81"/>
      <c r="Z910" s="81"/>
    </row>
    <row r="911" spans="1:26" ht="24" customHeight="1" x14ac:dyDescent="0.5">
      <c r="A911" s="81"/>
      <c r="B911" s="81"/>
      <c r="C911" s="81"/>
      <c r="D911" s="81"/>
      <c r="E911" s="81"/>
      <c r="F911" s="81"/>
      <c r="G911" s="81"/>
      <c r="H911" s="81"/>
      <c r="I911" s="289"/>
      <c r="J911" s="289"/>
      <c r="K911" s="105"/>
      <c r="L911" s="81"/>
      <c r="M911" s="289"/>
      <c r="N911" s="289"/>
      <c r="O911" s="105"/>
      <c r="P911" s="81"/>
      <c r="Q911" s="289"/>
      <c r="R911" s="81"/>
      <c r="S911" s="105"/>
      <c r="T911" s="81"/>
      <c r="U911" s="81"/>
      <c r="V911" s="81"/>
      <c r="W911" s="81"/>
      <c r="X911" s="81"/>
      <c r="Y911" s="81"/>
      <c r="Z911" s="81"/>
    </row>
    <row r="912" spans="1:26" ht="24" customHeight="1" x14ac:dyDescent="0.5">
      <c r="A912" s="81"/>
      <c r="B912" s="81"/>
      <c r="C912" s="81"/>
      <c r="D912" s="81"/>
      <c r="E912" s="81"/>
      <c r="F912" s="81"/>
      <c r="G912" s="81"/>
      <c r="H912" s="81"/>
      <c r="I912" s="289"/>
      <c r="J912" s="289"/>
      <c r="K912" s="105"/>
      <c r="L912" s="81"/>
      <c r="M912" s="289"/>
      <c r="N912" s="289"/>
      <c r="O912" s="105"/>
      <c r="P912" s="81"/>
      <c r="Q912" s="289"/>
      <c r="R912" s="81"/>
      <c r="S912" s="105"/>
      <c r="T912" s="81"/>
      <c r="U912" s="81"/>
      <c r="V912" s="81"/>
      <c r="W912" s="81"/>
      <c r="X912" s="81"/>
      <c r="Y912" s="81"/>
      <c r="Z912" s="81"/>
    </row>
    <row r="913" spans="1:26" ht="24" customHeight="1" x14ac:dyDescent="0.5">
      <c r="A913" s="81"/>
      <c r="B913" s="81"/>
      <c r="C913" s="81"/>
      <c r="D913" s="81"/>
      <c r="E913" s="81"/>
      <c r="F913" s="81"/>
      <c r="G913" s="81"/>
      <c r="H913" s="81"/>
      <c r="I913" s="289"/>
      <c r="J913" s="289"/>
      <c r="K913" s="105"/>
      <c r="L913" s="81"/>
      <c r="M913" s="289"/>
      <c r="N913" s="289"/>
      <c r="O913" s="105"/>
      <c r="P913" s="81"/>
      <c r="Q913" s="289"/>
      <c r="R913" s="81"/>
      <c r="S913" s="105"/>
      <c r="T913" s="81"/>
      <c r="U913" s="81"/>
      <c r="V913" s="81"/>
      <c r="W913" s="81"/>
      <c r="X913" s="81"/>
      <c r="Y913" s="81"/>
      <c r="Z913" s="81"/>
    </row>
    <row r="914" spans="1:26" ht="24" customHeight="1" x14ac:dyDescent="0.5">
      <c r="A914" s="81"/>
      <c r="B914" s="81"/>
      <c r="C914" s="81"/>
      <c r="D914" s="81"/>
      <c r="E914" s="81"/>
      <c r="F914" s="81"/>
      <c r="G914" s="81"/>
      <c r="H914" s="81"/>
      <c r="I914" s="289"/>
      <c r="J914" s="289"/>
      <c r="K914" s="105"/>
      <c r="L914" s="81"/>
      <c r="M914" s="289"/>
      <c r="N914" s="289"/>
      <c r="O914" s="105"/>
      <c r="P914" s="81"/>
      <c r="Q914" s="289"/>
      <c r="R914" s="81"/>
      <c r="S914" s="105"/>
      <c r="T914" s="81"/>
      <c r="U914" s="81"/>
      <c r="V914" s="81"/>
      <c r="W914" s="81"/>
      <c r="X914" s="81"/>
      <c r="Y914" s="81"/>
      <c r="Z914" s="81"/>
    </row>
    <row r="915" spans="1:26" ht="24" customHeight="1" x14ac:dyDescent="0.5">
      <c r="A915" s="81"/>
      <c r="B915" s="81"/>
      <c r="C915" s="81"/>
      <c r="D915" s="81"/>
      <c r="E915" s="81"/>
      <c r="F915" s="81"/>
      <c r="G915" s="81"/>
      <c r="H915" s="81"/>
      <c r="I915" s="289"/>
      <c r="J915" s="289"/>
      <c r="K915" s="105"/>
      <c r="L915" s="81"/>
      <c r="M915" s="289"/>
      <c r="N915" s="289"/>
      <c r="O915" s="105"/>
      <c r="P915" s="81"/>
      <c r="Q915" s="289"/>
      <c r="R915" s="81"/>
      <c r="S915" s="105"/>
      <c r="T915" s="81"/>
      <c r="U915" s="81"/>
      <c r="V915" s="81"/>
      <c r="W915" s="81"/>
      <c r="X915" s="81"/>
      <c r="Y915" s="81"/>
      <c r="Z915" s="81"/>
    </row>
    <row r="916" spans="1:26" ht="24" customHeight="1" x14ac:dyDescent="0.5">
      <c r="A916" s="81"/>
      <c r="B916" s="81"/>
      <c r="C916" s="81"/>
      <c r="D916" s="81"/>
      <c r="E916" s="81"/>
      <c r="F916" s="81"/>
      <c r="G916" s="81"/>
      <c r="H916" s="81"/>
      <c r="I916" s="289"/>
      <c r="J916" s="289"/>
      <c r="K916" s="105"/>
      <c r="L916" s="81"/>
      <c r="M916" s="289"/>
      <c r="N916" s="289"/>
      <c r="O916" s="105"/>
      <c r="P916" s="81"/>
      <c r="Q916" s="289"/>
      <c r="R916" s="81"/>
      <c r="S916" s="105"/>
      <c r="T916" s="81"/>
      <c r="U916" s="81"/>
      <c r="V916" s="81"/>
      <c r="W916" s="81"/>
      <c r="X916" s="81"/>
      <c r="Y916" s="81"/>
      <c r="Z916" s="81"/>
    </row>
    <row r="917" spans="1:26" ht="24" customHeight="1" x14ac:dyDescent="0.5">
      <c r="A917" s="81"/>
      <c r="B917" s="81"/>
      <c r="C917" s="81"/>
      <c r="D917" s="81"/>
      <c r="E917" s="81"/>
      <c r="F917" s="81"/>
      <c r="G917" s="81"/>
      <c r="H917" s="81"/>
      <c r="I917" s="289"/>
      <c r="J917" s="289"/>
      <c r="K917" s="105"/>
      <c r="L917" s="81"/>
      <c r="M917" s="289"/>
      <c r="N917" s="289"/>
      <c r="O917" s="105"/>
      <c r="P917" s="81"/>
      <c r="Q917" s="289"/>
      <c r="R917" s="81"/>
      <c r="S917" s="105"/>
      <c r="T917" s="81"/>
      <c r="U917" s="81"/>
      <c r="V917" s="81"/>
      <c r="W917" s="81"/>
      <c r="X917" s="81"/>
      <c r="Y917" s="81"/>
      <c r="Z917" s="81"/>
    </row>
    <row r="918" spans="1:26" ht="24" customHeight="1" x14ac:dyDescent="0.5">
      <c r="A918" s="81"/>
      <c r="B918" s="81"/>
      <c r="C918" s="81"/>
      <c r="D918" s="81"/>
      <c r="E918" s="81"/>
      <c r="F918" s="81"/>
      <c r="G918" s="81"/>
      <c r="H918" s="81"/>
      <c r="I918" s="289"/>
      <c r="J918" s="289"/>
      <c r="K918" s="105"/>
      <c r="L918" s="81"/>
      <c r="M918" s="289"/>
      <c r="N918" s="289"/>
      <c r="O918" s="105"/>
      <c r="P918" s="81"/>
      <c r="Q918" s="289"/>
      <c r="R918" s="81"/>
      <c r="S918" s="105"/>
      <c r="T918" s="81"/>
      <c r="U918" s="81"/>
      <c r="V918" s="81"/>
      <c r="W918" s="81"/>
      <c r="X918" s="81"/>
      <c r="Y918" s="81"/>
      <c r="Z918" s="81"/>
    </row>
    <row r="919" spans="1:26" ht="24" customHeight="1" x14ac:dyDescent="0.5">
      <c r="A919" s="81"/>
      <c r="B919" s="81"/>
      <c r="C919" s="81"/>
      <c r="D919" s="81"/>
      <c r="E919" s="81"/>
      <c r="F919" s="81"/>
      <c r="G919" s="81"/>
      <c r="H919" s="81"/>
      <c r="I919" s="289"/>
      <c r="J919" s="289"/>
      <c r="K919" s="105"/>
      <c r="L919" s="81"/>
      <c r="M919" s="289"/>
      <c r="N919" s="289"/>
      <c r="O919" s="105"/>
      <c r="P919" s="81"/>
      <c r="Q919" s="289"/>
      <c r="R919" s="81"/>
      <c r="S919" s="105"/>
      <c r="T919" s="81"/>
      <c r="U919" s="81"/>
      <c r="V919" s="81"/>
      <c r="W919" s="81"/>
      <c r="X919" s="81"/>
      <c r="Y919" s="81"/>
      <c r="Z919" s="81"/>
    </row>
    <row r="920" spans="1:26" ht="24" customHeight="1" x14ac:dyDescent="0.5">
      <c r="A920" s="81"/>
      <c r="B920" s="81"/>
      <c r="C920" s="81"/>
      <c r="D920" s="81"/>
      <c r="E920" s="81"/>
      <c r="F920" s="81"/>
      <c r="G920" s="81"/>
      <c r="H920" s="81"/>
      <c r="I920" s="289"/>
      <c r="J920" s="289"/>
      <c r="K920" s="105"/>
      <c r="L920" s="81"/>
      <c r="M920" s="289"/>
      <c r="N920" s="289"/>
      <c r="O920" s="105"/>
      <c r="P920" s="81"/>
      <c r="Q920" s="289"/>
      <c r="R920" s="81"/>
      <c r="S920" s="105"/>
      <c r="T920" s="81"/>
      <c r="U920" s="81"/>
      <c r="V920" s="81"/>
      <c r="W920" s="81"/>
      <c r="X920" s="81"/>
      <c r="Y920" s="81"/>
      <c r="Z920" s="81"/>
    </row>
    <row r="921" spans="1:26" ht="24" customHeight="1" x14ac:dyDescent="0.5">
      <c r="A921" s="81"/>
      <c r="B921" s="81"/>
      <c r="C921" s="81"/>
      <c r="D921" s="81"/>
      <c r="E921" s="81"/>
      <c r="F921" s="81"/>
      <c r="G921" s="81"/>
      <c r="H921" s="81"/>
      <c r="I921" s="289"/>
      <c r="J921" s="289"/>
      <c r="K921" s="105"/>
      <c r="L921" s="81"/>
      <c r="M921" s="289"/>
      <c r="N921" s="289"/>
      <c r="O921" s="105"/>
      <c r="P921" s="81"/>
      <c r="Q921" s="289"/>
      <c r="R921" s="81"/>
      <c r="S921" s="105"/>
      <c r="T921" s="81"/>
      <c r="U921" s="81"/>
      <c r="V921" s="81"/>
      <c r="W921" s="81"/>
      <c r="X921" s="81"/>
      <c r="Y921" s="81"/>
      <c r="Z921" s="81"/>
    </row>
    <row r="922" spans="1:26" ht="24" customHeight="1" x14ac:dyDescent="0.5">
      <c r="A922" s="81"/>
      <c r="B922" s="81"/>
      <c r="C922" s="81"/>
      <c r="D922" s="81"/>
      <c r="E922" s="81"/>
      <c r="F922" s="81"/>
      <c r="G922" s="81"/>
      <c r="H922" s="81"/>
      <c r="I922" s="289"/>
      <c r="J922" s="289"/>
      <c r="K922" s="105"/>
      <c r="L922" s="81"/>
      <c r="M922" s="289"/>
      <c r="N922" s="289"/>
      <c r="O922" s="105"/>
      <c r="P922" s="81"/>
      <c r="Q922" s="289"/>
      <c r="R922" s="81"/>
      <c r="S922" s="105"/>
      <c r="T922" s="81"/>
      <c r="U922" s="81"/>
      <c r="V922" s="81"/>
      <c r="W922" s="81"/>
      <c r="X922" s="81"/>
      <c r="Y922" s="81"/>
      <c r="Z922" s="81"/>
    </row>
    <row r="923" spans="1:26" ht="24" customHeight="1" x14ac:dyDescent="0.5">
      <c r="A923" s="81"/>
      <c r="B923" s="81"/>
      <c r="C923" s="81"/>
      <c r="D923" s="81"/>
      <c r="E923" s="81"/>
      <c r="F923" s="81"/>
      <c r="G923" s="81"/>
      <c r="H923" s="81"/>
      <c r="I923" s="289"/>
      <c r="J923" s="289"/>
      <c r="K923" s="105"/>
      <c r="L923" s="81"/>
      <c r="M923" s="289"/>
      <c r="N923" s="289"/>
      <c r="O923" s="105"/>
      <c r="P923" s="81"/>
      <c r="Q923" s="289"/>
      <c r="R923" s="81"/>
      <c r="S923" s="105"/>
      <c r="T923" s="81"/>
      <c r="U923" s="81"/>
      <c r="V923" s="81"/>
      <c r="W923" s="81"/>
      <c r="X923" s="81"/>
      <c r="Y923" s="81"/>
      <c r="Z923" s="81"/>
    </row>
    <row r="924" spans="1:26" ht="24" customHeight="1" x14ac:dyDescent="0.5">
      <c r="A924" s="81"/>
      <c r="B924" s="81"/>
      <c r="C924" s="81"/>
      <c r="D924" s="81"/>
      <c r="E924" s="81"/>
      <c r="F924" s="81"/>
      <c r="G924" s="81"/>
      <c r="H924" s="81"/>
      <c r="I924" s="289"/>
      <c r="J924" s="289"/>
      <c r="K924" s="105"/>
      <c r="L924" s="81"/>
      <c r="M924" s="289"/>
      <c r="N924" s="289"/>
      <c r="O924" s="105"/>
      <c r="P924" s="81"/>
      <c r="Q924" s="289"/>
      <c r="R924" s="81"/>
      <c r="S924" s="105"/>
      <c r="T924" s="81"/>
      <c r="U924" s="81"/>
      <c r="V924" s="81"/>
      <c r="W924" s="81"/>
      <c r="X924" s="81"/>
      <c r="Y924" s="81"/>
      <c r="Z924" s="81"/>
    </row>
    <row r="925" spans="1:26" ht="24" customHeight="1" x14ac:dyDescent="0.5">
      <c r="A925" s="81"/>
      <c r="B925" s="81"/>
      <c r="C925" s="81"/>
      <c r="D925" s="81"/>
      <c r="E925" s="81"/>
      <c r="F925" s="81"/>
      <c r="G925" s="81"/>
      <c r="H925" s="81"/>
      <c r="I925" s="289"/>
      <c r="J925" s="289"/>
      <c r="K925" s="105"/>
      <c r="L925" s="81"/>
      <c r="M925" s="289"/>
      <c r="N925" s="289"/>
      <c r="O925" s="105"/>
      <c r="P925" s="81"/>
      <c r="Q925" s="289"/>
      <c r="R925" s="81"/>
      <c r="S925" s="105"/>
      <c r="T925" s="81"/>
      <c r="U925" s="81"/>
      <c r="V925" s="81"/>
      <c r="W925" s="81"/>
      <c r="X925" s="81"/>
      <c r="Y925" s="81"/>
      <c r="Z925" s="81"/>
    </row>
    <row r="926" spans="1:26" ht="24" customHeight="1" x14ac:dyDescent="0.5">
      <c r="A926" s="81"/>
      <c r="B926" s="81"/>
      <c r="C926" s="81"/>
      <c r="D926" s="81"/>
      <c r="E926" s="81"/>
      <c r="F926" s="81"/>
      <c r="G926" s="81"/>
      <c r="H926" s="81"/>
      <c r="I926" s="289"/>
      <c r="J926" s="289"/>
      <c r="K926" s="105"/>
      <c r="L926" s="81"/>
      <c r="M926" s="289"/>
      <c r="N926" s="289"/>
      <c r="O926" s="105"/>
      <c r="P926" s="81"/>
      <c r="Q926" s="289"/>
      <c r="R926" s="81"/>
      <c r="S926" s="105"/>
      <c r="T926" s="81"/>
      <c r="U926" s="81"/>
      <c r="V926" s="81"/>
      <c r="W926" s="81"/>
      <c r="X926" s="81"/>
      <c r="Y926" s="81"/>
      <c r="Z926" s="81"/>
    </row>
    <row r="927" spans="1:26" ht="24" customHeight="1" x14ac:dyDescent="0.5">
      <c r="A927" s="81"/>
      <c r="B927" s="81"/>
      <c r="C927" s="81"/>
      <c r="D927" s="81"/>
      <c r="E927" s="81"/>
      <c r="F927" s="81"/>
      <c r="G927" s="81"/>
      <c r="H927" s="81"/>
      <c r="I927" s="289"/>
      <c r="J927" s="289"/>
      <c r="K927" s="105"/>
      <c r="L927" s="81"/>
      <c r="M927" s="289"/>
      <c r="N927" s="289"/>
      <c r="O927" s="105"/>
      <c r="P927" s="81"/>
      <c r="Q927" s="289"/>
      <c r="R927" s="81"/>
      <c r="S927" s="105"/>
      <c r="T927" s="81"/>
      <c r="U927" s="81"/>
      <c r="V927" s="81"/>
      <c r="W927" s="81"/>
      <c r="X927" s="81"/>
      <c r="Y927" s="81"/>
      <c r="Z927" s="81"/>
    </row>
    <row r="928" spans="1:26" ht="24" customHeight="1" x14ac:dyDescent="0.5">
      <c r="A928" s="81"/>
      <c r="B928" s="81"/>
      <c r="C928" s="81"/>
      <c r="D928" s="81"/>
      <c r="E928" s="81"/>
      <c r="F928" s="81"/>
      <c r="G928" s="81"/>
      <c r="H928" s="81"/>
      <c r="I928" s="289"/>
      <c r="J928" s="289"/>
      <c r="K928" s="105"/>
      <c r="L928" s="81"/>
      <c r="M928" s="289"/>
      <c r="N928" s="289"/>
      <c r="O928" s="105"/>
      <c r="P928" s="81"/>
      <c r="Q928" s="289"/>
      <c r="R928" s="81"/>
      <c r="S928" s="105"/>
      <c r="T928" s="81"/>
      <c r="U928" s="81"/>
      <c r="V928" s="81"/>
      <c r="W928" s="81"/>
      <c r="X928" s="81"/>
      <c r="Y928" s="81"/>
      <c r="Z928" s="81"/>
    </row>
    <row r="929" spans="1:26" ht="24" customHeight="1" x14ac:dyDescent="0.5">
      <c r="A929" s="81"/>
      <c r="B929" s="81"/>
      <c r="C929" s="81"/>
      <c r="D929" s="81"/>
      <c r="E929" s="81"/>
      <c r="F929" s="81"/>
      <c r="G929" s="81"/>
      <c r="H929" s="81"/>
      <c r="I929" s="289"/>
      <c r="J929" s="289"/>
      <c r="K929" s="105"/>
      <c r="L929" s="81"/>
      <c r="M929" s="289"/>
      <c r="N929" s="289"/>
      <c r="O929" s="105"/>
      <c r="P929" s="81"/>
      <c r="Q929" s="289"/>
      <c r="R929" s="81"/>
      <c r="S929" s="105"/>
      <c r="T929" s="81"/>
      <c r="U929" s="81"/>
      <c r="V929" s="81"/>
      <c r="W929" s="81"/>
      <c r="X929" s="81"/>
      <c r="Y929" s="81"/>
      <c r="Z929" s="81"/>
    </row>
    <row r="930" spans="1:26" ht="24" customHeight="1" x14ac:dyDescent="0.5">
      <c r="A930" s="81"/>
      <c r="B930" s="81"/>
      <c r="C930" s="81"/>
      <c r="D930" s="81"/>
      <c r="E930" s="81"/>
      <c r="F930" s="81"/>
      <c r="G930" s="81"/>
      <c r="H930" s="81"/>
      <c r="I930" s="289"/>
      <c r="J930" s="289"/>
      <c r="K930" s="105"/>
      <c r="L930" s="81"/>
      <c r="M930" s="289"/>
      <c r="N930" s="289"/>
      <c r="O930" s="105"/>
      <c r="P930" s="81"/>
      <c r="Q930" s="289"/>
      <c r="R930" s="81"/>
      <c r="S930" s="105"/>
      <c r="T930" s="81"/>
      <c r="U930" s="81"/>
      <c r="V930" s="81"/>
      <c r="W930" s="81"/>
      <c r="X930" s="81"/>
      <c r="Y930" s="81"/>
      <c r="Z930" s="81"/>
    </row>
    <row r="931" spans="1:26" ht="24" customHeight="1" x14ac:dyDescent="0.5">
      <c r="A931" s="81"/>
      <c r="B931" s="81"/>
      <c r="C931" s="81"/>
      <c r="D931" s="81"/>
      <c r="E931" s="81"/>
      <c r="F931" s="81"/>
      <c r="G931" s="81"/>
      <c r="H931" s="81"/>
      <c r="I931" s="289"/>
      <c r="J931" s="289"/>
      <c r="K931" s="105"/>
      <c r="L931" s="81"/>
      <c r="M931" s="289"/>
      <c r="N931" s="289"/>
      <c r="O931" s="105"/>
      <c r="P931" s="81"/>
      <c r="Q931" s="289"/>
      <c r="R931" s="81"/>
      <c r="S931" s="105"/>
      <c r="T931" s="81"/>
      <c r="U931" s="81"/>
      <c r="V931" s="81"/>
      <c r="W931" s="81"/>
      <c r="X931" s="81"/>
      <c r="Y931" s="81"/>
      <c r="Z931" s="81"/>
    </row>
    <row r="932" spans="1:26" ht="24" customHeight="1" x14ac:dyDescent="0.5">
      <c r="A932" s="81"/>
      <c r="B932" s="81"/>
      <c r="C932" s="81"/>
      <c r="D932" s="81"/>
      <c r="E932" s="81"/>
      <c r="F932" s="81"/>
      <c r="G932" s="81"/>
      <c r="H932" s="81"/>
      <c r="I932" s="289"/>
      <c r="J932" s="289"/>
      <c r="K932" s="105"/>
      <c r="L932" s="81"/>
      <c r="M932" s="289"/>
      <c r="N932" s="289"/>
      <c r="O932" s="105"/>
      <c r="P932" s="81"/>
      <c r="Q932" s="289"/>
      <c r="R932" s="81"/>
      <c r="S932" s="105"/>
      <c r="T932" s="81"/>
      <c r="U932" s="81"/>
      <c r="V932" s="81"/>
      <c r="W932" s="81"/>
      <c r="X932" s="81"/>
      <c r="Y932" s="81"/>
      <c r="Z932" s="81"/>
    </row>
    <row r="933" spans="1:26" ht="24" customHeight="1" x14ac:dyDescent="0.5">
      <c r="A933" s="81"/>
      <c r="B933" s="81"/>
      <c r="C933" s="81"/>
      <c r="D933" s="81"/>
      <c r="E933" s="81"/>
      <c r="F933" s="81"/>
      <c r="G933" s="81"/>
      <c r="H933" s="81"/>
      <c r="I933" s="289"/>
      <c r="J933" s="289"/>
      <c r="K933" s="105"/>
      <c r="L933" s="81"/>
      <c r="M933" s="289"/>
      <c r="N933" s="289"/>
      <c r="O933" s="105"/>
      <c r="P933" s="81"/>
      <c r="Q933" s="289"/>
      <c r="R933" s="81"/>
      <c r="S933" s="105"/>
      <c r="T933" s="81"/>
      <c r="U933" s="81"/>
      <c r="V933" s="81"/>
      <c r="W933" s="81"/>
      <c r="X933" s="81"/>
      <c r="Y933" s="81"/>
      <c r="Z933" s="81"/>
    </row>
    <row r="934" spans="1:26" ht="24" customHeight="1" x14ac:dyDescent="0.5">
      <c r="A934" s="81"/>
      <c r="B934" s="81"/>
      <c r="C934" s="81"/>
      <c r="D934" s="81"/>
      <c r="E934" s="81"/>
      <c r="F934" s="81"/>
      <c r="G934" s="81"/>
      <c r="H934" s="81"/>
      <c r="I934" s="289"/>
      <c r="J934" s="289"/>
      <c r="K934" s="105"/>
      <c r="L934" s="81"/>
      <c r="M934" s="289"/>
      <c r="N934" s="289"/>
      <c r="O934" s="105"/>
      <c r="P934" s="81"/>
      <c r="Q934" s="289"/>
      <c r="R934" s="81"/>
      <c r="S934" s="105"/>
      <c r="T934" s="81"/>
      <c r="U934" s="81"/>
      <c r="V934" s="81"/>
      <c r="W934" s="81"/>
      <c r="X934" s="81"/>
      <c r="Y934" s="81"/>
      <c r="Z934" s="81"/>
    </row>
    <row r="935" spans="1:26" ht="24" customHeight="1" x14ac:dyDescent="0.5">
      <c r="A935" s="81"/>
      <c r="B935" s="81"/>
      <c r="C935" s="81"/>
      <c r="D935" s="81"/>
      <c r="E935" s="81"/>
      <c r="F935" s="81"/>
      <c r="G935" s="81"/>
      <c r="H935" s="81"/>
      <c r="I935" s="289"/>
      <c r="J935" s="289"/>
      <c r="K935" s="105"/>
      <c r="L935" s="81"/>
      <c r="M935" s="289"/>
      <c r="N935" s="289"/>
      <c r="O935" s="105"/>
      <c r="P935" s="81"/>
      <c r="Q935" s="289"/>
      <c r="R935" s="81"/>
      <c r="S935" s="105"/>
      <c r="T935" s="81"/>
      <c r="U935" s="81"/>
      <c r="V935" s="81"/>
      <c r="W935" s="81"/>
      <c r="X935" s="81"/>
      <c r="Y935" s="81"/>
      <c r="Z935" s="81"/>
    </row>
    <row r="936" spans="1:26" ht="24" customHeight="1" x14ac:dyDescent="0.5">
      <c r="A936" s="81"/>
      <c r="B936" s="81"/>
      <c r="C936" s="81"/>
      <c r="D936" s="81"/>
      <c r="E936" s="81"/>
      <c r="F936" s="81"/>
      <c r="G936" s="81"/>
      <c r="H936" s="81"/>
      <c r="I936" s="289"/>
      <c r="J936" s="289"/>
      <c r="K936" s="105"/>
      <c r="L936" s="81"/>
      <c r="M936" s="289"/>
      <c r="N936" s="289"/>
      <c r="O936" s="105"/>
      <c r="P936" s="81"/>
      <c r="Q936" s="289"/>
      <c r="R936" s="81"/>
      <c r="S936" s="105"/>
      <c r="T936" s="81"/>
      <c r="U936" s="81"/>
      <c r="V936" s="81"/>
      <c r="W936" s="81"/>
      <c r="X936" s="81"/>
      <c r="Y936" s="81"/>
      <c r="Z936" s="81"/>
    </row>
    <row r="937" spans="1:26" ht="24" customHeight="1" x14ac:dyDescent="0.5">
      <c r="A937" s="81"/>
      <c r="B937" s="81"/>
      <c r="C937" s="81"/>
      <c r="D937" s="81"/>
      <c r="E937" s="81"/>
      <c r="F937" s="81"/>
      <c r="G937" s="81"/>
      <c r="H937" s="81"/>
      <c r="I937" s="289"/>
      <c r="J937" s="289"/>
      <c r="K937" s="105"/>
      <c r="L937" s="81"/>
      <c r="M937" s="289"/>
      <c r="N937" s="289"/>
      <c r="O937" s="105"/>
      <c r="P937" s="81"/>
      <c r="Q937" s="289"/>
      <c r="R937" s="81"/>
      <c r="S937" s="105"/>
      <c r="T937" s="81"/>
      <c r="U937" s="81"/>
      <c r="V937" s="81"/>
      <c r="W937" s="81"/>
      <c r="X937" s="81"/>
      <c r="Y937" s="81"/>
      <c r="Z937" s="81"/>
    </row>
    <row r="938" spans="1:26" ht="24" customHeight="1" x14ac:dyDescent="0.5">
      <c r="A938" s="81"/>
      <c r="B938" s="81"/>
      <c r="C938" s="81"/>
      <c r="D938" s="81"/>
      <c r="E938" s="81"/>
      <c r="F938" s="81"/>
      <c r="G938" s="81"/>
      <c r="H938" s="81"/>
      <c r="I938" s="289"/>
      <c r="J938" s="289"/>
      <c r="K938" s="105"/>
      <c r="L938" s="81"/>
      <c r="M938" s="289"/>
      <c r="N938" s="289"/>
      <c r="O938" s="105"/>
      <c r="P938" s="81"/>
      <c r="Q938" s="289"/>
      <c r="R938" s="81"/>
      <c r="S938" s="105"/>
      <c r="T938" s="81"/>
      <c r="U938" s="81"/>
      <c r="V938" s="81"/>
      <c r="W938" s="81"/>
      <c r="X938" s="81"/>
      <c r="Y938" s="81"/>
      <c r="Z938" s="81"/>
    </row>
    <row r="939" spans="1:26" ht="24" customHeight="1" x14ac:dyDescent="0.5">
      <c r="A939" s="81"/>
      <c r="B939" s="81"/>
      <c r="C939" s="81"/>
      <c r="D939" s="81"/>
      <c r="E939" s="81"/>
      <c r="F939" s="81"/>
      <c r="G939" s="81"/>
      <c r="H939" s="81"/>
      <c r="I939" s="289"/>
      <c r="J939" s="289"/>
      <c r="K939" s="105"/>
      <c r="L939" s="81"/>
      <c r="M939" s="289"/>
      <c r="N939" s="289"/>
      <c r="O939" s="105"/>
      <c r="P939" s="81"/>
      <c r="Q939" s="289"/>
      <c r="R939" s="81"/>
      <c r="S939" s="105"/>
      <c r="T939" s="81"/>
      <c r="U939" s="81"/>
      <c r="V939" s="81"/>
      <c r="W939" s="81"/>
      <c r="X939" s="81"/>
      <c r="Y939" s="81"/>
      <c r="Z939" s="81"/>
    </row>
    <row r="940" spans="1:26" ht="24" customHeight="1" x14ac:dyDescent="0.5">
      <c r="A940" s="81"/>
      <c r="B940" s="81"/>
      <c r="C940" s="81"/>
      <c r="D940" s="81"/>
      <c r="E940" s="81"/>
      <c r="F940" s="81"/>
      <c r="G940" s="81"/>
      <c r="H940" s="81"/>
      <c r="I940" s="289"/>
      <c r="J940" s="289"/>
      <c r="K940" s="105"/>
      <c r="L940" s="81"/>
      <c r="M940" s="289"/>
      <c r="N940" s="289"/>
      <c r="O940" s="105"/>
      <c r="P940" s="81"/>
      <c r="Q940" s="289"/>
      <c r="R940" s="81"/>
      <c r="S940" s="105"/>
      <c r="T940" s="81"/>
      <c r="U940" s="81"/>
      <c r="V940" s="81"/>
      <c r="W940" s="81"/>
      <c r="X940" s="81"/>
      <c r="Y940" s="81"/>
      <c r="Z940" s="81"/>
    </row>
    <row r="941" spans="1:26" ht="24" customHeight="1" x14ac:dyDescent="0.5">
      <c r="A941" s="81"/>
      <c r="B941" s="81"/>
      <c r="C941" s="81"/>
      <c r="D941" s="81"/>
      <c r="E941" s="81"/>
      <c r="F941" s="81"/>
      <c r="G941" s="81"/>
      <c r="H941" s="81"/>
      <c r="I941" s="289"/>
      <c r="J941" s="289"/>
      <c r="K941" s="105"/>
      <c r="L941" s="81"/>
      <c r="M941" s="289"/>
      <c r="N941" s="289"/>
      <c r="O941" s="105"/>
      <c r="P941" s="81"/>
      <c r="Q941" s="289"/>
      <c r="R941" s="81"/>
      <c r="S941" s="105"/>
      <c r="T941" s="81"/>
      <c r="U941" s="81"/>
      <c r="V941" s="81"/>
      <c r="W941" s="81"/>
      <c r="X941" s="81"/>
      <c r="Y941" s="81"/>
      <c r="Z941" s="81"/>
    </row>
    <row r="942" spans="1:26" ht="24" customHeight="1" x14ac:dyDescent="0.5">
      <c r="A942" s="81"/>
      <c r="B942" s="81"/>
      <c r="C942" s="81"/>
      <c r="D942" s="81"/>
      <c r="E942" s="81"/>
      <c r="F942" s="81"/>
      <c r="G942" s="81"/>
      <c r="H942" s="81"/>
      <c r="I942" s="289"/>
      <c r="J942" s="289"/>
      <c r="K942" s="105"/>
      <c r="L942" s="81"/>
      <c r="M942" s="289"/>
      <c r="N942" s="289"/>
      <c r="O942" s="105"/>
      <c r="P942" s="81"/>
      <c r="Q942" s="289"/>
      <c r="R942" s="81"/>
      <c r="S942" s="105"/>
      <c r="T942" s="81"/>
      <c r="U942" s="81"/>
      <c r="V942" s="81"/>
      <c r="W942" s="81"/>
      <c r="X942" s="81"/>
      <c r="Y942" s="81"/>
      <c r="Z942" s="81"/>
    </row>
    <row r="943" spans="1:26" ht="24" customHeight="1" x14ac:dyDescent="0.5">
      <c r="A943" s="81"/>
      <c r="B943" s="81"/>
      <c r="C943" s="81"/>
      <c r="D943" s="81"/>
      <c r="E943" s="81"/>
      <c r="F943" s="81"/>
      <c r="G943" s="81"/>
      <c r="H943" s="81"/>
      <c r="I943" s="289"/>
      <c r="J943" s="289"/>
      <c r="K943" s="105"/>
      <c r="L943" s="81"/>
      <c r="M943" s="289"/>
      <c r="N943" s="289"/>
      <c r="O943" s="105"/>
      <c r="P943" s="81"/>
      <c r="Q943" s="289"/>
      <c r="R943" s="81"/>
      <c r="S943" s="105"/>
      <c r="T943" s="81"/>
      <c r="U943" s="81"/>
      <c r="V943" s="81"/>
      <c r="W943" s="81"/>
      <c r="X943" s="81"/>
      <c r="Y943" s="81"/>
      <c r="Z943" s="81"/>
    </row>
    <row r="944" spans="1:26" ht="24" customHeight="1" x14ac:dyDescent="0.5">
      <c r="A944" s="81"/>
      <c r="B944" s="81"/>
      <c r="C944" s="81"/>
      <c r="D944" s="81"/>
      <c r="E944" s="81"/>
      <c r="F944" s="81"/>
      <c r="G944" s="81"/>
      <c r="H944" s="81"/>
      <c r="I944" s="289"/>
      <c r="J944" s="289"/>
      <c r="K944" s="105"/>
      <c r="L944" s="81"/>
      <c r="M944" s="289"/>
      <c r="N944" s="289"/>
      <c r="O944" s="105"/>
      <c r="P944" s="81"/>
      <c r="Q944" s="289"/>
      <c r="R944" s="81"/>
      <c r="S944" s="105"/>
      <c r="T944" s="81"/>
      <c r="U944" s="81"/>
      <c r="V944" s="81"/>
      <c r="W944" s="81"/>
      <c r="X944" s="81"/>
      <c r="Y944" s="81"/>
      <c r="Z944" s="81"/>
    </row>
    <row r="945" spans="1:26" ht="24" customHeight="1" x14ac:dyDescent="0.5">
      <c r="A945" s="81"/>
      <c r="B945" s="81"/>
      <c r="C945" s="81"/>
      <c r="D945" s="81"/>
      <c r="E945" s="81"/>
      <c r="F945" s="81"/>
      <c r="G945" s="81"/>
      <c r="H945" s="81"/>
      <c r="I945" s="289"/>
      <c r="J945" s="289"/>
      <c r="K945" s="105"/>
      <c r="L945" s="81"/>
      <c r="M945" s="289"/>
      <c r="N945" s="289"/>
      <c r="O945" s="105"/>
      <c r="P945" s="81"/>
      <c r="Q945" s="289"/>
      <c r="R945" s="81"/>
      <c r="S945" s="105"/>
      <c r="T945" s="81"/>
      <c r="U945" s="81"/>
      <c r="V945" s="81"/>
      <c r="W945" s="81"/>
      <c r="X945" s="81"/>
      <c r="Y945" s="81"/>
      <c r="Z945" s="81"/>
    </row>
    <row r="946" spans="1:26" ht="24" customHeight="1" x14ac:dyDescent="0.5">
      <c r="A946" s="81"/>
      <c r="B946" s="81"/>
      <c r="C946" s="81"/>
      <c r="D946" s="81"/>
      <c r="E946" s="81"/>
      <c r="F946" s="81"/>
      <c r="G946" s="81"/>
      <c r="H946" s="81"/>
      <c r="I946" s="289"/>
      <c r="J946" s="289"/>
      <c r="K946" s="105"/>
      <c r="L946" s="81"/>
      <c r="M946" s="289"/>
      <c r="N946" s="289"/>
      <c r="O946" s="105"/>
      <c r="P946" s="81"/>
      <c r="Q946" s="289"/>
      <c r="R946" s="81"/>
      <c r="S946" s="105"/>
      <c r="T946" s="81"/>
      <c r="U946" s="81"/>
      <c r="V946" s="81"/>
      <c r="W946" s="81"/>
      <c r="X946" s="81"/>
      <c r="Y946" s="81"/>
      <c r="Z946" s="81"/>
    </row>
    <row r="947" spans="1:26" ht="24" customHeight="1" x14ac:dyDescent="0.5">
      <c r="A947" s="81"/>
      <c r="B947" s="81"/>
      <c r="C947" s="81"/>
      <c r="D947" s="81"/>
      <c r="E947" s="81"/>
      <c r="F947" s="81"/>
      <c r="G947" s="81"/>
      <c r="H947" s="81"/>
      <c r="I947" s="289"/>
      <c r="J947" s="289"/>
      <c r="K947" s="105"/>
      <c r="L947" s="81"/>
      <c r="M947" s="289"/>
      <c r="N947" s="289"/>
      <c r="O947" s="105"/>
      <c r="P947" s="81"/>
      <c r="Q947" s="289"/>
      <c r="R947" s="81"/>
      <c r="S947" s="105"/>
      <c r="T947" s="81"/>
      <c r="U947" s="81"/>
      <c r="V947" s="81"/>
      <c r="W947" s="81"/>
      <c r="X947" s="81"/>
      <c r="Y947" s="81"/>
      <c r="Z947" s="81"/>
    </row>
    <row r="948" spans="1:26" ht="24" customHeight="1" x14ac:dyDescent="0.5">
      <c r="A948" s="81"/>
      <c r="B948" s="81"/>
      <c r="C948" s="81"/>
      <c r="D948" s="81"/>
      <c r="E948" s="81"/>
      <c r="F948" s="81"/>
      <c r="G948" s="81"/>
      <c r="H948" s="81"/>
      <c r="I948" s="289"/>
      <c r="J948" s="289"/>
      <c r="K948" s="105"/>
      <c r="L948" s="81"/>
      <c r="M948" s="289"/>
      <c r="N948" s="289"/>
      <c r="O948" s="105"/>
      <c r="P948" s="81"/>
      <c r="Q948" s="289"/>
      <c r="R948" s="81"/>
      <c r="S948" s="105"/>
      <c r="T948" s="81"/>
      <c r="U948" s="81"/>
      <c r="V948" s="81"/>
      <c r="W948" s="81"/>
      <c r="X948" s="81"/>
      <c r="Y948" s="81"/>
      <c r="Z948" s="81"/>
    </row>
    <row r="949" spans="1:26" ht="24" customHeight="1" x14ac:dyDescent="0.5">
      <c r="A949" s="81"/>
      <c r="B949" s="81"/>
      <c r="C949" s="81"/>
      <c r="D949" s="81"/>
      <c r="E949" s="81"/>
      <c r="F949" s="81"/>
      <c r="G949" s="81"/>
      <c r="H949" s="81"/>
      <c r="I949" s="289"/>
      <c r="J949" s="289"/>
      <c r="K949" s="105"/>
      <c r="L949" s="81"/>
      <c r="M949" s="289"/>
      <c r="N949" s="289"/>
      <c r="O949" s="105"/>
      <c r="P949" s="81"/>
      <c r="Q949" s="289"/>
      <c r="R949" s="81"/>
      <c r="S949" s="105"/>
      <c r="T949" s="81"/>
      <c r="U949" s="81"/>
      <c r="V949" s="81"/>
      <c r="W949" s="81"/>
      <c r="X949" s="81"/>
      <c r="Y949" s="81"/>
      <c r="Z949" s="81"/>
    </row>
    <row r="950" spans="1:26" ht="24" customHeight="1" x14ac:dyDescent="0.5">
      <c r="A950" s="81"/>
      <c r="B950" s="81"/>
      <c r="C950" s="81"/>
      <c r="D950" s="81"/>
      <c r="E950" s="81"/>
      <c r="F950" s="81"/>
      <c r="G950" s="81"/>
      <c r="H950" s="81"/>
      <c r="I950" s="289"/>
      <c r="J950" s="289"/>
      <c r="K950" s="105"/>
      <c r="L950" s="81"/>
      <c r="M950" s="289"/>
      <c r="N950" s="289"/>
      <c r="O950" s="105"/>
      <c r="P950" s="81"/>
      <c r="Q950" s="289"/>
      <c r="R950" s="81"/>
      <c r="S950" s="105"/>
      <c r="T950" s="81"/>
      <c r="U950" s="81"/>
      <c r="V950" s="81"/>
      <c r="W950" s="81"/>
      <c r="X950" s="81"/>
      <c r="Y950" s="81"/>
      <c r="Z950" s="81"/>
    </row>
    <row r="951" spans="1:26" ht="24" customHeight="1" x14ac:dyDescent="0.5">
      <c r="A951" s="81"/>
      <c r="B951" s="81"/>
      <c r="C951" s="81"/>
      <c r="D951" s="81"/>
      <c r="E951" s="81"/>
      <c r="F951" s="81"/>
      <c r="G951" s="81"/>
      <c r="H951" s="81"/>
      <c r="I951" s="289"/>
      <c r="J951" s="289"/>
      <c r="K951" s="105"/>
      <c r="L951" s="81"/>
      <c r="M951" s="289"/>
      <c r="N951" s="289"/>
      <c r="O951" s="105"/>
      <c r="P951" s="81"/>
      <c r="Q951" s="289"/>
      <c r="R951" s="81"/>
      <c r="S951" s="105"/>
      <c r="T951" s="81"/>
      <c r="U951" s="81"/>
      <c r="V951" s="81"/>
      <c r="W951" s="81"/>
      <c r="X951" s="81"/>
      <c r="Y951" s="81"/>
      <c r="Z951" s="81"/>
    </row>
    <row r="952" spans="1:26" ht="24" customHeight="1" x14ac:dyDescent="0.5">
      <c r="A952" s="81"/>
      <c r="B952" s="81"/>
      <c r="C952" s="81"/>
      <c r="D952" s="81"/>
      <c r="E952" s="81"/>
      <c r="F952" s="81"/>
      <c r="G952" s="81"/>
      <c r="H952" s="81"/>
      <c r="I952" s="289"/>
      <c r="J952" s="289"/>
      <c r="K952" s="105"/>
      <c r="L952" s="81"/>
      <c r="M952" s="289"/>
      <c r="N952" s="289"/>
      <c r="O952" s="105"/>
      <c r="P952" s="81"/>
      <c r="Q952" s="289"/>
      <c r="R952" s="81"/>
      <c r="S952" s="105"/>
      <c r="T952" s="81"/>
      <c r="U952" s="81"/>
      <c r="V952" s="81"/>
      <c r="W952" s="81"/>
      <c r="X952" s="81"/>
      <c r="Y952" s="81"/>
      <c r="Z952" s="81"/>
    </row>
    <row r="953" spans="1:26" ht="24" customHeight="1" x14ac:dyDescent="0.5">
      <c r="A953" s="81"/>
      <c r="B953" s="81"/>
      <c r="C953" s="81"/>
      <c r="D953" s="81"/>
      <c r="E953" s="81"/>
      <c r="F953" s="81"/>
      <c r="G953" s="81"/>
      <c r="H953" s="81"/>
      <c r="I953" s="289"/>
      <c r="J953" s="289"/>
      <c r="K953" s="105"/>
      <c r="L953" s="81"/>
      <c r="M953" s="289"/>
      <c r="N953" s="289"/>
      <c r="O953" s="105"/>
      <c r="P953" s="81"/>
      <c r="Q953" s="289"/>
      <c r="R953" s="81"/>
      <c r="S953" s="105"/>
      <c r="T953" s="81"/>
      <c r="U953" s="81"/>
      <c r="V953" s="81"/>
      <c r="W953" s="81"/>
      <c r="X953" s="81"/>
      <c r="Y953" s="81"/>
      <c r="Z953" s="81"/>
    </row>
    <row r="954" spans="1:26" ht="24" customHeight="1" x14ac:dyDescent="0.5">
      <c r="A954" s="81"/>
      <c r="B954" s="81"/>
      <c r="C954" s="81"/>
      <c r="D954" s="81"/>
      <c r="E954" s="81"/>
      <c r="F954" s="81"/>
      <c r="G954" s="81"/>
      <c r="H954" s="81"/>
      <c r="I954" s="289"/>
      <c r="J954" s="289"/>
      <c r="K954" s="105"/>
      <c r="L954" s="81"/>
      <c r="M954" s="289"/>
      <c r="N954" s="289"/>
      <c r="O954" s="105"/>
      <c r="P954" s="81"/>
      <c r="Q954" s="289"/>
      <c r="R954" s="81"/>
      <c r="S954" s="105"/>
      <c r="T954" s="81"/>
      <c r="U954" s="81"/>
      <c r="V954" s="81"/>
      <c r="W954" s="81"/>
      <c r="X954" s="81"/>
      <c r="Y954" s="81"/>
      <c r="Z954" s="81"/>
    </row>
    <row r="955" spans="1:26" ht="24" customHeight="1" x14ac:dyDescent="0.5">
      <c r="A955" s="81"/>
      <c r="B955" s="81"/>
      <c r="C955" s="81"/>
      <c r="D955" s="81"/>
      <c r="E955" s="81"/>
      <c r="F955" s="81"/>
      <c r="G955" s="81"/>
      <c r="H955" s="81"/>
      <c r="I955" s="289"/>
      <c r="J955" s="289"/>
      <c r="K955" s="105"/>
      <c r="L955" s="81"/>
      <c r="M955" s="289"/>
      <c r="N955" s="289"/>
      <c r="O955" s="105"/>
      <c r="P955" s="81"/>
      <c r="Q955" s="289"/>
      <c r="R955" s="81"/>
      <c r="S955" s="105"/>
      <c r="T955" s="81"/>
      <c r="U955" s="81"/>
      <c r="V955" s="81"/>
      <c r="W955" s="81"/>
      <c r="X955" s="81"/>
      <c r="Y955" s="81"/>
      <c r="Z955" s="81"/>
    </row>
    <row r="956" spans="1:26" ht="24" customHeight="1" x14ac:dyDescent="0.5">
      <c r="A956" s="81"/>
      <c r="B956" s="81"/>
      <c r="C956" s="81"/>
      <c r="D956" s="81"/>
      <c r="E956" s="81"/>
      <c r="F956" s="81"/>
      <c r="G956" s="81"/>
      <c r="H956" s="81"/>
      <c r="I956" s="289"/>
      <c r="J956" s="289"/>
      <c r="K956" s="105"/>
      <c r="L956" s="81"/>
      <c r="M956" s="289"/>
      <c r="N956" s="289"/>
      <c r="O956" s="105"/>
      <c r="P956" s="81"/>
      <c r="Q956" s="289"/>
      <c r="R956" s="81"/>
      <c r="S956" s="105"/>
      <c r="T956" s="81"/>
      <c r="U956" s="81"/>
      <c r="V956" s="81"/>
      <c r="W956" s="81"/>
      <c r="X956" s="81"/>
      <c r="Y956" s="81"/>
      <c r="Z956" s="81"/>
    </row>
    <row r="957" spans="1:26" ht="24" customHeight="1" x14ac:dyDescent="0.5">
      <c r="A957" s="81"/>
      <c r="B957" s="81"/>
      <c r="C957" s="81"/>
      <c r="D957" s="81"/>
      <c r="E957" s="81"/>
      <c r="F957" s="81"/>
      <c r="G957" s="81"/>
      <c r="H957" s="81"/>
      <c r="I957" s="289"/>
      <c r="J957" s="289"/>
      <c r="K957" s="105"/>
      <c r="L957" s="81"/>
      <c r="M957" s="289"/>
      <c r="N957" s="289"/>
      <c r="O957" s="105"/>
      <c r="P957" s="81"/>
      <c r="Q957" s="289"/>
      <c r="R957" s="81"/>
      <c r="S957" s="105"/>
      <c r="T957" s="81"/>
      <c r="U957" s="81"/>
      <c r="V957" s="81"/>
      <c r="W957" s="81"/>
      <c r="X957" s="81"/>
      <c r="Y957" s="81"/>
      <c r="Z957" s="81"/>
    </row>
    <row r="958" spans="1:26" ht="24" customHeight="1" x14ac:dyDescent="0.5">
      <c r="A958" s="81"/>
      <c r="B958" s="81"/>
      <c r="C958" s="81"/>
      <c r="D958" s="81"/>
      <c r="E958" s="81"/>
      <c r="F958" s="81"/>
      <c r="G958" s="81"/>
      <c r="H958" s="81"/>
      <c r="I958" s="289"/>
      <c r="J958" s="289"/>
      <c r="K958" s="105"/>
      <c r="L958" s="81"/>
      <c r="M958" s="289"/>
      <c r="N958" s="289"/>
      <c r="O958" s="105"/>
      <c r="P958" s="81"/>
      <c r="Q958" s="289"/>
      <c r="R958" s="81"/>
      <c r="S958" s="105"/>
      <c r="T958" s="81"/>
      <c r="U958" s="81"/>
      <c r="V958" s="81"/>
      <c r="W958" s="81"/>
      <c r="X958" s="81"/>
      <c r="Y958" s="81"/>
      <c r="Z958" s="81"/>
    </row>
    <row r="959" spans="1:26" ht="24" customHeight="1" x14ac:dyDescent="0.5">
      <c r="A959" s="81"/>
      <c r="B959" s="81"/>
      <c r="C959" s="81"/>
      <c r="D959" s="81"/>
      <c r="E959" s="81"/>
      <c r="F959" s="81"/>
      <c r="G959" s="81"/>
      <c r="H959" s="81"/>
      <c r="I959" s="289"/>
      <c r="J959" s="289"/>
      <c r="K959" s="105"/>
      <c r="L959" s="81"/>
      <c r="M959" s="289"/>
      <c r="N959" s="289"/>
      <c r="O959" s="105"/>
      <c r="P959" s="81"/>
      <c r="Q959" s="289"/>
      <c r="R959" s="81"/>
      <c r="S959" s="105"/>
      <c r="T959" s="81"/>
      <c r="U959" s="81"/>
      <c r="V959" s="81"/>
      <c r="W959" s="81"/>
      <c r="X959" s="81"/>
      <c r="Y959" s="81"/>
      <c r="Z959" s="81"/>
    </row>
    <row r="960" spans="1:26" ht="24" customHeight="1" x14ac:dyDescent="0.5">
      <c r="A960" s="81"/>
      <c r="B960" s="81"/>
      <c r="C960" s="81"/>
      <c r="D960" s="81"/>
      <c r="E960" s="81"/>
      <c r="F960" s="81"/>
      <c r="G960" s="81"/>
      <c r="H960" s="81"/>
      <c r="I960" s="289"/>
      <c r="J960" s="289"/>
      <c r="K960" s="105"/>
      <c r="L960" s="81"/>
      <c r="M960" s="289"/>
      <c r="N960" s="289"/>
      <c r="O960" s="105"/>
      <c r="P960" s="81"/>
      <c r="Q960" s="289"/>
      <c r="R960" s="81"/>
      <c r="S960" s="105"/>
      <c r="T960" s="81"/>
      <c r="U960" s="81"/>
      <c r="V960" s="81"/>
      <c r="W960" s="81"/>
      <c r="X960" s="81"/>
      <c r="Y960" s="81"/>
      <c r="Z960" s="81"/>
    </row>
    <row r="961" spans="1:26" ht="24" customHeight="1" x14ac:dyDescent="0.5">
      <c r="A961" s="81"/>
      <c r="B961" s="81"/>
      <c r="C961" s="81"/>
      <c r="D961" s="81"/>
      <c r="E961" s="81"/>
      <c r="F961" s="81"/>
      <c r="G961" s="81"/>
      <c r="H961" s="81"/>
      <c r="I961" s="289"/>
      <c r="J961" s="289"/>
      <c r="K961" s="105"/>
      <c r="L961" s="81"/>
      <c r="M961" s="289"/>
      <c r="N961" s="289"/>
      <c r="O961" s="105"/>
      <c r="P961" s="81"/>
      <c r="Q961" s="289"/>
      <c r="R961" s="81"/>
      <c r="S961" s="105"/>
      <c r="T961" s="81"/>
      <c r="U961" s="81"/>
      <c r="V961" s="81"/>
      <c r="W961" s="81"/>
      <c r="X961" s="81"/>
      <c r="Y961" s="81"/>
      <c r="Z961" s="81"/>
    </row>
    <row r="962" spans="1:26" ht="24" customHeight="1" x14ac:dyDescent="0.5">
      <c r="A962" s="81"/>
      <c r="B962" s="81"/>
      <c r="C962" s="81"/>
      <c r="D962" s="81"/>
      <c r="E962" s="81"/>
      <c r="F962" s="81"/>
      <c r="G962" s="81"/>
      <c r="H962" s="81"/>
      <c r="I962" s="289"/>
      <c r="J962" s="289"/>
      <c r="K962" s="105"/>
      <c r="L962" s="81"/>
      <c r="M962" s="289"/>
      <c r="N962" s="289"/>
      <c r="O962" s="105"/>
      <c r="P962" s="81"/>
      <c r="Q962" s="289"/>
      <c r="R962" s="81"/>
      <c r="S962" s="105"/>
      <c r="T962" s="81"/>
      <c r="U962" s="81"/>
      <c r="V962" s="81"/>
      <c r="W962" s="81"/>
      <c r="X962" s="81"/>
      <c r="Y962" s="81"/>
      <c r="Z962" s="81"/>
    </row>
    <row r="963" spans="1:26" ht="24" customHeight="1" x14ac:dyDescent="0.5">
      <c r="A963" s="81"/>
      <c r="B963" s="81"/>
      <c r="C963" s="81"/>
      <c r="D963" s="81"/>
      <c r="E963" s="81"/>
      <c r="F963" s="81"/>
      <c r="G963" s="81"/>
      <c r="H963" s="81"/>
      <c r="I963" s="289"/>
      <c r="J963" s="289"/>
      <c r="K963" s="105"/>
      <c r="L963" s="81"/>
      <c r="M963" s="289"/>
      <c r="N963" s="289"/>
      <c r="O963" s="105"/>
      <c r="P963" s="81"/>
      <c r="Q963" s="289"/>
      <c r="R963" s="81"/>
      <c r="S963" s="105"/>
      <c r="T963" s="81"/>
      <c r="U963" s="81"/>
      <c r="V963" s="81"/>
      <c r="W963" s="81"/>
      <c r="X963" s="81"/>
      <c r="Y963" s="81"/>
      <c r="Z963" s="81"/>
    </row>
    <row r="964" spans="1:26" ht="24" customHeight="1" x14ac:dyDescent="0.5">
      <c r="A964" s="81"/>
      <c r="B964" s="81"/>
      <c r="C964" s="81"/>
      <c r="D964" s="81"/>
      <c r="E964" s="81"/>
      <c r="F964" s="81"/>
      <c r="G964" s="81"/>
      <c r="H964" s="81"/>
      <c r="I964" s="289"/>
      <c r="J964" s="289"/>
      <c r="K964" s="105"/>
      <c r="L964" s="81"/>
      <c r="M964" s="289"/>
      <c r="N964" s="289"/>
      <c r="O964" s="105"/>
      <c r="P964" s="81"/>
      <c r="Q964" s="289"/>
      <c r="R964" s="81"/>
      <c r="S964" s="105"/>
      <c r="T964" s="81"/>
      <c r="U964" s="81"/>
      <c r="V964" s="81"/>
      <c r="W964" s="81"/>
      <c r="X964" s="81"/>
      <c r="Y964" s="81"/>
      <c r="Z964" s="81"/>
    </row>
    <row r="965" spans="1:26" ht="24" customHeight="1" x14ac:dyDescent="0.5">
      <c r="A965" s="81"/>
      <c r="B965" s="81"/>
      <c r="C965" s="81"/>
      <c r="D965" s="81"/>
      <c r="E965" s="81"/>
      <c r="F965" s="81"/>
      <c r="G965" s="81"/>
      <c r="H965" s="81"/>
      <c r="I965" s="289"/>
      <c r="J965" s="289"/>
      <c r="K965" s="105"/>
      <c r="L965" s="81"/>
      <c r="M965" s="289"/>
      <c r="N965" s="289"/>
      <c r="O965" s="105"/>
      <c r="P965" s="81"/>
      <c r="Q965" s="289"/>
      <c r="R965" s="81"/>
      <c r="S965" s="105"/>
      <c r="T965" s="81"/>
      <c r="U965" s="81"/>
      <c r="V965" s="81"/>
      <c r="W965" s="81"/>
      <c r="X965" s="81"/>
      <c r="Y965" s="81"/>
      <c r="Z965" s="81"/>
    </row>
    <row r="966" spans="1:26" ht="24" customHeight="1" x14ac:dyDescent="0.5">
      <c r="A966" s="81"/>
      <c r="B966" s="81"/>
      <c r="C966" s="81"/>
      <c r="D966" s="81"/>
      <c r="E966" s="81"/>
      <c r="F966" s="81"/>
      <c r="G966" s="81"/>
      <c r="H966" s="81"/>
      <c r="I966" s="289"/>
      <c r="J966" s="289"/>
      <c r="K966" s="105"/>
      <c r="L966" s="81"/>
      <c r="M966" s="289"/>
      <c r="N966" s="289"/>
      <c r="O966" s="105"/>
      <c r="P966" s="81"/>
      <c r="Q966" s="289"/>
      <c r="R966" s="81"/>
      <c r="S966" s="105"/>
      <c r="T966" s="81"/>
      <c r="U966" s="81"/>
      <c r="V966" s="81"/>
      <c r="W966" s="81"/>
      <c r="X966" s="81"/>
      <c r="Y966" s="81"/>
      <c r="Z966" s="81"/>
    </row>
    <row r="967" spans="1:26" ht="24" customHeight="1" x14ac:dyDescent="0.5">
      <c r="A967" s="81"/>
      <c r="B967" s="81"/>
      <c r="C967" s="81"/>
      <c r="D967" s="81"/>
      <c r="E967" s="81"/>
      <c r="F967" s="81"/>
      <c r="G967" s="81"/>
      <c r="H967" s="81"/>
      <c r="I967" s="289"/>
      <c r="J967" s="289"/>
      <c r="K967" s="105"/>
      <c r="L967" s="81"/>
      <c r="M967" s="289"/>
      <c r="N967" s="289"/>
      <c r="O967" s="105"/>
      <c r="P967" s="81"/>
      <c r="Q967" s="289"/>
      <c r="R967" s="81"/>
      <c r="S967" s="105"/>
      <c r="T967" s="81"/>
      <c r="U967" s="81"/>
      <c r="V967" s="81"/>
      <c r="W967" s="81"/>
      <c r="X967" s="81"/>
      <c r="Y967" s="81"/>
      <c r="Z967" s="81"/>
    </row>
    <row r="968" spans="1:26" ht="24" customHeight="1" x14ac:dyDescent="0.5">
      <c r="A968" s="81"/>
      <c r="B968" s="81"/>
      <c r="C968" s="81"/>
      <c r="D968" s="81"/>
      <c r="E968" s="81"/>
      <c r="F968" s="81"/>
      <c r="G968" s="81"/>
      <c r="H968" s="81"/>
      <c r="I968" s="289"/>
      <c r="J968" s="289"/>
      <c r="K968" s="105"/>
      <c r="L968" s="81"/>
      <c r="M968" s="289"/>
      <c r="N968" s="289"/>
      <c r="O968" s="105"/>
      <c r="P968" s="81"/>
      <c r="Q968" s="289"/>
      <c r="R968" s="81"/>
      <c r="S968" s="105"/>
      <c r="T968" s="81"/>
      <c r="U968" s="81"/>
      <c r="V968" s="81"/>
      <c r="W968" s="81"/>
      <c r="X968" s="81"/>
      <c r="Y968" s="81"/>
      <c r="Z968" s="81"/>
    </row>
    <row r="969" spans="1:26" ht="24" customHeight="1" x14ac:dyDescent="0.5">
      <c r="A969" s="81"/>
      <c r="B969" s="81"/>
      <c r="C969" s="81"/>
      <c r="D969" s="81"/>
      <c r="E969" s="81"/>
      <c r="F969" s="81"/>
      <c r="G969" s="81"/>
      <c r="H969" s="81"/>
      <c r="I969" s="289"/>
      <c r="J969" s="289"/>
      <c r="K969" s="105"/>
      <c r="L969" s="81"/>
      <c r="M969" s="289"/>
      <c r="N969" s="289"/>
      <c r="O969" s="105"/>
      <c r="P969" s="81"/>
      <c r="Q969" s="289"/>
      <c r="R969" s="81"/>
      <c r="S969" s="105"/>
      <c r="T969" s="81"/>
      <c r="U969" s="81"/>
      <c r="V969" s="81"/>
      <c r="W969" s="81"/>
      <c r="X969" s="81"/>
      <c r="Y969" s="81"/>
      <c r="Z969" s="81"/>
    </row>
    <row r="970" spans="1:26" ht="24" customHeight="1" x14ac:dyDescent="0.5">
      <c r="A970" s="81"/>
      <c r="B970" s="81"/>
      <c r="C970" s="81"/>
      <c r="D970" s="81"/>
      <c r="E970" s="81"/>
      <c r="F970" s="81"/>
      <c r="G970" s="81"/>
      <c r="H970" s="81"/>
      <c r="I970" s="289"/>
      <c r="J970" s="289"/>
      <c r="K970" s="105"/>
      <c r="L970" s="81"/>
      <c r="M970" s="289"/>
      <c r="N970" s="289"/>
      <c r="O970" s="105"/>
      <c r="P970" s="81"/>
      <c r="Q970" s="289"/>
      <c r="R970" s="81"/>
      <c r="S970" s="105"/>
      <c r="T970" s="81"/>
      <c r="U970" s="81"/>
      <c r="V970" s="81"/>
      <c r="W970" s="81"/>
      <c r="X970" s="81"/>
      <c r="Y970" s="81"/>
      <c r="Z970" s="81"/>
    </row>
    <row r="971" spans="1:26" ht="24" customHeight="1" x14ac:dyDescent="0.5">
      <c r="A971" s="81"/>
      <c r="B971" s="81"/>
      <c r="C971" s="81"/>
      <c r="D971" s="81"/>
      <c r="E971" s="81"/>
      <c r="F971" s="81"/>
      <c r="G971" s="81"/>
      <c r="H971" s="81"/>
      <c r="I971" s="289"/>
      <c r="J971" s="289"/>
      <c r="K971" s="105"/>
      <c r="L971" s="81"/>
      <c r="M971" s="289"/>
      <c r="N971" s="289"/>
      <c r="O971" s="105"/>
      <c r="P971" s="81"/>
      <c r="Q971" s="289"/>
      <c r="R971" s="81"/>
      <c r="S971" s="105"/>
      <c r="T971" s="81"/>
      <c r="U971" s="81"/>
      <c r="V971" s="81"/>
      <c r="W971" s="81"/>
      <c r="X971" s="81"/>
      <c r="Y971" s="81"/>
      <c r="Z971" s="81"/>
    </row>
    <row r="972" spans="1:26" ht="24" customHeight="1" x14ac:dyDescent="0.5">
      <c r="A972" s="81"/>
      <c r="B972" s="81"/>
      <c r="C972" s="81"/>
      <c r="D972" s="81"/>
      <c r="E972" s="81"/>
      <c r="F972" s="81"/>
      <c r="G972" s="81"/>
      <c r="H972" s="81"/>
      <c r="I972" s="289"/>
      <c r="J972" s="289"/>
      <c r="K972" s="105"/>
      <c r="L972" s="81"/>
      <c r="M972" s="289"/>
      <c r="N972" s="289"/>
      <c r="O972" s="105"/>
      <c r="P972" s="81"/>
      <c r="Q972" s="289"/>
      <c r="R972" s="81"/>
      <c r="S972" s="105"/>
      <c r="T972" s="81"/>
      <c r="U972" s="81"/>
      <c r="V972" s="81"/>
      <c r="W972" s="81"/>
      <c r="X972" s="81"/>
      <c r="Y972" s="81"/>
      <c r="Z972" s="81"/>
    </row>
    <row r="973" spans="1:26" ht="24" customHeight="1" x14ac:dyDescent="0.5">
      <c r="A973" s="81"/>
      <c r="B973" s="81"/>
      <c r="C973" s="81"/>
      <c r="D973" s="81"/>
      <c r="E973" s="81"/>
      <c r="F973" s="81"/>
      <c r="G973" s="81"/>
      <c r="H973" s="81"/>
      <c r="I973" s="289"/>
      <c r="J973" s="289"/>
      <c r="K973" s="105"/>
      <c r="L973" s="81"/>
      <c r="M973" s="289"/>
      <c r="N973" s="289"/>
      <c r="O973" s="105"/>
      <c r="P973" s="81"/>
      <c r="Q973" s="289"/>
      <c r="R973" s="81"/>
      <c r="S973" s="105"/>
      <c r="T973" s="81"/>
      <c r="U973" s="81"/>
      <c r="V973" s="81"/>
      <c r="W973" s="81"/>
      <c r="X973" s="81"/>
      <c r="Y973" s="81"/>
      <c r="Z973" s="81"/>
    </row>
    <row r="974" spans="1:26" ht="24" customHeight="1" x14ac:dyDescent="0.5">
      <c r="A974" s="81"/>
      <c r="B974" s="81"/>
      <c r="C974" s="81"/>
      <c r="D974" s="81"/>
      <c r="E974" s="81"/>
      <c r="F974" s="81"/>
      <c r="G974" s="81"/>
      <c r="H974" s="81"/>
      <c r="I974" s="289"/>
      <c r="J974" s="289"/>
      <c r="K974" s="105"/>
      <c r="L974" s="81"/>
      <c r="M974" s="289"/>
      <c r="N974" s="289"/>
      <c r="O974" s="105"/>
      <c r="P974" s="81"/>
      <c r="Q974" s="289"/>
      <c r="R974" s="81"/>
      <c r="S974" s="105"/>
      <c r="T974" s="81"/>
      <c r="U974" s="81"/>
      <c r="V974" s="81"/>
      <c r="W974" s="81"/>
      <c r="X974" s="81"/>
      <c r="Y974" s="81"/>
      <c r="Z974" s="81"/>
    </row>
    <row r="975" spans="1:26" ht="24" customHeight="1" x14ac:dyDescent="0.5">
      <c r="A975" s="81"/>
      <c r="B975" s="81"/>
      <c r="C975" s="81"/>
      <c r="D975" s="81"/>
      <c r="E975" s="81"/>
      <c r="F975" s="81"/>
      <c r="G975" s="81"/>
      <c r="H975" s="81"/>
      <c r="I975" s="289"/>
      <c r="J975" s="289"/>
      <c r="K975" s="105"/>
      <c r="L975" s="81"/>
      <c r="M975" s="289"/>
      <c r="N975" s="289"/>
      <c r="O975" s="105"/>
      <c r="P975" s="81"/>
      <c r="Q975" s="289"/>
      <c r="R975" s="81"/>
      <c r="S975" s="105"/>
      <c r="T975" s="81"/>
      <c r="U975" s="81"/>
      <c r="V975" s="81"/>
      <c r="W975" s="81"/>
      <c r="X975" s="81"/>
      <c r="Y975" s="81"/>
      <c r="Z975" s="81"/>
    </row>
    <row r="976" spans="1:26" ht="24" customHeight="1" x14ac:dyDescent="0.5">
      <c r="A976" s="81"/>
      <c r="B976" s="81"/>
      <c r="C976" s="81"/>
      <c r="D976" s="81"/>
      <c r="E976" s="81"/>
      <c r="F976" s="81"/>
      <c r="G976" s="81"/>
      <c r="H976" s="81"/>
      <c r="I976" s="289"/>
      <c r="J976" s="289"/>
      <c r="K976" s="105"/>
      <c r="L976" s="81"/>
      <c r="M976" s="289"/>
      <c r="N976" s="289"/>
      <c r="O976" s="105"/>
      <c r="P976" s="81"/>
      <c r="Q976" s="289"/>
      <c r="R976" s="81"/>
      <c r="S976" s="105"/>
      <c r="T976" s="81"/>
      <c r="U976" s="81"/>
      <c r="V976" s="81"/>
      <c r="W976" s="81"/>
      <c r="X976" s="81"/>
      <c r="Y976" s="81"/>
      <c r="Z976" s="81"/>
    </row>
    <row r="977" spans="1:26" ht="24" customHeight="1" x14ac:dyDescent="0.5">
      <c r="A977" s="81"/>
      <c r="B977" s="81"/>
      <c r="C977" s="81"/>
      <c r="D977" s="81"/>
      <c r="E977" s="81"/>
      <c r="F977" s="81"/>
      <c r="G977" s="81"/>
      <c r="H977" s="81"/>
      <c r="I977" s="289"/>
      <c r="J977" s="289"/>
      <c r="K977" s="105"/>
      <c r="L977" s="81"/>
      <c r="M977" s="289"/>
      <c r="N977" s="289"/>
      <c r="O977" s="105"/>
      <c r="P977" s="81"/>
      <c r="Q977" s="289"/>
      <c r="R977" s="81"/>
      <c r="S977" s="105"/>
      <c r="T977" s="81"/>
      <c r="U977" s="81"/>
      <c r="V977" s="81"/>
      <c r="W977" s="81"/>
      <c r="X977" s="81"/>
      <c r="Y977" s="81"/>
      <c r="Z977" s="81"/>
    </row>
    <row r="978" spans="1:26" ht="24" customHeight="1" x14ac:dyDescent="0.5">
      <c r="A978" s="81"/>
      <c r="B978" s="81"/>
      <c r="C978" s="81"/>
      <c r="D978" s="81"/>
      <c r="E978" s="81"/>
      <c r="F978" s="81"/>
      <c r="G978" s="81"/>
      <c r="H978" s="81"/>
      <c r="I978" s="289"/>
      <c r="J978" s="289"/>
      <c r="K978" s="105"/>
      <c r="L978" s="81"/>
      <c r="M978" s="289"/>
      <c r="N978" s="289"/>
      <c r="O978" s="105"/>
      <c r="P978" s="81"/>
      <c r="Q978" s="289"/>
      <c r="R978" s="81"/>
      <c r="S978" s="105"/>
      <c r="T978" s="81"/>
      <c r="U978" s="81"/>
      <c r="V978" s="81"/>
      <c r="W978" s="81"/>
      <c r="X978" s="81"/>
      <c r="Y978" s="81"/>
      <c r="Z978" s="81"/>
    </row>
    <row r="979" spans="1:26" ht="24" customHeight="1" x14ac:dyDescent="0.5">
      <c r="A979" s="81"/>
      <c r="B979" s="81"/>
      <c r="C979" s="81"/>
      <c r="D979" s="81"/>
      <c r="E979" s="81"/>
      <c r="F979" s="81"/>
      <c r="G979" s="81"/>
      <c r="H979" s="81"/>
      <c r="I979" s="289"/>
      <c r="J979" s="289"/>
      <c r="K979" s="105"/>
      <c r="L979" s="81"/>
      <c r="M979" s="289"/>
      <c r="N979" s="289"/>
      <c r="O979" s="105"/>
      <c r="P979" s="81"/>
      <c r="Q979" s="289"/>
      <c r="R979" s="81"/>
      <c r="S979" s="105"/>
      <c r="T979" s="81"/>
      <c r="U979" s="81"/>
      <c r="V979" s="81"/>
      <c r="W979" s="81"/>
      <c r="X979" s="81"/>
      <c r="Y979" s="81"/>
      <c r="Z979" s="81"/>
    </row>
    <row r="980" spans="1:26" ht="24" customHeight="1" x14ac:dyDescent="0.5">
      <c r="A980" s="81"/>
      <c r="B980" s="81"/>
      <c r="C980" s="81"/>
      <c r="D980" s="81"/>
      <c r="E980" s="81"/>
      <c r="F980" s="81"/>
      <c r="G980" s="81"/>
      <c r="H980" s="81"/>
      <c r="I980" s="289"/>
      <c r="J980" s="289"/>
      <c r="K980" s="105"/>
      <c r="L980" s="81"/>
      <c r="M980" s="289"/>
      <c r="N980" s="289"/>
      <c r="O980" s="105"/>
      <c r="P980" s="81"/>
      <c r="Q980" s="289"/>
      <c r="R980" s="81"/>
      <c r="S980" s="105"/>
      <c r="T980" s="81"/>
      <c r="U980" s="81"/>
      <c r="V980" s="81"/>
      <c r="W980" s="81"/>
      <c r="X980" s="81"/>
      <c r="Y980" s="81"/>
      <c r="Z980" s="81"/>
    </row>
    <row r="981" spans="1:26" ht="24" customHeight="1" x14ac:dyDescent="0.5">
      <c r="A981" s="81"/>
      <c r="B981" s="81"/>
      <c r="C981" s="81"/>
      <c r="D981" s="81"/>
      <c r="E981" s="81"/>
      <c r="F981" s="81"/>
      <c r="G981" s="81"/>
      <c r="H981" s="81"/>
      <c r="I981" s="289"/>
      <c r="J981" s="289"/>
      <c r="K981" s="105"/>
      <c r="L981" s="81"/>
      <c r="M981" s="289"/>
      <c r="N981" s="289"/>
      <c r="O981" s="105"/>
      <c r="P981" s="81"/>
      <c r="Q981" s="289"/>
      <c r="R981" s="81"/>
      <c r="S981" s="105"/>
      <c r="T981" s="81"/>
      <c r="U981" s="81"/>
      <c r="V981" s="81"/>
      <c r="W981" s="81"/>
      <c r="X981" s="81"/>
      <c r="Y981" s="81"/>
      <c r="Z981" s="81"/>
    </row>
    <row r="982" spans="1:26" ht="24" customHeight="1" x14ac:dyDescent="0.5">
      <c r="A982" s="81"/>
      <c r="B982" s="81"/>
      <c r="C982" s="81"/>
      <c r="D982" s="81"/>
      <c r="E982" s="81"/>
      <c r="F982" s="81"/>
      <c r="G982" s="81"/>
      <c r="H982" s="81"/>
      <c r="I982" s="289"/>
      <c r="J982" s="289"/>
      <c r="K982" s="105"/>
      <c r="L982" s="81"/>
      <c r="M982" s="289"/>
      <c r="N982" s="289"/>
      <c r="O982" s="105"/>
      <c r="P982" s="81"/>
      <c r="Q982" s="289"/>
      <c r="R982" s="81"/>
      <c r="S982" s="105"/>
      <c r="T982" s="81"/>
      <c r="U982" s="81"/>
      <c r="V982" s="81"/>
      <c r="W982" s="81"/>
      <c r="X982" s="81"/>
      <c r="Y982" s="81"/>
      <c r="Z982" s="81"/>
    </row>
    <row r="983" spans="1:26" ht="24" customHeight="1" x14ac:dyDescent="0.5">
      <c r="A983" s="81"/>
      <c r="B983" s="81"/>
      <c r="C983" s="81"/>
      <c r="D983" s="81"/>
      <c r="E983" s="81"/>
      <c r="F983" s="81"/>
      <c r="G983" s="81"/>
      <c r="H983" s="81"/>
      <c r="I983" s="289"/>
      <c r="J983" s="289"/>
      <c r="K983" s="105"/>
      <c r="L983" s="81"/>
      <c r="M983" s="289"/>
      <c r="N983" s="289"/>
      <c r="O983" s="105"/>
      <c r="P983" s="81"/>
      <c r="Q983" s="289"/>
      <c r="R983" s="81"/>
      <c r="S983" s="105"/>
      <c r="T983" s="81"/>
      <c r="U983" s="81"/>
      <c r="V983" s="81"/>
      <c r="W983" s="81"/>
      <c r="X983" s="81"/>
      <c r="Y983" s="81"/>
      <c r="Z983" s="81"/>
    </row>
    <row r="984" spans="1:26" ht="24" customHeight="1" x14ac:dyDescent="0.5">
      <c r="A984" s="81"/>
      <c r="B984" s="81"/>
      <c r="C984" s="81"/>
      <c r="D984" s="81"/>
      <c r="E984" s="81"/>
      <c r="F984" s="81"/>
      <c r="G984" s="81"/>
      <c r="H984" s="81"/>
      <c r="I984" s="289"/>
      <c r="J984" s="289"/>
      <c r="K984" s="105"/>
      <c r="L984" s="81"/>
      <c r="M984" s="289"/>
      <c r="N984" s="289"/>
      <c r="O984" s="105"/>
      <c r="P984" s="81"/>
      <c r="Q984" s="289"/>
      <c r="R984" s="81"/>
      <c r="S984" s="105"/>
      <c r="T984" s="81"/>
      <c r="U984" s="81"/>
      <c r="V984" s="81"/>
      <c r="W984" s="81"/>
      <c r="X984" s="81"/>
      <c r="Y984" s="81"/>
      <c r="Z984" s="81"/>
    </row>
    <row r="985" spans="1:26" ht="24" customHeight="1" x14ac:dyDescent="0.5">
      <c r="A985" s="81"/>
      <c r="B985" s="81"/>
      <c r="C985" s="81"/>
      <c r="D985" s="81"/>
      <c r="E985" s="81"/>
      <c r="F985" s="81"/>
      <c r="G985" s="81"/>
      <c r="H985" s="81"/>
      <c r="I985" s="289"/>
      <c r="J985" s="289"/>
      <c r="K985" s="105"/>
      <c r="L985" s="81"/>
      <c r="M985" s="289"/>
      <c r="N985" s="289"/>
      <c r="O985" s="105"/>
      <c r="P985" s="81"/>
      <c r="Q985" s="289"/>
      <c r="R985" s="81"/>
      <c r="S985" s="105"/>
      <c r="T985" s="81"/>
      <c r="U985" s="81"/>
      <c r="V985" s="81"/>
      <c r="W985" s="81"/>
      <c r="X985" s="81"/>
      <c r="Y985" s="81"/>
      <c r="Z985" s="81"/>
    </row>
    <row r="986" spans="1:26" ht="24" customHeight="1" x14ac:dyDescent="0.5">
      <c r="A986" s="81"/>
      <c r="B986" s="81"/>
      <c r="C986" s="81"/>
      <c r="D986" s="81"/>
      <c r="E986" s="81"/>
      <c r="F986" s="81"/>
      <c r="G986" s="81"/>
      <c r="H986" s="81"/>
      <c r="I986" s="289"/>
      <c r="J986" s="289"/>
      <c r="K986" s="105"/>
      <c r="L986" s="81"/>
      <c r="M986" s="289"/>
      <c r="N986" s="289"/>
      <c r="O986" s="105"/>
      <c r="P986" s="81"/>
      <c r="Q986" s="289"/>
      <c r="R986" s="81"/>
      <c r="S986" s="105"/>
      <c r="T986" s="81"/>
      <c r="U986" s="81"/>
      <c r="V986" s="81"/>
      <c r="W986" s="81"/>
      <c r="X986" s="81"/>
      <c r="Y986" s="81"/>
      <c r="Z986" s="81"/>
    </row>
    <row r="987" spans="1:26" ht="24" customHeight="1" x14ac:dyDescent="0.5">
      <c r="A987" s="81"/>
      <c r="B987" s="81"/>
      <c r="C987" s="81"/>
      <c r="D987" s="81"/>
      <c r="E987" s="81"/>
      <c r="F987" s="81"/>
      <c r="G987" s="81"/>
      <c r="H987" s="81"/>
      <c r="I987" s="289"/>
      <c r="J987" s="289"/>
      <c r="K987" s="105"/>
      <c r="L987" s="81"/>
      <c r="M987" s="289"/>
      <c r="N987" s="289"/>
      <c r="O987" s="105"/>
      <c r="P987" s="81"/>
      <c r="Q987" s="289"/>
      <c r="R987" s="81"/>
      <c r="S987" s="105"/>
      <c r="T987" s="81"/>
      <c r="U987" s="81"/>
      <c r="V987" s="81"/>
      <c r="W987" s="81"/>
      <c r="X987" s="81"/>
      <c r="Y987" s="81"/>
      <c r="Z987" s="81"/>
    </row>
    <row r="988" spans="1:26" ht="24" customHeight="1" x14ac:dyDescent="0.5">
      <c r="A988" s="81"/>
      <c r="B988" s="81"/>
      <c r="C988" s="81"/>
      <c r="D988" s="81"/>
      <c r="E988" s="81"/>
      <c r="F988" s="81"/>
      <c r="G988" s="81"/>
      <c r="H988" s="81"/>
      <c r="I988" s="289"/>
      <c r="J988" s="289"/>
      <c r="K988" s="105"/>
      <c r="L988" s="81"/>
      <c r="M988" s="289"/>
      <c r="N988" s="289"/>
      <c r="O988" s="105"/>
      <c r="P988" s="81"/>
      <c r="Q988" s="289"/>
      <c r="R988" s="81"/>
      <c r="S988" s="105"/>
      <c r="T988" s="81"/>
      <c r="U988" s="81"/>
      <c r="V988" s="81"/>
      <c r="W988" s="81"/>
      <c r="X988" s="81"/>
      <c r="Y988" s="81"/>
      <c r="Z988" s="81"/>
    </row>
    <row r="989" spans="1:26" ht="24" customHeight="1" x14ac:dyDescent="0.5">
      <c r="A989" s="81"/>
      <c r="B989" s="81"/>
      <c r="C989" s="81"/>
      <c r="D989" s="81"/>
      <c r="E989" s="81"/>
      <c r="F989" s="81"/>
      <c r="G989" s="81"/>
      <c r="H989" s="81"/>
      <c r="I989" s="289"/>
      <c r="J989" s="289"/>
      <c r="K989" s="105"/>
      <c r="L989" s="81"/>
      <c r="M989" s="289"/>
      <c r="N989" s="289"/>
      <c r="O989" s="105"/>
      <c r="P989" s="81"/>
      <c r="Q989" s="289"/>
      <c r="R989" s="81"/>
      <c r="S989" s="105"/>
      <c r="T989" s="81"/>
      <c r="U989" s="81"/>
      <c r="V989" s="81"/>
      <c r="W989" s="81"/>
      <c r="X989" s="81"/>
      <c r="Y989" s="81"/>
      <c r="Z989" s="81"/>
    </row>
    <row r="990" spans="1:26" ht="24" customHeight="1" x14ac:dyDescent="0.5">
      <c r="A990" s="81"/>
      <c r="B990" s="81"/>
      <c r="C990" s="81"/>
      <c r="D990" s="81"/>
      <c r="E990" s="81"/>
      <c r="F990" s="81"/>
      <c r="G990" s="81"/>
      <c r="H990" s="81"/>
      <c r="I990" s="289"/>
      <c r="J990" s="289"/>
      <c r="K990" s="105"/>
      <c r="L990" s="81"/>
      <c r="M990" s="289"/>
      <c r="N990" s="289"/>
      <c r="O990" s="105"/>
      <c r="P990" s="81"/>
      <c r="Q990" s="289"/>
      <c r="R990" s="81"/>
      <c r="S990" s="105"/>
      <c r="T990" s="81"/>
      <c r="U990" s="81"/>
      <c r="V990" s="81"/>
      <c r="W990" s="81"/>
      <c r="X990" s="81"/>
      <c r="Y990" s="81"/>
      <c r="Z990" s="81"/>
    </row>
    <row r="991" spans="1:26" ht="24" customHeight="1" x14ac:dyDescent="0.5">
      <c r="A991" s="81"/>
      <c r="B991" s="81"/>
      <c r="C991" s="81"/>
      <c r="D991" s="81"/>
      <c r="E991" s="81"/>
      <c r="F991" s="81"/>
      <c r="G991" s="81"/>
      <c r="H991" s="81"/>
      <c r="I991" s="289"/>
      <c r="J991" s="289"/>
      <c r="K991" s="105"/>
      <c r="L991" s="81"/>
      <c r="M991" s="289"/>
      <c r="N991" s="289"/>
      <c r="O991" s="105"/>
      <c r="P991" s="81"/>
      <c r="Q991" s="289"/>
      <c r="R991" s="81"/>
      <c r="S991" s="105"/>
      <c r="T991" s="81"/>
      <c r="U991" s="81"/>
      <c r="V991" s="81"/>
      <c r="W991" s="81"/>
      <c r="X991" s="81"/>
      <c r="Y991" s="81"/>
      <c r="Z991" s="81"/>
    </row>
    <row r="992" spans="1:26" ht="24" customHeight="1" x14ac:dyDescent="0.5">
      <c r="A992" s="81"/>
      <c r="B992" s="81"/>
      <c r="C992" s="81"/>
      <c r="D992" s="81"/>
      <c r="E992" s="81"/>
      <c r="F992" s="81"/>
      <c r="G992" s="81"/>
      <c r="H992" s="81"/>
      <c r="I992" s="289"/>
      <c r="J992" s="289"/>
      <c r="K992" s="105"/>
      <c r="L992" s="81"/>
      <c r="M992" s="289"/>
      <c r="N992" s="289"/>
      <c r="O992" s="105"/>
      <c r="P992" s="81"/>
      <c r="Q992" s="289"/>
      <c r="R992" s="81"/>
      <c r="S992" s="105"/>
      <c r="T992" s="81"/>
      <c r="U992" s="81"/>
      <c r="V992" s="81"/>
      <c r="W992" s="81"/>
      <c r="X992" s="81"/>
      <c r="Y992" s="81"/>
      <c r="Z992" s="81"/>
    </row>
    <row r="993" spans="1:26" ht="24" customHeight="1" x14ac:dyDescent="0.5">
      <c r="A993" s="81"/>
      <c r="B993" s="81"/>
      <c r="C993" s="81"/>
      <c r="D993" s="81"/>
      <c r="E993" s="81"/>
      <c r="F993" s="81"/>
      <c r="G993" s="81"/>
      <c r="H993" s="81"/>
      <c r="I993" s="289"/>
      <c r="J993" s="289"/>
      <c r="K993" s="105"/>
      <c r="L993" s="81"/>
      <c r="M993" s="289"/>
      <c r="N993" s="289"/>
      <c r="O993" s="105"/>
      <c r="P993" s="81"/>
      <c r="Q993" s="289"/>
      <c r="R993" s="81"/>
      <c r="S993" s="105"/>
      <c r="T993" s="81"/>
      <c r="U993" s="81"/>
      <c r="V993" s="81"/>
      <c r="W993" s="81"/>
      <c r="X993" s="81"/>
      <c r="Y993" s="81"/>
      <c r="Z993" s="81"/>
    </row>
    <row r="994" spans="1:26" ht="24" customHeight="1" x14ac:dyDescent="0.5">
      <c r="A994" s="81"/>
      <c r="B994" s="81"/>
      <c r="C994" s="81"/>
      <c r="D994" s="81"/>
      <c r="E994" s="81"/>
      <c r="F994" s="81"/>
      <c r="G994" s="81"/>
      <c r="H994" s="81"/>
      <c r="I994" s="289"/>
      <c r="J994" s="289"/>
      <c r="K994" s="105"/>
      <c r="L994" s="81"/>
      <c r="M994" s="289"/>
      <c r="N994" s="289"/>
      <c r="O994" s="105"/>
      <c r="P994" s="81"/>
      <c r="Q994" s="289"/>
      <c r="R994" s="81"/>
      <c r="S994" s="105"/>
      <c r="T994" s="81"/>
      <c r="U994" s="81"/>
      <c r="V994" s="81"/>
      <c r="W994" s="81"/>
      <c r="X994" s="81"/>
      <c r="Y994" s="81"/>
      <c r="Z994" s="81"/>
    </row>
    <row r="995" spans="1:26" ht="24" customHeight="1" x14ac:dyDescent="0.5">
      <c r="A995" s="81"/>
      <c r="B995" s="81"/>
      <c r="C995" s="81"/>
      <c r="D995" s="81"/>
      <c r="E995" s="81"/>
      <c r="F995" s="81"/>
      <c r="G995" s="81"/>
      <c r="H995" s="81"/>
      <c r="I995" s="289"/>
      <c r="J995" s="289"/>
      <c r="K995" s="105"/>
      <c r="L995" s="81"/>
      <c r="M995" s="289"/>
      <c r="N995" s="289"/>
      <c r="O995" s="105"/>
      <c r="P995" s="81"/>
      <c r="Q995" s="289"/>
      <c r="R995" s="81"/>
      <c r="S995" s="105"/>
      <c r="T995" s="81"/>
      <c r="U995" s="81"/>
      <c r="V995" s="81"/>
      <c r="W995" s="81"/>
      <c r="X995" s="81"/>
      <c r="Y995" s="81"/>
      <c r="Z995" s="81"/>
    </row>
    <row r="996" spans="1:26" ht="24" customHeight="1" x14ac:dyDescent="0.5">
      <c r="A996" s="81"/>
      <c r="B996" s="81"/>
      <c r="C996" s="81"/>
      <c r="D996" s="81"/>
      <c r="E996" s="81"/>
      <c r="F996" s="81"/>
      <c r="G996" s="81"/>
      <c r="H996" s="81"/>
      <c r="I996" s="289"/>
      <c r="J996" s="289"/>
      <c r="K996" s="105"/>
      <c r="L996" s="81"/>
      <c r="M996" s="289"/>
      <c r="N996" s="289"/>
      <c r="O996" s="105"/>
      <c r="P996" s="81"/>
      <c r="Q996" s="289"/>
      <c r="R996" s="81"/>
      <c r="S996" s="105"/>
      <c r="T996" s="81"/>
      <c r="U996" s="81"/>
      <c r="V996" s="81"/>
      <c r="W996" s="81"/>
      <c r="X996" s="81"/>
      <c r="Y996" s="81"/>
      <c r="Z996" s="81"/>
    </row>
    <row r="997" spans="1:26" ht="24" customHeight="1" x14ac:dyDescent="0.5">
      <c r="A997" s="81"/>
      <c r="B997" s="81"/>
      <c r="C997" s="81"/>
      <c r="D997" s="81"/>
      <c r="E997" s="81"/>
      <c r="F997" s="81"/>
      <c r="G997" s="81"/>
      <c r="H997" s="81"/>
      <c r="I997" s="289"/>
      <c r="J997" s="289"/>
      <c r="K997" s="105"/>
      <c r="L997" s="81"/>
      <c r="M997" s="289"/>
      <c r="N997" s="289"/>
      <c r="O997" s="105"/>
      <c r="P997" s="81"/>
      <c r="Q997" s="289"/>
      <c r="R997" s="81"/>
      <c r="S997" s="105"/>
      <c r="T997" s="81"/>
      <c r="U997" s="81"/>
      <c r="V997" s="81"/>
      <c r="W997" s="81"/>
      <c r="X997" s="81"/>
      <c r="Y997" s="81"/>
      <c r="Z997" s="81"/>
    </row>
    <row r="998" spans="1:26" ht="24" customHeight="1" x14ac:dyDescent="0.5">
      <c r="A998" s="81"/>
      <c r="B998" s="81"/>
      <c r="C998" s="81"/>
      <c r="D998" s="81"/>
      <c r="E998" s="81"/>
      <c r="F998" s="81"/>
      <c r="G998" s="81"/>
      <c r="H998" s="81"/>
      <c r="I998" s="289"/>
      <c r="J998" s="289"/>
      <c r="K998" s="105"/>
      <c r="L998" s="81"/>
      <c r="M998" s="289"/>
      <c r="N998" s="289"/>
      <c r="O998" s="105"/>
      <c r="P998" s="81"/>
      <c r="Q998" s="289"/>
      <c r="R998" s="81"/>
      <c r="S998" s="105"/>
      <c r="T998" s="81"/>
      <c r="U998" s="81"/>
      <c r="V998" s="81"/>
      <c r="W998" s="81"/>
      <c r="X998" s="81"/>
      <c r="Y998" s="81"/>
      <c r="Z998" s="81"/>
    </row>
    <row r="999" spans="1:26" ht="24" customHeight="1" x14ac:dyDescent="0.5">
      <c r="A999" s="81"/>
      <c r="B999" s="81"/>
      <c r="C999" s="81"/>
      <c r="D999" s="81"/>
      <c r="E999" s="81"/>
      <c r="F999" s="81"/>
      <c r="G999" s="81"/>
      <c r="H999" s="81"/>
      <c r="I999" s="289"/>
      <c r="J999" s="289"/>
      <c r="K999" s="105"/>
      <c r="L999" s="81"/>
      <c r="M999" s="289"/>
      <c r="N999" s="289"/>
      <c r="O999" s="105"/>
      <c r="P999" s="81"/>
      <c r="Q999" s="289"/>
      <c r="R999" s="81"/>
      <c r="S999" s="105"/>
      <c r="T999" s="81"/>
      <c r="U999" s="81"/>
      <c r="V999" s="81"/>
      <c r="W999" s="81"/>
      <c r="X999" s="81"/>
      <c r="Y999" s="81"/>
      <c r="Z999" s="81"/>
    </row>
    <row r="1000" spans="1:26" ht="24" customHeight="1" x14ac:dyDescent="0.5">
      <c r="A1000" s="81"/>
      <c r="B1000" s="81"/>
      <c r="C1000" s="81"/>
      <c r="D1000" s="81"/>
      <c r="E1000" s="81"/>
      <c r="F1000" s="81"/>
      <c r="G1000" s="81"/>
      <c r="H1000" s="81"/>
      <c r="I1000" s="289"/>
      <c r="J1000" s="289"/>
      <c r="K1000" s="105"/>
      <c r="L1000" s="81"/>
      <c r="M1000" s="289"/>
      <c r="N1000" s="289"/>
      <c r="O1000" s="105"/>
      <c r="P1000" s="81"/>
      <c r="Q1000" s="289"/>
      <c r="R1000" s="81"/>
      <c r="S1000" s="105"/>
      <c r="T1000" s="81"/>
      <c r="U1000" s="81"/>
      <c r="V1000" s="81"/>
      <c r="W1000" s="81"/>
      <c r="X1000" s="81"/>
      <c r="Y1000" s="81"/>
      <c r="Z1000" s="81"/>
    </row>
  </sheetData>
  <mergeCells count="22">
    <mergeCell ref="M7:O7"/>
    <mergeCell ref="Q7:S7"/>
    <mergeCell ref="A9:B9"/>
    <mergeCell ref="A106:B106"/>
    <mergeCell ref="A7:B8"/>
    <mergeCell ref="D7:D8"/>
    <mergeCell ref="F7:G7"/>
    <mergeCell ref="I7:K7"/>
    <mergeCell ref="A15:B15"/>
    <mergeCell ref="A33:B33"/>
    <mergeCell ref="A54:B54"/>
    <mergeCell ref="A76:B76"/>
    <mergeCell ref="A91:B91"/>
    <mergeCell ref="L6:O6"/>
    <mergeCell ref="P6:S6"/>
    <mergeCell ref="A2:B6"/>
    <mergeCell ref="C2:S3"/>
    <mergeCell ref="C4:G5"/>
    <mergeCell ref="H4:S5"/>
    <mergeCell ref="C6:E6"/>
    <mergeCell ref="F6:G6"/>
    <mergeCell ref="H6:K6"/>
  </mergeCells>
  <printOptions horizontalCentered="1"/>
  <pageMargins left="0.20866141699999999" right="0.20866141699999999" top="0.74803149606299202" bottom="0.24803149599999999" header="0" footer="0"/>
  <pageSetup paperSize="9" scale="59" orientation="landscape" r:id="rId1"/>
  <rowBreaks count="4" manualBreakCount="4">
    <brk id="32" max="18" man="1"/>
    <brk id="53" max="18" man="1"/>
    <brk id="75" max="18" man="1"/>
    <brk id="90" max="1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D965"/>
  </sheetPr>
  <dimension ref="A1:Z1000"/>
  <sheetViews>
    <sheetView zoomScaleNormal="100" zoomScaleSheetLayoutView="85" workbookViewId="0">
      <pane xSplit="2" ySplit="9" topLeftCell="C10" activePane="bottomRight" state="frozen"/>
      <selection activeCell="Z5" sqref="Z5:AB6"/>
      <selection pane="topRight" activeCell="Z5" sqref="Z5:AB6"/>
      <selection pane="bottomLeft" activeCell="Z5" sqref="Z5:AB6"/>
      <selection pane="bottomRight" activeCell="Z5" sqref="Z5:AB6"/>
    </sheetView>
  </sheetViews>
  <sheetFormatPr defaultColWidth="12.625" defaultRowHeight="24" customHeight="1" x14ac:dyDescent="0.5"/>
  <cols>
    <col min="1" max="1" width="4.375" style="6" customWidth="1"/>
    <col min="2" max="2" width="27.75" style="6" customWidth="1"/>
    <col min="3" max="6" width="10.75" style="6" customWidth="1"/>
    <col min="7" max="7" width="8.75" style="6" customWidth="1"/>
    <col min="8" max="8" width="11.375" style="6" customWidth="1"/>
    <col min="9" max="10" width="9.875" style="6" customWidth="1"/>
    <col min="11" max="11" width="10.125" style="6" customWidth="1"/>
    <col min="12" max="12" width="9.75" style="6" customWidth="1"/>
    <col min="13" max="15" width="11.375" style="6" customWidth="1"/>
    <col min="16" max="16384" width="12.625" style="6"/>
  </cols>
  <sheetData>
    <row r="1" spans="1:26" ht="24" customHeight="1" x14ac:dyDescent="0.5">
      <c r="A1" s="257" t="s">
        <v>324</v>
      </c>
      <c r="B1" s="258"/>
      <c r="C1" s="259"/>
      <c r="D1" s="259"/>
      <c r="E1" s="259"/>
      <c r="F1" s="259"/>
      <c r="G1" s="259"/>
      <c r="H1" s="258"/>
      <c r="I1" s="259"/>
      <c r="J1" s="258"/>
      <c r="K1" s="259"/>
      <c r="L1" s="259"/>
      <c r="M1" s="259"/>
      <c r="N1" s="259"/>
      <c r="O1" s="259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</row>
    <row r="2" spans="1:26" ht="24" customHeight="1" x14ac:dyDescent="0.5">
      <c r="A2" s="752" t="s">
        <v>0</v>
      </c>
      <c r="B2" s="627"/>
      <c r="C2" s="895" t="s">
        <v>270</v>
      </c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5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24" customHeight="1" x14ac:dyDescent="0.5">
      <c r="A3" s="628"/>
      <c r="B3" s="629"/>
      <c r="C3" s="763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757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24" customHeight="1" x14ac:dyDescent="0.5">
      <c r="A4" s="628"/>
      <c r="B4" s="629"/>
      <c r="C4" s="896" t="s">
        <v>202</v>
      </c>
      <c r="D4" s="633"/>
      <c r="E4" s="633"/>
      <c r="F4" s="633"/>
      <c r="G4" s="634"/>
      <c r="H4" s="889" t="s">
        <v>271</v>
      </c>
      <c r="I4" s="633"/>
      <c r="J4" s="633"/>
      <c r="K4" s="633"/>
      <c r="L4" s="633"/>
      <c r="M4" s="633"/>
      <c r="N4" s="633"/>
      <c r="O4" s="765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24" customHeight="1" x14ac:dyDescent="0.5">
      <c r="A5" s="628"/>
      <c r="B5" s="629"/>
      <c r="C5" s="763"/>
      <c r="D5" s="640"/>
      <c r="E5" s="640"/>
      <c r="F5" s="640"/>
      <c r="G5" s="641"/>
      <c r="H5" s="635"/>
      <c r="I5" s="636"/>
      <c r="J5" s="636"/>
      <c r="K5" s="636"/>
      <c r="L5" s="636"/>
      <c r="M5" s="636"/>
      <c r="N5" s="636"/>
      <c r="O5" s="890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24" customHeight="1" x14ac:dyDescent="0.5">
      <c r="A6" s="630"/>
      <c r="B6" s="631"/>
      <c r="C6" s="686" t="s">
        <v>6</v>
      </c>
      <c r="D6" s="581"/>
      <c r="E6" s="567"/>
      <c r="F6" s="602" t="s">
        <v>7</v>
      </c>
      <c r="G6" s="584"/>
      <c r="H6" s="879" t="s">
        <v>272</v>
      </c>
      <c r="I6" s="667" t="s">
        <v>17</v>
      </c>
      <c r="J6" s="581"/>
      <c r="K6" s="581"/>
      <c r="L6" s="581"/>
      <c r="M6" s="581"/>
      <c r="N6" s="581"/>
      <c r="O6" s="567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</row>
    <row r="7" spans="1:26" ht="24" customHeight="1" x14ac:dyDescent="0.5">
      <c r="A7" s="773" t="s">
        <v>207</v>
      </c>
      <c r="B7" s="774"/>
      <c r="C7" s="323" t="s">
        <v>12</v>
      </c>
      <c r="D7" s="682" t="s">
        <v>13</v>
      </c>
      <c r="E7" s="10" t="s">
        <v>14</v>
      </c>
      <c r="F7" s="606" t="s">
        <v>15</v>
      </c>
      <c r="G7" s="594"/>
      <c r="H7" s="897"/>
      <c r="I7" s="893" t="s">
        <v>12</v>
      </c>
      <c r="J7" s="567"/>
      <c r="K7" s="894" t="s">
        <v>273</v>
      </c>
      <c r="L7" s="567"/>
      <c r="M7" s="417" t="s">
        <v>274</v>
      </c>
      <c r="N7" s="417" t="s">
        <v>275</v>
      </c>
      <c r="O7" s="418" t="s">
        <v>276</v>
      </c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</row>
    <row r="8" spans="1:26" ht="24" customHeight="1" x14ac:dyDescent="0.5">
      <c r="A8" s="775"/>
      <c r="B8" s="776"/>
      <c r="C8" s="324"/>
      <c r="D8" s="683"/>
      <c r="E8" s="13"/>
      <c r="F8" s="14" t="s">
        <v>18</v>
      </c>
      <c r="G8" s="14" t="s">
        <v>19</v>
      </c>
      <c r="H8" s="683"/>
      <c r="I8" s="408" t="s">
        <v>21</v>
      </c>
      <c r="J8" s="409" t="s">
        <v>19</v>
      </c>
      <c r="K8" s="410" t="s">
        <v>167</v>
      </c>
      <c r="L8" s="411" t="s">
        <v>21</v>
      </c>
      <c r="M8" s="411" t="s">
        <v>21</v>
      </c>
      <c r="N8" s="411" t="s">
        <v>21</v>
      </c>
      <c r="O8" s="411" t="s">
        <v>21</v>
      </c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</row>
    <row r="9" spans="1:26" ht="24" customHeight="1" x14ac:dyDescent="0.5">
      <c r="A9" s="771" t="s">
        <v>24</v>
      </c>
      <c r="B9" s="643"/>
      <c r="C9" s="265">
        <f t="shared" ref="C9:E9" si="0">C10+C11</f>
        <v>10508000</v>
      </c>
      <c r="D9" s="266">
        <f t="shared" si="0"/>
        <v>0</v>
      </c>
      <c r="E9" s="267">
        <f t="shared" si="0"/>
        <v>10508000</v>
      </c>
      <c r="F9" s="242">
        <f ca="1">+F10+F11</f>
        <v>181704.62</v>
      </c>
      <c r="G9" s="243">
        <f t="shared" ref="G9:G114" ca="1" si="1">IF(C9&gt;0,F9*100/C9,0)</f>
        <v>1.7292027027027026</v>
      </c>
      <c r="H9" s="244">
        <f t="shared" ref="H9:I9" si="2">H10+H11</f>
        <v>136000</v>
      </c>
      <c r="I9" s="389">
        <f t="shared" ca="1" si="2"/>
        <v>8261</v>
      </c>
      <c r="J9" s="389">
        <f t="shared" ref="J9:J114" ca="1" si="3">IF(H9&gt;0,I9*100/H9,0)</f>
        <v>6.0742647058823529</v>
      </c>
      <c r="K9" s="412">
        <f t="shared" ref="K9:O9" ca="1" si="4">K10+K11</f>
        <v>9</v>
      </c>
      <c r="L9" s="245">
        <f t="shared" ca="1" si="4"/>
        <v>611</v>
      </c>
      <c r="M9" s="245">
        <f t="shared" ca="1" si="4"/>
        <v>7621</v>
      </c>
      <c r="N9" s="245">
        <f t="shared" ca="1" si="4"/>
        <v>9</v>
      </c>
      <c r="O9" s="413">
        <f t="shared" ca="1" si="4"/>
        <v>20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5">
      <c r="A10" s="27" t="s">
        <v>25</v>
      </c>
      <c r="B10" s="28"/>
      <c r="C10" s="248">
        <f t="shared" ref="C10:F10" si="5">+C15+C33+C54+C76</f>
        <v>10021040</v>
      </c>
      <c r="D10" s="29">
        <f t="shared" si="5"/>
        <v>0</v>
      </c>
      <c r="E10" s="29">
        <f t="shared" si="5"/>
        <v>10021040</v>
      </c>
      <c r="F10" s="29">
        <f t="shared" ca="1" si="5"/>
        <v>181704.62</v>
      </c>
      <c r="G10" s="91">
        <f t="shared" ca="1" si="1"/>
        <v>1.813231161635918</v>
      </c>
      <c r="H10" s="66">
        <f t="shared" ref="H10:I10" si="6">+H15+H33+H54+H76</f>
        <v>136000</v>
      </c>
      <c r="I10" s="66">
        <f t="shared" ca="1" si="6"/>
        <v>8261</v>
      </c>
      <c r="J10" s="101">
        <f t="shared" ca="1" si="3"/>
        <v>6.0742647058823529</v>
      </c>
      <c r="K10" s="394">
        <f t="shared" ref="K10:O10" ca="1" si="7">+K15+K33+K54+K76</f>
        <v>9</v>
      </c>
      <c r="L10" s="66">
        <f t="shared" ca="1" si="7"/>
        <v>611</v>
      </c>
      <c r="M10" s="66">
        <f t="shared" ca="1" si="7"/>
        <v>7621</v>
      </c>
      <c r="N10" s="66">
        <f t="shared" ca="1" si="7"/>
        <v>9</v>
      </c>
      <c r="O10" s="414">
        <f t="shared" ca="1" si="7"/>
        <v>20</v>
      </c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26" ht="24" customHeight="1" x14ac:dyDescent="0.5">
      <c r="A11" s="33" t="s">
        <v>26</v>
      </c>
      <c r="B11" s="34"/>
      <c r="C11" s="250">
        <f t="shared" ref="C11:F11" si="8">+C12+C13</f>
        <v>486960</v>
      </c>
      <c r="D11" s="35">
        <f t="shared" si="8"/>
        <v>0</v>
      </c>
      <c r="E11" s="35">
        <f t="shared" si="8"/>
        <v>486960</v>
      </c>
      <c r="F11" s="35">
        <f t="shared" si="8"/>
        <v>0</v>
      </c>
      <c r="G11" s="92">
        <f t="shared" si="1"/>
        <v>0</v>
      </c>
      <c r="H11" s="35">
        <f t="shared" ref="H11:I11" si="9">+H12+H13</f>
        <v>0</v>
      </c>
      <c r="I11" s="35">
        <f t="shared" si="9"/>
        <v>0</v>
      </c>
      <c r="J11" s="92">
        <f t="shared" si="3"/>
        <v>0</v>
      </c>
      <c r="K11" s="37">
        <f t="shared" ref="K11:O11" si="10">+K12+K13</f>
        <v>0</v>
      </c>
      <c r="L11" s="35">
        <f t="shared" si="10"/>
        <v>0</v>
      </c>
      <c r="M11" s="35">
        <f t="shared" si="10"/>
        <v>0</v>
      </c>
      <c r="N11" s="35">
        <f t="shared" si="10"/>
        <v>0</v>
      </c>
      <c r="O11" s="415">
        <f t="shared" si="10"/>
        <v>0</v>
      </c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ht="24" customHeight="1" x14ac:dyDescent="0.5">
      <c r="A12" s="33" t="s">
        <v>27</v>
      </c>
      <c r="B12" s="34"/>
      <c r="C12" s="250">
        <f t="shared" ref="C12:F12" si="11">+C91</f>
        <v>486960</v>
      </c>
      <c r="D12" s="35">
        <f t="shared" si="11"/>
        <v>0</v>
      </c>
      <c r="E12" s="35">
        <f t="shared" si="11"/>
        <v>486960</v>
      </c>
      <c r="F12" s="35">
        <f t="shared" si="11"/>
        <v>0</v>
      </c>
      <c r="G12" s="92">
        <f t="shared" si="1"/>
        <v>0</v>
      </c>
      <c r="H12" s="35">
        <f t="shared" ref="H12:I12" si="12">+H91</f>
        <v>0</v>
      </c>
      <c r="I12" s="35">
        <f t="shared" si="12"/>
        <v>0</v>
      </c>
      <c r="J12" s="92">
        <f t="shared" si="3"/>
        <v>0</v>
      </c>
      <c r="K12" s="37">
        <f t="shared" ref="K12:O12" si="13">+K91</f>
        <v>0</v>
      </c>
      <c r="L12" s="35">
        <f t="shared" si="13"/>
        <v>0</v>
      </c>
      <c r="M12" s="35">
        <f t="shared" si="13"/>
        <v>0</v>
      </c>
      <c r="N12" s="35">
        <f t="shared" si="13"/>
        <v>0</v>
      </c>
      <c r="O12" s="415">
        <f t="shared" si="13"/>
        <v>0</v>
      </c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ht="24" customHeight="1" x14ac:dyDescent="0.5">
      <c r="A13" s="33" t="s">
        <v>28</v>
      </c>
      <c r="B13" s="34"/>
      <c r="C13" s="250">
        <f t="shared" ref="C13:E13" si="14">+C106</f>
        <v>0</v>
      </c>
      <c r="D13" s="35">
        <f t="shared" si="14"/>
        <v>0</v>
      </c>
      <c r="E13" s="35">
        <f t="shared" si="14"/>
        <v>0</v>
      </c>
      <c r="F13" s="35"/>
      <c r="G13" s="92">
        <f t="shared" si="1"/>
        <v>0</v>
      </c>
      <c r="H13" s="35">
        <f t="shared" ref="H13:I13" si="15">+H106</f>
        <v>0</v>
      </c>
      <c r="I13" s="35">
        <f t="shared" si="15"/>
        <v>0</v>
      </c>
      <c r="J13" s="92">
        <f t="shared" si="3"/>
        <v>0</v>
      </c>
      <c r="K13" s="37">
        <f t="shared" ref="K13:O13" si="16">+K106</f>
        <v>0</v>
      </c>
      <c r="L13" s="35">
        <f t="shared" si="16"/>
        <v>0</v>
      </c>
      <c r="M13" s="35">
        <f t="shared" si="16"/>
        <v>0</v>
      </c>
      <c r="N13" s="35">
        <f t="shared" si="16"/>
        <v>0</v>
      </c>
      <c r="O13" s="415">
        <f t="shared" si="16"/>
        <v>0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ht="24" customHeight="1" x14ac:dyDescent="0.5">
      <c r="A14" s="39" t="s">
        <v>208</v>
      </c>
      <c r="B14" s="252"/>
      <c r="C14" s="253">
        <v>0</v>
      </c>
      <c r="D14" s="93">
        <v>0</v>
      </c>
      <c r="E14" s="93">
        <v>0</v>
      </c>
      <c r="F14" s="93"/>
      <c r="G14" s="96">
        <f t="shared" si="1"/>
        <v>0</v>
      </c>
      <c r="H14" s="93">
        <v>0</v>
      </c>
      <c r="I14" s="93">
        <v>0</v>
      </c>
      <c r="J14" s="96">
        <f t="shared" si="3"/>
        <v>0</v>
      </c>
      <c r="K14" s="393">
        <v>0</v>
      </c>
      <c r="L14" s="93">
        <v>0</v>
      </c>
      <c r="M14" s="93">
        <v>0</v>
      </c>
      <c r="N14" s="93">
        <v>0</v>
      </c>
      <c r="O14" s="416">
        <v>0</v>
      </c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 ht="24" customHeight="1" x14ac:dyDescent="0.5">
      <c r="A15" s="777" t="s">
        <v>30</v>
      </c>
      <c r="B15" s="571"/>
      <c r="C15" s="255">
        <f t="shared" ref="C15:F15" si="17">SUM(C16:C32)</f>
        <v>2382160</v>
      </c>
      <c r="D15" s="66">
        <f t="shared" si="17"/>
        <v>0</v>
      </c>
      <c r="E15" s="66">
        <f t="shared" si="17"/>
        <v>2382160</v>
      </c>
      <c r="F15" s="101">
        <f t="shared" ca="1" si="17"/>
        <v>43428.639999999999</v>
      </c>
      <c r="G15" s="101">
        <f t="shared" ca="1" si="1"/>
        <v>1.8230782147294893</v>
      </c>
      <c r="H15" s="66">
        <f t="shared" ref="H15:I15" si="18">SUM(H16:H32)</f>
        <v>32550</v>
      </c>
      <c r="I15" s="66">
        <f t="shared" ca="1" si="18"/>
        <v>3593</v>
      </c>
      <c r="J15" s="101">
        <f t="shared" ca="1" si="3"/>
        <v>11.038402457757297</v>
      </c>
      <c r="K15" s="394">
        <f t="shared" ref="K15:O15" ca="1" si="19">SUM(K16:K32)</f>
        <v>5</v>
      </c>
      <c r="L15" s="66">
        <f t="shared" ca="1" si="19"/>
        <v>425</v>
      </c>
      <c r="M15" s="66">
        <f t="shared" ca="1" si="19"/>
        <v>3143</v>
      </c>
      <c r="N15" s="66">
        <f t="shared" ca="1" si="19"/>
        <v>6</v>
      </c>
      <c r="O15" s="414">
        <f t="shared" ca="1" si="19"/>
        <v>19</v>
      </c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26" ht="24" customHeight="1" x14ac:dyDescent="0.5">
      <c r="A16" s="268">
        <v>1</v>
      </c>
      <c r="B16" s="269" t="s">
        <v>31</v>
      </c>
      <c r="C16" s="270">
        <f t="shared" ref="C16:C32" si="20">+D16+E16</f>
        <v>168000</v>
      </c>
      <c r="D16" s="48">
        <v>0</v>
      </c>
      <c r="E16" s="48">
        <v>168000</v>
      </c>
      <c r="F16" s="98">
        <f ca="1">IFERROR(__xludf.DUMMYFUNCTION("IMPORTRANGE(""https://docs.google.com/spreadsheets/d/11923uPwbBZFjjGgGUA6NLw09EwE0CqkOc4q9oUmW1yo/edit?usp=sharing"",""กำแพงเพชร!M459"")"),0)</f>
        <v>0</v>
      </c>
      <c r="G16" s="98">
        <f t="shared" ca="1" si="1"/>
        <v>0</v>
      </c>
      <c r="H16" s="48">
        <v>4900</v>
      </c>
      <c r="I16" s="48">
        <f t="shared" ref="I16:I32" ca="1" si="21">SUM(L16,M16,N16,O16)</f>
        <v>0</v>
      </c>
      <c r="J16" s="98">
        <f t="shared" ca="1" si="3"/>
        <v>0</v>
      </c>
      <c r="K16" s="419">
        <f ca="1">IFERROR(__xludf.DUMMYFUNCTION("IMPORTRANGE(""https://docs.google.com/spreadsheets/d/11923uPwbBZFjjGgGUA6NLw09EwE0CqkOc4q9oUmW1yo/edit?usp=sharing"",""กำแพงเพชร!J468"")"),0)</f>
        <v>0</v>
      </c>
      <c r="L16" s="48">
        <f ca="1">IFERROR(__xludf.DUMMYFUNCTION("IMPORTRANGE(""https://docs.google.com/spreadsheets/d/11923uPwbBZFjjGgGUA6NLw09EwE0CqkOc4q9oUmW1yo/edit?usp=sharing"",""กำแพงเพชร!J469"")"),0)</f>
        <v>0</v>
      </c>
      <c r="M16" s="48">
        <f ca="1">IFERROR(__xludf.DUMMYFUNCTION("IMPORTRANGE(""https://docs.google.com/spreadsheets/d/11923uPwbBZFjjGgGUA6NLw09EwE0CqkOc4q9oUmW1yo/edit?usp=sharing"",""กำแพงเพชร!J470"")"),0)</f>
        <v>0</v>
      </c>
      <c r="N16" s="48">
        <f ca="1">IFERROR(__xludf.DUMMYFUNCTION("IMPORTRANGE(""https://docs.google.com/spreadsheets/d/11923uPwbBZFjjGgGUA6NLw09EwE0CqkOc4q9oUmW1yo/edit?usp=sharing"",""กำแพงเพชร!J471"")"),0)</f>
        <v>0</v>
      </c>
      <c r="O16" s="420">
        <f ca="1">IFERROR(__xludf.DUMMYFUNCTION("IMPORTRANGE(""https://docs.google.com/spreadsheets/d/11923uPwbBZFjjGgGUA6NLw09EwE0CqkOc4q9oUmW1yo/edit?usp=sharing"",""กำแพงเพชร!J472"")"),0)</f>
        <v>0</v>
      </c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 ht="24" customHeight="1" x14ac:dyDescent="0.5">
      <c r="A17" s="273">
        <v>2</v>
      </c>
      <c r="B17" s="274" t="s">
        <v>32</v>
      </c>
      <c r="C17" s="275">
        <f t="shared" si="20"/>
        <v>165600</v>
      </c>
      <c r="D17" s="55">
        <v>0</v>
      </c>
      <c r="E17" s="55">
        <v>165600</v>
      </c>
      <c r="F17" s="99">
        <f ca="1">IFERROR(__xludf.DUMMYFUNCTION("IMPORTRANGE(""https://docs.google.com/spreadsheets/d/11923uPwbBZFjjGgGUA6NLw09EwE0CqkOc4q9oUmW1yo/edit?usp=sharing"",""เชียงราย!M459"")"),0)</f>
        <v>0</v>
      </c>
      <c r="G17" s="99">
        <f t="shared" ca="1" si="1"/>
        <v>0</v>
      </c>
      <c r="H17" s="55">
        <v>3400</v>
      </c>
      <c r="I17" s="55">
        <f t="shared" ca="1" si="21"/>
        <v>595</v>
      </c>
      <c r="J17" s="99">
        <f t="shared" ca="1" si="3"/>
        <v>17.5</v>
      </c>
      <c r="K17" s="421">
        <f ca="1">IFERROR(__xludf.DUMMYFUNCTION("IMPORTRANGE(""https://docs.google.com/spreadsheets/d/11923uPwbBZFjjGgGUA6NLw09EwE0CqkOc4q9oUmW1yo/edit?usp=sharing"",""เชียงราย!J468"")"),0)</f>
        <v>0</v>
      </c>
      <c r="L17" s="55">
        <f ca="1">IFERROR(__xludf.DUMMYFUNCTION("IMPORTRANGE(""https://docs.google.com/spreadsheets/d/11923uPwbBZFjjGgGUA6NLw09EwE0CqkOc4q9oUmW1yo/edit?usp=sharing"",""เชียงราย!J469"")"),0)</f>
        <v>0</v>
      </c>
      <c r="M17" s="55">
        <f ca="1">IFERROR(__xludf.DUMMYFUNCTION("IMPORTRANGE(""https://docs.google.com/spreadsheets/d/11923uPwbBZFjjGgGUA6NLw09EwE0CqkOc4q9oUmW1yo/edit?usp=sharing"",""เชียงราย!J470"")"),591)</f>
        <v>591</v>
      </c>
      <c r="N17" s="55">
        <f ca="1">IFERROR(__xludf.DUMMYFUNCTION("IMPORTRANGE(""https://docs.google.com/spreadsheets/d/11923uPwbBZFjjGgGUA6NLw09EwE0CqkOc4q9oUmW1yo/edit?usp=sharing"",""เชียงราย!J471"")"),4)</f>
        <v>4</v>
      </c>
      <c r="O17" s="422">
        <f ca="1">IFERROR(__xludf.DUMMYFUNCTION("IMPORTRANGE(""https://docs.google.com/spreadsheets/d/11923uPwbBZFjjGgGUA6NLw09EwE0CqkOc4q9oUmW1yo/edit?usp=sharing"",""เชียงราย!J472"")"),0)</f>
        <v>0</v>
      </c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ht="24" customHeight="1" x14ac:dyDescent="0.5">
      <c r="A18" s="273">
        <v>3</v>
      </c>
      <c r="B18" s="274" t="s">
        <v>33</v>
      </c>
      <c r="C18" s="275">
        <f t="shared" si="20"/>
        <v>130880</v>
      </c>
      <c r="D18" s="55">
        <v>0</v>
      </c>
      <c r="E18" s="55">
        <v>130880</v>
      </c>
      <c r="F18" s="99">
        <f ca="1">IFERROR(__xludf.DUMMYFUNCTION("IMPORTRANGE(""https://docs.google.com/spreadsheets/d/11923uPwbBZFjjGgGUA6NLw09EwE0CqkOc4q9oUmW1yo/edit?usp=sharing"",""เชียงใหม่!M459"")"),0)</f>
        <v>0</v>
      </c>
      <c r="G18" s="99">
        <f t="shared" ca="1" si="1"/>
        <v>0</v>
      </c>
      <c r="H18" s="55">
        <v>1000</v>
      </c>
      <c r="I18" s="55">
        <f t="shared" ca="1" si="21"/>
        <v>63</v>
      </c>
      <c r="J18" s="99">
        <f t="shared" ca="1" si="3"/>
        <v>6.3</v>
      </c>
      <c r="K18" s="421">
        <f ca="1">IFERROR(__xludf.DUMMYFUNCTION("IMPORTRANGE(""https://docs.google.com/spreadsheets/d/11923uPwbBZFjjGgGUA6NLw09EwE0CqkOc4q9oUmW1yo/edit?usp=sharing"",""เชียงใหม่!J468"")"),0)</f>
        <v>0</v>
      </c>
      <c r="L18" s="55">
        <f ca="1">IFERROR(__xludf.DUMMYFUNCTION("IMPORTRANGE(""https://docs.google.com/spreadsheets/d/11923uPwbBZFjjGgGUA6NLw09EwE0CqkOc4q9oUmW1yo/edit?usp=sharing"",""เชียงใหม่!J469"")"),0)</f>
        <v>0</v>
      </c>
      <c r="M18" s="55">
        <f ca="1">IFERROR(__xludf.DUMMYFUNCTION("IMPORTRANGE(""https://docs.google.com/spreadsheets/d/11923uPwbBZFjjGgGUA6NLw09EwE0CqkOc4q9oUmW1yo/edit?usp=sharing"",""เชียงใหม่!J470"")"),63)</f>
        <v>63</v>
      </c>
      <c r="N18" s="55">
        <f ca="1">IFERROR(__xludf.DUMMYFUNCTION("IMPORTRANGE(""https://docs.google.com/spreadsheets/d/11923uPwbBZFjjGgGUA6NLw09EwE0CqkOc4q9oUmW1yo/edit?usp=sharing"",""เชียงใหม่!J471"")"),0)</f>
        <v>0</v>
      </c>
      <c r="O18" s="422">
        <f ca="1">IFERROR(__xludf.DUMMYFUNCTION("IMPORTRANGE(""https://docs.google.com/spreadsheets/d/11923uPwbBZFjjGgGUA6NLw09EwE0CqkOc4q9oUmW1yo/edit?usp=sharing"",""เชียงใหม่!J472"")"),0)</f>
        <v>0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ht="24" customHeight="1" x14ac:dyDescent="0.5">
      <c r="A19" s="273">
        <v>4</v>
      </c>
      <c r="B19" s="274" t="s">
        <v>34</v>
      </c>
      <c r="C19" s="275">
        <f t="shared" si="20"/>
        <v>128080</v>
      </c>
      <c r="D19" s="55">
        <v>0</v>
      </c>
      <c r="E19" s="55">
        <v>128080</v>
      </c>
      <c r="F19" s="99">
        <f ca="1">IFERROR(__xludf.DUMMYFUNCTION("IMPORTRANGE(""https://docs.google.com/spreadsheets/d/11923uPwbBZFjjGgGUA6NLw09EwE0CqkOc4q9oUmW1yo/edit?usp=sharing"",""ตาก!M459"")"),0)</f>
        <v>0</v>
      </c>
      <c r="G19" s="99">
        <f t="shared" ca="1" si="1"/>
        <v>0</v>
      </c>
      <c r="H19" s="55">
        <v>1300</v>
      </c>
      <c r="I19" s="55">
        <f t="shared" ca="1" si="21"/>
        <v>0</v>
      </c>
      <c r="J19" s="99">
        <f t="shared" ca="1" si="3"/>
        <v>0</v>
      </c>
      <c r="K19" s="421">
        <f ca="1">IFERROR(__xludf.DUMMYFUNCTION("IMPORTRANGE(""https://docs.google.com/spreadsheets/d/11923uPwbBZFjjGgGUA6NLw09EwE0CqkOc4q9oUmW1yo/edit?usp=sharing"",""ตาก!J468"")"),0)</f>
        <v>0</v>
      </c>
      <c r="L19" s="55">
        <f ca="1">IFERROR(__xludf.DUMMYFUNCTION("IMPORTRANGE(""https://docs.google.com/spreadsheets/d/11923uPwbBZFjjGgGUA6NLw09EwE0CqkOc4q9oUmW1yo/edit?usp=sharing"",""ตาก!J469"")"),0)</f>
        <v>0</v>
      </c>
      <c r="M19" s="55">
        <f ca="1">IFERROR(__xludf.DUMMYFUNCTION("IMPORTRANGE(""https://docs.google.com/spreadsheets/d/11923uPwbBZFjjGgGUA6NLw09EwE0CqkOc4q9oUmW1yo/edit?usp=sharing"",""ตาก!J470"")"),0)</f>
        <v>0</v>
      </c>
      <c r="N19" s="55">
        <f ca="1">IFERROR(__xludf.DUMMYFUNCTION("IMPORTRANGE(""https://docs.google.com/spreadsheets/d/11923uPwbBZFjjGgGUA6NLw09EwE0CqkOc4q9oUmW1yo/edit?usp=sharing"",""ตาก!J471"")"),0)</f>
        <v>0</v>
      </c>
      <c r="O19" s="422">
        <f ca="1">IFERROR(__xludf.DUMMYFUNCTION("IMPORTRANGE(""https://docs.google.com/spreadsheets/d/11923uPwbBZFjjGgGUA6NLw09EwE0CqkOc4q9oUmW1yo/edit?usp=sharing"",""ตาก!J472"")"),0)</f>
        <v>0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 ht="24" customHeight="1" x14ac:dyDescent="0.5">
      <c r="A20" s="273">
        <v>5</v>
      </c>
      <c r="B20" s="274" t="s">
        <v>35</v>
      </c>
      <c r="C20" s="275">
        <f t="shared" si="20"/>
        <v>140160</v>
      </c>
      <c r="D20" s="55">
        <v>0</v>
      </c>
      <c r="E20" s="55">
        <v>140160</v>
      </c>
      <c r="F20" s="99">
        <f ca="1">IFERROR(__xludf.DUMMYFUNCTION("IMPORTRANGE(""https://docs.google.com/spreadsheets/d/11923uPwbBZFjjGgGUA6NLw09EwE0CqkOc4q9oUmW1yo/edit?usp=sharing"",""นครสวรรค์!M459"")"),0)</f>
        <v>0</v>
      </c>
      <c r="G20" s="99">
        <f t="shared" ca="1" si="1"/>
        <v>0</v>
      </c>
      <c r="H20" s="55">
        <v>2750</v>
      </c>
      <c r="I20" s="55">
        <f t="shared" ca="1" si="21"/>
        <v>0</v>
      </c>
      <c r="J20" s="99">
        <f t="shared" ca="1" si="3"/>
        <v>0</v>
      </c>
      <c r="K20" s="421">
        <f ca="1">IFERROR(__xludf.DUMMYFUNCTION("IMPORTRANGE(""https://docs.google.com/spreadsheets/d/11923uPwbBZFjjGgGUA6NLw09EwE0CqkOc4q9oUmW1yo/edit?usp=sharing"",""นครสวรรค์!J468"")"),0)</f>
        <v>0</v>
      </c>
      <c r="L20" s="55">
        <f ca="1">IFERROR(__xludf.DUMMYFUNCTION("IMPORTRANGE(""https://docs.google.com/spreadsheets/d/11923uPwbBZFjjGgGUA6NLw09EwE0CqkOc4q9oUmW1yo/edit?usp=sharing"",""นครสวรรค์!J469"")"),0)</f>
        <v>0</v>
      </c>
      <c r="M20" s="55">
        <f ca="1">IFERROR(__xludf.DUMMYFUNCTION("IMPORTRANGE(""https://docs.google.com/spreadsheets/d/11923uPwbBZFjjGgGUA6NLw09EwE0CqkOc4q9oUmW1yo/edit?usp=sharing"",""นครสวรรค์!J470"")"),0)</f>
        <v>0</v>
      </c>
      <c r="N20" s="55">
        <f ca="1">IFERROR(__xludf.DUMMYFUNCTION("IMPORTRANGE(""https://docs.google.com/spreadsheets/d/11923uPwbBZFjjGgGUA6NLw09EwE0CqkOc4q9oUmW1yo/edit?usp=sharing"",""นครสวรรค์!J471"")"),0)</f>
        <v>0</v>
      </c>
      <c r="O20" s="422">
        <f ca="1">IFERROR(__xludf.DUMMYFUNCTION("IMPORTRANGE(""https://docs.google.com/spreadsheets/d/11923uPwbBZFjjGgGUA6NLw09EwE0CqkOc4q9oUmW1yo/edit?usp=sharing"",""นครสวรรค์!J472"")"),0)</f>
        <v>0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26" ht="24" customHeight="1" x14ac:dyDescent="0.5">
      <c r="A21" s="273">
        <v>6</v>
      </c>
      <c r="B21" s="274" t="s">
        <v>36</v>
      </c>
      <c r="C21" s="275">
        <f t="shared" si="20"/>
        <v>144800</v>
      </c>
      <c r="D21" s="55">
        <v>0</v>
      </c>
      <c r="E21" s="55">
        <v>144800</v>
      </c>
      <c r="F21" s="99">
        <f ca="1">IFERROR(__xludf.DUMMYFUNCTION("IMPORTRANGE(""https://docs.google.com/spreadsheets/d/11923uPwbBZFjjGgGUA6NLw09EwE0CqkOc4q9oUmW1yo/edit?usp=sharing"",""น่าน!M459"")"),7830)</f>
        <v>7830</v>
      </c>
      <c r="G21" s="99">
        <f t="shared" ca="1" si="1"/>
        <v>5.4074585635359114</v>
      </c>
      <c r="H21" s="55">
        <v>2150</v>
      </c>
      <c r="I21" s="55">
        <f t="shared" ca="1" si="21"/>
        <v>0</v>
      </c>
      <c r="J21" s="99">
        <f t="shared" ca="1" si="3"/>
        <v>0</v>
      </c>
      <c r="K21" s="421">
        <f ca="1">IFERROR(__xludf.DUMMYFUNCTION("IMPORTRANGE(""https://docs.google.com/spreadsheets/d/11923uPwbBZFjjGgGUA6NLw09EwE0CqkOc4q9oUmW1yo/edit?usp=sharing"",""น่าน!J468"")"),0)</f>
        <v>0</v>
      </c>
      <c r="L21" s="55">
        <f ca="1">IFERROR(__xludf.DUMMYFUNCTION("IMPORTRANGE(""https://docs.google.com/spreadsheets/d/11923uPwbBZFjjGgGUA6NLw09EwE0CqkOc4q9oUmW1yo/edit?usp=sharing"",""น่าน!J469"")"),0)</f>
        <v>0</v>
      </c>
      <c r="M21" s="55">
        <f ca="1">IFERROR(__xludf.DUMMYFUNCTION("IMPORTRANGE(""https://docs.google.com/spreadsheets/d/11923uPwbBZFjjGgGUA6NLw09EwE0CqkOc4q9oUmW1yo/edit?usp=sharing"",""น่าน!J470"")"),0)</f>
        <v>0</v>
      </c>
      <c r="N21" s="55">
        <f ca="1">IFERROR(__xludf.DUMMYFUNCTION("IMPORTRANGE(""https://docs.google.com/spreadsheets/d/11923uPwbBZFjjGgGUA6NLw09EwE0CqkOc4q9oUmW1yo/edit?usp=sharing"",""น่าน!J471"")"),0)</f>
        <v>0</v>
      </c>
      <c r="O21" s="422">
        <f ca="1">IFERROR(__xludf.DUMMYFUNCTION("IMPORTRANGE(""https://docs.google.com/spreadsheets/d/11923uPwbBZFjjGgGUA6NLw09EwE0CqkOc4q9oUmW1yo/edit?usp=sharing"",""น่าน!J472"")"),0)</f>
        <v>0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1:26" ht="24" customHeight="1" x14ac:dyDescent="0.5">
      <c r="A22" s="273">
        <v>7</v>
      </c>
      <c r="B22" s="274" t="s">
        <v>37</v>
      </c>
      <c r="C22" s="275">
        <f t="shared" si="20"/>
        <v>142240</v>
      </c>
      <c r="D22" s="55">
        <v>0</v>
      </c>
      <c r="E22" s="55">
        <v>142240</v>
      </c>
      <c r="F22" s="99">
        <f ca="1">IFERROR(__xludf.DUMMYFUNCTION("IMPORTRANGE(""https://docs.google.com/spreadsheets/d/11923uPwbBZFjjGgGUA6NLw09EwE0CqkOc4q9oUmW1yo/edit?usp=sharing"",""พะเยา!M459"")"),0)</f>
        <v>0</v>
      </c>
      <c r="G22" s="99">
        <f t="shared" ca="1" si="1"/>
        <v>0</v>
      </c>
      <c r="H22" s="55">
        <v>1950</v>
      </c>
      <c r="I22" s="55">
        <f t="shared" ca="1" si="21"/>
        <v>281</v>
      </c>
      <c r="J22" s="99">
        <f t="shared" ca="1" si="3"/>
        <v>14.410256410256411</v>
      </c>
      <c r="K22" s="421">
        <f ca="1">IFERROR(__xludf.DUMMYFUNCTION("IMPORTRANGE(""https://docs.google.com/spreadsheets/d/11923uPwbBZFjjGgGUA6NLw09EwE0CqkOc4q9oUmW1yo/edit?usp=sharing"",""พะเยา!J468"")"),0)</f>
        <v>0</v>
      </c>
      <c r="L22" s="55">
        <f ca="1">IFERROR(__xludf.DUMMYFUNCTION("IMPORTRANGE(""https://docs.google.com/spreadsheets/d/11923uPwbBZFjjGgGUA6NLw09EwE0CqkOc4q9oUmW1yo/edit?usp=sharing"",""พะเยา!J469"")"),0)</f>
        <v>0</v>
      </c>
      <c r="M22" s="55">
        <f ca="1">IFERROR(__xludf.DUMMYFUNCTION("IMPORTRANGE(""https://docs.google.com/spreadsheets/d/11923uPwbBZFjjGgGUA6NLw09EwE0CqkOc4q9oUmW1yo/edit?usp=sharing"",""พะเยา!J470"")"),281)</f>
        <v>281</v>
      </c>
      <c r="N22" s="55">
        <f ca="1">IFERROR(__xludf.DUMMYFUNCTION("IMPORTRANGE(""https://docs.google.com/spreadsheets/d/11923uPwbBZFjjGgGUA6NLw09EwE0CqkOc4q9oUmW1yo/edit?usp=sharing"",""พะเยา!J471"")"),0)</f>
        <v>0</v>
      </c>
      <c r="O22" s="422">
        <f ca="1">IFERROR(__xludf.DUMMYFUNCTION("IMPORTRANGE(""https://docs.google.com/spreadsheets/d/11923uPwbBZFjjGgGUA6NLw09EwE0CqkOc4q9oUmW1yo/edit?usp=sharing"",""พะเยา!J472"")"),0)</f>
        <v>0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24" customHeight="1" x14ac:dyDescent="0.5">
      <c r="A23" s="273">
        <v>8</v>
      </c>
      <c r="B23" s="274" t="s">
        <v>38</v>
      </c>
      <c r="C23" s="275">
        <f t="shared" si="20"/>
        <v>126080</v>
      </c>
      <c r="D23" s="55">
        <v>0</v>
      </c>
      <c r="E23" s="55">
        <v>126080</v>
      </c>
      <c r="F23" s="99">
        <f ca="1">IFERROR(__xludf.DUMMYFUNCTION("IMPORTRANGE(""https://docs.google.com/spreadsheets/d/11923uPwbBZFjjGgGUA6NLw09EwE0CqkOc4q9oUmW1yo/edit?usp=sharing"",""พิจิตร!M459"")"),7451.64)</f>
        <v>7451.64</v>
      </c>
      <c r="G23" s="99">
        <f t="shared" ca="1" si="1"/>
        <v>5.9102474619289342</v>
      </c>
      <c r="H23" s="55">
        <v>1100</v>
      </c>
      <c r="I23" s="55">
        <f t="shared" ca="1" si="21"/>
        <v>256</v>
      </c>
      <c r="J23" s="99">
        <f t="shared" ca="1" si="3"/>
        <v>23.272727272727273</v>
      </c>
      <c r="K23" s="421">
        <f ca="1">IFERROR(__xludf.DUMMYFUNCTION("IMPORTRANGE(""https://docs.google.com/spreadsheets/d/11923uPwbBZFjjGgGUA6NLw09EwE0CqkOc4q9oUmW1yo/edit?usp=sharing"",""พิจิตร!J468"")"),0)</f>
        <v>0</v>
      </c>
      <c r="L23" s="55" t="str">
        <f ca="1">IFERROR(__xludf.DUMMYFUNCTION("IMPORTRANGE(""https://docs.google.com/spreadsheets/d/11923uPwbBZFjjGgGUA6NLw09EwE0CqkOc4q9oUmW1yo/edit?usp=sharing"",""พิจิตร!J469"")"),"")</f>
        <v/>
      </c>
      <c r="M23" s="55">
        <f ca="1">IFERROR(__xludf.DUMMYFUNCTION("IMPORTRANGE(""https://docs.google.com/spreadsheets/d/11923uPwbBZFjjGgGUA6NLw09EwE0CqkOc4q9oUmW1yo/edit?usp=sharing"",""พิจิตร!J470"")"),256)</f>
        <v>256</v>
      </c>
      <c r="N23" s="55">
        <f ca="1">IFERROR(__xludf.DUMMYFUNCTION("IMPORTRANGE(""https://docs.google.com/spreadsheets/d/11923uPwbBZFjjGgGUA6NLw09EwE0CqkOc4q9oUmW1yo/edit?usp=sharing"",""พิจิตร!J471"")"),0)</f>
        <v>0</v>
      </c>
      <c r="O23" s="422">
        <f ca="1">IFERROR(__xludf.DUMMYFUNCTION("IMPORTRANGE(""https://docs.google.com/spreadsheets/d/11923uPwbBZFjjGgGUA6NLw09EwE0CqkOc4q9oUmW1yo/edit?usp=sharing"",""พิจิตร!J472"")"),0)</f>
        <v>0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6" ht="24" customHeight="1" x14ac:dyDescent="0.5">
      <c r="A24" s="273">
        <v>9</v>
      </c>
      <c r="B24" s="274" t="s">
        <v>39</v>
      </c>
      <c r="C24" s="275">
        <f t="shared" si="20"/>
        <v>144240</v>
      </c>
      <c r="D24" s="55">
        <v>0</v>
      </c>
      <c r="E24" s="55">
        <v>144240</v>
      </c>
      <c r="F24" s="99">
        <f ca="1">IFERROR(__xludf.DUMMYFUNCTION("IMPORTRANGE(""https://docs.google.com/spreadsheets/d/11923uPwbBZFjjGgGUA6NLw09EwE0CqkOc4q9oUmW1yo/edit?usp=sharing"",""พิษณุโลก!M459"")"),0)</f>
        <v>0</v>
      </c>
      <c r="G24" s="99">
        <f t="shared" ca="1" si="1"/>
        <v>0</v>
      </c>
      <c r="H24" s="55">
        <v>1500</v>
      </c>
      <c r="I24" s="55">
        <f t="shared" ca="1" si="21"/>
        <v>0</v>
      </c>
      <c r="J24" s="99">
        <f t="shared" ca="1" si="3"/>
        <v>0</v>
      </c>
      <c r="K24" s="421">
        <f ca="1">IFERROR(__xludf.DUMMYFUNCTION("IMPORTRANGE(""https://docs.google.com/spreadsheets/d/11923uPwbBZFjjGgGUA6NLw09EwE0CqkOc4q9oUmW1yo/edit?usp=sharing"",""พิษณุโลก!J468"")"),0)</f>
        <v>0</v>
      </c>
      <c r="L24" s="55">
        <f ca="1">IFERROR(__xludf.DUMMYFUNCTION("IMPORTRANGE(""https://docs.google.com/spreadsheets/d/11923uPwbBZFjjGgGUA6NLw09EwE0CqkOc4q9oUmW1yo/edit?usp=sharing"",""พิษณุโลก!J469"")"),0)</f>
        <v>0</v>
      </c>
      <c r="M24" s="55">
        <f ca="1">IFERROR(__xludf.DUMMYFUNCTION("IMPORTRANGE(""https://docs.google.com/spreadsheets/d/11923uPwbBZFjjGgGUA6NLw09EwE0CqkOc4q9oUmW1yo/edit?usp=sharing"",""พิษณุโลก!J470"")"),0)</f>
        <v>0</v>
      </c>
      <c r="N24" s="55">
        <f ca="1">IFERROR(__xludf.DUMMYFUNCTION("IMPORTRANGE(""https://docs.google.com/spreadsheets/d/11923uPwbBZFjjGgGUA6NLw09EwE0CqkOc4q9oUmW1yo/edit?usp=sharing"",""พิษณุโลก!J471"")"),0)</f>
        <v>0</v>
      </c>
      <c r="O24" s="422">
        <f ca="1">IFERROR(__xludf.DUMMYFUNCTION("IMPORTRANGE(""https://docs.google.com/spreadsheets/d/11923uPwbBZFjjGgGUA6NLw09EwE0CqkOc4q9oUmW1yo/edit?usp=sharing"",""พิษณุโลก!J472"")"),0)</f>
        <v>0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24" customHeight="1" x14ac:dyDescent="0.5">
      <c r="A25" s="273">
        <v>10</v>
      </c>
      <c r="B25" s="274" t="s">
        <v>40</v>
      </c>
      <c r="C25" s="275">
        <f t="shared" si="20"/>
        <v>157200</v>
      </c>
      <c r="D25" s="55">
        <v>0</v>
      </c>
      <c r="E25" s="55">
        <v>157200</v>
      </c>
      <c r="F25" s="99">
        <f ca="1">IFERROR(__xludf.DUMMYFUNCTION("IMPORTRANGE(""https://docs.google.com/spreadsheets/d/11923uPwbBZFjjGgGUA6NLw09EwE0CqkOc4q9oUmW1yo/edit?usp=sharing"",""เพชรบูรณ์!M459"")"),28147)</f>
        <v>28147</v>
      </c>
      <c r="G25" s="99">
        <f t="shared" ca="1" si="1"/>
        <v>17.905216284987276</v>
      </c>
      <c r="H25" s="55">
        <v>3850</v>
      </c>
      <c r="I25" s="55">
        <f t="shared" ca="1" si="21"/>
        <v>1957</v>
      </c>
      <c r="J25" s="99">
        <f t="shared" ca="1" si="3"/>
        <v>50.831168831168831</v>
      </c>
      <c r="K25" s="421">
        <f ca="1">IFERROR(__xludf.DUMMYFUNCTION("IMPORTRANGE(""https://docs.google.com/spreadsheets/d/11923uPwbBZFjjGgGUA6NLw09EwE0CqkOc4q9oUmW1yo/edit?usp=sharing"",""เพชรบูรณ์!J468"")"),3)</f>
        <v>3</v>
      </c>
      <c r="L25" s="55">
        <f ca="1">IFERROR(__xludf.DUMMYFUNCTION("IMPORTRANGE(""https://docs.google.com/spreadsheets/d/11923uPwbBZFjjGgGUA6NLw09EwE0CqkOc4q9oUmW1yo/edit?usp=sharing"",""เพชรบูรณ์!J469"")"),377)</f>
        <v>377</v>
      </c>
      <c r="M25" s="55">
        <f ca="1">IFERROR(__xludf.DUMMYFUNCTION("IMPORTRANGE(""https://docs.google.com/spreadsheets/d/11923uPwbBZFjjGgGUA6NLw09EwE0CqkOc4q9oUmW1yo/edit?usp=sharing"",""เพชรบูรณ์!J470"")"),1559)</f>
        <v>1559</v>
      </c>
      <c r="N25" s="55">
        <f ca="1">IFERROR(__xludf.DUMMYFUNCTION("IMPORTRANGE(""https://docs.google.com/spreadsheets/d/11923uPwbBZFjjGgGUA6NLw09EwE0CqkOc4q9oUmW1yo/edit?usp=sharing"",""เพชรบูรณ์!J471"")"),2)</f>
        <v>2</v>
      </c>
      <c r="O25" s="422">
        <f ca="1">IFERROR(__xludf.DUMMYFUNCTION("IMPORTRANGE(""https://docs.google.com/spreadsheets/d/11923uPwbBZFjjGgGUA6NLw09EwE0CqkOc4q9oUmW1yo/edit?usp=sharing"",""เพชรบูรณ์!J472"")"),19)</f>
        <v>19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24" customHeight="1" x14ac:dyDescent="0.5">
      <c r="A26" s="273">
        <v>11</v>
      </c>
      <c r="B26" s="274" t="s">
        <v>41</v>
      </c>
      <c r="C26" s="275">
        <f t="shared" si="20"/>
        <v>126480</v>
      </c>
      <c r="D26" s="55">
        <v>0</v>
      </c>
      <c r="E26" s="55">
        <v>126480</v>
      </c>
      <c r="F26" s="99">
        <f ca="1">IFERROR(__xludf.DUMMYFUNCTION("IMPORTRANGE(""https://docs.google.com/spreadsheets/d/11923uPwbBZFjjGgGUA6NLw09EwE0CqkOc4q9oUmW1yo/edit?usp=sharing"",""แพร่!M459"")"),0)</f>
        <v>0</v>
      </c>
      <c r="G26" s="99">
        <f t="shared" ca="1" si="1"/>
        <v>0</v>
      </c>
      <c r="H26" s="55">
        <v>1200</v>
      </c>
      <c r="I26" s="55">
        <f t="shared" ca="1" si="21"/>
        <v>0</v>
      </c>
      <c r="J26" s="99">
        <f t="shared" ca="1" si="3"/>
        <v>0</v>
      </c>
      <c r="K26" s="421">
        <f ca="1">IFERROR(__xludf.DUMMYFUNCTION("IMPORTRANGE(""https://docs.google.com/spreadsheets/d/11923uPwbBZFjjGgGUA6NLw09EwE0CqkOc4q9oUmW1yo/edit?usp=sharing"",""แพร่!J468"")"),0)</f>
        <v>0</v>
      </c>
      <c r="L26" s="55">
        <f ca="1">IFERROR(__xludf.DUMMYFUNCTION("IMPORTRANGE(""https://docs.google.com/spreadsheets/d/11923uPwbBZFjjGgGUA6NLw09EwE0CqkOc4q9oUmW1yo/edit?usp=sharing"",""แพร่!J469"")"),0)</f>
        <v>0</v>
      </c>
      <c r="M26" s="55">
        <f ca="1">IFERROR(__xludf.DUMMYFUNCTION("IMPORTRANGE(""https://docs.google.com/spreadsheets/d/11923uPwbBZFjjGgGUA6NLw09EwE0CqkOc4q9oUmW1yo/edit?usp=sharing"",""แพร่!J470"")"),0)</f>
        <v>0</v>
      </c>
      <c r="N26" s="55">
        <f ca="1">IFERROR(__xludf.DUMMYFUNCTION("IMPORTRANGE(""https://docs.google.com/spreadsheets/d/11923uPwbBZFjjGgGUA6NLw09EwE0CqkOc4q9oUmW1yo/edit?usp=sharing"",""แพร่!J471"")"),0)</f>
        <v>0</v>
      </c>
      <c r="O26" s="422">
        <f ca="1">IFERROR(__xludf.DUMMYFUNCTION("IMPORTRANGE(""https://docs.google.com/spreadsheets/d/11923uPwbBZFjjGgGUA6NLw09EwE0CqkOc4q9oUmW1yo/edit?usp=sharing"",""แพร่!J472"")"),0)</f>
        <v>0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24" customHeight="1" x14ac:dyDescent="0.5">
      <c r="A27" s="273">
        <v>12</v>
      </c>
      <c r="B27" s="274" t="s">
        <v>42</v>
      </c>
      <c r="C27" s="275">
        <f t="shared" si="20"/>
        <v>130080</v>
      </c>
      <c r="D27" s="55">
        <v>0</v>
      </c>
      <c r="E27" s="55">
        <v>130080</v>
      </c>
      <c r="F27" s="99">
        <f ca="1">IFERROR(__xludf.DUMMYFUNCTION("IMPORTRANGE(""https://docs.google.com/spreadsheets/d/11923uPwbBZFjjGgGUA6NLw09EwE0CqkOc4q9oUmW1yo/edit?usp=sharing"",""แม่ฮ่องสอน!M459"")"),0)</f>
        <v>0</v>
      </c>
      <c r="G27" s="99">
        <f t="shared" ca="1" si="1"/>
        <v>0</v>
      </c>
      <c r="H27" s="55">
        <v>250</v>
      </c>
      <c r="I27" s="55">
        <f t="shared" ca="1" si="21"/>
        <v>61</v>
      </c>
      <c r="J27" s="99">
        <f t="shared" ca="1" si="3"/>
        <v>24.4</v>
      </c>
      <c r="K27" s="421">
        <f ca="1">IFERROR(__xludf.DUMMYFUNCTION("IMPORTRANGE(""https://docs.google.com/spreadsheets/d/11923uPwbBZFjjGgGUA6NLw09EwE0CqkOc4q9oUmW1yo/edit?usp=sharing"",""แม่ฮ่องสอน!J468"")"),2)</f>
        <v>2</v>
      </c>
      <c r="L27" s="55">
        <f ca="1">IFERROR(__xludf.DUMMYFUNCTION("IMPORTRANGE(""https://docs.google.com/spreadsheets/d/11923uPwbBZFjjGgGUA6NLw09EwE0CqkOc4q9oUmW1yo/edit?usp=sharing"",""แม่ฮ่องสอน!J469"")"),48)</f>
        <v>48</v>
      </c>
      <c r="M27" s="55">
        <f ca="1">IFERROR(__xludf.DUMMYFUNCTION("IMPORTRANGE(""https://docs.google.com/spreadsheets/d/11923uPwbBZFjjGgGUA6NLw09EwE0CqkOc4q9oUmW1yo/edit?usp=sharing"",""แม่ฮ่องสอน!J470"")"),13)</f>
        <v>13</v>
      </c>
      <c r="N27" s="55">
        <f ca="1">IFERROR(__xludf.DUMMYFUNCTION("IMPORTRANGE(""https://docs.google.com/spreadsheets/d/11923uPwbBZFjjGgGUA6NLw09EwE0CqkOc4q9oUmW1yo/edit?usp=sharing"",""แม่ฮ่องสอน!J471"")"),0)</f>
        <v>0</v>
      </c>
      <c r="O27" s="422">
        <f ca="1">IFERROR(__xludf.DUMMYFUNCTION("IMPORTRANGE(""https://docs.google.com/spreadsheets/d/11923uPwbBZFjjGgGUA6NLw09EwE0CqkOc4q9oUmW1yo/edit?usp=sharing"",""แม่ฮ่องสอน!J472"")"),0)</f>
        <v>0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24" customHeight="1" x14ac:dyDescent="0.5">
      <c r="A28" s="273">
        <v>13</v>
      </c>
      <c r="B28" s="274" t="s">
        <v>43</v>
      </c>
      <c r="C28" s="275">
        <f t="shared" si="20"/>
        <v>145040</v>
      </c>
      <c r="D28" s="55">
        <v>0</v>
      </c>
      <c r="E28" s="55">
        <v>145040</v>
      </c>
      <c r="F28" s="99">
        <f ca="1">IFERROR(__xludf.DUMMYFUNCTION("IMPORTRANGE(""https://docs.google.com/spreadsheets/d/11923uPwbBZFjjGgGUA6NLw09EwE0CqkOc4q9oUmW1yo/edit?usp=sharing"",""ลำปาง!M459"")"),0)</f>
        <v>0</v>
      </c>
      <c r="G28" s="99">
        <f t="shared" ca="1" si="1"/>
        <v>0</v>
      </c>
      <c r="H28" s="55">
        <v>1800</v>
      </c>
      <c r="I28" s="55">
        <f t="shared" ca="1" si="21"/>
        <v>0</v>
      </c>
      <c r="J28" s="99">
        <f t="shared" ca="1" si="3"/>
        <v>0</v>
      </c>
      <c r="K28" s="421">
        <f ca="1">IFERROR(__xludf.DUMMYFUNCTION("IMPORTRANGE(""https://docs.google.com/spreadsheets/d/11923uPwbBZFjjGgGUA6NLw09EwE0CqkOc4q9oUmW1yo/edit?usp=sharing"",""ลำปาง!J468"")"),0)</f>
        <v>0</v>
      </c>
      <c r="L28" s="55">
        <f ca="1">IFERROR(__xludf.DUMMYFUNCTION("IMPORTRANGE(""https://docs.google.com/spreadsheets/d/11923uPwbBZFjjGgGUA6NLw09EwE0CqkOc4q9oUmW1yo/edit?usp=sharing"",""ลำปาง!J469"")"),0)</f>
        <v>0</v>
      </c>
      <c r="M28" s="55">
        <f ca="1">IFERROR(__xludf.DUMMYFUNCTION("IMPORTRANGE(""https://docs.google.com/spreadsheets/d/11923uPwbBZFjjGgGUA6NLw09EwE0CqkOc4q9oUmW1yo/edit?usp=sharing"",""ลำปาง!J470"")"),0)</f>
        <v>0</v>
      </c>
      <c r="N28" s="55">
        <f ca="1">IFERROR(__xludf.DUMMYFUNCTION("IMPORTRANGE(""https://docs.google.com/spreadsheets/d/11923uPwbBZFjjGgGUA6NLw09EwE0CqkOc4q9oUmW1yo/edit?usp=sharing"",""ลำปาง!J471"")"),0)</f>
        <v>0</v>
      </c>
      <c r="O28" s="422">
        <f ca="1">IFERROR(__xludf.DUMMYFUNCTION("IMPORTRANGE(""https://docs.google.com/spreadsheets/d/11923uPwbBZFjjGgGUA6NLw09EwE0CqkOc4q9oUmW1yo/edit?usp=sharing"",""ลำปาง!J472"")"),0)</f>
        <v>0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 ht="24" customHeight="1" x14ac:dyDescent="0.5">
      <c r="A29" s="273">
        <v>14</v>
      </c>
      <c r="B29" s="274" t="s">
        <v>44</v>
      </c>
      <c r="C29" s="275">
        <f t="shared" si="20"/>
        <v>126880</v>
      </c>
      <c r="D29" s="55">
        <v>0</v>
      </c>
      <c r="E29" s="55">
        <v>126880</v>
      </c>
      <c r="F29" s="99">
        <f ca="1">IFERROR(__xludf.DUMMYFUNCTION("IMPORTRANGE(""https://docs.google.com/spreadsheets/d/11923uPwbBZFjjGgGUA6NLw09EwE0CqkOc4q9oUmW1yo/edit?usp=sharing"",""ลำพูน!M459"")"),0)</f>
        <v>0</v>
      </c>
      <c r="G29" s="99">
        <f t="shared" ca="1" si="1"/>
        <v>0</v>
      </c>
      <c r="H29" s="55">
        <v>650</v>
      </c>
      <c r="I29" s="55">
        <f t="shared" ca="1" si="21"/>
        <v>0</v>
      </c>
      <c r="J29" s="99">
        <f t="shared" ca="1" si="3"/>
        <v>0</v>
      </c>
      <c r="K29" s="421">
        <f ca="1">IFERROR(__xludf.DUMMYFUNCTION("IMPORTRANGE(""https://docs.google.com/spreadsheets/d/11923uPwbBZFjjGgGUA6NLw09EwE0CqkOc4q9oUmW1yo/edit?usp=sharing"",""ลำพูน!J468"")"),0)</f>
        <v>0</v>
      </c>
      <c r="L29" s="55">
        <f ca="1">IFERROR(__xludf.DUMMYFUNCTION("IMPORTRANGE(""https://docs.google.com/spreadsheets/d/11923uPwbBZFjjGgGUA6NLw09EwE0CqkOc4q9oUmW1yo/edit?usp=sharing"",""ลำพูน!J469"")"),0)</f>
        <v>0</v>
      </c>
      <c r="M29" s="55">
        <f ca="1">IFERROR(__xludf.DUMMYFUNCTION("IMPORTRANGE(""https://docs.google.com/spreadsheets/d/11923uPwbBZFjjGgGUA6NLw09EwE0CqkOc4q9oUmW1yo/edit?usp=sharing"",""ลำพูน!J470"")"),0)</f>
        <v>0</v>
      </c>
      <c r="N29" s="55">
        <f ca="1">IFERROR(__xludf.DUMMYFUNCTION("IMPORTRANGE(""https://docs.google.com/spreadsheets/d/11923uPwbBZFjjGgGUA6NLw09EwE0CqkOc4q9oUmW1yo/edit?usp=sharing"",""ลำพูน!J471"")"),0)</f>
        <v>0</v>
      </c>
      <c r="O29" s="422">
        <f ca="1">IFERROR(__xludf.DUMMYFUNCTION("IMPORTRANGE(""https://docs.google.com/spreadsheets/d/11923uPwbBZFjjGgGUA6NLw09EwE0CqkOc4q9oUmW1yo/edit?usp=sharing"",""ลำพูน!J472"")"),0)</f>
        <v>0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24" customHeight="1" x14ac:dyDescent="0.5">
      <c r="A30" s="273">
        <v>15</v>
      </c>
      <c r="B30" s="274" t="s">
        <v>45</v>
      </c>
      <c r="C30" s="275">
        <f t="shared" si="20"/>
        <v>142240</v>
      </c>
      <c r="D30" s="55">
        <v>0</v>
      </c>
      <c r="E30" s="55">
        <v>142240</v>
      </c>
      <c r="F30" s="99">
        <f ca="1">IFERROR(__xludf.DUMMYFUNCTION("IMPORTRANGE(""https://docs.google.com/spreadsheets/d/11923uPwbBZFjjGgGUA6NLw09EwE0CqkOc4q9oUmW1yo/edit?usp=sharing"",""สุโขทัย!M459"")"),0)</f>
        <v>0</v>
      </c>
      <c r="G30" s="99">
        <f t="shared" ca="1" si="1"/>
        <v>0</v>
      </c>
      <c r="H30" s="55">
        <v>2100</v>
      </c>
      <c r="I30" s="55">
        <f t="shared" ca="1" si="21"/>
        <v>380</v>
      </c>
      <c r="J30" s="99">
        <f t="shared" ca="1" si="3"/>
        <v>18.095238095238095</v>
      </c>
      <c r="K30" s="421">
        <f ca="1">IFERROR(__xludf.DUMMYFUNCTION("IMPORTRANGE(""https://docs.google.com/spreadsheets/d/11923uPwbBZFjjGgGUA6NLw09EwE0CqkOc4q9oUmW1yo/edit?usp=sharing"",""สุโขทัย!J468"")"),0)</f>
        <v>0</v>
      </c>
      <c r="L30" s="55">
        <f ca="1">IFERROR(__xludf.DUMMYFUNCTION("IMPORTRANGE(""https://docs.google.com/spreadsheets/d/11923uPwbBZFjjGgGUA6NLw09EwE0CqkOc4q9oUmW1yo/edit?usp=sharing"",""สุโขทัย!J469"")"),0)</f>
        <v>0</v>
      </c>
      <c r="M30" s="55">
        <f ca="1">IFERROR(__xludf.DUMMYFUNCTION("IMPORTRANGE(""https://docs.google.com/spreadsheets/d/11923uPwbBZFjjGgGUA6NLw09EwE0CqkOc4q9oUmW1yo/edit?usp=sharing"",""สุโขทัย!J470"")"),380)</f>
        <v>380</v>
      </c>
      <c r="N30" s="55">
        <f ca="1">IFERROR(__xludf.DUMMYFUNCTION("IMPORTRANGE(""https://docs.google.com/spreadsheets/d/11923uPwbBZFjjGgGUA6NLw09EwE0CqkOc4q9oUmW1yo/edit?usp=sharing"",""สุโขทัย!J471"")"),0)</f>
        <v>0</v>
      </c>
      <c r="O30" s="422">
        <f ca="1">IFERROR(__xludf.DUMMYFUNCTION("IMPORTRANGE(""https://docs.google.com/spreadsheets/d/11923uPwbBZFjjGgGUA6NLw09EwE0CqkOc4q9oUmW1yo/edit?usp=sharing"",""สุโขทัย!J472"")"),0)</f>
        <v>0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24" customHeight="1" x14ac:dyDescent="0.5">
      <c r="A31" s="273">
        <v>16</v>
      </c>
      <c r="B31" s="274" t="s">
        <v>46</v>
      </c>
      <c r="C31" s="275">
        <f t="shared" si="20"/>
        <v>127280</v>
      </c>
      <c r="D31" s="55">
        <v>0</v>
      </c>
      <c r="E31" s="55">
        <v>127280</v>
      </c>
      <c r="F31" s="99">
        <f ca="1">IFERROR(__xludf.DUMMYFUNCTION("IMPORTRANGE(""https://docs.google.com/spreadsheets/d/11923uPwbBZFjjGgGUA6NLw09EwE0CqkOc4q9oUmW1yo/edit?usp=sharing"",""อุตรดิตถ์!M459"")"),0)</f>
        <v>0</v>
      </c>
      <c r="G31" s="99">
        <f t="shared" ca="1" si="1"/>
        <v>0</v>
      </c>
      <c r="H31" s="55">
        <v>1100</v>
      </c>
      <c r="I31" s="55">
        <f t="shared" ca="1" si="21"/>
        <v>0</v>
      </c>
      <c r="J31" s="99">
        <f t="shared" ca="1" si="3"/>
        <v>0</v>
      </c>
      <c r="K31" s="421">
        <f ca="1">IFERROR(__xludf.DUMMYFUNCTION("IMPORTRANGE(""https://docs.google.com/spreadsheets/d/11923uPwbBZFjjGgGUA6NLw09EwE0CqkOc4q9oUmW1yo/edit?usp=sharing"",""อุตรดิตถ์!J468"")"),0)</f>
        <v>0</v>
      </c>
      <c r="L31" s="55">
        <f ca="1">IFERROR(__xludf.DUMMYFUNCTION("IMPORTRANGE(""https://docs.google.com/spreadsheets/d/11923uPwbBZFjjGgGUA6NLw09EwE0CqkOc4q9oUmW1yo/edit?usp=sharing"",""อุตรดิตถ์!J469"")"),0)</f>
        <v>0</v>
      </c>
      <c r="M31" s="55">
        <f ca="1">IFERROR(__xludf.DUMMYFUNCTION("IMPORTRANGE(""https://docs.google.com/spreadsheets/d/11923uPwbBZFjjGgGUA6NLw09EwE0CqkOc4q9oUmW1yo/edit?usp=sharing"",""อุตรดิตถ์!J470"")"),0)</f>
        <v>0</v>
      </c>
      <c r="N31" s="55">
        <f ca="1">IFERROR(__xludf.DUMMYFUNCTION("IMPORTRANGE(""https://docs.google.com/spreadsheets/d/11923uPwbBZFjjGgGUA6NLw09EwE0CqkOc4q9oUmW1yo/edit?usp=sharing"",""อุตรดิตถ์!J471"")"),0)</f>
        <v>0</v>
      </c>
      <c r="O31" s="422">
        <f ca="1">IFERROR(__xludf.DUMMYFUNCTION("IMPORTRANGE(""https://docs.google.com/spreadsheets/d/11923uPwbBZFjjGgGUA6NLw09EwE0CqkOc4q9oUmW1yo/edit?usp=sharing"",""อุตรดิตถ์!J472"")"),0)</f>
        <v>0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24" customHeight="1" x14ac:dyDescent="0.5">
      <c r="A32" s="278">
        <v>17</v>
      </c>
      <c r="B32" s="279" t="s">
        <v>47</v>
      </c>
      <c r="C32" s="280">
        <f t="shared" si="20"/>
        <v>136880</v>
      </c>
      <c r="D32" s="62">
        <v>0</v>
      </c>
      <c r="E32" s="62">
        <v>136880</v>
      </c>
      <c r="F32" s="100">
        <f ca="1">IFERROR(__xludf.DUMMYFUNCTION("IMPORTRANGE(""https://docs.google.com/spreadsheets/d/11923uPwbBZFjjGgGUA6NLw09EwE0CqkOc4q9oUmW1yo/edit?usp=sharing"",""อุทัยธานี!M459"")"),0)</f>
        <v>0</v>
      </c>
      <c r="G32" s="100">
        <f t="shared" ca="1" si="1"/>
        <v>0</v>
      </c>
      <c r="H32" s="62">
        <v>1550</v>
      </c>
      <c r="I32" s="62">
        <f t="shared" ca="1" si="21"/>
        <v>0</v>
      </c>
      <c r="J32" s="100">
        <f t="shared" ca="1" si="3"/>
        <v>0</v>
      </c>
      <c r="K32" s="423">
        <f ca="1">IFERROR(__xludf.DUMMYFUNCTION("IMPORTRANGE(""https://docs.google.com/spreadsheets/d/11923uPwbBZFjjGgGUA6NLw09EwE0CqkOc4q9oUmW1yo/edit?usp=sharing"",""อุทัยธานี!J468"")"),0)</f>
        <v>0</v>
      </c>
      <c r="L32" s="62">
        <f ca="1">IFERROR(__xludf.DUMMYFUNCTION("IMPORTRANGE(""https://docs.google.com/spreadsheets/d/11923uPwbBZFjjGgGUA6NLw09EwE0CqkOc4q9oUmW1yo/edit?usp=sharing"",""อุทัยธานี!J469"")"),0)</f>
        <v>0</v>
      </c>
      <c r="M32" s="62">
        <f ca="1">IFERROR(__xludf.DUMMYFUNCTION("IMPORTRANGE(""https://docs.google.com/spreadsheets/d/11923uPwbBZFjjGgGUA6NLw09EwE0CqkOc4q9oUmW1yo/edit?usp=sharing"",""อุทัยธานี!J470"")"),0)</f>
        <v>0</v>
      </c>
      <c r="N32" s="62">
        <f ca="1">IFERROR(__xludf.DUMMYFUNCTION("IMPORTRANGE(""https://docs.google.com/spreadsheets/d/11923uPwbBZFjjGgGUA6NLw09EwE0CqkOc4q9oUmW1yo/edit?usp=sharing"",""อุทัยธานี!J471"")"),0)</f>
        <v>0</v>
      </c>
      <c r="O32" s="424">
        <f ca="1">IFERROR(__xludf.DUMMYFUNCTION("IMPORTRANGE(""https://docs.google.com/spreadsheets/d/11923uPwbBZFjjGgGUA6NLw09EwE0CqkOc4q9oUmW1yo/edit?usp=sharing"",""อุทัยธานี!J472"")"),0)</f>
        <v>0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24" customHeight="1" x14ac:dyDescent="0.5">
      <c r="A33" s="778" t="s">
        <v>48</v>
      </c>
      <c r="B33" s="569"/>
      <c r="C33" s="255">
        <f t="shared" ref="C33:F33" si="22">SUM(C34:C53)</f>
        <v>3178880</v>
      </c>
      <c r="D33" s="66">
        <f t="shared" si="22"/>
        <v>0</v>
      </c>
      <c r="E33" s="66">
        <f t="shared" si="22"/>
        <v>3178880</v>
      </c>
      <c r="F33" s="101">
        <f t="shared" ca="1" si="22"/>
        <v>64373.37</v>
      </c>
      <c r="G33" s="101">
        <f t="shared" ca="1" si="1"/>
        <v>2.0250330305013087</v>
      </c>
      <c r="H33" s="66">
        <f t="shared" ref="H33:I33" si="23">SUM(H34:H53)</f>
        <v>75510</v>
      </c>
      <c r="I33" s="66">
        <f t="shared" ca="1" si="23"/>
        <v>1869</v>
      </c>
      <c r="J33" s="101">
        <f t="shared" ca="1" si="3"/>
        <v>2.4751688518077075</v>
      </c>
      <c r="K33" s="394">
        <f t="shared" ref="K33:O33" ca="1" si="24">SUM(K34:K53)</f>
        <v>2</v>
      </c>
      <c r="L33" s="66">
        <f t="shared" ca="1" si="24"/>
        <v>138</v>
      </c>
      <c r="M33" s="66">
        <f t="shared" ca="1" si="24"/>
        <v>1729</v>
      </c>
      <c r="N33" s="66">
        <f t="shared" ca="1" si="24"/>
        <v>1</v>
      </c>
      <c r="O33" s="414">
        <f t="shared" ca="1" si="24"/>
        <v>1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24" customHeight="1" x14ac:dyDescent="0.5">
      <c r="A34" s="268">
        <v>1</v>
      </c>
      <c r="B34" s="269" t="s">
        <v>49</v>
      </c>
      <c r="C34" s="270">
        <f t="shared" ref="C34:C53" si="25">+D34+E34</f>
        <v>143040</v>
      </c>
      <c r="D34" s="48">
        <v>0</v>
      </c>
      <c r="E34" s="48">
        <v>143040</v>
      </c>
      <c r="F34" s="98">
        <f ca="1">IFERROR(__xludf.DUMMYFUNCTION("IMPORTRANGE(""https://docs.google.com/spreadsheets/d/1XL5vhW3sbDhbH9Cz0tuDiY8C3ctxq1tqvaCgkFb8cCA/edit?usp=sharing"",""กาฬสินธุ์!M459"")"),0)</f>
        <v>0</v>
      </c>
      <c r="G34" s="98">
        <f t="shared" ca="1" si="1"/>
        <v>0</v>
      </c>
      <c r="H34" s="48">
        <v>2300</v>
      </c>
      <c r="I34" s="48">
        <f t="shared" ref="I34:I53" ca="1" si="26">SUM(L34,M34,N34,O34)</f>
        <v>0</v>
      </c>
      <c r="J34" s="98">
        <f t="shared" ca="1" si="3"/>
        <v>0</v>
      </c>
      <c r="K34" s="419">
        <f ca="1">IFERROR(__xludf.DUMMYFUNCTION("IMPORTRANGE(""https://docs.google.com/spreadsheets/d/1XL5vhW3sbDhbH9Cz0tuDiY8C3ctxq1tqvaCgkFb8cCA/edit?usp=sharing"",""กาฬสินธุ์!J468"")"),0)</f>
        <v>0</v>
      </c>
      <c r="L34" s="48">
        <f ca="1">IFERROR(__xludf.DUMMYFUNCTION("IMPORTRANGE(""https://docs.google.com/spreadsheets/d/1XL5vhW3sbDhbH9Cz0tuDiY8C3ctxq1tqvaCgkFb8cCA/edit?usp=sharing"",""กาฬสินธุ์!J469"")"),0)</f>
        <v>0</v>
      </c>
      <c r="M34" s="48">
        <f ca="1">IFERROR(__xludf.DUMMYFUNCTION("IMPORTRANGE(""https://docs.google.com/spreadsheets/d/1XL5vhW3sbDhbH9Cz0tuDiY8C3ctxq1tqvaCgkFb8cCA/edit?usp=sharing"",""กาฬสินธุ์!J470"")"),0)</f>
        <v>0</v>
      </c>
      <c r="N34" s="48">
        <f ca="1">IFERROR(__xludf.DUMMYFUNCTION("IMPORTRANGE(""https://docs.google.com/spreadsheets/d/1XL5vhW3sbDhbH9Cz0tuDiY8C3ctxq1tqvaCgkFb8cCA/edit?usp=sharing"",""กาฬสินธุ์!J471"")"),0)</f>
        <v>0</v>
      </c>
      <c r="O34" s="420">
        <f ca="1">IFERROR(__xludf.DUMMYFUNCTION("IMPORTRANGE(""https://docs.google.com/spreadsheets/d/1XL5vhW3sbDhbH9Cz0tuDiY8C3ctxq1tqvaCgkFb8cCA/edit?usp=sharing"",""กาฬสินธุ์!J472"")"),0)</f>
        <v>0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24" customHeight="1" x14ac:dyDescent="0.5">
      <c r="A35" s="273">
        <v>2</v>
      </c>
      <c r="B35" s="274" t="s">
        <v>50</v>
      </c>
      <c r="C35" s="275">
        <f t="shared" si="25"/>
        <v>166400</v>
      </c>
      <c r="D35" s="55">
        <v>0</v>
      </c>
      <c r="E35" s="55">
        <v>166400</v>
      </c>
      <c r="F35" s="99">
        <f ca="1">IFERROR(__xludf.DUMMYFUNCTION("IMPORTRANGE(""https://docs.google.com/spreadsheets/d/1XL5vhW3sbDhbH9Cz0tuDiY8C3ctxq1tqvaCgkFb8cCA/edit?usp=sharing"",""ขอนแก่น!M459"")"),0)</f>
        <v>0</v>
      </c>
      <c r="G35" s="99">
        <f t="shared" ca="1" si="1"/>
        <v>0</v>
      </c>
      <c r="H35" s="55">
        <v>3000</v>
      </c>
      <c r="I35" s="55">
        <f t="shared" ca="1" si="26"/>
        <v>0</v>
      </c>
      <c r="J35" s="99">
        <f t="shared" ca="1" si="3"/>
        <v>0</v>
      </c>
      <c r="K35" s="421">
        <f ca="1">IFERROR(__xludf.DUMMYFUNCTION("IMPORTRANGE(""https://docs.google.com/spreadsheets/d/1XL5vhW3sbDhbH9Cz0tuDiY8C3ctxq1tqvaCgkFb8cCA/edit?usp=sharing"",""ขอนแก่น!J468"")"),0)</f>
        <v>0</v>
      </c>
      <c r="L35" s="55">
        <f ca="1">IFERROR(__xludf.DUMMYFUNCTION("IMPORTRANGE(""https://docs.google.com/spreadsheets/d/1XL5vhW3sbDhbH9Cz0tuDiY8C3ctxq1tqvaCgkFb8cCA/edit?usp=sharing"",""ขอนแก่น!J469"")"),0)</f>
        <v>0</v>
      </c>
      <c r="M35" s="55">
        <f ca="1">IFERROR(__xludf.DUMMYFUNCTION("IMPORTRANGE(""https://docs.google.com/spreadsheets/d/1XL5vhW3sbDhbH9Cz0tuDiY8C3ctxq1tqvaCgkFb8cCA/edit?usp=sharing"",""ขอนแก่น!J470"")"),0)</f>
        <v>0</v>
      </c>
      <c r="N35" s="55">
        <f ca="1">IFERROR(__xludf.DUMMYFUNCTION("IMPORTRANGE(""https://docs.google.com/spreadsheets/d/1XL5vhW3sbDhbH9Cz0tuDiY8C3ctxq1tqvaCgkFb8cCA/edit?usp=sharing"",""ขอนแก่น!J471"")"),0)</f>
        <v>0</v>
      </c>
      <c r="O35" s="422">
        <f ca="1">IFERROR(__xludf.DUMMYFUNCTION("IMPORTRANGE(""https://docs.google.com/spreadsheets/d/1XL5vhW3sbDhbH9Cz0tuDiY8C3ctxq1tqvaCgkFb8cCA/edit?usp=sharing"",""ขอนแก่น!J472"")"),0)</f>
        <v>0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ht="24" customHeight="1" x14ac:dyDescent="0.5">
      <c r="A36" s="273">
        <v>3</v>
      </c>
      <c r="B36" s="274" t="s">
        <v>51</v>
      </c>
      <c r="C36" s="275">
        <f t="shared" si="25"/>
        <v>172800</v>
      </c>
      <c r="D36" s="55">
        <v>0</v>
      </c>
      <c r="E36" s="55">
        <v>172800</v>
      </c>
      <c r="F36" s="99">
        <f ca="1">IFERROR(__xludf.DUMMYFUNCTION("IMPORTRANGE(""https://docs.google.com/spreadsheets/d/1XL5vhW3sbDhbH9Cz0tuDiY8C3ctxq1tqvaCgkFb8cCA/edit?usp=sharing"",""ชัยภูมิ!M459"")"),0)</f>
        <v>0</v>
      </c>
      <c r="G36" s="99">
        <f t="shared" ca="1" si="1"/>
        <v>0</v>
      </c>
      <c r="H36" s="55">
        <v>4600</v>
      </c>
      <c r="I36" s="55">
        <f t="shared" ca="1" si="26"/>
        <v>0</v>
      </c>
      <c r="J36" s="99">
        <f t="shared" ca="1" si="3"/>
        <v>0</v>
      </c>
      <c r="K36" s="421">
        <f ca="1">IFERROR(__xludf.DUMMYFUNCTION("IMPORTRANGE(""https://docs.google.com/spreadsheets/d/1XL5vhW3sbDhbH9Cz0tuDiY8C3ctxq1tqvaCgkFb8cCA/edit?usp=sharing"",""ชัยภูมิ!J468"")"),0)</f>
        <v>0</v>
      </c>
      <c r="L36" s="55">
        <f ca="1">IFERROR(__xludf.DUMMYFUNCTION("IMPORTRANGE(""https://docs.google.com/spreadsheets/d/1XL5vhW3sbDhbH9Cz0tuDiY8C3ctxq1tqvaCgkFb8cCA/edit?usp=sharing"",""ชัยภูมิ!J469"")"),0)</f>
        <v>0</v>
      </c>
      <c r="M36" s="55">
        <f ca="1">IFERROR(__xludf.DUMMYFUNCTION("IMPORTRANGE(""https://docs.google.com/spreadsheets/d/1XL5vhW3sbDhbH9Cz0tuDiY8C3ctxq1tqvaCgkFb8cCA/edit?usp=sharing"",""ชัยภูมิ!J470"")"),0)</f>
        <v>0</v>
      </c>
      <c r="N36" s="55">
        <f ca="1">IFERROR(__xludf.DUMMYFUNCTION("IMPORTRANGE(""https://docs.google.com/spreadsheets/d/1XL5vhW3sbDhbH9Cz0tuDiY8C3ctxq1tqvaCgkFb8cCA/edit?usp=sharing"",""ชัยภูมิ!J471"")"),0)</f>
        <v>0</v>
      </c>
      <c r="O36" s="422">
        <f ca="1">IFERROR(__xludf.DUMMYFUNCTION("IMPORTRANGE(""https://docs.google.com/spreadsheets/d/1XL5vhW3sbDhbH9Cz0tuDiY8C3ctxq1tqvaCgkFb8cCA/edit?usp=sharing"",""ชัยภูมิ!J472"")"),0)</f>
        <v>0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ht="24" customHeight="1" x14ac:dyDescent="0.5">
      <c r="A37" s="273">
        <v>4</v>
      </c>
      <c r="B37" s="274" t="s">
        <v>52</v>
      </c>
      <c r="C37" s="275">
        <f t="shared" si="25"/>
        <v>128480</v>
      </c>
      <c r="D37" s="55">
        <v>0</v>
      </c>
      <c r="E37" s="55">
        <v>128480</v>
      </c>
      <c r="F37" s="99">
        <f ca="1">IFERROR(__xludf.DUMMYFUNCTION("IMPORTRANGE(""https://docs.google.com/spreadsheets/d/1XL5vhW3sbDhbH9Cz0tuDiY8C3ctxq1tqvaCgkFb8cCA/edit?usp=sharing"",""นครพนม!M459"")"),0)</f>
        <v>0</v>
      </c>
      <c r="G37" s="99">
        <f t="shared" ca="1" si="1"/>
        <v>0</v>
      </c>
      <c r="H37" s="55">
        <v>1200</v>
      </c>
      <c r="I37" s="55">
        <f t="shared" ca="1" si="26"/>
        <v>138</v>
      </c>
      <c r="J37" s="99">
        <f t="shared" ca="1" si="3"/>
        <v>11.5</v>
      </c>
      <c r="K37" s="421">
        <f ca="1">IFERROR(__xludf.DUMMYFUNCTION("IMPORTRANGE(""https://docs.google.com/spreadsheets/d/1XL5vhW3sbDhbH9Cz0tuDiY8C3ctxq1tqvaCgkFb8cCA/edit?usp=sharing"",""นครพนม!J468"")"),1)</f>
        <v>1</v>
      </c>
      <c r="L37" s="55">
        <f ca="1">IFERROR(__xludf.DUMMYFUNCTION("IMPORTRANGE(""https://docs.google.com/spreadsheets/d/1XL5vhW3sbDhbH9Cz0tuDiY8C3ctxq1tqvaCgkFb8cCA/edit?usp=sharing"",""นครพนม!J469"")"),138)</f>
        <v>138</v>
      </c>
      <c r="M37" s="55">
        <f ca="1">IFERROR(__xludf.DUMMYFUNCTION("IMPORTRANGE(""https://docs.google.com/spreadsheets/d/1XL5vhW3sbDhbH9Cz0tuDiY8C3ctxq1tqvaCgkFb8cCA/edit?usp=sharing"",""นครพนม!J470"")"),0)</f>
        <v>0</v>
      </c>
      <c r="N37" s="55">
        <f ca="1">IFERROR(__xludf.DUMMYFUNCTION("IMPORTRANGE(""https://docs.google.com/spreadsheets/d/1XL5vhW3sbDhbH9Cz0tuDiY8C3ctxq1tqvaCgkFb8cCA/edit?usp=sharing"",""นครพนม!J471"")"),0)</f>
        <v>0</v>
      </c>
      <c r="O37" s="422">
        <f ca="1">IFERROR(__xludf.DUMMYFUNCTION("IMPORTRANGE(""https://docs.google.com/spreadsheets/d/1XL5vhW3sbDhbH9Cz0tuDiY8C3ctxq1tqvaCgkFb8cCA/edit?usp=sharing"",""นครพนม!J472"")"),0)</f>
        <v>0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ht="24" customHeight="1" x14ac:dyDescent="0.5">
      <c r="A38" s="273">
        <v>5</v>
      </c>
      <c r="B38" s="274" t="s">
        <v>53</v>
      </c>
      <c r="C38" s="275">
        <f t="shared" si="25"/>
        <v>211200</v>
      </c>
      <c r="D38" s="55">
        <v>0</v>
      </c>
      <c r="E38" s="55">
        <v>211200</v>
      </c>
      <c r="F38" s="99">
        <f ca="1">IFERROR(__xludf.DUMMYFUNCTION("IMPORTRANGE(""https://docs.google.com/spreadsheets/d/1XL5vhW3sbDhbH9Cz0tuDiY8C3ctxq1tqvaCgkFb8cCA/edit?usp=sharing"",""นครราชสีมา!M459"")"),0)</f>
        <v>0</v>
      </c>
      <c r="G38" s="99">
        <f t="shared" ca="1" si="1"/>
        <v>0</v>
      </c>
      <c r="H38" s="55">
        <v>9000</v>
      </c>
      <c r="I38" s="55">
        <f t="shared" ca="1" si="26"/>
        <v>3</v>
      </c>
      <c r="J38" s="99">
        <f t="shared" ca="1" si="3"/>
        <v>3.3333333333333333E-2</v>
      </c>
      <c r="K38" s="421">
        <f ca="1">IFERROR(__xludf.DUMMYFUNCTION("IMPORTRANGE(""https://docs.google.com/spreadsheets/d/1XL5vhW3sbDhbH9Cz0tuDiY8C3ctxq1tqvaCgkFb8cCA/edit?usp=sharing"",""นครราชสีมา!J468"")"),0)</f>
        <v>0</v>
      </c>
      <c r="L38" s="55">
        <f ca="1">IFERROR(__xludf.DUMMYFUNCTION("IMPORTRANGE(""https://docs.google.com/spreadsheets/d/1XL5vhW3sbDhbH9Cz0tuDiY8C3ctxq1tqvaCgkFb8cCA/edit?usp=sharing"",""นครราชสีมา!J469"")"),0)</f>
        <v>0</v>
      </c>
      <c r="M38" s="55">
        <f ca="1">IFERROR(__xludf.DUMMYFUNCTION("IMPORTRANGE(""https://docs.google.com/spreadsheets/d/1XL5vhW3sbDhbH9Cz0tuDiY8C3ctxq1tqvaCgkFb8cCA/edit?usp=sharing"",""นครราชสีมา!J470"")"),1)</f>
        <v>1</v>
      </c>
      <c r="N38" s="55">
        <f ca="1">IFERROR(__xludf.DUMMYFUNCTION("IMPORTRANGE(""https://docs.google.com/spreadsheets/d/1XL5vhW3sbDhbH9Cz0tuDiY8C3ctxq1tqvaCgkFb8cCA/edit?usp=sharing"",""นครราชสีมา!J471"")"),1)</f>
        <v>1</v>
      </c>
      <c r="O38" s="422">
        <f ca="1">IFERROR(__xludf.DUMMYFUNCTION("IMPORTRANGE(""https://docs.google.com/spreadsheets/d/1XL5vhW3sbDhbH9Cz0tuDiY8C3ctxq1tqvaCgkFb8cCA/edit?usp=sharing"",""นครราชสีมา!J472"")"),1)</f>
        <v>1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24" customHeight="1" x14ac:dyDescent="0.5">
      <c r="A39" s="273">
        <v>6</v>
      </c>
      <c r="B39" s="274" t="s">
        <v>54</v>
      </c>
      <c r="C39" s="275">
        <f t="shared" si="25"/>
        <v>160000</v>
      </c>
      <c r="D39" s="55">
        <v>0</v>
      </c>
      <c r="E39" s="55">
        <v>160000</v>
      </c>
      <c r="F39" s="99">
        <f ca="1">IFERROR(__xludf.DUMMYFUNCTION("IMPORTRANGE(""https://docs.google.com/spreadsheets/d/1XL5vhW3sbDhbH9Cz0tuDiY8C3ctxq1tqvaCgkFb8cCA/edit?usp=sharing"",""บึงกาฬ!M459"")"),0)</f>
        <v>0</v>
      </c>
      <c r="G39" s="99">
        <f t="shared" ca="1" si="1"/>
        <v>0</v>
      </c>
      <c r="H39" s="55">
        <v>3500</v>
      </c>
      <c r="I39" s="55">
        <f t="shared" ca="1" si="26"/>
        <v>0</v>
      </c>
      <c r="J39" s="99">
        <f t="shared" ca="1" si="3"/>
        <v>0</v>
      </c>
      <c r="K39" s="421">
        <f ca="1">IFERROR(__xludf.DUMMYFUNCTION("IMPORTRANGE(""https://docs.google.com/spreadsheets/d/1XL5vhW3sbDhbH9Cz0tuDiY8C3ctxq1tqvaCgkFb8cCA/edit?usp=sharing"",""บึงกาฬ!J468"")"),0)</f>
        <v>0</v>
      </c>
      <c r="L39" s="55">
        <f ca="1">IFERROR(__xludf.DUMMYFUNCTION("IMPORTRANGE(""https://docs.google.com/spreadsheets/d/1XL5vhW3sbDhbH9Cz0tuDiY8C3ctxq1tqvaCgkFb8cCA/edit?usp=sharing"",""บึงกาฬ!J469"")"),0)</f>
        <v>0</v>
      </c>
      <c r="M39" s="55">
        <f ca="1">IFERROR(__xludf.DUMMYFUNCTION("IMPORTRANGE(""https://docs.google.com/spreadsheets/d/1XL5vhW3sbDhbH9Cz0tuDiY8C3ctxq1tqvaCgkFb8cCA/edit?usp=sharing"",""บึงกาฬ!J470"")"),0)</f>
        <v>0</v>
      </c>
      <c r="N39" s="55">
        <f ca="1">IFERROR(__xludf.DUMMYFUNCTION("IMPORTRANGE(""https://docs.google.com/spreadsheets/d/1XL5vhW3sbDhbH9Cz0tuDiY8C3ctxq1tqvaCgkFb8cCA/edit?usp=sharing"",""บึงกาฬ!J471"")"),0)</f>
        <v>0</v>
      </c>
      <c r="O39" s="422">
        <f ca="1">IFERROR(__xludf.DUMMYFUNCTION("IMPORTRANGE(""https://docs.google.com/spreadsheets/d/1XL5vhW3sbDhbH9Cz0tuDiY8C3ctxq1tqvaCgkFb8cCA/edit?usp=sharing"",""บึงกาฬ!J472"")"),0)</f>
        <v>0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ht="24" customHeight="1" x14ac:dyDescent="0.5">
      <c r="A40" s="273">
        <v>7</v>
      </c>
      <c r="B40" s="274" t="s">
        <v>55</v>
      </c>
      <c r="C40" s="275">
        <f t="shared" si="25"/>
        <v>166000</v>
      </c>
      <c r="D40" s="55">
        <v>0</v>
      </c>
      <c r="E40" s="55">
        <v>166000</v>
      </c>
      <c r="F40" s="99">
        <f ca="1">IFERROR(__xludf.DUMMYFUNCTION("IMPORTRANGE(""https://docs.google.com/spreadsheets/d/1XL5vhW3sbDhbH9Cz0tuDiY8C3ctxq1tqvaCgkFb8cCA/edit?usp=sharing"",""บุรีรัมย์!M459"")"),9899.99)</f>
        <v>9899.99</v>
      </c>
      <c r="G40" s="99">
        <f t="shared" ca="1" si="1"/>
        <v>5.9638493975903613</v>
      </c>
      <c r="H40" s="55">
        <v>4900</v>
      </c>
      <c r="I40" s="55">
        <f t="shared" ca="1" si="26"/>
        <v>794</v>
      </c>
      <c r="J40" s="99">
        <f t="shared" ca="1" si="3"/>
        <v>16.204081632653061</v>
      </c>
      <c r="K40" s="421">
        <f ca="1">IFERROR(__xludf.DUMMYFUNCTION("IMPORTRANGE(""https://docs.google.com/spreadsheets/d/1XL5vhW3sbDhbH9Cz0tuDiY8C3ctxq1tqvaCgkFb8cCA/edit?usp=sharing"",""บุรีรัมย์!J468"")"),0)</f>
        <v>0</v>
      </c>
      <c r="L40" s="55">
        <f ca="1">IFERROR(__xludf.DUMMYFUNCTION("IMPORTRANGE(""https://docs.google.com/spreadsheets/d/1XL5vhW3sbDhbH9Cz0tuDiY8C3ctxq1tqvaCgkFb8cCA/edit?usp=sharing"",""บุรีรัมย์!J469"")"),0)</f>
        <v>0</v>
      </c>
      <c r="M40" s="55">
        <f ca="1">IFERROR(__xludf.DUMMYFUNCTION("IMPORTRANGE(""https://docs.google.com/spreadsheets/d/1XL5vhW3sbDhbH9Cz0tuDiY8C3ctxq1tqvaCgkFb8cCA/edit?usp=sharing"",""บุรีรัมย์!J470"")"),794)</f>
        <v>794</v>
      </c>
      <c r="N40" s="55">
        <f ca="1">IFERROR(__xludf.DUMMYFUNCTION("IMPORTRANGE(""https://docs.google.com/spreadsheets/d/1XL5vhW3sbDhbH9Cz0tuDiY8C3ctxq1tqvaCgkFb8cCA/edit?usp=sharing"",""บุรีรัมย์!J471"")"),0)</f>
        <v>0</v>
      </c>
      <c r="O40" s="422">
        <f ca="1">IFERROR(__xludf.DUMMYFUNCTION("IMPORTRANGE(""https://docs.google.com/spreadsheets/d/1XL5vhW3sbDhbH9Cz0tuDiY8C3ctxq1tqvaCgkFb8cCA/edit?usp=sharing"",""บุรีรัมย์!J472"")"),0)</f>
        <v>0</v>
      </c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24" customHeight="1" x14ac:dyDescent="0.5">
      <c r="A41" s="273">
        <v>8</v>
      </c>
      <c r="B41" s="274" t="s">
        <v>56</v>
      </c>
      <c r="C41" s="275">
        <f t="shared" si="25"/>
        <v>126080</v>
      </c>
      <c r="D41" s="55">
        <v>0</v>
      </c>
      <c r="E41" s="55">
        <v>126080</v>
      </c>
      <c r="F41" s="99">
        <f ca="1">IFERROR(__xludf.DUMMYFUNCTION("IMPORTRANGE(""https://docs.google.com/spreadsheets/d/1XL5vhW3sbDhbH9Cz0tuDiY8C3ctxq1tqvaCgkFb8cCA/edit?usp=sharing"",""มหาสารคาม!M459"")"),17925.48)</f>
        <v>17925.48</v>
      </c>
      <c r="G41" s="99">
        <f t="shared" ca="1" si="1"/>
        <v>14.217544416243655</v>
      </c>
      <c r="H41" s="55">
        <v>950</v>
      </c>
      <c r="I41" s="55">
        <f t="shared" ca="1" si="26"/>
        <v>0</v>
      </c>
      <c r="J41" s="99">
        <f t="shared" ca="1" si="3"/>
        <v>0</v>
      </c>
      <c r="K41" s="421">
        <f ca="1">IFERROR(__xludf.DUMMYFUNCTION("IMPORTRANGE(""https://docs.google.com/spreadsheets/d/1XL5vhW3sbDhbH9Cz0tuDiY8C3ctxq1tqvaCgkFb8cCA/edit?usp=sharing"",""มหาสารคาม!J468"")"),1)</f>
        <v>1</v>
      </c>
      <c r="L41" s="55">
        <f ca="1">IFERROR(__xludf.DUMMYFUNCTION("IMPORTRANGE(""https://docs.google.com/spreadsheets/d/1XL5vhW3sbDhbH9Cz0tuDiY8C3ctxq1tqvaCgkFb8cCA/edit?usp=sharing"",""มหาสารคาม!J469"")"),0)</f>
        <v>0</v>
      </c>
      <c r="M41" s="55">
        <f ca="1">IFERROR(__xludf.DUMMYFUNCTION("IMPORTRANGE(""https://docs.google.com/spreadsheets/d/1XL5vhW3sbDhbH9Cz0tuDiY8C3ctxq1tqvaCgkFb8cCA/edit?usp=sharing"",""มหาสารคาม!J470"")"),0)</f>
        <v>0</v>
      </c>
      <c r="N41" s="55">
        <f ca="1">IFERROR(__xludf.DUMMYFUNCTION("IMPORTRANGE(""https://docs.google.com/spreadsheets/d/1XL5vhW3sbDhbH9Cz0tuDiY8C3ctxq1tqvaCgkFb8cCA/edit?usp=sharing"",""มหาสารคาม!J471"")"),0)</f>
        <v>0</v>
      </c>
      <c r="O41" s="422">
        <f ca="1">IFERROR(__xludf.DUMMYFUNCTION("IMPORTRANGE(""https://docs.google.com/spreadsheets/d/1XL5vhW3sbDhbH9Cz0tuDiY8C3ctxq1tqvaCgkFb8cCA/edit?usp=sharing"",""มหาสารคาม!J472"")"),0)</f>
        <v>0</v>
      </c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ht="24" customHeight="1" x14ac:dyDescent="0.5">
      <c r="A42" s="273">
        <v>9</v>
      </c>
      <c r="B42" s="274" t="s">
        <v>57</v>
      </c>
      <c r="C42" s="275">
        <f t="shared" si="25"/>
        <v>136480</v>
      </c>
      <c r="D42" s="55">
        <v>0</v>
      </c>
      <c r="E42" s="55">
        <v>136480</v>
      </c>
      <c r="F42" s="99">
        <f ca="1">IFERROR(__xludf.DUMMYFUNCTION("IMPORTRANGE(""https://docs.google.com/spreadsheets/d/1XL5vhW3sbDhbH9Cz0tuDiY8C3ctxq1tqvaCgkFb8cCA/edit?usp=sharing"",""มุกดาหาร!M459"")"),0)</f>
        <v>0</v>
      </c>
      <c r="G42" s="99">
        <f t="shared" ca="1" si="1"/>
        <v>0</v>
      </c>
      <c r="H42" s="55">
        <v>1800</v>
      </c>
      <c r="I42" s="55">
        <f t="shared" ca="1" si="26"/>
        <v>0</v>
      </c>
      <c r="J42" s="99">
        <f t="shared" ca="1" si="3"/>
        <v>0</v>
      </c>
      <c r="K42" s="421">
        <f ca="1">IFERROR(__xludf.DUMMYFUNCTION("IMPORTRANGE(""https://docs.google.com/spreadsheets/d/1XL5vhW3sbDhbH9Cz0tuDiY8C3ctxq1tqvaCgkFb8cCA/edit?usp=sharing"",""มุกดาหาร!J468"")"),0)</f>
        <v>0</v>
      </c>
      <c r="L42" s="55">
        <f ca="1">IFERROR(__xludf.DUMMYFUNCTION("IMPORTRANGE(""https://docs.google.com/spreadsheets/d/1XL5vhW3sbDhbH9Cz0tuDiY8C3ctxq1tqvaCgkFb8cCA/edit?usp=sharing"",""มุกดาหาร!J469"")"),0)</f>
        <v>0</v>
      </c>
      <c r="M42" s="55">
        <f ca="1">IFERROR(__xludf.DUMMYFUNCTION("IMPORTRANGE(""https://docs.google.com/spreadsheets/d/1XL5vhW3sbDhbH9Cz0tuDiY8C3ctxq1tqvaCgkFb8cCA/edit?usp=sharing"",""มุกดาหาร!J470"")"),0)</f>
        <v>0</v>
      </c>
      <c r="N42" s="55">
        <f ca="1">IFERROR(__xludf.DUMMYFUNCTION("IMPORTRANGE(""https://docs.google.com/spreadsheets/d/1XL5vhW3sbDhbH9Cz0tuDiY8C3ctxq1tqvaCgkFb8cCA/edit?usp=sharing"",""มุกดาหาร!J471"")"),0)</f>
        <v>0</v>
      </c>
      <c r="O42" s="422">
        <f ca="1">IFERROR(__xludf.DUMMYFUNCTION("IMPORTRANGE(""https://docs.google.com/spreadsheets/d/1XL5vhW3sbDhbH9Cz0tuDiY8C3ctxq1tqvaCgkFb8cCA/edit?usp=sharing"",""มุกดาหาร!J472"")"),0)</f>
        <v>0</v>
      </c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ht="24" customHeight="1" x14ac:dyDescent="0.5">
      <c r="A43" s="273">
        <v>10</v>
      </c>
      <c r="B43" s="274" t="s">
        <v>58</v>
      </c>
      <c r="C43" s="275">
        <f t="shared" si="25"/>
        <v>142240</v>
      </c>
      <c r="D43" s="55">
        <v>0</v>
      </c>
      <c r="E43" s="55">
        <v>142240</v>
      </c>
      <c r="F43" s="99">
        <f ca="1">IFERROR(__xludf.DUMMYFUNCTION("IMPORTRANGE(""https://docs.google.com/spreadsheets/d/1XL5vhW3sbDhbH9Cz0tuDiY8C3ctxq1tqvaCgkFb8cCA/edit?usp=sharing"",""ยโสธร!M459"")"),0)</f>
        <v>0</v>
      </c>
      <c r="G43" s="99">
        <f t="shared" ca="1" si="1"/>
        <v>0</v>
      </c>
      <c r="H43" s="55">
        <v>1900</v>
      </c>
      <c r="I43" s="55">
        <f t="shared" ca="1" si="26"/>
        <v>0</v>
      </c>
      <c r="J43" s="99">
        <f t="shared" ca="1" si="3"/>
        <v>0</v>
      </c>
      <c r="K43" s="421">
        <f ca="1">IFERROR(__xludf.DUMMYFUNCTION("IMPORTRANGE(""https://docs.google.com/spreadsheets/d/1XL5vhW3sbDhbH9Cz0tuDiY8C3ctxq1tqvaCgkFb8cCA/edit?usp=sharing"",""ยโสธร!J468"")"),0)</f>
        <v>0</v>
      </c>
      <c r="L43" s="55">
        <f ca="1">IFERROR(__xludf.DUMMYFUNCTION("IMPORTRANGE(""https://docs.google.com/spreadsheets/d/1XL5vhW3sbDhbH9Cz0tuDiY8C3ctxq1tqvaCgkFb8cCA/edit?usp=sharing"",""ยโสธร!J469"")"),0)</f>
        <v>0</v>
      </c>
      <c r="M43" s="55">
        <f ca="1">IFERROR(__xludf.DUMMYFUNCTION("IMPORTRANGE(""https://docs.google.com/spreadsheets/d/1XL5vhW3sbDhbH9Cz0tuDiY8C3ctxq1tqvaCgkFb8cCA/edit?usp=sharing"",""ยโสธร!J470"")"),0)</f>
        <v>0</v>
      </c>
      <c r="N43" s="55">
        <f ca="1">IFERROR(__xludf.DUMMYFUNCTION("IMPORTRANGE(""https://docs.google.com/spreadsheets/d/1XL5vhW3sbDhbH9Cz0tuDiY8C3ctxq1tqvaCgkFb8cCA/edit?usp=sharing"",""ยโสธร!J471"")"),0)</f>
        <v>0</v>
      </c>
      <c r="O43" s="422">
        <f ca="1">IFERROR(__xludf.DUMMYFUNCTION("IMPORTRANGE(""https://docs.google.com/spreadsheets/d/1XL5vhW3sbDhbH9Cz0tuDiY8C3ctxq1tqvaCgkFb8cCA/edit?usp=sharing"",""ยโสธร!J472"")"),0)</f>
        <v>0</v>
      </c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ht="24" customHeight="1" x14ac:dyDescent="0.5">
      <c r="A44" s="273">
        <v>11</v>
      </c>
      <c r="B44" s="274" t="s">
        <v>59</v>
      </c>
      <c r="C44" s="275">
        <f t="shared" si="25"/>
        <v>143040</v>
      </c>
      <c r="D44" s="55">
        <v>0</v>
      </c>
      <c r="E44" s="55">
        <v>143040</v>
      </c>
      <c r="F44" s="99">
        <f ca="1">IFERROR(__xludf.DUMMYFUNCTION("IMPORTRANGE(""https://docs.google.com/spreadsheets/d/1XL5vhW3sbDhbH9Cz0tuDiY8C3ctxq1tqvaCgkFb8cCA/edit?usp=sharing"",""ร้อยเอ็ด!M459"")"),0)</f>
        <v>0</v>
      </c>
      <c r="G44" s="99">
        <f t="shared" ca="1" si="1"/>
        <v>0</v>
      </c>
      <c r="H44" s="55">
        <v>2800</v>
      </c>
      <c r="I44" s="55">
        <f t="shared" ca="1" si="26"/>
        <v>0</v>
      </c>
      <c r="J44" s="99">
        <f t="shared" ca="1" si="3"/>
        <v>0</v>
      </c>
      <c r="K44" s="421">
        <f ca="1">IFERROR(__xludf.DUMMYFUNCTION("IMPORTRANGE(""https://docs.google.com/spreadsheets/d/1XL5vhW3sbDhbH9Cz0tuDiY8C3ctxq1tqvaCgkFb8cCA/edit?usp=sharing"",""ร้อยเอ็ด!J468"")"),0)</f>
        <v>0</v>
      </c>
      <c r="L44" s="55">
        <f ca="1">IFERROR(__xludf.DUMMYFUNCTION("IMPORTRANGE(""https://docs.google.com/spreadsheets/d/1XL5vhW3sbDhbH9Cz0tuDiY8C3ctxq1tqvaCgkFb8cCA/edit?usp=sharing"",""ร้อยเอ็ด!J469"")"),0)</f>
        <v>0</v>
      </c>
      <c r="M44" s="55">
        <f ca="1">IFERROR(__xludf.DUMMYFUNCTION("IMPORTRANGE(""https://docs.google.com/spreadsheets/d/1XL5vhW3sbDhbH9Cz0tuDiY8C3ctxq1tqvaCgkFb8cCA/edit?usp=sharing"",""ร้อยเอ็ด!J470"")"),0)</f>
        <v>0</v>
      </c>
      <c r="N44" s="55">
        <f ca="1">IFERROR(__xludf.DUMMYFUNCTION("IMPORTRANGE(""https://docs.google.com/spreadsheets/d/1XL5vhW3sbDhbH9Cz0tuDiY8C3ctxq1tqvaCgkFb8cCA/edit?usp=sharing"",""ร้อยเอ็ด!J471"")"),0)</f>
        <v>0</v>
      </c>
      <c r="O44" s="422">
        <f ca="1">IFERROR(__xludf.DUMMYFUNCTION("IMPORTRANGE(""https://docs.google.com/spreadsheets/d/1XL5vhW3sbDhbH9Cz0tuDiY8C3ctxq1tqvaCgkFb8cCA/edit?usp=sharing"",""ร้อยเอ็ด!J472"")"),0)</f>
        <v>0</v>
      </c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ht="24" customHeight="1" x14ac:dyDescent="0.5">
      <c r="A45" s="273">
        <v>12</v>
      </c>
      <c r="B45" s="274" t="s">
        <v>60</v>
      </c>
      <c r="C45" s="275">
        <f t="shared" si="25"/>
        <v>164800</v>
      </c>
      <c r="D45" s="55">
        <v>0</v>
      </c>
      <c r="E45" s="55">
        <v>164800</v>
      </c>
      <c r="F45" s="99">
        <f ca="1">IFERROR(__xludf.DUMMYFUNCTION("IMPORTRANGE(""https://docs.google.com/spreadsheets/d/1XL5vhW3sbDhbH9Cz0tuDiY8C3ctxq1tqvaCgkFb8cCA/edit?usp=sharing"",""เลย!M459"")"),11000)</f>
        <v>11000</v>
      </c>
      <c r="G45" s="99">
        <f t="shared" ca="1" si="1"/>
        <v>6.674757281553398</v>
      </c>
      <c r="H45" s="55">
        <v>3400</v>
      </c>
      <c r="I45" s="55">
        <f t="shared" ca="1" si="26"/>
        <v>419</v>
      </c>
      <c r="J45" s="99">
        <f t="shared" ca="1" si="3"/>
        <v>12.323529411764707</v>
      </c>
      <c r="K45" s="421">
        <f ca="1">IFERROR(__xludf.DUMMYFUNCTION("IMPORTRANGE(""https://docs.google.com/spreadsheets/d/1XL5vhW3sbDhbH9Cz0tuDiY8C3ctxq1tqvaCgkFb8cCA/edit?usp=sharing"",""เลย!J468"")"),0)</f>
        <v>0</v>
      </c>
      <c r="L45" s="55">
        <f ca="1">IFERROR(__xludf.DUMMYFUNCTION("IMPORTRANGE(""https://docs.google.com/spreadsheets/d/1XL5vhW3sbDhbH9Cz0tuDiY8C3ctxq1tqvaCgkFb8cCA/edit?usp=sharing"",""เลย!J469"")"),0)</f>
        <v>0</v>
      </c>
      <c r="M45" s="55">
        <f ca="1">IFERROR(__xludf.DUMMYFUNCTION("IMPORTRANGE(""https://docs.google.com/spreadsheets/d/1XL5vhW3sbDhbH9Cz0tuDiY8C3ctxq1tqvaCgkFb8cCA/edit?usp=sharing"",""เลย!J470"")"),419)</f>
        <v>419</v>
      </c>
      <c r="N45" s="55">
        <f ca="1">IFERROR(__xludf.DUMMYFUNCTION("IMPORTRANGE(""https://docs.google.com/spreadsheets/d/1XL5vhW3sbDhbH9Cz0tuDiY8C3ctxq1tqvaCgkFb8cCA/edit?usp=sharing"",""เลย!J471"")"),0)</f>
        <v>0</v>
      </c>
      <c r="O45" s="422">
        <f ca="1">IFERROR(__xludf.DUMMYFUNCTION("IMPORTRANGE(""https://docs.google.com/spreadsheets/d/1XL5vhW3sbDhbH9Cz0tuDiY8C3ctxq1tqvaCgkFb8cCA/edit?usp=sharing"",""เลย!J472"")"),0)</f>
        <v>0</v>
      </c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ht="24" customHeight="1" x14ac:dyDescent="0.5">
      <c r="A46" s="273">
        <v>13</v>
      </c>
      <c r="B46" s="274" t="s">
        <v>61</v>
      </c>
      <c r="C46" s="275">
        <f t="shared" si="25"/>
        <v>194800</v>
      </c>
      <c r="D46" s="55">
        <v>0</v>
      </c>
      <c r="E46" s="55">
        <v>194800</v>
      </c>
      <c r="F46" s="99">
        <f ca="1">IFERROR(__xludf.DUMMYFUNCTION("IMPORTRANGE(""https://docs.google.com/spreadsheets/d/1XL5vhW3sbDhbH9Cz0tuDiY8C3ctxq1tqvaCgkFb8cCA/edit?usp=sharing"",""ศรีสะเกษ!M459"")"),0)</f>
        <v>0</v>
      </c>
      <c r="G46" s="99">
        <f t="shared" ca="1" si="1"/>
        <v>0</v>
      </c>
      <c r="H46" s="55">
        <v>6600</v>
      </c>
      <c r="I46" s="55">
        <f t="shared" ca="1" si="26"/>
        <v>0</v>
      </c>
      <c r="J46" s="99">
        <f t="shared" ca="1" si="3"/>
        <v>0</v>
      </c>
      <c r="K46" s="421">
        <f ca="1">IFERROR(__xludf.DUMMYFUNCTION("IMPORTRANGE(""https://docs.google.com/spreadsheets/d/1XL5vhW3sbDhbH9Cz0tuDiY8C3ctxq1tqvaCgkFb8cCA/edit?usp=sharing"",""ศรีสะเกษ!J468"")"),0)</f>
        <v>0</v>
      </c>
      <c r="L46" s="55">
        <f ca="1">IFERROR(__xludf.DUMMYFUNCTION("IMPORTRANGE(""https://docs.google.com/spreadsheets/d/1XL5vhW3sbDhbH9Cz0tuDiY8C3ctxq1tqvaCgkFb8cCA/edit?usp=sharing"",""ศรีสะเกษ!J469"")"),0)</f>
        <v>0</v>
      </c>
      <c r="M46" s="55">
        <f ca="1">IFERROR(__xludf.DUMMYFUNCTION("IMPORTRANGE(""https://docs.google.com/spreadsheets/d/1XL5vhW3sbDhbH9Cz0tuDiY8C3ctxq1tqvaCgkFb8cCA/edit?usp=sharing"",""ศรีสะเกษ!J470"")"),0)</f>
        <v>0</v>
      </c>
      <c r="N46" s="55">
        <f ca="1">IFERROR(__xludf.DUMMYFUNCTION("IMPORTRANGE(""https://docs.google.com/spreadsheets/d/1XL5vhW3sbDhbH9Cz0tuDiY8C3ctxq1tqvaCgkFb8cCA/edit?usp=sharing"",""ศรีสะเกษ!J471"")"),0)</f>
        <v>0</v>
      </c>
      <c r="O46" s="422">
        <f ca="1">IFERROR(__xludf.DUMMYFUNCTION("IMPORTRANGE(""https://docs.google.com/spreadsheets/d/1XL5vhW3sbDhbH9Cz0tuDiY8C3ctxq1tqvaCgkFb8cCA/edit?usp=sharing"",""ศรีสะเกษ!J472"")"),0)</f>
        <v>0</v>
      </c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ht="24" customHeight="1" x14ac:dyDescent="0.5">
      <c r="A47" s="273">
        <v>14</v>
      </c>
      <c r="B47" s="274" t="s">
        <v>62</v>
      </c>
      <c r="C47" s="275">
        <f t="shared" si="25"/>
        <v>167200</v>
      </c>
      <c r="D47" s="55">
        <v>0</v>
      </c>
      <c r="E47" s="55">
        <v>167200</v>
      </c>
      <c r="F47" s="99">
        <f ca="1">IFERROR(__xludf.DUMMYFUNCTION("IMPORTRANGE(""https://docs.google.com/spreadsheets/d/1XL5vhW3sbDhbH9Cz0tuDiY8C3ctxq1tqvaCgkFb8cCA/edit?usp=sharing"",""สกลนคร!M459"")"),6032.26)</f>
        <v>6032.26</v>
      </c>
      <c r="G47" s="99">
        <f t="shared" ca="1" si="1"/>
        <v>3.607811004784689</v>
      </c>
      <c r="H47" s="55">
        <v>4200</v>
      </c>
      <c r="I47" s="55">
        <f t="shared" ca="1" si="26"/>
        <v>0</v>
      </c>
      <c r="J47" s="99">
        <f t="shared" ca="1" si="3"/>
        <v>0</v>
      </c>
      <c r="K47" s="421">
        <f ca="1">IFERROR(__xludf.DUMMYFUNCTION("IMPORTRANGE(""https://docs.google.com/spreadsheets/d/1XL5vhW3sbDhbH9Cz0tuDiY8C3ctxq1tqvaCgkFb8cCA/edit?usp=sharing"",""สกลนคร!J468"")"),0)</f>
        <v>0</v>
      </c>
      <c r="L47" s="55">
        <f ca="1">IFERROR(__xludf.DUMMYFUNCTION("IMPORTRANGE(""https://docs.google.com/spreadsheets/d/1XL5vhW3sbDhbH9Cz0tuDiY8C3ctxq1tqvaCgkFb8cCA/edit?usp=sharing"",""สกลนคร!J469"")"),0)</f>
        <v>0</v>
      </c>
      <c r="M47" s="55">
        <f ca="1">IFERROR(__xludf.DUMMYFUNCTION("IMPORTRANGE(""https://docs.google.com/spreadsheets/d/1XL5vhW3sbDhbH9Cz0tuDiY8C3ctxq1tqvaCgkFb8cCA/edit?usp=sharing"",""สกลนคร!J470"")"),0)</f>
        <v>0</v>
      </c>
      <c r="N47" s="55">
        <f ca="1">IFERROR(__xludf.DUMMYFUNCTION("IMPORTRANGE(""https://docs.google.com/spreadsheets/d/1XL5vhW3sbDhbH9Cz0tuDiY8C3ctxq1tqvaCgkFb8cCA/edit?usp=sharing"",""สกลนคร!J471"")"),0)</f>
        <v>0</v>
      </c>
      <c r="O47" s="422">
        <f ca="1">IFERROR(__xludf.DUMMYFUNCTION("IMPORTRANGE(""https://docs.google.com/spreadsheets/d/1XL5vhW3sbDhbH9Cz0tuDiY8C3ctxq1tqvaCgkFb8cCA/edit?usp=sharing"",""สกลนคร!J472"")"),0)</f>
        <v>0</v>
      </c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24" customHeight="1" x14ac:dyDescent="0.5">
      <c r="A48" s="273">
        <v>15</v>
      </c>
      <c r="B48" s="274" t="s">
        <v>63</v>
      </c>
      <c r="C48" s="275">
        <f t="shared" si="25"/>
        <v>163200</v>
      </c>
      <c r="D48" s="55">
        <v>0</v>
      </c>
      <c r="E48" s="55">
        <v>163200</v>
      </c>
      <c r="F48" s="99">
        <f ca="1">IFERROR(__xludf.DUMMYFUNCTION("IMPORTRANGE(""https://docs.google.com/spreadsheets/d/1XL5vhW3sbDhbH9Cz0tuDiY8C3ctxq1tqvaCgkFb8cCA/edit?usp=sharing"",""สุรินทร์!M459"")"),0)</f>
        <v>0</v>
      </c>
      <c r="G48" s="99">
        <f t="shared" ca="1" si="1"/>
        <v>0</v>
      </c>
      <c r="H48" s="55">
        <v>5500</v>
      </c>
      <c r="I48" s="55">
        <f t="shared" ca="1" si="26"/>
        <v>0</v>
      </c>
      <c r="J48" s="99">
        <f t="shared" ca="1" si="3"/>
        <v>0</v>
      </c>
      <c r="K48" s="421">
        <f ca="1">IFERROR(__xludf.DUMMYFUNCTION("IMPORTRANGE(""https://docs.google.com/spreadsheets/d/1XL5vhW3sbDhbH9Cz0tuDiY8C3ctxq1tqvaCgkFb8cCA/edit?usp=sharing"",""สุรินทร์!J468"")"),0)</f>
        <v>0</v>
      </c>
      <c r="L48" s="55">
        <f ca="1">IFERROR(__xludf.DUMMYFUNCTION("IMPORTRANGE(""https://docs.google.com/spreadsheets/d/1XL5vhW3sbDhbH9Cz0tuDiY8C3ctxq1tqvaCgkFb8cCA/edit?usp=sharing"",""สุรินทร์!J469"")"),0)</f>
        <v>0</v>
      </c>
      <c r="M48" s="55">
        <f ca="1">IFERROR(__xludf.DUMMYFUNCTION("IMPORTRANGE(""https://docs.google.com/spreadsheets/d/1XL5vhW3sbDhbH9Cz0tuDiY8C3ctxq1tqvaCgkFb8cCA/edit?usp=sharing"",""สุรินทร์!J470"")"),0)</f>
        <v>0</v>
      </c>
      <c r="N48" s="55">
        <f ca="1">IFERROR(__xludf.DUMMYFUNCTION("IMPORTRANGE(""https://docs.google.com/spreadsheets/d/1XL5vhW3sbDhbH9Cz0tuDiY8C3ctxq1tqvaCgkFb8cCA/edit?usp=sharing"",""สุรินทร์!J471"")"),0)</f>
        <v>0</v>
      </c>
      <c r="O48" s="422">
        <f ca="1">IFERROR(__xludf.DUMMYFUNCTION("IMPORTRANGE(""https://docs.google.com/spreadsheets/d/1XL5vhW3sbDhbH9Cz0tuDiY8C3ctxq1tqvaCgkFb8cCA/edit?usp=sharing"",""สุรินทร์!J472"")"),0)</f>
        <v>0</v>
      </c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24" customHeight="1" x14ac:dyDescent="0.5">
      <c r="A49" s="273">
        <v>16</v>
      </c>
      <c r="B49" s="274" t="s">
        <v>64</v>
      </c>
      <c r="C49" s="275">
        <f t="shared" si="25"/>
        <v>143040</v>
      </c>
      <c r="D49" s="55">
        <v>0</v>
      </c>
      <c r="E49" s="55">
        <v>143040</v>
      </c>
      <c r="F49" s="99">
        <f ca="1">IFERROR(__xludf.DUMMYFUNCTION("IMPORTRANGE(""https://docs.google.com/spreadsheets/d/1XL5vhW3sbDhbH9Cz0tuDiY8C3ctxq1tqvaCgkFb8cCA/edit?usp=sharing"",""หนองคาย!M459"")"),0)</f>
        <v>0</v>
      </c>
      <c r="G49" s="99">
        <f t="shared" ca="1" si="1"/>
        <v>0</v>
      </c>
      <c r="H49" s="55">
        <v>2200</v>
      </c>
      <c r="I49" s="55">
        <f t="shared" ca="1" si="26"/>
        <v>0</v>
      </c>
      <c r="J49" s="99">
        <f t="shared" ca="1" si="3"/>
        <v>0</v>
      </c>
      <c r="K49" s="421">
        <f ca="1">IFERROR(__xludf.DUMMYFUNCTION("IMPORTRANGE(""https://docs.google.com/spreadsheets/d/1XL5vhW3sbDhbH9Cz0tuDiY8C3ctxq1tqvaCgkFb8cCA/edit?usp=sharing"",""หนองคาย!J468"")"),0)</f>
        <v>0</v>
      </c>
      <c r="L49" s="55">
        <f ca="1">IFERROR(__xludf.DUMMYFUNCTION("IMPORTRANGE(""https://docs.google.com/spreadsheets/d/1XL5vhW3sbDhbH9Cz0tuDiY8C3ctxq1tqvaCgkFb8cCA/edit?usp=sharing"",""หนองคาย!J469"")"),0)</f>
        <v>0</v>
      </c>
      <c r="M49" s="55">
        <f ca="1">IFERROR(__xludf.DUMMYFUNCTION("IMPORTRANGE(""https://docs.google.com/spreadsheets/d/1XL5vhW3sbDhbH9Cz0tuDiY8C3ctxq1tqvaCgkFb8cCA/edit?usp=sharing"",""หนองคาย!J470"")"),0)</f>
        <v>0</v>
      </c>
      <c r="N49" s="55">
        <f ca="1">IFERROR(__xludf.DUMMYFUNCTION("IMPORTRANGE(""https://docs.google.com/spreadsheets/d/1XL5vhW3sbDhbH9Cz0tuDiY8C3ctxq1tqvaCgkFb8cCA/edit?usp=sharing"",""หนองคาย!J471"")"),0)</f>
        <v>0</v>
      </c>
      <c r="O49" s="422">
        <f ca="1">IFERROR(__xludf.DUMMYFUNCTION("IMPORTRANGE(""https://docs.google.com/spreadsheets/d/1XL5vhW3sbDhbH9Cz0tuDiY8C3ctxq1tqvaCgkFb8cCA/edit?usp=sharing"",""หนองคาย!J472"")"),0)</f>
        <v>0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24" customHeight="1" x14ac:dyDescent="0.5">
      <c r="A50" s="273">
        <v>17</v>
      </c>
      <c r="B50" s="274" t="s">
        <v>65</v>
      </c>
      <c r="C50" s="275">
        <f t="shared" si="25"/>
        <v>152800</v>
      </c>
      <c r="D50" s="55">
        <v>0</v>
      </c>
      <c r="E50" s="55">
        <v>152800</v>
      </c>
      <c r="F50" s="99">
        <f ca="1">IFERROR(__xludf.DUMMYFUNCTION("IMPORTRANGE(""https://docs.google.com/spreadsheets/d/1XL5vhW3sbDhbH9Cz0tuDiY8C3ctxq1tqvaCgkFb8cCA/edit?usp=sharing"",""หนองบัวลำภู!M459"")"),0)</f>
        <v>0</v>
      </c>
      <c r="G50" s="99">
        <f t="shared" ca="1" si="1"/>
        <v>0</v>
      </c>
      <c r="H50" s="55">
        <v>3800</v>
      </c>
      <c r="I50" s="55">
        <f t="shared" ca="1" si="26"/>
        <v>515</v>
      </c>
      <c r="J50" s="99">
        <f t="shared" ca="1" si="3"/>
        <v>13.552631578947368</v>
      </c>
      <c r="K50" s="421">
        <f ca="1">IFERROR(__xludf.DUMMYFUNCTION("IMPORTRANGE(""https://docs.google.com/spreadsheets/d/1XL5vhW3sbDhbH9Cz0tuDiY8C3ctxq1tqvaCgkFb8cCA/edit?usp=sharing"",""หนองบัวลำภู!J468"")"),0)</f>
        <v>0</v>
      </c>
      <c r="L50" s="55">
        <f ca="1">IFERROR(__xludf.DUMMYFUNCTION("IMPORTRANGE(""https://docs.google.com/spreadsheets/d/1XL5vhW3sbDhbH9Cz0tuDiY8C3ctxq1tqvaCgkFb8cCA/edit?usp=sharing"",""หนองบัวลำภู!J469"")"),0)</f>
        <v>0</v>
      </c>
      <c r="M50" s="55">
        <f ca="1">IFERROR(__xludf.DUMMYFUNCTION("IMPORTRANGE(""https://docs.google.com/spreadsheets/d/1XL5vhW3sbDhbH9Cz0tuDiY8C3ctxq1tqvaCgkFb8cCA/edit?usp=sharing"",""หนองบัวลำภู!J470"")"),515)</f>
        <v>515</v>
      </c>
      <c r="N50" s="55">
        <f ca="1">IFERROR(__xludf.DUMMYFUNCTION("IMPORTRANGE(""https://docs.google.com/spreadsheets/d/1XL5vhW3sbDhbH9Cz0tuDiY8C3ctxq1tqvaCgkFb8cCA/edit?usp=sharing"",""หนองบัวลำภู!J471"")"),0)</f>
        <v>0</v>
      </c>
      <c r="O50" s="422">
        <f ca="1">IFERROR(__xludf.DUMMYFUNCTION("IMPORTRANGE(""https://docs.google.com/spreadsheets/d/1XL5vhW3sbDhbH9Cz0tuDiY8C3ctxq1tqvaCgkFb8cCA/edit?usp=sharing"",""หนองบัวลำภู!J472"")"),0)</f>
        <v>0</v>
      </c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ht="24" customHeight="1" x14ac:dyDescent="0.5">
      <c r="A51" s="273">
        <v>18</v>
      </c>
      <c r="B51" s="274" t="s">
        <v>66</v>
      </c>
      <c r="C51" s="275">
        <f t="shared" si="25"/>
        <v>127280</v>
      </c>
      <c r="D51" s="55">
        <v>0</v>
      </c>
      <c r="E51" s="55">
        <v>127280</v>
      </c>
      <c r="F51" s="99">
        <f ca="1">IFERROR(__xludf.DUMMYFUNCTION("IMPORTRANGE(""https://docs.google.com/spreadsheets/d/1XL5vhW3sbDhbH9Cz0tuDiY8C3ctxq1tqvaCgkFb8cCA/edit?usp=sharing"",""อำนาจเจริญ!M459"")"),0)</f>
        <v>0</v>
      </c>
      <c r="G51" s="99">
        <f t="shared" ca="1" si="1"/>
        <v>0</v>
      </c>
      <c r="H51" s="55">
        <v>1460</v>
      </c>
      <c r="I51" s="55">
        <f t="shared" ca="1" si="26"/>
        <v>0</v>
      </c>
      <c r="J51" s="99">
        <f t="shared" ca="1" si="3"/>
        <v>0</v>
      </c>
      <c r="K51" s="421">
        <f ca="1">IFERROR(__xludf.DUMMYFUNCTION("IMPORTRANGE(""https://docs.google.com/spreadsheets/d/1XL5vhW3sbDhbH9Cz0tuDiY8C3ctxq1tqvaCgkFb8cCA/edit?usp=sharing"",""อำนาจเจริญ!J468"")"),0)</f>
        <v>0</v>
      </c>
      <c r="L51" s="55">
        <f ca="1">IFERROR(__xludf.DUMMYFUNCTION("IMPORTRANGE(""https://docs.google.com/spreadsheets/d/1XL5vhW3sbDhbH9Cz0tuDiY8C3ctxq1tqvaCgkFb8cCA/edit?usp=sharing"",""อำนาจเจริญ!J469"")"),0)</f>
        <v>0</v>
      </c>
      <c r="M51" s="55">
        <f ca="1">IFERROR(__xludf.DUMMYFUNCTION("IMPORTRANGE(""https://docs.google.com/spreadsheets/d/1XL5vhW3sbDhbH9Cz0tuDiY8C3ctxq1tqvaCgkFb8cCA/edit?usp=sharing"",""อำนาจเจริญ!J470"")"),0)</f>
        <v>0</v>
      </c>
      <c r="N51" s="55">
        <f ca="1">IFERROR(__xludf.DUMMYFUNCTION("IMPORTRANGE(""https://docs.google.com/spreadsheets/d/1XL5vhW3sbDhbH9Cz0tuDiY8C3ctxq1tqvaCgkFb8cCA/edit?usp=sharing"",""อำนาจเจริญ!J471"")"),0)</f>
        <v>0</v>
      </c>
      <c r="O51" s="422">
        <f ca="1">IFERROR(__xludf.DUMMYFUNCTION("IMPORTRANGE(""https://docs.google.com/spreadsheets/d/1XL5vhW3sbDhbH9Cz0tuDiY8C3ctxq1tqvaCgkFb8cCA/edit?usp=sharing"",""อำนาจเจริญ!J472"")"),0)</f>
        <v>0</v>
      </c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ht="24" customHeight="1" x14ac:dyDescent="0.5">
      <c r="A52" s="273">
        <v>19</v>
      </c>
      <c r="B52" s="274" t="s">
        <v>67</v>
      </c>
      <c r="C52" s="275">
        <f t="shared" si="25"/>
        <v>172800</v>
      </c>
      <c r="D52" s="55">
        <v>0</v>
      </c>
      <c r="E52" s="55">
        <v>172800</v>
      </c>
      <c r="F52" s="99">
        <f ca="1">IFERROR(__xludf.DUMMYFUNCTION("IMPORTRANGE(""https://docs.google.com/spreadsheets/d/1XL5vhW3sbDhbH9Cz0tuDiY8C3ctxq1tqvaCgkFb8cCA/edit?usp=sharing"",""อุดรธานี!M459"")"),9580.64)</f>
        <v>9580.64</v>
      </c>
      <c r="G52" s="99">
        <f t="shared" ca="1" si="1"/>
        <v>5.544351851851852</v>
      </c>
      <c r="H52" s="55">
        <v>5200</v>
      </c>
      <c r="I52" s="55">
        <f t="shared" ca="1" si="26"/>
        <v>0</v>
      </c>
      <c r="J52" s="99">
        <f t="shared" ca="1" si="3"/>
        <v>0</v>
      </c>
      <c r="K52" s="421">
        <f ca="1">IFERROR(__xludf.DUMMYFUNCTION("IMPORTRANGE(""https://docs.google.com/spreadsheets/d/1XL5vhW3sbDhbH9Cz0tuDiY8C3ctxq1tqvaCgkFb8cCA/edit?usp=sharing"",""อุดรธานี!J468"")"),0)</f>
        <v>0</v>
      </c>
      <c r="L52" s="55">
        <f ca="1">IFERROR(__xludf.DUMMYFUNCTION("IMPORTRANGE(""https://docs.google.com/spreadsheets/d/1XL5vhW3sbDhbH9Cz0tuDiY8C3ctxq1tqvaCgkFb8cCA/edit?usp=sharing"",""อุดรธานี!J469"")"),0)</f>
        <v>0</v>
      </c>
      <c r="M52" s="55">
        <f ca="1">IFERROR(__xludf.DUMMYFUNCTION("IMPORTRANGE(""https://docs.google.com/spreadsheets/d/1XL5vhW3sbDhbH9Cz0tuDiY8C3ctxq1tqvaCgkFb8cCA/edit?usp=sharing"",""อุดรธานี!J470"")"),0)</f>
        <v>0</v>
      </c>
      <c r="N52" s="55">
        <f ca="1">IFERROR(__xludf.DUMMYFUNCTION("IMPORTRANGE(""https://docs.google.com/spreadsheets/d/1XL5vhW3sbDhbH9Cz0tuDiY8C3ctxq1tqvaCgkFb8cCA/edit?usp=sharing"",""อุดรธานี!J471"")"),0)</f>
        <v>0</v>
      </c>
      <c r="O52" s="422">
        <f ca="1">IFERROR(__xludf.DUMMYFUNCTION("IMPORTRANGE(""https://docs.google.com/spreadsheets/d/1XL5vhW3sbDhbH9Cz0tuDiY8C3ctxq1tqvaCgkFb8cCA/edit?usp=sharing"",""อุดรธานี!J472"")"),0)</f>
        <v>0</v>
      </c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 ht="24" customHeight="1" x14ac:dyDescent="0.5">
      <c r="A53" s="278">
        <v>20</v>
      </c>
      <c r="B53" s="279" t="s">
        <v>68</v>
      </c>
      <c r="C53" s="280">
        <f t="shared" si="25"/>
        <v>197200</v>
      </c>
      <c r="D53" s="62">
        <v>0</v>
      </c>
      <c r="E53" s="62">
        <v>197200</v>
      </c>
      <c r="F53" s="100">
        <f ca="1">IFERROR(__xludf.DUMMYFUNCTION("IMPORTRANGE(""https://docs.google.com/spreadsheets/d/1XL5vhW3sbDhbH9Cz0tuDiY8C3ctxq1tqvaCgkFb8cCA/edit?usp=sharing"",""อุบลราชธานี!M459"")"),9935)</f>
        <v>9935</v>
      </c>
      <c r="G53" s="100">
        <f t="shared" ca="1" si="1"/>
        <v>5.0380324543610548</v>
      </c>
      <c r="H53" s="62">
        <v>7200</v>
      </c>
      <c r="I53" s="62">
        <f t="shared" ca="1" si="26"/>
        <v>0</v>
      </c>
      <c r="J53" s="100">
        <f t="shared" ca="1" si="3"/>
        <v>0</v>
      </c>
      <c r="K53" s="423">
        <f ca="1">IFERROR(__xludf.DUMMYFUNCTION("IMPORTRANGE(""https://docs.google.com/spreadsheets/d/1XL5vhW3sbDhbH9Cz0tuDiY8C3ctxq1tqvaCgkFb8cCA/edit?usp=sharing"",""อุบลราชธานี!J468"")"),0)</f>
        <v>0</v>
      </c>
      <c r="L53" s="62">
        <f ca="1">IFERROR(__xludf.DUMMYFUNCTION("IMPORTRANGE(""https://docs.google.com/spreadsheets/d/1XL5vhW3sbDhbH9Cz0tuDiY8C3ctxq1tqvaCgkFb8cCA/edit?usp=sharing"",""อุบลราชธานี!J469"")"),0)</f>
        <v>0</v>
      </c>
      <c r="M53" s="62">
        <f ca="1">IFERROR(__xludf.DUMMYFUNCTION("IMPORTRANGE(""https://docs.google.com/spreadsheets/d/1XL5vhW3sbDhbH9Cz0tuDiY8C3ctxq1tqvaCgkFb8cCA/edit?usp=sharing"",""อุบลราชธานี!J470"")"),0)</f>
        <v>0</v>
      </c>
      <c r="N53" s="62">
        <f ca="1">IFERROR(__xludf.DUMMYFUNCTION("IMPORTRANGE(""https://docs.google.com/spreadsheets/d/1XL5vhW3sbDhbH9Cz0tuDiY8C3ctxq1tqvaCgkFb8cCA/edit?usp=sharing"",""อุบลราชธานี!J471"")"),0)</f>
        <v>0</v>
      </c>
      <c r="O53" s="424">
        <f ca="1">IFERROR(__xludf.DUMMYFUNCTION("IMPORTRANGE(""https://docs.google.com/spreadsheets/d/1XL5vhW3sbDhbH9Cz0tuDiY8C3ctxq1tqvaCgkFb8cCA/edit?usp=sharing"",""อุบลราชธานี!J472"")"),0)</f>
        <v>0</v>
      </c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24" customHeight="1" x14ac:dyDescent="0.5">
      <c r="A54" s="779" t="s">
        <v>69</v>
      </c>
      <c r="B54" s="569"/>
      <c r="C54" s="255">
        <f t="shared" ref="C54:F54" si="27">SUM(C55:C75)</f>
        <v>2661040</v>
      </c>
      <c r="D54" s="66">
        <f t="shared" si="27"/>
        <v>0</v>
      </c>
      <c r="E54" s="66">
        <f t="shared" si="27"/>
        <v>2661040</v>
      </c>
      <c r="F54" s="101">
        <f t="shared" ca="1" si="27"/>
        <v>37555.61</v>
      </c>
      <c r="G54" s="101">
        <f t="shared" ca="1" si="1"/>
        <v>1.4113132459489524</v>
      </c>
      <c r="H54" s="66">
        <f t="shared" ref="H54:I54" si="28">SUM(H55:H75)</f>
        <v>15740</v>
      </c>
      <c r="I54" s="66">
        <f t="shared" ca="1" si="28"/>
        <v>1919</v>
      </c>
      <c r="J54" s="101">
        <f t="shared" ca="1" si="3"/>
        <v>12.191867852604828</v>
      </c>
      <c r="K54" s="394">
        <f t="shared" ref="K54:O54" ca="1" si="29">SUM(K55:K75)</f>
        <v>1</v>
      </c>
      <c r="L54" s="66">
        <f t="shared" ca="1" si="29"/>
        <v>22</v>
      </c>
      <c r="M54" s="66">
        <f t="shared" ca="1" si="29"/>
        <v>1895</v>
      </c>
      <c r="N54" s="66">
        <f t="shared" ca="1" si="29"/>
        <v>2</v>
      </c>
      <c r="O54" s="414">
        <f t="shared" ca="1" si="29"/>
        <v>0</v>
      </c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 ht="24" customHeight="1" x14ac:dyDescent="0.5">
      <c r="A55" s="268">
        <v>1</v>
      </c>
      <c r="B55" s="269" t="s">
        <v>70</v>
      </c>
      <c r="C55" s="270">
        <f t="shared" ref="C55:C75" si="30">+D55+E55</f>
        <v>138000</v>
      </c>
      <c r="D55" s="48">
        <v>0</v>
      </c>
      <c r="E55" s="48">
        <v>138000</v>
      </c>
      <c r="F55" s="98">
        <f ca="1">IFERROR(__xludf.DUMMYFUNCTION("IMPORTRANGE(""https://docs.google.com/spreadsheets/d/1SX6NBoVAgQJ6U1MVXOaj8PK2l7WJ3RER9xtqwdhxkhw/edit?usp=sharing"",""กาญจนบุรี!M459"")"),0)</f>
        <v>0</v>
      </c>
      <c r="G55" s="98">
        <f t="shared" ca="1" si="1"/>
        <v>0</v>
      </c>
      <c r="H55" s="48">
        <v>1900</v>
      </c>
      <c r="I55" s="48">
        <f t="shared" ref="I55:I75" ca="1" si="31">SUM(L55,M55,N55,O55)</f>
        <v>530</v>
      </c>
      <c r="J55" s="98">
        <f t="shared" ca="1" si="3"/>
        <v>27.894736842105264</v>
      </c>
      <c r="K55" s="419">
        <f ca="1">IFERROR(__xludf.DUMMYFUNCTION("IMPORTRANGE(""https://docs.google.com/spreadsheets/d/1SX6NBoVAgQJ6U1MVXOaj8PK2l7WJ3RER9xtqwdhxkhw/edit?usp=sharing"",""กาญจนบุรี!J468"")"),0)</f>
        <v>0</v>
      </c>
      <c r="L55" s="48">
        <f ca="1">IFERROR(__xludf.DUMMYFUNCTION("IMPORTRANGE(""https://docs.google.com/spreadsheets/d/1SX6NBoVAgQJ6U1MVXOaj8PK2l7WJ3RER9xtqwdhxkhw/edit?usp=sharing"",""กาญจนบุรี!J469"")"),0)</f>
        <v>0</v>
      </c>
      <c r="M55" s="48">
        <f ca="1">IFERROR(__xludf.DUMMYFUNCTION("IMPORTRANGE(""https://docs.google.com/spreadsheets/d/1SX6NBoVAgQJ6U1MVXOaj8PK2l7WJ3RER9xtqwdhxkhw/edit?usp=sharing"",""กาญจนบุรี!J470"")"),530)</f>
        <v>530</v>
      </c>
      <c r="N55" s="48">
        <f ca="1">IFERROR(__xludf.DUMMYFUNCTION("IMPORTRANGE(""https://docs.google.com/spreadsheets/d/1SX6NBoVAgQJ6U1MVXOaj8PK2l7WJ3RER9xtqwdhxkhw/edit?usp=sharing"",""กาญจนบุรี!J471"")"),0)</f>
        <v>0</v>
      </c>
      <c r="O55" s="420">
        <f ca="1">IFERROR(__xludf.DUMMYFUNCTION("IMPORTRANGE(""https://docs.google.com/spreadsheets/d/1SX6NBoVAgQJ6U1MVXOaj8PK2l7WJ3RER9xtqwdhxkhw/edit?usp=sharing"",""กาญจนบุรี!J472"")"),0)</f>
        <v>0</v>
      </c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 ht="24" customHeight="1" x14ac:dyDescent="0.5">
      <c r="A56" s="273">
        <v>2</v>
      </c>
      <c r="B56" s="274" t="s">
        <v>71</v>
      </c>
      <c r="C56" s="275">
        <f t="shared" si="30"/>
        <v>126080</v>
      </c>
      <c r="D56" s="55">
        <v>0</v>
      </c>
      <c r="E56" s="55">
        <v>126080</v>
      </c>
      <c r="F56" s="99">
        <f ca="1">IFERROR(__xludf.DUMMYFUNCTION("IMPORTRANGE(""https://docs.google.com/spreadsheets/d/1SX6NBoVAgQJ6U1MVXOaj8PK2l7WJ3RER9xtqwdhxkhw/edit?usp=sharing"",""จันทบุรี!M459"")"),0)</f>
        <v>0</v>
      </c>
      <c r="G56" s="99">
        <f t="shared" ca="1" si="1"/>
        <v>0</v>
      </c>
      <c r="H56" s="55">
        <v>700</v>
      </c>
      <c r="I56" s="55">
        <f t="shared" ca="1" si="31"/>
        <v>127</v>
      </c>
      <c r="J56" s="99">
        <f t="shared" ca="1" si="3"/>
        <v>18.142857142857142</v>
      </c>
      <c r="K56" s="421">
        <f ca="1">IFERROR(__xludf.DUMMYFUNCTION("IMPORTRANGE(""https://docs.google.com/spreadsheets/d/1SX6NBoVAgQJ6U1MVXOaj8PK2l7WJ3RER9xtqwdhxkhw/edit?usp=sharing"",""จันทบุรี!J468"")"),0)</f>
        <v>0</v>
      </c>
      <c r="L56" s="55">
        <f ca="1">IFERROR(__xludf.DUMMYFUNCTION("IMPORTRANGE(""https://docs.google.com/spreadsheets/d/1SX6NBoVAgQJ6U1MVXOaj8PK2l7WJ3RER9xtqwdhxkhw/edit?usp=sharing"",""จันทบุรี!J469"")"),0)</f>
        <v>0</v>
      </c>
      <c r="M56" s="55">
        <f ca="1">IFERROR(__xludf.DUMMYFUNCTION("IMPORTRANGE(""https://docs.google.com/spreadsheets/d/1SX6NBoVAgQJ6U1MVXOaj8PK2l7WJ3RER9xtqwdhxkhw/edit?usp=sharing"",""จันทบุรี!J470"")"),127)</f>
        <v>127</v>
      </c>
      <c r="N56" s="55">
        <f ca="1">IFERROR(__xludf.DUMMYFUNCTION("IMPORTRANGE(""https://docs.google.com/spreadsheets/d/1SX6NBoVAgQJ6U1MVXOaj8PK2l7WJ3RER9xtqwdhxkhw/edit?usp=sharing"",""จันทบุรี!J471"")"),0)</f>
        <v>0</v>
      </c>
      <c r="O56" s="422">
        <f ca="1">IFERROR(__xludf.DUMMYFUNCTION("IMPORTRANGE(""https://docs.google.com/spreadsheets/d/1SX6NBoVAgQJ6U1MVXOaj8PK2l7WJ3RER9xtqwdhxkhw/edit?usp=sharing"",""จันทบุรี!J472"")"),0)</f>
        <v>0</v>
      </c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 ht="24" customHeight="1" x14ac:dyDescent="0.5">
      <c r="A57" s="273">
        <v>3</v>
      </c>
      <c r="B57" s="274" t="s">
        <v>72</v>
      </c>
      <c r="C57" s="275">
        <f t="shared" si="30"/>
        <v>140960</v>
      </c>
      <c r="D57" s="55">
        <v>0</v>
      </c>
      <c r="E57" s="55">
        <v>140960</v>
      </c>
      <c r="F57" s="99">
        <f ca="1">IFERROR(__xludf.DUMMYFUNCTION("IMPORTRANGE(""https://docs.google.com/spreadsheets/d/1SX6NBoVAgQJ6U1MVXOaj8PK2l7WJ3RER9xtqwdhxkhw/edit?usp=sharing"",""ฉะเชิงเทรา!M459"")"),17233)</f>
        <v>17233</v>
      </c>
      <c r="G57" s="99">
        <f t="shared" ca="1" si="1"/>
        <v>12.225454029511917</v>
      </c>
      <c r="H57" s="55">
        <v>1800</v>
      </c>
      <c r="I57" s="55">
        <f t="shared" ca="1" si="31"/>
        <v>0</v>
      </c>
      <c r="J57" s="99">
        <f t="shared" ca="1" si="3"/>
        <v>0</v>
      </c>
      <c r="K57" s="421">
        <f ca="1">IFERROR(__xludf.DUMMYFUNCTION("IMPORTRANGE(""https://docs.google.com/spreadsheets/d/1SX6NBoVAgQJ6U1MVXOaj8PK2l7WJ3RER9xtqwdhxkhw/edit?usp=sharing"",""ฉะเชิงเทรา!J468"")"),0)</f>
        <v>0</v>
      </c>
      <c r="L57" s="55">
        <f ca="1">IFERROR(__xludf.DUMMYFUNCTION("IMPORTRANGE(""https://docs.google.com/spreadsheets/d/1SX6NBoVAgQJ6U1MVXOaj8PK2l7WJ3RER9xtqwdhxkhw/edit?usp=sharing"",""ฉะเชิงเทรา!J469"")"),0)</f>
        <v>0</v>
      </c>
      <c r="M57" s="55">
        <f ca="1">IFERROR(__xludf.DUMMYFUNCTION("IMPORTRANGE(""https://docs.google.com/spreadsheets/d/1SX6NBoVAgQJ6U1MVXOaj8PK2l7WJ3RER9xtqwdhxkhw/edit?usp=sharing"",""ฉะเชิงเทรา!J470"")"),0)</f>
        <v>0</v>
      </c>
      <c r="N57" s="55">
        <f ca="1">IFERROR(__xludf.DUMMYFUNCTION("IMPORTRANGE(""https://docs.google.com/spreadsheets/d/1SX6NBoVAgQJ6U1MVXOaj8PK2l7WJ3RER9xtqwdhxkhw/edit?usp=sharing"",""ฉะเชิงเทรา!J471"")"),0)</f>
        <v>0</v>
      </c>
      <c r="O57" s="422">
        <f ca="1">IFERROR(__xludf.DUMMYFUNCTION("IMPORTRANGE(""https://docs.google.com/spreadsheets/d/1SX6NBoVAgQJ6U1MVXOaj8PK2l7WJ3RER9xtqwdhxkhw/edit?usp=sharing"",""ฉะเชิงเทรา!J472"")"),0)</f>
        <v>0</v>
      </c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 ht="24" customHeight="1" x14ac:dyDescent="0.5">
      <c r="A58" s="273">
        <v>4</v>
      </c>
      <c r="B58" s="274" t="s">
        <v>73</v>
      </c>
      <c r="C58" s="275">
        <f t="shared" si="30"/>
        <v>121120</v>
      </c>
      <c r="D58" s="55">
        <v>0</v>
      </c>
      <c r="E58" s="55">
        <v>121120</v>
      </c>
      <c r="F58" s="99">
        <f ca="1">IFERROR(__xludf.DUMMYFUNCTION("IMPORTRANGE(""https://docs.google.com/spreadsheets/d/1SX6NBoVAgQJ6U1MVXOaj8PK2l7WJ3RER9xtqwdhxkhw/edit?usp=sharing"",""ชลบุรี!M459"")"),0)</f>
        <v>0</v>
      </c>
      <c r="G58" s="99">
        <f t="shared" ca="1" si="1"/>
        <v>0</v>
      </c>
      <c r="H58" s="55">
        <v>900</v>
      </c>
      <c r="I58" s="55">
        <f t="shared" ca="1" si="31"/>
        <v>0</v>
      </c>
      <c r="J58" s="99">
        <f t="shared" ca="1" si="3"/>
        <v>0</v>
      </c>
      <c r="K58" s="421">
        <f ca="1">IFERROR(__xludf.DUMMYFUNCTION("IMPORTRANGE(""https://docs.google.com/spreadsheets/d/1SX6NBoVAgQJ6U1MVXOaj8PK2l7WJ3RER9xtqwdhxkhw/edit?usp=sharing"",""ชลบุรี!J468"")"),0)</f>
        <v>0</v>
      </c>
      <c r="L58" s="55">
        <f ca="1">IFERROR(__xludf.DUMMYFUNCTION("IMPORTRANGE(""https://docs.google.com/spreadsheets/d/1SX6NBoVAgQJ6U1MVXOaj8PK2l7WJ3RER9xtqwdhxkhw/edit?usp=sharing"",""ชลบุรี!J469"")"),0)</f>
        <v>0</v>
      </c>
      <c r="M58" s="55">
        <f ca="1">IFERROR(__xludf.DUMMYFUNCTION("IMPORTRANGE(""https://docs.google.com/spreadsheets/d/1SX6NBoVAgQJ6U1MVXOaj8PK2l7WJ3RER9xtqwdhxkhw/edit?usp=sharing"",""ชลบุรี!J470"")"),0)</f>
        <v>0</v>
      </c>
      <c r="N58" s="55">
        <f ca="1">IFERROR(__xludf.DUMMYFUNCTION("IMPORTRANGE(""https://docs.google.com/spreadsheets/d/1SX6NBoVAgQJ6U1MVXOaj8PK2l7WJ3RER9xtqwdhxkhw/edit?usp=sharing"",""ชลบุรี!J471"")"),0)</f>
        <v>0</v>
      </c>
      <c r="O58" s="422">
        <f ca="1">IFERROR(__xludf.DUMMYFUNCTION("IMPORTRANGE(""https://docs.google.com/spreadsheets/d/1SX6NBoVAgQJ6U1MVXOaj8PK2l7WJ3RER9xtqwdhxkhw/edit?usp=sharing"",""ชลบุรี!J472"")"),0)</f>
        <v>0</v>
      </c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 ht="24" customHeight="1" x14ac:dyDescent="0.5">
      <c r="A59" s="273">
        <v>5</v>
      </c>
      <c r="B59" s="274" t="s">
        <v>74</v>
      </c>
      <c r="C59" s="275">
        <f t="shared" si="30"/>
        <v>124800</v>
      </c>
      <c r="D59" s="55">
        <v>0</v>
      </c>
      <c r="E59" s="55">
        <v>124800</v>
      </c>
      <c r="F59" s="99">
        <f ca="1">IFERROR(__xludf.DUMMYFUNCTION("IMPORTRANGE(""https://docs.google.com/spreadsheets/d/1SX6NBoVAgQJ6U1MVXOaj8PK2l7WJ3RER9xtqwdhxkhw/edit?usp=sharing"",""ชัยนาท!M459"")"),0)</f>
        <v>0</v>
      </c>
      <c r="G59" s="99">
        <f t="shared" ca="1" si="1"/>
        <v>0</v>
      </c>
      <c r="H59" s="55">
        <v>200</v>
      </c>
      <c r="I59" s="55">
        <f t="shared" ca="1" si="31"/>
        <v>155</v>
      </c>
      <c r="J59" s="99">
        <f t="shared" ca="1" si="3"/>
        <v>77.5</v>
      </c>
      <c r="K59" s="421">
        <f ca="1">IFERROR(__xludf.DUMMYFUNCTION("IMPORTRANGE(""https://docs.google.com/spreadsheets/d/1SX6NBoVAgQJ6U1MVXOaj8PK2l7WJ3RER9xtqwdhxkhw/edit?usp=sharing"",""ชัยนาท!J468"")"),0)</f>
        <v>0</v>
      </c>
      <c r="L59" s="55">
        <f ca="1">IFERROR(__xludf.DUMMYFUNCTION("IMPORTRANGE(""https://docs.google.com/spreadsheets/d/1SX6NBoVAgQJ6U1MVXOaj8PK2l7WJ3RER9xtqwdhxkhw/edit?usp=sharing"",""ชัยนาท!J469"")"),0)</f>
        <v>0</v>
      </c>
      <c r="M59" s="55">
        <f ca="1">IFERROR(__xludf.DUMMYFUNCTION("IMPORTRANGE(""https://docs.google.com/spreadsheets/d/1SX6NBoVAgQJ6U1MVXOaj8PK2l7WJ3RER9xtqwdhxkhw/edit?usp=sharing"",""ชัยนาท!J470"")"),155)</f>
        <v>155</v>
      </c>
      <c r="N59" s="55">
        <f ca="1">IFERROR(__xludf.DUMMYFUNCTION("IMPORTRANGE(""https://docs.google.com/spreadsheets/d/1SX6NBoVAgQJ6U1MVXOaj8PK2l7WJ3RER9xtqwdhxkhw/edit?usp=sharing"",""ชัยนาท!J471"")"),0)</f>
        <v>0</v>
      </c>
      <c r="O59" s="422">
        <f ca="1">IFERROR(__xludf.DUMMYFUNCTION("IMPORTRANGE(""https://docs.google.com/spreadsheets/d/1SX6NBoVAgQJ6U1MVXOaj8PK2l7WJ3RER9xtqwdhxkhw/edit?usp=sharing"",""ชัยนาท!J472"")"),0)</f>
        <v>0</v>
      </c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 ht="24" customHeight="1" x14ac:dyDescent="0.5">
      <c r="A60" s="273">
        <v>6</v>
      </c>
      <c r="B60" s="274" t="s">
        <v>75</v>
      </c>
      <c r="C60" s="275">
        <f t="shared" si="30"/>
        <v>120720</v>
      </c>
      <c r="D60" s="55">
        <v>0</v>
      </c>
      <c r="E60" s="55">
        <v>120720</v>
      </c>
      <c r="F60" s="99">
        <f ca="1">IFERROR(__xludf.DUMMYFUNCTION("IMPORTRANGE(""https://docs.google.com/spreadsheets/d/1SX6NBoVAgQJ6U1MVXOaj8PK2l7WJ3RER9xtqwdhxkhw/edit?usp=sharing"",""ตราด!M459"")"),0)</f>
        <v>0</v>
      </c>
      <c r="G60" s="99">
        <f t="shared" ca="1" si="1"/>
        <v>0</v>
      </c>
      <c r="H60" s="55">
        <v>700</v>
      </c>
      <c r="I60" s="55">
        <f t="shared" ca="1" si="31"/>
        <v>76</v>
      </c>
      <c r="J60" s="99">
        <f t="shared" ca="1" si="3"/>
        <v>10.857142857142858</v>
      </c>
      <c r="K60" s="421">
        <f ca="1">IFERROR(__xludf.DUMMYFUNCTION("IMPORTRANGE(""https://docs.google.com/spreadsheets/d/1SX6NBoVAgQJ6U1MVXOaj8PK2l7WJ3RER9xtqwdhxkhw/edit?usp=sharing"",""ตราด!J468"")"),0)</f>
        <v>0</v>
      </c>
      <c r="L60" s="55">
        <f ca="1">IFERROR(__xludf.DUMMYFUNCTION("IMPORTRANGE(""https://docs.google.com/spreadsheets/d/1SX6NBoVAgQJ6U1MVXOaj8PK2l7WJ3RER9xtqwdhxkhw/edit?usp=sharing"",""ตราด!J469"")"),0)</f>
        <v>0</v>
      </c>
      <c r="M60" s="55">
        <f ca="1">IFERROR(__xludf.DUMMYFUNCTION("IMPORTRANGE(""https://docs.google.com/spreadsheets/d/1SX6NBoVAgQJ6U1MVXOaj8PK2l7WJ3RER9xtqwdhxkhw/edit?usp=sharing"",""ตราด!J470"")"),76)</f>
        <v>76</v>
      </c>
      <c r="N60" s="55">
        <f ca="1">IFERROR(__xludf.DUMMYFUNCTION("IMPORTRANGE(""https://docs.google.com/spreadsheets/d/1SX6NBoVAgQJ6U1MVXOaj8PK2l7WJ3RER9xtqwdhxkhw/edit?usp=sharing"",""ตราด!J471"")"),0)</f>
        <v>0</v>
      </c>
      <c r="O60" s="422">
        <f ca="1">IFERROR(__xludf.DUMMYFUNCTION("IMPORTRANGE(""https://docs.google.com/spreadsheets/d/1SX6NBoVAgQJ6U1MVXOaj8PK2l7WJ3RER9xtqwdhxkhw/edit?usp=sharing"",""ตราด!J472"")"),0)</f>
        <v>0</v>
      </c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 ht="24" customHeight="1" x14ac:dyDescent="0.5">
      <c r="A61" s="273">
        <v>7</v>
      </c>
      <c r="B61" s="274" t="s">
        <v>76</v>
      </c>
      <c r="C61" s="275">
        <f t="shared" si="30"/>
        <v>119520</v>
      </c>
      <c r="D61" s="55">
        <v>0</v>
      </c>
      <c r="E61" s="55">
        <v>119520</v>
      </c>
      <c r="F61" s="99">
        <f ca="1">IFERROR(__xludf.DUMMYFUNCTION("IMPORTRANGE(""https://docs.google.com/spreadsheets/d/1SX6NBoVAgQJ6U1MVXOaj8PK2l7WJ3RER9xtqwdhxkhw/edit?usp=sharing"",""นครนายก!M459"")"),0)</f>
        <v>0</v>
      </c>
      <c r="G61" s="99">
        <f t="shared" ca="1" si="1"/>
        <v>0</v>
      </c>
      <c r="H61" s="55">
        <v>150</v>
      </c>
      <c r="I61" s="55">
        <f t="shared" ca="1" si="31"/>
        <v>0</v>
      </c>
      <c r="J61" s="99">
        <f t="shared" ca="1" si="3"/>
        <v>0</v>
      </c>
      <c r="K61" s="421">
        <f ca="1">IFERROR(__xludf.DUMMYFUNCTION("IMPORTRANGE(""https://docs.google.com/spreadsheets/d/1SX6NBoVAgQJ6U1MVXOaj8PK2l7WJ3RER9xtqwdhxkhw/edit?usp=sharing"",""นครนายก!J468"")"),0)</f>
        <v>0</v>
      </c>
      <c r="L61" s="55">
        <f ca="1">IFERROR(__xludf.DUMMYFUNCTION("IMPORTRANGE(""https://docs.google.com/spreadsheets/d/1SX6NBoVAgQJ6U1MVXOaj8PK2l7WJ3RER9xtqwdhxkhw/edit?usp=sharing"",""นครนายก!J469"")"),0)</f>
        <v>0</v>
      </c>
      <c r="M61" s="55">
        <f ca="1">IFERROR(__xludf.DUMMYFUNCTION("IMPORTRANGE(""https://docs.google.com/spreadsheets/d/1SX6NBoVAgQJ6U1MVXOaj8PK2l7WJ3RER9xtqwdhxkhw/edit?usp=sharing"",""นครนายก!J470"")"),0)</f>
        <v>0</v>
      </c>
      <c r="N61" s="55">
        <f ca="1">IFERROR(__xludf.DUMMYFUNCTION("IMPORTRANGE(""https://docs.google.com/spreadsheets/d/1SX6NBoVAgQJ6U1MVXOaj8PK2l7WJ3RER9xtqwdhxkhw/edit?usp=sharing"",""นครนายก!J471"")"),0)</f>
        <v>0</v>
      </c>
      <c r="O61" s="422">
        <f ca="1">IFERROR(__xludf.DUMMYFUNCTION("IMPORTRANGE(""https://docs.google.com/spreadsheets/d/1SX6NBoVAgQJ6U1MVXOaj8PK2l7WJ3RER9xtqwdhxkhw/edit?usp=sharing"",""นครนายก!J472"")"),0)</f>
        <v>0</v>
      </c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ht="24" customHeight="1" x14ac:dyDescent="0.5">
      <c r="A62" s="273">
        <v>8</v>
      </c>
      <c r="B62" s="274" t="s">
        <v>77</v>
      </c>
      <c r="C62" s="275">
        <f t="shared" si="30"/>
        <v>116160</v>
      </c>
      <c r="D62" s="55">
        <v>0</v>
      </c>
      <c r="E62" s="55">
        <v>116160</v>
      </c>
      <c r="F62" s="99">
        <f ca="1">IFERROR(__xludf.DUMMYFUNCTION("IMPORTRANGE(""https://docs.google.com/spreadsheets/d/1SX6NBoVAgQJ6U1MVXOaj8PK2l7WJ3RER9xtqwdhxkhw/edit?usp=sharing"",""นครปฐม!M459"")"),0)</f>
        <v>0</v>
      </c>
      <c r="G62" s="99">
        <f t="shared" ca="1" si="1"/>
        <v>0</v>
      </c>
      <c r="H62" s="55">
        <v>100</v>
      </c>
      <c r="I62" s="55">
        <f t="shared" ca="1" si="31"/>
        <v>0</v>
      </c>
      <c r="J62" s="99">
        <f t="shared" ca="1" si="3"/>
        <v>0</v>
      </c>
      <c r="K62" s="421">
        <f ca="1">IFERROR(__xludf.DUMMYFUNCTION("IMPORTRANGE(""https://docs.google.com/spreadsheets/d/1SX6NBoVAgQJ6U1MVXOaj8PK2l7WJ3RER9xtqwdhxkhw/edit?usp=sharing"",""นครปฐม!J468"")"),0)</f>
        <v>0</v>
      </c>
      <c r="L62" s="55">
        <f ca="1">IFERROR(__xludf.DUMMYFUNCTION("IMPORTRANGE(""https://docs.google.com/spreadsheets/d/1SX6NBoVAgQJ6U1MVXOaj8PK2l7WJ3RER9xtqwdhxkhw/edit?usp=sharing"",""นครปฐม!J469"")"),0)</f>
        <v>0</v>
      </c>
      <c r="M62" s="55">
        <f ca="1">IFERROR(__xludf.DUMMYFUNCTION("IMPORTRANGE(""https://docs.google.com/spreadsheets/d/1SX6NBoVAgQJ6U1MVXOaj8PK2l7WJ3RER9xtqwdhxkhw/edit?usp=sharing"",""นครปฐม!J470"")"),0)</f>
        <v>0</v>
      </c>
      <c r="N62" s="55">
        <f ca="1">IFERROR(__xludf.DUMMYFUNCTION("IMPORTRANGE(""https://docs.google.com/spreadsheets/d/1SX6NBoVAgQJ6U1MVXOaj8PK2l7WJ3RER9xtqwdhxkhw/edit?usp=sharing"",""นครปฐม!J471"")"),0)</f>
        <v>0</v>
      </c>
      <c r="O62" s="422">
        <f ca="1">IFERROR(__xludf.DUMMYFUNCTION("IMPORTRANGE(""https://docs.google.com/spreadsheets/d/1SX6NBoVAgQJ6U1MVXOaj8PK2l7WJ3RER9xtqwdhxkhw/edit?usp=sharing"",""นครปฐม!J472"")"),0)</f>
        <v>0</v>
      </c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ht="24" customHeight="1" x14ac:dyDescent="0.5">
      <c r="A63" s="273">
        <v>9</v>
      </c>
      <c r="B63" s="274" t="s">
        <v>78</v>
      </c>
      <c r="C63" s="275">
        <f t="shared" si="30"/>
        <v>126080</v>
      </c>
      <c r="D63" s="55">
        <v>0</v>
      </c>
      <c r="E63" s="55">
        <v>126080</v>
      </c>
      <c r="F63" s="99">
        <f ca="1">IFERROR(__xludf.DUMMYFUNCTION("IMPORTRANGE(""https://docs.google.com/spreadsheets/d/1SX6NBoVAgQJ6U1MVXOaj8PK2l7WJ3RER9xtqwdhxkhw/edit?usp=sharing"",""ปทุมธานี!M459"")"),0)</f>
        <v>0</v>
      </c>
      <c r="G63" s="99">
        <f t="shared" ca="1" si="1"/>
        <v>0</v>
      </c>
      <c r="H63" s="55">
        <v>200</v>
      </c>
      <c r="I63" s="55">
        <f t="shared" ca="1" si="31"/>
        <v>175</v>
      </c>
      <c r="J63" s="99">
        <f t="shared" ca="1" si="3"/>
        <v>87.5</v>
      </c>
      <c r="K63" s="421">
        <f ca="1">IFERROR(__xludf.DUMMYFUNCTION("IMPORTRANGE(""https://docs.google.com/spreadsheets/d/1SX6NBoVAgQJ6U1MVXOaj8PK2l7WJ3RER9xtqwdhxkhw/edit?usp=sharing"",""ปทุมธานี!J468"")"),0)</f>
        <v>0</v>
      </c>
      <c r="L63" s="55">
        <f ca="1">IFERROR(__xludf.DUMMYFUNCTION("IMPORTRANGE(""https://docs.google.com/spreadsheets/d/1SX6NBoVAgQJ6U1MVXOaj8PK2l7WJ3RER9xtqwdhxkhw/edit?usp=sharing"",""ปทุมธานี!J469"")"),0)</f>
        <v>0</v>
      </c>
      <c r="M63" s="55">
        <f ca="1">IFERROR(__xludf.DUMMYFUNCTION("IMPORTRANGE(""https://docs.google.com/spreadsheets/d/1SX6NBoVAgQJ6U1MVXOaj8PK2l7WJ3RER9xtqwdhxkhw/edit?usp=sharing"",""ปทุมธานี!J470"")"),175)</f>
        <v>175</v>
      </c>
      <c r="N63" s="55">
        <f ca="1">IFERROR(__xludf.DUMMYFUNCTION("IMPORTRANGE(""https://docs.google.com/spreadsheets/d/1SX6NBoVAgQJ6U1MVXOaj8PK2l7WJ3RER9xtqwdhxkhw/edit?usp=sharing"",""ปทุมธานี!J471"")"),0)</f>
        <v>0</v>
      </c>
      <c r="O63" s="422">
        <f ca="1">IFERROR(__xludf.DUMMYFUNCTION("IMPORTRANGE(""https://docs.google.com/spreadsheets/d/1SX6NBoVAgQJ6U1MVXOaj8PK2l7WJ3RER9xtqwdhxkhw/edit?usp=sharing"",""ปทุมธานี!J472"")"),0)</f>
        <v>0</v>
      </c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 ht="24" customHeight="1" x14ac:dyDescent="0.5">
      <c r="A64" s="273">
        <v>10</v>
      </c>
      <c r="B64" s="274" t="s">
        <v>79</v>
      </c>
      <c r="C64" s="275">
        <f t="shared" si="30"/>
        <v>121520</v>
      </c>
      <c r="D64" s="55">
        <v>0</v>
      </c>
      <c r="E64" s="55">
        <v>121520</v>
      </c>
      <c r="F64" s="99">
        <f ca="1">IFERROR(__xludf.DUMMYFUNCTION("IMPORTRANGE(""https://docs.google.com/spreadsheets/d/1SX6NBoVAgQJ6U1MVXOaj8PK2l7WJ3RER9xtqwdhxkhw/edit?usp=sharing"",""ประจวบคีรีขันธ์!M459"")"),0)</f>
        <v>0</v>
      </c>
      <c r="G64" s="99">
        <f t="shared" ca="1" si="1"/>
        <v>0</v>
      </c>
      <c r="H64" s="55">
        <v>700</v>
      </c>
      <c r="I64" s="55">
        <f t="shared" ca="1" si="31"/>
        <v>0</v>
      </c>
      <c r="J64" s="99">
        <f t="shared" ca="1" si="3"/>
        <v>0</v>
      </c>
      <c r="K64" s="421">
        <f ca="1">IFERROR(__xludf.DUMMYFUNCTION("IMPORTRANGE(""https://docs.google.com/spreadsheets/d/1SX6NBoVAgQJ6U1MVXOaj8PK2l7WJ3RER9xtqwdhxkhw/edit?usp=sharing"",""ประจวบคีรีขันธ์!J468"")"),0)</f>
        <v>0</v>
      </c>
      <c r="L64" s="55">
        <f ca="1">IFERROR(__xludf.DUMMYFUNCTION("IMPORTRANGE(""https://docs.google.com/spreadsheets/d/1SX6NBoVAgQJ6U1MVXOaj8PK2l7WJ3RER9xtqwdhxkhw/edit?usp=sharing"",""ประจวบคีรีขันธ์!J469"")"),0)</f>
        <v>0</v>
      </c>
      <c r="M64" s="55">
        <f ca="1">IFERROR(__xludf.DUMMYFUNCTION("IMPORTRANGE(""https://docs.google.com/spreadsheets/d/1SX6NBoVAgQJ6U1MVXOaj8PK2l7WJ3RER9xtqwdhxkhw/edit?usp=sharing"",""ประจวบคีรีขันธ์!J470"")"),0)</f>
        <v>0</v>
      </c>
      <c r="N64" s="55">
        <f ca="1">IFERROR(__xludf.DUMMYFUNCTION("IMPORTRANGE(""https://docs.google.com/spreadsheets/d/1SX6NBoVAgQJ6U1MVXOaj8PK2l7WJ3RER9xtqwdhxkhw/edit?usp=sharing"",""ประจวบคีรีขันธ์!J471"")"),0)</f>
        <v>0</v>
      </c>
      <c r="O64" s="422">
        <f ca="1">IFERROR(__xludf.DUMMYFUNCTION("IMPORTRANGE(""https://docs.google.com/spreadsheets/d/1SX6NBoVAgQJ6U1MVXOaj8PK2l7WJ3RER9xtqwdhxkhw/edit?usp=sharing"",""ประจวบคีรีขันธ์!J472"")"),0)</f>
        <v>0</v>
      </c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 ht="24" customHeight="1" x14ac:dyDescent="0.5">
      <c r="A65" s="273">
        <v>11</v>
      </c>
      <c r="B65" s="274" t="s">
        <v>80</v>
      </c>
      <c r="C65" s="275">
        <f t="shared" si="30"/>
        <v>128480</v>
      </c>
      <c r="D65" s="55">
        <v>0</v>
      </c>
      <c r="E65" s="55">
        <v>128480</v>
      </c>
      <c r="F65" s="99">
        <f ca="1">IFERROR(__xludf.DUMMYFUNCTION("IMPORTRANGE(""https://docs.google.com/spreadsheets/d/1SX6NBoVAgQJ6U1MVXOaj8PK2l7WJ3RER9xtqwdhxkhw/edit?usp=sharing"",""ปราจีนบุรี!M459"")"),0)</f>
        <v>0</v>
      </c>
      <c r="G65" s="99">
        <f t="shared" ca="1" si="1"/>
        <v>0</v>
      </c>
      <c r="H65" s="55">
        <v>500</v>
      </c>
      <c r="I65" s="55">
        <f t="shared" ca="1" si="31"/>
        <v>0</v>
      </c>
      <c r="J65" s="99">
        <f t="shared" ca="1" si="3"/>
        <v>0</v>
      </c>
      <c r="K65" s="421">
        <f ca="1">IFERROR(__xludf.DUMMYFUNCTION("IMPORTRANGE(""https://docs.google.com/spreadsheets/d/1SX6NBoVAgQJ6U1MVXOaj8PK2l7WJ3RER9xtqwdhxkhw/edit?usp=sharing"",""ปราจีนบุรี!J468"")"),0)</f>
        <v>0</v>
      </c>
      <c r="L65" s="55">
        <f ca="1">IFERROR(__xludf.DUMMYFUNCTION("IMPORTRANGE(""https://docs.google.com/spreadsheets/d/1SX6NBoVAgQJ6U1MVXOaj8PK2l7WJ3RER9xtqwdhxkhw/edit?usp=sharing"",""ปราจีนบุรี!J469"")"),0)</f>
        <v>0</v>
      </c>
      <c r="M65" s="55">
        <f ca="1">IFERROR(__xludf.DUMMYFUNCTION("IMPORTRANGE(""https://docs.google.com/spreadsheets/d/1SX6NBoVAgQJ6U1MVXOaj8PK2l7WJ3RER9xtqwdhxkhw/edit?usp=sharing"",""ปราจีนบุรี!J470"")"),0)</f>
        <v>0</v>
      </c>
      <c r="N65" s="55">
        <f ca="1">IFERROR(__xludf.DUMMYFUNCTION("IMPORTRANGE(""https://docs.google.com/spreadsheets/d/1SX6NBoVAgQJ6U1MVXOaj8PK2l7WJ3RER9xtqwdhxkhw/edit?usp=sharing"",""ปราจีนบุรี!J471"")"),0)</f>
        <v>0</v>
      </c>
      <c r="O65" s="422">
        <f ca="1">IFERROR(__xludf.DUMMYFUNCTION("IMPORTRANGE(""https://docs.google.com/spreadsheets/d/1SX6NBoVAgQJ6U1MVXOaj8PK2l7WJ3RER9xtqwdhxkhw/edit?usp=sharing"",""ปราจีนบุรี!J472"")"),0)</f>
        <v>0</v>
      </c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 ht="24" customHeight="1" x14ac:dyDescent="0.5">
      <c r="A66" s="273">
        <v>12</v>
      </c>
      <c r="B66" s="274" t="s">
        <v>81</v>
      </c>
      <c r="C66" s="275">
        <f t="shared" si="30"/>
        <v>125680</v>
      </c>
      <c r="D66" s="55">
        <v>0</v>
      </c>
      <c r="E66" s="55">
        <v>125680</v>
      </c>
      <c r="F66" s="99">
        <f ca="1">IFERROR(__xludf.DUMMYFUNCTION("IMPORTRANGE(""https://docs.google.com/spreadsheets/d/1SX6NBoVAgQJ6U1MVXOaj8PK2l7WJ3RER9xtqwdhxkhw/edit?usp=sharing"",""พระนครศรีอยุธยา!M459"")"),0)</f>
        <v>0</v>
      </c>
      <c r="G66" s="99">
        <f t="shared" ca="1" si="1"/>
        <v>0</v>
      </c>
      <c r="H66" s="55">
        <v>150</v>
      </c>
      <c r="I66" s="55">
        <f t="shared" ca="1" si="31"/>
        <v>0</v>
      </c>
      <c r="J66" s="99">
        <f t="shared" ca="1" si="3"/>
        <v>0</v>
      </c>
      <c r="K66" s="421" t="str">
        <f ca="1">IFERROR(__xludf.DUMMYFUNCTION("IMPORTRANGE(""https://docs.google.com/spreadsheets/d/1SX6NBoVAgQJ6U1MVXOaj8PK2l7WJ3RER9xtqwdhxkhw/edit?usp=sharing"",""พระนครศรีอยุธยา!J468"")"),"")</f>
        <v/>
      </c>
      <c r="L66" s="55">
        <f ca="1">IFERROR(__xludf.DUMMYFUNCTION("IMPORTRANGE(""https://docs.google.com/spreadsheets/d/1SX6NBoVAgQJ6U1MVXOaj8PK2l7WJ3RER9xtqwdhxkhw/edit?usp=sharing"",""พระนครศรีอยุธยา!J469"")"),0)</f>
        <v>0</v>
      </c>
      <c r="M66" s="55">
        <f ca="1">IFERROR(__xludf.DUMMYFUNCTION("IMPORTRANGE(""https://docs.google.com/spreadsheets/d/1SX6NBoVAgQJ6U1MVXOaj8PK2l7WJ3RER9xtqwdhxkhw/edit?usp=sharing"",""พระนครศรีอยุธยา!J470"")"),0)</f>
        <v>0</v>
      </c>
      <c r="N66" s="55">
        <f ca="1">IFERROR(__xludf.DUMMYFUNCTION("IMPORTRANGE(""https://docs.google.com/spreadsheets/d/1SX6NBoVAgQJ6U1MVXOaj8PK2l7WJ3RER9xtqwdhxkhw/edit?usp=sharing"",""พระนครศรีอยุธยา!J471"")"),0)</f>
        <v>0</v>
      </c>
      <c r="O66" s="422">
        <f ca="1">IFERROR(__xludf.DUMMYFUNCTION("IMPORTRANGE(""https://docs.google.com/spreadsheets/d/1SX6NBoVAgQJ6U1MVXOaj8PK2l7WJ3RER9xtqwdhxkhw/edit?usp=sharing"",""พระนครศรีอยุธยา!J472"")"),0)</f>
        <v>0</v>
      </c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 ht="24" customHeight="1" x14ac:dyDescent="0.5">
      <c r="A67" s="273">
        <v>13</v>
      </c>
      <c r="B67" s="274" t="s">
        <v>82</v>
      </c>
      <c r="C67" s="275">
        <f t="shared" si="30"/>
        <v>122400</v>
      </c>
      <c r="D67" s="55">
        <v>0</v>
      </c>
      <c r="E67" s="55">
        <v>122400</v>
      </c>
      <c r="F67" s="99">
        <f ca="1">IFERROR(__xludf.DUMMYFUNCTION("IMPORTRANGE(""https://docs.google.com/spreadsheets/d/1SX6NBoVAgQJ6U1MVXOaj8PK2l7WJ3RER9xtqwdhxkhw/edit?usp=sharing"",""เพชรบุรี!M459"")"),0)</f>
        <v>0</v>
      </c>
      <c r="G67" s="99">
        <f t="shared" ca="1" si="1"/>
        <v>0</v>
      </c>
      <c r="H67" s="55">
        <v>150</v>
      </c>
      <c r="I67" s="55">
        <f t="shared" ca="1" si="31"/>
        <v>34</v>
      </c>
      <c r="J67" s="99">
        <f t="shared" ca="1" si="3"/>
        <v>22.666666666666668</v>
      </c>
      <c r="K67" s="421">
        <f ca="1">IFERROR(__xludf.DUMMYFUNCTION("IMPORTRANGE(""https://docs.google.com/spreadsheets/d/1SX6NBoVAgQJ6U1MVXOaj8PK2l7WJ3RER9xtqwdhxkhw/edit?usp=sharing"",""เพชรบุรี!J468"")"),0)</f>
        <v>0</v>
      </c>
      <c r="L67" s="55">
        <f ca="1">IFERROR(__xludf.DUMMYFUNCTION("IMPORTRANGE(""https://docs.google.com/spreadsheets/d/1SX6NBoVAgQJ6U1MVXOaj8PK2l7WJ3RER9xtqwdhxkhw/edit?usp=sharing"",""เพชรบุรี!J469"")"),0)</f>
        <v>0</v>
      </c>
      <c r="M67" s="55">
        <f ca="1">IFERROR(__xludf.DUMMYFUNCTION("IMPORTRANGE(""https://docs.google.com/spreadsheets/d/1SX6NBoVAgQJ6U1MVXOaj8PK2l7WJ3RER9xtqwdhxkhw/edit?usp=sharing"",""เพชรบุรี!J470"")"),34)</f>
        <v>34</v>
      </c>
      <c r="N67" s="55">
        <f ca="1">IFERROR(__xludf.DUMMYFUNCTION("IMPORTRANGE(""https://docs.google.com/spreadsheets/d/1SX6NBoVAgQJ6U1MVXOaj8PK2l7WJ3RER9xtqwdhxkhw/edit?usp=sharing"",""เพชรบุรี!J471"")"),0)</f>
        <v>0</v>
      </c>
      <c r="O67" s="422">
        <f ca="1">IFERROR(__xludf.DUMMYFUNCTION("IMPORTRANGE(""https://docs.google.com/spreadsheets/d/1SX6NBoVAgQJ6U1MVXOaj8PK2l7WJ3RER9xtqwdhxkhw/edit?usp=sharing"",""เพชรบุรี!J472"")"),0)</f>
        <v>0</v>
      </c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ht="24" customHeight="1" x14ac:dyDescent="0.5">
      <c r="A68" s="273">
        <v>14</v>
      </c>
      <c r="B68" s="274" t="s">
        <v>83</v>
      </c>
      <c r="C68" s="275">
        <f t="shared" si="30"/>
        <v>120720</v>
      </c>
      <c r="D68" s="55">
        <v>0</v>
      </c>
      <c r="E68" s="55">
        <v>120720</v>
      </c>
      <c r="F68" s="99">
        <f ca="1">IFERROR(__xludf.DUMMYFUNCTION("IMPORTRANGE(""https://docs.google.com/spreadsheets/d/1SX6NBoVAgQJ6U1MVXOaj8PK2l7WJ3RER9xtqwdhxkhw/edit?usp=sharing"",""ระยอง!M459"")"),0)</f>
        <v>0</v>
      </c>
      <c r="G68" s="99">
        <f t="shared" ca="1" si="1"/>
        <v>0</v>
      </c>
      <c r="H68" s="55">
        <v>200</v>
      </c>
      <c r="I68" s="55">
        <f t="shared" ca="1" si="31"/>
        <v>0</v>
      </c>
      <c r="J68" s="99">
        <f t="shared" ca="1" si="3"/>
        <v>0</v>
      </c>
      <c r="K68" s="421">
        <f ca="1">IFERROR(__xludf.DUMMYFUNCTION("IMPORTRANGE(""https://docs.google.com/spreadsheets/d/1SX6NBoVAgQJ6U1MVXOaj8PK2l7WJ3RER9xtqwdhxkhw/edit?usp=sharing"",""ระยอง!J468"")"),0)</f>
        <v>0</v>
      </c>
      <c r="L68" s="55">
        <f ca="1">IFERROR(__xludf.DUMMYFUNCTION("IMPORTRANGE(""https://docs.google.com/spreadsheets/d/1SX6NBoVAgQJ6U1MVXOaj8PK2l7WJ3RER9xtqwdhxkhw/edit?usp=sharing"",""ระยอง!J469"")"),0)</f>
        <v>0</v>
      </c>
      <c r="M68" s="55">
        <f ca="1">IFERROR(__xludf.DUMMYFUNCTION("IMPORTRANGE(""https://docs.google.com/spreadsheets/d/1SX6NBoVAgQJ6U1MVXOaj8PK2l7WJ3RER9xtqwdhxkhw/edit?usp=sharing"",""ระยอง!J470"")"),0)</f>
        <v>0</v>
      </c>
      <c r="N68" s="55">
        <f ca="1">IFERROR(__xludf.DUMMYFUNCTION("IMPORTRANGE(""https://docs.google.com/spreadsheets/d/1SX6NBoVAgQJ6U1MVXOaj8PK2l7WJ3RER9xtqwdhxkhw/edit?usp=sharing"",""ระยอง!J471"")"),0)</f>
        <v>0</v>
      </c>
      <c r="O68" s="422">
        <f ca="1">IFERROR(__xludf.DUMMYFUNCTION("IMPORTRANGE(""https://docs.google.com/spreadsheets/d/1SX6NBoVAgQJ6U1MVXOaj8PK2l7WJ3RER9xtqwdhxkhw/edit?usp=sharing"",""ระยอง!J472"")"),0)</f>
        <v>0</v>
      </c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 ht="24" customHeight="1" x14ac:dyDescent="0.5">
      <c r="A69" s="273">
        <v>15</v>
      </c>
      <c r="B69" s="274" t="s">
        <v>84</v>
      </c>
      <c r="C69" s="275">
        <f t="shared" si="30"/>
        <v>126080</v>
      </c>
      <c r="D69" s="55">
        <v>0</v>
      </c>
      <c r="E69" s="55">
        <v>126080</v>
      </c>
      <c r="F69" s="99">
        <f ca="1">IFERROR(__xludf.DUMMYFUNCTION("IMPORTRANGE(""https://docs.google.com/spreadsheets/d/1SX6NBoVAgQJ6U1MVXOaj8PK2l7WJ3RER9xtqwdhxkhw/edit?usp=sharing"",""ราชบุรี!M459"")"),9483.88)</f>
        <v>9483.8799999999992</v>
      </c>
      <c r="G69" s="99">
        <f t="shared" ca="1" si="1"/>
        <v>7.5221129441624353</v>
      </c>
      <c r="H69" s="55">
        <v>550</v>
      </c>
      <c r="I69" s="55">
        <f t="shared" ca="1" si="31"/>
        <v>416</v>
      </c>
      <c r="J69" s="99">
        <f t="shared" ca="1" si="3"/>
        <v>75.63636363636364</v>
      </c>
      <c r="K69" s="421">
        <f ca="1">IFERROR(__xludf.DUMMYFUNCTION("IMPORTRANGE(""https://docs.google.com/spreadsheets/d/1SX6NBoVAgQJ6U1MVXOaj8PK2l7WJ3RER9xtqwdhxkhw/edit?usp=sharing"",""ราชบุรี!J468"")"),1)</f>
        <v>1</v>
      </c>
      <c r="L69" s="55">
        <f ca="1">IFERROR(__xludf.DUMMYFUNCTION("IMPORTRANGE(""https://docs.google.com/spreadsheets/d/1SX6NBoVAgQJ6U1MVXOaj8PK2l7WJ3RER9xtqwdhxkhw/edit?usp=sharing"",""ราชบุรี!J469"")"),22)</f>
        <v>22</v>
      </c>
      <c r="M69" s="55">
        <f ca="1">IFERROR(__xludf.DUMMYFUNCTION("IMPORTRANGE(""https://docs.google.com/spreadsheets/d/1SX6NBoVAgQJ6U1MVXOaj8PK2l7WJ3RER9xtqwdhxkhw/edit?usp=sharing"",""ราชบุรี!J470"")"),392)</f>
        <v>392</v>
      </c>
      <c r="N69" s="55">
        <f ca="1">IFERROR(__xludf.DUMMYFUNCTION("IMPORTRANGE(""https://docs.google.com/spreadsheets/d/1SX6NBoVAgQJ6U1MVXOaj8PK2l7WJ3RER9xtqwdhxkhw/edit?usp=sharing"",""ราชบุรี!J471"")"),2)</f>
        <v>2</v>
      </c>
      <c r="O69" s="422">
        <f ca="1">IFERROR(__xludf.DUMMYFUNCTION("IMPORTRANGE(""https://docs.google.com/spreadsheets/d/1SX6NBoVAgQJ6U1MVXOaj8PK2l7WJ3RER9xtqwdhxkhw/edit?usp=sharing"",""ราชบุรี!J472"")"),0)</f>
        <v>0</v>
      </c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 ht="24" customHeight="1" x14ac:dyDescent="0.5">
      <c r="A70" s="273">
        <v>16</v>
      </c>
      <c r="B70" s="274" t="s">
        <v>85</v>
      </c>
      <c r="C70" s="275">
        <f t="shared" si="30"/>
        <v>127680</v>
      </c>
      <c r="D70" s="55">
        <v>0</v>
      </c>
      <c r="E70" s="55">
        <v>127680</v>
      </c>
      <c r="F70" s="99">
        <f ca="1">IFERROR(__xludf.DUMMYFUNCTION("IMPORTRANGE(""https://docs.google.com/spreadsheets/d/1SX6NBoVAgQJ6U1MVXOaj8PK2l7WJ3RER9xtqwdhxkhw/edit?usp=sharing"",""ลพบุรี!M459"")"),0)</f>
        <v>0</v>
      </c>
      <c r="G70" s="99">
        <f t="shared" ca="1" si="1"/>
        <v>0</v>
      </c>
      <c r="H70" s="55">
        <v>1350</v>
      </c>
      <c r="I70" s="55">
        <f t="shared" ca="1" si="31"/>
        <v>0</v>
      </c>
      <c r="J70" s="99">
        <f t="shared" ca="1" si="3"/>
        <v>0</v>
      </c>
      <c r="K70" s="421">
        <f ca="1">IFERROR(__xludf.DUMMYFUNCTION("IMPORTRANGE(""https://docs.google.com/spreadsheets/d/1SX6NBoVAgQJ6U1MVXOaj8PK2l7WJ3RER9xtqwdhxkhw/edit?usp=sharing"",""ลพบุรี!J468"")"),0)</f>
        <v>0</v>
      </c>
      <c r="L70" s="55">
        <f ca="1">IFERROR(__xludf.DUMMYFUNCTION("IMPORTRANGE(""https://docs.google.com/spreadsheets/d/1SX6NBoVAgQJ6U1MVXOaj8PK2l7WJ3RER9xtqwdhxkhw/edit?usp=sharing"",""ลพบุรี!J469"")"),0)</f>
        <v>0</v>
      </c>
      <c r="M70" s="55">
        <f ca="1">IFERROR(__xludf.DUMMYFUNCTION("IMPORTRANGE(""https://docs.google.com/spreadsheets/d/1SX6NBoVAgQJ6U1MVXOaj8PK2l7WJ3RER9xtqwdhxkhw/edit?usp=sharing"",""ลพบุรี!J470"")"),0)</f>
        <v>0</v>
      </c>
      <c r="N70" s="55">
        <f ca="1">IFERROR(__xludf.DUMMYFUNCTION("IMPORTRANGE(""https://docs.google.com/spreadsheets/d/1SX6NBoVAgQJ6U1MVXOaj8PK2l7WJ3RER9xtqwdhxkhw/edit?usp=sharing"",""ลพบุรี!J471"")"),0)</f>
        <v>0</v>
      </c>
      <c r="O70" s="422">
        <f ca="1">IFERROR(__xludf.DUMMYFUNCTION("IMPORTRANGE(""https://docs.google.com/spreadsheets/d/1SX6NBoVAgQJ6U1MVXOaj8PK2l7WJ3RER9xtqwdhxkhw/edit?usp=sharing"",""ลพบุรี!J472"")"),0)</f>
        <v>0</v>
      </c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 ht="24" customHeight="1" x14ac:dyDescent="0.5">
      <c r="A71" s="273">
        <v>17</v>
      </c>
      <c r="B71" s="274" t="s">
        <v>86</v>
      </c>
      <c r="C71" s="275">
        <f t="shared" si="30"/>
        <v>165600</v>
      </c>
      <c r="D71" s="55">
        <v>0</v>
      </c>
      <c r="E71" s="55">
        <v>165600</v>
      </c>
      <c r="F71" s="99">
        <f ca="1">IFERROR(__xludf.DUMMYFUNCTION("IMPORTRANGE(""https://docs.google.com/spreadsheets/d/1SX6NBoVAgQJ6U1MVXOaj8PK2l7WJ3RER9xtqwdhxkhw/edit?usp=sharing"",""สระแก้ว!M459"")"),0)</f>
        <v>0</v>
      </c>
      <c r="G71" s="99">
        <f t="shared" ca="1" si="1"/>
        <v>0</v>
      </c>
      <c r="H71" s="55">
        <v>3950</v>
      </c>
      <c r="I71" s="55">
        <f t="shared" ca="1" si="31"/>
        <v>0</v>
      </c>
      <c r="J71" s="99">
        <f t="shared" ca="1" si="3"/>
        <v>0</v>
      </c>
      <c r="K71" s="421">
        <f ca="1">IFERROR(__xludf.DUMMYFUNCTION("IMPORTRANGE(""https://docs.google.com/spreadsheets/d/1SX6NBoVAgQJ6U1MVXOaj8PK2l7WJ3RER9xtqwdhxkhw/edit?usp=sharing"",""สระแก้ว!J468"")"),0)</f>
        <v>0</v>
      </c>
      <c r="L71" s="55">
        <f ca="1">IFERROR(__xludf.DUMMYFUNCTION("IMPORTRANGE(""https://docs.google.com/spreadsheets/d/1SX6NBoVAgQJ6U1MVXOaj8PK2l7WJ3RER9xtqwdhxkhw/edit?usp=sharing"",""สระแก้ว!J469"")"),0)</f>
        <v>0</v>
      </c>
      <c r="M71" s="55">
        <f ca="1">IFERROR(__xludf.DUMMYFUNCTION("IMPORTRANGE(""https://docs.google.com/spreadsheets/d/1SX6NBoVAgQJ6U1MVXOaj8PK2l7WJ3RER9xtqwdhxkhw/edit?usp=sharing"",""สระแก้ว!J470"")"),0)</f>
        <v>0</v>
      </c>
      <c r="N71" s="55">
        <f ca="1">IFERROR(__xludf.DUMMYFUNCTION("IMPORTRANGE(""https://docs.google.com/spreadsheets/d/1SX6NBoVAgQJ6U1MVXOaj8PK2l7WJ3RER9xtqwdhxkhw/edit?usp=sharing"",""สระแก้ว!J471"")"),0)</f>
        <v>0</v>
      </c>
      <c r="O71" s="422">
        <f ca="1">IFERROR(__xludf.DUMMYFUNCTION("IMPORTRANGE(""https://docs.google.com/spreadsheets/d/1SX6NBoVAgQJ6U1MVXOaj8PK2l7WJ3RER9xtqwdhxkhw/edit?usp=sharing"",""สระแก้ว!J472"")"),0)</f>
        <v>0</v>
      </c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 ht="24" customHeight="1" x14ac:dyDescent="0.5">
      <c r="A72" s="273">
        <v>18</v>
      </c>
      <c r="B72" s="274" t="s">
        <v>87</v>
      </c>
      <c r="C72" s="275">
        <f t="shared" si="30"/>
        <v>125680</v>
      </c>
      <c r="D72" s="55">
        <v>0</v>
      </c>
      <c r="E72" s="55">
        <v>125680</v>
      </c>
      <c r="F72" s="99">
        <f ca="1">IFERROR(__xludf.DUMMYFUNCTION("IMPORTRANGE(""https://docs.google.com/spreadsheets/d/1SX6NBoVAgQJ6U1MVXOaj8PK2l7WJ3RER9xtqwdhxkhw/edit?usp=sharing"",""สระบุรี!M459"")"),0)</f>
        <v>0</v>
      </c>
      <c r="G72" s="99">
        <f t="shared" ca="1" si="1"/>
        <v>0</v>
      </c>
      <c r="H72" s="55">
        <v>600</v>
      </c>
      <c r="I72" s="55">
        <f t="shared" ca="1" si="31"/>
        <v>0</v>
      </c>
      <c r="J72" s="99">
        <f t="shared" ca="1" si="3"/>
        <v>0</v>
      </c>
      <c r="K72" s="421">
        <f ca="1">IFERROR(__xludf.DUMMYFUNCTION("IMPORTRANGE(""https://docs.google.com/spreadsheets/d/1SX6NBoVAgQJ6U1MVXOaj8PK2l7WJ3RER9xtqwdhxkhw/edit?usp=sharing"",""สระบุรี!J468"")"),0)</f>
        <v>0</v>
      </c>
      <c r="L72" s="55">
        <f ca="1">IFERROR(__xludf.DUMMYFUNCTION("IMPORTRANGE(""https://docs.google.com/spreadsheets/d/1SX6NBoVAgQJ6U1MVXOaj8PK2l7WJ3RER9xtqwdhxkhw/edit?usp=sharing"",""สระบุรี!J469"")"),0)</f>
        <v>0</v>
      </c>
      <c r="M72" s="55">
        <f ca="1">IFERROR(__xludf.DUMMYFUNCTION("IMPORTRANGE(""https://docs.google.com/spreadsheets/d/1SX6NBoVAgQJ6U1MVXOaj8PK2l7WJ3RER9xtqwdhxkhw/edit?usp=sharing"",""สระบุรี!J470"")"),0)</f>
        <v>0</v>
      </c>
      <c r="N72" s="55">
        <f ca="1">IFERROR(__xludf.DUMMYFUNCTION("IMPORTRANGE(""https://docs.google.com/spreadsheets/d/1SX6NBoVAgQJ6U1MVXOaj8PK2l7WJ3RER9xtqwdhxkhw/edit?usp=sharing"",""สระบุรี!J471"")"),0)</f>
        <v>0</v>
      </c>
      <c r="O72" s="422">
        <f ca="1">IFERROR(__xludf.DUMMYFUNCTION("IMPORTRANGE(""https://docs.google.com/spreadsheets/d/1SX6NBoVAgQJ6U1MVXOaj8PK2l7WJ3RER9xtqwdhxkhw/edit?usp=sharing"",""สระบุรี!J472"")"),0)</f>
        <v>0</v>
      </c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 ht="24" customHeight="1" x14ac:dyDescent="0.5">
      <c r="A73" s="273">
        <v>19</v>
      </c>
      <c r="B73" s="274" t="s">
        <v>88</v>
      </c>
      <c r="C73" s="275">
        <f t="shared" si="30"/>
        <v>117840</v>
      </c>
      <c r="D73" s="55">
        <v>0</v>
      </c>
      <c r="E73" s="55">
        <v>117840</v>
      </c>
      <c r="F73" s="99">
        <f ca="1">IFERROR(__xludf.DUMMYFUNCTION("IMPORTRANGE(""https://docs.google.com/spreadsheets/d/1SX6NBoVAgQJ6U1MVXOaj8PK2l7WJ3RER9xtqwdhxkhw/edit?usp=sharing"",""สิงห์บุรี!M459"")"),0)</f>
        <v>0</v>
      </c>
      <c r="G73" s="99">
        <f t="shared" ca="1" si="1"/>
        <v>0</v>
      </c>
      <c r="H73" s="55">
        <v>20</v>
      </c>
      <c r="I73" s="55">
        <f t="shared" ca="1" si="31"/>
        <v>5</v>
      </c>
      <c r="J73" s="99">
        <f t="shared" ca="1" si="3"/>
        <v>25</v>
      </c>
      <c r="K73" s="421">
        <f ca="1">IFERROR(__xludf.DUMMYFUNCTION("IMPORTRANGE(""https://docs.google.com/spreadsheets/d/1SX6NBoVAgQJ6U1MVXOaj8PK2l7WJ3RER9xtqwdhxkhw/edit?usp=sharing"",""สิงห์บุรี!J468"")"),0)</f>
        <v>0</v>
      </c>
      <c r="L73" s="55">
        <f ca="1">IFERROR(__xludf.DUMMYFUNCTION("IMPORTRANGE(""https://docs.google.com/spreadsheets/d/1SX6NBoVAgQJ6U1MVXOaj8PK2l7WJ3RER9xtqwdhxkhw/edit?usp=sharing"",""สิงห์บุรี!J469"")"),0)</f>
        <v>0</v>
      </c>
      <c r="M73" s="55">
        <f ca="1">IFERROR(__xludf.DUMMYFUNCTION("IMPORTRANGE(""https://docs.google.com/spreadsheets/d/1SX6NBoVAgQJ6U1MVXOaj8PK2l7WJ3RER9xtqwdhxkhw/edit?usp=sharing"",""สิงห์บุรี!J470"")"),5)</f>
        <v>5</v>
      </c>
      <c r="N73" s="55">
        <f ca="1">IFERROR(__xludf.DUMMYFUNCTION("IMPORTRANGE(""https://docs.google.com/spreadsheets/d/1SX6NBoVAgQJ6U1MVXOaj8PK2l7WJ3RER9xtqwdhxkhw/edit?usp=sharing"",""สิงห์บุรี!J471"")"),0)</f>
        <v>0</v>
      </c>
      <c r="O73" s="422">
        <f ca="1">IFERROR(__xludf.DUMMYFUNCTION("IMPORTRANGE(""https://docs.google.com/spreadsheets/d/1SX6NBoVAgQJ6U1MVXOaj8PK2l7WJ3RER9xtqwdhxkhw/edit?usp=sharing"",""สิงห์บุรี!J472"")"),0)</f>
        <v>0</v>
      </c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 ht="24" customHeight="1" x14ac:dyDescent="0.5">
      <c r="A74" s="273">
        <v>20</v>
      </c>
      <c r="B74" s="274" t="s">
        <v>89</v>
      </c>
      <c r="C74" s="275">
        <f t="shared" si="30"/>
        <v>128080</v>
      </c>
      <c r="D74" s="55">
        <v>0</v>
      </c>
      <c r="E74" s="55">
        <v>128080</v>
      </c>
      <c r="F74" s="99">
        <f ca="1">IFERROR(__xludf.DUMMYFUNCTION("IMPORTRANGE(""https://docs.google.com/spreadsheets/d/1SX6NBoVAgQJ6U1MVXOaj8PK2l7WJ3RER9xtqwdhxkhw/edit?usp=sharing"",""สุพรรณบุรี!M459"")"),10838.73)</f>
        <v>10838.73</v>
      </c>
      <c r="G74" s="99">
        <f t="shared" ca="1" si="1"/>
        <v>8.4624687695190506</v>
      </c>
      <c r="H74" s="55">
        <v>900</v>
      </c>
      <c r="I74" s="55">
        <f t="shared" ca="1" si="31"/>
        <v>401</v>
      </c>
      <c r="J74" s="99">
        <f t="shared" ca="1" si="3"/>
        <v>44.555555555555557</v>
      </c>
      <c r="K74" s="421">
        <f ca="1">IFERROR(__xludf.DUMMYFUNCTION("IMPORTRANGE(""https://docs.google.com/spreadsheets/d/1SX6NBoVAgQJ6U1MVXOaj8PK2l7WJ3RER9xtqwdhxkhw/edit?usp=sharing"",""สุพรรณบุรี!J468"")"),0)</f>
        <v>0</v>
      </c>
      <c r="L74" s="55">
        <f ca="1">IFERROR(__xludf.DUMMYFUNCTION("IMPORTRANGE(""https://docs.google.com/spreadsheets/d/1SX6NBoVAgQJ6U1MVXOaj8PK2l7WJ3RER9xtqwdhxkhw/edit?usp=sharing"",""สุพรรณบุรี!J469"")"),0)</f>
        <v>0</v>
      </c>
      <c r="M74" s="55">
        <f ca="1">IFERROR(__xludf.DUMMYFUNCTION("IMPORTRANGE(""https://docs.google.com/spreadsheets/d/1SX6NBoVAgQJ6U1MVXOaj8PK2l7WJ3RER9xtqwdhxkhw/edit?usp=sharing"",""สุพรรณบุรี!J470"")"),401)</f>
        <v>401</v>
      </c>
      <c r="N74" s="55">
        <f ca="1">IFERROR(__xludf.DUMMYFUNCTION("IMPORTRANGE(""https://docs.google.com/spreadsheets/d/1SX6NBoVAgQJ6U1MVXOaj8PK2l7WJ3RER9xtqwdhxkhw/edit?usp=sharing"",""สุพรรณบุรี!J471"")"),0)</f>
        <v>0</v>
      </c>
      <c r="O74" s="422">
        <f ca="1">IFERROR(__xludf.DUMMYFUNCTION("IMPORTRANGE(""https://docs.google.com/spreadsheets/d/1SX6NBoVAgQJ6U1MVXOaj8PK2l7WJ3RER9xtqwdhxkhw/edit?usp=sharing"",""สุพรรณบุรี!J472"")"),0)</f>
        <v>0</v>
      </c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 ht="24" customHeight="1" x14ac:dyDescent="0.5">
      <c r="A75" s="278">
        <v>21</v>
      </c>
      <c r="B75" s="279" t="s">
        <v>90</v>
      </c>
      <c r="C75" s="280">
        <f t="shared" si="30"/>
        <v>117840</v>
      </c>
      <c r="D75" s="62">
        <v>0</v>
      </c>
      <c r="E75" s="62">
        <v>117840</v>
      </c>
      <c r="F75" s="100">
        <f ca="1">IFERROR(__xludf.DUMMYFUNCTION("IMPORTRANGE(""https://docs.google.com/spreadsheets/d/1SX6NBoVAgQJ6U1MVXOaj8PK2l7WJ3RER9xtqwdhxkhw/edit?usp=sharing"",""อ่างทอง!M459"")"),0)</f>
        <v>0</v>
      </c>
      <c r="G75" s="100">
        <f t="shared" ca="1" si="1"/>
        <v>0</v>
      </c>
      <c r="H75" s="62">
        <v>20</v>
      </c>
      <c r="I75" s="62">
        <f t="shared" ca="1" si="31"/>
        <v>0</v>
      </c>
      <c r="J75" s="100">
        <f t="shared" ca="1" si="3"/>
        <v>0</v>
      </c>
      <c r="K75" s="423">
        <f ca="1">IFERROR(__xludf.DUMMYFUNCTION("IMPORTRANGE(""https://docs.google.com/spreadsheets/d/1SX6NBoVAgQJ6U1MVXOaj8PK2l7WJ3RER9xtqwdhxkhw/edit?usp=sharing"",""อ่างทอง!J468"")"),0)</f>
        <v>0</v>
      </c>
      <c r="L75" s="62">
        <f ca="1">IFERROR(__xludf.DUMMYFUNCTION("IMPORTRANGE(""https://docs.google.com/spreadsheets/d/1SX6NBoVAgQJ6U1MVXOaj8PK2l7WJ3RER9xtqwdhxkhw/edit?usp=sharing"",""อ่างทอง!J469"")"),0)</f>
        <v>0</v>
      </c>
      <c r="M75" s="62">
        <f ca="1">IFERROR(__xludf.DUMMYFUNCTION("IMPORTRANGE(""https://docs.google.com/spreadsheets/d/1SX6NBoVAgQJ6U1MVXOaj8PK2l7WJ3RER9xtqwdhxkhw/edit?usp=sharing"",""อ่างทอง!J470"")"),0)</f>
        <v>0</v>
      </c>
      <c r="N75" s="62">
        <f ca="1">IFERROR(__xludf.DUMMYFUNCTION("IMPORTRANGE(""https://docs.google.com/spreadsheets/d/1SX6NBoVAgQJ6U1MVXOaj8PK2l7WJ3RER9xtqwdhxkhw/edit?usp=sharing"",""อ่างทอง!J471"")"),0)</f>
        <v>0</v>
      </c>
      <c r="O75" s="424">
        <f ca="1">IFERROR(__xludf.DUMMYFUNCTION("IMPORTRANGE(""https://docs.google.com/spreadsheets/d/1SX6NBoVAgQJ6U1MVXOaj8PK2l7WJ3RER9xtqwdhxkhw/edit?usp=sharing"",""อ่างทอง!J472"")"),0)</f>
        <v>0</v>
      </c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 ht="24" customHeight="1" x14ac:dyDescent="0.5">
      <c r="A76" s="777" t="s">
        <v>91</v>
      </c>
      <c r="B76" s="571"/>
      <c r="C76" s="255">
        <f t="shared" ref="C76:F76" si="32">SUM(C77:C90)</f>
        <v>1798960</v>
      </c>
      <c r="D76" s="66">
        <f t="shared" si="32"/>
        <v>0</v>
      </c>
      <c r="E76" s="66">
        <f t="shared" si="32"/>
        <v>1798960</v>
      </c>
      <c r="F76" s="101">
        <f t="shared" ca="1" si="32"/>
        <v>36347</v>
      </c>
      <c r="G76" s="101">
        <f t="shared" ca="1" si="1"/>
        <v>2.0204451460844042</v>
      </c>
      <c r="H76" s="66">
        <f t="shared" ref="H76:I76" si="33">SUM(H77:H90)</f>
        <v>12200</v>
      </c>
      <c r="I76" s="66">
        <f t="shared" ca="1" si="33"/>
        <v>880</v>
      </c>
      <c r="J76" s="101">
        <f t="shared" ca="1" si="3"/>
        <v>7.2131147540983607</v>
      </c>
      <c r="K76" s="394">
        <f t="shared" ref="K76:O76" ca="1" si="34">SUM(K77:K90)</f>
        <v>1</v>
      </c>
      <c r="L76" s="66">
        <f t="shared" ca="1" si="34"/>
        <v>26</v>
      </c>
      <c r="M76" s="66">
        <f t="shared" ca="1" si="34"/>
        <v>854</v>
      </c>
      <c r="N76" s="66">
        <f t="shared" ca="1" si="34"/>
        <v>0</v>
      </c>
      <c r="O76" s="414">
        <f t="shared" ca="1" si="34"/>
        <v>0</v>
      </c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 ht="24" customHeight="1" x14ac:dyDescent="0.5">
      <c r="A77" s="268">
        <v>1</v>
      </c>
      <c r="B77" s="269" t="s">
        <v>92</v>
      </c>
      <c r="C77" s="270">
        <f t="shared" ref="C77:C90" si="35">+D77+E77</f>
        <v>122800</v>
      </c>
      <c r="D77" s="48">
        <v>0</v>
      </c>
      <c r="E77" s="48">
        <v>122800</v>
      </c>
      <c r="F77" s="98">
        <f ca="1">IFERROR(__xludf.DUMMYFUNCTION("IMPORTRANGE(""https://docs.google.com/spreadsheets/d/1IYY_tgx_IHuhSq3AJ5eI5OnqOPBNLWSHKh2a30DoXe8/edit?usp=sharing"",""กระบี่!M459"")"),0)</f>
        <v>0</v>
      </c>
      <c r="G77" s="98">
        <f t="shared" ca="1" si="1"/>
        <v>0</v>
      </c>
      <c r="H77" s="48">
        <v>1100</v>
      </c>
      <c r="I77" s="48">
        <f t="shared" ref="I77:I90" ca="1" si="36">SUM(L77,M77,N77,O77)</f>
        <v>341</v>
      </c>
      <c r="J77" s="98">
        <f t="shared" ca="1" si="3"/>
        <v>31</v>
      </c>
      <c r="K77" s="419">
        <f ca="1">IFERROR(__xludf.DUMMYFUNCTION("IMPORTRANGE(""https://docs.google.com/spreadsheets/d/1IYY_tgx_IHuhSq3AJ5eI5OnqOPBNLWSHKh2a30DoXe8/edit?usp=sharing"",""กระบี่!J468"")"),0)</f>
        <v>0</v>
      </c>
      <c r="L77" s="48">
        <f ca="1">IFERROR(__xludf.DUMMYFUNCTION("IMPORTRANGE(""https://docs.google.com/spreadsheets/d/1IYY_tgx_IHuhSq3AJ5eI5OnqOPBNLWSHKh2a30DoXe8/edit?usp=sharing"",""กระบี่!J469"")"),0)</f>
        <v>0</v>
      </c>
      <c r="M77" s="48">
        <f ca="1">IFERROR(__xludf.DUMMYFUNCTION("IMPORTRANGE(""https://docs.google.com/spreadsheets/d/1IYY_tgx_IHuhSq3AJ5eI5OnqOPBNLWSHKh2a30DoXe8/edit?usp=sharing"",""กระบี่!J470"")"),341)</f>
        <v>341</v>
      </c>
      <c r="N77" s="48">
        <f ca="1">IFERROR(__xludf.DUMMYFUNCTION("IMPORTRANGE(""https://docs.google.com/spreadsheets/d/1IYY_tgx_IHuhSq3AJ5eI5OnqOPBNLWSHKh2a30DoXe8/edit?usp=sharing"",""กระบี่!J471"")"),0)</f>
        <v>0</v>
      </c>
      <c r="O77" s="420">
        <f ca="1">IFERROR(__xludf.DUMMYFUNCTION("IMPORTRANGE(""https://docs.google.com/spreadsheets/d/1IYY_tgx_IHuhSq3AJ5eI5OnqOPBNLWSHKh2a30DoXe8/edit?usp=sharing"",""กระบี่!J472"")"),0)</f>
        <v>0</v>
      </c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 ht="24" customHeight="1" x14ac:dyDescent="0.5">
      <c r="A78" s="273">
        <v>2</v>
      </c>
      <c r="B78" s="274" t="s">
        <v>93</v>
      </c>
      <c r="C78" s="275">
        <f t="shared" si="35"/>
        <v>136000</v>
      </c>
      <c r="D78" s="55">
        <v>0</v>
      </c>
      <c r="E78" s="55">
        <v>136000</v>
      </c>
      <c r="F78" s="99">
        <f ca="1">IFERROR(__xludf.DUMMYFUNCTION("IMPORTRANGE(""https://docs.google.com/spreadsheets/d/1IYY_tgx_IHuhSq3AJ5eI5OnqOPBNLWSHKh2a30DoXe8/edit?usp=sharing"",""ชุมพร!M459"")"),0)</f>
        <v>0</v>
      </c>
      <c r="G78" s="99">
        <f t="shared" ca="1" si="1"/>
        <v>0</v>
      </c>
      <c r="H78" s="55">
        <v>1500</v>
      </c>
      <c r="I78" s="55">
        <f t="shared" ca="1" si="36"/>
        <v>0</v>
      </c>
      <c r="J78" s="99">
        <f t="shared" ca="1" si="3"/>
        <v>0</v>
      </c>
      <c r="K78" s="421">
        <f ca="1">IFERROR(__xludf.DUMMYFUNCTION("IMPORTRANGE(""https://docs.google.com/spreadsheets/d/1IYY_tgx_IHuhSq3AJ5eI5OnqOPBNLWSHKh2a30DoXe8/edit?usp=sharing"",""ชุมพร!J468"")"),0)</f>
        <v>0</v>
      </c>
      <c r="L78" s="55">
        <f ca="1">IFERROR(__xludf.DUMMYFUNCTION("IMPORTRANGE(""https://docs.google.com/spreadsheets/d/1IYY_tgx_IHuhSq3AJ5eI5OnqOPBNLWSHKh2a30DoXe8/edit?usp=sharing"",""ชุมพร!J469"")"),0)</f>
        <v>0</v>
      </c>
      <c r="M78" s="55">
        <f ca="1">IFERROR(__xludf.DUMMYFUNCTION("IMPORTRANGE(""https://docs.google.com/spreadsheets/d/1IYY_tgx_IHuhSq3AJ5eI5OnqOPBNLWSHKh2a30DoXe8/edit?usp=sharing"",""ชุมพร!J470"")"),0)</f>
        <v>0</v>
      </c>
      <c r="N78" s="55">
        <f ca="1">IFERROR(__xludf.DUMMYFUNCTION("IMPORTRANGE(""https://docs.google.com/spreadsheets/d/1IYY_tgx_IHuhSq3AJ5eI5OnqOPBNLWSHKh2a30DoXe8/edit?usp=sharing"",""ชุมพร!J471"")"),0)</f>
        <v>0</v>
      </c>
      <c r="O78" s="422">
        <f ca="1">IFERROR(__xludf.DUMMYFUNCTION("IMPORTRANGE(""https://docs.google.com/spreadsheets/d/1IYY_tgx_IHuhSq3AJ5eI5OnqOPBNLWSHKh2a30DoXe8/edit?usp=sharing"",""ชุมพร!J472"")"),0)</f>
        <v>0</v>
      </c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 ht="24" customHeight="1" x14ac:dyDescent="0.5">
      <c r="A79" s="273">
        <v>3</v>
      </c>
      <c r="B79" s="274" t="s">
        <v>94</v>
      </c>
      <c r="C79" s="275">
        <f t="shared" si="35"/>
        <v>122720</v>
      </c>
      <c r="D79" s="55">
        <v>0</v>
      </c>
      <c r="E79" s="55">
        <v>122720</v>
      </c>
      <c r="F79" s="99">
        <f ca="1">IFERROR(__xludf.DUMMYFUNCTION("IMPORTRANGE(""https://docs.google.com/spreadsheets/d/1IYY_tgx_IHuhSq3AJ5eI5OnqOPBNLWSHKh2a30DoXe8/edit?usp=sharing"",""ตรัง!M459"")"),0)</f>
        <v>0</v>
      </c>
      <c r="G79" s="99">
        <f t="shared" ca="1" si="1"/>
        <v>0</v>
      </c>
      <c r="H79" s="55">
        <v>1000</v>
      </c>
      <c r="I79" s="55">
        <f t="shared" ca="1" si="36"/>
        <v>305</v>
      </c>
      <c r="J79" s="99">
        <f t="shared" ca="1" si="3"/>
        <v>30.5</v>
      </c>
      <c r="K79" s="421">
        <f ca="1">IFERROR(__xludf.DUMMYFUNCTION("IMPORTRANGE(""https://docs.google.com/spreadsheets/d/1IYY_tgx_IHuhSq3AJ5eI5OnqOPBNLWSHKh2a30DoXe8/edit?usp=sharing"",""ตรัง!J468"")"),0)</f>
        <v>0</v>
      </c>
      <c r="L79" s="55">
        <f ca="1">IFERROR(__xludf.DUMMYFUNCTION("IMPORTRANGE(""https://docs.google.com/spreadsheets/d/1IYY_tgx_IHuhSq3AJ5eI5OnqOPBNLWSHKh2a30DoXe8/edit?usp=sharing"",""ตรัง!J469"")"),0)</f>
        <v>0</v>
      </c>
      <c r="M79" s="55">
        <f ca="1">IFERROR(__xludf.DUMMYFUNCTION("IMPORTRANGE(""https://docs.google.com/spreadsheets/d/1IYY_tgx_IHuhSq3AJ5eI5OnqOPBNLWSHKh2a30DoXe8/edit?usp=sharing"",""ตรัง!J470"")"),305)</f>
        <v>305</v>
      </c>
      <c r="N79" s="55">
        <f ca="1">IFERROR(__xludf.DUMMYFUNCTION("IMPORTRANGE(""https://docs.google.com/spreadsheets/d/1IYY_tgx_IHuhSq3AJ5eI5OnqOPBNLWSHKh2a30DoXe8/edit?usp=sharing"",""ตรัง!J471"")"),0)</f>
        <v>0</v>
      </c>
      <c r="O79" s="422">
        <f ca="1">IFERROR(__xludf.DUMMYFUNCTION("IMPORTRANGE(""https://docs.google.com/spreadsheets/d/1IYY_tgx_IHuhSq3AJ5eI5OnqOPBNLWSHKh2a30DoXe8/edit?usp=sharing"",""ตรัง!J472"")"),0)</f>
        <v>0</v>
      </c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 ht="24" customHeight="1" x14ac:dyDescent="0.5">
      <c r="A80" s="273">
        <v>4</v>
      </c>
      <c r="B80" s="274" t="s">
        <v>95</v>
      </c>
      <c r="C80" s="275">
        <f t="shared" si="35"/>
        <v>145440</v>
      </c>
      <c r="D80" s="55">
        <v>0</v>
      </c>
      <c r="E80" s="55">
        <v>145440</v>
      </c>
      <c r="F80" s="99">
        <f ca="1">IFERROR(__xludf.DUMMYFUNCTION("IMPORTRANGE(""https://docs.google.com/spreadsheets/d/1IYY_tgx_IHuhSq3AJ5eI5OnqOPBNLWSHKh2a30DoXe8/edit?usp=sharing"",""นครศรีธรรมราช!M459"")"),1120)</f>
        <v>1120</v>
      </c>
      <c r="G80" s="99">
        <f t="shared" ca="1" si="1"/>
        <v>0.77007700770077003</v>
      </c>
      <c r="H80" s="55">
        <v>1700</v>
      </c>
      <c r="I80" s="55">
        <f t="shared" ca="1" si="36"/>
        <v>86</v>
      </c>
      <c r="J80" s="99">
        <f t="shared" ca="1" si="3"/>
        <v>5.0588235294117645</v>
      </c>
      <c r="K80" s="421">
        <f ca="1">IFERROR(__xludf.DUMMYFUNCTION("IMPORTRANGE(""https://docs.google.com/spreadsheets/d/1IYY_tgx_IHuhSq3AJ5eI5OnqOPBNLWSHKh2a30DoXe8/edit?usp=sharing"",""นครศรีธรรมราช!J468"")"),0)</f>
        <v>0</v>
      </c>
      <c r="L80" s="55">
        <f ca="1">IFERROR(__xludf.DUMMYFUNCTION("IMPORTRANGE(""https://docs.google.com/spreadsheets/d/1IYY_tgx_IHuhSq3AJ5eI5OnqOPBNLWSHKh2a30DoXe8/edit?usp=sharing"",""นครศรีธรรมราช!J469"")"),0)</f>
        <v>0</v>
      </c>
      <c r="M80" s="55">
        <f ca="1">IFERROR(__xludf.DUMMYFUNCTION("IMPORTRANGE(""https://docs.google.com/spreadsheets/d/1IYY_tgx_IHuhSq3AJ5eI5OnqOPBNLWSHKh2a30DoXe8/edit?usp=sharing"",""นครศรีธรรมราช!J470"")"),86)</f>
        <v>86</v>
      </c>
      <c r="N80" s="55">
        <f ca="1">IFERROR(__xludf.DUMMYFUNCTION("IMPORTRANGE(""https://docs.google.com/spreadsheets/d/1IYY_tgx_IHuhSq3AJ5eI5OnqOPBNLWSHKh2a30DoXe8/edit?usp=sharing"",""นครศรีธรรมราช!J471"")"),0)</f>
        <v>0</v>
      </c>
      <c r="O80" s="422">
        <f ca="1">IFERROR(__xludf.DUMMYFUNCTION("IMPORTRANGE(""https://docs.google.com/spreadsheets/d/1IYY_tgx_IHuhSq3AJ5eI5OnqOPBNLWSHKh2a30DoXe8/edit?usp=sharing"",""นครศรีธรรมราช!J472"")"),0)</f>
        <v>0</v>
      </c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 ht="24" customHeight="1" x14ac:dyDescent="0.5">
      <c r="A81" s="273">
        <v>5</v>
      </c>
      <c r="B81" s="274" t="s">
        <v>96</v>
      </c>
      <c r="C81" s="275">
        <f t="shared" si="35"/>
        <v>120720</v>
      </c>
      <c r="D81" s="55">
        <v>0</v>
      </c>
      <c r="E81" s="55">
        <v>120720</v>
      </c>
      <c r="F81" s="99">
        <f ca="1">IFERROR(__xludf.DUMMYFUNCTION("IMPORTRANGE(""https://docs.google.com/spreadsheets/d/1IYY_tgx_IHuhSq3AJ5eI5OnqOPBNLWSHKh2a30DoXe8/edit?usp=sharing"",""นราธิวาส!M459"")"),6860)</f>
        <v>6860</v>
      </c>
      <c r="G81" s="99">
        <f t="shared" ca="1" si="1"/>
        <v>5.6825712392312786</v>
      </c>
      <c r="H81" s="55">
        <v>150</v>
      </c>
      <c r="I81" s="55">
        <f t="shared" ca="1" si="36"/>
        <v>85</v>
      </c>
      <c r="J81" s="99">
        <f t="shared" ca="1" si="3"/>
        <v>56.666666666666664</v>
      </c>
      <c r="K81" s="421">
        <f ca="1">IFERROR(__xludf.DUMMYFUNCTION("IMPORTRANGE(""https://docs.google.com/spreadsheets/d/1IYY_tgx_IHuhSq3AJ5eI5OnqOPBNLWSHKh2a30DoXe8/edit?usp=sharing"",""นราธิวาส!J468"")"),1)</f>
        <v>1</v>
      </c>
      <c r="L81" s="55">
        <f ca="1">IFERROR(__xludf.DUMMYFUNCTION("IMPORTRANGE(""https://docs.google.com/spreadsheets/d/1IYY_tgx_IHuhSq3AJ5eI5OnqOPBNLWSHKh2a30DoXe8/edit?usp=sharing"",""นราธิวาส!J469"")"),26)</f>
        <v>26</v>
      </c>
      <c r="M81" s="55">
        <f ca="1">IFERROR(__xludf.DUMMYFUNCTION("IMPORTRANGE(""https://docs.google.com/spreadsheets/d/1IYY_tgx_IHuhSq3AJ5eI5OnqOPBNLWSHKh2a30DoXe8/edit?usp=sharing"",""นราธิวาส!J470"")"),59)</f>
        <v>59</v>
      </c>
      <c r="N81" s="55">
        <f ca="1">IFERROR(__xludf.DUMMYFUNCTION("IMPORTRANGE(""https://docs.google.com/spreadsheets/d/1IYY_tgx_IHuhSq3AJ5eI5OnqOPBNLWSHKh2a30DoXe8/edit?usp=sharing"",""นราธิวาส!J471"")"),0)</f>
        <v>0</v>
      </c>
      <c r="O81" s="422">
        <f ca="1">IFERROR(__xludf.DUMMYFUNCTION("IMPORTRANGE(""https://docs.google.com/spreadsheets/d/1IYY_tgx_IHuhSq3AJ5eI5OnqOPBNLWSHKh2a30DoXe8/edit?usp=sharing"",""นราธิวาส!J472"")"),0)</f>
        <v>0</v>
      </c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 ht="24" customHeight="1" x14ac:dyDescent="0.5">
      <c r="A82" s="273">
        <v>6</v>
      </c>
      <c r="B82" s="274" t="s">
        <v>97</v>
      </c>
      <c r="C82" s="275">
        <f t="shared" si="35"/>
        <v>119520</v>
      </c>
      <c r="D82" s="55">
        <v>0</v>
      </c>
      <c r="E82" s="55">
        <v>119520</v>
      </c>
      <c r="F82" s="99">
        <f ca="1">IFERROR(__xludf.DUMMYFUNCTION("IMPORTRANGE(""https://docs.google.com/spreadsheets/d/1IYY_tgx_IHuhSq3AJ5eI5OnqOPBNLWSHKh2a30DoXe8/edit?usp=sharing"",""ปัตตานี!M459"")"),0)</f>
        <v>0</v>
      </c>
      <c r="G82" s="99">
        <f t="shared" ca="1" si="1"/>
        <v>0</v>
      </c>
      <c r="H82" s="55">
        <v>200</v>
      </c>
      <c r="I82" s="55">
        <f t="shared" ca="1" si="36"/>
        <v>0</v>
      </c>
      <c r="J82" s="99">
        <f t="shared" ca="1" si="3"/>
        <v>0</v>
      </c>
      <c r="K82" s="421">
        <f ca="1">IFERROR(__xludf.DUMMYFUNCTION("IMPORTRANGE(""https://docs.google.com/spreadsheets/d/1IYY_tgx_IHuhSq3AJ5eI5OnqOPBNLWSHKh2a30DoXe8/edit?usp=sharing"",""ปัตตานี!J468"")"),0)</f>
        <v>0</v>
      </c>
      <c r="L82" s="55">
        <f ca="1">IFERROR(__xludf.DUMMYFUNCTION("IMPORTRANGE(""https://docs.google.com/spreadsheets/d/1IYY_tgx_IHuhSq3AJ5eI5OnqOPBNLWSHKh2a30DoXe8/edit?usp=sharing"",""ปัตตานี!J469"")"),0)</f>
        <v>0</v>
      </c>
      <c r="M82" s="55">
        <f ca="1">IFERROR(__xludf.DUMMYFUNCTION("IMPORTRANGE(""https://docs.google.com/spreadsheets/d/1IYY_tgx_IHuhSq3AJ5eI5OnqOPBNLWSHKh2a30DoXe8/edit?usp=sharing"",""ปัตตานี!J470"")"),0)</f>
        <v>0</v>
      </c>
      <c r="N82" s="55">
        <f ca="1">IFERROR(__xludf.DUMMYFUNCTION("IMPORTRANGE(""https://docs.google.com/spreadsheets/d/1IYY_tgx_IHuhSq3AJ5eI5OnqOPBNLWSHKh2a30DoXe8/edit?usp=sharing"",""ปัตตานี!J471"")"),0)</f>
        <v>0</v>
      </c>
      <c r="O82" s="422">
        <f ca="1">IFERROR(__xludf.DUMMYFUNCTION("IMPORTRANGE(""https://docs.google.com/spreadsheets/d/1IYY_tgx_IHuhSq3AJ5eI5OnqOPBNLWSHKh2a30DoXe8/edit?usp=sharing"",""ปัตตานี!J472"")"),0)</f>
        <v>0</v>
      </c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 ht="24" customHeight="1" x14ac:dyDescent="0.5">
      <c r="A83" s="273">
        <v>7</v>
      </c>
      <c r="B83" s="274" t="s">
        <v>98</v>
      </c>
      <c r="C83" s="275">
        <f t="shared" si="35"/>
        <v>126880</v>
      </c>
      <c r="D83" s="55">
        <v>0</v>
      </c>
      <c r="E83" s="55">
        <v>126880</v>
      </c>
      <c r="F83" s="99">
        <f ca="1">IFERROR(__xludf.DUMMYFUNCTION("IMPORTRANGE(""https://docs.google.com/spreadsheets/d/1IYY_tgx_IHuhSq3AJ5eI5OnqOPBNLWSHKh2a30DoXe8/edit?usp=sharing"",""พังงา!M459"")"),1200)</f>
        <v>1200</v>
      </c>
      <c r="G83" s="99">
        <f t="shared" ca="1" si="1"/>
        <v>0.94577553593947039</v>
      </c>
      <c r="H83" s="55">
        <v>400</v>
      </c>
      <c r="I83" s="55">
        <f t="shared" ca="1" si="36"/>
        <v>0</v>
      </c>
      <c r="J83" s="99">
        <f t="shared" ca="1" si="3"/>
        <v>0</v>
      </c>
      <c r="K83" s="421">
        <f ca="1">IFERROR(__xludf.DUMMYFUNCTION("IMPORTRANGE(""https://docs.google.com/spreadsheets/d/1IYY_tgx_IHuhSq3AJ5eI5OnqOPBNLWSHKh2a30DoXe8/edit?usp=sharing"",""พังงา!J468"")"),0)</f>
        <v>0</v>
      </c>
      <c r="L83" s="55">
        <f ca="1">IFERROR(__xludf.DUMMYFUNCTION("IMPORTRANGE(""https://docs.google.com/spreadsheets/d/1IYY_tgx_IHuhSq3AJ5eI5OnqOPBNLWSHKh2a30DoXe8/edit?usp=sharing"",""พังงา!J469"")"),0)</f>
        <v>0</v>
      </c>
      <c r="M83" s="55">
        <f ca="1">IFERROR(__xludf.DUMMYFUNCTION("IMPORTRANGE(""https://docs.google.com/spreadsheets/d/1IYY_tgx_IHuhSq3AJ5eI5OnqOPBNLWSHKh2a30DoXe8/edit?usp=sharing"",""พังงา!J470"")"),0)</f>
        <v>0</v>
      </c>
      <c r="N83" s="55">
        <f ca="1">IFERROR(__xludf.DUMMYFUNCTION("IMPORTRANGE(""https://docs.google.com/spreadsheets/d/1IYY_tgx_IHuhSq3AJ5eI5OnqOPBNLWSHKh2a30DoXe8/edit?usp=sharing"",""พังงา!J471"")"),0)</f>
        <v>0</v>
      </c>
      <c r="O83" s="422">
        <f ca="1">IFERROR(__xludf.DUMMYFUNCTION("IMPORTRANGE(""https://docs.google.com/spreadsheets/d/1IYY_tgx_IHuhSq3AJ5eI5OnqOPBNLWSHKh2a30DoXe8/edit?usp=sharing"",""พังงา!J472"")"),0)</f>
        <v>0</v>
      </c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 ht="24" customHeight="1" x14ac:dyDescent="0.5">
      <c r="A84" s="273">
        <v>8</v>
      </c>
      <c r="B84" s="274" t="s">
        <v>99</v>
      </c>
      <c r="C84" s="275">
        <f t="shared" si="35"/>
        <v>120320</v>
      </c>
      <c r="D84" s="55">
        <v>0</v>
      </c>
      <c r="E84" s="55">
        <v>120320</v>
      </c>
      <c r="F84" s="99">
        <f ca="1">IFERROR(__xludf.DUMMYFUNCTION("IMPORTRANGE(""https://docs.google.com/spreadsheets/d/1IYY_tgx_IHuhSq3AJ5eI5OnqOPBNLWSHKh2a30DoXe8/edit?usp=sharing"",""พัทลุง!M459"")"),0)</f>
        <v>0</v>
      </c>
      <c r="G84" s="99">
        <f t="shared" ca="1" si="1"/>
        <v>0</v>
      </c>
      <c r="H84" s="55">
        <v>1150</v>
      </c>
      <c r="I84" s="55">
        <f t="shared" ca="1" si="36"/>
        <v>0</v>
      </c>
      <c r="J84" s="99">
        <f t="shared" ca="1" si="3"/>
        <v>0</v>
      </c>
      <c r="K84" s="421">
        <f ca="1">IFERROR(__xludf.DUMMYFUNCTION("IMPORTRANGE(""https://docs.google.com/spreadsheets/d/1IYY_tgx_IHuhSq3AJ5eI5OnqOPBNLWSHKh2a30DoXe8/edit?usp=sharing"",""พัทลุง!J468"")"),0)</f>
        <v>0</v>
      </c>
      <c r="L84" s="55">
        <f ca="1">IFERROR(__xludf.DUMMYFUNCTION("IMPORTRANGE(""https://docs.google.com/spreadsheets/d/1IYY_tgx_IHuhSq3AJ5eI5OnqOPBNLWSHKh2a30DoXe8/edit?usp=sharing"",""พัทลุง!J469"")"),0)</f>
        <v>0</v>
      </c>
      <c r="M84" s="55">
        <f ca="1">IFERROR(__xludf.DUMMYFUNCTION("IMPORTRANGE(""https://docs.google.com/spreadsheets/d/1IYY_tgx_IHuhSq3AJ5eI5OnqOPBNLWSHKh2a30DoXe8/edit?usp=sharing"",""พัทลุง!J470"")"),0)</f>
        <v>0</v>
      </c>
      <c r="N84" s="55">
        <f ca="1">IFERROR(__xludf.DUMMYFUNCTION("IMPORTRANGE(""https://docs.google.com/spreadsheets/d/1IYY_tgx_IHuhSq3AJ5eI5OnqOPBNLWSHKh2a30DoXe8/edit?usp=sharing"",""พัทลุง!J471"")"),0)</f>
        <v>0</v>
      </c>
      <c r="O84" s="422">
        <f ca="1">IFERROR(__xludf.DUMMYFUNCTION("IMPORTRANGE(""https://docs.google.com/spreadsheets/d/1IYY_tgx_IHuhSq3AJ5eI5OnqOPBNLWSHKh2a30DoXe8/edit?usp=sharing"",""พัทลุง!J472"")"),0)</f>
        <v>0</v>
      </c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 ht="24" customHeight="1" x14ac:dyDescent="0.5">
      <c r="A85" s="273">
        <v>9</v>
      </c>
      <c r="B85" s="274" t="s">
        <v>100</v>
      </c>
      <c r="C85" s="275">
        <f t="shared" si="35"/>
        <v>119920</v>
      </c>
      <c r="D85" s="55">
        <v>0</v>
      </c>
      <c r="E85" s="55">
        <v>119920</v>
      </c>
      <c r="F85" s="99">
        <f ca="1">IFERROR(__xludf.DUMMYFUNCTION("IMPORTRANGE(""https://docs.google.com/spreadsheets/d/1IYY_tgx_IHuhSq3AJ5eI5OnqOPBNLWSHKh2a30DoXe8/edit?usp=sharing"",""ภูเก็ต!M459"")"),7700)</f>
        <v>7700</v>
      </c>
      <c r="G85" s="99">
        <f t="shared" ca="1" si="1"/>
        <v>6.4209472981987989</v>
      </c>
      <c r="H85" s="55">
        <v>50</v>
      </c>
      <c r="I85" s="55">
        <f t="shared" ca="1" si="36"/>
        <v>0</v>
      </c>
      <c r="J85" s="99">
        <f t="shared" ca="1" si="3"/>
        <v>0</v>
      </c>
      <c r="K85" s="421">
        <f ca="1">IFERROR(__xludf.DUMMYFUNCTION("IMPORTRANGE(""https://docs.google.com/spreadsheets/d/1IYY_tgx_IHuhSq3AJ5eI5OnqOPBNLWSHKh2a30DoXe8/edit?usp=sharing"",""ภูเก็ต!J468"")"),0)</f>
        <v>0</v>
      </c>
      <c r="L85" s="55">
        <f ca="1">IFERROR(__xludf.DUMMYFUNCTION("IMPORTRANGE(""https://docs.google.com/spreadsheets/d/1IYY_tgx_IHuhSq3AJ5eI5OnqOPBNLWSHKh2a30DoXe8/edit?usp=sharing"",""ภูเก็ต!J469"")"),0)</f>
        <v>0</v>
      </c>
      <c r="M85" s="55">
        <f ca="1">IFERROR(__xludf.DUMMYFUNCTION("IMPORTRANGE(""https://docs.google.com/spreadsheets/d/1IYY_tgx_IHuhSq3AJ5eI5OnqOPBNLWSHKh2a30DoXe8/edit?usp=sharing"",""ภูเก็ต!J470"")"),0)</f>
        <v>0</v>
      </c>
      <c r="N85" s="55">
        <f ca="1">IFERROR(__xludf.DUMMYFUNCTION("IMPORTRANGE(""https://docs.google.com/spreadsheets/d/1IYY_tgx_IHuhSq3AJ5eI5OnqOPBNLWSHKh2a30DoXe8/edit?usp=sharing"",""ภูเก็ต!J471"")"),0)</f>
        <v>0</v>
      </c>
      <c r="O85" s="422">
        <f ca="1">IFERROR(__xludf.DUMMYFUNCTION("IMPORTRANGE(""https://docs.google.com/spreadsheets/d/1IYY_tgx_IHuhSq3AJ5eI5OnqOPBNLWSHKh2a30DoXe8/edit?usp=sharing"",""ภูเก็ต!J472"")"),0)</f>
        <v>0</v>
      </c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 ht="24" customHeight="1" x14ac:dyDescent="0.5">
      <c r="A86" s="273">
        <v>10</v>
      </c>
      <c r="B86" s="274" t="s">
        <v>101</v>
      </c>
      <c r="C86" s="275">
        <f t="shared" si="35"/>
        <v>123680</v>
      </c>
      <c r="D86" s="55">
        <v>0</v>
      </c>
      <c r="E86" s="55">
        <v>123680</v>
      </c>
      <c r="F86" s="99">
        <f ca="1">IFERROR(__xludf.DUMMYFUNCTION("IMPORTRANGE(""https://docs.google.com/spreadsheets/d/1IYY_tgx_IHuhSq3AJ5eI5OnqOPBNLWSHKh2a30DoXe8/edit?usp=sharing"",""ยะลา!M459"")"),0)</f>
        <v>0</v>
      </c>
      <c r="G86" s="99">
        <f t="shared" ca="1" si="1"/>
        <v>0</v>
      </c>
      <c r="H86" s="55">
        <v>150</v>
      </c>
      <c r="I86" s="55">
        <f t="shared" ca="1" si="36"/>
        <v>0</v>
      </c>
      <c r="J86" s="99">
        <f t="shared" ca="1" si="3"/>
        <v>0</v>
      </c>
      <c r="K86" s="421">
        <f ca="1">IFERROR(__xludf.DUMMYFUNCTION("IMPORTRANGE(""https://docs.google.com/spreadsheets/d/1IYY_tgx_IHuhSq3AJ5eI5OnqOPBNLWSHKh2a30DoXe8/edit?usp=sharing"",""ยะลา!J468"")"),0)</f>
        <v>0</v>
      </c>
      <c r="L86" s="55">
        <f ca="1">IFERROR(__xludf.DUMMYFUNCTION("IMPORTRANGE(""https://docs.google.com/spreadsheets/d/1IYY_tgx_IHuhSq3AJ5eI5OnqOPBNLWSHKh2a30DoXe8/edit?usp=sharing"",""ยะลา!J469"")"),0)</f>
        <v>0</v>
      </c>
      <c r="M86" s="55">
        <f ca="1">IFERROR(__xludf.DUMMYFUNCTION("IMPORTRANGE(""https://docs.google.com/spreadsheets/d/1IYY_tgx_IHuhSq3AJ5eI5OnqOPBNLWSHKh2a30DoXe8/edit?usp=sharing"",""ยะลา!J470"")"),0)</f>
        <v>0</v>
      </c>
      <c r="N86" s="55">
        <f ca="1">IFERROR(__xludf.DUMMYFUNCTION("IMPORTRANGE(""https://docs.google.com/spreadsheets/d/1IYY_tgx_IHuhSq3AJ5eI5OnqOPBNLWSHKh2a30DoXe8/edit?usp=sharing"",""ยะลา!J471"")"),0)</f>
        <v>0</v>
      </c>
      <c r="O86" s="422">
        <f ca="1">IFERROR(__xludf.DUMMYFUNCTION("IMPORTRANGE(""https://docs.google.com/spreadsheets/d/1IYY_tgx_IHuhSq3AJ5eI5OnqOPBNLWSHKh2a30DoXe8/edit?usp=sharing"",""ยะลา!J472"")"),0)</f>
        <v>0</v>
      </c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 ht="24" customHeight="1" x14ac:dyDescent="0.5">
      <c r="A87" s="273">
        <v>11</v>
      </c>
      <c r="B87" s="274" t="s">
        <v>102</v>
      </c>
      <c r="C87" s="275">
        <f t="shared" si="35"/>
        <v>125680</v>
      </c>
      <c r="D87" s="55">
        <v>0</v>
      </c>
      <c r="E87" s="55">
        <v>125680</v>
      </c>
      <c r="F87" s="99">
        <f ca="1">IFERROR(__xludf.DUMMYFUNCTION("IMPORTRANGE(""https://docs.google.com/spreadsheets/d/1IYY_tgx_IHuhSq3AJ5eI5OnqOPBNLWSHKh2a30DoXe8/edit?usp=sharing"",""ระนอง!M459"")"),9532)</f>
        <v>9532</v>
      </c>
      <c r="G87" s="99">
        <f t="shared" ca="1" si="1"/>
        <v>7.5843411839592614</v>
      </c>
      <c r="H87" s="55">
        <v>400</v>
      </c>
      <c r="I87" s="55">
        <f t="shared" ca="1" si="36"/>
        <v>63</v>
      </c>
      <c r="J87" s="99">
        <f t="shared" ca="1" si="3"/>
        <v>15.75</v>
      </c>
      <c r="K87" s="421">
        <f ca="1">IFERROR(__xludf.DUMMYFUNCTION("IMPORTRANGE(""https://docs.google.com/spreadsheets/d/1IYY_tgx_IHuhSq3AJ5eI5OnqOPBNLWSHKh2a30DoXe8/edit?usp=sharing"",""ระนอง!J468"")"),0)</f>
        <v>0</v>
      </c>
      <c r="L87" s="55">
        <f ca="1">IFERROR(__xludf.DUMMYFUNCTION("IMPORTRANGE(""https://docs.google.com/spreadsheets/d/1IYY_tgx_IHuhSq3AJ5eI5OnqOPBNLWSHKh2a30DoXe8/edit?usp=sharing"",""ระนอง!J469"")"),0)</f>
        <v>0</v>
      </c>
      <c r="M87" s="55">
        <f ca="1">IFERROR(__xludf.DUMMYFUNCTION("IMPORTRANGE(""https://docs.google.com/spreadsheets/d/1IYY_tgx_IHuhSq3AJ5eI5OnqOPBNLWSHKh2a30DoXe8/edit?usp=sharing"",""ระนอง!J470"")"),63)</f>
        <v>63</v>
      </c>
      <c r="N87" s="55">
        <f ca="1">IFERROR(__xludf.DUMMYFUNCTION("IMPORTRANGE(""https://docs.google.com/spreadsheets/d/1IYY_tgx_IHuhSq3AJ5eI5OnqOPBNLWSHKh2a30DoXe8/edit?usp=sharing"",""ระนอง!J471"")"),0)</f>
        <v>0</v>
      </c>
      <c r="O87" s="422">
        <f ca="1">IFERROR(__xludf.DUMMYFUNCTION("IMPORTRANGE(""https://docs.google.com/spreadsheets/d/1IYY_tgx_IHuhSq3AJ5eI5OnqOPBNLWSHKh2a30DoXe8/edit?usp=sharing"",""ระนอง!J472"")"),0)</f>
        <v>0</v>
      </c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 ht="24" customHeight="1" x14ac:dyDescent="0.5">
      <c r="A88" s="273">
        <v>12</v>
      </c>
      <c r="B88" s="274" t="s">
        <v>103</v>
      </c>
      <c r="C88" s="275">
        <f t="shared" si="35"/>
        <v>123600</v>
      </c>
      <c r="D88" s="55">
        <v>0</v>
      </c>
      <c r="E88" s="55">
        <v>123600</v>
      </c>
      <c r="F88" s="99">
        <f ca="1">IFERROR(__xludf.DUMMYFUNCTION("IMPORTRANGE(""https://docs.google.com/spreadsheets/d/1IYY_tgx_IHuhSq3AJ5eI5OnqOPBNLWSHKh2a30DoXe8/edit?usp=sharing"",""สงขลา!M459"")"),9935)</f>
        <v>9935</v>
      </c>
      <c r="G88" s="99">
        <f t="shared" ca="1" si="1"/>
        <v>8.0380258899676367</v>
      </c>
      <c r="H88" s="55">
        <v>1100</v>
      </c>
      <c r="I88" s="55">
        <f t="shared" ca="1" si="36"/>
        <v>0</v>
      </c>
      <c r="J88" s="99">
        <f t="shared" ca="1" si="3"/>
        <v>0</v>
      </c>
      <c r="K88" s="421">
        <f ca="1">IFERROR(__xludf.DUMMYFUNCTION("IMPORTRANGE(""https://docs.google.com/spreadsheets/d/1IYY_tgx_IHuhSq3AJ5eI5OnqOPBNLWSHKh2a30DoXe8/edit?usp=sharing"",""สงขลา!J468"")"),0)</f>
        <v>0</v>
      </c>
      <c r="L88" s="55">
        <f ca="1">IFERROR(__xludf.DUMMYFUNCTION("IMPORTRANGE(""https://docs.google.com/spreadsheets/d/1IYY_tgx_IHuhSq3AJ5eI5OnqOPBNLWSHKh2a30DoXe8/edit?usp=sharing"",""สงขลา!J469"")"),0)</f>
        <v>0</v>
      </c>
      <c r="M88" s="55">
        <f ca="1">IFERROR(__xludf.DUMMYFUNCTION("IMPORTRANGE(""https://docs.google.com/spreadsheets/d/1IYY_tgx_IHuhSq3AJ5eI5OnqOPBNLWSHKh2a30DoXe8/edit?usp=sharing"",""สงขลา!J470"")"),0)</f>
        <v>0</v>
      </c>
      <c r="N88" s="55">
        <f ca="1">IFERROR(__xludf.DUMMYFUNCTION("IMPORTRANGE(""https://docs.google.com/spreadsheets/d/1IYY_tgx_IHuhSq3AJ5eI5OnqOPBNLWSHKh2a30DoXe8/edit?usp=sharing"",""สงขลา!J471"")"),0)</f>
        <v>0</v>
      </c>
      <c r="O88" s="422">
        <f ca="1">IFERROR(__xludf.DUMMYFUNCTION("IMPORTRANGE(""https://docs.google.com/spreadsheets/d/1IYY_tgx_IHuhSq3AJ5eI5OnqOPBNLWSHKh2a30DoXe8/edit?usp=sharing"",""สงขลา!J472"")"),0)</f>
        <v>0</v>
      </c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 ht="24" customHeight="1" x14ac:dyDescent="0.5">
      <c r="A89" s="273">
        <v>13</v>
      </c>
      <c r="B89" s="274" t="s">
        <v>104</v>
      </c>
      <c r="C89" s="275">
        <f t="shared" si="35"/>
        <v>124480</v>
      </c>
      <c r="D89" s="55">
        <v>0</v>
      </c>
      <c r="E89" s="55">
        <v>124480</v>
      </c>
      <c r="F89" s="99">
        <f ca="1">IFERROR(__xludf.DUMMYFUNCTION("IMPORTRANGE(""https://docs.google.com/spreadsheets/d/1IYY_tgx_IHuhSq3AJ5eI5OnqOPBNLWSHKh2a30DoXe8/edit?usp=sharing"",""สตูล!M459"")"),0)</f>
        <v>0</v>
      </c>
      <c r="G89" s="99">
        <f t="shared" ca="1" si="1"/>
        <v>0</v>
      </c>
      <c r="H89" s="55">
        <v>200</v>
      </c>
      <c r="I89" s="55">
        <f t="shared" ca="1" si="36"/>
        <v>0</v>
      </c>
      <c r="J89" s="99">
        <f t="shared" ca="1" si="3"/>
        <v>0</v>
      </c>
      <c r="K89" s="421">
        <f ca="1">IFERROR(__xludf.DUMMYFUNCTION("IMPORTRANGE(""https://docs.google.com/spreadsheets/d/1IYY_tgx_IHuhSq3AJ5eI5OnqOPBNLWSHKh2a30DoXe8/edit?usp=sharing"",""สตูล!J468"")"),0)</f>
        <v>0</v>
      </c>
      <c r="L89" s="55">
        <f ca="1">IFERROR(__xludf.DUMMYFUNCTION("IMPORTRANGE(""https://docs.google.com/spreadsheets/d/1IYY_tgx_IHuhSq3AJ5eI5OnqOPBNLWSHKh2a30DoXe8/edit?usp=sharing"",""สตูล!J469"")"),0)</f>
        <v>0</v>
      </c>
      <c r="M89" s="55">
        <f ca="1">IFERROR(__xludf.DUMMYFUNCTION("IMPORTRANGE(""https://docs.google.com/spreadsheets/d/1IYY_tgx_IHuhSq3AJ5eI5OnqOPBNLWSHKh2a30DoXe8/edit?usp=sharing"",""สตูล!J470"")"),0)</f>
        <v>0</v>
      </c>
      <c r="N89" s="55">
        <f ca="1">IFERROR(__xludf.DUMMYFUNCTION("IMPORTRANGE(""https://docs.google.com/spreadsheets/d/1IYY_tgx_IHuhSq3AJ5eI5OnqOPBNLWSHKh2a30DoXe8/edit?usp=sharing"",""สตูล!J471"")"),0)</f>
        <v>0</v>
      </c>
      <c r="O89" s="422">
        <f ca="1">IFERROR(__xludf.DUMMYFUNCTION("IMPORTRANGE(""https://docs.google.com/spreadsheets/d/1IYY_tgx_IHuhSq3AJ5eI5OnqOPBNLWSHKh2a30DoXe8/edit?usp=sharing"",""สตูล!J472"")"),0)</f>
        <v>0</v>
      </c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 ht="24" customHeight="1" x14ac:dyDescent="0.5">
      <c r="A90" s="278">
        <v>14</v>
      </c>
      <c r="B90" s="279" t="s">
        <v>105</v>
      </c>
      <c r="C90" s="280">
        <f t="shared" si="35"/>
        <v>167200</v>
      </c>
      <c r="D90" s="62">
        <v>0</v>
      </c>
      <c r="E90" s="62">
        <v>167200</v>
      </c>
      <c r="F90" s="100">
        <f ca="1">IFERROR(__xludf.DUMMYFUNCTION("IMPORTRANGE(""https://docs.google.com/spreadsheets/d/1IYY_tgx_IHuhSq3AJ5eI5OnqOPBNLWSHKh2a30DoXe8/edit?usp=sharing"",""สุราษฎร์ธานี!M459"")"),0)</f>
        <v>0</v>
      </c>
      <c r="G90" s="100">
        <f t="shared" ca="1" si="1"/>
        <v>0</v>
      </c>
      <c r="H90" s="62">
        <v>3100</v>
      </c>
      <c r="I90" s="62">
        <f t="shared" ca="1" si="36"/>
        <v>0</v>
      </c>
      <c r="J90" s="100">
        <f t="shared" ca="1" si="3"/>
        <v>0</v>
      </c>
      <c r="K90" s="423">
        <f ca="1">IFERROR(__xludf.DUMMYFUNCTION("IMPORTRANGE(""https://docs.google.com/spreadsheets/d/1IYY_tgx_IHuhSq3AJ5eI5OnqOPBNLWSHKh2a30DoXe8/edit?usp=sharing"",""สุราษฎร์ธานี!J468"")"),0)</f>
        <v>0</v>
      </c>
      <c r="L90" s="62">
        <f ca="1">IFERROR(__xludf.DUMMYFUNCTION("IMPORTRANGE(""https://docs.google.com/spreadsheets/d/1IYY_tgx_IHuhSq3AJ5eI5OnqOPBNLWSHKh2a30DoXe8/edit?usp=sharing"",""สุราษฎร์ธานี!J469"")"),0)</f>
        <v>0</v>
      </c>
      <c r="M90" s="62">
        <f ca="1">IFERROR(__xludf.DUMMYFUNCTION("IMPORTRANGE(""https://docs.google.com/spreadsheets/d/1IYY_tgx_IHuhSq3AJ5eI5OnqOPBNLWSHKh2a30DoXe8/edit?usp=sharing"",""สุราษฎร์ธานี!J470"")"),0)</f>
        <v>0</v>
      </c>
      <c r="N90" s="62">
        <f ca="1">IFERROR(__xludf.DUMMYFUNCTION("IMPORTRANGE(""https://docs.google.com/spreadsheets/d/1IYY_tgx_IHuhSq3AJ5eI5OnqOPBNLWSHKh2a30DoXe8/edit?usp=sharing"",""สุราษฎร์ธานี!J471"")"),0)</f>
        <v>0</v>
      </c>
      <c r="O90" s="424">
        <f ca="1">IFERROR(__xludf.DUMMYFUNCTION("IMPORTRANGE(""https://docs.google.com/spreadsheets/d/1IYY_tgx_IHuhSq3AJ5eI5OnqOPBNLWSHKh2a30DoXe8/edit?usp=sharing"",""สุราษฎร์ธานี!J472"")"),0)</f>
        <v>0</v>
      </c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 ht="24" customHeight="1" x14ac:dyDescent="0.5">
      <c r="A91" s="772" t="s">
        <v>106</v>
      </c>
      <c r="B91" s="571"/>
      <c r="C91" s="250">
        <f t="shared" ref="C91:F91" si="37">+C92+C93+C94+C95+C96+C97+C98+C99+C100+C101+C102+C103+C104+C105</f>
        <v>486960</v>
      </c>
      <c r="D91" s="35">
        <f t="shared" si="37"/>
        <v>0</v>
      </c>
      <c r="E91" s="35">
        <f t="shared" si="37"/>
        <v>486960</v>
      </c>
      <c r="F91" s="35">
        <f t="shared" si="37"/>
        <v>0</v>
      </c>
      <c r="G91" s="92">
        <f t="shared" si="1"/>
        <v>0</v>
      </c>
      <c r="H91" s="35">
        <f t="shared" ref="H91:I91" si="38">+H92+H93+H94+H95+H96+H97+H98+H99+H100+H101+H102+H103+H104+H105</f>
        <v>0</v>
      </c>
      <c r="I91" s="35">
        <f t="shared" si="38"/>
        <v>0</v>
      </c>
      <c r="J91" s="92">
        <f t="shared" si="3"/>
        <v>0</v>
      </c>
      <c r="K91" s="37">
        <f t="shared" ref="K91:O91" si="39">+K92+K93+K94+K95+K96+K97+K98+K99+K100+K101+K102+K103+K104+K105</f>
        <v>0</v>
      </c>
      <c r="L91" s="35">
        <f t="shared" si="39"/>
        <v>0</v>
      </c>
      <c r="M91" s="35">
        <f t="shared" si="39"/>
        <v>0</v>
      </c>
      <c r="N91" s="35">
        <f t="shared" si="39"/>
        <v>0</v>
      </c>
      <c r="O91" s="415">
        <f t="shared" si="39"/>
        <v>0</v>
      </c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 ht="24" customHeight="1" x14ac:dyDescent="0.5">
      <c r="A92" s="283">
        <v>1</v>
      </c>
      <c r="B92" s="69" t="s">
        <v>107</v>
      </c>
      <c r="C92" s="270">
        <f t="shared" ref="C92:C105" si="40">+D92+E92</f>
        <v>0</v>
      </c>
      <c r="D92" s="48">
        <v>0</v>
      </c>
      <c r="E92" s="48">
        <v>0</v>
      </c>
      <c r="F92" s="98">
        <v>0</v>
      </c>
      <c r="G92" s="98">
        <f t="shared" si="1"/>
        <v>0</v>
      </c>
      <c r="H92" s="48">
        <v>0</v>
      </c>
      <c r="I92" s="48">
        <f t="shared" ref="I92:I105" si="41">SUM(L92,M92,N92,O92)</f>
        <v>0</v>
      </c>
      <c r="J92" s="98">
        <f t="shared" si="3"/>
        <v>0</v>
      </c>
      <c r="K92" s="419">
        <v>0</v>
      </c>
      <c r="L92" s="48">
        <v>0</v>
      </c>
      <c r="M92" s="48">
        <v>0</v>
      </c>
      <c r="N92" s="48">
        <v>0</v>
      </c>
      <c r="O92" s="420">
        <v>0</v>
      </c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 ht="24" customHeight="1" x14ac:dyDescent="0.5">
      <c r="A93" s="284">
        <v>2</v>
      </c>
      <c r="B93" s="71" t="s">
        <v>108</v>
      </c>
      <c r="C93" s="275">
        <f t="shared" si="40"/>
        <v>0</v>
      </c>
      <c r="D93" s="55">
        <v>0</v>
      </c>
      <c r="E93" s="55">
        <v>0</v>
      </c>
      <c r="F93" s="99">
        <v>0</v>
      </c>
      <c r="G93" s="99">
        <f t="shared" si="1"/>
        <v>0</v>
      </c>
      <c r="H93" s="55">
        <v>0</v>
      </c>
      <c r="I93" s="55">
        <f t="shared" si="41"/>
        <v>0</v>
      </c>
      <c r="J93" s="99">
        <f t="shared" si="3"/>
        <v>0</v>
      </c>
      <c r="K93" s="421">
        <v>0</v>
      </c>
      <c r="L93" s="55">
        <v>0</v>
      </c>
      <c r="M93" s="55">
        <v>0</v>
      </c>
      <c r="N93" s="55">
        <v>0</v>
      </c>
      <c r="O93" s="422">
        <v>0</v>
      </c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 ht="24" customHeight="1" x14ac:dyDescent="0.5">
      <c r="A94" s="284">
        <v>3</v>
      </c>
      <c r="B94" s="71" t="s">
        <v>109</v>
      </c>
      <c r="C94" s="275">
        <f t="shared" si="40"/>
        <v>0</v>
      </c>
      <c r="D94" s="55">
        <v>0</v>
      </c>
      <c r="E94" s="55">
        <v>0</v>
      </c>
      <c r="F94" s="99">
        <v>0</v>
      </c>
      <c r="G94" s="99">
        <f t="shared" si="1"/>
        <v>0</v>
      </c>
      <c r="H94" s="55">
        <v>0</v>
      </c>
      <c r="I94" s="55">
        <f t="shared" si="41"/>
        <v>0</v>
      </c>
      <c r="J94" s="99">
        <f t="shared" si="3"/>
        <v>0</v>
      </c>
      <c r="K94" s="421">
        <v>0</v>
      </c>
      <c r="L94" s="55">
        <v>0</v>
      </c>
      <c r="M94" s="55">
        <v>0</v>
      </c>
      <c r="N94" s="55">
        <v>0</v>
      </c>
      <c r="O94" s="422">
        <v>0</v>
      </c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 ht="24" customHeight="1" x14ac:dyDescent="0.5">
      <c r="A95" s="284">
        <f t="shared" ref="A95:A105" si="42">+A94+1</f>
        <v>4</v>
      </c>
      <c r="B95" s="71" t="s">
        <v>110</v>
      </c>
      <c r="C95" s="275">
        <f t="shared" si="40"/>
        <v>0</v>
      </c>
      <c r="D95" s="55">
        <v>0</v>
      </c>
      <c r="E95" s="55">
        <v>0</v>
      </c>
      <c r="F95" s="99">
        <v>0</v>
      </c>
      <c r="G95" s="99">
        <f t="shared" si="1"/>
        <v>0</v>
      </c>
      <c r="H95" s="55">
        <v>0</v>
      </c>
      <c r="I95" s="55">
        <f t="shared" si="41"/>
        <v>0</v>
      </c>
      <c r="J95" s="99">
        <f t="shared" si="3"/>
        <v>0</v>
      </c>
      <c r="K95" s="421">
        <v>0</v>
      </c>
      <c r="L95" s="55">
        <v>0</v>
      </c>
      <c r="M95" s="55">
        <v>0</v>
      </c>
      <c r="N95" s="55">
        <v>0</v>
      </c>
      <c r="O95" s="422">
        <v>0</v>
      </c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 ht="24" customHeight="1" x14ac:dyDescent="0.5">
      <c r="A96" s="284">
        <f t="shared" si="42"/>
        <v>5</v>
      </c>
      <c r="B96" s="71" t="s">
        <v>111</v>
      </c>
      <c r="C96" s="275">
        <f t="shared" si="40"/>
        <v>0</v>
      </c>
      <c r="D96" s="55">
        <v>0</v>
      </c>
      <c r="E96" s="55">
        <v>0</v>
      </c>
      <c r="F96" s="99">
        <v>0</v>
      </c>
      <c r="G96" s="99">
        <f t="shared" si="1"/>
        <v>0</v>
      </c>
      <c r="H96" s="55">
        <v>0</v>
      </c>
      <c r="I96" s="55">
        <f t="shared" si="41"/>
        <v>0</v>
      </c>
      <c r="J96" s="99">
        <f t="shared" si="3"/>
        <v>0</v>
      </c>
      <c r="K96" s="421">
        <v>0</v>
      </c>
      <c r="L96" s="55">
        <v>0</v>
      </c>
      <c r="M96" s="55">
        <v>0</v>
      </c>
      <c r="N96" s="55">
        <v>0</v>
      </c>
      <c r="O96" s="422">
        <v>0</v>
      </c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 ht="24" customHeight="1" x14ac:dyDescent="0.5">
      <c r="A97" s="284">
        <f t="shared" si="42"/>
        <v>6</v>
      </c>
      <c r="B97" s="71" t="s">
        <v>112</v>
      </c>
      <c r="C97" s="275">
        <f t="shared" si="40"/>
        <v>486960</v>
      </c>
      <c r="D97" s="55">
        <v>0</v>
      </c>
      <c r="E97" s="55">
        <v>486960</v>
      </c>
      <c r="F97" s="99">
        <v>0</v>
      </c>
      <c r="G97" s="99">
        <f t="shared" si="1"/>
        <v>0</v>
      </c>
      <c r="H97" s="55">
        <v>0</v>
      </c>
      <c r="I97" s="55">
        <f t="shared" si="41"/>
        <v>0</v>
      </c>
      <c r="J97" s="99">
        <f t="shared" si="3"/>
        <v>0</v>
      </c>
      <c r="K97" s="421">
        <v>0</v>
      </c>
      <c r="L97" s="55">
        <v>0</v>
      </c>
      <c r="M97" s="55">
        <v>0</v>
      </c>
      <c r="N97" s="55">
        <v>0</v>
      </c>
      <c r="O97" s="422">
        <v>0</v>
      </c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 ht="24" customHeight="1" x14ac:dyDescent="0.5">
      <c r="A98" s="284">
        <f t="shared" si="42"/>
        <v>7</v>
      </c>
      <c r="B98" s="71" t="s">
        <v>113</v>
      </c>
      <c r="C98" s="275">
        <f t="shared" si="40"/>
        <v>0</v>
      </c>
      <c r="D98" s="55">
        <v>0</v>
      </c>
      <c r="E98" s="55">
        <v>0</v>
      </c>
      <c r="F98" s="99">
        <v>0</v>
      </c>
      <c r="G98" s="99">
        <f t="shared" si="1"/>
        <v>0</v>
      </c>
      <c r="H98" s="55">
        <v>0</v>
      </c>
      <c r="I98" s="55">
        <f t="shared" si="41"/>
        <v>0</v>
      </c>
      <c r="J98" s="99">
        <f t="shared" si="3"/>
        <v>0</v>
      </c>
      <c r="K98" s="421">
        <v>0</v>
      </c>
      <c r="L98" s="55">
        <v>0</v>
      </c>
      <c r="M98" s="55">
        <v>0</v>
      </c>
      <c r="N98" s="55">
        <v>0</v>
      </c>
      <c r="O98" s="422">
        <v>0</v>
      </c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ht="24" customHeight="1" x14ac:dyDescent="0.5">
      <c r="A99" s="284">
        <f t="shared" si="42"/>
        <v>8</v>
      </c>
      <c r="B99" s="71" t="s">
        <v>114</v>
      </c>
      <c r="C99" s="275">
        <f t="shared" si="40"/>
        <v>0</v>
      </c>
      <c r="D99" s="55">
        <v>0</v>
      </c>
      <c r="E99" s="55">
        <v>0</v>
      </c>
      <c r="F99" s="99">
        <v>0</v>
      </c>
      <c r="G99" s="99">
        <f t="shared" si="1"/>
        <v>0</v>
      </c>
      <c r="H99" s="55">
        <v>0</v>
      </c>
      <c r="I99" s="55">
        <f t="shared" si="41"/>
        <v>0</v>
      </c>
      <c r="J99" s="99">
        <f t="shared" si="3"/>
        <v>0</v>
      </c>
      <c r="K99" s="421">
        <v>0</v>
      </c>
      <c r="L99" s="55">
        <v>0</v>
      </c>
      <c r="M99" s="55">
        <v>0</v>
      </c>
      <c r="N99" s="55">
        <v>0</v>
      </c>
      <c r="O99" s="422">
        <v>0</v>
      </c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ht="24" customHeight="1" x14ac:dyDescent="0.5">
      <c r="A100" s="284">
        <f t="shared" si="42"/>
        <v>9</v>
      </c>
      <c r="B100" s="71" t="s">
        <v>115</v>
      </c>
      <c r="C100" s="275">
        <f t="shared" si="40"/>
        <v>0</v>
      </c>
      <c r="D100" s="55">
        <v>0</v>
      </c>
      <c r="E100" s="55">
        <v>0</v>
      </c>
      <c r="F100" s="99">
        <v>0</v>
      </c>
      <c r="G100" s="99">
        <f t="shared" si="1"/>
        <v>0</v>
      </c>
      <c r="H100" s="55">
        <v>0</v>
      </c>
      <c r="I100" s="55">
        <f t="shared" si="41"/>
        <v>0</v>
      </c>
      <c r="J100" s="99">
        <f t="shared" si="3"/>
        <v>0</v>
      </c>
      <c r="K100" s="421">
        <v>0</v>
      </c>
      <c r="L100" s="55">
        <v>0</v>
      </c>
      <c r="M100" s="55">
        <v>0</v>
      </c>
      <c r="N100" s="55">
        <v>0</v>
      </c>
      <c r="O100" s="422">
        <v>0</v>
      </c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ht="24" customHeight="1" x14ac:dyDescent="0.5">
      <c r="A101" s="284">
        <f t="shared" si="42"/>
        <v>10</v>
      </c>
      <c r="B101" s="71" t="s">
        <v>116</v>
      </c>
      <c r="C101" s="275">
        <f t="shared" si="40"/>
        <v>0</v>
      </c>
      <c r="D101" s="55">
        <v>0</v>
      </c>
      <c r="E101" s="55">
        <v>0</v>
      </c>
      <c r="F101" s="99">
        <v>0</v>
      </c>
      <c r="G101" s="99">
        <f t="shared" si="1"/>
        <v>0</v>
      </c>
      <c r="H101" s="55">
        <v>0</v>
      </c>
      <c r="I101" s="55">
        <f t="shared" si="41"/>
        <v>0</v>
      </c>
      <c r="J101" s="99">
        <f t="shared" si="3"/>
        <v>0</v>
      </c>
      <c r="K101" s="421">
        <v>0</v>
      </c>
      <c r="L101" s="55">
        <v>0</v>
      </c>
      <c r="M101" s="55">
        <v>0</v>
      </c>
      <c r="N101" s="55">
        <v>0</v>
      </c>
      <c r="O101" s="422">
        <v>0</v>
      </c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ht="24" customHeight="1" x14ac:dyDescent="0.5">
      <c r="A102" s="284">
        <f t="shared" si="42"/>
        <v>11</v>
      </c>
      <c r="B102" s="71" t="s">
        <v>117</v>
      </c>
      <c r="C102" s="275">
        <f t="shared" si="40"/>
        <v>0</v>
      </c>
      <c r="D102" s="55">
        <v>0</v>
      </c>
      <c r="E102" s="55">
        <v>0</v>
      </c>
      <c r="F102" s="99">
        <v>0</v>
      </c>
      <c r="G102" s="99">
        <f t="shared" si="1"/>
        <v>0</v>
      </c>
      <c r="H102" s="55">
        <v>0</v>
      </c>
      <c r="I102" s="55">
        <f t="shared" si="41"/>
        <v>0</v>
      </c>
      <c r="J102" s="99">
        <f t="shared" si="3"/>
        <v>0</v>
      </c>
      <c r="K102" s="421">
        <v>0</v>
      </c>
      <c r="L102" s="55">
        <v>0</v>
      </c>
      <c r="M102" s="55">
        <v>0</v>
      </c>
      <c r="N102" s="55">
        <v>0</v>
      </c>
      <c r="O102" s="422">
        <v>0</v>
      </c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ht="24" customHeight="1" x14ac:dyDescent="0.5">
      <c r="A103" s="284">
        <f t="shared" si="42"/>
        <v>12</v>
      </c>
      <c r="B103" s="71" t="s">
        <v>118</v>
      </c>
      <c r="C103" s="275">
        <f t="shared" si="40"/>
        <v>0</v>
      </c>
      <c r="D103" s="55">
        <v>0</v>
      </c>
      <c r="E103" s="55">
        <v>0</v>
      </c>
      <c r="F103" s="99">
        <v>0</v>
      </c>
      <c r="G103" s="99">
        <f t="shared" si="1"/>
        <v>0</v>
      </c>
      <c r="H103" s="55">
        <v>0</v>
      </c>
      <c r="I103" s="55">
        <f t="shared" si="41"/>
        <v>0</v>
      </c>
      <c r="J103" s="99">
        <f t="shared" si="3"/>
        <v>0</v>
      </c>
      <c r="K103" s="421">
        <v>0</v>
      </c>
      <c r="L103" s="55">
        <v>0</v>
      </c>
      <c r="M103" s="55">
        <v>0</v>
      </c>
      <c r="N103" s="55">
        <v>0</v>
      </c>
      <c r="O103" s="422">
        <v>0</v>
      </c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ht="24" customHeight="1" x14ac:dyDescent="0.5">
      <c r="A104" s="284">
        <f t="shared" si="42"/>
        <v>13</v>
      </c>
      <c r="B104" s="71" t="s">
        <v>119</v>
      </c>
      <c r="C104" s="275">
        <f t="shared" si="40"/>
        <v>0</v>
      </c>
      <c r="D104" s="55">
        <v>0</v>
      </c>
      <c r="E104" s="55">
        <v>0</v>
      </c>
      <c r="F104" s="99">
        <v>0</v>
      </c>
      <c r="G104" s="99">
        <f t="shared" si="1"/>
        <v>0</v>
      </c>
      <c r="H104" s="55">
        <v>0</v>
      </c>
      <c r="I104" s="55">
        <f t="shared" si="41"/>
        <v>0</v>
      </c>
      <c r="J104" s="99">
        <f t="shared" si="3"/>
        <v>0</v>
      </c>
      <c r="K104" s="421">
        <v>0</v>
      </c>
      <c r="L104" s="55">
        <v>0</v>
      </c>
      <c r="M104" s="55">
        <v>0</v>
      </c>
      <c r="N104" s="55">
        <v>0</v>
      </c>
      <c r="O104" s="422">
        <v>0</v>
      </c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ht="24" customHeight="1" x14ac:dyDescent="0.5">
      <c r="A105" s="285">
        <f t="shared" si="42"/>
        <v>14</v>
      </c>
      <c r="B105" s="73" t="s">
        <v>120</v>
      </c>
      <c r="C105" s="280">
        <f t="shared" si="40"/>
        <v>0</v>
      </c>
      <c r="D105" s="62">
        <v>0</v>
      </c>
      <c r="E105" s="62">
        <v>0</v>
      </c>
      <c r="F105" s="100">
        <v>0</v>
      </c>
      <c r="G105" s="100">
        <f t="shared" si="1"/>
        <v>0</v>
      </c>
      <c r="H105" s="62">
        <v>0</v>
      </c>
      <c r="I105" s="62">
        <f t="shared" si="41"/>
        <v>0</v>
      </c>
      <c r="J105" s="100">
        <f t="shared" si="3"/>
        <v>0</v>
      </c>
      <c r="K105" s="423">
        <v>0</v>
      </c>
      <c r="L105" s="62">
        <v>0</v>
      </c>
      <c r="M105" s="62">
        <v>0</v>
      </c>
      <c r="N105" s="62">
        <v>0</v>
      </c>
      <c r="O105" s="424">
        <v>0</v>
      </c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ht="24" customHeight="1" x14ac:dyDescent="0.5">
      <c r="A106" s="772" t="s">
        <v>121</v>
      </c>
      <c r="B106" s="571"/>
      <c r="C106" s="250">
        <f t="shared" ref="C106:F106" si="43">+C107+C108+C109+C110+C111+C112+C113+C114</f>
        <v>0</v>
      </c>
      <c r="D106" s="35">
        <f t="shared" si="43"/>
        <v>0</v>
      </c>
      <c r="E106" s="35">
        <f t="shared" si="43"/>
        <v>0</v>
      </c>
      <c r="F106" s="35">
        <f t="shared" si="43"/>
        <v>0</v>
      </c>
      <c r="G106" s="92">
        <f t="shared" si="1"/>
        <v>0</v>
      </c>
      <c r="H106" s="35">
        <f t="shared" ref="H106:I106" si="44">+H107+H108+H109+H110+H111+H112+H113+H114</f>
        <v>0</v>
      </c>
      <c r="I106" s="35">
        <f t="shared" si="44"/>
        <v>0</v>
      </c>
      <c r="J106" s="92">
        <f t="shared" si="3"/>
        <v>0</v>
      </c>
      <c r="K106" s="37">
        <f t="shared" ref="K106:O106" si="45">+K107+K108+K109+K110+K111+K112+K113+K114</f>
        <v>0</v>
      </c>
      <c r="L106" s="35">
        <f t="shared" si="45"/>
        <v>0</v>
      </c>
      <c r="M106" s="35">
        <f t="shared" si="45"/>
        <v>0</v>
      </c>
      <c r="N106" s="35">
        <f t="shared" si="45"/>
        <v>0</v>
      </c>
      <c r="O106" s="415">
        <f t="shared" si="45"/>
        <v>0</v>
      </c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ht="24" customHeight="1" x14ac:dyDescent="0.5">
      <c r="A107" s="283">
        <v>1</v>
      </c>
      <c r="B107" s="69" t="s">
        <v>122</v>
      </c>
      <c r="C107" s="270">
        <f t="shared" ref="C107:C114" si="46">+D107+E107</f>
        <v>0</v>
      </c>
      <c r="D107" s="48">
        <v>0</v>
      </c>
      <c r="E107" s="48">
        <v>0</v>
      </c>
      <c r="F107" s="98">
        <v>0</v>
      </c>
      <c r="G107" s="98">
        <f t="shared" si="1"/>
        <v>0</v>
      </c>
      <c r="H107" s="48">
        <v>0</v>
      </c>
      <c r="I107" s="48">
        <f t="shared" ref="I107:I114" si="47">SUM(L107,M107,N107,O107)</f>
        <v>0</v>
      </c>
      <c r="J107" s="98">
        <f t="shared" si="3"/>
        <v>0</v>
      </c>
      <c r="K107" s="419">
        <v>0</v>
      </c>
      <c r="L107" s="48">
        <v>0</v>
      </c>
      <c r="M107" s="48">
        <v>0</v>
      </c>
      <c r="N107" s="48">
        <v>0</v>
      </c>
      <c r="O107" s="420">
        <v>0</v>
      </c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ht="24" customHeight="1" x14ac:dyDescent="0.5">
      <c r="A108" s="284">
        <v>2</v>
      </c>
      <c r="B108" s="71" t="s">
        <v>123</v>
      </c>
      <c r="C108" s="275">
        <f t="shared" si="46"/>
        <v>0</v>
      </c>
      <c r="D108" s="55">
        <v>0</v>
      </c>
      <c r="E108" s="55">
        <v>0</v>
      </c>
      <c r="F108" s="99">
        <v>0</v>
      </c>
      <c r="G108" s="99">
        <f t="shared" si="1"/>
        <v>0</v>
      </c>
      <c r="H108" s="55">
        <v>0</v>
      </c>
      <c r="I108" s="55">
        <f t="shared" si="47"/>
        <v>0</v>
      </c>
      <c r="J108" s="99">
        <f t="shared" si="3"/>
        <v>0</v>
      </c>
      <c r="K108" s="421">
        <v>0</v>
      </c>
      <c r="L108" s="55">
        <v>0</v>
      </c>
      <c r="M108" s="55">
        <v>0</v>
      </c>
      <c r="N108" s="55">
        <v>0</v>
      </c>
      <c r="O108" s="422">
        <v>0</v>
      </c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ht="24" customHeight="1" x14ac:dyDescent="0.5">
      <c r="A109" s="284">
        <v>3</v>
      </c>
      <c r="B109" s="71" t="s">
        <v>124</v>
      </c>
      <c r="C109" s="275">
        <f t="shared" si="46"/>
        <v>0</v>
      </c>
      <c r="D109" s="55">
        <v>0</v>
      </c>
      <c r="E109" s="55">
        <v>0</v>
      </c>
      <c r="F109" s="99">
        <v>0</v>
      </c>
      <c r="G109" s="99">
        <f t="shared" si="1"/>
        <v>0</v>
      </c>
      <c r="H109" s="55">
        <v>0</v>
      </c>
      <c r="I109" s="55">
        <f t="shared" si="47"/>
        <v>0</v>
      </c>
      <c r="J109" s="99">
        <f t="shared" si="3"/>
        <v>0</v>
      </c>
      <c r="K109" s="421">
        <v>0</v>
      </c>
      <c r="L109" s="55">
        <v>0</v>
      </c>
      <c r="M109" s="55">
        <v>0</v>
      </c>
      <c r="N109" s="55">
        <v>0</v>
      </c>
      <c r="O109" s="422">
        <v>0</v>
      </c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ht="24" customHeight="1" x14ac:dyDescent="0.5">
      <c r="A110" s="284">
        <f t="shared" ref="A110:A112" si="48">+A109+1</f>
        <v>4</v>
      </c>
      <c r="B110" s="71" t="s">
        <v>125</v>
      </c>
      <c r="C110" s="275">
        <f t="shared" si="46"/>
        <v>0</v>
      </c>
      <c r="D110" s="55">
        <v>0</v>
      </c>
      <c r="E110" s="55">
        <v>0</v>
      </c>
      <c r="F110" s="99">
        <v>0</v>
      </c>
      <c r="G110" s="99">
        <f t="shared" si="1"/>
        <v>0</v>
      </c>
      <c r="H110" s="55">
        <v>0</v>
      </c>
      <c r="I110" s="55">
        <f t="shared" si="47"/>
        <v>0</v>
      </c>
      <c r="J110" s="99">
        <f t="shared" si="3"/>
        <v>0</v>
      </c>
      <c r="K110" s="421">
        <v>0</v>
      </c>
      <c r="L110" s="55">
        <v>0</v>
      </c>
      <c r="M110" s="55">
        <v>0</v>
      </c>
      <c r="N110" s="55">
        <v>0</v>
      </c>
      <c r="O110" s="422">
        <v>0</v>
      </c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ht="24" customHeight="1" x14ac:dyDescent="0.5">
      <c r="A111" s="284">
        <f t="shared" si="48"/>
        <v>5</v>
      </c>
      <c r="B111" s="71" t="s">
        <v>126</v>
      </c>
      <c r="C111" s="275">
        <f t="shared" si="46"/>
        <v>0</v>
      </c>
      <c r="D111" s="55">
        <v>0</v>
      </c>
      <c r="E111" s="55">
        <v>0</v>
      </c>
      <c r="F111" s="99">
        <v>0</v>
      </c>
      <c r="G111" s="99">
        <f t="shared" si="1"/>
        <v>0</v>
      </c>
      <c r="H111" s="55">
        <v>0</v>
      </c>
      <c r="I111" s="55">
        <f t="shared" si="47"/>
        <v>0</v>
      </c>
      <c r="J111" s="99">
        <f t="shared" si="3"/>
        <v>0</v>
      </c>
      <c r="K111" s="421">
        <v>0</v>
      </c>
      <c r="L111" s="55">
        <v>0</v>
      </c>
      <c r="M111" s="55">
        <v>0</v>
      </c>
      <c r="N111" s="55">
        <v>0</v>
      </c>
      <c r="O111" s="422">
        <v>0</v>
      </c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ht="24" customHeight="1" x14ac:dyDescent="0.5">
      <c r="A112" s="284">
        <f t="shared" si="48"/>
        <v>6</v>
      </c>
      <c r="B112" s="71" t="s">
        <v>127</v>
      </c>
      <c r="C112" s="275">
        <f t="shared" si="46"/>
        <v>0</v>
      </c>
      <c r="D112" s="55">
        <v>0</v>
      </c>
      <c r="E112" s="55">
        <v>0</v>
      </c>
      <c r="F112" s="99">
        <v>0</v>
      </c>
      <c r="G112" s="99">
        <f t="shared" si="1"/>
        <v>0</v>
      </c>
      <c r="H112" s="55">
        <v>0</v>
      </c>
      <c r="I112" s="55">
        <f t="shared" si="47"/>
        <v>0</v>
      </c>
      <c r="J112" s="99">
        <f t="shared" si="3"/>
        <v>0</v>
      </c>
      <c r="K112" s="421">
        <v>0</v>
      </c>
      <c r="L112" s="55">
        <v>0</v>
      </c>
      <c r="M112" s="55">
        <v>0</v>
      </c>
      <c r="N112" s="55">
        <v>0</v>
      </c>
      <c r="O112" s="422">
        <v>0</v>
      </c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ht="24" customHeight="1" x14ac:dyDescent="0.5">
      <c r="A113" s="284">
        <v>7</v>
      </c>
      <c r="B113" s="71" t="s">
        <v>128</v>
      </c>
      <c r="C113" s="275">
        <f t="shared" si="46"/>
        <v>0</v>
      </c>
      <c r="D113" s="55">
        <v>0</v>
      </c>
      <c r="E113" s="55">
        <v>0</v>
      </c>
      <c r="F113" s="99">
        <v>0</v>
      </c>
      <c r="G113" s="99">
        <f t="shared" si="1"/>
        <v>0</v>
      </c>
      <c r="H113" s="55">
        <v>0</v>
      </c>
      <c r="I113" s="55">
        <f t="shared" si="47"/>
        <v>0</v>
      </c>
      <c r="J113" s="99">
        <f t="shared" si="3"/>
        <v>0</v>
      </c>
      <c r="K113" s="421">
        <v>0</v>
      </c>
      <c r="L113" s="55">
        <v>0</v>
      </c>
      <c r="M113" s="55">
        <v>0</v>
      </c>
      <c r="N113" s="55">
        <v>0</v>
      </c>
      <c r="O113" s="422">
        <v>0</v>
      </c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ht="24" customHeight="1" thickBot="1" x14ac:dyDescent="0.55000000000000004">
      <c r="A114" s="493">
        <v>8</v>
      </c>
      <c r="B114" s="494" t="s">
        <v>129</v>
      </c>
      <c r="C114" s="286">
        <f t="shared" si="46"/>
        <v>0</v>
      </c>
      <c r="D114" s="79">
        <v>0</v>
      </c>
      <c r="E114" s="79">
        <v>0</v>
      </c>
      <c r="F114" s="104">
        <v>0</v>
      </c>
      <c r="G114" s="104">
        <f t="shared" si="1"/>
        <v>0</v>
      </c>
      <c r="H114" s="79">
        <v>0</v>
      </c>
      <c r="I114" s="79">
        <f t="shared" si="47"/>
        <v>0</v>
      </c>
      <c r="J114" s="104">
        <f t="shared" si="3"/>
        <v>0</v>
      </c>
      <c r="K114" s="425">
        <v>0</v>
      </c>
      <c r="L114" s="79">
        <v>0</v>
      </c>
      <c r="M114" s="79">
        <v>0</v>
      </c>
      <c r="N114" s="79">
        <v>0</v>
      </c>
      <c r="O114" s="426">
        <v>0</v>
      </c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s="203" customFormat="1" ht="24" customHeight="1" x14ac:dyDescent="0.55000000000000004">
      <c r="A115" s="467" t="s">
        <v>322</v>
      </c>
    </row>
    <row r="116" spans="1:26" ht="24" customHeight="1" x14ac:dyDescent="0.5">
      <c r="A116" s="3"/>
      <c r="B116" s="3"/>
      <c r="C116" s="3"/>
      <c r="D116" s="3"/>
      <c r="E116" s="3"/>
      <c r="F116" s="3"/>
      <c r="G116" s="3"/>
      <c r="H116" s="3"/>
      <c r="I116" s="4"/>
      <c r="J116" s="3"/>
      <c r="K116" s="4"/>
      <c r="L116" s="4"/>
      <c r="M116" s="4"/>
      <c r="N116" s="4"/>
      <c r="O116" s="4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 ht="24" customHeight="1" x14ac:dyDescent="0.5">
      <c r="A117" s="3"/>
      <c r="B117" s="3"/>
      <c r="C117" s="3"/>
      <c r="D117" s="3"/>
      <c r="E117" s="3"/>
      <c r="F117" s="3"/>
      <c r="G117" s="3"/>
      <c r="H117" s="3"/>
      <c r="I117" s="4"/>
      <c r="J117" s="3"/>
      <c r="K117" s="4"/>
      <c r="L117" s="4"/>
      <c r="M117" s="4"/>
      <c r="N117" s="4"/>
      <c r="O117" s="4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 ht="24" customHeight="1" x14ac:dyDescent="0.5">
      <c r="A118" s="3"/>
      <c r="B118" s="3"/>
      <c r="C118" s="3"/>
      <c r="D118" s="3"/>
      <c r="E118" s="3"/>
      <c r="F118" s="3"/>
      <c r="G118" s="3"/>
      <c r="H118" s="3"/>
      <c r="I118" s="4"/>
      <c r="J118" s="3"/>
      <c r="K118" s="4"/>
      <c r="L118" s="4"/>
      <c r="M118" s="4"/>
      <c r="N118" s="4"/>
      <c r="O118" s="4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 ht="24" customHeight="1" x14ac:dyDescent="0.5">
      <c r="A119" s="3"/>
      <c r="B119" s="3"/>
      <c r="C119" s="3"/>
      <c r="D119" s="3"/>
      <c r="E119" s="3"/>
      <c r="F119" s="3"/>
      <c r="G119" s="3"/>
      <c r="H119" s="3"/>
      <c r="I119" s="4"/>
      <c r="J119" s="3"/>
      <c r="K119" s="4"/>
      <c r="L119" s="4"/>
      <c r="M119" s="4"/>
      <c r="N119" s="4"/>
      <c r="O119" s="4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 ht="24" customHeight="1" x14ac:dyDescent="0.5">
      <c r="A120" s="3"/>
      <c r="B120" s="3"/>
      <c r="C120" s="3"/>
      <c r="D120" s="3"/>
      <c r="E120" s="3"/>
      <c r="F120" s="3"/>
      <c r="G120" s="3"/>
      <c r="H120" s="3"/>
      <c r="I120" s="4"/>
      <c r="J120" s="3"/>
      <c r="K120" s="4"/>
      <c r="L120" s="4"/>
      <c r="M120" s="4"/>
      <c r="N120" s="4"/>
      <c r="O120" s="4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 ht="24" customHeight="1" x14ac:dyDescent="0.5">
      <c r="A121" s="3"/>
      <c r="B121" s="3"/>
      <c r="C121" s="3"/>
      <c r="D121" s="3"/>
      <c r="E121" s="3"/>
      <c r="F121" s="3"/>
      <c r="G121" s="3"/>
      <c r="H121" s="3"/>
      <c r="I121" s="4"/>
      <c r="J121" s="3"/>
      <c r="K121" s="4"/>
      <c r="L121" s="4"/>
      <c r="M121" s="4"/>
      <c r="N121" s="4"/>
      <c r="O121" s="4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 ht="24" customHeight="1" x14ac:dyDescent="0.5">
      <c r="A122" s="3"/>
      <c r="B122" s="3"/>
      <c r="C122" s="3"/>
      <c r="D122" s="3"/>
      <c r="E122" s="3"/>
      <c r="F122" s="3"/>
      <c r="G122" s="3"/>
      <c r="H122" s="3"/>
      <c r="I122" s="4"/>
      <c r="J122" s="3"/>
      <c r="K122" s="4"/>
      <c r="L122" s="4"/>
      <c r="M122" s="4"/>
      <c r="N122" s="4"/>
      <c r="O122" s="4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 ht="24" customHeight="1" x14ac:dyDescent="0.5">
      <c r="A123" s="3"/>
      <c r="B123" s="3"/>
      <c r="C123" s="3"/>
      <c r="D123" s="3"/>
      <c r="E123" s="3"/>
      <c r="F123" s="3"/>
      <c r="G123" s="3"/>
      <c r="H123" s="3"/>
      <c r="I123" s="4"/>
      <c r="J123" s="3"/>
      <c r="K123" s="4"/>
      <c r="L123" s="4"/>
      <c r="M123" s="4"/>
      <c r="N123" s="4"/>
      <c r="O123" s="4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 ht="24" customHeight="1" x14ac:dyDescent="0.5">
      <c r="A124" s="3"/>
      <c r="B124" s="3"/>
      <c r="C124" s="3"/>
      <c r="D124" s="3"/>
      <c r="E124" s="3"/>
      <c r="F124" s="3"/>
      <c r="G124" s="3"/>
      <c r="H124" s="3"/>
      <c r="I124" s="4"/>
      <c r="J124" s="3"/>
      <c r="K124" s="4"/>
      <c r="L124" s="4"/>
      <c r="M124" s="4"/>
      <c r="N124" s="4"/>
      <c r="O124" s="4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 ht="24" customHeight="1" x14ac:dyDescent="0.5">
      <c r="A125" s="3"/>
      <c r="B125" s="3"/>
      <c r="C125" s="3"/>
      <c r="D125" s="3"/>
      <c r="E125" s="3"/>
      <c r="F125" s="3"/>
      <c r="G125" s="3"/>
      <c r="H125" s="3"/>
      <c r="I125" s="4"/>
      <c r="J125" s="3"/>
      <c r="K125" s="4"/>
      <c r="L125" s="4"/>
      <c r="M125" s="4"/>
      <c r="N125" s="4"/>
      <c r="O125" s="4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 ht="24" customHeight="1" x14ac:dyDescent="0.5">
      <c r="A126" s="3"/>
      <c r="B126" s="3"/>
      <c r="C126" s="3"/>
      <c r="D126" s="3"/>
      <c r="E126" s="3"/>
      <c r="F126" s="3"/>
      <c r="G126" s="3"/>
      <c r="H126" s="3"/>
      <c r="I126" s="4"/>
      <c r="J126" s="3"/>
      <c r="K126" s="4"/>
      <c r="L126" s="4"/>
      <c r="M126" s="4"/>
      <c r="N126" s="4"/>
      <c r="O126" s="4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ht="24" customHeight="1" x14ac:dyDescent="0.5">
      <c r="A127" s="3"/>
      <c r="B127" s="3"/>
      <c r="C127" s="3"/>
      <c r="D127" s="3"/>
      <c r="E127" s="3"/>
      <c r="F127" s="3"/>
      <c r="G127" s="3"/>
      <c r="H127" s="3"/>
      <c r="I127" s="4"/>
      <c r="J127" s="3"/>
      <c r="K127" s="4"/>
      <c r="L127" s="4"/>
      <c r="M127" s="4"/>
      <c r="N127" s="4"/>
      <c r="O127" s="4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ht="24" customHeight="1" x14ac:dyDescent="0.5">
      <c r="A128" s="3"/>
      <c r="B128" s="3"/>
      <c r="C128" s="3"/>
      <c r="D128" s="3"/>
      <c r="E128" s="3"/>
      <c r="F128" s="3"/>
      <c r="G128" s="3"/>
      <c r="H128" s="3"/>
      <c r="I128" s="4"/>
      <c r="J128" s="3"/>
      <c r="K128" s="4"/>
      <c r="L128" s="4"/>
      <c r="M128" s="4"/>
      <c r="N128" s="4"/>
      <c r="O128" s="4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 ht="24" customHeight="1" x14ac:dyDescent="0.5">
      <c r="A129" s="3"/>
      <c r="B129" s="3"/>
      <c r="C129" s="3"/>
      <c r="D129" s="3"/>
      <c r="E129" s="3"/>
      <c r="F129" s="3"/>
      <c r="G129" s="3"/>
      <c r="H129" s="3"/>
      <c r="I129" s="4"/>
      <c r="J129" s="3"/>
      <c r="K129" s="4"/>
      <c r="L129" s="4"/>
      <c r="M129" s="4"/>
      <c r="N129" s="4"/>
      <c r="O129" s="4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 ht="24" customHeight="1" x14ac:dyDescent="0.5">
      <c r="A130" s="3"/>
      <c r="B130" s="3"/>
      <c r="C130" s="3"/>
      <c r="D130" s="3"/>
      <c r="E130" s="3"/>
      <c r="F130" s="3"/>
      <c r="G130" s="3"/>
      <c r="H130" s="3"/>
      <c r="I130" s="4"/>
      <c r="J130" s="3"/>
      <c r="K130" s="4"/>
      <c r="L130" s="4"/>
      <c r="M130" s="4"/>
      <c r="N130" s="4"/>
      <c r="O130" s="4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ht="24" customHeight="1" x14ac:dyDescent="0.5">
      <c r="A131" s="3"/>
      <c r="B131" s="3"/>
      <c r="C131" s="3"/>
      <c r="D131" s="3"/>
      <c r="E131" s="3"/>
      <c r="F131" s="3"/>
      <c r="G131" s="3"/>
      <c r="H131" s="3"/>
      <c r="I131" s="4"/>
      <c r="J131" s="3"/>
      <c r="K131" s="4"/>
      <c r="L131" s="4"/>
      <c r="M131" s="4"/>
      <c r="N131" s="4"/>
      <c r="O131" s="4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ht="24" customHeight="1" x14ac:dyDescent="0.5">
      <c r="A132" s="3"/>
      <c r="B132" s="3"/>
      <c r="C132" s="3"/>
      <c r="D132" s="3"/>
      <c r="E132" s="3"/>
      <c r="F132" s="3"/>
      <c r="G132" s="3"/>
      <c r="H132" s="3"/>
      <c r="I132" s="4"/>
      <c r="J132" s="3"/>
      <c r="K132" s="4"/>
      <c r="L132" s="4"/>
      <c r="M132" s="4"/>
      <c r="N132" s="4"/>
      <c r="O132" s="4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ht="24" customHeight="1" x14ac:dyDescent="0.5">
      <c r="A133" s="3"/>
      <c r="B133" s="3"/>
      <c r="C133" s="3"/>
      <c r="D133" s="3"/>
      <c r="E133" s="3"/>
      <c r="F133" s="3"/>
      <c r="G133" s="3"/>
      <c r="H133" s="3"/>
      <c r="I133" s="4"/>
      <c r="J133" s="3"/>
      <c r="K133" s="4"/>
      <c r="L133" s="4"/>
      <c r="M133" s="4"/>
      <c r="N133" s="4"/>
      <c r="O133" s="4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ht="24" customHeight="1" x14ac:dyDescent="0.5">
      <c r="A134" s="3"/>
      <c r="B134" s="3"/>
      <c r="C134" s="3"/>
      <c r="D134" s="3"/>
      <c r="E134" s="3"/>
      <c r="F134" s="3"/>
      <c r="G134" s="3"/>
      <c r="H134" s="3"/>
      <c r="I134" s="4"/>
      <c r="J134" s="3"/>
      <c r="K134" s="4"/>
      <c r="L134" s="4"/>
      <c r="M134" s="4"/>
      <c r="N134" s="4"/>
      <c r="O134" s="4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ht="24" customHeight="1" x14ac:dyDescent="0.5">
      <c r="A135" s="3"/>
      <c r="B135" s="3"/>
      <c r="C135" s="3"/>
      <c r="D135" s="3"/>
      <c r="E135" s="3"/>
      <c r="F135" s="3"/>
      <c r="G135" s="3"/>
      <c r="H135" s="3"/>
      <c r="I135" s="4"/>
      <c r="J135" s="3"/>
      <c r="K135" s="4"/>
      <c r="L135" s="4"/>
      <c r="M135" s="4"/>
      <c r="N135" s="4"/>
      <c r="O135" s="4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ht="24" customHeight="1" x14ac:dyDescent="0.5">
      <c r="A136" s="3"/>
      <c r="B136" s="3"/>
      <c r="C136" s="3"/>
      <c r="D136" s="3"/>
      <c r="E136" s="3"/>
      <c r="F136" s="3"/>
      <c r="G136" s="3"/>
      <c r="H136" s="3"/>
      <c r="I136" s="4"/>
      <c r="J136" s="3"/>
      <c r="K136" s="4"/>
      <c r="L136" s="4"/>
      <c r="M136" s="4"/>
      <c r="N136" s="4"/>
      <c r="O136" s="4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ht="24" customHeight="1" x14ac:dyDescent="0.5">
      <c r="A137" s="3"/>
      <c r="B137" s="3"/>
      <c r="C137" s="3"/>
      <c r="D137" s="3"/>
      <c r="E137" s="3"/>
      <c r="F137" s="3"/>
      <c r="G137" s="3"/>
      <c r="H137" s="3"/>
      <c r="I137" s="4"/>
      <c r="J137" s="3"/>
      <c r="K137" s="4"/>
      <c r="L137" s="4"/>
      <c r="M137" s="4"/>
      <c r="N137" s="4"/>
      <c r="O137" s="4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 ht="24" customHeight="1" x14ac:dyDescent="0.5">
      <c r="A138" s="3"/>
      <c r="B138" s="3"/>
      <c r="C138" s="3"/>
      <c r="D138" s="3"/>
      <c r="E138" s="3"/>
      <c r="F138" s="3"/>
      <c r="G138" s="3"/>
      <c r="H138" s="3"/>
      <c r="I138" s="4"/>
      <c r="J138" s="3"/>
      <c r="K138" s="4"/>
      <c r="L138" s="4"/>
      <c r="M138" s="4"/>
      <c r="N138" s="4"/>
      <c r="O138" s="4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 ht="24" customHeight="1" x14ac:dyDescent="0.5">
      <c r="A139" s="3"/>
      <c r="B139" s="3"/>
      <c r="C139" s="3"/>
      <c r="D139" s="3"/>
      <c r="E139" s="3"/>
      <c r="F139" s="3"/>
      <c r="G139" s="3"/>
      <c r="H139" s="3"/>
      <c r="I139" s="4"/>
      <c r="J139" s="3"/>
      <c r="K139" s="4"/>
      <c r="L139" s="4"/>
      <c r="M139" s="4"/>
      <c r="N139" s="4"/>
      <c r="O139" s="4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 ht="24" customHeight="1" x14ac:dyDescent="0.5">
      <c r="A140" s="3"/>
      <c r="B140" s="3"/>
      <c r="C140" s="3"/>
      <c r="D140" s="3"/>
      <c r="E140" s="3"/>
      <c r="F140" s="3"/>
      <c r="G140" s="3"/>
      <c r="H140" s="3"/>
      <c r="I140" s="4"/>
      <c r="J140" s="3"/>
      <c r="K140" s="4"/>
      <c r="L140" s="4"/>
      <c r="M140" s="4"/>
      <c r="N140" s="4"/>
      <c r="O140" s="4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 ht="24" customHeight="1" x14ac:dyDescent="0.5">
      <c r="A141" s="3"/>
      <c r="B141" s="3"/>
      <c r="C141" s="3"/>
      <c r="D141" s="3"/>
      <c r="E141" s="3"/>
      <c r="F141" s="3"/>
      <c r="G141" s="3"/>
      <c r="H141" s="3"/>
      <c r="I141" s="4"/>
      <c r="J141" s="3"/>
      <c r="K141" s="4"/>
      <c r="L141" s="4"/>
      <c r="M141" s="4"/>
      <c r="N141" s="4"/>
      <c r="O141" s="4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 ht="24" customHeight="1" x14ac:dyDescent="0.5">
      <c r="A142" s="3"/>
      <c r="B142" s="3"/>
      <c r="C142" s="3"/>
      <c r="D142" s="3"/>
      <c r="E142" s="3"/>
      <c r="F142" s="3"/>
      <c r="G142" s="3"/>
      <c r="H142" s="3"/>
      <c r="I142" s="4"/>
      <c r="J142" s="3"/>
      <c r="K142" s="4"/>
      <c r="L142" s="4"/>
      <c r="M142" s="4"/>
      <c r="N142" s="4"/>
      <c r="O142" s="4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 ht="24" customHeight="1" x14ac:dyDescent="0.5">
      <c r="A143" s="3"/>
      <c r="B143" s="3"/>
      <c r="C143" s="3"/>
      <c r="D143" s="3"/>
      <c r="E143" s="3"/>
      <c r="F143" s="3"/>
      <c r="G143" s="3"/>
      <c r="H143" s="3"/>
      <c r="I143" s="4"/>
      <c r="J143" s="3"/>
      <c r="K143" s="4"/>
      <c r="L143" s="4"/>
      <c r="M143" s="4"/>
      <c r="N143" s="4"/>
      <c r="O143" s="4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 ht="24" customHeight="1" x14ac:dyDescent="0.5">
      <c r="A144" s="3"/>
      <c r="B144" s="3"/>
      <c r="C144" s="3"/>
      <c r="D144" s="3"/>
      <c r="E144" s="3"/>
      <c r="F144" s="3"/>
      <c r="G144" s="3"/>
      <c r="H144" s="3"/>
      <c r="I144" s="4"/>
      <c r="J144" s="3"/>
      <c r="K144" s="4"/>
      <c r="L144" s="4"/>
      <c r="M144" s="4"/>
      <c r="N144" s="4"/>
      <c r="O144" s="4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 ht="24" customHeight="1" x14ac:dyDescent="0.5">
      <c r="A145" s="3"/>
      <c r="B145" s="3"/>
      <c r="C145" s="3"/>
      <c r="D145" s="3"/>
      <c r="E145" s="3"/>
      <c r="F145" s="3"/>
      <c r="G145" s="3"/>
      <c r="H145" s="3"/>
      <c r="I145" s="4"/>
      <c r="J145" s="3"/>
      <c r="K145" s="4"/>
      <c r="L145" s="4"/>
      <c r="M145" s="4"/>
      <c r="N145" s="4"/>
      <c r="O145" s="4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 ht="24" customHeight="1" x14ac:dyDescent="0.5">
      <c r="A146" s="3"/>
      <c r="B146" s="3"/>
      <c r="C146" s="3"/>
      <c r="D146" s="3"/>
      <c r="E146" s="3"/>
      <c r="F146" s="3"/>
      <c r="G146" s="3"/>
      <c r="H146" s="3"/>
      <c r="I146" s="4"/>
      <c r="J146" s="3"/>
      <c r="K146" s="4"/>
      <c r="L146" s="4"/>
      <c r="M146" s="4"/>
      <c r="N146" s="4"/>
      <c r="O146" s="4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 ht="24" customHeight="1" x14ac:dyDescent="0.5">
      <c r="A147" s="3"/>
      <c r="B147" s="3"/>
      <c r="C147" s="3"/>
      <c r="D147" s="3"/>
      <c r="E147" s="3"/>
      <c r="F147" s="3"/>
      <c r="G147" s="3"/>
      <c r="H147" s="3"/>
      <c r="I147" s="4"/>
      <c r="J147" s="3"/>
      <c r="K147" s="4"/>
      <c r="L147" s="4"/>
      <c r="M147" s="4"/>
      <c r="N147" s="4"/>
      <c r="O147" s="4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 ht="24" customHeight="1" x14ac:dyDescent="0.5">
      <c r="A148" s="3"/>
      <c r="B148" s="3"/>
      <c r="C148" s="3"/>
      <c r="D148" s="3"/>
      <c r="E148" s="3"/>
      <c r="F148" s="3"/>
      <c r="G148" s="3"/>
      <c r="H148" s="3"/>
      <c r="I148" s="4"/>
      <c r="J148" s="3"/>
      <c r="K148" s="4"/>
      <c r="L148" s="4"/>
      <c r="M148" s="4"/>
      <c r="N148" s="4"/>
      <c r="O148" s="4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 ht="24" customHeight="1" x14ac:dyDescent="0.5">
      <c r="A149" s="3"/>
      <c r="B149" s="3"/>
      <c r="C149" s="3"/>
      <c r="D149" s="3"/>
      <c r="E149" s="3"/>
      <c r="F149" s="3"/>
      <c r="G149" s="3"/>
      <c r="H149" s="3"/>
      <c r="I149" s="4"/>
      <c r="J149" s="3"/>
      <c r="K149" s="4"/>
      <c r="L149" s="4"/>
      <c r="M149" s="4"/>
      <c r="N149" s="4"/>
      <c r="O149" s="4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 ht="24" customHeight="1" x14ac:dyDescent="0.5">
      <c r="A150" s="3"/>
      <c r="B150" s="3"/>
      <c r="C150" s="3"/>
      <c r="D150" s="3"/>
      <c r="E150" s="3"/>
      <c r="F150" s="3"/>
      <c r="G150" s="3"/>
      <c r="H150" s="3"/>
      <c r="I150" s="4"/>
      <c r="J150" s="3"/>
      <c r="K150" s="4"/>
      <c r="L150" s="4"/>
      <c r="M150" s="4"/>
      <c r="N150" s="4"/>
      <c r="O150" s="4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 ht="24" customHeight="1" x14ac:dyDescent="0.5">
      <c r="A151" s="3"/>
      <c r="B151" s="3"/>
      <c r="C151" s="3"/>
      <c r="D151" s="3"/>
      <c r="E151" s="3"/>
      <c r="F151" s="3"/>
      <c r="G151" s="3"/>
      <c r="H151" s="3"/>
      <c r="I151" s="4"/>
      <c r="J151" s="3"/>
      <c r="K151" s="4"/>
      <c r="L151" s="4"/>
      <c r="M151" s="4"/>
      <c r="N151" s="4"/>
      <c r="O151" s="4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 ht="24" customHeight="1" x14ac:dyDescent="0.5">
      <c r="A152" s="3"/>
      <c r="B152" s="3"/>
      <c r="C152" s="3"/>
      <c r="D152" s="3"/>
      <c r="E152" s="3"/>
      <c r="F152" s="3"/>
      <c r="G152" s="3"/>
      <c r="H152" s="3"/>
      <c r="I152" s="4"/>
      <c r="J152" s="3"/>
      <c r="K152" s="4"/>
      <c r="L152" s="4"/>
      <c r="M152" s="4"/>
      <c r="N152" s="4"/>
      <c r="O152" s="4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 ht="24" customHeight="1" x14ac:dyDescent="0.5">
      <c r="A153" s="3"/>
      <c r="B153" s="3"/>
      <c r="C153" s="3"/>
      <c r="D153" s="3"/>
      <c r="E153" s="3"/>
      <c r="F153" s="3"/>
      <c r="G153" s="3"/>
      <c r="H153" s="3"/>
      <c r="I153" s="4"/>
      <c r="J153" s="3"/>
      <c r="K153" s="4"/>
      <c r="L153" s="4"/>
      <c r="M153" s="4"/>
      <c r="N153" s="4"/>
      <c r="O153" s="4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 ht="24" customHeight="1" x14ac:dyDescent="0.5">
      <c r="A154" s="3"/>
      <c r="B154" s="3"/>
      <c r="C154" s="3"/>
      <c r="D154" s="3"/>
      <c r="E154" s="3"/>
      <c r="F154" s="3"/>
      <c r="G154" s="3"/>
      <c r="H154" s="3"/>
      <c r="I154" s="4"/>
      <c r="J154" s="3"/>
      <c r="K154" s="4"/>
      <c r="L154" s="4"/>
      <c r="M154" s="4"/>
      <c r="N154" s="4"/>
      <c r="O154" s="4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 ht="24" customHeight="1" x14ac:dyDescent="0.5">
      <c r="A155" s="3"/>
      <c r="B155" s="3"/>
      <c r="C155" s="3"/>
      <c r="D155" s="3"/>
      <c r="E155" s="3"/>
      <c r="F155" s="3"/>
      <c r="G155" s="3"/>
      <c r="H155" s="3"/>
      <c r="I155" s="4"/>
      <c r="J155" s="3"/>
      <c r="K155" s="4"/>
      <c r="L155" s="4"/>
      <c r="M155" s="4"/>
      <c r="N155" s="4"/>
      <c r="O155" s="4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 ht="24" customHeight="1" x14ac:dyDescent="0.5">
      <c r="A156" s="3"/>
      <c r="B156" s="3"/>
      <c r="C156" s="3"/>
      <c r="D156" s="3"/>
      <c r="E156" s="3"/>
      <c r="F156" s="3"/>
      <c r="G156" s="3"/>
      <c r="H156" s="3"/>
      <c r="I156" s="4"/>
      <c r="J156" s="3"/>
      <c r="K156" s="4"/>
      <c r="L156" s="4"/>
      <c r="M156" s="4"/>
      <c r="N156" s="4"/>
      <c r="O156" s="4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 ht="24" customHeight="1" x14ac:dyDescent="0.5">
      <c r="A157" s="3"/>
      <c r="B157" s="3"/>
      <c r="C157" s="3"/>
      <c r="D157" s="3"/>
      <c r="E157" s="3"/>
      <c r="F157" s="3"/>
      <c r="G157" s="3"/>
      <c r="H157" s="3"/>
      <c r="I157" s="4"/>
      <c r="J157" s="3"/>
      <c r="K157" s="4"/>
      <c r="L157" s="4"/>
      <c r="M157" s="4"/>
      <c r="N157" s="4"/>
      <c r="O157" s="4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 ht="24" customHeight="1" x14ac:dyDescent="0.5">
      <c r="A158" s="3"/>
      <c r="B158" s="3"/>
      <c r="C158" s="3"/>
      <c r="D158" s="3"/>
      <c r="E158" s="3"/>
      <c r="F158" s="3"/>
      <c r="G158" s="3"/>
      <c r="H158" s="3"/>
      <c r="I158" s="4"/>
      <c r="J158" s="3"/>
      <c r="K158" s="4"/>
      <c r="L158" s="4"/>
      <c r="M158" s="4"/>
      <c r="N158" s="4"/>
      <c r="O158" s="4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 ht="24" customHeight="1" x14ac:dyDescent="0.5">
      <c r="A159" s="3"/>
      <c r="B159" s="3"/>
      <c r="C159" s="3"/>
      <c r="D159" s="3"/>
      <c r="E159" s="3"/>
      <c r="F159" s="3"/>
      <c r="G159" s="3"/>
      <c r="H159" s="3"/>
      <c r="I159" s="4"/>
      <c r="J159" s="3"/>
      <c r="K159" s="4"/>
      <c r="L159" s="4"/>
      <c r="M159" s="4"/>
      <c r="N159" s="4"/>
      <c r="O159" s="4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 ht="24" customHeight="1" x14ac:dyDescent="0.5">
      <c r="A160" s="3"/>
      <c r="B160" s="3"/>
      <c r="C160" s="3"/>
      <c r="D160" s="3"/>
      <c r="E160" s="3"/>
      <c r="F160" s="3"/>
      <c r="G160" s="3"/>
      <c r="H160" s="3"/>
      <c r="I160" s="4"/>
      <c r="J160" s="3"/>
      <c r="K160" s="4"/>
      <c r="L160" s="4"/>
      <c r="M160" s="4"/>
      <c r="N160" s="4"/>
      <c r="O160" s="4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24" customHeight="1" x14ac:dyDescent="0.5">
      <c r="A161" s="3"/>
      <c r="B161" s="3"/>
      <c r="C161" s="3"/>
      <c r="D161" s="3"/>
      <c r="E161" s="3"/>
      <c r="F161" s="3"/>
      <c r="G161" s="3"/>
      <c r="H161" s="3"/>
      <c r="I161" s="4"/>
      <c r="J161" s="3"/>
      <c r="K161" s="4"/>
      <c r="L161" s="4"/>
      <c r="M161" s="4"/>
      <c r="N161" s="4"/>
      <c r="O161" s="4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 ht="24" customHeight="1" x14ac:dyDescent="0.5">
      <c r="A162" s="3"/>
      <c r="B162" s="3"/>
      <c r="C162" s="3"/>
      <c r="D162" s="3"/>
      <c r="E162" s="3"/>
      <c r="F162" s="3"/>
      <c r="G162" s="3"/>
      <c r="H162" s="3"/>
      <c r="I162" s="4"/>
      <c r="J162" s="3"/>
      <c r="K162" s="4"/>
      <c r="L162" s="4"/>
      <c r="M162" s="4"/>
      <c r="N162" s="4"/>
      <c r="O162" s="4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 ht="24" customHeight="1" x14ac:dyDescent="0.5">
      <c r="A163" s="3"/>
      <c r="B163" s="3"/>
      <c r="C163" s="3"/>
      <c r="D163" s="3"/>
      <c r="E163" s="3"/>
      <c r="F163" s="3"/>
      <c r="G163" s="3"/>
      <c r="H163" s="3"/>
      <c r="I163" s="4"/>
      <c r="J163" s="3"/>
      <c r="K163" s="4"/>
      <c r="L163" s="4"/>
      <c r="M163" s="4"/>
      <c r="N163" s="4"/>
      <c r="O163" s="4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 ht="24" customHeight="1" x14ac:dyDescent="0.5">
      <c r="A164" s="3"/>
      <c r="B164" s="3"/>
      <c r="C164" s="3"/>
      <c r="D164" s="3"/>
      <c r="E164" s="3"/>
      <c r="F164" s="3"/>
      <c r="G164" s="3"/>
      <c r="H164" s="3"/>
      <c r="I164" s="4"/>
      <c r="J164" s="3"/>
      <c r="K164" s="4"/>
      <c r="L164" s="4"/>
      <c r="M164" s="4"/>
      <c r="N164" s="4"/>
      <c r="O164" s="4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 ht="24" customHeight="1" x14ac:dyDescent="0.5">
      <c r="A165" s="3"/>
      <c r="B165" s="3"/>
      <c r="C165" s="3"/>
      <c r="D165" s="3"/>
      <c r="E165" s="3"/>
      <c r="F165" s="3"/>
      <c r="G165" s="3"/>
      <c r="H165" s="3"/>
      <c r="I165" s="4"/>
      <c r="J165" s="3"/>
      <c r="K165" s="4"/>
      <c r="L165" s="4"/>
      <c r="M165" s="4"/>
      <c r="N165" s="4"/>
      <c r="O165" s="4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 ht="24" customHeight="1" x14ac:dyDescent="0.5">
      <c r="A166" s="3"/>
      <c r="B166" s="3"/>
      <c r="C166" s="3"/>
      <c r="D166" s="3"/>
      <c r="E166" s="3"/>
      <c r="F166" s="3"/>
      <c r="G166" s="3"/>
      <c r="H166" s="3"/>
      <c r="I166" s="4"/>
      <c r="J166" s="3"/>
      <c r="K166" s="4"/>
      <c r="L166" s="4"/>
      <c r="M166" s="4"/>
      <c r="N166" s="4"/>
      <c r="O166" s="4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 ht="24" customHeight="1" x14ac:dyDescent="0.5">
      <c r="A167" s="3"/>
      <c r="B167" s="3"/>
      <c r="C167" s="3"/>
      <c r="D167" s="3"/>
      <c r="E167" s="3"/>
      <c r="F167" s="3"/>
      <c r="G167" s="3"/>
      <c r="H167" s="3"/>
      <c r="I167" s="4"/>
      <c r="J167" s="3"/>
      <c r="K167" s="4"/>
      <c r="L167" s="4"/>
      <c r="M167" s="4"/>
      <c r="N167" s="4"/>
      <c r="O167" s="4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 ht="24" customHeight="1" x14ac:dyDescent="0.5">
      <c r="A168" s="3"/>
      <c r="B168" s="3"/>
      <c r="C168" s="3"/>
      <c r="D168" s="3"/>
      <c r="E168" s="3"/>
      <c r="F168" s="3"/>
      <c r="G168" s="3"/>
      <c r="H168" s="3"/>
      <c r="I168" s="4"/>
      <c r="J168" s="3"/>
      <c r="K168" s="4"/>
      <c r="L168" s="4"/>
      <c r="M168" s="4"/>
      <c r="N168" s="4"/>
      <c r="O168" s="4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 ht="24" customHeight="1" x14ac:dyDescent="0.5">
      <c r="A169" s="3"/>
      <c r="B169" s="3"/>
      <c r="C169" s="3"/>
      <c r="D169" s="3"/>
      <c r="E169" s="3"/>
      <c r="F169" s="3"/>
      <c r="G169" s="3"/>
      <c r="H169" s="3"/>
      <c r="I169" s="4"/>
      <c r="J169" s="3"/>
      <c r="K169" s="4"/>
      <c r="L169" s="4"/>
      <c r="M169" s="4"/>
      <c r="N169" s="4"/>
      <c r="O169" s="4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 ht="24" customHeight="1" x14ac:dyDescent="0.5">
      <c r="A170" s="3"/>
      <c r="B170" s="3"/>
      <c r="C170" s="3"/>
      <c r="D170" s="3"/>
      <c r="E170" s="3"/>
      <c r="F170" s="3"/>
      <c r="G170" s="3"/>
      <c r="H170" s="3"/>
      <c r="I170" s="4"/>
      <c r="J170" s="3"/>
      <c r="K170" s="4"/>
      <c r="L170" s="4"/>
      <c r="M170" s="4"/>
      <c r="N170" s="4"/>
      <c r="O170" s="4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 ht="24" customHeight="1" x14ac:dyDescent="0.5">
      <c r="A171" s="3"/>
      <c r="B171" s="3"/>
      <c r="C171" s="3"/>
      <c r="D171" s="3"/>
      <c r="E171" s="3"/>
      <c r="F171" s="3"/>
      <c r="G171" s="3"/>
      <c r="H171" s="3"/>
      <c r="I171" s="4"/>
      <c r="J171" s="3"/>
      <c r="K171" s="4"/>
      <c r="L171" s="4"/>
      <c r="M171" s="4"/>
      <c r="N171" s="4"/>
      <c r="O171" s="4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 ht="24" customHeight="1" x14ac:dyDescent="0.5">
      <c r="A172" s="3"/>
      <c r="B172" s="3"/>
      <c r="C172" s="3"/>
      <c r="D172" s="3"/>
      <c r="E172" s="3"/>
      <c r="F172" s="3"/>
      <c r="G172" s="3"/>
      <c r="H172" s="3"/>
      <c r="I172" s="4"/>
      <c r="J172" s="3"/>
      <c r="K172" s="4"/>
      <c r="L172" s="4"/>
      <c r="M172" s="4"/>
      <c r="N172" s="4"/>
      <c r="O172" s="4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 ht="24" customHeight="1" x14ac:dyDescent="0.5">
      <c r="A173" s="3"/>
      <c r="B173" s="3"/>
      <c r="C173" s="3"/>
      <c r="D173" s="3"/>
      <c r="E173" s="3"/>
      <c r="F173" s="3"/>
      <c r="G173" s="3"/>
      <c r="H173" s="3"/>
      <c r="I173" s="4"/>
      <c r="J173" s="3"/>
      <c r="K173" s="4"/>
      <c r="L173" s="4"/>
      <c r="M173" s="4"/>
      <c r="N173" s="4"/>
      <c r="O173" s="4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 ht="24" customHeight="1" x14ac:dyDescent="0.5">
      <c r="A174" s="3"/>
      <c r="B174" s="3"/>
      <c r="C174" s="3"/>
      <c r="D174" s="3"/>
      <c r="E174" s="3"/>
      <c r="F174" s="3"/>
      <c r="G174" s="3"/>
      <c r="H174" s="3"/>
      <c r="I174" s="4"/>
      <c r="J174" s="3"/>
      <c r="K174" s="4"/>
      <c r="L174" s="4"/>
      <c r="M174" s="4"/>
      <c r="N174" s="4"/>
      <c r="O174" s="4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 ht="24" customHeight="1" x14ac:dyDescent="0.5">
      <c r="A175" s="3"/>
      <c r="B175" s="3"/>
      <c r="C175" s="3"/>
      <c r="D175" s="3"/>
      <c r="E175" s="3"/>
      <c r="F175" s="3"/>
      <c r="G175" s="3"/>
      <c r="H175" s="3"/>
      <c r="I175" s="4"/>
      <c r="J175" s="3"/>
      <c r="K175" s="4"/>
      <c r="L175" s="4"/>
      <c r="M175" s="4"/>
      <c r="N175" s="4"/>
      <c r="O175" s="4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 ht="24" customHeight="1" x14ac:dyDescent="0.5">
      <c r="A176" s="3"/>
      <c r="B176" s="3"/>
      <c r="C176" s="3"/>
      <c r="D176" s="3"/>
      <c r="E176" s="3"/>
      <c r="F176" s="3"/>
      <c r="G176" s="3"/>
      <c r="H176" s="3"/>
      <c r="I176" s="4"/>
      <c r="J176" s="3"/>
      <c r="K176" s="4"/>
      <c r="L176" s="4"/>
      <c r="M176" s="4"/>
      <c r="N176" s="4"/>
      <c r="O176" s="4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 ht="24" customHeight="1" x14ac:dyDescent="0.5">
      <c r="A177" s="3"/>
      <c r="B177" s="3"/>
      <c r="C177" s="3"/>
      <c r="D177" s="3"/>
      <c r="E177" s="3"/>
      <c r="F177" s="3"/>
      <c r="G177" s="3"/>
      <c r="H177" s="3"/>
      <c r="I177" s="4"/>
      <c r="J177" s="3"/>
      <c r="K177" s="4"/>
      <c r="L177" s="4"/>
      <c r="M177" s="4"/>
      <c r="N177" s="4"/>
      <c r="O177" s="4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 ht="24" customHeight="1" x14ac:dyDescent="0.5">
      <c r="A178" s="3"/>
      <c r="B178" s="3"/>
      <c r="C178" s="3"/>
      <c r="D178" s="3"/>
      <c r="E178" s="3"/>
      <c r="F178" s="3"/>
      <c r="G178" s="3"/>
      <c r="H178" s="3"/>
      <c r="I178" s="4"/>
      <c r="J178" s="3"/>
      <c r="K178" s="4"/>
      <c r="L178" s="4"/>
      <c r="M178" s="4"/>
      <c r="N178" s="4"/>
      <c r="O178" s="4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 ht="24" customHeight="1" x14ac:dyDescent="0.5">
      <c r="A179" s="3"/>
      <c r="B179" s="3"/>
      <c r="C179" s="3"/>
      <c r="D179" s="3"/>
      <c r="E179" s="3"/>
      <c r="F179" s="3"/>
      <c r="G179" s="3"/>
      <c r="H179" s="3"/>
      <c r="I179" s="4"/>
      <c r="J179" s="3"/>
      <c r="K179" s="4"/>
      <c r="L179" s="4"/>
      <c r="M179" s="4"/>
      <c r="N179" s="4"/>
      <c r="O179" s="4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 ht="24" customHeight="1" x14ac:dyDescent="0.5">
      <c r="A180" s="3"/>
      <c r="B180" s="3"/>
      <c r="C180" s="3"/>
      <c r="D180" s="3"/>
      <c r="E180" s="3"/>
      <c r="F180" s="3"/>
      <c r="G180" s="3"/>
      <c r="H180" s="3"/>
      <c r="I180" s="4"/>
      <c r="J180" s="3"/>
      <c r="K180" s="4"/>
      <c r="L180" s="4"/>
      <c r="M180" s="4"/>
      <c r="N180" s="4"/>
      <c r="O180" s="4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 ht="24" customHeight="1" x14ac:dyDescent="0.5">
      <c r="A181" s="3"/>
      <c r="B181" s="3"/>
      <c r="C181" s="3"/>
      <c r="D181" s="3"/>
      <c r="E181" s="3"/>
      <c r="F181" s="3"/>
      <c r="G181" s="3"/>
      <c r="H181" s="3"/>
      <c r="I181" s="4"/>
      <c r="J181" s="3"/>
      <c r="K181" s="4"/>
      <c r="L181" s="4"/>
      <c r="M181" s="4"/>
      <c r="N181" s="4"/>
      <c r="O181" s="4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 ht="24" customHeight="1" x14ac:dyDescent="0.5">
      <c r="A182" s="3"/>
      <c r="B182" s="3"/>
      <c r="C182" s="3"/>
      <c r="D182" s="3"/>
      <c r="E182" s="3"/>
      <c r="F182" s="3"/>
      <c r="G182" s="3"/>
      <c r="H182" s="3"/>
      <c r="I182" s="4"/>
      <c r="J182" s="3"/>
      <c r="K182" s="4"/>
      <c r="L182" s="4"/>
      <c r="M182" s="4"/>
      <c r="N182" s="4"/>
      <c r="O182" s="4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 ht="24" customHeight="1" x14ac:dyDescent="0.5">
      <c r="A183" s="3"/>
      <c r="B183" s="3"/>
      <c r="C183" s="3"/>
      <c r="D183" s="3"/>
      <c r="E183" s="3"/>
      <c r="F183" s="3"/>
      <c r="G183" s="3"/>
      <c r="H183" s="3"/>
      <c r="I183" s="4"/>
      <c r="J183" s="3"/>
      <c r="K183" s="4"/>
      <c r="L183" s="4"/>
      <c r="M183" s="4"/>
      <c r="N183" s="4"/>
      <c r="O183" s="4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 ht="24" customHeight="1" x14ac:dyDescent="0.5">
      <c r="A184" s="3"/>
      <c r="B184" s="3"/>
      <c r="C184" s="3"/>
      <c r="D184" s="3"/>
      <c r="E184" s="3"/>
      <c r="F184" s="3"/>
      <c r="G184" s="3"/>
      <c r="H184" s="3"/>
      <c r="I184" s="4"/>
      <c r="J184" s="3"/>
      <c r="K184" s="4"/>
      <c r="L184" s="4"/>
      <c r="M184" s="4"/>
      <c r="N184" s="4"/>
      <c r="O184" s="4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 ht="24" customHeight="1" x14ac:dyDescent="0.5">
      <c r="A185" s="3"/>
      <c r="B185" s="3"/>
      <c r="C185" s="3"/>
      <c r="D185" s="3"/>
      <c r="E185" s="3"/>
      <c r="F185" s="3"/>
      <c r="G185" s="3"/>
      <c r="H185" s="3"/>
      <c r="I185" s="4"/>
      <c r="J185" s="3"/>
      <c r="K185" s="4"/>
      <c r="L185" s="4"/>
      <c r="M185" s="4"/>
      <c r="N185" s="4"/>
      <c r="O185" s="4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 ht="24" customHeight="1" x14ac:dyDescent="0.5">
      <c r="A186" s="3"/>
      <c r="B186" s="3"/>
      <c r="C186" s="3"/>
      <c r="D186" s="3"/>
      <c r="E186" s="3"/>
      <c r="F186" s="3"/>
      <c r="G186" s="3"/>
      <c r="H186" s="3"/>
      <c r="I186" s="4"/>
      <c r="J186" s="3"/>
      <c r="K186" s="4"/>
      <c r="L186" s="4"/>
      <c r="M186" s="4"/>
      <c r="N186" s="4"/>
      <c r="O186" s="4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 ht="24" customHeight="1" x14ac:dyDescent="0.5">
      <c r="A187" s="3"/>
      <c r="B187" s="3"/>
      <c r="C187" s="3"/>
      <c r="D187" s="3"/>
      <c r="E187" s="3"/>
      <c r="F187" s="3"/>
      <c r="G187" s="3"/>
      <c r="H187" s="3"/>
      <c r="I187" s="4"/>
      <c r="J187" s="3"/>
      <c r="K187" s="4"/>
      <c r="L187" s="4"/>
      <c r="M187" s="4"/>
      <c r="N187" s="4"/>
      <c r="O187" s="4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 ht="24" customHeight="1" x14ac:dyDescent="0.5">
      <c r="A188" s="3"/>
      <c r="B188" s="3"/>
      <c r="C188" s="3"/>
      <c r="D188" s="3"/>
      <c r="E188" s="3"/>
      <c r="F188" s="3"/>
      <c r="G188" s="3"/>
      <c r="H188" s="3"/>
      <c r="I188" s="4"/>
      <c r="J188" s="3"/>
      <c r="K188" s="4"/>
      <c r="L188" s="4"/>
      <c r="M188" s="4"/>
      <c r="N188" s="4"/>
      <c r="O188" s="4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 ht="24" customHeight="1" x14ac:dyDescent="0.5">
      <c r="A189" s="3"/>
      <c r="B189" s="3"/>
      <c r="C189" s="3"/>
      <c r="D189" s="3"/>
      <c r="E189" s="3"/>
      <c r="F189" s="3"/>
      <c r="G189" s="3"/>
      <c r="H189" s="3"/>
      <c r="I189" s="4"/>
      <c r="J189" s="3"/>
      <c r="K189" s="4"/>
      <c r="L189" s="4"/>
      <c r="M189" s="4"/>
      <c r="N189" s="4"/>
      <c r="O189" s="4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 ht="24" customHeight="1" x14ac:dyDescent="0.5">
      <c r="A190" s="3"/>
      <c r="B190" s="3"/>
      <c r="C190" s="3"/>
      <c r="D190" s="3"/>
      <c r="E190" s="3"/>
      <c r="F190" s="3"/>
      <c r="G190" s="3"/>
      <c r="H190" s="3"/>
      <c r="I190" s="4"/>
      <c r="J190" s="3"/>
      <c r="K190" s="4"/>
      <c r="L190" s="4"/>
      <c r="M190" s="4"/>
      <c r="N190" s="4"/>
      <c r="O190" s="4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 ht="24" customHeight="1" x14ac:dyDescent="0.5">
      <c r="A191" s="3"/>
      <c r="B191" s="3"/>
      <c r="C191" s="3"/>
      <c r="D191" s="3"/>
      <c r="E191" s="3"/>
      <c r="F191" s="3"/>
      <c r="G191" s="3"/>
      <c r="H191" s="3"/>
      <c r="I191" s="4"/>
      <c r="J191" s="3"/>
      <c r="K191" s="4"/>
      <c r="L191" s="4"/>
      <c r="M191" s="4"/>
      <c r="N191" s="4"/>
      <c r="O191" s="4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ht="24" customHeight="1" x14ac:dyDescent="0.5">
      <c r="A192" s="3"/>
      <c r="B192" s="3"/>
      <c r="C192" s="3"/>
      <c r="D192" s="3"/>
      <c r="E192" s="3"/>
      <c r="F192" s="3"/>
      <c r="G192" s="3"/>
      <c r="H192" s="3"/>
      <c r="I192" s="4"/>
      <c r="J192" s="3"/>
      <c r="K192" s="4"/>
      <c r="L192" s="4"/>
      <c r="M192" s="4"/>
      <c r="N192" s="4"/>
      <c r="O192" s="4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 ht="24" customHeight="1" x14ac:dyDescent="0.5">
      <c r="A193" s="3"/>
      <c r="B193" s="3"/>
      <c r="C193" s="3"/>
      <c r="D193" s="3"/>
      <c r="E193" s="3"/>
      <c r="F193" s="3"/>
      <c r="G193" s="3"/>
      <c r="H193" s="3"/>
      <c r="I193" s="4"/>
      <c r="J193" s="3"/>
      <c r="K193" s="4"/>
      <c r="L193" s="4"/>
      <c r="M193" s="4"/>
      <c r="N193" s="4"/>
      <c r="O193" s="4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 ht="24" customHeight="1" x14ac:dyDescent="0.5">
      <c r="A194" s="3"/>
      <c r="B194" s="3"/>
      <c r="C194" s="3"/>
      <c r="D194" s="3"/>
      <c r="E194" s="3"/>
      <c r="F194" s="3"/>
      <c r="G194" s="3"/>
      <c r="H194" s="3"/>
      <c r="I194" s="4"/>
      <c r="J194" s="3"/>
      <c r="K194" s="4"/>
      <c r="L194" s="4"/>
      <c r="M194" s="4"/>
      <c r="N194" s="4"/>
      <c r="O194" s="4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 ht="24" customHeight="1" x14ac:dyDescent="0.5">
      <c r="A195" s="3"/>
      <c r="B195" s="3"/>
      <c r="C195" s="3"/>
      <c r="D195" s="3"/>
      <c r="E195" s="3"/>
      <c r="F195" s="3"/>
      <c r="G195" s="3"/>
      <c r="H195" s="3"/>
      <c r="I195" s="4"/>
      <c r="J195" s="3"/>
      <c r="K195" s="4"/>
      <c r="L195" s="4"/>
      <c r="M195" s="4"/>
      <c r="N195" s="4"/>
      <c r="O195" s="4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 ht="24" customHeight="1" x14ac:dyDescent="0.5">
      <c r="A196" s="3"/>
      <c r="B196" s="3"/>
      <c r="C196" s="3"/>
      <c r="D196" s="3"/>
      <c r="E196" s="3"/>
      <c r="F196" s="3"/>
      <c r="G196" s="3"/>
      <c r="H196" s="3"/>
      <c r="I196" s="4"/>
      <c r="J196" s="3"/>
      <c r="K196" s="4"/>
      <c r="L196" s="4"/>
      <c r="M196" s="4"/>
      <c r="N196" s="4"/>
      <c r="O196" s="4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ht="24" customHeight="1" x14ac:dyDescent="0.5">
      <c r="A197" s="3"/>
      <c r="B197" s="3"/>
      <c r="C197" s="3"/>
      <c r="D197" s="3"/>
      <c r="E197" s="3"/>
      <c r="F197" s="3"/>
      <c r="G197" s="3"/>
      <c r="H197" s="3"/>
      <c r="I197" s="4"/>
      <c r="J197" s="3"/>
      <c r="K197" s="4"/>
      <c r="L197" s="4"/>
      <c r="M197" s="4"/>
      <c r="N197" s="4"/>
      <c r="O197" s="4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ht="24" customHeight="1" x14ac:dyDescent="0.5">
      <c r="A198" s="3"/>
      <c r="B198" s="3"/>
      <c r="C198" s="3"/>
      <c r="D198" s="3"/>
      <c r="E198" s="3"/>
      <c r="F198" s="3"/>
      <c r="G198" s="3"/>
      <c r="H198" s="3"/>
      <c r="I198" s="4"/>
      <c r="J198" s="3"/>
      <c r="K198" s="4"/>
      <c r="L198" s="4"/>
      <c r="M198" s="4"/>
      <c r="N198" s="4"/>
      <c r="O198" s="4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ht="24" customHeight="1" x14ac:dyDescent="0.5">
      <c r="A199" s="3"/>
      <c r="B199" s="3"/>
      <c r="C199" s="3"/>
      <c r="D199" s="3"/>
      <c r="E199" s="3"/>
      <c r="F199" s="3"/>
      <c r="G199" s="3"/>
      <c r="H199" s="3"/>
      <c r="I199" s="4"/>
      <c r="J199" s="3"/>
      <c r="K199" s="4"/>
      <c r="L199" s="4"/>
      <c r="M199" s="4"/>
      <c r="N199" s="4"/>
      <c r="O199" s="4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 ht="24" customHeight="1" x14ac:dyDescent="0.5">
      <c r="A200" s="3"/>
      <c r="B200" s="3"/>
      <c r="C200" s="3"/>
      <c r="D200" s="3"/>
      <c r="E200" s="3"/>
      <c r="F200" s="3"/>
      <c r="G200" s="3"/>
      <c r="H200" s="3"/>
      <c r="I200" s="4"/>
      <c r="J200" s="3"/>
      <c r="K200" s="4"/>
      <c r="L200" s="4"/>
      <c r="M200" s="4"/>
      <c r="N200" s="4"/>
      <c r="O200" s="4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 ht="24" customHeight="1" x14ac:dyDescent="0.5">
      <c r="A201" s="3"/>
      <c r="B201" s="3"/>
      <c r="C201" s="3"/>
      <c r="D201" s="3"/>
      <c r="E201" s="3"/>
      <c r="F201" s="3"/>
      <c r="G201" s="3"/>
      <c r="H201" s="3"/>
      <c r="I201" s="4"/>
      <c r="J201" s="3"/>
      <c r="K201" s="4"/>
      <c r="L201" s="4"/>
      <c r="M201" s="4"/>
      <c r="N201" s="4"/>
      <c r="O201" s="4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 ht="24" customHeight="1" x14ac:dyDescent="0.5">
      <c r="A202" s="3"/>
      <c r="B202" s="3"/>
      <c r="C202" s="3"/>
      <c r="D202" s="3"/>
      <c r="E202" s="3"/>
      <c r="F202" s="3"/>
      <c r="G202" s="3"/>
      <c r="H202" s="3"/>
      <c r="I202" s="4"/>
      <c r="J202" s="3"/>
      <c r="K202" s="4"/>
      <c r="L202" s="4"/>
      <c r="M202" s="4"/>
      <c r="N202" s="4"/>
      <c r="O202" s="4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 ht="24" customHeight="1" x14ac:dyDescent="0.5">
      <c r="A203" s="3"/>
      <c r="B203" s="3"/>
      <c r="C203" s="3"/>
      <c r="D203" s="3"/>
      <c r="E203" s="3"/>
      <c r="F203" s="3"/>
      <c r="G203" s="3"/>
      <c r="H203" s="3"/>
      <c r="I203" s="4"/>
      <c r="J203" s="3"/>
      <c r="K203" s="4"/>
      <c r="L203" s="4"/>
      <c r="M203" s="4"/>
      <c r="N203" s="4"/>
      <c r="O203" s="4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 ht="24" customHeight="1" x14ac:dyDescent="0.5">
      <c r="A204" s="3"/>
      <c r="B204" s="3"/>
      <c r="C204" s="3"/>
      <c r="D204" s="3"/>
      <c r="E204" s="3"/>
      <c r="F204" s="3"/>
      <c r="G204" s="3"/>
      <c r="H204" s="3"/>
      <c r="I204" s="4"/>
      <c r="J204" s="3"/>
      <c r="K204" s="4"/>
      <c r="L204" s="4"/>
      <c r="M204" s="4"/>
      <c r="N204" s="4"/>
      <c r="O204" s="4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 ht="24" customHeight="1" x14ac:dyDescent="0.5">
      <c r="A205" s="3"/>
      <c r="B205" s="3"/>
      <c r="C205" s="3"/>
      <c r="D205" s="3"/>
      <c r="E205" s="3"/>
      <c r="F205" s="3"/>
      <c r="G205" s="3"/>
      <c r="H205" s="3"/>
      <c r="I205" s="4"/>
      <c r="J205" s="3"/>
      <c r="K205" s="4"/>
      <c r="L205" s="4"/>
      <c r="M205" s="4"/>
      <c r="N205" s="4"/>
      <c r="O205" s="4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 ht="24" customHeight="1" x14ac:dyDescent="0.5">
      <c r="A206" s="3"/>
      <c r="B206" s="3"/>
      <c r="C206" s="3"/>
      <c r="D206" s="3"/>
      <c r="E206" s="3"/>
      <c r="F206" s="3"/>
      <c r="G206" s="3"/>
      <c r="H206" s="3"/>
      <c r="I206" s="4"/>
      <c r="J206" s="3"/>
      <c r="K206" s="4"/>
      <c r="L206" s="4"/>
      <c r="M206" s="4"/>
      <c r="N206" s="4"/>
      <c r="O206" s="4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 ht="24" customHeight="1" x14ac:dyDescent="0.5">
      <c r="A207" s="3"/>
      <c r="B207" s="3"/>
      <c r="C207" s="3"/>
      <c r="D207" s="3"/>
      <c r="E207" s="3"/>
      <c r="F207" s="3"/>
      <c r="G207" s="3"/>
      <c r="H207" s="3"/>
      <c r="I207" s="4"/>
      <c r="J207" s="3"/>
      <c r="K207" s="4"/>
      <c r="L207" s="4"/>
      <c r="M207" s="4"/>
      <c r="N207" s="4"/>
      <c r="O207" s="4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 ht="24" customHeight="1" x14ac:dyDescent="0.5">
      <c r="A208" s="3"/>
      <c r="B208" s="3"/>
      <c r="C208" s="3"/>
      <c r="D208" s="3"/>
      <c r="E208" s="3"/>
      <c r="F208" s="3"/>
      <c r="G208" s="3"/>
      <c r="H208" s="3"/>
      <c r="I208" s="4"/>
      <c r="J208" s="3"/>
      <c r="K208" s="4"/>
      <c r="L208" s="4"/>
      <c r="M208" s="4"/>
      <c r="N208" s="4"/>
      <c r="O208" s="4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 ht="24" customHeight="1" x14ac:dyDescent="0.5">
      <c r="A209" s="3"/>
      <c r="B209" s="3"/>
      <c r="C209" s="3"/>
      <c r="D209" s="3"/>
      <c r="E209" s="3"/>
      <c r="F209" s="3"/>
      <c r="G209" s="3"/>
      <c r="H209" s="3"/>
      <c r="I209" s="4"/>
      <c r="J209" s="3"/>
      <c r="K209" s="4"/>
      <c r="L209" s="4"/>
      <c r="M209" s="4"/>
      <c r="N209" s="4"/>
      <c r="O209" s="4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 ht="24" customHeight="1" x14ac:dyDescent="0.5">
      <c r="A210" s="3"/>
      <c r="B210" s="3"/>
      <c r="C210" s="3"/>
      <c r="D210" s="3"/>
      <c r="E210" s="3"/>
      <c r="F210" s="3"/>
      <c r="G210" s="3"/>
      <c r="H210" s="3"/>
      <c r="I210" s="4"/>
      <c r="J210" s="3"/>
      <c r="K210" s="4"/>
      <c r="L210" s="4"/>
      <c r="M210" s="4"/>
      <c r="N210" s="4"/>
      <c r="O210" s="4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 ht="24" customHeight="1" x14ac:dyDescent="0.5">
      <c r="A211" s="3"/>
      <c r="B211" s="3"/>
      <c r="C211" s="3"/>
      <c r="D211" s="3"/>
      <c r="E211" s="3"/>
      <c r="F211" s="3"/>
      <c r="G211" s="3"/>
      <c r="H211" s="3"/>
      <c r="I211" s="4"/>
      <c r="J211" s="3"/>
      <c r="K211" s="4"/>
      <c r="L211" s="4"/>
      <c r="M211" s="4"/>
      <c r="N211" s="4"/>
      <c r="O211" s="4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 ht="24" customHeight="1" x14ac:dyDescent="0.5">
      <c r="A212" s="3"/>
      <c r="B212" s="3"/>
      <c r="C212" s="3"/>
      <c r="D212" s="3"/>
      <c r="E212" s="3"/>
      <c r="F212" s="3"/>
      <c r="G212" s="3"/>
      <c r="H212" s="3"/>
      <c r="I212" s="4"/>
      <c r="J212" s="3"/>
      <c r="K212" s="4"/>
      <c r="L212" s="4"/>
      <c r="M212" s="4"/>
      <c r="N212" s="4"/>
      <c r="O212" s="4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 ht="24" customHeight="1" x14ac:dyDescent="0.5">
      <c r="A213" s="3"/>
      <c r="B213" s="3"/>
      <c r="C213" s="3"/>
      <c r="D213" s="3"/>
      <c r="E213" s="3"/>
      <c r="F213" s="3"/>
      <c r="G213" s="3"/>
      <c r="H213" s="3"/>
      <c r="I213" s="4"/>
      <c r="J213" s="3"/>
      <c r="K213" s="4"/>
      <c r="L213" s="4"/>
      <c r="M213" s="4"/>
      <c r="N213" s="4"/>
      <c r="O213" s="4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 ht="24" customHeight="1" x14ac:dyDescent="0.5">
      <c r="A214" s="3"/>
      <c r="B214" s="3"/>
      <c r="C214" s="3"/>
      <c r="D214" s="3"/>
      <c r="E214" s="3"/>
      <c r="F214" s="3"/>
      <c r="G214" s="3"/>
      <c r="H214" s="3"/>
      <c r="I214" s="4"/>
      <c r="J214" s="3"/>
      <c r="K214" s="4"/>
      <c r="L214" s="4"/>
      <c r="M214" s="4"/>
      <c r="N214" s="4"/>
      <c r="O214" s="4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 ht="24" customHeight="1" x14ac:dyDescent="0.5">
      <c r="A215" s="3"/>
      <c r="B215" s="3"/>
      <c r="C215" s="3"/>
      <c r="D215" s="3"/>
      <c r="E215" s="3"/>
      <c r="F215" s="3"/>
      <c r="G215" s="3"/>
      <c r="H215" s="3"/>
      <c r="I215" s="4"/>
      <c r="J215" s="3"/>
      <c r="K215" s="4"/>
      <c r="L215" s="4"/>
      <c r="M215" s="4"/>
      <c r="N215" s="4"/>
      <c r="O215" s="4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 ht="24" customHeight="1" x14ac:dyDescent="0.5">
      <c r="A216" s="3"/>
      <c r="B216" s="3"/>
      <c r="C216" s="3"/>
      <c r="D216" s="3"/>
      <c r="E216" s="3"/>
      <c r="F216" s="3"/>
      <c r="G216" s="3"/>
      <c r="H216" s="3"/>
      <c r="I216" s="4"/>
      <c r="J216" s="3"/>
      <c r="K216" s="4"/>
      <c r="L216" s="4"/>
      <c r="M216" s="4"/>
      <c r="N216" s="4"/>
      <c r="O216" s="4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 ht="24" customHeight="1" x14ac:dyDescent="0.5">
      <c r="A217" s="3"/>
      <c r="B217" s="3"/>
      <c r="C217" s="3"/>
      <c r="D217" s="3"/>
      <c r="E217" s="3"/>
      <c r="F217" s="3"/>
      <c r="G217" s="3"/>
      <c r="H217" s="3"/>
      <c r="I217" s="4"/>
      <c r="J217" s="3"/>
      <c r="K217" s="4"/>
      <c r="L217" s="4"/>
      <c r="M217" s="4"/>
      <c r="N217" s="4"/>
      <c r="O217" s="4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 ht="24" customHeight="1" x14ac:dyDescent="0.5">
      <c r="A218" s="3"/>
      <c r="B218" s="3"/>
      <c r="C218" s="3"/>
      <c r="D218" s="3"/>
      <c r="E218" s="3"/>
      <c r="F218" s="3"/>
      <c r="G218" s="3"/>
      <c r="H218" s="3"/>
      <c r="I218" s="4"/>
      <c r="J218" s="3"/>
      <c r="K218" s="4"/>
      <c r="L218" s="4"/>
      <c r="M218" s="4"/>
      <c r="N218" s="4"/>
      <c r="O218" s="4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 ht="24" customHeight="1" x14ac:dyDescent="0.5">
      <c r="A219" s="3"/>
      <c r="B219" s="3"/>
      <c r="C219" s="3"/>
      <c r="D219" s="3"/>
      <c r="E219" s="3"/>
      <c r="F219" s="3"/>
      <c r="G219" s="3"/>
      <c r="H219" s="3"/>
      <c r="I219" s="4"/>
      <c r="J219" s="3"/>
      <c r="K219" s="4"/>
      <c r="L219" s="4"/>
      <c r="M219" s="4"/>
      <c r="N219" s="4"/>
      <c r="O219" s="4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 ht="24" customHeight="1" x14ac:dyDescent="0.5">
      <c r="A220" s="3"/>
      <c r="B220" s="3"/>
      <c r="C220" s="3"/>
      <c r="D220" s="3"/>
      <c r="E220" s="3"/>
      <c r="F220" s="3"/>
      <c r="G220" s="3"/>
      <c r="H220" s="3"/>
      <c r="I220" s="4"/>
      <c r="J220" s="3"/>
      <c r="K220" s="4"/>
      <c r="L220" s="4"/>
      <c r="M220" s="4"/>
      <c r="N220" s="4"/>
      <c r="O220" s="4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 ht="24" customHeight="1" x14ac:dyDescent="0.5">
      <c r="A221" s="3"/>
      <c r="B221" s="3"/>
      <c r="C221" s="3"/>
      <c r="D221" s="3"/>
      <c r="E221" s="3"/>
      <c r="F221" s="3"/>
      <c r="G221" s="3"/>
      <c r="H221" s="3"/>
      <c r="I221" s="4"/>
      <c r="J221" s="3"/>
      <c r="K221" s="4"/>
      <c r="L221" s="4"/>
      <c r="M221" s="4"/>
      <c r="N221" s="4"/>
      <c r="O221" s="4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 ht="24" customHeight="1" x14ac:dyDescent="0.5">
      <c r="A222" s="3"/>
      <c r="B222" s="3"/>
      <c r="C222" s="3"/>
      <c r="D222" s="3"/>
      <c r="E222" s="3"/>
      <c r="F222" s="3"/>
      <c r="G222" s="3"/>
      <c r="H222" s="3"/>
      <c r="I222" s="4"/>
      <c r="J222" s="3"/>
      <c r="K222" s="4"/>
      <c r="L222" s="4"/>
      <c r="M222" s="4"/>
      <c r="N222" s="4"/>
      <c r="O222" s="4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 ht="24" customHeight="1" x14ac:dyDescent="0.5">
      <c r="A223" s="3"/>
      <c r="B223" s="3"/>
      <c r="C223" s="3"/>
      <c r="D223" s="3"/>
      <c r="E223" s="3"/>
      <c r="F223" s="3"/>
      <c r="G223" s="3"/>
      <c r="H223" s="3"/>
      <c r="I223" s="4"/>
      <c r="J223" s="3"/>
      <c r="K223" s="4"/>
      <c r="L223" s="4"/>
      <c r="M223" s="4"/>
      <c r="N223" s="4"/>
      <c r="O223" s="4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 ht="24" customHeight="1" x14ac:dyDescent="0.5">
      <c r="A224" s="3"/>
      <c r="B224" s="3"/>
      <c r="C224" s="3"/>
      <c r="D224" s="3"/>
      <c r="E224" s="3"/>
      <c r="F224" s="3"/>
      <c r="G224" s="3"/>
      <c r="H224" s="3"/>
      <c r="I224" s="4"/>
      <c r="J224" s="3"/>
      <c r="K224" s="4"/>
      <c r="L224" s="4"/>
      <c r="M224" s="4"/>
      <c r="N224" s="4"/>
      <c r="O224" s="4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spans="1:26" ht="24" customHeight="1" x14ac:dyDescent="0.5">
      <c r="A225" s="3"/>
      <c r="B225" s="3"/>
      <c r="C225" s="3"/>
      <c r="D225" s="3"/>
      <c r="E225" s="3"/>
      <c r="F225" s="3"/>
      <c r="G225" s="3"/>
      <c r="H225" s="3"/>
      <c r="I225" s="4"/>
      <c r="J225" s="3"/>
      <c r="K225" s="4"/>
      <c r="L225" s="4"/>
      <c r="M225" s="4"/>
      <c r="N225" s="4"/>
      <c r="O225" s="4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spans="1:26" ht="24" customHeight="1" x14ac:dyDescent="0.5">
      <c r="A226" s="3"/>
      <c r="B226" s="3"/>
      <c r="C226" s="3"/>
      <c r="D226" s="3"/>
      <c r="E226" s="3"/>
      <c r="F226" s="3"/>
      <c r="G226" s="3"/>
      <c r="H226" s="3"/>
      <c r="I226" s="4"/>
      <c r="J226" s="3"/>
      <c r="K226" s="4"/>
      <c r="L226" s="4"/>
      <c r="M226" s="4"/>
      <c r="N226" s="4"/>
      <c r="O226" s="4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 ht="24" customHeight="1" x14ac:dyDescent="0.5">
      <c r="A227" s="3"/>
      <c r="B227" s="3"/>
      <c r="C227" s="3"/>
      <c r="D227" s="3"/>
      <c r="E227" s="3"/>
      <c r="F227" s="3"/>
      <c r="G227" s="3"/>
      <c r="H227" s="3"/>
      <c r="I227" s="4"/>
      <c r="J227" s="3"/>
      <c r="K227" s="4"/>
      <c r="L227" s="4"/>
      <c r="M227" s="4"/>
      <c r="N227" s="4"/>
      <c r="O227" s="4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 ht="24" customHeight="1" x14ac:dyDescent="0.5">
      <c r="A228" s="3"/>
      <c r="B228" s="3"/>
      <c r="C228" s="3"/>
      <c r="D228" s="3"/>
      <c r="E228" s="3"/>
      <c r="F228" s="3"/>
      <c r="G228" s="3"/>
      <c r="H228" s="3"/>
      <c r="I228" s="4"/>
      <c r="J228" s="3"/>
      <c r="K228" s="4"/>
      <c r="L228" s="4"/>
      <c r="M228" s="4"/>
      <c r="N228" s="4"/>
      <c r="O228" s="4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 ht="24" customHeight="1" x14ac:dyDescent="0.5">
      <c r="A229" s="3"/>
      <c r="B229" s="3"/>
      <c r="C229" s="3"/>
      <c r="D229" s="3"/>
      <c r="E229" s="3"/>
      <c r="F229" s="3"/>
      <c r="G229" s="3"/>
      <c r="H229" s="3"/>
      <c r="I229" s="4"/>
      <c r="J229" s="3"/>
      <c r="K229" s="4"/>
      <c r="L229" s="4"/>
      <c r="M229" s="4"/>
      <c r="N229" s="4"/>
      <c r="O229" s="4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 ht="24" customHeight="1" x14ac:dyDescent="0.5">
      <c r="A230" s="3"/>
      <c r="B230" s="3"/>
      <c r="C230" s="3"/>
      <c r="D230" s="3"/>
      <c r="E230" s="3"/>
      <c r="F230" s="3"/>
      <c r="G230" s="3"/>
      <c r="H230" s="3"/>
      <c r="I230" s="4"/>
      <c r="J230" s="3"/>
      <c r="K230" s="4"/>
      <c r="L230" s="4"/>
      <c r="M230" s="4"/>
      <c r="N230" s="4"/>
      <c r="O230" s="4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 ht="24" customHeight="1" x14ac:dyDescent="0.5">
      <c r="A231" s="3"/>
      <c r="B231" s="3"/>
      <c r="C231" s="3"/>
      <c r="D231" s="3"/>
      <c r="E231" s="3"/>
      <c r="F231" s="3"/>
      <c r="G231" s="3"/>
      <c r="H231" s="3"/>
      <c r="I231" s="4"/>
      <c r="J231" s="3"/>
      <c r="K231" s="4"/>
      <c r="L231" s="4"/>
      <c r="M231" s="4"/>
      <c r="N231" s="4"/>
      <c r="O231" s="4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 ht="24" customHeight="1" x14ac:dyDescent="0.5">
      <c r="A232" s="3"/>
      <c r="B232" s="3"/>
      <c r="C232" s="3"/>
      <c r="D232" s="3"/>
      <c r="E232" s="3"/>
      <c r="F232" s="3"/>
      <c r="G232" s="3"/>
      <c r="H232" s="3"/>
      <c r="I232" s="4"/>
      <c r="J232" s="3"/>
      <c r="K232" s="4"/>
      <c r="L232" s="4"/>
      <c r="M232" s="4"/>
      <c r="N232" s="4"/>
      <c r="O232" s="4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 ht="24" customHeight="1" x14ac:dyDescent="0.5">
      <c r="A233" s="3"/>
      <c r="B233" s="3"/>
      <c r="C233" s="3"/>
      <c r="D233" s="3"/>
      <c r="E233" s="3"/>
      <c r="F233" s="3"/>
      <c r="G233" s="3"/>
      <c r="H233" s="3"/>
      <c r="I233" s="4"/>
      <c r="J233" s="3"/>
      <c r="K233" s="4"/>
      <c r="L233" s="4"/>
      <c r="M233" s="4"/>
      <c r="N233" s="4"/>
      <c r="O233" s="4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 ht="24" customHeight="1" x14ac:dyDescent="0.5">
      <c r="A234" s="3"/>
      <c r="B234" s="3"/>
      <c r="C234" s="3"/>
      <c r="D234" s="3"/>
      <c r="E234" s="3"/>
      <c r="F234" s="3"/>
      <c r="G234" s="3"/>
      <c r="H234" s="3"/>
      <c r="I234" s="4"/>
      <c r="J234" s="3"/>
      <c r="K234" s="4"/>
      <c r="L234" s="4"/>
      <c r="M234" s="4"/>
      <c r="N234" s="4"/>
      <c r="O234" s="4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 ht="24" customHeight="1" x14ac:dyDescent="0.5">
      <c r="A235" s="3"/>
      <c r="B235" s="3"/>
      <c r="C235" s="3"/>
      <c r="D235" s="3"/>
      <c r="E235" s="3"/>
      <c r="F235" s="3"/>
      <c r="G235" s="3"/>
      <c r="H235" s="3"/>
      <c r="I235" s="4"/>
      <c r="J235" s="3"/>
      <c r="K235" s="4"/>
      <c r="L235" s="4"/>
      <c r="M235" s="4"/>
      <c r="N235" s="4"/>
      <c r="O235" s="4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 ht="24" customHeight="1" x14ac:dyDescent="0.5">
      <c r="A236" s="3"/>
      <c r="B236" s="3"/>
      <c r="C236" s="3"/>
      <c r="D236" s="3"/>
      <c r="E236" s="3"/>
      <c r="F236" s="3"/>
      <c r="G236" s="3"/>
      <c r="H236" s="3"/>
      <c r="I236" s="4"/>
      <c r="J236" s="3"/>
      <c r="K236" s="4"/>
      <c r="L236" s="4"/>
      <c r="M236" s="4"/>
      <c r="N236" s="4"/>
      <c r="O236" s="4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 ht="24" customHeight="1" x14ac:dyDescent="0.5">
      <c r="A237" s="3"/>
      <c r="B237" s="3"/>
      <c r="C237" s="3"/>
      <c r="D237" s="3"/>
      <c r="E237" s="3"/>
      <c r="F237" s="3"/>
      <c r="G237" s="3"/>
      <c r="H237" s="3"/>
      <c r="I237" s="4"/>
      <c r="J237" s="3"/>
      <c r="K237" s="4"/>
      <c r="L237" s="4"/>
      <c r="M237" s="4"/>
      <c r="N237" s="4"/>
      <c r="O237" s="4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 ht="24" customHeight="1" x14ac:dyDescent="0.5">
      <c r="A238" s="3"/>
      <c r="B238" s="3"/>
      <c r="C238" s="3"/>
      <c r="D238" s="3"/>
      <c r="E238" s="3"/>
      <c r="F238" s="3"/>
      <c r="G238" s="3"/>
      <c r="H238" s="3"/>
      <c r="I238" s="4"/>
      <c r="J238" s="3"/>
      <c r="K238" s="4"/>
      <c r="L238" s="4"/>
      <c r="M238" s="4"/>
      <c r="N238" s="4"/>
      <c r="O238" s="4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 ht="24" customHeight="1" x14ac:dyDescent="0.5">
      <c r="A239" s="3"/>
      <c r="B239" s="3"/>
      <c r="C239" s="3"/>
      <c r="D239" s="3"/>
      <c r="E239" s="3"/>
      <c r="F239" s="3"/>
      <c r="G239" s="3"/>
      <c r="H239" s="3"/>
      <c r="I239" s="4"/>
      <c r="J239" s="3"/>
      <c r="K239" s="4"/>
      <c r="L239" s="4"/>
      <c r="M239" s="4"/>
      <c r="N239" s="4"/>
      <c r="O239" s="4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 ht="24" customHeight="1" x14ac:dyDescent="0.5">
      <c r="A240" s="3"/>
      <c r="B240" s="3"/>
      <c r="C240" s="3"/>
      <c r="D240" s="3"/>
      <c r="E240" s="3"/>
      <c r="F240" s="3"/>
      <c r="G240" s="3"/>
      <c r="H240" s="3"/>
      <c r="I240" s="4"/>
      <c r="J240" s="3"/>
      <c r="K240" s="4"/>
      <c r="L240" s="4"/>
      <c r="M240" s="4"/>
      <c r="N240" s="4"/>
      <c r="O240" s="4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 ht="24" customHeight="1" x14ac:dyDescent="0.5">
      <c r="A241" s="3"/>
      <c r="B241" s="3"/>
      <c r="C241" s="3"/>
      <c r="D241" s="3"/>
      <c r="E241" s="3"/>
      <c r="F241" s="3"/>
      <c r="G241" s="3"/>
      <c r="H241" s="3"/>
      <c r="I241" s="4"/>
      <c r="J241" s="3"/>
      <c r="K241" s="4"/>
      <c r="L241" s="4"/>
      <c r="M241" s="4"/>
      <c r="N241" s="4"/>
      <c r="O241" s="4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 ht="24" customHeight="1" x14ac:dyDescent="0.5">
      <c r="A242" s="3"/>
      <c r="B242" s="3"/>
      <c r="C242" s="3"/>
      <c r="D242" s="3"/>
      <c r="E242" s="3"/>
      <c r="F242" s="3"/>
      <c r="G242" s="3"/>
      <c r="H242" s="3"/>
      <c r="I242" s="4"/>
      <c r="J242" s="3"/>
      <c r="K242" s="4"/>
      <c r="L242" s="4"/>
      <c r="M242" s="4"/>
      <c r="N242" s="4"/>
      <c r="O242" s="4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 ht="24" customHeight="1" x14ac:dyDescent="0.5">
      <c r="A243" s="3"/>
      <c r="B243" s="3"/>
      <c r="C243" s="3"/>
      <c r="D243" s="3"/>
      <c r="E243" s="3"/>
      <c r="F243" s="3"/>
      <c r="G243" s="3"/>
      <c r="H243" s="3"/>
      <c r="I243" s="4"/>
      <c r="J243" s="3"/>
      <c r="K243" s="4"/>
      <c r="L243" s="4"/>
      <c r="M243" s="4"/>
      <c r="N243" s="4"/>
      <c r="O243" s="4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 ht="24" customHeight="1" x14ac:dyDescent="0.5">
      <c r="A244" s="3"/>
      <c r="B244" s="3"/>
      <c r="C244" s="3"/>
      <c r="D244" s="3"/>
      <c r="E244" s="3"/>
      <c r="F244" s="3"/>
      <c r="G244" s="3"/>
      <c r="H244" s="3"/>
      <c r="I244" s="4"/>
      <c r="J244" s="3"/>
      <c r="K244" s="4"/>
      <c r="L244" s="4"/>
      <c r="M244" s="4"/>
      <c r="N244" s="4"/>
      <c r="O244" s="4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 ht="24" customHeight="1" x14ac:dyDescent="0.5">
      <c r="A245" s="3"/>
      <c r="B245" s="3"/>
      <c r="C245" s="3"/>
      <c r="D245" s="3"/>
      <c r="E245" s="3"/>
      <c r="F245" s="3"/>
      <c r="G245" s="3"/>
      <c r="H245" s="3"/>
      <c r="I245" s="4"/>
      <c r="J245" s="3"/>
      <c r="K245" s="4"/>
      <c r="L245" s="4"/>
      <c r="M245" s="4"/>
      <c r="N245" s="4"/>
      <c r="O245" s="4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 ht="24" customHeight="1" x14ac:dyDescent="0.5">
      <c r="A246" s="3"/>
      <c r="B246" s="3"/>
      <c r="C246" s="3"/>
      <c r="D246" s="3"/>
      <c r="E246" s="3"/>
      <c r="F246" s="3"/>
      <c r="G246" s="3"/>
      <c r="H246" s="3"/>
      <c r="I246" s="4"/>
      <c r="J246" s="3"/>
      <c r="K246" s="4"/>
      <c r="L246" s="4"/>
      <c r="M246" s="4"/>
      <c r="N246" s="4"/>
      <c r="O246" s="4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 ht="24" customHeight="1" x14ac:dyDescent="0.5">
      <c r="A247" s="3"/>
      <c r="B247" s="3"/>
      <c r="C247" s="3"/>
      <c r="D247" s="3"/>
      <c r="E247" s="3"/>
      <c r="F247" s="3"/>
      <c r="G247" s="3"/>
      <c r="H247" s="3"/>
      <c r="I247" s="4"/>
      <c r="J247" s="3"/>
      <c r="K247" s="4"/>
      <c r="L247" s="4"/>
      <c r="M247" s="4"/>
      <c r="N247" s="4"/>
      <c r="O247" s="4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 ht="24" customHeight="1" x14ac:dyDescent="0.5">
      <c r="A248" s="3"/>
      <c r="B248" s="3"/>
      <c r="C248" s="3"/>
      <c r="D248" s="3"/>
      <c r="E248" s="3"/>
      <c r="F248" s="3"/>
      <c r="G248" s="3"/>
      <c r="H248" s="3"/>
      <c r="I248" s="4"/>
      <c r="J248" s="3"/>
      <c r="K248" s="4"/>
      <c r="L248" s="4"/>
      <c r="M248" s="4"/>
      <c r="N248" s="4"/>
      <c r="O248" s="4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 ht="24" customHeight="1" x14ac:dyDescent="0.5">
      <c r="A249" s="3"/>
      <c r="B249" s="3"/>
      <c r="C249" s="3"/>
      <c r="D249" s="3"/>
      <c r="E249" s="3"/>
      <c r="F249" s="3"/>
      <c r="G249" s="3"/>
      <c r="H249" s="3"/>
      <c r="I249" s="4"/>
      <c r="J249" s="3"/>
      <c r="K249" s="4"/>
      <c r="L249" s="4"/>
      <c r="M249" s="4"/>
      <c r="N249" s="4"/>
      <c r="O249" s="4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 ht="24" customHeight="1" x14ac:dyDescent="0.5">
      <c r="A250" s="3"/>
      <c r="B250" s="3"/>
      <c r="C250" s="3"/>
      <c r="D250" s="3"/>
      <c r="E250" s="3"/>
      <c r="F250" s="3"/>
      <c r="G250" s="3"/>
      <c r="H250" s="3"/>
      <c r="I250" s="4"/>
      <c r="J250" s="3"/>
      <c r="K250" s="4"/>
      <c r="L250" s="4"/>
      <c r="M250" s="4"/>
      <c r="N250" s="4"/>
      <c r="O250" s="4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 ht="24" customHeight="1" x14ac:dyDescent="0.5">
      <c r="A251" s="3"/>
      <c r="B251" s="3"/>
      <c r="C251" s="3"/>
      <c r="D251" s="3"/>
      <c r="E251" s="3"/>
      <c r="F251" s="3"/>
      <c r="G251" s="3"/>
      <c r="H251" s="3"/>
      <c r="I251" s="4"/>
      <c r="J251" s="3"/>
      <c r="K251" s="4"/>
      <c r="L251" s="4"/>
      <c r="M251" s="4"/>
      <c r="N251" s="4"/>
      <c r="O251" s="4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 ht="24" customHeight="1" x14ac:dyDescent="0.5">
      <c r="A252" s="3"/>
      <c r="B252" s="3"/>
      <c r="C252" s="3"/>
      <c r="D252" s="3"/>
      <c r="E252" s="3"/>
      <c r="F252" s="3"/>
      <c r="G252" s="3"/>
      <c r="H252" s="3"/>
      <c r="I252" s="4"/>
      <c r="J252" s="3"/>
      <c r="K252" s="4"/>
      <c r="L252" s="4"/>
      <c r="M252" s="4"/>
      <c r="N252" s="4"/>
      <c r="O252" s="4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 ht="24" customHeight="1" x14ac:dyDescent="0.5">
      <c r="A253" s="3"/>
      <c r="B253" s="3"/>
      <c r="C253" s="3"/>
      <c r="D253" s="3"/>
      <c r="E253" s="3"/>
      <c r="F253" s="3"/>
      <c r="G253" s="3"/>
      <c r="H253" s="3"/>
      <c r="I253" s="4"/>
      <c r="J253" s="3"/>
      <c r="K253" s="4"/>
      <c r="L253" s="4"/>
      <c r="M253" s="4"/>
      <c r="N253" s="4"/>
      <c r="O253" s="4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 ht="24" customHeight="1" x14ac:dyDescent="0.5">
      <c r="A254" s="3"/>
      <c r="B254" s="3"/>
      <c r="C254" s="3"/>
      <c r="D254" s="3"/>
      <c r="E254" s="3"/>
      <c r="F254" s="3"/>
      <c r="G254" s="3"/>
      <c r="H254" s="3"/>
      <c r="I254" s="4"/>
      <c r="J254" s="3"/>
      <c r="K254" s="4"/>
      <c r="L254" s="4"/>
      <c r="M254" s="4"/>
      <c r="N254" s="4"/>
      <c r="O254" s="4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 ht="24" customHeight="1" x14ac:dyDescent="0.5">
      <c r="A255" s="3"/>
      <c r="B255" s="3"/>
      <c r="C255" s="3"/>
      <c r="D255" s="3"/>
      <c r="E255" s="3"/>
      <c r="F255" s="3"/>
      <c r="G255" s="3"/>
      <c r="H255" s="3"/>
      <c r="I255" s="4"/>
      <c r="J255" s="3"/>
      <c r="K255" s="4"/>
      <c r="L255" s="4"/>
      <c r="M255" s="4"/>
      <c r="N255" s="4"/>
      <c r="O255" s="4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 ht="24" customHeight="1" x14ac:dyDescent="0.5">
      <c r="A256" s="3"/>
      <c r="B256" s="3"/>
      <c r="C256" s="3"/>
      <c r="D256" s="3"/>
      <c r="E256" s="3"/>
      <c r="F256" s="3"/>
      <c r="G256" s="3"/>
      <c r="H256" s="3"/>
      <c r="I256" s="4"/>
      <c r="J256" s="3"/>
      <c r="K256" s="4"/>
      <c r="L256" s="4"/>
      <c r="M256" s="4"/>
      <c r="N256" s="4"/>
      <c r="O256" s="4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 ht="24" customHeight="1" x14ac:dyDescent="0.5">
      <c r="A257" s="3"/>
      <c r="B257" s="3"/>
      <c r="C257" s="3"/>
      <c r="D257" s="3"/>
      <c r="E257" s="3"/>
      <c r="F257" s="3"/>
      <c r="G257" s="3"/>
      <c r="H257" s="3"/>
      <c r="I257" s="4"/>
      <c r="J257" s="3"/>
      <c r="K257" s="4"/>
      <c r="L257" s="4"/>
      <c r="M257" s="4"/>
      <c r="N257" s="4"/>
      <c r="O257" s="4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 ht="24" customHeight="1" x14ac:dyDescent="0.5">
      <c r="A258" s="3"/>
      <c r="B258" s="3"/>
      <c r="C258" s="3"/>
      <c r="D258" s="3"/>
      <c r="E258" s="3"/>
      <c r="F258" s="3"/>
      <c r="G258" s="3"/>
      <c r="H258" s="3"/>
      <c r="I258" s="4"/>
      <c r="J258" s="3"/>
      <c r="K258" s="4"/>
      <c r="L258" s="4"/>
      <c r="M258" s="4"/>
      <c r="N258" s="4"/>
      <c r="O258" s="4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 ht="24" customHeight="1" x14ac:dyDescent="0.5">
      <c r="A259" s="3"/>
      <c r="B259" s="3"/>
      <c r="C259" s="3"/>
      <c r="D259" s="3"/>
      <c r="E259" s="3"/>
      <c r="F259" s="3"/>
      <c r="G259" s="3"/>
      <c r="H259" s="3"/>
      <c r="I259" s="4"/>
      <c r="J259" s="3"/>
      <c r="K259" s="4"/>
      <c r="L259" s="4"/>
      <c r="M259" s="4"/>
      <c r="N259" s="4"/>
      <c r="O259" s="4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 ht="24" customHeight="1" x14ac:dyDescent="0.5">
      <c r="A260" s="3"/>
      <c r="B260" s="3"/>
      <c r="C260" s="3"/>
      <c r="D260" s="3"/>
      <c r="E260" s="3"/>
      <c r="F260" s="3"/>
      <c r="G260" s="3"/>
      <c r="H260" s="3"/>
      <c r="I260" s="4"/>
      <c r="J260" s="3"/>
      <c r="K260" s="4"/>
      <c r="L260" s="4"/>
      <c r="M260" s="4"/>
      <c r="N260" s="4"/>
      <c r="O260" s="4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 ht="24" customHeight="1" x14ac:dyDescent="0.5">
      <c r="A261" s="3"/>
      <c r="B261" s="3"/>
      <c r="C261" s="3"/>
      <c r="D261" s="3"/>
      <c r="E261" s="3"/>
      <c r="F261" s="3"/>
      <c r="G261" s="3"/>
      <c r="H261" s="3"/>
      <c r="I261" s="4"/>
      <c r="J261" s="3"/>
      <c r="K261" s="4"/>
      <c r="L261" s="4"/>
      <c r="M261" s="4"/>
      <c r="N261" s="4"/>
      <c r="O261" s="4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 ht="24" customHeight="1" x14ac:dyDescent="0.5">
      <c r="A262" s="3"/>
      <c r="B262" s="3"/>
      <c r="C262" s="3"/>
      <c r="D262" s="3"/>
      <c r="E262" s="3"/>
      <c r="F262" s="3"/>
      <c r="G262" s="3"/>
      <c r="H262" s="3"/>
      <c r="I262" s="4"/>
      <c r="J262" s="3"/>
      <c r="K262" s="4"/>
      <c r="L262" s="4"/>
      <c r="M262" s="4"/>
      <c r="N262" s="4"/>
      <c r="O262" s="4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 ht="24" customHeight="1" x14ac:dyDescent="0.5">
      <c r="A263" s="3"/>
      <c r="B263" s="3"/>
      <c r="C263" s="3"/>
      <c r="D263" s="3"/>
      <c r="E263" s="3"/>
      <c r="F263" s="3"/>
      <c r="G263" s="3"/>
      <c r="H263" s="3"/>
      <c r="I263" s="4"/>
      <c r="J263" s="3"/>
      <c r="K263" s="4"/>
      <c r="L263" s="4"/>
      <c r="M263" s="4"/>
      <c r="N263" s="4"/>
      <c r="O263" s="4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 ht="24" customHeight="1" x14ac:dyDescent="0.5">
      <c r="A264" s="3"/>
      <c r="B264" s="3"/>
      <c r="C264" s="3"/>
      <c r="D264" s="3"/>
      <c r="E264" s="3"/>
      <c r="F264" s="3"/>
      <c r="G264" s="3"/>
      <c r="H264" s="3"/>
      <c r="I264" s="4"/>
      <c r="J264" s="3"/>
      <c r="K264" s="4"/>
      <c r="L264" s="4"/>
      <c r="M264" s="4"/>
      <c r="N264" s="4"/>
      <c r="O264" s="4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 ht="24" customHeight="1" x14ac:dyDescent="0.5">
      <c r="A265" s="3"/>
      <c r="B265" s="3"/>
      <c r="C265" s="3"/>
      <c r="D265" s="3"/>
      <c r="E265" s="3"/>
      <c r="F265" s="3"/>
      <c r="G265" s="3"/>
      <c r="H265" s="3"/>
      <c r="I265" s="4"/>
      <c r="J265" s="3"/>
      <c r="K265" s="4"/>
      <c r="L265" s="4"/>
      <c r="M265" s="4"/>
      <c r="N265" s="4"/>
      <c r="O265" s="4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 ht="24" customHeight="1" x14ac:dyDescent="0.5">
      <c r="A266" s="3"/>
      <c r="B266" s="3"/>
      <c r="C266" s="3"/>
      <c r="D266" s="3"/>
      <c r="E266" s="3"/>
      <c r="F266" s="3"/>
      <c r="G266" s="3"/>
      <c r="H266" s="3"/>
      <c r="I266" s="4"/>
      <c r="J266" s="3"/>
      <c r="K266" s="4"/>
      <c r="L266" s="4"/>
      <c r="M266" s="4"/>
      <c r="N266" s="4"/>
      <c r="O266" s="4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 ht="24" customHeight="1" x14ac:dyDescent="0.5">
      <c r="A267" s="3"/>
      <c r="B267" s="3"/>
      <c r="C267" s="3"/>
      <c r="D267" s="3"/>
      <c r="E267" s="3"/>
      <c r="F267" s="3"/>
      <c r="G267" s="3"/>
      <c r="H267" s="3"/>
      <c r="I267" s="4"/>
      <c r="J267" s="3"/>
      <c r="K267" s="4"/>
      <c r="L267" s="4"/>
      <c r="M267" s="4"/>
      <c r="N267" s="4"/>
      <c r="O267" s="4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 ht="24" customHeight="1" x14ac:dyDescent="0.5">
      <c r="A268" s="3"/>
      <c r="B268" s="3"/>
      <c r="C268" s="3"/>
      <c r="D268" s="3"/>
      <c r="E268" s="3"/>
      <c r="F268" s="3"/>
      <c r="G268" s="3"/>
      <c r="H268" s="3"/>
      <c r="I268" s="4"/>
      <c r="J268" s="3"/>
      <c r="K268" s="4"/>
      <c r="L268" s="4"/>
      <c r="M268" s="4"/>
      <c r="N268" s="4"/>
      <c r="O268" s="4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 ht="24" customHeight="1" x14ac:dyDescent="0.5">
      <c r="A269" s="3"/>
      <c r="B269" s="3"/>
      <c r="C269" s="3"/>
      <c r="D269" s="3"/>
      <c r="E269" s="3"/>
      <c r="F269" s="3"/>
      <c r="G269" s="3"/>
      <c r="H269" s="3"/>
      <c r="I269" s="4"/>
      <c r="J269" s="3"/>
      <c r="K269" s="4"/>
      <c r="L269" s="4"/>
      <c r="M269" s="4"/>
      <c r="N269" s="4"/>
      <c r="O269" s="4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 ht="24" customHeight="1" x14ac:dyDescent="0.5">
      <c r="A270" s="3"/>
      <c r="B270" s="3"/>
      <c r="C270" s="3"/>
      <c r="D270" s="3"/>
      <c r="E270" s="3"/>
      <c r="F270" s="3"/>
      <c r="G270" s="3"/>
      <c r="H270" s="3"/>
      <c r="I270" s="4"/>
      <c r="J270" s="3"/>
      <c r="K270" s="4"/>
      <c r="L270" s="4"/>
      <c r="M270" s="4"/>
      <c r="N270" s="4"/>
      <c r="O270" s="4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 ht="24" customHeight="1" x14ac:dyDescent="0.5">
      <c r="A271" s="3"/>
      <c r="B271" s="3"/>
      <c r="C271" s="3"/>
      <c r="D271" s="3"/>
      <c r="E271" s="3"/>
      <c r="F271" s="3"/>
      <c r="G271" s="3"/>
      <c r="H271" s="3"/>
      <c r="I271" s="4"/>
      <c r="J271" s="3"/>
      <c r="K271" s="4"/>
      <c r="L271" s="4"/>
      <c r="M271" s="4"/>
      <c r="N271" s="4"/>
      <c r="O271" s="4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 ht="24" customHeight="1" x14ac:dyDescent="0.5">
      <c r="A272" s="3"/>
      <c r="B272" s="3"/>
      <c r="C272" s="3"/>
      <c r="D272" s="3"/>
      <c r="E272" s="3"/>
      <c r="F272" s="3"/>
      <c r="G272" s="3"/>
      <c r="H272" s="3"/>
      <c r="I272" s="4"/>
      <c r="J272" s="3"/>
      <c r="K272" s="4"/>
      <c r="L272" s="4"/>
      <c r="M272" s="4"/>
      <c r="N272" s="4"/>
      <c r="O272" s="4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 ht="24" customHeight="1" x14ac:dyDescent="0.5">
      <c r="A273" s="3"/>
      <c r="B273" s="3"/>
      <c r="C273" s="3"/>
      <c r="D273" s="3"/>
      <c r="E273" s="3"/>
      <c r="F273" s="3"/>
      <c r="G273" s="3"/>
      <c r="H273" s="3"/>
      <c r="I273" s="4"/>
      <c r="J273" s="3"/>
      <c r="K273" s="4"/>
      <c r="L273" s="4"/>
      <c r="M273" s="4"/>
      <c r="N273" s="4"/>
      <c r="O273" s="4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 ht="24" customHeight="1" x14ac:dyDescent="0.5">
      <c r="A274" s="3"/>
      <c r="B274" s="3"/>
      <c r="C274" s="3"/>
      <c r="D274" s="3"/>
      <c r="E274" s="3"/>
      <c r="F274" s="3"/>
      <c r="G274" s="3"/>
      <c r="H274" s="3"/>
      <c r="I274" s="4"/>
      <c r="J274" s="3"/>
      <c r="K274" s="4"/>
      <c r="L274" s="4"/>
      <c r="M274" s="4"/>
      <c r="N274" s="4"/>
      <c r="O274" s="4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 ht="24" customHeight="1" x14ac:dyDescent="0.5">
      <c r="A275" s="3"/>
      <c r="B275" s="3"/>
      <c r="C275" s="3"/>
      <c r="D275" s="3"/>
      <c r="E275" s="3"/>
      <c r="F275" s="3"/>
      <c r="G275" s="3"/>
      <c r="H275" s="3"/>
      <c r="I275" s="4"/>
      <c r="J275" s="3"/>
      <c r="K275" s="4"/>
      <c r="L275" s="4"/>
      <c r="M275" s="4"/>
      <c r="N275" s="4"/>
      <c r="O275" s="4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 ht="24" customHeight="1" x14ac:dyDescent="0.5">
      <c r="A276" s="3"/>
      <c r="B276" s="3"/>
      <c r="C276" s="3"/>
      <c r="D276" s="3"/>
      <c r="E276" s="3"/>
      <c r="F276" s="3"/>
      <c r="G276" s="3"/>
      <c r="H276" s="3"/>
      <c r="I276" s="4"/>
      <c r="J276" s="3"/>
      <c r="K276" s="4"/>
      <c r="L276" s="4"/>
      <c r="M276" s="4"/>
      <c r="N276" s="4"/>
      <c r="O276" s="4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 ht="24" customHeight="1" x14ac:dyDescent="0.5">
      <c r="A277" s="3"/>
      <c r="B277" s="3"/>
      <c r="C277" s="3"/>
      <c r="D277" s="3"/>
      <c r="E277" s="3"/>
      <c r="F277" s="3"/>
      <c r="G277" s="3"/>
      <c r="H277" s="3"/>
      <c r="I277" s="4"/>
      <c r="J277" s="3"/>
      <c r="K277" s="4"/>
      <c r="L277" s="4"/>
      <c r="M277" s="4"/>
      <c r="N277" s="4"/>
      <c r="O277" s="4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 ht="24" customHeight="1" x14ac:dyDescent="0.5">
      <c r="A278" s="3"/>
      <c r="B278" s="3"/>
      <c r="C278" s="3"/>
      <c r="D278" s="3"/>
      <c r="E278" s="3"/>
      <c r="F278" s="3"/>
      <c r="G278" s="3"/>
      <c r="H278" s="3"/>
      <c r="I278" s="4"/>
      <c r="J278" s="3"/>
      <c r="K278" s="4"/>
      <c r="L278" s="4"/>
      <c r="M278" s="4"/>
      <c r="N278" s="4"/>
      <c r="O278" s="4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 ht="24" customHeight="1" x14ac:dyDescent="0.5">
      <c r="A279" s="3"/>
      <c r="B279" s="3"/>
      <c r="C279" s="3"/>
      <c r="D279" s="3"/>
      <c r="E279" s="3"/>
      <c r="F279" s="3"/>
      <c r="G279" s="3"/>
      <c r="H279" s="3"/>
      <c r="I279" s="4"/>
      <c r="J279" s="3"/>
      <c r="K279" s="4"/>
      <c r="L279" s="4"/>
      <c r="M279" s="4"/>
      <c r="N279" s="4"/>
      <c r="O279" s="4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 ht="24" customHeight="1" x14ac:dyDescent="0.5">
      <c r="A280" s="3"/>
      <c r="B280" s="3"/>
      <c r="C280" s="3"/>
      <c r="D280" s="3"/>
      <c r="E280" s="3"/>
      <c r="F280" s="3"/>
      <c r="G280" s="3"/>
      <c r="H280" s="3"/>
      <c r="I280" s="4"/>
      <c r="J280" s="3"/>
      <c r="K280" s="4"/>
      <c r="L280" s="4"/>
      <c r="M280" s="4"/>
      <c r="N280" s="4"/>
      <c r="O280" s="4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 ht="24" customHeight="1" x14ac:dyDescent="0.5">
      <c r="A281" s="3"/>
      <c r="B281" s="3"/>
      <c r="C281" s="3"/>
      <c r="D281" s="3"/>
      <c r="E281" s="3"/>
      <c r="F281" s="3"/>
      <c r="G281" s="3"/>
      <c r="H281" s="3"/>
      <c r="I281" s="4"/>
      <c r="J281" s="3"/>
      <c r="K281" s="4"/>
      <c r="L281" s="4"/>
      <c r="M281" s="4"/>
      <c r="N281" s="4"/>
      <c r="O281" s="4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 ht="24" customHeight="1" x14ac:dyDescent="0.5">
      <c r="A282" s="3"/>
      <c r="B282" s="3"/>
      <c r="C282" s="3"/>
      <c r="D282" s="3"/>
      <c r="E282" s="3"/>
      <c r="F282" s="3"/>
      <c r="G282" s="3"/>
      <c r="H282" s="3"/>
      <c r="I282" s="4"/>
      <c r="J282" s="3"/>
      <c r="K282" s="4"/>
      <c r="L282" s="4"/>
      <c r="M282" s="4"/>
      <c r="N282" s="4"/>
      <c r="O282" s="4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 ht="24" customHeight="1" x14ac:dyDescent="0.5">
      <c r="A283" s="3"/>
      <c r="B283" s="3"/>
      <c r="C283" s="3"/>
      <c r="D283" s="3"/>
      <c r="E283" s="3"/>
      <c r="F283" s="3"/>
      <c r="G283" s="3"/>
      <c r="H283" s="3"/>
      <c r="I283" s="4"/>
      <c r="J283" s="3"/>
      <c r="K283" s="4"/>
      <c r="L283" s="4"/>
      <c r="M283" s="4"/>
      <c r="N283" s="4"/>
      <c r="O283" s="4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 ht="24" customHeight="1" x14ac:dyDescent="0.5">
      <c r="A284" s="3"/>
      <c r="B284" s="3"/>
      <c r="C284" s="3"/>
      <c r="D284" s="3"/>
      <c r="E284" s="3"/>
      <c r="F284" s="3"/>
      <c r="G284" s="3"/>
      <c r="H284" s="3"/>
      <c r="I284" s="4"/>
      <c r="J284" s="3"/>
      <c r="K284" s="4"/>
      <c r="L284" s="4"/>
      <c r="M284" s="4"/>
      <c r="N284" s="4"/>
      <c r="O284" s="4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 ht="24" customHeight="1" x14ac:dyDescent="0.5">
      <c r="A285" s="3"/>
      <c r="B285" s="3"/>
      <c r="C285" s="3"/>
      <c r="D285" s="3"/>
      <c r="E285" s="3"/>
      <c r="F285" s="3"/>
      <c r="G285" s="3"/>
      <c r="H285" s="3"/>
      <c r="I285" s="4"/>
      <c r="J285" s="3"/>
      <c r="K285" s="4"/>
      <c r="L285" s="4"/>
      <c r="M285" s="4"/>
      <c r="N285" s="4"/>
      <c r="O285" s="4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 ht="24" customHeight="1" x14ac:dyDescent="0.5">
      <c r="A286" s="3"/>
      <c r="B286" s="3"/>
      <c r="C286" s="3"/>
      <c r="D286" s="3"/>
      <c r="E286" s="3"/>
      <c r="F286" s="3"/>
      <c r="G286" s="3"/>
      <c r="H286" s="3"/>
      <c r="I286" s="4"/>
      <c r="J286" s="3"/>
      <c r="K286" s="4"/>
      <c r="L286" s="4"/>
      <c r="M286" s="4"/>
      <c r="N286" s="4"/>
      <c r="O286" s="4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 ht="24" customHeight="1" x14ac:dyDescent="0.5">
      <c r="A287" s="3"/>
      <c r="B287" s="3"/>
      <c r="C287" s="3"/>
      <c r="D287" s="3"/>
      <c r="E287" s="3"/>
      <c r="F287" s="3"/>
      <c r="G287" s="3"/>
      <c r="H287" s="3"/>
      <c r="I287" s="4"/>
      <c r="J287" s="3"/>
      <c r="K287" s="4"/>
      <c r="L287" s="4"/>
      <c r="M287" s="4"/>
      <c r="N287" s="4"/>
      <c r="O287" s="4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 ht="24" customHeight="1" x14ac:dyDescent="0.5">
      <c r="A288" s="3"/>
      <c r="B288" s="3"/>
      <c r="C288" s="3"/>
      <c r="D288" s="3"/>
      <c r="E288" s="3"/>
      <c r="F288" s="3"/>
      <c r="G288" s="3"/>
      <c r="H288" s="3"/>
      <c r="I288" s="4"/>
      <c r="J288" s="3"/>
      <c r="K288" s="4"/>
      <c r="L288" s="4"/>
      <c r="M288" s="4"/>
      <c r="N288" s="4"/>
      <c r="O288" s="4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 ht="24" customHeight="1" x14ac:dyDescent="0.5">
      <c r="A289" s="3"/>
      <c r="B289" s="3"/>
      <c r="C289" s="3"/>
      <c r="D289" s="3"/>
      <c r="E289" s="3"/>
      <c r="F289" s="3"/>
      <c r="G289" s="3"/>
      <c r="H289" s="3"/>
      <c r="I289" s="4"/>
      <c r="J289" s="3"/>
      <c r="K289" s="4"/>
      <c r="L289" s="4"/>
      <c r="M289" s="4"/>
      <c r="N289" s="4"/>
      <c r="O289" s="4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 ht="24" customHeight="1" x14ac:dyDescent="0.5">
      <c r="A290" s="3"/>
      <c r="B290" s="3"/>
      <c r="C290" s="3"/>
      <c r="D290" s="3"/>
      <c r="E290" s="3"/>
      <c r="F290" s="3"/>
      <c r="G290" s="3"/>
      <c r="H290" s="3"/>
      <c r="I290" s="4"/>
      <c r="J290" s="3"/>
      <c r="K290" s="4"/>
      <c r="L290" s="4"/>
      <c r="M290" s="4"/>
      <c r="N290" s="4"/>
      <c r="O290" s="4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 ht="24" customHeight="1" x14ac:dyDescent="0.5">
      <c r="A291" s="3"/>
      <c r="B291" s="3"/>
      <c r="C291" s="3"/>
      <c r="D291" s="3"/>
      <c r="E291" s="3"/>
      <c r="F291" s="3"/>
      <c r="G291" s="3"/>
      <c r="H291" s="3"/>
      <c r="I291" s="4"/>
      <c r="J291" s="3"/>
      <c r="K291" s="4"/>
      <c r="L291" s="4"/>
      <c r="M291" s="4"/>
      <c r="N291" s="4"/>
      <c r="O291" s="4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 ht="24" customHeight="1" x14ac:dyDescent="0.5">
      <c r="A292" s="3"/>
      <c r="B292" s="3"/>
      <c r="C292" s="3"/>
      <c r="D292" s="3"/>
      <c r="E292" s="3"/>
      <c r="F292" s="3"/>
      <c r="G292" s="3"/>
      <c r="H292" s="3"/>
      <c r="I292" s="4"/>
      <c r="J292" s="3"/>
      <c r="K292" s="4"/>
      <c r="L292" s="4"/>
      <c r="M292" s="4"/>
      <c r="N292" s="4"/>
      <c r="O292" s="4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 ht="24" customHeight="1" x14ac:dyDescent="0.5">
      <c r="A293" s="3"/>
      <c r="B293" s="3"/>
      <c r="C293" s="3"/>
      <c r="D293" s="3"/>
      <c r="E293" s="3"/>
      <c r="F293" s="3"/>
      <c r="G293" s="3"/>
      <c r="H293" s="3"/>
      <c r="I293" s="4"/>
      <c r="J293" s="3"/>
      <c r="K293" s="4"/>
      <c r="L293" s="4"/>
      <c r="M293" s="4"/>
      <c r="N293" s="4"/>
      <c r="O293" s="4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 ht="24" customHeight="1" x14ac:dyDescent="0.5">
      <c r="A294" s="3"/>
      <c r="B294" s="3"/>
      <c r="C294" s="3"/>
      <c r="D294" s="3"/>
      <c r="E294" s="3"/>
      <c r="F294" s="3"/>
      <c r="G294" s="3"/>
      <c r="H294" s="3"/>
      <c r="I294" s="4"/>
      <c r="J294" s="3"/>
      <c r="K294" s="4"/>
      <c r="L294" s="4"/>
      <c r="M294" s="4"/>
      <c r="N294" s="4"/>
      <c r="O294" s="4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 ht="24" customHeight="1" x14ac:dyDescent="0.5">
      <c r="A295" s="3"/>
      <c r="B295" s="3"/>
      <c r="C295" s="3"/>
      <c r="D295" s="3"/>
      <c r="E295" s="3"/>
      <c r="F295" s="3"/>
      <c r="G295" s="3"/>
      <c r="H295" s="3"/>
      <c r="I295" s="4"/>
      <c r="J295" s="3"/>
      <c r="K295" s="4"/>
      <c r="L295" s="4"/>
      <c r="M295" s="4"/>
      <c r="N295" s="4"/>
      <c r="O295" s="4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 ht="24" customHeight="1" x14ac:dyDescent="0.5">
      <c r="A296" s="3"/>
      <c r="B296" s="3"/>
      <c r="C296" s="3"/>
      <c r="D296" s="3"/>
      <c r="E296" s="3"/>
      <c r="F296" s="3"/>
      <c r="G296" s="3"/>
      <c r="H296" s="3"/>
      <c r="I296" s="4"/>
      <c r="J296" s="3"/>
      <c r="K296" s="4"/>
      <c r="L296" s="4"/>
      <c r="M296" s="4"/>
      <c r="N296" s="4"/>
      <c r="O296" s="4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 ht="24" customHeight="1" x14ac:dyDescent="0.5">
      <c r="A297" s="3"/>
      <c r="B297" s="3"/>
      <c r="C297" s="3"/>
      <c r="D297" s="3"/>
      <c r="E297" s="3"/>
      <c r="F297" s="3"/>
      <c r="G297" s="3"/>
      <c r="H297" s="3"/>
      <c r="I297" s="4"/>
      <c r="J297" s="3"/>
      <c r="K297" s="4"/>
      <c r="L297" s="4"/>
      <c r="M297" s="4"/>
      <c r="N297" s="4"/>
      <c r="O297" s="4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 ht="24" customHeight="1" x14ac:dyDescent="0.5">
      <c r="A298" s="3"/>
      <c r="B298" s="3"/>
      <c r="C298" s="3"/>
      <c r="D298" s="3"/>
      <c r="E298" s="3"/>
      <c r="F298" s="3"/>
      <c r="G298" s="3"/>
      <c r="H298" s="3"/>
      <c r="I298" s="4"/>
      <c r="J298" s="3"/>
      <c r="K298" s="4"/>
      <c r="L298" s="4"/>
      <c r="M298" s="4"/>
      <c r="N298" s="4"/>
      <c r="O298" s="4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 ht="24" customHeight="1" x14ac:dyDescent="0.5">
      <c r="A299" s="3"/>
      <c r="B299" s="3"/>
      <c r="C299" s="3"/>
      <c r="D299" s="3"/>
      <c r="E299" s="3"/>
      <c r="F299" s="3"/>
      <c r="G299" s="3"/>
      <c r="H299" s="3"/>
      <c r="I299" s="4"/>
      <c r="J299" s="3"/>
      <c r="K299" s="4"/>
      <c r="L299" s="4"/>
      <c r="M299" s="4"/>
      <c r="N299" s="4"/>
      <c r="O299" s="4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 ht="24" customHeight="1" x14ac:dyDescent="0.5">
      <c r="A300" s="3"/>
      <c r="B300" s="3"/>
      <c r="C300" s="3"/>
      <c r="D300" s="3"/>
      <c r="E300" s="3"/>
      <c r="F300" s="3"/>
      <c r="G300" s="3"/>
      <c r="H300" s="3"/>
      <c r="I300" s="4"/>
      <c r="J300" s="3"/>
      <c r="K300" s="4"/>
      <c r="L300" s="4"/>
      <c r="M300" s="4"/>
      <c r="N300" s="4"/>
      <c r="O300" s="4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 ht="24" customHeight="1" x14ac:dyDescent="0.5">
      <c r="A301" s="3"/>
      <c r="B301" s="3"/>
      <c r="C301" s="3"/>
      <c r="D301" s="3"/>
      <c r="E301" s="3"/>
      <c r="F301" s="3"/>
      <c r="G301" s="3"/>
      <c r="H301" s="3"/>
      <c r="I301" s="4"/>
      <c r="J301" s="3"/>
      <c r="K301" s="4"/>
      <c r="L301" s="4"/>
      <c r="M301" s="4"/>
      <c r="N301" s="4"/>
      <c r="O301" s="4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 ht="24" customHeight="1" x14ac:dyDescent="0.5">
      <c r="A302" s="3"/>
      <c r="B302" s="3"/>
      <c r="C302" s="3"/>
      <c r="D302" s="3"/>
      <c r="E302" s="3"/>
      <c r="F302" s="3"/>
      <c r="G302" s="3"/>
      <c r="H302" s="3"/>
      <c r="I302" s="4"/>
      <c r="J302" s="3"/>
      <c r="K302" s="4"/>
      <c r="L302" s="4"/>
      <c r="M302" s="4"/>
      <c r="N302" s="4"/>
      <c r="O302" s="4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 ht="24" customHeight="1" x14ac:dyDescent="0.5">
      <c r="A303" s="3"/>
      <c r="B303" s="3"/>
      <c r="C303" s="3"/>
      <c r="D303" s="3"/>
      <c r="E303" s="3"/>
      <c r="F303" s="3"/>
      <c r="G303" s="3"/>
      <c r="H303" s="3"/>
      <c r="I303" s="4"/>
      <c r="J303" s="3"/>
      <c r="K303" s="4"/>
      <c r="L303" s="4"/>
      <c r="M303" s="4"/>
      <c r="N303" s="4"/>
      <c r="O303" s="4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 ht="24" customHeight="1" x14ac:dyDescent="0.5">
      <c r="A304" s="3"/>
      <c r="B304" s="3"/>
      <c r="C304" s="3"/>
      <c r="D304" s="3"/>
      <c r="E304" s="3"/>
      <c r="F304" s="3"/>
      <c r="G304" s="3"/>
      <c r="H304" s="3"/>
      <c r="I304" s="4"/>
      <c r="J304" s="3"/>
      <c r="K304" s="4"/>
      <c r="L304" s="4"/>
      <c r="M304" s="4"/>
      <c r="N304" s="4"/>
      <c r="O304" s="4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 ht="24" customHeight="1" x14ac:dyDescent="0.5">
      <c r="A305" s="3"/>
      <c r="B305" s="3"/>
      <c r="C305" s="3"/>
      <c r="D305" s="3"/>
      <c r="E305" s="3"/>
      <c r="F305" s="3"/>
      <c r="G305" s="3"/>
      <c r="H305" s="3"/>
      <c r="I305" s="4"/>
      <c r="J305" s="3"/>
      <c r="K305" s="4"/>
      <c r="L305" s="4"/>
      <c r="M305" s="4"/>
      <c r="N305" s="4"/>
      <c r="O305" s="4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 ht="24" customHeight="1" x14ac:dyDescent="0.5">
      <c r="A306" s="3"/>
      <c r="B306" s="3"/>
      <c r="C306" s="3"/>
      <c r="D306" s="3"/>
      <c r="E306" s="3"/>
      <c r="F306" s="3"/>
      <c r="G306" s="3"/>
      <c r="H306" s="3"/>
      <c r="I306" s="4"/>
      <c r="J306" s="3"/>
      <c r="K306" s="4"/>
      <c r="L306" s="4"/>
      <c r="M306" s="4"/>
      <c r="N306" s="4"/>
      <c r="O306" s="4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 ht="24" customHeight="1" x14ac:dyDescent="0.5">
      <c r="A307" s="3"/>
      <c r="B307" s="3"/>
      <c r="C307" s="3"/>
      <c r="D307" s="3"/>
      <c r="E307" s="3"/>
      <c r="F307" s="3"/>
      <c r="G307" s="3"/>
      <c r="H307" s="3"/>
      <c r="I307" s="4"/>
      <c r="J307" s="3"/>
      <c r="K307" s="4"/>
      <c r="L307" s="4"/>
      <c r="M307" s="4"/>
      <c r="N307" s="4"/>
      <c r="O307" s="4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 ht="24" customHeight="1" x14ac:dyDescent="0.5">
      <c r="A308" s="3"/>
      <c r="B308" s="3"/>
      <c r="C308" s="3"/>
      <c r="D308" s="3"/>
      <c r="E308" s="3"/>
      <c r="F308" s="3"/>
      <c r="G308" s="3"/>
      <c r="H308" s="3"/>
      <c r="I308" s="4"/>
      <c r="J308" s="3"/>
      <c r="K308" s="4"/>
      <c r="L308" s="4"/>
      <c r="M308" s="4"/>
      <c r="N308" s="4"/>
      <c r="O308" s="4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 ht="24" customHeight="1" x14ac:dyDescent="0.5">
      <c r="A309" s="3"/>
      <c r="B309" s="3"/>
      <c r="C309" s="3"/>
      <c r="D309" s="3"/>
      <c r="E309" s="3"/>
      <c r="F309" s="3"/>
      <c r="G309" s="3"/>
      <c r="H309" s="3"/>
      <c r="I309" s="4"/>
      <c r="J309" s="3"/>
      <c r="K309" s="4"/>
      <c r="L309" s="4"/>
      <c r="M309" s="4"/>
      <c r="N309" s="4"/>
      <c r="O309" s="4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 ht="24" customHeight="1" x14ac:dyDescent="0.5">
      <c r="A310" s="3"/>
      <c r="B310" s="3"/>
      <c r="C310" s="3"/>
      <c r="D310" s="3"/>
      <c r="E310" s="3"/>
      <c r="F310" s="3"/>
      <c r="G310" s="3"/>
      <c r="H310" s="3"/>
      <c r="I310" s="4"/>
      <c r="J310" s="3"/>
      <c r="K310" s="4"/>
      <c r="L310" s="4"/>
      <c r="M310" s="4"/>
      <c r="N310" s="4"/>
      <c r="O310" s="4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 ht="24" customHeight="1" x14ac:dyDescent="0.5">
      <c r="A311" s="3"/>
      <c r="B311" s="3"/>
      <c r="C311" s="3"/>
      <c r="D311" s="3"/>
      <c r="E311" s="3"/>
      <c r="F311" s="3"/>
      <c r="G311" s="3"/>
      <c r="H311" s="3"/>
      <c r="I311" s="4"/>
      <c r="J311" s="3"/>
      <c r="K311" s="4"/>
      <c r="L311" s="4"/>
      <c r="M311" s="4"/>
      <c r="N311" s="4"/>
      <c r="O311" s="4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 ht="24" customHeight="1" x14ac:dyDescent="0.5">
      <c r="A312" s="3"/>
      <c r="B312" s="3"/>
      <c r="C312" s="3"/>
      <c r="D312" s="3"/>
      <c r="E312" s="3"/>
      <c r="F312" s="3"/>
      <c r="G312" s="3"/>
      <c r="H312" s="3"/>
      <c r="I312" s="4"/>
      <c r="J312" s="3"/>
      <c r="K312" s="4"/>
      <c r="L312" s="4"/>
      <c r="M312" s="4"/>
      <c r="N312" s="4"/>
      <c r="O312" s="4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 ht="24" customHeight="1" x14ac:dyDescent="0.5">
      <c r="A313" s="3"/>
      <c r="B313" s="3"/>
      <c r="C313" s="3"/>
      <c r="D313" s="3"/>
      <c r="E313" s="3"/>
      <c r="F313" s="3"/>
      <c r="G313" s="3"/>
      <c r="H313" s="3"/>
      <c r="I313" s="4"/>
      <c r="J313" s="3"/>
      <c r="K313" s="4"/>
      <c r="L313" s="4"/>
      <c r="M313" s="4"/>
      <c r="N313" s="4"/>
      <c r="O313" s="4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 ht="24" customHeight="1" x14ac:dyDescent="0.5">
      <c r="A314" s="3"/>
      <c r="B314" s="3"/>
      <c r="C314" s="3"/>
      <c r="D314" s="3"/>
      <c r="E314" s="3"/>
      <c r="F314" s="3"/>
      <c r="G314" s="3"/>
      <c r="H314" s="3"/>
      <c r="I314" s="4"/>
      <c r="J314" s="3"/>
      <c r="K314" s="4"/>
      <c r="L314" s="4"/>
      <c r="M314" s="4"/>
      <c r="N314" s="4"/>
      <c r="O314" s="4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 ht="24" customHeight="1" x14ac:dyDescent="0.5">
      <c r="A315" s="81"/>
      <c r="B315" s="81"/>
      <c r="C315" s="81"/>
      <c r="D315" s="81"/>
      <c r="E315" s="81"/>
      <c r="F315" s="81"/>
      <c r="G315" s="81"/>
      <c r="H315" s="81"/>
      <c r="I315" s="289"/>
      <c r="J315" s="81"/>
      <c r="K315" s="289"/>
      <c r="L315" s="289"/>
      <c r="M315" s="289"/>
      <c r="N315" s="289"/>
      <c r="O315" s="289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 ht="24" customHeight="1" x14ac:dyDescent="0.5">
      <c r="A316" s="81"/>
      <c r="B316" s="81"/>
      <c r="C316" s="81"/>
      <c r="D316" s="81"/>
      <c r="E316" s="81"/>
      <c r="F316" s="81"/>
      <c r="G316" s="81"/>
      <c r="H316" s="81"/>
      <c r="I316" s="289"/>
      <c r="J316" s="81"/>
      <c r="K316" s="289"/>
      <c r="L316" s="289"/>
      <c r="M316" s="289"/>
      <c r="N316" s="289"/>
      <c r="O316" s="289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 ht="24" customHeight="1" x14ac:dyDescent="0.5">
      <c r="A317" s="81"/>
      <c r="B317" s="81"/>
      <c r="C317" s="81"/>
      <c r="D317" s="81"/>
      <c r="E317" s="81"/>
      <c r="F317" s="81"/>
      <c r="G317" s="81"/>
      <c r="H317" s="81"/>
      <c r="I317" s="289"/>
      <c r="J317" s="81"/>
      <c r="K317" s="289"/>
      <c r="L317" s="289"/>
      <c r="M317" s="289"/>
      <c r="N317" s="289"/>
      <c r="O317" s="289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 ht="24" customHeight="1" x14ac:dyDescent="0.5">
      <c r="A318" s="81"/>
      <c r="B318" s="81"/>
      <c r="C318" s="81"/>
      <c r="D318" s="81"/>
      <c r="E318" s="81"/>
      <c r="F318" s="81"/>
      <c r="G318" s="81"/>
      <c r="H318" s="81"/>
      <c r="I318" s="289"/>
      <c r="J318" s="81"/>
      <c r="K318" s="289"/>
      <c r="L318" s="289"/>
      <c r="M318" s="289"/>
      <c r="N318" s="289"/>
      <c r="O318" s="289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 ht="24" customHeight="1" x14ac:dyDescent="0.5">
      <c r="A319" s="81"/>
      <c r="B319" s="81"/>
      <c r="C319" s="81"/>
      <c r="D319" s="81"/>
      <c r="E319" s="81"/>
      <c r="F319" s="81"/>
      <c r="G319" s="81"/>
      <c r="H319" s="81"/>
      <c r="I319" s="289"/>
      <c r="J319" s="81"/>
      <c r="K319" s="289"/>
      <c r="L319" s="289"/>
      <c r="M319" s="289"/>
      <c r="N319" s="289"/>
      <c r="O319" s="289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 ht="24" customHeight="1" x14ac:dyDescent="0.5">
      <c r="A320" s="81"/>
      <c r="B320" s="81"/>
      <c r="C320" s="81"/>
      <c r="D320" s="81"/>
      <c r="E320" s="81"/>
      <c r="F320" s="81"/>
      <c r="G320" s="81"/>
      <c r="H320" s="81"/>
      <c r="I320" s="289"/>
      <c r="J320" s="81"/>
      <c r="K320" s="289"/>
      <c r="L320" s="289"/>
      <c r="M320" s="289"/>
      <c r="N320" s="289"/>
      <c r="O320" s="289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 ht="24" customHeight="1" x14ac:dyDescent="0.5">
      <c r="A321" s="81"/>
      <c r="B321" s="81"/>
      <c r="C321" s="81"/>
      <c r="D321" s="81"/>
      <c r="E321" s="81"/>
      <c r="F321" s="81"/>
      <c r="G321" s="81"/>
      <c r="H321" s="81"/>
      <c r="I321" s="289"/>
      <c r="J321" s="81"/>
      <c r="K321" s="289"/>
      <c r="L321" s="289"/>
      <c r="M321" s="289"/>
      <c r="N321" s="289"/>
      <c r="O321" s="289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 ht="24" customHeight="1" x14ac:dyDescent="0.5">
      <c r="A322" s="81"/>
      <c r="B322" s="81"/>
      <c r="C322" s="81"/>
      <c r="D322" s="81"/>
      <c r="E322" s="81"/>
      <c r="F322" s="81"/>
      <c r="G322" s="81"/>
      <c r="H322" s="81"/>
      <c r="I322" s="289"/>
      <c r="J322" s="81"/>
      <c r="K322" s="289"/>
      <c r="L322" s="289"/>
      <c r="M322" s="289"/>
      <c r="N322" s="289"/>
      <c r="O322" s="289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 ht="24" customHeight="1" x14ac:dyDescent="0.5">
      <c r="A323" s="81"/>
      <c r="B323" s="81"/>
      <c r="C323" s="81"/>
      <c r="D323" s="81"/>
      <c r="E323" s="81"/>
      <c r="F323" s="81"/>
      <c r="G323" s="81"/>
      <c r="H323" s="81"/>
      <c r="I323" s="289"/>
      <c r="J323" s="81"/>
      <c r="K323" s="289"/>
      <c r="L323" s="289"/>
      <c r="M323" s="289"/>
      <c r="N323" s="289"/>
      <c r="O323" s="289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 ht="24" customHeight="1" x14ac:dyDescent="0.5">
      <c r="A324" s="81"/>
      <c r="B324" s="81"/>
      <c r="C324" s="81"/>
      <c r="D324" s="81"/>
      <c r="E324" s="81"/>
      <c r="F324" s="81"/>
      <c r="G324" s="81"/>
      <c r="H324" s="81"/>
      <c r="I324" s="289"/>
      <c r="J324" s="81"/>
      <c r="K324" s="289"/>
      <c r="L324" s="289"/>
      <c r="M324" s="289"/>
      <c r="N324" s="289"/>
      <c r="O324" s="289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 ht="24" customHeight="1" x14ac:dyDescent="0.5">
      <c r="A325" s="81"/>
      <c r="B325" s="81"/>
      <c r="C325" s="81"/>
      <c r="D325" s="81"/>
      <c r="E325" s="81"/>
      <c r="F325" s="81"/>
      <c r="G325" s="81"/>
      <c r="H325" s="81"/>
      <c r="I325" s="289"/>
      <c r="J325" s="81"/>
      <c r="K325" s="289"/>
      <c r="L325" s="289"/>
      <c r="M325" s="289"/>
      <c r="N325" s="289"/>
      <c r="O325" s="289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 ht="24" customHeight="1" x14ac:dyDescent="0.5">
      <c r="A326" s="81"/>
      <c r="B326" s="81"/>
      <c r="C326" s="81"/>
      <c r="D326" s="81"/>
      <c r="E326" s="81"/>
      <c r="F326" s="81"/>
      <c r="G326" s="81"/>
      <c r="H326" s="81"/>
      <c r="I326" s="289"/>
      <c r="J326" s="81"/>
      <c r="K326" s="289"/>
      <c r="L326" s="289"/>
      <c r="M326" s="289"/>
      <c r="N326" s="289"/>
      <c r="O326" s="289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 ht="24" customHeight="1" x14ac:dyDescent="0.5">
      <c r="A327" s="81"/>
      <c r="B327" s="81"/>
      <c r="C327" s="81"/>
      <c r="D327" s="81"/>
      <c r="E327" s="81"/>
      <c r="F327" s="81"/>
      <c r="G327" s="81"/>
      <c r="H327" s="81"/>
      <c r="I327" s="289"/>
      <c r="J327" s="81"/>
      <c r="K327" s="289"/>
      <c r="L327" s="289"/>
      <c r="M327" s="289"/>
      <c r="N327" s="289"/>
      <c r="O327" s="289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 ht="24" customHeight="1" x14ac:dyDescent="0.5">
      <c r="A328" s="81"/>
      <c r="B328" s="81"/>
      <c r="C328" s="81"/>
      <c r="D328" s="81"/>
      <c r="E328" s="81"/>
      <c r="F328" s="81"/>
      <c r="G328" s="81"/>
      <c r="H328" s="81"/>
      <c r="I328" s="289"/>
      <c r="J328" s="81"/>
      <c r="K328" s="289"/>
      <c r="L328" s="289"/>
      <c r="M328" s="289"/>
      <c r="N328" s="289"/>
      <c r="O328" s="289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 ht="24" customHeight="1" x14ac:dyDescent="0.5">
      <c r="A329" s="81"/>
      <c r="B329" s="81"/>
      <c r="C329" s="81"/>
      <c r="D329" s="81"/>
      <c r="E329" s="81"/>
      <c r="F329" s="81"/>
      <c r="G329" s="81"/>
      <c r="H329" s="81"/>
      <c r="I329" s="289"/>
      <c r="J329" s="81"/>
      <c r="K329" s="289"/>
      <c r="L329" s="289"/>
      <c r="M329" s="289"/>
      <c r="N329" s="289"/>
      <c r="O329" s="289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 ht="24" customHeight="1" x14ac:dyDescent="0.5">
      <c r="A330" s="81"/>
      <c r="B330" s="81"/>
      <c r="C330" s="81"/>
      <c r="D330" s="81"/>
      <c r="E330" s="81"/>
      <c r="F330" s="81"/>
      <c r="G330" s="81"/>
      <c r="H330" s="81"/>
      <c r="I330" s="289"/>
      <c r="J330" s="81"/>
      <c r="K330" s="289"/>
      <c r="L330" s="289"/>
      <c r="M330" s="289"/>
      <c r="N330" s="289"/>
      <c r="O330" s="289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 ht="24" customHeight="1" x14ac:dyDescent="0.5">
      <c r="A331" s="81"/>
      <c r="B331" s="81"/>
      <c r="C331" s="81"/>
      <c r="D331" s="81"/>
      <c r="E331" s="81"/>
      <c r="F331" s="81"/>
      <c r="G331" s="81"/>
      <c r="H331" s="81"/>
      <c r="I331" s="289"/>
      <c r="J331" s="81"/>
      <c r="K331" s="289"/>
      <c r="L331" s="289"/>
      <c r="M331" s="289"/>
      <c r="N331" s="289"/>
      <c r="O331" s="289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 ht="24" customHeight="1" x14ac:dyDescent="0.5">
      <c r="A332" s="81"/>
      <c r="B332" s="81"/>
      <c r="C332" s="81"/>
      <c r="D332" s="81"/>
      <c r="E332" s="81"/>
      <c r="F332" s="81"/>
      <c r="G332" s="81"/>
      <c r="H332" s="81"/>
      <c r="I332" s="289"/>
      <c r="J332" s="81"/>
      <c r="K332" s="289"/>
      <c r="L332" s="289"/>
      <c r="M332" s="289"/>
      <c r="N332" s="289"/>
      <c r="O332" s="289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 ht="24" customHeight="1" x14ac:dyDescent="0.5">
      <c r="A333" s="81"/>
      <c r="B333" s="81"/>
      <c r="C333" s="81"/>
      <c r="D333" s="81"/>
      <c r="E333" s="81"/>
      <c r="F333" s="81"/>
      <c r="G333" s="81"/>
      <c r="H333" s="81"/>
      <c r="I333" s="289"/>
      <c r="J333" s="81"/>
      <c r="K333" s="289"/>
      <c r="L333" s="289"/>
      <c r="M333" s="289"/>
      <c r="N333" s="289"/>
      <c r="O333" s="289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 ht="24" customHeight="1" x14ac:dyDescent="0.5">
      <c r="A334" s="81"/>
      <c r="B334" s="81"/>
      <c r="C334" s="81"/>
      <c r="D334" s="81"/>
      <c r="E334" s="81"/>
      <c r="F334" s="81"/>
      <c r="G334" s="81"/>
      <c r="H334" s="81"/>
      <c r="I334" s="289"/>
      <c r="J334" s="81"/>
      <c r="K334" s="289"/>
      <c r="L334" s="289"/>
      <c r="M334" s="289"/>
      <c r="N334" s="289"/>
      <c r="O334" s="289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 ht="24" customHeight="1" x14ac:dyDescent="0.5">
      <c r="A335" s="81"/>
      <c r="B335" s="81"/>
      <c r="C335" s="81"/>
      <c r="D335" s="81"/>
      <c r="E335" s="81"/>
      <c r="F335" s="81"/>
      <c r="G335" s="81"/>
      <c r="H335" s="81"/>
      <c r="I335" s="289"/>
      <c r="J335" s="81"/>
      <c r="K335" s="289"/>
      <c r="L335" s="289"/>
      <c r="M335" s="289"/>
      <c r="N335" s="289"/>
      <c r="O335" s="289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 ht="24" customHeight="1" x14ac:dyDescent="0.5">
      <c r="A336" s="81"/>
      <c r="B336" s="81"/>
      <c r="C336" s="81"/>
      <c r="D336" s="81"/>
      <c r="E336" s="81"/>
      <c r="F336" s="81"/>
      <c r="G336" s="81"/>
      <c r="H336" s="81"/>
      <c r="I336" s="289"/>
      <c r="J336" s="81"/>
      <c r="K336" s="289"/>
      <c r="L336" s="289"/>
      <c r="M336" s="289"/>
      <c r="N336" s="289"/>
      <c r="O336" s="289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 ht="24" customHeight="1" x14ac:dyDescent="0.5">
      <c r="A337" s="81"/>
      <c r="B337" s="81"/>
      <c r="C337" s="81"/>
      <c r="D337" s="81"/>
      <c r="E337" s="81"/>
      <c r="F337" s="81"/>
      <c r="G337" s="81"/>
      <c r="H337" s="81"/>
      <c r="I337" s="289"/>
      <c r="J337" s="81"/>
      <c r="K337" s="289"/>
      <c r="L337" s="289"/>
      <c r="M337" s="289"/>
      <c r="N337" s="289"/>
      <c r="O337" s="289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 ht="24" customHeight="1" x14ac:dyDescent="0.5">
      <c r="A338" s="81"/>
      <c r="B338" s="81"/>
      <c r="C338" s="81"/>
      <c r="D338" s="81"/>
      <c r="E338" s="81"/>
      <c r="F338" s="81"/>
      <c r="G338" s="81"/>
      <c r="H338" s="81"/>
      <c r="I338" s="289"/>
      <c r="J338" s="81"/>
      <c r="K338" s="289"/>
      <c r="L338" s="289"/>
      <c r="M338" s="289"/>
      <c r="N338" s="289"/>
      <c r="O338" s="289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 ht="24" customHeight="1" x14ac:dyDescent="0.5">
      <c r="A339" s="81"/>
      <c r="B339" s="81"/>
      <c r="C339" s="81"/>
      <c r="D339" s="81"/>
      <c r="E339" s="81"/>
      <c r="F339" s="81"/>
      <c r="G339" s="81"/>
      <c r="H339" s="81"/>
      <c r="I339" s="289"/>
      <c r="J339" s="81"/>
      <c r="K339" s="289"/>
      <c r="L339" s="289"/>
      <c r="M339" s="289"/>
      <c r="N339" s="289"/>
      <c r="O339" s="289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 ht="24" customHeight="1" x14ac:dyDescent="0.5">
      <c r="A340" s="81"/>
      <c r="B340" s="81"/>
      <c r="C340" s="81"/>
      <c r="D340" s="81"/>
      <c r="E340" s="81"/>
      <c r="F340" s="81"/>
      <c r="G340" s="81"/>
      <c r="H340" s="81"/>
      <c r="I340" s="289"/>
      <c r="J340" s="81"/>
      <c r="K340" s="289"/>
      <c r="L340" s="289"/>
      <c r="M340" s="289"/>
      <c r="N340" s="289"/>
      <c r="O340" s="289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 ht="24" customHeight="1" x14ac:dyDescent="0.5">
      <c r="A341" s="81"/>
      <c r="B341" s="81"/>
      <c r="C341" s="81"/>
      <c r="D341" s="81"/>
      <c r="E341" s="81"/>
      <c r="F341" s="81"/>
      <c r="G341" s="81"/>
      <c r="H341" s="81"/>
      <c r="I341" s="289"/>
      <c r="J341" s="81"/>
      <c r="K341" s="289"/>
      <c r="L341" s="289"/>
      <c r="M341" s="289"/>
      <c r="N341" s="289"/>
      <c r="O341" s="289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 ht="24" customHeight="1" x14ac:dyDescent="0.5">
      <c r="A342" s="81"/>
      <c r="B342" s="81"/>
      <c r="C342" s="81"/>
      <c r="D342" s="81"/>
      <c r="E342" s="81"/>
      <c r="F342" s="81"/>
      <c r="G342" s="81"/>
      <c r="H342" s="81"/>
      <c r="I342" s="289"/>
      <c r="J342" s="81"/>
      <c r="K342" s="289"/>
      <c r="L342" s="289"/>
      <c r="M342" s="289"/>
      <c r="N342" s="289"/>
      <c r="O342" s="289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 ht="24" customHeight="1" x14ac:dyDescent="0.5">
      <c r="A343" s="81"/>
      <c r="B343" s="81"/>
      <c r="C343" s="81"/>
      <c r="D343" s="81"/>
      <c r="E343" s="81"/>
      <c r="F343" s="81"/>
      <c r="G343" s="81"/>
      <c r="H343" s="81"/>
      <c r="I343" s="289"/>
      <c r="J343" s="81"/>
      <c r="K343" s="289"/>
      <c r="L343" s="289"/>
      <c r="M343" s="289"/>
      <c r="N343" s="289"/>
      <c r="O343" s="289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 ht="24" customHeight="1" x14ac:dyDescent="0.5">
      <c r="A344" s="81"/>
      <c r="B344" s="81"/>
      <c r="C344" s="81"/>
      <c r="D344" s="81"/>
      <c r="E344" s="81"/>
      <c r="F344" s="81"/>
      <c r="G344" s="81"/>
      <c r="H344" s="81"/>
      <c r="I344" s="289"/>
      <c r="J344" s="81"/>
      <c r="K344" s="289"/>
      <c r="L344" s="289"/>
      <c r="M344" s="289"/>
      <c r="N344" s="289"/>
      <c r="O344" s="289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 ht="24" customHeight="1" x14ac:dyDescent="0.5">
      <c r="A345" s="81"/>
      <c r="B345" s="81"/>
      <c r="C345" s="81"/>
      <c r="D345" s="81"/>
      <c r="E345" s="81"/>
      <c r="F345" s="81"/>
      <c r="G345" s="81"/>
      <c r="H345" s="81"/>
      <c r="I345" s="289"/>
      <c r="J345" s="81"/>
      <c r="K345" s="289"/>
      <c r="L345" s="289"/>
      <c r="M345" s="289"/>
      <c r="N345" s="289"/>
      <c r="O345" s="289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 ht="24" customHeight="1" x14ac:dyDescent="0.5">
      <c r="A346" s="81"/>
      <c r="B346" s="81"/>
      <c r="C346" s="81"/>
      <c r="D346" s="81"/>
      <c r="E346" s="81"/>
      <c r="F346" s="81"/>
      <c r="G346" s="81"/>
      <c r="H346" s="81"/>
      <c r="I346" s="289"/>
      <c r="J346" s="81"/>
      <c r="K346" s="289"/>
      <c r="L346" s="289"/>
      <c r="M346" s="289"/>
      <c r="N346" s="289"/>
      <c r="O346" s="289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 ht="24" customHeight="1" x14ac:dyDescent="0.5">
      <c r="A347" s="81"/>
      <c r="B347" s="81"/>
      <c r="C347" s="81"/>
      <c r="D347" s="81"/>
      <c r="E347" s="81"/>
      <c r="F347" s="81"/>
      <c r="G347" s="81"/>
      <c r="H347" s="81"/>
      <c r="I347" s="289"/>
      <c r="J347" s="81"/>
      <c r="K347" s="289"/>
      <c r="L347" s="289"/>
      <c r="M347" s="289"/>
      <c r="N347" s="289"/>
      <c r="O347" s="289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 ht="24" customHeight="1" x14ac:dyDescent="0.5">
      <c r="A348" s="81"/>
      <c r="B348" s="81"/>
      <c r="C348" s="81"/>
      <c r="D348" s="81"/>
      <c r="E348" s="81"/>
      <c r="F348" s="81"/>
      <c r="G348" s="81"/>
      <c r="H348" s="81"/>
      <c r="I348" s="289"/>
      <c r="J348" s="81"/>
      <c r="K348" s="289"/>
      <c r="L348" s="289"/>
      <c r="M348" s="289"/>
      <c r="N348" s="289"/>
      <c r="O348" s="289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 ht="24" customHeight="1" x14ac:dyDescent="0.5">
      <c r="A349" s="81"/>
      <c r="B349" s="81"/>
      <c r="C349" s="81"/>
      <c r="D349" s="81"/>
      <c r="E349" s="81"/>
      <c r="F349" s="81"/>
      <c r="G349" s="81"/>
      <c r="H349" s="81"/>
      <c r="I349" s="289"/>
      <c r="J349" s="81"/>
      <c r="K349" s="289"/>
      <c r="L349" s="289"/>
      <c r="M349" s="289"/>
      <c r="N349" s="289"/>
      <c r="O349" s="289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 ht="24" customHeight="1" x14ac:dyDescent="0.5">
      <c r="A350" s="81"/>
      <c r="B350" s="81"/>
      <c r="C350" s="81"/>
      <c r="D350" s="81"/>
      <c r="E350" s="81"/>
      <c r="F350" s="81"/>
      <c r="G350" s="81"/>
      <c r="H350" s="81"/>
      <c r="I350" s="289"/>
      <c r="J350" s="81"/>
      <c r="K350" s="289"/>
      <c r="L350" s="289"/>
      <c r="M350" s="289"/>
      <c r="N350" s="289"/>
      <c r="O350" s="289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 ht="24" customHeight="1" x14ac:dyDescent="0.5">
      <c r="A351" s="81"/>
      <c r="B351" s="81"/>
      <c r="C351" s="81"/>
      <c r="D351" s="81"/>
      <c r="E351" s="81"/>
      <c r="F351" s="81"/>
      <c r="G351" s="81"/>
      <c r="H351" s="81"/>
      <c r="I351" s="289"/>
      <c r="J351" s="81"/>
      <c r="K351" s="289"/>
      <c r="L351" s="289"/>
      <c r="M351" s="289"/>
      <c r="N351" s="289"/>
      <c r="O351" s="289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 ht="24" customHeight="1" x14ac:dyDescent="0.5">
      <c r="A352" s="81"/>
      <c r="B352" s="81"/>
      <c r="C352" s="81"/>
      <c r="D352" s="81"/>
      <c r="E352" s="81"/>
      <c r="F352" s="81"/>
      <c r="G352" s="81"/>
      <c r="H352" s="81"/>
      <c r="I352" s="289"/>
      <c r="J352" s="81"/>
      <c r="K352" s="289"/>
      <c r="L352" s="289"/>
      <c r="M352" s="289"/>
      <c r="N352" s="289"/>
      <c r="O352" s="289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 ht="24" customHeight="1" x14ac:dyDescent="0.5">
      <c r="A353" s="81"/>
      <c r="B353" s="81"/>
      <c r="C353" s="81"/>
      <c r="D353" s="81"/>
      <c r="E353" s="81"/>
      <c r="F353" s="81"/>
      <c r="G353" s="81"/>
      <c r="H353" s="81"/>
      <c r="I353" s="289"/>
      <c r="J353" s="81"/>
      <c r="K353" s="289"/>
      <c r="L353" s="289"/>
      <c r="M353" s="289"/>
      <c r="N353" s="289"/>
      <c r="O353" s="289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 ht="24" customHeight="1" x14ac:dyDescent="0.5">
      <c r="A354" s="81"/>
      <c r="B354" s="81"/>
      <c r="C354" s="81"/>
      <c r="D354" s="81"/>
      <c r="E354" s="81"/>
      <c r="F354" s="81"/>
      <c r="G354" s="81"/>
      <c r="H354" s="81"/>
      <c r="I354" s="289"/>
      <c r="J354" s="81"/>
      <c r="K354" s="289"/>
      <c r="L354" s="289"/>
      <c r="M354" s="289"/>
      <c r="N354" s="289"/>
      <c r="O354" s="289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 ht="24" customHeight="1" x14ac:dyDescent="0.5">
      <c r="A355" s="81"/>
      <c r="B355" s="81"/>
      <c r="C355" s="81"/>
      <c r="D355" s="81"/>
      <c r="E355" s="81"/>
      <c r="F355" s="81"/>
      <c r="G355" s="81"/>
      <c r="H355" s="81"/>
      <c r="I355" s="289"/>
      <c r="J355" s="81"/>
      <c r="K355" s="289"/>
      <c r="L355" s="289"/>
      <c r="M355" s="289"/>
      <c r="N355" s="289"/>
      <c r="O355" s="289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 ht="24" customHeight="1" x14ac:dyDescent="0.5">
      <c r="A356" s="81"/>
      <c r="B356" s="81"/>
      <c r="C356" s="81"/>
      <c r="D356" s="81"/>
      <c r="E356" s="81"/>
      <c r="F356" s="81"/>
      <c r="G356" s="81"/>
      <c r="H356" s="81"/>
      <c r="I356" s="289"/>
      <c r="J356" s="81"/>
      <c r="K356" s="289"/>
      <c r="L356" s="289"/>
      <c r="M356" s="289"/>
      <c r="N356" s="289"/>
      <c r="O356" s="289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 ht="24" customHeight="1" x14ac:dyDescent="0.5">
      <c r="A357" s="81"/>
      <c r="B357" s="81"/>
      <c r="C357" s="81"/>
      <c r="D357" s="81"/>
      <c r="E357" s="81"/>
      <c r="F357" s="81"/>
      <c r="G357" s="81"/>
      <c r="H357" s="81"/>
      <c r="I357" s="289"/>
      <c r="J357" s="81"/>
      <c r="K357" s="289"/>
      <c r="L357" s="289"/>
      <c r="M357" s="289"/>
      <c r="N357" s="289"/>
      <c r="O357" s="289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 ht="24" customHeight="1" x14ac:dyDescent="0.5">
      <c r="A358" s="81"/>
      <c r="B358" s="81"/>
      <c r="C358" s="81"/>
      <c r="D358" s="81"/>
      <c r="E358" s="81"/>
      <c r="F358" s="81"/>
      <c r="G358" s="81"/>
      <c r="H358" s="81"/>
      <c r="I358" s="289"/>
      <c r="J358" s="81"/>
      <c r="K358" s="289"/>
      <c r="L358" s="289"/>
      <c r="M358" s="289"/>
      <c r="N358" s="289"/>
      <c r="O358" s="289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 ht="24" customHeight="1" x14ac:dyDescent="0.5">
      <c r="A359" s="81"/>
      <c r="B359" s="81"/>
      <c r="C359" s="81"/>
      <c r="D359" s="81"/>
      <c r="E359" s="81"/>
      <c r="F359" s="81"/>
      <c r="G359" s="81"/>
      <c r="H359" s="81"/>
      <c r="I359" s="289"/>
      <c r="J359" s="81"/>
      <c r="K359" s="289"/>
      <c r="L359" s="289"/>
      <c r="M359" s="289"/>
      <c r="N359" s="289"/>
      <c r="O359" s="289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 ht="24" customHeight="1" x14ac:dyDescent="0.5">
      <c r="A360" s="81"/>
      <c r="B360" s="81"/>
      <c r="C360" s="81"/>
      <c r="D360" s="81"/>
      <c r="E360" s="81"/>
      <c r="F360" s="81"/>
      <c r="G360" s="81"/>
      <c r="H360" s="81"/>
      <c r="I360" s="289"/>
      <c r="J360" s="81"/>
      <c r="K360" s="289"/>
      <c r="L360" s="289"/>
      <c r="M360" s="289"/>
      <c r="N360" s="289"/>
      <c r="O360" s="289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 ht="24" customHeight="1" x14ac:dyDescent="0.5">
      <c r="A361" s="81"/>
      <c r="B361" s="81"/>
      <c r="C361" s="81"/>
      <c r="D361" s="81"/>
      <c r="E361" s="81"/>
      <c r="F361" s="81"/>
      <c r="G361" s="81"/>
      <c r="H361" s="81"/>
      <c r="I361" s="289"/>
      <c r="J361" s="81"/>
      <c r="K361" s="289"/>
      <c r="L361" s="289"/>
      <c r="M361" s="289"/>
      <c r="N361" s="289"/>
      <c r="O361" s="289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 ht="24" customHeight="1" x14ac:dyDescent="0.5">
      <c r="A362" s="81"/>
      <c r="B362" s="81"/>
      <c r="C362" s="81"/>
      <c r="D362" s="81"/>
      <c r="E362" s="81"/>
      <c r="F362" s="81"/>
      <c r="G362" s="81"/>
      <c r="H362" s="81"/>
      <c r="I362" s="289"/>
      <c r="J362" s="81"/>
      <c r="K362" s="289"/>
      <c r="L362" s="289"/>
      <c r="M362" s="289"/>
      <c r="N362" s="289"/>
      <c r="O362" s="289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 ht="24" customHeight="1" x14ac:dyDescent="0.5">
      <c r="A363" s="81"/>
      <c r="B363" s="81"/>
      <c r="C363" s="81"/>
      <c r="D363" s="81"/>
      <c r="E363" s="81"/>
      <c r="F363" s="81"/>
      <c r="G363" s="81"/>
      <c r="H363" s="81"/>
      <c r="I363" s="289"/>
      <c r="J363" s="81"/>
      <c r="K363" s="289"/>
      <c r="L363" s="289"/>
      <c r="M363" s="289"/>
      <c r="N363" s="289"/>
      <c r="O363" s="289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 ht="24" customHeight="1" x14ac:dyDescent="0.5">
      <c r="A364" s="81"/>
      <c r="B364" s="81"/>
      <c r="C364" s="81"/>
      <c r="D364" s="81"/>
      <c r="E364" s="81"/>
      <c r="F364" s="81"/>
      <c r="G364" s="81"/>
      <c r="H364" s="81"/>
      <c r="I364" s="289"/>
      <c r="J364" s="81"/>
      <c r="K364" s="289"/>
      <c r="L364" s="289"/>
      <c r="M364" s="289"/>
      <c r="N364" s="289"/>
      <c r="O364" s="289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 ht="24" customHeight="1" x14ac:dyDescent="0.5">
      <c r="A365" s="81"/>
      <c r="B365" s="81"/>
      <c r="C365" s="81"/>
      <c r="D365" s="81"/>
      <c r="E365" s="81"/>
      <c r="F365" s="81"/>
      <c r="G365" s="81"/>
      <c r="H365" s="81"/>
      <c r="I365" s="289"/>
      <c r="J365" s="81"/>
      <c r="K365" s="289"/>
      <c r="L365" s="289"/>
      <c r="M365" s="289"/>
      <c r="N365" s="289"/>
      <c r="O365" s="289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 ht="24" customHeight="1" x14ac:dyDescent="0.5">
      <c r="A366" s="81"/>
      <c r="B366" s="81"/>
      <c r="C366" s="81"/>
      <c r="D366" s="81"/>
      <c r="E366" s="81"/>
      <c r="F366" s="81"/>
      <c r="G366" s="81"/>
      <c r="H366" s="81"/>
      <c r="I366" s="289"/>
      <c r="J366" s="81"/>
      <c r="K366" s="289"/>
      <c r="L366" s="289"/>
      <c r="M366" s="289"/>
      <c r="N366" s="289"/>
      <c r="O366" s="289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 ht="24" customHeight="1" x14ac:dyDescent="0.5">
      <c r="A367" s="81"/>
      <c r="B367" s="81"/>
      <c r="C367" s="81"/>
      <c r="D367" s="81"/>
      <c r="E367" s="81"/>
      <c r="F367" s="81"/>
      <c r="G367" s="81"/>
      <c r="H367" s="81"/>
      <c r="I367" s="289"/>
      <c r="J367" s="81"/>
      <c r="K367" s="289"/>
      <c r="L367" s="289"/>
      <c r="M367" s="289"/>
      <c r="N367" s="289"/>
      <c r="O367" s="289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 ht="24" customHeight="1" x14ac:dyDescent="0.5">
      <c r="A368" s="81"/>
      <c r="B368" s="81"/>
      <c r="C368" s="81"/>
      <c r="D368" s="81"/>
      <c r="E368" s="81"/>
      <c r="F368" s="81"/>
      <c r="G368" s="81"/>
      <c r="H368" s="81"/>
      <c r="I368" s="289"/>
      <c r="J368" s="81"/>
      <c r="K368" s="289"/>
      <c r="L368" s="289"/>
      <c r="M368" s="289"/>
      <c r="N368" s="289"/>
      <c r="O368" s="289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 ht="24" customHeight="1" x14ac:dyDescent="0.5">
      <c r="A369" s="81"/>
      <c r="B369" s="81"/>
      <c r="C369" s="81"/>
      <c r="D369" s="81"/>
      <c r="E369" s="81"/>
      <c r="F369" s="81"/>
      <c r="G369" s="81"/>
      <c r="H369" s="81"/>
      <c r="I369" s="289"/>
      <c r="J369" s="81"/>
      <c r="K369" s="289"/>
      <c r="L369" s="289"/>
      <c r="M369" s="289"/>
      <c r="N369" s="289"/>
      <c r="O369" s="289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 ht="24" customHeight="1" x14ac:dyDescent="0.5">
      <c r="A370" s="81"/>
      <c r="B370" s="81"/>
      <c r="C370" s="81"/>
      <c r="D370" s="81"/>
      <c r="E370" s="81"/>
      <c r="F370" s="81"/>
      <c r="G370" s="81"/>
      <c r="H370" s="81"/>
      <c r="I370" s="289"/>
      <c r="J370" s="81"/>
      <c r="K370" s="289"/>
      <c r="L370" s="289"/>
      <c r="M370" s="289"/>
      <c r="N370" s="289"/>
      <c r="O370" s="289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 ht="24" customHeight="1" x14ac:dyDescent="0.5">
      <c r="A371" s="81"/>
      <c r="B371" s="81"/>
      <c r="C371" s="81"/>
      <c r="D371" s="81"/>
      <c r="E371" s="81"/>
      <c r="F371" s="81"/>
      <c r="G371" s="81"/>
      <c r="H371" s="81"/>
      <c r="I371" s="289"/>
      <c r="J371" s="81"/>
      <c r="K371" s="289"/>
      <c r="L371" s="289"/>
      <c r="M371" s="289"/>
      <c r="N371" s="289"/>
      <c r="O371" s="289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 ht="24" customHeight="1" x14ac:dyDescent="0.5">
      <c r="A372" s="81"/>
      <c r="B372" s="81"/>
      <c r="C372" s="81"/>
      <c r="D372" s="81"/>
      <c r="E372" s="81"/>
      <c r="F372" s="81"/>
      <c r="G372" s="81"/>
      <c r="H372" s="81"/>
      <c r="I372" s="289"/>
      <c r="J372" s="81"/>
      <c r="K372" s="289"/>
      <c r="L372" s="289"/>
      <c r="M372" s="289"/>
      <c r="N372" s="289"/>
      <c r="O372" s="289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 ht="24" customHeight="1" x14ac:dyDescent="0.5">
      <c r="A373" s="81"/>
      <c r="B373" s="81"/>
      <c r="C373" s="81"/>
      <c r="D373" s="81"/>
      <c r="E373" s="81"/>
      <c r="F373" s="81"/>
      <c r="G373" s="81"/>
      <c r="H373" s="81"/>
      <c r="I373" s="289"/>
      <c r="J373" s="81"/>
      <c r="K373" s="289"/>
      <c r="L373" s="289"/>
      <c r="M373" s="289"/>
      <c r="N373" s="289"/>
      <c r="O373" s="289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 ht="24" customHeight="1" x14ac:dyDescent="0.5">
      <c r="A374" s="81"/>
      <c r="B374" s="81"/>
      <c r="C374" s="81"/>
      <c r="D374" s="81"/>
      <c r="E374" s="81"/>
      <c r="F374" s="81"/>
      <c r="G374" s="81"/>
      <c r="H374" s="81"/>
      <c r="I374" s="289"/>
      <c r="J374" s="81"/>
      <c r="K374" s="289"/>
      <c r="L374" s="289"/>
      <c r="M374" s="289"/>
      <c r="N374" s="289"/>
      <c r="O374" s="289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 ht="24" customHeight="1" x14ac:dyDescent="0.5">
      <c r="A375" s="81"/>
      <c r="B375" s="81"/>
      <c r="C375" s="81"/>
      <c r="D375" s="81"/>
      <c r="E375" s="81"/>
      <c r="F375" s="81"/>
      <c r="G375" s="81"/>
      <c r="H375" s="81"/>
      <c r="I375" s="289"/>
      <c r="J375" s="81"/>
      <c r="K375" s="289"/>
      <c r="L375" s="289"/>
      <c r="M375" s="289"/>
      <c r="N375" s="289"/>
      <c r="O375" s="289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 ht="24" customHeight="1" x14ac:dyDescent="0.5">
      <c r="A376" s="81"/>
      <c r="B376" s="81"/>
      <c r="C376" s="81"/>
      <c r="D376" s="81"/>
      <c r="E376" s="81"/>
      <c r="F376" s="81"/>
      <c r="G376" s="81"/>
      <c r="H376" s="81"/>
      <c r="I376" s="289"/>
      <c r="J376" s="81"/>
      <c r="K376" s="289"/>
      <c r="L376" s="289"/>
      <c r="M376" s="289"/>
      <c r="N376" s="289"/>
      <c r="O376" s="289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 ht="24" customHeight="1" x14ac:dyDescent="0.5">
      <c r="A377" s="81"/>
      <c r="B377" s="81"/>
      <c r="C377" s="81"/>
      <c r="D377" s="81"/>
      <c r="E377" s="81"/>
      <c r="F377" s="81"/>
      <c r="G377" s="81"/>
      <c r="H377" s="81"/>
      <c r="I377" s="289"/>
      <c r="J377" s="81"/>
      <c r="K377" s="289"/>
      <c r="L377" s="289"/>
      <c r="M377" s="289"/>
      <c r="N377" s="289"/>
      <c r="O377" s="289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 ht="24" customHeight="1" x14ac:dyDescent="0.5">
      <c r="A378" s="81"/>
      <c r="B378" s="81"/>
      <c r="C378" s="81"/>
      <c r="D378" s="81"/>
      <c r="E378" s="81"/>
      <c r="F378" s="81"/>
      <c r="G378" s="81"/>
      <c r="H378" s="81"/>
      <c r="I378" s="289"/>
      <c r="J378" s="81"/>
      <c r="K378" s="289"/>
      <c r="L378" s="289"/>
      <c r="M378" s="289"/>
      <c r="N378" s="289"/>
      <c r="O378" s="289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 ht="24" customHeight="1" x14ac:dyDescent="0.5">
      <c r="A379" s="81"/>
      <c r="B379" s="81"/>
      <c r="C379" s="81"/>
      <c r="D379" s="81"/>
      <c r="E379" s="81"/>
      <c r="F379" s="81"/>
      <c r="G379" s="81"/>
      <c r="H379" s="81"/>
      <c r="I379" s="289"/>
      <c r="J379" s="81"/>
      <c r="K379" s="289"/>
      <c r="L379" s="289"/>
      <c r="M379" s="289"/>
      <c r="N379" s="289"/>
      <c r="O379" s="289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 ht="24" customHeight="1" x14ac:dyDescent="0.5">
      <c r="A380" s="81"/>
      <c r="B380" s="81"/>
      <c r="C380" s="81"/>
      <c r="D380" s="81"/>
      <c r="E380" s="81"/>
      <c r="F380" s="81"/>
      <c r="G380" s="81"/>
      <c r="H380" s="81"/>
      <c r="I380" s="289"/>
      <c r="J380" s="81"/>
      <c r="K380" s="289"/>
      <c r="L380" s="289"/>
      <c r="M380" s="289"/>
      <c r="N380" s="289"/>
      <c r="O380" s="289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 ht="24" customHeight="1" x14ac:dyDescent="0.5">
      <c r="A381" s="81"/>
      <c r="B381" s="81"/>
      <c r="C381" s="81"/>
      <c r="D381" s="81"/>
      <c r="E381" s="81"/>
      <c r="F381" s="81"/>
      <c r="G381" s="81"/>
      <c r="H381" s="81"/>
      <c r="I381" s="289"/>
      <c r="J381" s="81"/>
      <c r="K381" s="289"/>
      <c r="L381" s="289"/>
      <c r="M381" s="289"/>
      <c r="N381" s="289"/>
      <c r="O381" s="289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 ht="24" customHeight="1" x14ac:dyDescent="0.5">
      <c r="A382" s="81"/>
      <c r="B382" s="81"/>
      <c r="C382" s="81"/>
      <c r="D382" s="81"/>
      <c r="E382" s="81"/>
      <c r="F382" s="81"/>
      <c r="G382" s="81"/>
      <c r="H382" s="81"/>
      <c r="I382" s="289"/>
      <c r="J382" s="81"/>
      <c r="K382" s="289"/>
      <c r="L382" s="289"/>
      <c r="M382" s="289"/>
      <c r="N382" s="289"/>
      <c r="O382" s="289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 ht="24" customHeight="1" x14ac:dyDescent="0.5">
      <c r="A383" s="81"/>
      <c r="B383" s="81"/>
      <c r="C383" s="81"/>
      <c r="D383" s="81"/>
      <c r="E383" s="81"/>
      <c r="F383" s="81"/>
      <c r="G383" s="81"/>
      <c r="H383" s="81"/>
      <c r="I383" s="289"/>
      <c r="J383" s="81"/>
      <c r="K383" s="289"/>
      <c r="L383" s="289"/>
      <c r="M383" s="289"/>
      <c r="N383" s="289"/>
      <c r="O383" s="289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 ht="24" customHeight="1" x14ac:dyDescent="0.5">
      <c r="A384" s="81"/>
      <c r="B384" s="81"/>
      <c r="C384" s="81"/>
      <c r="D384" s="81"/>
      <c r="E384" s="81"/>
      <c r="F384" s="81"/>
      <c r="G384" s="81"/>
      <c r="H384" s="81"/>
      <c r="I384" s="289"/>
      <c r="J384" s="81"/>
      <c r="K384" s="289"/>
      <c r="L384" s="289"/>
      <c r="M384" s="289"/>
      <c r="N384" s="289"/>
      <c r="O384" s="289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 ht="24" customHeight="1" x14ac:dyDescent="0.5">
      <c r="A385" s="81"/>
      <c r="B385" s="81"/>
      <c r="C385" s="81"/>
      <c r="D385" s="81"/>
      <c r="E385" s="81"/>
      <c r="F385" s="81"/>
      <c r="G385" s="81"/>
      <c r="H385" s="81"/>
      <c r="I385" s="289"/>
      <c r="J385" s="81"/>
      <c r="K385" s="289"/>
      <c r="L385" s="289"/>
      <c r="M385" s="289"/>
      <c r="N385" s="289"/>
      <c r="O385" s="289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 ht="24" customHeight="1" x14ac:dyDescent="0.5">
      <c r="A386" s="81"/>
      <c r="B386" s="81"/>
      <c r="C386" s="81"/>
      <c r="D386" s="81"/>
      <c r="E386" s="81"/>
      <c r="F386" s="81"/>
      <c r="G386" s="81"/>
      <c r="H386" s="81"/>
      <c r="I386" s="289"/>
      <c r="J386" s="81"/>
      <c r="K386" s="289"/>
      <c r="L386" s="289"/>
      <c r="M386" s="289"/>
      <c r="N386" s="289"/>
      <c r="O386" s="289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 ht="24" customHeight="1" x14ac:dyDescent="0.5">
      <c r="A387" s="81"/>
      <c r="B387" s="81"/>
      <c r="C387" s="81"/>
      <c r="D387" s="81"/>
      <c r="E387" s="81"/>
      <c r="F387" s="81"/>
      <c r="G387" s="81"/>
      <c r="H387" s="81"/>
      <c r="I387" s="289"/>
      <c r="J387" s="81"/>
      <c r="K387" s="289"/>
      <c r="L387" s="289"/>
      <c r="M387" s="289"/>
      <c r="N387" s="289"/>
      <c r="O387" s="289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 ht="24" customHeight="1" x14ac:dyDescent="0.5">
      <c r="A388" s="81"/>
      <c r="B388" s="81"/>
      <c r="C388" s="81"/>
      <c r="D388" s="81"/>
      <c r="E388" s="81"/>
      <c r="F388" s="81"/>
      <c r="G388" s="81"/>
      <c r="H388" s="81"/>
      <c r="I388" s="289"/>
      <c r="J388" s="81"/>
      <c r="K388" s="289"/>
      <c r="L388" s="289"/>
      <c r="M388" s="289"/>
      <c r="N388" s="289"/>
      <c r="O388" s="289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 ht="24" customHeight="1" x14ac:dyDescent="0.5">
      <c r="A389" s="81"/>
      <c r="B389" s="81"/>
      <c r="C389" s="81"/>
      <c r="D389" s="81"/>
      <c r="E389" s="81"/>
      <c r="F389" s="81"/>
      <c r="G389" s="81"/>
      <c r="H389" s="81"/>
      <c r="I389" s="289"/>
      <c r="J389" s="81"/>
      <c r="K389" s="289"/>
      <c r="L389" s="289"/>
      <c r="M389" s="289"/>
      <c r="N389" s="289"/>
      <c r="O389" s="289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 ht="24" customHeight="1" x14ac:dyDescent="0.5">
      <c r="A390" s="81"/>
      <c r="B390" s="81"/>
      <c r="C390" s="81"/>
      <c r="D390" s="81"/>
      <c r="E390" s="81"/>
      <c r="F390" s="81"/>
      <c r="G390" s="81"/>
      <c r="H390" s="81"/>
      <c r="I390" s="289"/>
      <c r="J390" s="81"/>
      <c r="K390" s="289"/>
      <c r="L390" s="289"/>
      <c r="M390" s="289"/>
      <c r="N390" s="289"/>
      <c r="O390" s="289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ht="24" customHeight="1" x14ac:dyDescent="0.5">
      <c r="A391" s="81"/>
      <c r="B391" s="81"/>
      <c r="C391" s="81"/>
      <c r="D391" s="81"/>
      <c r="E391" s="81"/>
      <c r="F391" s="81"/>
      <c r="G391" s="81"/>
      <c r="H391" s="81"/>
      <c r="I391" s="289"/>
      <c r="J391" s="81"/>
      <c r="K391" s="289"/>
      <c r="L391" s="289"/>
      <c r="M391" s="289"/>
      <c r="N391" s="289"/>
      <c r="O391" s="289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 ht="24" customHeight="1" x14ac:dyDescent="0.5">
      <c r="A392" s="81"/>
      <c r="B392" s="81"/>
      <c r="C392" s="81"/>
      <c r="D392" s="81"/>
      <c r="E392" s="81"/>
      <c r="F392" s="81"/>
      <c r="G392" s="81"/>
      <c r="H392" s="81"/>
      <c r="I392" s="289"/>
      <c r="J392" s="81"/>
      <c r="K392" s="289"/>
      <c r="L392" s="289"/>
      <c r="M392" s="289"/>
      <c r="N392" s="289"/>
      <c r="O392" s="289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 ht="24" customHeight="1" x14ac:dyDescent="0.5">
      <c r="A393" s="81"/>
      <c r="B393" s="81"/>
      <c r="C393" s="81"/>
      <c r="D393" s="81"/>
      <c r="E393" s="81"/>
      <c r="F393" s="81"/>
      <c r="G393" s="81"/>
      <c r="H393" s="81"/>
      <c r="I393" s="289"/>
      <c r="J393" s="81"/>
      <c r="K393" s="289"/>
      <c r="L393" s="289"/>
      <c r="M393" s="289"/>
      <c r="N393" s="289"/>
      <c r="O393" s="289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 ht="24" customHeight="1" x14ac:dyDescent="0.5">
      <c r="A394" s="81"/>
      <c r="B394" s="81"/>
      <c r="C394" s="81"/>
      <c r="D394" s="81"/>
      <c r="E394" s="81"/>
      <c r="F394" s="81"/>
      <c r="G394" s="81"/>
      <c r="H394" s="81"/>
      <c r="I394" s="289"/>
      <c r="J394" s="81"/>
      <c r="K394" s="289"/>
      <c r="L394" s="289"/>
      <c r="M394" s="289"/>
      <c r="N394" s="289"/>
      <c r="O394" s="289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 ht="24" customHeight="1" x14ac:dyDescent="0.5">
      <c r="A395" s="81"/>
      <c r="B395" s="81"/>
      <c r="C395" s="81"/>
      <c r="D395" s="81"/>
      <c r="E395" s="81"/>
      <c r="F395" s="81"/>
      <c r="G395" s="81"/>
      <c r="H395" s="81"/>
      <c r="I395" s="289"/>
      <c r="J395" s="81"/>
      <c r="K395" s="289"/>
      <c r="L395" s="289"/>
      <c r="M395" s="289"/>
      <c r="N395" s="289"/>
      <c r="O395" s="289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 ht="24" customHeight="1" x14ac:dyDescent="0.5">
      <c r="A396" s="81"/>
      <c r="B396" s="81"/>
      <c r="C396" s="81"/>
      <c r="D396" s="81"/>
      <c r="E396" s="81"/>
      <c r="F396" s="81"/>
      <c r="G396" s="81"/>
      <c r="H396" s="81"/>
      <c r="I396" s="289"/>
      <c r="J396" s="81"/>
      <c r="K396" s="289"/>
      <c r="L396" s="289"/>
      <c r="M396" s="289"/>
      <c r="N396" s="289"/>
      <c r="O396" s="289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 ht="24" customHeight="1" x14ac:dyDescent="0.5">
      <c r="A397" s="81"/>
      <c r="B397" s="81"/>
      <c r="C397" s="81"/>
      <c r="D397" s="81"/>
      <c r="E397" s="81"/>
      <c r="F397" s="81"/>
      <c r="G397" s="81"/>
      <c r="H397" s="81"/>
      <c r="I397" s="289"/>
      <c r="J397" s="81"/>
      <c r="K397" s="289"/>
      <c r="L397" s="289"/>
      <c r="M397" s="289"/>
      <c r="N397" s="289"/>
      <c r="O397" s="289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 ht="24" customHeight="1" x14ac:dyDescent="0.5">
      <c r="A398" s="81"/>
      <c r="B398" s="81"/>
      <c r="C398" s="81"/>
      <c r="D398" s="81"/>
      <c r="E398" s="81"/>
      <c r="F398" s="81"/>
      <c r="G398" s="81"/>
      <c r="H398" s="81"/>
      <c r="I398" s="289"/>
      <c r="J398" s="81"/>
      <c r="K398" s="289"/>
      <c r="L398" s="289"/>
      <c r="M398" s="289"/>
      <c r="N398" s="289"/>
      <c r="O398" s="289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 ht="24" customHeight="1" x14ac:dyDescent="0.5">
      <c r="A399" s="81"/>
      <c r="B399" s="81"/>
      <c r="C399" s="81"/>
      <c r="D399" s="81"/>
      <c r="E399" s="81"/>
      <c r="F399" s="81"/>
      <c r="G399" s="81"/>
      <c r="H399" s="81"/>
      <c r="I399" s="289"/>
      <c r="J399" s="81"/>
      <c r="K399" s="289"/>
      <c r="L399" s="289"/>
      <c r="M399" s="289"/>
      <c r="N399" s="289"/>
      <c r="O399" s="289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 ht="24" customHeight="1" x14ac:dyDescent="0.5">
      <c r="A400" s="81"/>
      <c r="B400" s="81"/>
      <c r="C400" s="81"/>
      <c r="D400" s="81"/>
      <c r="E400" s="81"/>
      <c r="F400" s="81"/>
      <c r="G400" s="81"/>
      <c r="H400" s="81"/>
      <c r="I400" s="289"/>
      <c r="J400" s="81"/>
      <c r="K400" s="289"/>
      <c r="L400" s="289"/>
      <c r="M400" s="289"/>
      <c r="N400" s="289"/>
      <c r="O400" s="289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 ht="24" customHeight="1" x14ac:dyDescent="0.5">
      <c r="A401" s="81"/>
      <c r="B401" s="81"/>
      <c r="C401" s="81"/>
      <c r="D401" s="81"/>
      <c r="E401" s="81"/>
      <c r="F401" s="81"/>
      <c r="G401" s="81"/>
      <c r="H401" s="81"/>
      <c r="I401" s="289"/>
      <c r="J401" s="81"/>
      <c r="K401" s="289"/>
      <c r="L401" s="289"/>
      <c r="M401" s="289"/>
      <c r="N401" s="289"/>
      <c r="O401" s="289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 ht="24" customHeight="1" x14ac:dyDescent="0.5">
      <c r="A402" s="81"/>
      <c r="B402" s="81"/>
      <c r="C402" s="81"/>
      <c r="D402" s="81"/>
      <c r="E402" s="81"/>
      <c r="F402" s="81"/>
      <c r="G402" s="81"/>
      <c r="H402" s="81"/>
      <c r="I402" s="289"/>
      <c r="J402" s="81"/>
      <c r="K402" s="289"/>
      <c r="L402" s="289"/>
      <c r="M402" s="289"/>
      <c r="N402" s="289"/>
      <c r="O402" s="289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 ht="24" customHeight="1" x14ac:dyDescent="0.5">
      <c r="A403" s="81"/>
      <c r="B403" s="81"/>
      <c r="C403" s="81"/>
      <c r="D403" s="81"/>
      <c r="E403" s="81"/>
      <c r="F403" s="81"/>
      <c r="G403" s="81"/>
      <c r="H403" s="81"/>
      <c r="I403" s="289"/>
      <c r="J403" s="81"/>
      <c r="K403" s="289"/>
      <c r="L403" s="289"/>
      <c r="M403" s="289"/>
      <c r="N403" s="289"/>
      <c r="O403" s="289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 ht="24" customHeight="1" x14ac:dyDescent="0.5">
      <c r="A404" s="81"/>
      <c r="B404" s="81"/>
      <c r="C404" s="81"/>
      <c r="D404" s="81"/>
      <c r="E404" s="81"/>
      <c r="F404" s="81"/>
      <c r="G404" s="81"/>
      <c r="H404" s="81"/>
      <c r="I404" s="289"/>
      <c r="J404" s="81"/>
      <c r="K404" s="289"/>
      <c r="L404" s="289"/>
      <c r="M404" s="289"/>
      <c r="N404" s="289"/>
      <c r="O404" s="289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 ht="24" customHeight="1" x14ac:dyDescent="0.5">
      <c r="A405" s="81"/>
      <c r="B405" s="81"/>
      <c r="C405" s="81"/>
      <c r="D405" s="81"/>
      <c r="E405" s="81"/>
      <c r="F405" s="81"/>
      <c r="G405" s="81"/>
      <c r="H405" s="81"/>
      <c r="I405" s="289"/>
      <c r="J405" s="81"/>
      <c r="K405" s="289"/>
      <c r="L405" s="289"/>
      <c r="M405" s="289"/>
      <c r="N405" s="289"/>
      <c r="O405" s="289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 ht="24" customHeight="1" x14ac:dyDescent="0.5">
      <c r="A406" s="81"/>
      <c r="B406" s="81"/>
      <c r="C406" s="81"/>
      <c r="D406" s="81"/>
      <c r="E406" s="81"/>
      <c r="F406" s="81"/>
      <c r="G406" s="81"/>
      <c r="H406" s="81"/>
      <c r="I406" s="289"/>
      <c r="J406" s="81"/>
      <c r="K406" s="289"/>
      <c r="L406" s="289"/>
      <c r="M406" s="289"/>
      <c r="N406" s="289"/>
      <c r="O406" s="289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 ht="24" customHeight="1" x14ac:dyDescent="0.5">
      <c r="A407" s="81"/>
      <c r="B407" s="81"/>
      <c r="C407" s="81"/>
      <c r="D407" s="81"/>
      <c r="E407" s="81"/>
      <c r="F407" s="81"/>
      <c r="G407" s="81"/>
      <c r="H407" s="81"/>
      <c r="I407" s="289"/>
      <c r="J407" s="81"/>
      <c r="K407" s="289"/>
      <c r="L407" s="289"/>
      <c r="M407" s="289"/>
      <c r="N407" s="289"/>
      <c r="O407" s="289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 ht="24" customHeight="1" x14ac:dyDescent="0.5">
      <c r="A408" s="81"/>
      <c r="B408" s="81"/>
      <c r="C408" s="81"/>
      <c r="D408" s="81"/>
      <c r="E408" s="81"/>
      <c r="F408" s="81"/>
      <c r="G408" s="81"/>
      <c r="H408" s="81"/>
      <c r="I408" s="289"/>
      <c r="J408" s="81"/>
      <c r="K408" s="289"/>
      <c r="L408" s="289"/>
      <c r="M408" s="289"/>
      <c r="N408" s="289"/>
      <c r="O408" s="289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 ht="24" customHeight="1" x14ac:dyDescent="0.5">
      <c r="A409" s="81"/>
      <c r="B409" s="81"/>
      <c r="C409" s="81"/>
      <c r="D409" s="81"/>
      <c r="E409" s="81"/>
      <c r="F409" s="81"/>
      <c r="G409" s="81"/>
      <c r="H409" s="81"/>
      <c r="I409" s="289"/>
      <c r="J409" s="81"/>
      <c r="K409" s="289"/>
      <c r="L409" s="289"/>
      <c r="M409" s="289"/>
      <c r="N409" s="289"/>
      <c r="O409" s="289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 ht="24" customHeight="1" x14ac:dyDescent="0.5">
      <c r="A410" s="81"/>
      <c r="B410" s="81"/>
      <c r="C410" s="81"/>
      <c r="D410" s="81"/>
      <c r="E410" s="81"/>
      <c r="F410" s="81"/>
      <c r="G410" s="81"/>
      <c r="H410" s="81"/>
      <c r="I410" s="289"/>
      <c r="J410" s="81"/>
      <c r="K410" s="289"/>
      <c r="L410" s="289"/>
      <c r="M410" s="289"/>
      <c r="N410" s="289"/>
      <c r="O410" s="289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 ht="24" customHeight="1" x14ac:dyDescent="0.5">
      <c r="A411" s="81"/>
      <c r="B411" s="81"/>
      <c r="C411" s="81"/>
      <c r="D411" s="81"/>
      <c r="E411" s="81"/>
      <c r="F411" s="81"/>
      <c r="G411" s="81"/>
      <c r="H411" s="81"/>
      <c r="I411" s="289"/>
      <c r="J411" s="81"/>
      <c r="K411" s="289"/>
      <c r="L411" s="289"/>
      <c r="M411" s="289"/>
      <c r="N411" s="289"/>
      <c r="O411" s="289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 ht="24" customHeight="1" x14ac:dyDescent="0.5">
      <c r="A412" s="81"/>
      <c r="B412" s="81"/>
      <c r="C412" s="81"/>
      <c r="D412" s="81"/>
      <c r="E412" s="81"/>
      <c r="F412" s="81"/>
      <c r="G412" s="81"/>
      <c r="H412" s="81"/>
      <c r="I412" s="289"/>
      <c r="J412" s="81"/>
      <c r="K412" s="289"/>
      <c r="L412" s="289"/>
      <c r="M412" s="289"/>
      <c r="N412" s="289"/>
      <c r="O412" s="289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 ht="24" customHeight="1" x14ac:dyDescent="0.5">
      <c r="A413" s="81"/>
      <c r="B413" s="81"/>
      <c r="C413" s="81"/>
      <c r="D413" s="81"/>
      <c r="E413" s="81"/>
      <c r="F413" s="81"/>
      <c r="G413" s="81"/>
      <c r="H413" s="81"/>
      <c r="I413" s="289"/>
      <c r="J413" s="81"/>
      <c r="K413" s="289"/>
      <c r="L413" s="289"/>
      <c r="M413" s="289"/>
      <c r="N413" s="289"/>
      <c r="O413" s="289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 ht="24" customHeight="1" x14ac:dyDescent="0.5">
      <c r="A414" s="81"/>
      <c r="B414" s="81"/>
      <c r="C414" s="81"/>
      <c r="D414" s="81"/>
      <c r="E414" s="81"/>
      <c r="F414" s="81"/>
      <c r="G414" s="81"/>
      <c r="H414" s="81"/>
      <c r="I414" s="289"/>
      <c r="J414" s="81"/>
      <c r="K414" s="289"/>
      <c r="L414" s="289"/>
      <c r="M414" s="289"/>
      <c r="N414" s="289"/>
      <c r="O414" s="289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 ht="24" customHeight="1" x14ac:dyDescent="0.5">
      <c r="A415" s="81"/>
      <c r="B415" s="81"/>
      <c r="C415" s="81"/>
      <c r="D415" s="81"/>
      <c r="E415" s="81"/>
      <c r="F415" s="81"/>
      <c r="G415" s="81"/>
      <c r="H415" s="81"/>
      <c r="I415" s="289"/>
      <c r="J415" s="81"/>
      <c r="K415" s="289"/>
      <c r="L415" s="289"/>
      <c r="M415" s="289"/>
      <c r="N415" s="289"/>
      <c r="O415" s="289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 ht="24" customHeight="1" x14ac:dyDescent="0.5">
      <c r="A416" s="81"/>
      <c r="B416" s="81"/>
      <c r="C416" s="81"/>
      <c r="D416" s="81"/>
      <c r="E416" s="81"/>
      <c r="F416" s="81"/>
      <c r="G416" s="81"/>
      <c r="H416" s="81"/>
      <c r="I416" s="289"/>
      <c r="J416" s="81"/>
      <c r="K416" s="289"/>
      <c r="L416" s="289"/>
      <c r="M416" s="289"/>
      <c r="N416" s="289"/>
      <c r="O416" s="289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 ht="24" customHeight="1" x14ac:dyDescent="0.5">
      <c r="A417" s="81"/>
      <c r="B417" s="81"/>
      <c r="C417" s="81"/>
      <c r="D417" s="81"/>
      <c r="E417" s="81"/>
      <c r="F417" s="81"/>
      <c r="G417" s="81"/>
      <c r="H417" s="81"/>
      <c r="I417" s="289"/>
      <c r="J417" s="81"/>
      <c r="K417" s="289"/>
      <c r="L417" s="289"/>
      <c r="M417" s="289"/>
      <c r="N417" s="289"/>
      <c r="O417" s="289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 ht="24" customHeight="1" x14ac:dyDescent="0.5">
      <c r="A418" s="81"/>
      <c r="B418" s="81"/>
      <c r="C418" s="81"/>
      <c r="D418" s="81"/>
      <c r="E418" s="81"/>
      <c r="F418" s="81"/>
      <c r="G418" s="81"/>
      <c r="H418" s="81"/>
      <c r="I418" s="289"/>
      <c r="J418" s="81"/>
      <c r="K418" s="289"/>
      <c r="L418" s="289"/>
      <c r="M418" s="289"/>
      <c r="N418" s="289"/>
      <c r="O418" s="289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 ht="24" customHeight="1" x14ac:dyDescent="0.5">
      <c r="A419" s="81"/>
      <c r="B419" s="81"/>
      <c r="C419" s="81"/>
      <c r="D419" s="81"/>
      <c r="E419" s="81"/>
      <c r="F419" s="81"/>
      <c r="G419" s="81"/>
      <c r="H419" s="81"/>
      <c r="I419" s="289"/>
      <c r="J419" s="81"/>
      <c r="K419" s="289"/>
      <c r="L419" s="289"/>
      <c r="M419" s="289"/>
      <c r="N419" s="289"/>
      <c r="O419" s="289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 ht="24" customHeight="1" x14ac:dyDescent="0.5">
      <c r="A420" s="81"/>
      <c r="B420" s="81"/>
      <c r="C420" s="81"/>
      <c r="D420" s="81"/>
      <c r="E420" s="81"/>
      <c r="F420" s="81"/>
      <c r="G420" s="81"/>
      <c r="H420" s="81"/>
      <c r="I420" s="289"/>
      <c r="J420" s="81"/>
      <c r="K420" s="289"/>
      <c r="L420" s="289"/>
      <c r="M420" s="289"/>
      <c r="N420" s="289"/>
      <c r="O420" s="289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 ht="24" customHeight="1" x14ac:dyDescent="0.5">
      <c r="A421" s="81"/>
      <c r="B421" s="81"/>
      <c r="C421" s="81"/>
      <c r="D421" s="81"/>
      <c r="E421" s="81"/>
      <c r="F421" s="81"/>
      <c r="G421" s="81"/>
      <c r="H421" s="81"/>
      <c r="I421" s="289"/>
      <c r="J421" s="81"/>
      <c r="K421" s="289"/>
      <c r="L421" s="289"/>
      <c r="M421" s="289"/>
      <c r="N421" s="289"/>
      <c r="O421" s="289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 ht="24" customHeight="1" x14ac:dyDescent="0.5">
      <c r="A422" s="81"/>
      <c r="B422" s="81"/>
      <c r="C422" s="81"/>
      <c r="D422" s="81"/>
      <c r="E422" s="81"/>
      <c r="F422" s="81"/>
      <c r="G422" s="81"/>
      <c r="H422" s="81"/>
      <c r="I422" s="289"/>
      <c r="J422" s="81"/>
      <c r="K422" s="289"/>
      <c r="L422" s="289"/>
      <c r="M422" s="289"/>
      <c r="N422" s="289"/>
      <c r="O422" s="289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 ht="24" customHeight="1" x14ac:dyDescent="0.5">
      <c r="A423" s="81"/>
      <c r="B423" s="81"/>
      <c r="C423" s="81"/>
      <c r="D423" s="81"/>
      <c r="E423" s="81"/>
      <c r="F423" s="81"/>
      <c r="G423" s="81"/>
      <c r="H423" s="81"/>
      <c r="I423" s="289"/>
      <c r="J423" s="81"/>
      <c r="K423" s="289"/>
      <c r="L423" s="289"/>
      <c r="M423" s="289"/>
      <c r="N423" s="289"/>
      <c r="O423" s="289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 ht="24" customHeight="1" x14ac:dyDescent="0.5">
      <c r="A424" s="81"/>
      <c r="B424" s="81"/>
      <c r="C424" s="81"/>
      <c r="D424" s="81"/>
      <c r="E424" s="81"/>
      <c r="F424" s="81"/>
      <c r="G424" s="81"/>
      <c r="H424" s="81"/>
      <c r="I424" s="289"/>
      <c r="J424" s="81"/>
      <c r="K424" s="289"/>
      <c r="L424" s="289"/>
      <c r="M424" s="289"/>
      <c r="N424" s="289"/>
      <c r="O424" s="289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 ht="24" customHeight="1" x14ac:dyDescent="0.5">
      <c r="A425" s="81"/>
      <c r="B425" s="81"/>
      <c r="C425" s="81"/>
      <c r="D425" s="81"/>
      <c r="E425" s="81"/>
      <c r="F425" s="81"/>
      <c r="G425" s="81"/>
      <c r="H425" s="81"/>
      <c r="I425" s="289"/>
      <c r="J425" s="81"/>
      <c r="K425" s="289"/>
      <c r="L425" s="289"/>
      <c r="M425" s="289"/>
      <c r="N425" s="289"/>
      <c r="O425" s="289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 ht="24" customHeight="1" x14ac:dyDescent="0.5">
      <c r="A426" s="81"/>
      <c r="B426" s="81"/>
      <c r="C426" s="81"/>
      <c r="D426" s="81"/>
      <c r="E426" s="81"/>
      <c r="F426" s="81"/>
      <c r="G426" s="81"/>
      <c r="H426" s="81"/>
      <c r="I426" s="289"/>
      <c r="J426" s="81"/>
      <c r="K426" s="289"/>
      <c r="L426" s="289"/>
      <c r="M426" s="289"/>
      <c r="N426" s="289"/>
      <c r="O426" s="289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 ht="24" customHeight="1" x14ac:dyDescent="0.5">
      <c r="A427" s="81"/>
      <c r="B427" s="81"/>
      <c r="C427" s="81"/>
      <c r="D427" s="81"/>
      <c r="E427" s="81"/>
      <c r="F427" s="81"/>
      <c r="G427" s="81"/>
      <c r="H427" s="81"/>
      <c r="I427" s="289"/>
      <c r="J427" s="81"/>
      <c r="K427" s="289"/>
      <c r="L427" s="289"/>
      <c r="M427" s="289"/>
      <c r="N427" s="289"/>
      <c r="O427" s="289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 ht="24" customHeight="1" x14ac:dyDescent="0.5">
      <c r="A428" s="81"/>
      <c r="B428" s="81"/>
      <c r="C428" s="81"/>
      <c r="D428" s="81"/>
      <c r="E428" s="81"/>
      <c r="F428" s="81"/>
      <c r="G428" s="81"/>
      <c r="H428" s="81"/>
      <c r="I428" s="289"/>
      <c r="J428" s="81"/>
      <c r="K428" s="289"/>
      <c r="L428" s="289"/>
      <c r="M428" s="289"/>
      <c r="N428" s="289"/>
      <c r="O428" s="289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 ht="24" customHeight="1" x14ac:dyDescent="0.5">
      <c r="A429" s="81"/>
      <c r="B429" s="81"/>
      <c r="C429" s="81"/>
      <c r="D429" s="81"/>
      <c r="E429" s="81"/>
      <c r="F429" s="81"/>
      <c r="G429" s="81"/>
      <c r="H429" s="81"/>
      <c r="I429" s="289"/>
      <c r="J429" s="81"/>
      <c r="K429" s="289"/>
      <c r="L429" s="289"/>
      <c r="M429" s="289"/>
      <c r="N429" s="289"/>
      <c r="O429" s="289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 ht="24" customHeight="1" x14ac:dyDescent="0.5">
      <c r="A430" s="81"/>
      <c r="B430" s="81"/>
      <c r="C430" s="81"/>
      <c r="D430" s="81"/>
      <c r="E430" s="81"/>
      <c r="F430" s="81"/>
      <c r="G430" s="81"/>
      <c r="H430" s="81"/>
      <c r="I430" s="289"/>
      <c r="J430" s="81"/>
      <c r="K430" s="289"/>
      <c r="L430" s="289"/>
      <c r="M430" s="289"/>
      <c r="N430" s="289"/>
      <c r="O430" s="289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 ht="24" customHeight="1" x14ac:dyDescent="0.5">
      <c r="A431" s="81"/>
      <c r="B431" s="81"/>
      <c r="C431" s="81"/>
      <c r="D431" s="81"/>
      <c r="E431" s="81"/>
      <c r="F431" s="81"/>
      <c r="G431" s="81"/>
      <c r="H431" s="81"/>
      <c r="I431" s="289"/>
      <c r="J431" s="81"/>
      <c r="K431" s="289"/>
      <c r="L431" s="289"/>
      <c r="M431" s="289"/>
      <c r="N431" s="289"/>
      <c r="O431" s="289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 ht="24" customHeight="1" x14ac:dyDescent="0.5">
      <c r="A432" s="81"/>
      <c r="B432" s="81"/>
      <c r="C432" s="81"/>
      <c r="D432" s="81"/>
      <c r="E432" s="81"/>
      <c r="F432" s="81"/>
      <c r="G432" s="81"/>
      <c r="H432" s="81"/>
      <c r="I432" s="289"/>
      <c r="J432" s="81"/>
      <c r="K432" s="289"/>
      <c r="L432" s="289"/>
      <c r="M432" s="289"/>
      <c r="N432" s="289"/>
      <c r="O432" s="289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 ht="24" customHeight="1" x14ac:dyDescent="0.5">
      <c r="A433" s="81"/>
      <c r="B433" s="81"/>
      <c r="C433" s="81"/>
      <c r="D433" s="81"/>
      <c r="E433" s="81"/>
      <c r="F433" s="81"/>
      <c r="G433" s="81"/>
      <c r="H433" s="81"/>
      <c r="I433" s="289"/>
      <c r="J433" s="81"/>
      <c r="K433" s="289"/>
      <c r="L433" s="289"/>
      <c r="M433" s="289"/>
      <c r="N433" s="289"/>
      <c r="O433" s="289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 ht="24" customHeight="1" x14ac:dyDescent="0.5">
      <c r="A434" s="81"/>
      <c r="B434" s="81"/>
      <c r="C434" s="81"/>
      <c r="D434" s="81"/>
      <c r="E434" s="81"/>
      <c r="F434" s="81"/>
      <c r="G434" s="81"/>
      <c r="H434" s="81"/>
      <c r="I434" s="289"/>
      <c r="J434" s="81"/>
      <c r="K434" s="289"/>
      <c r="L434" s="289"/>
      <c r="M434" s="289"/>
      <c r="N434" s="289"/>
      <c r="O434" s="289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 ht="24" customHeight="1" x14ac:dyDescent="0.5">
      <c r="A435" s="81"/>
      <c r="B435" s="81"/>
      <c r="C435" s="81"/>
      <c r="D435" s="81"/>
      <c r="E435" s="81"/>
      <c r="F435" s="81"/>
      <c r="G435" s="81"/>
      <c r="H435" s="81"/>
      <c r="I435" s="289"/>
      <c r="J435" s="81"/>
      <c r="K435" s="289"/>
      <c r="L435" s="289"/>
      <c r="M435" s="289"/>
      <c r="N435" s="289"/>
      <c r="O435" s="289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 ht="24" customHeight="1" x14ac:dyDescent="0.5">
      <c r="A436" s="81"/>
      <c r="B436" s="81"/>
      <c r="C436" s="81"/>
      <c r="D436" s="81"/>
      <c r="E436" s="81"/>
      <c r="F436" s="81"/>
      <c r="G436" s="81"/>
      <c r="H436" s="81"/>
      <c r="I436" s="289"/>
      <c r="J436" s="81"/>
      <c r="K436" s="289"/>
      <c r="L436" s="289"/>
      <c r="M436" s="289"/>
      <c r="N436" s="289"/>
      <c r="O436" s="289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 ht="24" customHeight="1" x14ac:dyDescent="0.5">
      <c r="A437" s="81"/>
      <c r="B437" s="81"/>
      <c r="C437" s="81"/>
      <c r="D437" s="81"/>
      <c r="E437" s="81"/>
      <c r="F437" s="81"/>
      <c r="G437" s="81"/>
      <c r="H437" s="81"/>
      <c r="I437" s="289"/>
      <c r="J437" s="81"/>
      <c r="K437" s="289"/>
      <c r="L437" s="289"/>
      <c r="M437" s="289"/>
      <c r="N437" s="289"/>
      <c r="O437" s="289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 ht="24" customHeight="1" x14ac:dyDescent="0.5">
      <c r="A438" s="81"/>
      <c r="B438" s="81"/>
      <c r="C438" s="81"/>
      <c r="D438" s="81"/>
      <c r="E438" s="81"/>
      <c r="F438" s="81"/>
      <c r="G438" s="81"/>
      <c r="H438" s="81"/>
      <c r="I438" s="289"/>
      <c r="J438" s="81"/>
      <c r="K438" s="289"/>
      <c r="L438" s="289"/>
      <c r="M438" s="289"/>
      <c r="N438" s="289"/>
      <c r="O438" s="289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 ht="24" customHeight="1" x14ac:dyDescent="0.5">
      <c r="A439" s="81"/>
      <c r="B439" s="81"/>
      <c r="C439" s="81"/>
      <c r="D439" s="81"/>
      <c r="E439" s="81"/>
      <c r="F439" s="81"/>
      <c r="G439" s="81"/>
      <c r="H439" s="81"/>
      <c r="I439" s="289"/>
      <c r="J439" s="81"/>
      <c r="K439" s="289"/>
      <c r="L439" s="289"/>
      <c r="M439" s="289"/>
      <c r="N439" s="289"/>
      <c r="O439" s="289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 ht="24" customHeight="1" x14ac:dyDescent="0.5">
      <c r="A440" s="81"/>
      <c r="B440" s="81"/>
      <c r="C440" s="81"/>
      <c r="D440" s="81"/>
      <c r="E440" s="81"/>
      <c r="F440" s="81"/>
      <c r="G440" s="81"/>
      <c r="H440" s="81"/>
      <c r="I440" s="289"/>
      <c r="J440" s="81"/>
      <c r="K440" s="289"/>
      <c r="L440" s="289"/>
      <c r="M440" s="289"/>
      <c r="N440" s="289"/>
      <c r="O440" s="289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 ht="24" customHeight="1" x14ac:dyDescent="0.5">
      <c r="A441" s="81"/>
      <c r="B441" s="81"/>
      <c r="C441" s="81"/>
      <c r="D441" s="81"/>
      <c r="E441" s="81"/>
      <c r="F441" s="81"/>
      <c r="G441" s="81"/>
      <c r="H441" s="81"/>
      <c r="I441" s="289"/>
      <c r="J441" s="81"/>
      <c r="K441" s="289"/>
      <c r="L441" s="289"/>
      <c r="M441" s="289"/>
      <c r="N441" s="289"/>
      <c r="O441" s="289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 ht="24" customHeight="1" x14ac:dyDescent="0.5">
      <c r="A442" s="81"/>
      <c r="B442" s="81"/>
      <c r="C442" s="81"/>
      <c r="D442" s="81"/>
      <c r="E442" s="81"/>
      <c r="F442" s="81"/>
      <c r="G442" s="81"/>
      <c r="H442" s="81"/>
      <c r="I442" s="289"/>
      <c r="J442" s="81"/>
      <c r="K442" s="289"/>
      <c r="L442" s="289"/>
      <c r="M442" s="289"/>
      <c r="N442" s="289"/>
      <c r="O442" s="289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 ht="24" customHeight="1" x14ac:dyDescent="0.5">
      <c r="A443" s="81"/>
      <c r="B443" s="81"/>
      <c r="C443" s="81"/>
      <c r="D443" s="81"/>
      <c r="E443" s="81"/>
      <c r="F443" s="81"/>
      <c r="G443" s="81"/>
      <c r="H443" s="81"/>
      <c r="I443" s="289"/>
      <c r="J443" s="81"/>
      <c r="K443" s="289"/>
      <c r="L443" s="289"/>
      <c r="M443" s="289"/>
      <c r="N443" s="289"/>
      <c r="O443" s="289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 ht="24" customHeight="1" x14ac:dyDescent="0.5">
      <c r="A444" s="81"/>
      <c r="B444" s="81"/>
      <c r="C444" s="81"/>
      <c r="D444" s="81"/>
      <c r="E444" s="81"/>
      <c r="F444" s="81"/>
      <c r="G444" s="81"/>
      <c r="H444" s="81"/>
      <c r="I444" s="289"/>
      <c r="J444" s="81"/>
      <c r="K444" s="289"/>
      <c r="L444" s="289"/>
      <c r="M444" s="289"/>
      <c r="N444" s="289"/>
      <c r="O444" s="289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 ht="24" customHeight="1" x14ac:dyDescent="0.5">
      <c r="A445" s="81"/>
      <c r="B445" s="81"/>
      <c r="C445" s="81"/>
      <c r="D445" s="81"/>
      <c r="E445" s="81"/>
      <c r="F445" s="81"/>
      <c r="G445" s="81"/>
      <c r="H445" s="81"/>
      <c r="I445" s="289"/>
      <c r="J445" s="81"/>
      <c r="K445" s="289"/>
      <c r="L445" s="289"/>
      <c r="M445" s="289"/>
      <c r="N445" s="289"/>
      <c r="O445" s="289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 ht="24" customHeight="1" x14ac:dyDescent="0.5">
      <c r="A446" s="81"/>
      <c r="B446" s="81"/>
      <c r="C446" s="81"/>
      <c r="D446" s="81"/>
      <c r="E446" s="81"/>
      <c r="F446" s="81"/>
      <c r="G446" s="81"/>
      <c r="H446" s="81"/>
      <c r="I446" s="289"/>
      <c r="J446" s="81"/>
      <c r="K446" s="289"/>
      <c r="L446" s="289"/>
      <c r="M446" s="289"/>
      <c r="N446" s="289"/>
      <c r="O446" s="289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 ht="24" customHeight="1" x14ac:dyDescent="0.5">
      <c r="A447" s="81"/>
      <c r="B447" s="81"/>
      <c r="C447" s="81"/>
      <c r="D447" s="81"/>
      <c r="E447" s="81"/>
      <c r="F447" s="81"/>
      <c r="G447" s="81"/>
      <c r="H447" s="81"/>
      <c r="I447" s="289"/>
      <c r="J447" s="81"/>
      <c r="K447" s="289"/>
      <c r="L447" s="289"/>
      <c r="M447" s="289"/>
      <c r="N447" s="289"/>
      <c r="O447" s="289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 ht="24" customHeight="1" x14ac:dyDescent="0.5">
      <c r="A448" s="81"/>
      <c r="B448" s="81"/>
      <c r="C448" s="81"/>
      <c r="D448" s="81"/>
      <c r="E448" s="81"/>
      <c r="F448" s="81"/>
      <c r="G448" s="81"/>
      <c r="H448" s="81"/>
      <c r="I448" s="289"/>
      <c r="J448" s="81"/>
      <c r="K448" s="289"/>
      <c r="L448" s="289"/>
      <c r="M448" s="289"/>
      <c r="N448" s="289"/>
      <c r="O448" s="289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 ht="24" customHeight="1" x14ac:dyDescent="0.5">
      <c r="A449" s="81"/>
      <c r="B449" s="81"/>
      <c r="C449" s="81"/>
      <c r="D449" s="81"/>
      <c r="E449" s="81"/>
      <c r="F449" s="81"/>
      <c r="G449" s="81"/>
      <c r="H449" s="81"/>
      <c r="I449" s="289"/>
      <c r="J449" s="81"/>
      <c r="K449" s="289"/>
      <c r="L449" s="289"/>
      <c r="M449" s="289"/>
      <c r="N449" s="289"/>
      <c r="O449" s="289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 ht="24" customHeight="1" x14ac:dyDescent="0.5">
      <c r="A450" s="81"/>
      <c r="B450" s="81"/>
      <c r="C450" s="81"/>
      <c r="D450" s="81"/>
      <c r="E450" s="81"/>
      <c r="F450" s="81"/>
      <c r="G450" s="81"/>
      <c r="H450" s="81"/>
      <c r="I450" s="289"/>
      <c r="J450" s="81"/>
      <c r="K450" s="289"/>
      <c r="L450" s="289"/>
      <c r="M450" s="289"/>
      <c r="N450" s="289"/>
      <c r="O450" s="289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 ht="24" customHeight="1" x14ac:dyDescent="0.5">
      <c r="A451" s="81"/>
      <c r="B451" s="81"/>
      <c r="C451" s="81"/>
      <c r="D451" s="81"/>
      <c r="E451" s="81"/>
      <c r="F451" s="81"/>
      <c r="G451" s="81"/>
      <c r="H451" s="81"/>
      <c r="I451" s="289"/>
      <c r="J451" s="81"/>
      <c r="K451" s="289"/>
      <c r="L451" s="289"/>
      <c r="M451" s="289"/>
      <c r="N451" s="289"/>
      <c r="O451" s="289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 ht="24" customHeight="1" x14ac:dyDescent="0.5">
      <c r="A452" s="81"/>
      <c r="B452" s="81"/>
      <c r="C452" s="81"/>
      <c r="D452" s="81"/>
      <c r="E452" s="81"/>
      <c r="F452" s="81"/>
      <c r="G452" s="81"/>
      <c r="H452" s="81"/>
      <c r="I452" s="289"/>
      <c r="J452" s="81"/>
      <c r="K452" s="289"/>
      <c r="L452" s="289"/>
      <c r="M452" s="289"/>
      <c r="N452" s="289"/>
      <c r="O452" s="289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 ht="24" customHeight="1" x14ac:dyDescent="0.5">
      <c r="A453" s="81"/>
      <c r="B453" s="81"/>
      <c r="C453" s="81"/>
      <c r="D453" s="81"/>
      <c r="E453" s="81"/>
      <c r="F453" s="81"/>
      <c r="G453" s="81"/>
      <c r="H453" s="81"/>
      <c r="I453" s="289"/>
      <c r="J453" s="81"/>
      <c r="K453" s="289"/>
      <c r="L453" s="289"/>
      <c r="M453" s="289"/>
      <c r="N453" s="289"/>
      <c r="O453" s="289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 ht="24" customHeight="1" x14ac:dyDescent="0.5">
      <c r="A454" s="81"/>
      <c r="B454" s="81"/>
      <c r="C454" s="81"/>
      <c r="D454" s="81"/>
      <c r="E454" s="81"/>
      <c r="F454" s="81"/>
      <c r="G454" s="81"/>
      <c r="H454" s="81"/>
      <c r="I454" s="289"/>
      <c r="J454" s="81"/>
      <c r="K454" s="289"/>
      <c r="L454" s="289"/>
      <c r="M454" s="289"/>
      <c r="N454" s="289"/>
      <c r="O454" s="289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 ht="24" customHeight="1" x14ac:dyDescent="0.5">
      <c r="A455" s="81"/>
      <c r="B455" s="81"/>
      <c r="C455" s="81"/>
      <c r="D455" s="81"/>
      <c r="E455" s="81"/>
      <c r="F455" s="81"/>
      <c r="G455" s="81"/>
      <c r="H455" s="81"/>
      <c r="I455" s="289"/>
      <c r="J455" s="81"/>
      <c r="K455" s="289"/>
      <c r="L455" s="289"/>
      <c r="M455" s="289"/>
      <c r="N455" s="289"/>
      <c r="O455" s="289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 ht="24" customHeight="1" x14ac:dyDescent="0.5">
      <c r="A456" s="81"/>
      <c r="B456" s="81"/>
      <c r="C456" s="81"/>
      <c r="D456" s="81"/>
      <c r="E456" s="81"/>
      <c r="F456" s="81"/>
      <c r="G456" s="81"/>
      <c r="H456" s="81"/>
      <c r="I456" s="289"/>
      <c r="J456" s="81"/>
      <c r="K456" s="289"/>
      <c r="L456" s="289"/>
      <c r="M456" s="289"/>
      <c r="N456" s="289"/>
      <c r="O456" s="289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 ht="24" customHeight="1" x14ac:dyDescent="0.5">
      <c r="A457" s="81"/>
      <c r="B457" s="81"/>
      <c r="C457" s="81"/>
      <c r="D457" s="81"/>
      <c r="E457" s="81"/>
      <c r="F457" s="81"/>
      <c r="G457" s="81"/>
      <c r="H457" s="81"/>
      <c r="I457" s="289"/>
      <c r="J457" s="81"/>
      <c r="K457" s="289"/>
      <c r="L457" s="289"/>
      <c r="M457" s="289"/>
      <c r="N457" s="289"/>
      <c r="O457" s="289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 ht="24" customHeight="1" x14ac:dyDescent="0.5">
      <c r="A458" s="81"/>
      <c r="B458" s="81"/>
      <c r="C458" s="81"/>
      <c r="D458" s="81"/>
      <c r="E458" s="81"/>
      <c r="F458" s="81"/>
      <c r="G458" s="81"/>
      <c r="H458" s="81"/>
      <c r="I458" s="289"/>
      <c r="J458" s="81"/>
      <c r="K458" s="289"/>
      <c r="L458" s="289"/>
      <c r="M458" s="289"/>
      <c r="N458" s="289"/>
      <c r="O458" s="289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 ht="24" customHeight="1" x14ac:dyDescent="0.5">
      <c r="A459" s="81"/>
      <c r="B459" s="81"/>
      <c r="C459" s="81"/>
      <c r="D459" s="81"/>
      <c r="E459" s="81"/>
      <c r="F459" s="81"/>
      <c r="G459" s="81"/>
      <c r="H459" s="81"/>
      <c r="I459" s="289"/>
      <c r="J459" s="81"/>
      <c r="K459" s="289"/>
      <c r="L459" s="289"/>
      <c r="M459" s="289"/>
      <c r="N459" s="289"/>
      <c r="O459" s="289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 ht="24" customHeight="1" x14ac:dyDescent="0.5">
      <c r="A460" s="81"/>
      <c r="B460" s="81"/>
      <c r="C460" s="81"/>
      <c r="D460" s="81"/>
      <c r="E460" s="81"/>
      <c r="F460" s="81"/>
      <c r="G460" s="81"/>
      <c r="H460" s="81"/>
      <c r="I460" s="289"/>
      <c r="J460" s="81"/>
      <c r="K460" s="289"/>
      <c r="L460" s="289"/>
      <c r="M460" s="289"/>
      <c r="N460" s="289"/>
      <c r="O460" s="289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 ht="24" customHeight="1" x14ac:dyDescent="0.5">
      <c r="A461" s="81"/>
      <c r="B461" s="81"/>
      <c r="C461" s="81"/>
      <c r="D461" s="81"/>
      <c r="E461" s="81"/>
      <c r="F461" s="81"/>
      <c r="G461" s="81"/>
      <c r="H461" s="81"/>
      <c r="I461" s="289"/>
      <c r="J461" s="81"/>
      <c r="K461" s="289"/>
      <c r="L461" s="289"/>
      <c r="M461" s="289"/>
      <c r="N461" s="289"/>
      <c r="O461" s="289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 ht="24" customHeight="1" x14ac:dyDescent="0.5">
      <c r="A462" s="81"/>
      <c r="B462" s="81"/>
      <c r="C462" s="81"/>
      <c r="D462" s="81"/>
      <c r="E462" s="81"/>
      <c r="F462" s="81"/>
      <c r="G462" s="81"/>
      <c r="H462" s="81"/>
      <c r="I462" s="289"/>
      <c r="J462" s="81"/>
      <c r="K462" s="289"/>
      <c r="L462" s="289"/>
      <c r="M462" s="289"/>
      <c r="N462" s="289"/>
      <c r="O462" s="289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 ht="24" customHeight="1" x14ac:dyDescent="0.5">
      <c r="A463" s="81"/>
      <c r="B463" s="81"/>
      <c r="C463" s="81"/>
      <c r="D463" s="81"/>
      <c r="E463" s="81"/>
      <c r="F463" s="81"/>
      <c r="G463" s="81"/>
      <c r="H463" s="81"/>
      <c r="I463" s="289"/>
      <c r="J463" s="81"/>
      <c r="K463" s="289"/>
      <c r="L463" s="289"/>
      <c r="M463" s="289"/>
      <c r="N463" s="289"/>
      <c r="O463" s="289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 ht="24" customHeight="1" x14ac:dyDescent="0.5">
      <c r="A464" s="81"/>
      <c r="B464" s="81"/>
      <c r="C464" s="81"/>
      <c r="D464" s="81"/>
      <c r="E464" s="81"/>
      <c r="F464" s="81"/>
      <c r="G464" s="81"/>
      <c r="H464" s="81"/>
      <c r="I464" s="289"/>
      <c r="J464" s="81"/>
      <c r="K464" s="289"/>
      <c r="L464" s="289"/>
      <c r="M464" s="289"/>
      <c r="N464" s="289"/>
      <c r="O464" s="289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 ht="24" customHeight="1" x14ac:dyDescent="0.5">
      <c r="A465" s="81"/>
      <c r="B465" s="81"/>
      <c r="C465" s="81"/>
      <c r="D465" s="81"/>
      <c r="E465" s="81"/>
      <c r="F465" s="81"/>
      <c r="G465" s="81"/>
      <c r="H465" s="81"/>
      <c r="I465" s="289"/>
      <c r="J465" s="81"/>
      <c r="K465" s="289"/>
      <c r="L465" s="289"/>
      <c r="M465" s="289"/>
      <c r="N465" s="289"/>
      <c r="O465" s="289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 ht="24" customHeight="1" x14ac:dyDescent="0.5">
      <c r="A466" s="81"/>
      <c r="B466" s="81"/>
      <c r="C466" s="81"/>
      <c r="D466" s="81"/>
      <c r="E466" s="81"/>
      <c r="F466" s="81"/>
      <c r="G466" s="81"/>
      <c r="H466" s="81"/>
      <c r="I466" s="289"/>
      <c r="J466" s="81"/>
      <c r="K466" s="289"/>
      <c r="L466" s="289"/>
      <c r="M466" s="289"/>
      <c r="N466" s="289"/>
      <c r="O466" s="289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 ht="24" customHeight="1" x14ac:dyDescent="0.5">
      <c r="A467" s="81"/>
      <c r="B467" s="81"/>
      <c r="C467" s="81"/>
      <c r="D467" s="81"/>
      <c r="E467" s="81"/>
      <c r="F467" s="81"/>
      <c r="G467" s="81"/>
      <c r="H467" s="81"/>
      <c r="I467" s="289"/>
      <c r="J467" s="81"/>
      <c r="K467" s="289"/>
      <c r="L467" s="289"/>
      <c r="M467" s="289"/>
      <c r="N467" s="289"/>
      <c r="O467" s="289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 ht="24" customHeight="1" x14ac:dyDescent="0.5">
      <c r="A468" s="81"/>
      <c r="B468" s="81"/>
      <c r="C468" s="81"/>
      <c r="D468" s="81"/>
      <c r="E468" s="81"/>
      <c r="F468" s="81"/>
      <c r="G468" s="81"/>
      <c r="H468" s="81"/>
      <c r="I468" s="289"/>
      <c r="J468" s="81"/>
      <c r="K468" s="289"/>
      <c r="L468" s="289"/>
      <c r="M468" s="289"/>
      <c r="N468" s="289"/>
      <c r="O468" s="289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 ht="24" customHeight="1" x14ac:dyDescent="0.5">
      <c r="A469" s="81"/>
      <c r="B469" s="81"/>
      <c r="C469" s="81"/>
      <c r="D469" s="81"/>
      <c r="E469" s="81"/>
      <c r="F469" s="81"/>
      <c r="G469" s="81"/>
      <c r="H469" s="81"/>
      <c r="I469" s="289"/>
      <c r="J469" s="81"/>
      <c r="K469" s="289"/>
      <c r="L469" s="289"/>
      <c r="M469" s="289"/>
      <c r="N469" s="289"/>
      <c r="O469" s="289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 ht="24" customHeight="1" x14ac:dyDescent="0.5">
      <c r="A470" s="81"/>
      <c r="B470" s="81"/>
      <c r="C470" s="81"/>
      <c r="D470" s="81"/>
      <c r="E470" s="81"/>
      <c r="F470" s="81"/>
      <c r="G470" s="81"/>
      <c r="H470" s="81"/>
      <c r="I470" s="289"/>
      <c r="J470" s="81"/>
      <c r="K470" s="289"/>
      <c r="L470" s="289"/>
      <c r="M470" s="289"/>
      <c r="N470" s="289"/>
      <c r="O470" s="289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 ht="24" customHeight="1" x14ac:dyDescent="0.5">
      <c r="A471" s="81"/>
      <c r="B471" s="81"/>
      <c r="C471" s="81"/>
      <c r="D471" s="81"/>
      <c r="E471" s="81"/>
      <c r="F471" s="81"/>
      <c r="G471" s="81"/>
      <c r="H471" s="81"/>
      <c r="I471" s="289"/>
      <c r="J471" s="81"/>
      <c r="K471" s="289"/>
      <c r="L471" s="289"/>
      <c r="M471" s="289"/>
      <c r="N471" s="289"/>
      <c r="O471" s="289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 ht="24" customHeight="1" x14ac:dyDescent="0.5">
      <c r="A472" s="81"/>
      <c r="B472" s="81"/>
      <c r="C472" s="81"/>
      <c r="D472" s="81"/>
      <c r="E472" s="81"/>
      <c r="F472" s="81"/>
      <c r="G472" s="81"/>
      <c r="H472" s="81"/>
      <c r="I472" s="289"/>
      <c r="J472" s="81"/>
      <c r="K472" s="289"/>
      <c r="L472" s="289"/>
      <c r="M472" s="289"/>
      <c r="N472" s="289"/>
      <c r="O472" s="289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 ht="24" customHeight="1" x14ac:dyDescent="0.5">
      <c r="A473" s="81"/>
      <c r="B473" s="81"/>
      <c r="C473" s="81"/>
      <c r="D473" s="81"/>
      <c r="E473" s="81"/>
      <c r="F473" s="81"/>
      <c r="G473" s="81"/>
      <c r="H473" s="81"/>
      <c r="I473" s="289"/>
      <c r="J473" s="81"/>
      <c r="K473" s="289"/>
      <c r="L473" s="289"/>
      <c r="M473" s="289"/>
      <c r="N473" s="289"/>
      <c r="O473" s="289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 ht="24" customHeight="1" x14ac:dyDescent="0.5">
      <c r="A474" s="81"/>
      <c r="B474" s="81"/>
      <c r="C474" s="81"/>
      <c r="D474" s="81"/>
      <c r="E474" s="81"/>
      <c r="F474" s="81"/>
      <c r="G474" s="81"/>
      <c r="H474" s="81"/>
      <c r="I474" s="289"/>
      <c r="J474" s="81"/>
      <c r="K474" s="289"/>
      <c r="L474" s="289"/>
      <c r="M474" s="289"/>
      <c r="N474" s="289"/>
      <c r="O474" s="289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 ht="24" customHeight="1" x14ac:dyDescent="0.5">
      <c r="A475" s="81"/>
      <c r="B475" s="81"/>
      <c r="C475" s="81"/>
      <c r="D475" s="81"/>
      <c r="E475" s="81"/>
      <c r="F475" s="81"/>
      <c r="G475" s="81"/>
      <c r="H475" s="81"/>
      <c r="I475" s="289"/>
      <c r="J475" s="81"/>
      <c r="K475" s="289"/>
      <c r="L475" s="289"/>
      <c r="M475" s="289"/>
      <c r="N475" s="289"/>
      <c r="O475" s="289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 ht="24" customHeight="1" x14ac:dyDescent="0.5">
      <c r="A476" s="81"/>
      <c r="B476" s="81"/>
      <c r="C476" s="81"/>
      <c r="D476" s="81"/>
      <c r="E476" s="81"/>
      <c r="F476" s="81"/>
      <c r="G476" s="81"/>
      <c r="H476" s="81"/>
      <c r="I476" s="289"/>
      <c r="J476" s="81"/>
      <c r="K476" s="289"/>
      <c r="L476" s="289"/>
      <c r="M476" s="289"/>
      <c r="N476" s="289"/>
      <c r="O476" s="289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 ht="24" customHeight="1" x14ac:dyDescent="0.5">
      <c r="A477" s="81"/>
      <c r="B477" s="81"/>
      <c r="C477" s="81"/>
      <c r="D477" s="81"/>
      <c r="E477" s="81"/>
      <c r="F477" s="81"/>
      <c r="G477" s="81"/>
      <c r="H477" s="81"/>
      <c r="I477" s="289"/>
      <c r="J477" s="81"/>
      <c r="K477" s="289"/>
      <c r="L477" s="289"/>
      <c r="M477" s="289"/>
      <c r="N477" s="289"/>
      <c r="O477" s="289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 ht="24" customHeight="1" x14ac:dyDescent="0.5">
      <c r="A478" s="81"/>
      <c r="B478" s="81"/>
      <c r="C478" s="81"/>
      <c r="D478" s="81"/>
      <c r="E478" s="81"/>
      <c r="F478" s="81"/>
      <c r="G478" s="81"/>
      <c r="H478" s="81"/>
      <c r="I478" s="289"/>
      <c r="J478" s="81"/>
      <c r="K478" s="289"/>
      <c r="L478" s="289"/>
      <c r="M478" s="289"/>
      <c r="N478" s="289"/>
      <c r="O478" s="289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 ht="24" customHeight="1" x14ac:dyDescent="0.5">
      <c r="A479" s="81"/>
      <c r="B479" s="81"/>
      <c r="C479" s="81"/>
      <c r="D479" s="81"/>
      <c r="E479" s="81"/>
      <c r="F479" s="81"/>
      <c r="G479" s="81"/>
      <c r="H479" s="81"/>
      <c r="I479" s="289"/>
      <c r="J479" s="81"/>
      <c r="K479" s="289"/>
      <c r="L479" s="289"/>
      <c r="M479" s="289"/>
      <c r="N479" s="289"/>
      <c r="O479" s="289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 ht="24" customHeight="1" x14ac:dyDescent="0.5">
      <c r="A480" s="81"/>
      <c r="B480" s="81"/>
      <c r="C480" s="81"/>
      <c r="D480" s="81"/>
      <c r="E480" s="81"/>
      <c r="F480" s="81"/>
      <c r="G480" s="81"/>
      <c r="H480" s="81"/>
      <c r="I480" s="289"/>
      <c r="J480" s="81"/>
      <c r="K480" s="289"/>
      <c r="L480" s="289"/>
      <c r="M480" s="289"/>
      <c r="N480" s="289"/>
      <c r="O480" s="289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 ht="24" customHeight="1" x14ac:dyDescent="0.5">
      <c r="A481" s="81"/>
      <c r="B481" s="81"/>
      <c r="C481" s="81"/>
      <c r="D481" s="81"/>
      <c r="E481" s="81"/>
      <c r="F481" s="81"/>
      <c r="G481" s="81"/>
      <c r="H481" s="81"/>
      <c r="I481" s="289"/>
      <c r="J481" s="81"/>
      <c r="K481" s="289"/>
      <c r="L481" s="289"/>
      <c r="M481" s="289"/>
      <c r="N481" s="289"/>
      <c r="O481" s="289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 ht="24" customHeight="1" x14ac:dyDescent="0.5">
      <c r="A482" s="81"/>
      <c r="B482" s="81"/>
      <c r="C482" s="81"/>
      <c r="D482" s="81"/>
      <c r="E482" s="81"/>
      <c r="F482" s="81"/>
      <c r="G482" s="81"/>
      <c r="H482" s="81"/>
      <c r="I482" s="289"/>
      <c r="J482" s="81"/>
      <c r="K482" s="289"/>
      <c r="L482" s="289"/>
      <c r="M482" s="289"/>
      <c r="N482" s="289"/>
      <c r="O482" s="289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 ht="24" customHeight="1" x14ac:dyDescent="0.5">
      <c r="A483" s="81"/>
      <c r="B483" s="81"/>
      <c r="C483" s="81"/>
      <c r="D483" s="81"/>
      <c r="E483" s="81"/>
      <c r="F483" s="81"/>
      <c r="G483" s="81"/>
      <c r="H483" s="81"/>
      <c r="I483" s="289"/>
      <c r="J483" s="81"/>
      <c r="K483" s="289"/>
      <c r="L483" s="289"/>
      <c r="M483" s="289"/>
      <c r="N483" s="289"/>
      <c r="O483" s="289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 ht="24" customHeight="1" x14ac:dyDescent="0.5">
      <c r="A484" s="81"/>
      <c r="B484" s="81"/>
      <c r="C484" s="81"/>
      <c r="D484" s="81"/>
      <c r="E484" s="81"/>
      <c r="F484" s="81"/>
      <c r="G484" s="81"/>
      <c r="H484" s="81"/>
      <c r="I484" s="289"/>
      <c r="J484" s="81"/>
      <c r="K484" s="289"/>
      <c r="L484" s="289"/>
      <c r="M484" s="289"/>
      <c r="N484" s="289"/>
      <c r="O484" s="289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 ht="24" customHeight="1" x14ac:dyDescent="0.5">
      <c r="A485" s="81"/>
      <c r="B485" s="81"/>
      <c r="C485" s="81"/>
      <c r="D485" s="81"/>
      <c r="E485" s="81"/>
      <c r="F485" s="81"/>
      <c r="G485" s="81"/>
      <c r="H485" s="81"/>
      <c r="I485" s="289"/>
      <c r="J485" s="81"/>
      <c r="K485" s="289"/>
      <c r="L485" s="289"/>
      <c r="M485" s="289"/>
      <c r="N485" s="289"/>
      <c r="O485" s="289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 ht="24" customHeight="1" x14ac:dyDescent="0.5">
      <c r="A486" s="81"/>
      <c r="B486" s="81"/>
      <c r="C486" s="81"/>
      <c r="D486" s="81"/>
      <c r="E486" s="81"/>
      <c r="F486" s="81"/>
      <c r="G486" s="81"/>
      <c r="H486" s="81"/>
      <c r="I486" s="289"/>
      <c r="J486" s="81"/>
      <c r="K486" s="289"/>
      <c r="L486" s="289"/>
      <c r="M486" s="289"/>
      <c r="N486" s="289"/>
      <c r="O486" s="289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 ht="24" customHeight="1" x14ac:dyDescent="0.5">
      <c r="A487" s="81"/>
      <c r="B487" s="81"/>
      <c r="C487" s="81"/>
      <c r="D487" s="81"/>
      <c r="E487" s="81"/>
      <c r="F487" s="81"/>
      <c r="G487" s="81"/>
      <c r="H487" s="81"/>
      <c r="I487" s="289"/>
      <c r="J487" s="81"/>
      <c r="K487" s="289"/>
      <c r="L487" s="289"/>
      <c r="M487" s="289"/>
      <c r="N487" s="289"/>
      <c r="O487" s="289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 ht="24" customHeight="1" x14ac:dyDescent="0.5">
      <c r="A488" s="81"/>
      <c r="B488" s="81"/>
      <c r="C488" s="81"/>
      <c r="D488" s="81"/>
      <c r="E488" s="81"/>
      <c r="F488" s="81"/>
      <c r="G488" s="81"/>
      <c r="H488" s="81"/>
      <c r="I488" s="289"/>
      <c r="J488" s="81"/>
      <c r="K488" s="289"/>
      <c r="L488" s="289"/>
      <c r="M488" s="289"/>
      <c r="N488" s="289"/>
      <c r="O488" s="289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 ht="24" customHeight="1" x14ac:dyDescent="0.5">
      <c r="A489" s="81"/>
      <c r="B489" s="81"/>
      <c r="C489" s="81"/>
      <c r="D489" s="81"/>
      <c r="E489" s="81"/>
      <c r="F489" s="81"/>
      <c r="G489" s="81"/>
      <c r="H489" s="81"/>
      <c r="I489" s="289"/>
      <c r="J489" s="81"/>
      <c r="K489" s="289"/>
      <c r="L489" s="289"/>
      <c r="M489" s="289"/>
      <c r="N489" s="289"/>
      <c r="O489" s="289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 ht="24" customHeight="1" x14ac:dyDescent="0.5">
      <c r="A490" s="81"/>
      <c r="B490" s="81"/>
      <c r="C490" s="81"/>
      <c r="D490" s="81"/>
      <c r="E490" s="81"/>
      <c r="F490" s="81"/>
      <c r="G490" s="81"/>
      <c r="H490" s="81"/>
      <c r="I490" s="289"/>
      <c r="J490" s="81"/>
      <c r="K490" s="289"/>
      <c r="L490" s="289"/>
      <c r="M490" s="289"/>
      <c r="N490" s="289"/>
      <c r="O490" s="289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 ht="24" customHeight="1" x14ac:dyDescent="0.5">
      <c r="A491" s="81"/>
      <c r="B491" s="81"/>
      <c r="C491" s="81"/>
      <c r="D491" s="81"/>
      <c r="E491" s="81"/>
      <c r="F491" s="81"/>
      <c r="G491" s="81"/>
      <c r="H491" s="81"/>
      <c r="I491" s="289"/>
      <c r="J491" s="81"/>
      <c r="K491" s="289"/>
      <c r="L491" s="289"/>
      <c r="M491" s="289"/>
      <c r="N491" s="289"/>
      <c r="O491" s="289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 ht="24" customHeight="1" x14ac:dyDescent="0.5">
      <c r="A492" s="81"/>
      <c r="B492" s="81"/>
      <c r="C492" s="81"/>
      <c r="D492" s="81"/>
      <c r="E492" s="81"/>
      <c r="F492" s="81"/>
      <c r="G492" s="81"/>
      <c r="H492" s="81"/>
      <c r="I492" s="289"/>
      <c r="J492" s="81"/>
      <c r="K492" s="289"/>
      <c r="L492" s="289"/>
      <c r="M492" s="289"/>
      <c r="N492" s="289"/>
      <c r="O492" s="289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 ht="24" customHeight="1" x14ac:dyDescent="0.5">
      <c r="A493" s="81"/>
      <c r="B493" s="81"/>
      <c r="C493" s="81"/>
      <c r="D493" s="81"/>
      <c r="E493" s="81"/>
      <c r="F493" s="81"/>
      <c r="G493" s="81"/>
      <c r="H493" s="81"/>
      <c r="I493" s="289"/>
      <c r="J493" s="81"/>
      <c r="K493" s="289"/>
      <c r="L493" s="289"/>
      <c r="M493" s="289"/>
      <c r="N493" s="289"/>
      <c r="O493" s="289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 ht="24" customHeight="1" x14ac:dyDescent="0.5">
      <c r="A494" s="81"/>
      <c r="B494" s="81"/>
      <c r="C494" s="81"/>
      <c r="D494" s="81"/>
      <c r="E494" s="81"/>
      <c r="F494" s="81"/>
      <c r="G494" s="81"/>
      <c r="H494" s="81"/>
      <c r="I494" s="289"/>
      <c r="J494" s="81"/>
      <c r="K494" s="289"/>
      <c r="L494" s="289"/>
      <c r="M494" s="289"/>
      <c r="N494" s="289"/>
      <c r="O494" s="289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 ht="24" customHeight="1" x14ac:dyDescent="0.5">
      <c r="A495" s="81"/>
      <c r="B495" s="81"/>
      <c r="C495" s="81"/>
      <c r="D495" s="81"/>
      <c r="E495" s="81"/>
      <c r="F495" s="81"/>
      <c r="G495" s="81"/>
      <c r="H495" s="81"/>
      <c r="I495" s="289"/>
      <c r="J495" s="81"/>
      <c r="K495" s="289"/>
      <c r="L495" s="289"/>
      <c r="M495" s="289"/>
      <c r="N495" s="289"/>
      <c r="O495" s="289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 ht="24" customHeight="1" x14ac:dyDescent="0.5">
      <c r="A496" s="81"/>
      <c r="B496" s="81"/>
      <c r="C496" s="81"/>
      <c r="D496" s="81"/>
      <c r="E496" s="81"/>
      <c r="F496" s="81"/>
      <c r="G496" s="81"/>
      <c r="H496" s="81"/>
      <c r="I496" s="289"/>
      <c r="J496" s="81"/>
      <c r="K496" s="289"/>
      <c r="L496" s="289"/>
      <c r="M496" s="289"/>
      <c r="N496" s="289"/>
      <c r="O496" s="289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 ht="24" customHeight="1" x14ac:dyDescent="0.5">
      <c r="A497" s="81"/>
      <c r="B497" s="81"/>
      <c r="C497" s="81"/>
      <c r="D497" s="81"/>
      <c r="E497" s="81"/>
      <c r="F497" s="81"/>
      <c r="G497" s="81"/>
      <c r="H497" s="81"/>
      <c r="I497" s="289"/>
      <c r="J497" s="81"/>
      <c r="K497" s="289"/>
      <c r="L497" s="289"/>
      <c r="M497" s="289"/>
      <c r="N497" s="289"/>
      <c r="O497" s="289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 ht="24" customHeight="1" x14ac:dyDescent="0.5">
      <c r="A498" s="81"/>
      <c r="B498" s="81"/>
      <c r="C498" s="81"/>
      <c r="D498" s="81"/>
      <c r="E498" s="81"/>
      <c r="F498" s="81"/>
      <c r="G498" s="81"/>
      <c r="H498" s="81"/>
      <c r="I498" s="289"/>
      <c r="J498" s="81"/>
      <c r="K498" s="289"/>
      <c r="L498" s="289"/>
      <c r="M498" s="289"/>
      <c r="N498" s="289"/>
      <c r="O498" s="289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 ht="24" customHeight="1" x14ac:dyDescent="0.5">
      <c r="A499" s="81"/>
      <c r="B499" s="81"/>
      <c r="C499" s="81"/>
      <c r="D499" s="81"/>
      <c r="E499" s="81"/>
      <c r="F499" s="81"/>
      <c r="G499" s="81"/>
      <c r="H499" s="81"/>
      <c r="I499" s="289"/>
      <c r="J499" s="81"/>
      <c r="K499" s="289"/>
      <c r="L499" s="289"/>
      <c r="M499" s="289"/>
      <c r="N499" s="289"/>
      <c r="O499" s="289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 ht="24" customHeight="1" x14ac:dyDescent="0.5">
      <c r="A500" s="81"/>
      <c r="B500" s="81"/>
      <c r="C500" s="81"/>
      <c r="D500" s="81"/>
      <c r="E500" s="81"/>
      <c r="F500" s="81"/>
      <c r="G500" s="81"/>
      <c r="H500" s="81"/>
      <c r="I500" s="289"/>
      <c r="J500" s="81"/>
      <c r="K500" s="289"/>
      <c r="L500" s="289"/>
      <c r="M500" s="289"/>
      <c r="N500" s="289"/>
      <c r="O500" s="289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 ht="24" customHeight="1" x14ac:dyDescent="0.5">
      <c r="A501" s="81"/>
      <c r="B501" s="81"/>
      <c r="C501" s="81"/>
      <c r="D501" s="81"/>
      <c r="E501" s="81"/>
      <c r="F501" s="81"/>
      <c r="G501" s="81"/>
      <c r="H501" s="81"/>
      <c r="I501" s="289"/>
      <c r="J501" s="81"/>
      <c r="K501" s="289"/>
      <c r="L501" s="289"/>
      <c r="M501" s="289"/>
      <c r="N501" s="289"/>
      <c r="O501" s="289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 ht="24" customHeight="1" x14ac:dyDescent="0.5">
      <c r="A502" s="81"/>
      <c r="B502" s="81"/>
      <c r="C502" s="81"/>
      <c r="D502" s="81"/>
      <c r="E502" s="81"/>
      <c r="F502" s="81"/>
      <c r="G502" s="81"/>
      <c r="H502" s="81"/>
      <c r="I502" s="289"/>
      <c r="J502" s="81"/>
      <c r="K502" s="289"/>
      <c r="L502" s="289"/>
      <c r="M502" s="289"/>
      <c r="N502" s="289"/>
      <c r="O502" s="289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 ht="24" customHeight="1" x14ac:dyDescent="0.5">
      <c r="A503" s="81"/>
      <c r="B503" s="81"/>
      <c r="C503" s="81"/>
      <c r="D503" s="81"/>
      <c r="E503" s="81"/>
      <c r="F503" s="81"/>
      <c r="G503" s="81"/>
      <c r="H503" s="81"/>
      <c r="I503" s="289"/>
      <c r="J503" s="81"/>
      <c r="K503" s="289"/>
      <c r="L503" s="289"/>
      <c r="M503" s="289"/>
      <c r="N503" s="289"/>
      <c r="O503" s="289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 ht="24" customHeight="1" x14ac:dyDescent="0.5">
      <c r="A504" s="81"/>
      <c r="B504" s="81"/>
      <c r="C504" s="81"/>
      <c r="D504" s="81"/>
      <c r="E504" s="81"/>
      <c r="F504" s="81"/>
      <c r="G504" s="81"/>
      <c r="H504" s="81"/>
      <c r="I504" s="289"/>
      <c r="J504" s="81"/>
      <c r="K504" s="289"/>
      <c r="L504" s="289"/>
      <c r="M504" s="289"/>
      <c r="N504" s="289"/>
      <c r="O504" s="289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 ht="24" customHeight="1" x14ac:dyDescent="0.5">
      <c r="A505" s="81"/>
      <c r="B505" s="81"/>
      <c r="C505" s="81"/>
      <c r="D505" s="81"/>
      <c r="E505" s="81"/>
      <c r="F505" s="81"/>
      <c r="G505" s="81"/>
      <c r="H505" s="81"/>
      <c r="I505" s="289"/>
      <c r="J505" s="81"/>
      <c r="K505" s="289"/>
      <c r="L505" s="289"/>
      <c r="M505" s="289"/>
      <c r="N505" s="289"/>
      <c r="O505" s="289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 ht="24" customHeight="1" x14ac:dyDescent="0.5">
      <c r="A506" s="81"/>
      <c r="B506" s="81"/>
      <c r="C506" s="81"/>
      <c r="D506" s="81"/>
      <c r="E506" s="81"/>
      <c r="F506" s="81"/>
      <c r="G506" s="81"/>
      <c r="H506" s="81"/>
      <c r="I506" s="289"/>
      <c r="J506" s="81"/>
      <c r="K506" s="289"/>
      <c r="L506" s="289"/>
      <c r="M506" s="289"/>
      <c r="N506" s="289"/>
      <c r="O506" s="289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 ht="24" customHeight="1" x14ac:dyDescent="0.5">
      <c r="A507" s="81"/>
      <c r="B507" s="81"/>
      <c r="C507" s="81"/>
      <c r="D507" s="81"/>
      <c r="E507" s="81"/>
      <c r="F507" s="81"/>
      <c r="G507" s="81"/>
      <c r="H507" s="81"/>
      <c r="I507" s="289"/>
      <c r="J507" s="81"/>
      <c r="K507" s="289"/>
      <c r="L507" s="289"/>
      <c r="M507" s="289"/>
      <c r="N507" s="289"/>
      <c r="O507" s="289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 ht="24" customHeight="1" x14ac:dyDescent="0.5">
      <c r="A508" s="81"/>
      <c r="B508" s="81"/>
      <c r="C508" s="81"/>
      <c r="D508" s="81"/>
      <c r="E508" s="81"/>
      <c r="F508" s="81"/>
      <c r="G508" s="81"/>
      <c r="H508" s="81"/>
      <c r="I508" s="289"/>
      <c r="J508" s="81"/>
      <c r="K508" s="289"/>
      <c r="L508" s="289"/>
      <c r="M508" s="289"/>
      <c r="N508" s="289"/>
      <c r="O508" s="289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 ht="24" customHeight="1" x14ac:dyDescent="0.5">
      <c r="A509" s="81"/>
      <c r="B509" s="81"/>
      <c r="C509" s="81"/>
      <c r="D509" s="81"/>
      <c r="E509" s="81"/>
      <c r="F509" s="81"/>
      <c r="G509" s="81"/>
      <c r="H509" s="81"/>
      <c r="I509" s="289"/>
      <c r="J509" s="81"/>
      <c r="K509" s="289"/>
      <c r="L509" s="289"/>
      <c r="M509" s="289"/>
      <c r="N509" s="289"/>
      <c r="O509" s="289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 ht="24" customHeight="1" x14ac:dyDescent="0.5">
      <c r="A510" s="81"/>
      <c r="B510" s="81"/>
      <c r="C510" s="81"/>
      <c r="D510" s="81"/>
      <c r="E510" s="81"/>
      <c r="F510" s="81"/>
      <c r="G510" s="81"/>
      <c r="H510" s="81"/>
      <c r="I510" s="289"/>
      <c r="J510" s="81"/>
      <c r="K510" s="289"/>
      <c r="L510" s="289"/>
      <c r="M510" s="289"/>
      <c r="N510" s="289"/>
      <c r="O510" s="289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 ht="24" customHeight="1" x14ac:dyDescent="0.5">
      <c r="A511" s="81"/>
      <c r="B511" s="81"/>
      <c r="C511" s="81"/>
      <c r="D511" s="81"/>
      <c r="E511" s="81"/>
      <c r="F511" s="81"/>
      <c r="G511" s="81"/>
      <c r="H511" s="81"/>
      <c r="I511" s="289"/>
      <c r="J511" s="81"/>
      <c r="K511" s="289"/>
      <c r="L511" s="289"/>
      <c r="M511" s="289"/>
      <c r="N511" s="289"/>
      <c r="O511" s="289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 ht="24" customHeight="1" x14ac:dyDescent="0.5">
      <c r="A512" s="81"/>
      <c r="B512" s="81"/>
      <c r="C512" s="81"/>
      <c r="D512" s="81"/>
      <c r="E512" s="81"/>
      <c r="F512" s="81"/>
      <c r="G512" s="81"/>
      <c r="H512" s="81"/>
      <c r="I512" s="289"/>
      <c r="J512" s="81"/>
      <c r="K512" s="289"/>
      <c r="L512" s="289"/>
      <c r="M512" s="289"/>
      <c r="N512" s="289"/>
      <c r="O512" s="289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 ht="24" customHeight="1" x14ac:dyDescent="0.5">
      <c r="A513" s="81"/>
      <c r="B513" s="81"/>
      <c r="C513" s="81"/>
      <c r="D513" s="81"/>
      <c r="E513" s="81"/>
      <c r="F513" s="81"/>
      <c r="G513" s="81"/>
      <c r="H513" s="81"/>
      <c r="I513" s="289"/>
      <c r="J513" s="81"/>
      <c r="K513" s="289"/>
      <c r="L513" s="289"/>
      <c r="M513" s="289"/>
      <c r="N513" s="289"/>
      <c r="O513" s="289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 ht="24" customHeight="1" x14ac:dyDescent="0.5">
      <c r="A514" s="81"/>
      <c r="B514" s="81"/>
      <c r="C514" s="81"/>
      <c r="D514" s="81"/>
      <c r="E514" s="81"/>
      <c r="F514" s="81"/>
      <c r="G514" s="81"/>
      <c r="H514" s="81"/>
      <c r="I514" s="289"/>
      <c r="J514" s="81"/>
      <c r="K514" s="289"/>
      <c r="L514" s="289"/>
      <c r="M514" s="289"/>
      <c r="N514" s="289"/>
      <c r="O514" s="289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 ht="24" customHeight="1" x14ac:dyDescent="0.5">
      <c r="A515" s="81"/>
      <c r="B515" s="81"/>
      <c r="C515" s="81"/>
      <c r="D515" s="81"/>
      <c r="E515" s="81"/>
      <c r="F515" s="81"/>
      <c r="G515" s="81"/>
      <c r="H515" s="81"/>
      <c r="I515" s="289"/>
      <c r="J515" s="81"/>
      <c r="K515" s="289"/>
      <c r="L515" s="289"/>
      <c r="M515" s="289"/>
      <c r="N515" s="289"/>
      <c r="O515" s="289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 ht="24" customHeight="1" x14ac:dyDescent="0.5">
      <c r="A516" s="81"/>
      <c r="B516" s="81"/>
      <c r="C516" s="81"/>
      <c r="D516" s="81"/>
      <c r="E516" s="81"/>
      <c r="F516" s="81"/>
      <c r="G516" s="81"/>
      <c r="H516" s="81"/>
      <c r="I516" s="289"/>
      <c r="J516" s="81"/>
      <c r="K516" s="289"/>
      <c r="L516" s="289"/>
      <c r="M516" s="289"/>
      <c r="N516" s="289"/>
      <c r="O516" s="289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 ht="24" customHeight="1" x14ac:dyDescent="0.5">
      <c r="A517" s="81"/>
      <c r="B517" s="81"/>
      <c r="C517" s="81"/>
      <c r="D517" s="81"/>
      <c r="E517" s="81"/>
      <c r="F517" s="81"/>
      <c r="G517" s="81"/>
      <c r="H517" s="81"/>
      <c r="I517" s="289"/>
      <c r="J517" s="81"/>
      <c r="K517" s="289"/>
      <c r="L517" s="289"/>
      <c r="M517" s="289"/>
      <c r="N517" s="289"/>
      <c r="O517" s="289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 ht="24" customHeight="1" x14ac:dyDescent="0.5">
      <c r="A518" s="81"/>
      <c r="B518" s="81"/>
      <c r="C518" s="81"/>
      <c r="D518" s="81"/>
      <c r="E518" s="81"/>
      <c r="F518" s="81"/>
      <c r="G518" s="81"/>
      <c r="H518" s="81"/>
      <c r="I518" s="289"/>
      <c r="J518" s="81"/>
      <c r="K518" s="289"/>
      <c r="L518" s="289"/>
      <c r="M518" s="289"/>
      <c r="N518" s="289"/>
      <c r="O518" s="289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 ht="24" customHeight="1" x14ac:dyDescent="0.5">
      <c r="A519" s="81"/>
      <c r="B519" s="81"/>
      <c r="C519" s="81"/>
      <c r="D519" s="81"/>
      <c r="E519" s="81"/>
      <c r="F519" s="81"/>
      <c r="G519" s="81"/>
      <c r="H519" s="81"/>
      <c r="I519" s="289"/>
      <c r="J519" s="81"/>
      <c r="K519" s="289"/>
      <c r="L519" s="289"/>
      <c r="M519" s="289"/>
      <c r="N519" s="289"/>
      <c r="O519" s="289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 ht="24" customHeight="1" x14ac:dyDescent="0.5">
      <c r="A520" s="81"/>
      <c r="B520" s="81"/>
      <c r="C520" s="81"/>
      <c r="D520" s="81"/>
      <c r="E520" s="81"/>
      <c r="F520" s="81"/>
      <c r="G520" s="81"/>
      <c r="H520" s="81"/>
      <c r="I520" s="289"/>
      <c r="J520" s="81"/>
      <c r="K520" s="289"/>
      <c r="L520" s="289"/>
      <c r="M520" s="289"/>
      <c r="N520" s="289"/>
      <c r="O520" s="289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 ht="24" customHeight="1" x14ac:dyDescent="0.5">
      <c r="A521" s="81"/>
      <c r="B521" s="81"/>
      <c r="C521" s="81"/>
      <c r="D521" s="81"/>
      <c r="E521" s="81"/>
      <c r="F521" s="81"/>
      <c r="G521" s="81"/>
      <c r="H521" s="81"/>
      <c r="I521" s="289"/>
      <c r="J521" s="81"/>
      <c r="K521" s="289"/>
      <c r="L521" s="289"/>
      <c r="M521" s="289"/>
      <c r="N521" s="289"/>
      <c r="O521" s="289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 ht="24" customHeight="1" x14ac:dyDescent="0.5">
      <c r="A522" s="81"/>
      <c r="B522" s="81"/>
      <c r="C522" s="81"/>
      <c r="D522" s="81"/>
      <c r="E522" s="81"/>
      <c r="F522" s="81"/>
      <c r="G522" s="81"/>
      <c r="H522" s="81"/>
      <c r="I522" s="289"/>
      <c r="J522" s="81"/>
      <c r="K522" s="289"/>
      <c r="L522" s="289"/>
      <c r="M522" s="289"/>
      <c r="N522" s="289"/>
      <c r="O522" s="289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 ht="24" customHeight="1" x14ac:dyDescent="0.5">
      <c r="A523" s="81"/>
      <c r="B523" s="81"/>
      <c r="C523" s="81"/>
      <c r="D523" s="81"/>
      <c r="E523" s="81"/>
      <c r="F523" s="81"/>
      <c r="G523" s="81"/>
      <c r="H523" s="81"/>
      <c r="I523" s="289"/>
      <c r="J523" s="81"/>
      <c r="K523" s="289"/>
      <c r="L523" s="289"/>
      <c r="M523" s="289"/>
      <c r="N523" s="289"/>
      <c r="O523" s="289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 ht="24" customHeight="1" x14ac:dyDescent="0.5">
      <c r="A524" s="81"/>
      <c r="B524" s="81"/>
      <c r="C524" s="81"/>
      <c r="D524" s="81"/>
      <c r="E524" s="81"/>
      <c r="F524" s="81"/>
      <c r="G524" s="81"/>
      <c r="H524" s="81"/>
      <c r="I524" s="289"/>
      <c r="J524" s="81"/>
      <c r="K524" s="289"/>
      <c r="L524" s="289"/>
      <c r="M524" s="289"/>
      <c r="N524" s="289"/>
      <c r="O524" s="289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 ht="24" customHeight="1" x14ac:dyDescent="0.5">
      <c r="A525" s="81"/>
      <c r="B525" s="81"/>
      <c r="C525" s="81"/>
      <c r="D525" s="81"/>
      <c r="E525" s="81"/>
      <c r="F525" s="81"/>
      <c r="G525" s="81"/>
      <c r="H525" s="81"/>
      <c r="I525" s="289"/>
      <c r="J525" s="81"/>
      <c r="K525" s="289"/>
      <c r="L525" s="289"/>
      <c r="M525" s="289"/>
      <c r="N525" s="289"/>
      <c r="O525" s="289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 ht="24" customHeight="1" x14ac:dyDescent="0.5">
      <c r="A526" s="81"/>
      <c r="B526" s="81"/>
      <c r="C526" s="81"/>
      <c r="D526" s="81"/>
      <c r="E526" s="81"/>
      <c r="F526" s="81"/>
      <c r="G526" s="81"/>
      <c r="H526" s="81"/>
      <c r="I526" s="289"/>
      <c r="J526" s="81"/>
      <c r="K526" s="289"/>
      <c r="L526" s="289"/>
      <c r="M526" s="289"/>
      <c r="N526" s="289"/>
      <c r="O526" s="289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 ht="24" customHeight="1" x14ac:dyDescent="0.5">
      <c r="A527" s="81"/>
      <c r="B527" s="81"/>
      <c r="C527" s="81"/>
      <c r="D527" s="81"/>
      <c r="E527" s="81"/>
      <c r="F527" s="81"/>
      <c r="G527" s="81"/>
      <c r="H527" s="81"/>
      <c r="I527" s="289"/>
      <c r="J527" s="81"/>
      <c r="K527" s="289"/>
      <c r="L527" s="289"/>
      <c r="M527" s="289"/>
      <c r="N527" s="289"/>
      <c r="O527" s="289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 ht="24" customHeight="1" x14ac:dyDescent="0.5">
      <c r="A528" s="81"/>
      <c r="B528" s="81"/>
      <c r="C528" s="81"/>
      <c r="D528" s="81"/>
      <c r="E528" s="81"/>
      <c r="F528" s="81"/>
      <c r="G528" s="81"/>
      <c r="H528" s="81"/>
      <c r="I528" s="289"/>
      <c r="J528" s="81"/>
      <c r="K528" s="289"/>
      <c r="L528" s="289"/>
      <c r="M528" s="289"/>
      <c r="N528" s="289"/>
      <c r="O528" s="289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 ht="24" customHeight="1" x14ac:dyDescent="0.5">
      <c r="A529" s="81"/>
      <c r="B529" s="81"/>
      <c r="C529" s="81"/>
      <c r="D529" s="81"/>
      <c r="E529" s="81"/>
      <c r="F529" s="81"/>
      <c r="G529" s="81"/>
      <c r="H529" s="81"/>
      <c r="I529" s="289"/>
      <c r="J529" s="81"/>
      <c r="K529" s="289"/>
      <c r="L529" s="289"/>
      <c r="M529" s="289"/>
      <c r="N529" s="289"/>
      <c r="O529" s="289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 ht="24" customHeight="1" x14ac:dyDescent="0.5">
      <c r="A530" s="81"/>
      <c r="B530" s="81"/>
      <c r="C530" s="81"/>
      <c r="D530" s="81"/>
      <c r="E530" s="81"/>
      <c r="F530" s="81"/>
      <c r="G530" s="81"/>
      <c r="H530" s="81"/>
      <c r="I530" s="289"/>
      <c r="J530" s="81"/>
      <c r="K530" s="289"/>
      <c r="L530" s="289"/>
      <c r="M530" s="289"/>
      <c r="N530" s="289"/>
      <c r="O530" s="289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 ht="24" customHeight="1" x14ac:dyDescent="0.5">
      <c r="A531" s="81"/>
      <c r="B531" s="81"/>
      <c r="C531" s="81"/>
      <c r="D531" s="81"/>
      <c r="E531" s="81"/>
      <c r="F531" s="81"/>
      <c r="G531" s="81"/>
      <c r="H531" s="81"/>
      <c r="I531" s="289"/>
      <c r="J531" s="81"/>
      <c r="K531" s="289"/>
      <c r="L531" s="289"/>
      <c r="M531" s="289"/>
      <c r="N531" s="289"/>
      <c r="O531" s="289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 ht="24" customHeight="1" x14ac:dyDescent="0.5">
      <c r="A532" s="81"/>
      <c r="B532" s="81"/>
      <c r="C532" s="81"/>
      <c r="D532" s="81"/>
      <c r="E532" s="81"/>
      <c r="F532" s="81"/>
      <c r="G532" s="81"/>
      <c r="H532" s="81"/>
      <c r="I532" s="289"/>
      <c r="J532" s="81"/>
      <c r="K532" s="289"/>
      <c r="L532" s="289"/>
      <c r="M532" s="289"/>
      <c r="N532" s="289"/>
      <c r="O532" s="289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 ht="24" customHeight="1" x14ac:dyDescent="0.5">
      <c r="A533" s="81"/>
      <c r="B533" s="81"/>
      <c r="C533" s="81"/>
      <c r="D533" s="81"/>
      <c r="E533" s="81"/>
      <c r="F533" s="81"/>
      <c r="G533" s="81"/>
      <c r="H533" s="81"/>
      <c r="I533" s="289"/>
      <c r="J533" s="81"/>
      <c r="K533" s="289"/>
      <c r="L533" s="289"/>
      <c r="M533" s="289"/>
      <c r="N533" s="289"/>
      <c r="O533" s="289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 ht="24" customHeight="1" x14ac:dyDescent="0.5">
      <c r="A534" s="81"/>
      <c r="B534" s="81"/>
      <c r="C534" s="81"/>
      <c r="D534" s="81"/>
      <c r="E534" s="81"/>
      <c r="F534" s="81"/>
      <c r="G534" s="81"/>
      <c r="H534" s="81"/>
      <c r="I534" s="289"/>
      <c r="J534" s="81"/>
      <c r="K534" s="289"/>
      <c r="L534" s="289"/>
      <c r="M534" s="289"/>
      <c r="N534" s="289"/>
      <c r="O534" s="289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 ht="24" customHeight="1" x14ac:dyDescent="0.5">
      <c r="A535" s="81"/>
      <c r="B535" s="81"/>
      <c r="C535" s="81"/>
      <c r="D535" s="81"/>
      <c r="E535" s="81"/>
      <c r="F535" s="81"/>
      <c r="G535" s="81"/>
      <c r="H535" s="81"/>
      <c r="I535" s="289"/>
      <c r="J535" s="81"/>
      <c r="K535" s="289"/>
      <c r="L535" s="289"/>
      <c r="M535" s="289"/>
      <c r="N535" s="289"/>
      <c r="O535" s="289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 ht="24" customHeight="1" x14ac:dyDescent="0.5">
      <c r="A536" s="81"/>
      <c r="B536" s="81"/>
      <c r="C536" s="81"/>
      <c r="D536" s="81"/>
      <c r="E536" s="81"/>
      <c r="F536" s="81"/>
      <c r="G536" s="81"/>
      <c r="H536" s="81"/>
      <c r="I536" s="289"/>
      <c r="J536" s="81"/>
      <c r="K536" s="289"/>
      <c r="L536" s="289"/>
      <c r="M536" s="289"/>
      <c r="N536" s="289"/>
      <c r="O536" s="289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 ht="24" customHeight="1" x14ac:dyDescent="0.5">
      <c r="A537" s="81"/>
      <c r="B537" s="81"/>
      <c r="C537" s="81"/>
      <c r="D537" s="81"/>
      <c r="E537" s="81"/>
      <c r="F537" s="81"/>
      <c r="G537" s="81"/>
      <c r="H537" s="81"/>
      <c r="I537" s="289"/>
      <c r="J537" s="81"/>
      <c r="K537" s="289"/>
      <c r="L537" s="289"/>
      <c r="M537" s="289"/>
      <c r="N537" s="289"/>
      <c r="O537" s="289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 ht="24" customHeight="1" x14ac:dyDescent="0.5">
      <c r="A538" s="81"/>
      <c r="B538" s="81"/>
      <c r="C538" s="81"/>
      <c r="D538" s="81"/>
      <c r="E538" s="81"/>
      <c r="F538" s="81"/>
      <c r="G538" s="81"/>
      <c r="H538" s="81"/>
      <c r="I538" s="289"/>
      <c r="J538" s="81"/>
      <c r="K538" s="289"/>
      <c r="L538" s="289"/>
      <c r="M538" s="289"/>
      <c r="N538" s="289"/>
      <c r="O538" s="289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 ht="24" customHeight="1" x14ac:dyDescent="0.5">
      <c r="A539" s="81"/>
      <c r="B539" s="81"/>
      <c r="C539" s="81"/>
      <c r="D539" s="81"/>
      <c r="E539" s="81"/>
      <c r="F539" s="81"/>
      <c r="G539" s="81"/>
      <c r="H539" s="81"/>
      <c r="I539" s="289"/>
      <c r="J539" s="81"/>
      <c r="K539" s="289"/>
      <c r="L539" s="289"/>
      <c r="M539" s="289"/>
      <c r="N539" s="289"/>
      <c r="O539" s="289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 ht="24" customHeight="1" x14ac:dyDescent="0.5">
      <c r="A540" s="81"/>
      <c r="B540" s="81"/>
      <c r="C540" s="81"/>
      <c r="D540" s="81"/>
      <c r="E540" s="81"/>
      <c r="F540" s="81"/>
      <c r="G540" s="81"/>
      <c r="H540" s="81"/>
      <c r="I540" s="289"/>
      <c r="J540" s="81"/>
      <c r="K540" s="289"/>
      <c r="L540" s="289"/>
      <c r="M540" s="289"/>
      <c r="N540" s="289"/>
      <c r="O540" s="289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 ht="24" customHeight="1" x14ac:dyDescent="0.5">
      <c r="A541" s="81"/>
      <c r="B541" s="81"/>
      <c r="C541" s="81"/>
      <c r="D541" s="81"/>
      <c r="E541" s="81"/>
      <c r="F541" s="81"/>
      <c r="G541" s="81"/>
      <c r="H541" s="81"/>
      <c r="I541" s="289"/>
      <c r="J541" s="81"/>
      <c r="K541" s="289"/>
      <c r="L541" s="289"/>
      <c r="M541" s="289"/>
      <c r="N541" s="289"/>
      <c r="O541" s="289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 ht="24" customHeight="1" x14ac:dyDescent="0.5">
      <c r="A542" s="81"/>
      <c r="B542" s="81"/>
      <c r="C542" s="81"/>
      <c r="D542" s="81"/>
      <c r="E542" s="81"/>
      <c r="F542" s="81"/>
      <c r="G542" s="81"/>
      <c r="H542" s="81"/>
      <c r="I542" s="289"/>
      <c r="J542" s="81"/>
      <c r="K542" s="289"/>
      <c r="L542" s="289"/>
      <c r="M542" s="289"/>
      <c r="N542" s="289"/>
      <c r="O542" s="289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 ht="24" customHeight="1" x14ac:dyDescent="0.5">
      <c r="A543" s="81"/>
      <c r="B543" s="81"/>
      <c r="C543" s="81"/>
      <c r="D543" s="81"/>
      <c r="E543" s="81"/>
      <c r="F543" s="81"/>
      <c r="G543" s="81"/>
      <c r="H543" s="81"/>
      <c r="I543" s="289"/>
      <c r="J543" s="81"/>
      <c r="K543" s="289"/>
      <c r="L543" s="289"/>
      <c r="M543" s="289"/>
      <c r="N543" s="289"/>
      <c r="O543" s="289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 ht="24" customHeight="1" x14ac:dyDescent="0.5">
      <c r="A544" s="81"/>
      <c r="B544" s="81"/>
      <c r="C544" s="81"/>
      <c r="D544" s="81"/>
      <c r="E544" s="81"/>
      <c r="F544" s="81"/>
      <c r="G544" s="81"/>
      <c r="H544" s="81"/>
      <c r="I544" s="289"/>
      <c r="J544" s="81"/>
      <c r="K544" s="289"/>
      <c r="L544" s="289"/>
      <c r="M544" s="289"/>
      <c r="N544" s="289"/>
      <c r="O544" s="289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 ht="24" customHeight="1" x14ac:dyDescent="0.5">
      <c r="A545" s="81"/>
      <c r="B545" s="81"/>
      <c r="C545" s="81"/>
      <c r="D545" s="81"/>
      <c r="E545" s="81"/>
      <c r="F545" s="81"/>
      <c r="G545" s="81"/>
      <c r="H545" s="81"/>
      <c r="I545" s="289"/>
      <c r="J545" s="81"/>
      <c r="K545" s="289"/>
      <c r="L545" s="289"/>
      <c r="M545" s="289"/>
      <c r="N545" s="289"/>
      <c r="O545" s="289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 ht="24" customHeight="1" x14ac:dyDescent="0.5">
      <c r="A546" s="81"/>
      <c r="B546" s="81"/>
      <c r="C546" s="81"/>
      <c r="D546" s="81"/>
      <c r="E546" s="81"/>
      <c r="F546" s="81"/>
      <c r="G546" s="81"/>
      <c r="H546" s="81"/>
      <c r="I546" s="289"/>
      <c r="J546" s="81"/>
      <c r="K546" s="289"/>
      <c r="L546" s="289"/>
      <c r="M546" s="289"/>
      <c r="N546" s="289"/>
      <c r="O546" s="289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 ht="24" customHeight="1" x14ac:dyDescent="0.5">
      <c r="A547" s="81"/>
      <c r="B547" s="81"/>
      <c r="C547" s="81"/>
      <c r="D547" s="81"/>
      <c r="E547" s="81"/>
      <c r="F547" s="81"/>
      <c r="G547" s="81"/>
      <c r="H547" s="81"/>
      <c r="I547" s="289"/>
      <c r="J547" s="81"/>
      <c r="K547" s="289"/>
      <c r="L547" s="289"/>
      <c r="M547" s="289"/>
      <c r="N547" s="289"/>
      <c r="O547" s="289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 ht="24" customHeight="1" x14ac:dyDescent="0.5">
      <c r="A548" s="81"/>
      <c r="B548" s="81"/>
      <c r="C548" s="81"/>
      <c r="D548" s="81"/>
      <c r="E548" s="81"/>
      <c r="F548" s="81"/>
      <c r="G548" s="81"/>
      <c r="H548" s="81"/>
      <c r="I548" s="289"/>
      <c r="J548" s="81"/>
      <c r="K548" s="289"/>
      <c r="L548" s="289"/>
      <c r="M548" s="289"/>
      <c r="N548" s="289"/>
      <c r="O548" s="289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 ht="24" customHeight="1" x14ac:dyDescent="0.5">
      <c r="A549" s="81"/>
      <c r="B549" s="81"/>
      <c r="C549" s="81"/>
      <c r="D549" s="81"/>
      <c r="E549" s="81"/>
      <c r="F549" s="81"/>
      <c r="G549" s="81"/>
      <c r="H549" s="81"/>
      <c r="I549" s="289"/>
      <c r="J549" s="81"/>
      <c r="K549" s="289"/>
      <c r="L549" s="289"/>
      <c r="M549" s="289"/>
      <c r="N549" s="289"/>
      <c r="O549" s="289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 ht="24" customHeight="1" x14ac:dyDescent="0.5">
      <c r="A550" s="81"/>
      <c r="B550" s="81"/>
      <c r="C550" s="81"/>
      <c r="D550" s="81"/>
      <c r="E550" s="81"/>
      <c r="F550" s="81"/>
      <c r="G550" s="81"/>
      <c r="H550" s="81"/>
      <c r="I550" s="289"/>
      <c r="J550" s="81"/>
      <c r="K550" s="289"/>
      <c r="L550" s="289"/>
      <c r="M550" s="289"/>
      <c r="N550" s="289"/>
      <c r="O550" s="289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 ht="24" customHeight="1" x14ac:dyDescent="0.5">
      <c r="A551" s="81"/>
      <c r="B551" s="81"/>
      <c r="C551" s="81"/>
      <c r="D551" s="81"/>
      <c r="E551" s="81"/>
      <c r="F551" s="81"/>
      <c r="G551" s="81"/>
      <c r="H551" s="81"/>
      <c r="I551" s="289"/>
      <c r="J551" s="81"/>
      <c r="K551" s="289"/>
      <c r="L551" s="289"/>
      <c r="M551" s="289"/>
      <c r="N551" s="289"/>
      <c r="O551" s="289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 ht="24" customHeight="1" x14ac:dyDescent="0.5">
      <c r="A552" s="81"/>
      <c r="B552" s="81"/>
      <c r="C552" s="81"/>
      <c r="D552" s="81"/>
      <c r="E552" s="81"/>
      <c r="F552" s="81"/>
      <c r="G552" s="81"/>
      <c r="H552" s="81"/>
      <c r="I552" s="289"/>
      <c r="J552" s="81"/>
      <c r="K552" s="289"/>
      <c r="L552" s="289"/>
      <c r="M552" s="289"/>
      <c r="N552" s="289"/>
      <c r="O552" s="289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 ht="24" customHeight="1" x14ac:dyDescent="0.5">
      <c r="A553" s="81"/>
      <c r="B553" s="81"/>
      <c r="C553" s="81"/>
      <c r="D553" s="81"/>
      <c r="E553" s="81"/>
      <c r="F553" s="81"/>
      <c r="G553" s="81"/>
      <c r="H553" s="81"/>
      <c r="I553" s="289"/>
      <c r="J553" s="81"/>
      <c r="K553" s="289"/>
      <c r="L553" s="289"/>
      <c r="M553" s="289"/>
      <c r="N553" s="289"/>
      <c r="O553" s="289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 ht="24" customHeight="1" x14ac:dyDescent="0.5">
      <c r="A554" s="81"/>
      <c r="B554" s="81"/>
      <c r="C554" s="81"/>
      <c r="D554" s="81"/>
      <c r="E554" s="81"/>
      <c r="F554" s="81"/>
      <c r="G554" s="81"/>
      <c r="H554" s="81"/>
      <c r="I554" s="289"/>
      <c r="J554" s="81"/>
      <c r="K554" s="289"/>
      <c r="L554" s="289"/>
      <c r="M554" s="289"/>
      <c r="N554" s="289"/>
      <c r="O554" s="289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 ht="24" customHeight="1" x14ac:dyDescent="0.5">
      <c r="A555" s="81"/>
      <c r="B555" s="81"/>
      <c r="C555" s="81"/>
      <c r="D555" s="81"/>
      <c r="E555" s="81"/>
      <c r="F555" s="81"/>
      <c r="G555" s="81"/>
      <c r="H555" s="81"/>
      <c r="I555" s="289"/>
      <c r="J555" s="81"/>
      <c r="K555" s="289"/>
      <c r="L555" s="289"/>
      <c r="M555" s="289"/>
      <c r="N555" s="289"/>
      <c r="O555" s="289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 ht="24" customHeight="1" x14ac:dyDescent="0.5">
      <c r="A556" s="81"/>
      <c r="B556" s="81"/>
      <c r="C556" s="81"/>
      <c r="D556" s="81"/>
      <c r="E556" s="81"/>
      <c r="F556" s="81"/>
      <c r="G556" s="81"/>
      <c r="H556" s="81"/>
      <c r="I556" s="289"/>
      <c r="J556" s="81"/>
      <c r="K556" s="289"/>
      <c r="L556" s="289"/>
      <c r="M556" s="289"/>
      <c r="N556" s="289"/>
      <c r="O556" s="289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 ht="24" customHeight="1" x14ac:dyDescent="0.5">
      <c r="A557" s="81"/>
      <c r="B557" s="81"/>
      <c r="C557" s="81"/>
      <c r="D557" s="81"/>
      <c r="E557" s="81"/>
      <c r="F557" s="81"/>
      <c r="G557" s="81"/>
      <c r="H557" s="81"/>
      <c r="I557" s="289"/>
      <c r="J557" s="81"/>
      <c r="K557" s="289"/>
      <c r="L557" s="289"/>
      <c r="M557" s="289"/>
      <c r="N557" s="289"/>
      <c r="O557" s="289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 ht="24" customHeight="1" x14ac:dyDescent="0.5">
      <c r="A558" s="81"/>
      <c r="B558" s="81"/>
      <c r="C558" s="81"/>
      <c r="D558" s="81"/>
      <c r="E558" s="81"/>
      <c r="F558" s="81"/>
      <c r="G558" s="81"/>
      <c r="H558" s="81"/>
      <c r="I558" s="289"/>
      <c r="J558" s="81"/>
      <c r="K558" s="289"/>
      <c r="L558" s="289"/>
      <c r="M558" s="289"/>
      <c r="N558" s="289"/>
      <c r="O558" s="289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 ht="24" customHeight="1" x14ac:dyDescent="0.5">
      <c r="A559" s="81"/>
      <c r="B559" s="81"/>
      <c r="C559" s="81"/>
      <c r="D559" s="81"/>
      <c r="E559" s="81"/>
      <c r="F559" s="81"/>
      <c r="G559" s="81"/>
      <c r="H559" s="81"/>
      <c r="I559" s="289"/>
      <c r="J559" s="81"/>
      <c r="K559" s="289"/>
      <c r="L559" s="289"/>
      <c r="M559" s="289"/>
      <c r="N559" s="289"/>
      <c r="O559" s="289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 ht="24" customHeight="1" x14ac:dyDescent="0.5">
      <c r="A560" s="81"/>
      <c r="B560" s="81"/>
      <c r="C560" s="81"/>
      <c r="D560" s="81"/>
      <c r="E560" s="81"/>
      <c r="F560" s="81"/>
      <c r="G560" s="81"/>
      <c r="H560" s="81"/>
      <c r="I560" s="289"/>
      <c r="J560" s="81"/>
      <c r="K560" s="289"/>
      <c r="L560" s="289"/>
      <c r="M560" s="289"/>
      <c r="N560" s="289"/>
      <c r="O560" s="289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 ht="24" customHeight="1" x14ac:dyDescent="0.5">
      <c r="A561" s="81"/>
      <c r="B561" s="81"/>
      <c r="C561" s="81"/>
      <c r="D561" s="81"/>
      <c r="E561" s="81"/>
      <c r="F561" s="81"/>
      <c r="G561" s="81"/>
      <c r="H561" s="81"/>
      <c r="I561" s="289"/>
      <c r="J561" s="81"/>
      <c r="K561" s="289"/>
      <c r="L561" s="289"/>
      <c r="M561" s="289"/>
      <c r="N561" s="289"/>
      <c r="O561" s="289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 ht="24" customHeight="1" x14ac:dyDescent="0.5">
      <c r="A562" s="81"/>
      <c r="B562" s="81"/>
      <c r="C562" s="81"/>
      <c r="D562" s="81"/>
      <c r="E562" s="81"/>
      <c r="F562" s="81"/>
      <c r="G562" s="81"/>
      <c r="H562" s="81"/>
      <c r="I562" s="289"/>
      <c r="J562" s="81"/>
      <c r="K562" s="289"/>
      <c r="L562" s="289"/>
      <c r="M562" s="289"/>
      <c r="N562" s="289"/>
      <c r="O562" s="289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 ht="24" customHeight="1" x14ac:dyDescent="0.5">
      <c r="A563" s="81"/>
      <c r="B563" s="81"/>
      <c r="C563" s="81"/>
      <c r="D563" s="81"/>
      <c r="E563" s="81"/>
      <c r="F563" s="81"/>
      <c r="G563" s="81"/>
      <c r="H563" s="81"/>
      <c r="I563" s="289"/>
      <c r="J563" s="81"/>
      <c r="K563" s="289"/>
      <c r="L563" s="289"/>
      <c r="M563" s="289"/>
      <c r="N563" s="289"/>
      <c r="O563" s="289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 ht="24" customHeight="1" x14ac:dyDescent="0.5">
      <c r="A564" s="81"/>
      <c r="B564" s="81"/>
      <c r="C564" s="81"/>
      <c r="D564" s="81"/>
      <c r="E564" s="81"/>
      <c r="F564" s="81"/>
      <c r="G564" s="81"/>
      <c r="H564" s="81"/>
      <c r="I564" s="289"/>
      <c r="J564" s="81"/>
      <c r="K564" s="289"/>
      <c r="L564" s="289"/>
      <c r="M564" s="289"/>
      <c r="N564" s="289"/>
      <c r="O564" s="289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 ht="24" customHeight="1" x14ac:dyDescent="0.5">
      <c r="A565" s="81"/>
      <c r="B565" s="81"/>
      <c r="C565" s="81"/>
      <c r="D565" s="81"/>
      <c r="E565" s="81"/>
      <c r="F565" s="81"/>
      <c r="G565" s="81"/>
      <c r="H565" s="81"/>
      <c r="I565" s="289"/>
      <c r="J565" s="81"/>
      <c r="K565" s="289"/>
      <c r="L565" s="289"/>
      <c r="M565" s="289"/>
      <c r="N565" s="289"/>
      <c r="O565" s="289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 ht="24" customHeight="1" x14ac:dyDescent="0.5">
      <c r="A566" s="81"/>
      <c r="B566" s="81"/>
      <c r="C566" s="81"/>
      <c r="D566" s="81"/>
      <c r="E566" s="81"/>
      <c r="F566" s="81"/>
      <c r="G566" s="81"/>
      <c r="H566" s="81"/>
      <c r="I566" s="289"/>
      <c r="J566" s="81"/>
      <c r="K566" s="289"/>
      <c r="L566" s="289"/>
      <c r="M566" s="289"/>
      <c r="N566" s="289"/>
      <c r="O566" s="289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 ht="24" customHeight="1" x14ac:dyDescent="0.5">
      <c r="A567" s="81"/>
      <c r="B567" s="81"/>
      <c r="C567" s="81"/>
      <c r="D567" s="81"/>
      <c r="E567" s="81"/>
      <c r="F567" s="81"/>
      <c r="G567" s="81"/>
      <c r="H567" s="81"/>
      <c r="I567" s="289"/>
      <c r="J567" s="81"/>
      <c r="K567" s="289"/>
      <c r="L567" s="289"/>
      <c r="M567" s="289"/>
      <c r="N567" s="289"/>
      <c r="O567" s="289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 ht="24" customHeight="1" x14ac:dyDescent="0.5">
      <c r="A568" s="81"/>
      <c r="B568" s="81"/>
      <c r="C568" s="81"/>
      <c r="D568" s="81"/>
      <c r="E568" s="81"/>
      <c r="F568" s="81"/>
      <c r="G568" s="81"/>
      <c r="H568" s="81"/>
      <c r="I568" s="289"/>
      <c r="J568" s="81"/>
      <c r="K568" s="289"/>
      <c r="L568" s="289"/>
      <c r="M568" s="289"/>
      <c r="N568" s="289"/>
      <c r="O568" s="289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 ht="24" customHeight="1" x14ac:dyDescent="0.5">
      <c r="A569" s="81"/>
      <c r="B569" s="81"/>
      <c r="C569" s="81"/>
      <c r="D569" s="81"/>
      <c r="E569" s="81"/>
      <c r="F569" s="81"/>
      <c r="G569" s="81"/>
      <c r="H569" s="81"/>
      <c r="I569" s="289"/>
      <c r="J569" s="81"/>
      <c r="K569" s="289"/>
      <c r="L569" s="289"/>
      <c r="M569" s="289"/>
      <c r="N569" s="289"/>
      <c r="O569" s="289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 ht="24" customHeight="1" x14ac:dyDescent="0.5">
      <c r="A570" s="81"/>
      <c r="B570" s="81"/>
      <c r="C570" s="81"/>
      <c r="D570" s="81"/>
      <c r="E570" s="81"/>
      <c r="F570" s="81"/>
      <c r="G570" s="81"/>
      <c r="H570" s="81"/>
      <c r="I570" s="289"/>
      <c r="J570" s="81"/>
      <c r="K570" s="289"/>
      <c r="L570" s="289"/>
      <c r="M570" s="289"/>
      <c r="N570" s="289"/>
      <c r="O570" s="289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 ht="24" customHeight="1" x14ac:dyDescent="0.5">
      <c r="A571" s="81"/>
      <c r="B571" s="81"/>
      <c r="C571" s="81"/>
      <c r="D571" s="81"/>
      <c r="E571" s="81"/>
      <c r="F571" s="81"/>
      <c r="G571" s="81"/>
      <c r="H571" s="81"/>
      <c r="I571" s="289"/>
      <c r="J571" s="81"/>
      <c r="K571" s="289"/>
      <c r="L571" s="289"/>
      <c r="M571" s="289"/>
      <c r="N571" s="289"/>
      <c r="O571" s="289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 ht="24" customHeight="1" x14ac:dyDescent="0.5">
      <c r="A572" s="81"/>
      <c r="B572" s="81"/>
      <c r="C572" s="81"/>
      <c r="D572" s="81"/>
      <c r="E572" s="81"/>
      <c r="F572" s="81"/>
      <c r="G572" s="81"/>
      <c r="H572" s="81"/>
      <c r="I572" s="289"/>
      <c r="J572" s="81"/>
      <c r="K572" s="289"/>
      <c r="L572" s="289"/>
      <c r="M572" s="289"/>
      <c r="N572" s="289"/>
      <c r="O572" s="289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 ht="24" customHeight="1" x14ac:dyDescent="0.5">
      <c r="A573" s="81"/>
      <c r="B573" s="81"/>
      <c r="C573" s="81"/>
      <c r="D573" s="81"/>
      <c r="E573" s="81"/>
      <c r="F573" s="81"/>
      <c r="G573" s="81"/>
      <c r="H573" s="81"/>
      <c r="I573" s="289"/>
      <c r="J573" s="81"/>
      <c r="K573" s="289"/>
      <c r="L573" s="289"/>
      <c r="M573" s="289"/>
      <c r="N573" s="289"/>
      <c r="O573" s="289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 ht="24" customHeight="1" x14ac:dyDescent="0.5">
      <c r="A574" s="81"/>
      <c r="B574" s="81"/>
      <c r="C574" s="81"/>
      <c r="D574" s="81"/>
      <c r="E574" s="81"/>
      <c r="F574" s="81"/>
      <c r="G574" s="81"/>
      <c r="H574" s="81"/>
      <c r="I574" s="289"/>
      <c r="J574" s="81"/>
      <c r="K574" s="289"/>
      <c r="L574" s="289"/>
      <c r="M574" s="289"/>
      <c r="N574" s="289"/>
      <c r="O574" s="289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 ht="24" customHeight="1" x14ac:dyDescent="0.5">
      <c r="A575" s="81"/>
      <c r="B575" s="81"/>
      <c r="C575" s="81"/>
      <c r="D575" s="81"/>
      <c r="E575" s="81"/>
      <c r="F575" s="81"/>
      <c r="G575" s="81"/>
      <c r="H575" s="81"/>
      <c r="I575" s="289"/>
      <c r="J575" s="81"/>
      <c r="K575" s="289"/>
      <c r="L575" s="289"/>
      <c r="M575" s="289"/>
      <c r="N575" s="289"/>
      <c r="O575" s="289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 ht="24" customHeight="1" x14ac:dyDescent="0.5">
      <c r="A576" s="81"/>
      <c r="B576" s="81"/>
      <c r="C576" s="81"/>
      <c r="D576" s="81"/>
      <c r="E576" s="81"/>
      <c r="F576" s="81"/>
      <c r="G576" s="81"/>
      <c r="H576" s="81"/>
      <c r="I576" s="289"/>
      <c r="J576" s="81"/>
      <c r="K576" s="289"/>
      <c r="L576" s="289"/>
      <c r="M576" s="289"/>
      <c r="N576" s="289"/>
      <c r="O576" s="289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 ht="24" customHeight="1" x14ac:dyDescent="0.5">
      <c r="A577" s="81"/>
      <c r="B577" s="81"/>
      <c r="C577" s="81"/>
      <c r="D577" s="81"/>
      <c r="E577" s="81"/>
      <c r="F577" s="81"/>
      <c r="G577" s="81"/>
      <c r="H577" s="81"/>
      <c r="I577" s="289"/>
      <c r="J577" s="81"/>
      <c r="K577" s="289"/>
      <c r="L577" s="289"/>
      <c r="M577" s="289"/>
      <c r="N577" s="289"/>
      <c r="O577" s="289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 ht="24" customHeight="1" x14ac:dyDescent="0.5">
      <c r="A578" s="81"/>
      <c r="B578" s="81"/>
      <c r="C578" s="81"/>
      <c r="D578" s="81"/>
      <c r="E578" s="81"/>
      <c r="F578" s="81"/>
      <c r="G578" s="81"/>
      <c r="H578" s="81"/>
      <c r="I578" s="289"/>
      <c r="J578" s="81"/>
      <c r="K578" s="289"/>
      <c r="L578" s="289"/>
      <c r="M578" s="289"/>
      <c r="N578" s="289"/>
      <c r="O578" s="289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 ht="24" customHeight="1" x14ac:dyDescent="0.5">
      <c r="A579" s="81"/>
      <c r="B579" s="81"/>
      <c r="C579" s="81"/>
      <c r="D579" s="81"/>
      <c r="E579" s="81"/>
      <c r="F579" s="81"/>
      <c r="G579" s="81"/>
      <c r="H579" s="81"/>
      <c r="I579" s="289"/>
      <c r="J579" s="81"/>
      <c r="K579" s="289"/>
      <c r="L579" s="289"/>
      <c r="M579" s="289"/>
      <c r="N579" s="289"/>
      <c r="O579" s="289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 ht="24" customHeight="1" x14ac:dyDescent="0.5">
      <c r="A580" s="81"/>
      <c r="B580" s="81"/>
      <c r="C580" s="81"/>
      <c r="D580" s="81"/>
      <c r="E580" s="81"/>
      <c r="F580" s="81"/>
      <c r="G580" s="81"/>
      <c r="H580" s="81"/>
      <c r="I580" s="289"/>
      <c r="J580" s="81"/>
      <c r="K580" s="289"/>
      <c r="L580" s="289"/>
      <c r="M580" s="289"/>
      <c r="N580" s="289"/>
      <c r="O580" s="289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 ht="24" customHeight="1" x14ac:dyDescent="0.5">
      <c r="A581" s="81"/>
      <c r="B581" s="81"/>
      <c r="C581" s="81"/>
      <c r="D581" s="81"/>
      <c r="E581" s="81"/>
      <c r="F581" s="81"/>
      <c r="G581" s="81"/>
      <c r="H581" s="81"/>
      <c r="I581" s="289"/>
      <c r="J581" s="81"/>
      <c r="K581" s="289"/>
      <c r="L581" s="289"/>
      <c r="M581" s="289"/>
      <c r="N581" s="289"/>
      <c r="O581" s="289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 ht="24" customHeight="1" x14ac:dyDescent="0.5">
      <c r="A582" s="81"/>
      <c r="B582" s="81"/>
      <c r="C582" s="81"/>
      <c r="D582" s="81"/>
      <c r="E582" s="81"/>
      <c r="F582" s="81"/>
      <c r="G582" s="81"/>
      <c r="H582" s="81"/>
      <c r="I582" s="289"/>
      <c r="J582" s="81"/>
      <c r="K582" s="289"/>
      <c r="L582" s="289"/>
      <c r="M582" s="289"/>
      <c r="N582" s="289"/>
      <c r="O582" s="289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 ht="24" customHeight="1" x14ac:dyDescent="0.5">
      <c r="A583" s="81"/>
      <c r="B583" s="81"/>
      <c r="C583" s="81"/>
      <c r="D583" s="81"/>
      <c r="E583" s="81"/>
      <c r="F583" s="81"/>
      <c r="G583" s="81"/>
      <c r="H583" s="81"/>
      <c r="I583" s="289"/>
      <c r="J583" s="81"/>
      <c r="K583" s="289"/>
      <c r="L583" s="289"/>
      <c r="M583" s="289"/>
      <c r="N583" s="289"/>
      <c r="O583" s="289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 ht="24" customHeight="1" x14ac:dyDescent="0.5">
      <c r="A584" s="81"/>
      <c r="B584" s="81"/>
      <c r="C584" s="81"/>
      <c r="D584" s="81"/>
      <c r="E584" s="81"/>
      <c r="F584" s="81"/>
      <c r="G584" s="81"/>
      <c r="H584" s="81"/>
      <c r="I584" s="289"/>
      <c r="J584" s="81"/>
      <c r="K584" s="289"/>
      <c r="L584" s="289"/>
      <c r="M584" s="289"/>
      <c r="N584" s="289"/>
      <c r="O584" s="289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 ht="24" customHeight="1" x14ac:dyDescent="0.5">
      <c r="A585" s="81"/>
      <c r="B585" s="81"/>
      <c r="C585" s="81"/>
      <c r="D585" s="81"/>
      <c r="E585" s="81"/>
      <c r="F585" s="81"/>
      <c r="G585" s="81"/>
      <c r="H585" s="81"/>
      <c r="I585" s="289"/>
      <c r="J585" s="81"/>
      <c r="K585" s="289"/>
      <c r="L585" s="289"/>
      <c r="M585" s="289"/>
      <c r="N585" s="289"/>
      <c r="O585" s="289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 ht="24" customHeight="1" x14ac:dyDescent="0.5">
      <c r="A586" s="81"/>
      <c r="B586" s="81"/>
      <c r="C586" s="81"/>
      <c r="D586" s="81"/>
      <c r="E586" s="81"/>
      <c r="F586" s="81"/>
      <c r="G586" s="81"/>
      <c r="H586" s="81"/>
      <c r="I586" s="289"/>
      <c r="J586" s="81"/>
      <c r="K586" s="289"/>
      <c r="L586" s="289"/>
      <c r="M586" s="289"/>
      <c r="N586" s="289"/>
      <c r="O586" s="289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 ht="24" customHeight="1" x14ac:dyDescent="0.5">
      <c r="A587" s="81"/>
      <c r="B587" s="81"/>
      <c r="C587" s="81"/>
      <c r="D587" s="81"/>
      <c r="E587" s="81"/>
      <c r="F587" s="81"/>
      <c r="G587" s="81"/>
      <c r="H587" s="81"/>
      <c r="I587" s="289"/>
      <c r="J587" s="81"/>
      <c r="K587" s="289"/>
      <c r="L587" s="289"/>
      <c r="M587" s="289"/>
      <c r="N587" s="289"/>
      <c r="O587" s="289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 ht="24" customHeight="1" x14ac:dyDescent="0.5">
      <c r="A588" s="81"/>
      <c r="B588" s="81"/>
      <c r="C588" s="81"/>
      <c r="D588" s="81"/>
      <c r="E588" s="81"/>
      <c r="F588" s="81"/>
      <c r="G588" s="81"/>
      <c r="H588" s="81"/>
      <c r="I588" s="289"/>
      <c r="J588" s="81"/>
      <c r="K588" s="289"/>
      <c r="L588" s="289"/>
      <c r="M588" s="289"/>
      <c r="N588" s="289"/>
      <c r="O588" s="289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 ht="24" customHeight="1" x14ac:dyDescent="0.5">
      <c r="A589" s="81"/>
      <c r="B589" s="81"/>
      <c r="C589" s="81"/>
      <c r="D589" s="81"/>
      <c r="E589" s="81"/>
      <c r="F589" s="81"/>
      <c r="G589" s="81"/>
      <c r="H589" s="81"/>
      <c r="I589" s="289"/>
      <c r="J589" s="81"/>
      <c r="K589" s="289"/>
      <c r="L589" s="289"/>
      <c r="M589" s="289"/>
      <c r="N589" s="289"/>
      <c r="O589" s="289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 ht="24" customHeight="1" x14ac:dyDescent="0.5">
      <c r="A590" s="81"/>
      <c r="B590" s="81"/>
      <c r="C590" s="81"/>
      <c r="D590" s="81"/>
      <c r="E590" s="81"/>
      <c r="F590" s="81"/>
      <c r="G590" s="81"/>
      <c r="H590" s="81"/>
      <c r="I590" s="289"/>
      <c r="J590" s="81"/>
      <c r="K590" s="289"/>
      <c r="L590" s="289"/>
      <c r="M590" s="289"/>
      <c r="N590" s="289"/>
      <c r="O590" s="289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 ht="24" customHeight="1" x14ac:dyDescent="0.5">
      <c r="A591" s="81"/>
      <c r="B591" s="81"/>
      <c r="C591" s="81"/>
      <c r="D591" s="81"/>
      <c r="E591" s="81"/>
      <c r="F591" s="81"/>
      <c r="G591" s="81"/>
      <c r="H591" s="81"/>
      <c r="I591" s="289"/>
      <c r="J591" s="81"/>
      <c r="K591" s="289"/>
      <c r="L591" s="289"/>
      <c r="M591" s="289"/>
      <c r="N591" s="289"/>
      <c r="O591" s="289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 ht="24" customHeight="1" x14ac:dyDescent="0.5">
      <c r="A592" s="81"/>
      <c r="B592" s="81"/>
      <c r="C592" s="81"/>
      <c r="D592" s="81"/>
      <c r="E592" s="81"/>
      <c r="F592" s="81"/>
      <c r="G592" s="81"/>
      <c r="H592" s="81"/>
      <c r="I592" s="289"/>
      <c r="J592" s="81"/>
      <c r="K592" s="289"/>
      <c r="L592" s="289"/>
      <c r="M592" s="289"/>
      <c r="N592" s="289"/>
      <c r="O592" s="289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 ht="24" customHeight="1" x14ac:dyDescent="0.5">
      <c r="A593" s="81"/>
      <c r="B593" s="81"/>
      <c r="C593" s="81"/>
      <c r="D593" s="81"/>
      <c r="E593" s="81"/>
      <c r="F593" s="81"/>
      <c r="G593" s="81"/>
      <c r="H593" s="81"/>
      <c r="I593" s="289"/>
      <c r="J593" s="81"/>
      <c r="K593" s="289"/>
      <c r="L593" s="289"/>
      <c r="M593" s="289"/>
      <c r="N593" s="289"/>
      <c r="O593" s="289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 ht="24" customHeight="1" x14ac:dyDescent="0.5">
      <c r="A594" s="81"/>
      <c r="B594" s="81"/>
      <c r="C594" s="81"/>
      <c r="D594" s="81"/>
      <c r="E594" s="81"/>
      <c r="F594" s="81"/>
      <c r="G594" s="81"/>
      <c r="H594" s="81"/>
      <c r="I594" s="289"/>
      <c r="J594" s="81"/>
      <c r="K594" s="289"/>
      <c r="L594" s="289"/>
      <c r="M594" s="289"/>
      <c r="N594" s="289"/>
      <c r="O594" s="289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 ht="24" customHeight="1" x14ac:dyDescent="0.5">
      <c r="A595" s="81"/>
      <c r="B595" s="81"/>
      <c r="C595" s="81"/>
      <c r="D595" s="81"/>
      <c r="E595" s="81"/>
      <c r="F595" s="81"/>
      <c r="G595" s="81"/>
      <c r="H595" s="81"/>
      <c r="I595" s="289"/>
      <c r="J595" s="81"/>
      <c r="K595" s="289"/>
      <c r="L595" s="289"/>
      <c r="M595" s="289"/>
      <c r="N595" s="289"/>
      <c r="O595" s="289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 ht="24" customHeight="1" x14ac:dyDescent="0.5">
      <c r="A596" s="81"/>
      <c r="B596" s="81"/>
      <c r="C596" s="81"/>
      <c r="D596" s="81"/>
      <c r="E596" s="81"/>
      <c r="F596" s="81"/>
      <c r="G596" s="81"/>
      <c r="H596" s="81"/>
      <c r="I596" s="289"/>
      <c r="J596" s="81"/>
      <c r="K596" s="289"/>
      <c r="L596" s="289"/>
      <c r="M596" s="289"/>
      <c r="N596" s="289"/>
      <c r="O596" s="289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 ht="24" customHeight="1" x14ac:dyDescent="0.5">
      <c r="A597" s="81"/>
      <c r="B597" s="81"/>
      <c r="C597" s="81"/>
      <c r="D597" s="81"/>
      <c r="E597" s="81"/>
      <c r="F597" s="81"/>
      <c r="G597" s="81"/>
      <c r="H597" s="81"/>
      <c r="I597" s="289"/>
      <c r="J597" s="81"/>
      <c r="K597" s="289"/>
      <c r="L597" s="289"/>
      <c r="M597" s="289"/>
      <c r="N597" s="289"/>
      <c r="O597" s="289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 ht="24" customHeight="1" x14ac:dyDescent="0.5">
      <c r="A598" s="81"/>
      <c r="B598" s="81"/>
      <c r="C598" s="81"/>
      <c r="D598" s="81"/>
      <c r="E598" s="81"/>
      <c r="F598" s="81"/>
      <c r="G598" s="81"/>
      <c r="H598" s="81"/>
      <c r="I598" s="289"/>
      <c r="J598" s="81"/>
      <c r="K598" s="289"/>
      <c r="L598" s="289"/>
      <c r="M598" s="289"/>
      <c r="N598" s="289"/>
      <c r="O598" s="289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 ht="24" customHeight="1" x14ac:dyDescent="0.5">
      <c r="A599" s="81"/>
      <c r="B599" s="81"/>
      <c r="C599" s="81"/>
      <c r="D599" s="81"/>
      <c r="E599" s="81"/>
      <c r="F599" s="81"/>
      <c r="G599" s="81"/>
      <c r="H599" s="81"/>
      <c r="I599" s="289"/>
      <c r="J599" s="81"/>
      <c r="K599" s="289"/>
      <c r="L599" s="289"/>
      <c r="M599" s="289"/>
      <c r="N599" s="289"/>
      <c r="O599" s="289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 ht="24" customHeight="1" x14ac:dyDescent="0.5">
      <c r="A600" s="81"/>
      <c r="B600" s="81"/>
      <c r="C600" s="81"/>
      <c r="D600" s="81"/>
      <c r="E600" s="81"/>
      <c r="F600" s="81"/>
      <c r="G600" s="81"/>
      <c r="H600" s="81"/>
      <c r="I600" s="289"/>
      <c r="J600" s="81"/>
      <c r="K600" s="289"/>
      <c r="L600" s="289"/>
      <c r="M600" s="289"/>
      <c r="N600" s="289"/>
      <c r="O600" s="289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 ht="24" customHeight="1" x14ac:dyDescent="0.5">
      <c r="A601" s="81"/>
      <c r="B601" s="81"/>
      <c r="C601" s="81"/>
      <c r="D601" s="81"/>
      <c r="E601" s="81"/>
      <c r="F601" s="81"/>
      <c r="G601" s="81"/>
      <c r="H601" s="81"/>
      <c r="I601" s="289"/>
      <c r="J601" s="81"/>
      <c r="K601" s="289"/>
      <c r="L601" s="289"/>
      <c r="M601" s="289"/>
      <c r="N601" s="289"/>
      <c r="O601" s="289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 ht="24" customHeight="1" x14ac:dyDescent="0.5">
      <c r="A602" s="81"/>
      <c r="B602" s="81"/>
      <c r="C602" s="81"/>
      <c r="D602" s="81"/>
      <c r="E602" s="81"/>
      <c r="F602" s="81"/>
      <c r="G602" s="81"/>
      <c r="H602" s="81"/>
      <c r="I602" s="289"/>
      <c r="J602" s="81"/>
      <c r="K602" s="289"/>
      <c r="L602" s="289"/>
      <c r="M602" s="289"/>
      <c r="N602" s="289"/>
      <c r="O602" s="289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 ht="24" customHeight="1" x14ac:dyDescent="0.5">
      <c r="A603" s="81"/>
      <c r="B603" s="81"/>
      <c r="C603" s="81"/>
      <c r="D603" s="81"/>
      <c r="E603" s="81"/>
      <c r="F603" s="81"/>
      <c r="G603" s="81"/>
      <c r="H603" s="81"/>
      <c r="I603" s="289"/>
      <c r="J603" s="81"/>
      <c r="K603" s="289"/>
      <c r="L603" s="289"/>
      <c r="M603" s="289"/>
      <c r="N603" s="289"/>
      <c r="O603" s="289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 ht="24" customHeight="1" x14ac:dyDescent="0.5">
      <c r="A604" s="81"/>
      <c r="B604" s="81"/>
      <c r="C604" s="81"/>
      <c r="D604" s="81"/>
      <c r="E604" s="81"/>
      <c r="F604" s="81"/>
      <c r="G604" s="81"/>
      <c r="H604" s="81"/>
      <c r="I604" s="289"/>
      <c r="J604" s="81"/>
      <c r="K604" s="289"/>
      <c r="L604" s="289"/>
      <c r="M604" s="289"/>
      <c r="N604" s="289"/>
      <c r="O604" s="289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 ht="24" customHeight="1" x14ac:dyDescent="0.5">
      <c r="A605" s="81"/>
      <c r="B605" s="81"/>
      <c r="C605" s="81"/>
      <c r="D605" s="81"/>
      <c r="E605" s="81"/>
      <c r="F605" s="81"/>
      <c r="G605" s="81"/>
      <c r="H605" s="81"/>
      <c r="I605" s="289"/>
      <c r="J605" s="81"/>
      <c r="K605" s="289"/>
      <c r="L605" s="289"/>
      <c r="M605" s="289"/>
      <c r="N605" s="289"/>
      <c r="O605" s="289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 ht="24" customHeight="1" x14ac:dyDescent="0.5">
      <c r="A606" s="81"/>
      <c r="B606" s="81"/>
      <c r="C606" s="81"/>
      <c r="D606" s="81"/>
      <c r="E606" s="81"/>
      <c r="F606" s="81"/>
      <c r="G606" s="81"/>
      <c r="H606" s="81"/>
      <c r="I606" s="289"/>
      <c r="J606" s="81"/>
      <c r="K606" s="289"/>
      <c r="L606" s="289"/>
      <c r="M606" s="289"/>
      <c r="N606" s="289"/>
      <c r="O606" s="289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 ht="24" customHeight="1" x14ac:dyDescent="0.5">
      <c r="A607" s="81"/>
      <c r="B607" s="81"/>
      <c r="C607" s="81"/>
      <c r="D607" s="81"/>
      <c r="E607" s="81"/>
      <c r="F607" s="81"/>
      <c r="G607" s="81"/>
      <c r="H607" s="81"/>
      <c r="I607" s="289"/>
      <c r="J607" s="81"/>
      <c r="K607" s="289"/>
      <c r="L607" s="289"/>
      <c r="M607" s="289"/>
      <c r="N607" s="289"/>
      <c r="O607" s="289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 ht="24" customHeight="1" x14ac:dyDescent="0.5">
      <c r="A608" s="81"/>
      <c r="B608" s="81"/>
      <c r="C608" s="81"/>
      <c r="D608" s="81"/>
      <c r="E608" s="81"/>
      <c r="F608" s="81"/>
      <c r="G608" s="81"/>
      <c r="H608" s="81"/>
      <c r="I608" s="289"/>
      <c r="J608" s="81"/>
      <c r="K608" s="289"/>
      <c r="L608" s="289"/>
      <c r="M608" s="289"/>
      <c r="N608" s="289"/>
      <c r="O608" s="289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 ht="24" customHeight="1" x14ac:dyDescent="0.5">
      <c r="A609" s="81"/>
      <c r="B609" s="81"/>
      <c r="C609" s="81"/>
      <c r="D609" s="81"/>
      <c r="E609" s="81"/>
      <c r="F609" s="81"/>
      <c r="G609" s="81"/>
      <c r="H609" s="81"/>
      <c r="I609" s="289"/>
      <c r="J609" s="81"/>
      <c r="K609" s="289"/>
      <c r="L609" s="289"/>
      <c r="M609" s="289"/>
      <c r="N609" s="289"/>
      <c r="O609" s="289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 ht="24" customHeight="1" x14ac:dyDescent="0.5">
      <c r="A610" s="81"/>
      <c r="B610" s="81"/>
      <c r="C610" s="81"/>
      <c r="D610" s="81"/>
      <c r="E610" s="81"/>
      <c r="F610" s="81"/>
      <c r="G610" s="81"/>
      <c r="H610" s="81"/>
      <c r="I610" s="289"/>
      <c r="J610" s="81"/>
      <c r="K610" s="289"/>
      <c r="L610" s="289"/>
      <c r="M610" s="289"/>
      <c r="N610" s="289"/>
      <c r="O610" s="289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 ht="24" customHeight="1" x14ac:dyDescent="0.5">
      <c r="A611" s="81"/>
      <c r="B611" s="81"/>
      <c r="C611" s="81"/>
      <c r="D611" s="81"/>
      <c r="E611" s="81"/>
      <c r="F611" s="81"/>
      <c r="G611" s="81"/>
      <c r="H611" s="81"/>
      <c r="I611" s="289"/>
      <c r="J611" s="81"/>
      <c r="K611" s="289"/>
      <c r="L611" s="289"/>
      <c r="M611" s="289"/>
      <c r="N611" s="289"/>
      <c r="O611" s="289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 ht="24" customHeight="1" x14ac:dyDescent="0.5">
      <c r="A612" s="81"/>
      <c r="B612" s="81"/>
      <c r="C612" s="81"/>
      <c r="D612" s="81"/>
      <c r="E612" s="81"/>
      <c r="F612" s="81"/>
      <c r="G612" s="81"/>
      <c r="H612" s="81"/>
      <c r="I612" s="289"/>
      <c r="J612" s="81"/>
      <c r="K612" s="289"/>
      <c r="L612" s="289"/>
      <c r="M612" s="289"/>
      <c r="N612" s="289"/>
      <c r="O612" s="289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 ht="24" customHeight="1" x14ac:dyDescent="0.5">
      <c r="A613" s="81"/>
      <c r="B613" s="81"/>
      <c r="C613" s="81"/>
      <c r="D613" s="81"/>
      <c r="E613" s="81"/>
      <c r="F613" s="81"/>
      <c r="G613" s="81"/>
      <c r="H613" s="81"/>
      <c r="I613" s="289"/>
      <c r="J613" s="81"/>
      <c r="K613" s="289"/>
      <c r="L613" s="289"/>
      <c r="M613" s="289"/>
      <c r="N613" s="289"/>
      <c r="O613" s="289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 ht="24" customHeight="1" x14ac:dyDescent="0.5">
      <c r="A614" s="81"/>
      <c r="B614" s="81"/>
      <c r="C614" s="81"/>
      <c r="D614" s="81"/>
      <c r="E614" s="81"/>
      <c r="F614" s="81"/>
      <c r="G614" s="81"/>
      <c r="H614" s="81"/>
      <c r="I614" s="289"/>
      <c r="J614" s="81"/>
      <c r="K614" s="289"/>
      <c r="L614" s="289"/>
      <c r="M614" s="289"/>
      <c r="N614" s="289"/>
      <c r="O614" s="289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 ht="24" customHeight="1" x14ac:dyDescent="0.5">
      <c r="A615" s="81"/>
      <c r="B615" s="81"/>
      <c r="C615" s="81"/>
      <c r="D615" s="81"/>
      <c r="E615" s="81"/>
      <c r="F615" s="81"/>
      <c r="G615" s="81"/>
      <c r="H615" s="81"/>
      <c r="I615" s="289"/>
      <c r="J615" s="81"/>
      <c r="K615" s="289"/>
      <c r="L615" s="289"/>
      <c r="M615" s="289"/>
      <c r="N615" s="289"/>
      <c r="O615" s="289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 ht="24" customHeight="1" x14ac:dyDescent="0.5">
      <c r="A616" s="81"/>
      <c r="B616" s="81"/>
      <c r="C616" s="81"/>
      <c r="D616" s="81"/>
      <c r="E616" s="81"/>
      <c r="F616" s="81"/>
      <c r="G616" s="81"/>
      <c r="H616" s="81"/>
      <c r="I616" s="289"/>
      <c r="J616" s="81"/>
      <c r="K616" s="289"/>
      <c r="L616" s="289"/>
      <c r="M616" s="289"/>
      <c r="N616" s="289"/>
      <c r="O616" s="289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 ht="24" customHeight="1" x14ac:dyDescent="0.5">
      <c r="A617" s="81"/>
      <c r="B617" s="81"/>
      <c r="C617" s="81"/>
      <c r="D617" s="81"/>
      <c r="E617" s="81"/>
      <c r="F617" s="81"/>
      <c r="G617" s="81"/>
      <c r="H617" s="81"/>
      <c r="I617" s="289"/>
      <c r="J617" s="81"/>
      <c r="K617" s="289"/>
      <c r="L617" s="289"/>
      <c r="M617" s="289"/>
      <c r="N617" s="289"/>
      <c r="O617" s="289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 ht="24" customHeight="1" x14ac:dyDescent="0.5">
      <c r="A618" s="81"/>
      <c r="B618" s="81"/>
      <c r="C618" s="81"/>
      <c r="D618" s="81"/>
      <c r="E618" s="81"/>
      <c r="F618" s="81"/>
      <c r="G618" s="81"/>
      <c r="H618" s="81"/>
      <c r="I618" s="289"/>
      <c r="J618" s="81"/>
      <c r="K618" s="289"/>
      <c r="L618" s="289"/>
      <c r="M618" s="289"/>
      <c r="N618" s="289"/>
      <c r="O618" s="289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 ht="24" customHeight="1" x14ac:dyDescent="0.5">
      <c r="A619" s="81"/>
      <c r="B619" s="81"/>
      <c r="C619" s="81"/>
      <c r="D619" s="81"/>
      <c r="E619" s="81"/>
      <c r="F619" s="81"/>
      <c r="G619" s="81"/>
      <c r="H619" s="81"/>
      <c r="I619" s="289"/>
      <c r="J619" s="81"/>
      <c r="K619" s="289"/>
      <c r="L619" s="289"/>
      <c r="M619" s="289"/>
      <c r="N619" s="289"/>
      <c r="O619" s="289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 ht="24" customHeight="1" x14ac:dyDescent="0.5">
      <c r="A620" s="81"/>
      <c r="B620" s="81"/>
      <c r="C620" s="81"/>
      <c r="D620" s="81"/>
      <c r="E620" s="81"/>
      <c r="F620" s="81"/>
      <c r="G620" s="81"/>
      <c r="H620" s="81"/>
      <c r="I620" s="289"/>
      <c r="J620" s="81"/>
      <c r="K620" s="289"/>
      <c r="L620" s="289"/>
      <c r="M620" s="289"/>
      <c r="N620" s="289"/>
      <c r="O620" s="289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 ht="24" customHeight="1" x14ac:dyDescent="0.5">
      <c r="A621" s="81"/>
      <c r="B621" s="81"/>
      <c r="C621" s="81"/>
      <c r="D621" s="81"/>
      <c r="E621" s="81"/>
      <c r="F621" s="81"/>
      <c r="G621" s="81"/>
      <c r="H621" s="81"/>
      <c r="I621" s="289"/>
      <c r="J621" s="81"/>
      <c r="K621" s="289"/>
      <c r="L621" s="289"/>
      <c r="M621" s="289"/>
      <c r="N621" s="289"/>
      <c r="O621" s="289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 ht="24" customHeight="1" x14ac:dyDescent="0.5">
      <c r="A622" s="81"/>
      <c r="B622" s="81"/>
      <c r="C622" s="81"/>
      <c r="D622" s="81"/>
      <c r="E622" s="81"/>
      <c r="F622" s="81"/>
      <c r="G622" s="81"/>
      <c r="H622" s="81"/>
      <c r="I622" s="289"/>
      <c r="J622" s="81"/>
      <c r="K622" s="289"/>
      <c r="L622" s="289"/>
      <c r="M622" s="289"/>
      <c r="N622" s="289"/>
      <c r="O622" s="289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 ht="24" customHeight="1" x14ac:dyDescent="0.5">
      <c r="A623" s="81"/>
      <c r="B623" s="81"/>
      <c r="C623" s="81"/>
      <c r="D623" s="81"/>
      <c r="E623" s="81"/>
      <c r="F623" s="81"/>
      <c r="G623" s="81"/>
      <c r="H623" s="81"/>
      <c r="I623" s="289"/>
      <c r="J623" s="81"/>
      <c r="K623" s="289"/>
      <c r="L623" s="289"/>
      <c r="M623" s="289"/>
      <c r="N623" s="289"/>
      <c r="O623" s="289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 ht="24" customHeight="1" x14ac:dyDescent="0.5">
      <c r="A624" s="81"/>
      <c r="B624" s="81"/>
      <c r="C624" s="81"/>
      <c r="D624" s="81"/>
      <c r="E624" s="81"/>
      <c r="F624" s="81"/>
      <c r="G624" s="81"/>
      <c r="H624" s="81"/>
      <c r="I624" s="289"/>
      <c r="J624" s="81"/>
      <c r="K624" s="289"/>
      <c r="L624" s="289"/>
      <c r="M624" s="289"/>
      <c r="N624" s="289"/>
      <c r="O624" s="289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 ht="24" customHeight="1" x14ac:dyDescent="0.5">
      <c r="A625" s="81"/>
      <c r="B625" s="81"/>
      <c r="C625" s="81"/>
      <c r="D625" s="81"/>
      <c r="E625" s="81"/>
      <c r="F625" s="81"/>
      <c r="G625" s="81"/>
      <c r="H625" s="81"/>
      <c r="I625" s="289"/>
      <c r="J625" s="81"/>
      <c r="K625" s="289"/>
      <c r="L625" s="289"/>
      <c r="M625" s="289"/>
      <c r="N625" s="289"/>
      <c r="O625" s="289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 ht="24" customHeight="1" x14ac:dyDescent="0.5">
      <c r="A626" s="81"/>
      <c r="B626" s="81"/>
      <c r="C626" s="81"/>
      <c r="D626" s="81"/>
      <c r="E626" s="81"/>
      <c r="F626" s="81"/>
      <c r="G626" s="81"/>
      <c r="H626" s="81"/>
      <c r="I626" s="289"/>
      <c r="J626" s="81"/>
      <c r="K626" s="289"/>
      <c r="L626" s="289"/>
      <c r="M626" s="289"/>
      <c r="N626" s="289"/>
      <c r="O626" s="289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 ht="24" customHeight="1" x14ac:dyDescent="0.5">
      <c r="A627" s="81"/>
      <c r="B627" s="81"/>
      <c r="C627" s="81"/>
      <c r="D627" s="81"/>
      <c r="E627" s="81"/>
      <c r="F627" s="81"/>
      <c r="G627" s="81"/>
      <c r="H627" s="81"/>
      <c r="I627" s="289"/>
      <c r="J627" s="81"/>
      <c r="K627" s="289"/>
      <c r="L627" s="289"/>
      <c r="M627" s="289"/>
      <c r="N627" s="289"/>
      <c r="O627" s="289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 ht="24" customHeight="1" x14ac:dyDescent="0.5">
      <c r="A628" s="81"/>
      <c r="B628" s="81"/>
      <c r="C628" s="81"/>
      <c r="D628" s="81"/>
      <c r="E628" s="81"/>
      <c r="F628" s="81"/>
      <c r="G628" s="81"/>
      <c r="H628" s="81"/>
      <c r="I628" s="289"/>
      <c r="J628" s="81"/>
      <c r="K628" s="289"/>
      <c r="L628" s="289"/>
      <c r="M628" s="289"/>
      <c r="N628" s="289"/>
      <c r="O628" s="289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 ht="24" customHeight="1" x14ac:dyDescent="0.5">
      <c r="A629" s="81"/>
      <c r="B629" s="81"/>
      <c r="C629" s="81"/>
      <c r="D629" s="81"/>
      <c r="E629" s="81"/>
      <c r="F629" s="81"/>
      <c r="G629" s="81"/>
      <c r="H629" s="81"/>
      <c r="I629" s="289"/>
      <c r="J629" s="81"/>
      <c r="K629" s="289"/>
      <c r="L629" s="289"/>
      <c r="M629" s="289"/>
      <c r="N629" s="289"/>
      <c r="O629" s="289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 ht="24" customHeight="1" x14ac:dyDescent="0.5">
      <c r="A630" s="81"/>
      <c r="B630" s="81"/>
      <c r="C630" s="81"/>
      <c r="D630" s="81"/>
      <c r="E630" s="81"/>
      <c r="F630" s="81"/>
      <c r="G630" s="81"/>
      <c r="H630" s="81"/>
      <c r="I630" s="289"/>
      <c r="J630" s="81"/>
      <c r="K630" s="289"/>
      <c r="L630" s="289"/>
      <c r="M630" s="289"/>
      <c r="N630" s="289"/>
      <c r="O630" s="289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 ht="24" customHeight="1" x14ac:dyDescent="0.5">
      <c r="A631" s="81"/>
      <c r="B631" s="81"/>
      <c r="C631" s="81"/>
      <c r="D631" s="81"/>
      <c r="E631" s="81"/>
      <c r="F631" s="81"/>
      <c r="G631" s="81"/>
      <c r="H631" s="81"/>
      <c r="I631" s="289"/>
      <c r="J631" s="81"/>
      <c r="K631" s="289"/>
      <c r="L631" s="289"/>
      <c r="M631" s="289"/>
      <c r="N631" s="289"/>
      <c r="O631" s="289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 ht="24" customHeight="1" x14ac:dyDescent="0.5">
      <c r="A632" s="81"/>
      <c r="B632" s="81"/>
      <c r="C632" s="81"/>
      <c r="D632" s="81"/>
      <c r="E632" s="81"/>
      <c r="F632" s="81"/>
      <c r="G632" s="81"/>
      <c r="H632" s="81"/>
      <c r="I632" s="289"/>
      <c r="J632" s="81"/>
      <c r="K632" s="289"/>
      <c r="L632" s="289"/>
      <c r="M632" s="289"/>
      <c r="N632" s="289"/>
      <c r="O632" s="289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 ht="24" customHeight="1" x14ac:dyDescent="0.5">
      <c r="A633" s="81"/>
      <c r="B633" s="81"/>
      <c r="C633" s="81"/>
      <c r="D633" s="81"/>
      <c r="E633" s="81"/>
      <c r="F633" s="81"/>
      <c r="G633" s="81"/>
      <c r="H633" s="81"/>
      <c r="I633" s="289"/>
      <c r="J633" s="81"/>
      <c r="K633" s="289"/>
      <c r="L633" s="289"/>
      <c r="M633" s="289"/>
      <c r="N633" s="289"/>
      <c r="O633" s="289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 ht="24" customHeight="1" x14ac:dyDescent="0.5">
      <c r="A634" s="81"/>
      <c r="B634" s="81"/>
      <c r="C634" s="81"/>
      <c r="D634" s="81"/>
      <c r="E634" s="81"/>
      <c r="F634" s="81"/>
      <c r="G634" s="81"/>
      <c r="H634" s="81"/>
      <c r="I634" s="289"/>
      <c r="J634" s="81"/>
      <c r="K634" s="289"/>
      <c r="L634" s="289"/>
      <c r="M634" s="289"/>
      <c r="N634" s="289"/>
      <c r="O634" s="289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 ht="24" customHeight="1" x14ac:dyDescent="0.5">
      <c r="A635" s="81"/>
      <c r="B635" s="81"/>
      <c r="C635" s="81"/>
      <c r="D635" s="81"/>
      <c r="E635" s="81"/>
      <c r="F635" s="81"/>
      <c r="G635" s="81"/>
      <c r="H635" s="81"/>
      <c r="I635" s="289"/>
      <c r="J635" s="81"/>
      <c r="K635" s="289"/>
      <c r="L635" s="289"/>
      <c r="M635" s="289"/>
      <c r="N635" s="289"/>
      <c r="O635" s="289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 ht="24" customHeight="1" x14ac:dyDescent="0.5">
      <c r="A636" s="81"/>
      <c r="B636" s="81"/>
      <c r="C636" s="81"/>
      <c r="D636" s="81"/>
      <c r="E636" s="81"/>
      <c r="F636" s="81"/>
      <c r="G636" s="81"/>
      <c r="H636" s="81"/>
      <c r="I636" s="289"/>
      <c r="J636" s="81"/>
      <c r="K636" s="289"/>
      <c r="L636" s="289"/>
      <c r="M636" s="289"/>
      <c r="N636" s="289"/>
      <c r="O636" s="289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 ht="24" customHeight="1" x14ac:dyDescent="0.5">
      <c r="A637" s="81"/>
      <c r="B637" s="81"/>
      <c r="C637" s="81"/>
      <c r="D637" s="81"/>
      <c r="E637" s="81"/>
      <c r="F637" s="81"/>
      <c r="G637" s="81"/>
      <c r="H637" s="81"/>
      <c r="I637" s="289"/>
      <c r="J637" s="81"/>
      <c r="K637" s="289"/>
      <c r="L637" s="289"/>
      <c r="M637" s="289"/>
      <c r="N637" s="289"/>
      <c r="O637" s="289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 ht="24" customHeight="1" x14ac:dyDescent="0.5">
      <c r="A638" s="81"/>
      <c r="B638" s="81"/>
      <c r="C638" s="81"/>
      <c r="D638" s="81"/>
      <c r="E638" s="81"/>
      <c r="F638" s="81"/>
      <c r="G638" s="81"/>
      <c r="H638" s="81"/>
      <c r="I638" s="289"/>
      <c r="J638" s="81"/>
      <c r="K638" s="289"/>
      <c r="L638" s="289"/>
      <c r="M638" s="289"/>
      <c r="N638" s="289"/>
      <c r="O638" s="289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 ht="24" customHeight="1" x14ac:dyDescent="0.5">
      <c r="A639" s="81"/>
      <c r="B639" s="81"/>
      <c r="C639" s="81"/>
      <c r="D639" s="81"/>
      <c r="E639" s="81"/>
      <c r="F639" s="81"/>
      <c r="G639" s="81"/>
      <c r="H639" s="81"/>
      <c r="I639" s="289"/>
      <c r="J639" s="81"/>
      <c r="K639" s="289"/>
      <c r="L639" s="289"/>
      <c r="M639" s="289"/>
      <c r="N639" s="289"/>
      <c r="O639" s="289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 ht="24" customHeight="1" x14ac:dyDescent="0.5">
      <c r="A640" s="81"/>
      <c r="B640" s="81"/>
      <c r="C640" s="81"/>
      <c r="D640" s="81"/>
      <c r="E640" s="81"/>
      <c r="F640" s="81"/>
      <c r="G640" s="81"/>
      <c r="H640" s="81"/>
      <c r="I640" s="289"/>
      <c r="J640" s="81"/>
      <c r="K640" s="289"/>
      <c r="L640" s="289"/>
      <c r="M640" s="289"/>
      <c r="N640" s="289"/>
      <c r="O640" s="289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 ht="24" customHeight="1" x14ac:dyDescent="0.5">
      <c r="A641" s="81"/>
      <c r="B641" s="81"/>
      <c r="C641" s="81"/>
      <c r="D641" s="81"/>
      <c r="E641" s="81"/>
      <c r="F641" s="81"/>
      <c r="G641" s="81"/>
      <c r="H641" s="81"/>
      <c r="I641" s="289"/>
      <c r="J641" s="81"/>
      <c r="K641" s="289"/>
      <c r="L641" s="289"/>
      <c r="M641" s="289"/>
      <c r="N641" s="289"/>
      <c r="O641" s="289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 ht="24" customHeight="1" x14ac:dyDescent="0.5">
      <c r="A642" s="81"/>
      <c r="B642" s="81"/>
      <c r="C642" s="81"/>
      <c r="D642" s="81"/>
      <c r="E642" s="81"/>
      <c r="F642" s="81"/>
      <c r="G642" s="81"/>
      <c r="H642" s="81"/>
      <c r="I642" s="289"/>
      <c r="J642" s="81"/>
      <c r="K642" s="289"/>
      <c r="L642" s="289"/>
      <c r="M642" s="289"/>
      <c r="N642" s="289"/>
      <c r="O642" s="289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 ht="24" customHeight="1" x14ac:dyDescent="0.5">
      <c r="A643" s="81"/>
      <c r="B643" s="81"/>
      <c r="C643" s="81"/>
      <c r="D643" s="81"/>
      <c r="E643" s="81"/>
      <c r="F643" s="81"/>
      <c r="G643" s="81"/>
      <c r="H643" s="81"/>
      <c r="I643" s="289"/>
      <c r="J643" s="81"/>
      <c r="K643" s="289"/>
      <c r="L643" s="289"/>
      <c r="M643" s="289"/>
      <c r="N643" s="289"/>
      <c r="O643" s="289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 ht="24" customHeight="1" x14ac:dyDescent="0.5">
      <c r="A644" s="81"/>
      <c r="B644" s="81"/>
      <c r="C644" s="81"/>
      <c r="D644" s="81"/>
      <c r="E644" s="81"/>
      <c r="F644" s="81"/>
      <c r="G644" s="81"/>
      <c r="H644" s="81"/>
      <c r="I644" s="289"/>
      <c r="J644" s="81"/>
      <c r="K644" s="289"/>
      <c r="L644" s="289"/>
      <c r="M644" s="289"/>
      <c r="N644" s="289"/>
      <c r="O644" s="289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 ht="24" customHeight="1" x14ac:dyDescent="0.5">
      <c r="A645" s="81"/>
      <c r="B645" s="81"/>
      <c r="C645" s="81"/>
      <c r="D645" s="81"/>
      <c r="E645" s="81"/>
      <c r="F645" s="81"/>
      <c r="G645" s="81"/>
      <c r="H645" s="81"/>
      <c r="I645" s="289"/>
      <c r="J645" s="81"/>
      <c r="K645" s="289"/>
      <c r="L645" s="289"/>
      <c r="M645" s="289"/>
      <c r="N645" s="289"/>
      <c r="O645" s="289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 ht="24" customHeight="1" x14ac:dyDescent="0.5">
      <c r="A646" s="81"/>
      <c r="B646" s="81"/>
      <c r="C646" s="81"/>
      <c r="D646" s="81"/>
      <c r="E646" s="81"/>
      <c r="F646" s="81"/>
      <c r="G646" s="81"/>
      <c r="H646" s="81"/>
      <c r="I646" s="289"/>
      <c r="J646" s="81"/>
      <c r="K646" s="289"/>
      <c r="L646" s="289"/>
      <c r="M646" s="289"/>
      <c r="N646" s="289"/>
      <c r="O646" s="289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 ht="24" customHeight="1" x14ac:dyDescent="0.5">
      <c r="A647" s="81"/>
      <c r="B647" s="81"/>
      <c r="C647" s="81"/>
      <c r="D647" s="81"/>
      <c r="E647" s="81"/>
      <c r="F647" s="81"/>
      <c r="G647" s="81"/>
      <c r="H647" s="81"/>
      <c r="I647" s="289"/>
      <c r="J647" s="81"/>
      <c r="K647" s="289"/>
      <c r="L647" s="289"/>
      <c r="M647" s="289"/>
      <c r="N647" s="289"/>
      <c r="O647" s="289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 ht="24" customHeight="1" x14ac:dyDescent="0.5">
      <c r="A648" s="81"/>
      <c r="B648" s="81"/>
      <c r="C648" s="81"/>
      <c r="D648" s="81"/>
      <c r="E648" s="81"/>
      <c r="F648" s="81"/>
      <c r="G648" s="81"/>
      <c r="H648" s="81"/>
      <c r="I648" s="289"/>
      <c r="J648" s="81"/>
      <c r="K648" s="289"/>
      <c r="L648" s="289"/>
      <c r="M648" s="289"/>
      <c r="N648" s="289"/>
      <c r="O648" s="289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 ht="24" customHeight="1" x14ac:dyDescent="0.5">
      <c r="A649" s="81"/>
      <c r="B649" s="81"/>
      <c r="C649" s="81"/>
      <c r="D649" s="81"/>
      <c r="E649" s="81"/>
      <c r="F649" s="81"/>
      <c r="G649" s="81"/>
      <c r="H649" s="81"/>
      <c r="I649" s="289"/>
      <c r="J649" s="81"/>
      <c r="K649" s="289"/>
      <c r="L649" s="289"/>
      <c r="M649" s="289"/>
      <c r="N649" s="289"/>
      <c r="O649" s="289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 ht="24" customHeight="1" x14ac:dyDescent="0.5">
      <c r="A650" s="81"/>
      <c r="B650" s="81"/>
      <c r="C650" s="81"/>
      <c r="D650" s="81"/>
      <c r="E650" s="81"/>
      <c r="F650" s="81"/>
      <c r="G650" s="81"/>
      <c r="H650" s="81"/>
      <c r="I650" s="289"/>
      <c r="J650" s="81"/>
      <c r="K650" s="289"/>
      <c r="L650" s="289"/>
      <c r="M650" s="289"/>
      <c r="N650" s="289"/>
      <c r="O650" s="289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 ht="24" customHeight="1" x14ac:dyDescent="0.5">
      <c r="A651" s="81"/>
      <c r="B651" s="81"/>
      <c r="C651" s="81"/>
      <c r="D651" s="81"/>
      <c r="E651" s="81"/>
      <c r="F651" s="81"/>
      <c r="G651" s="81"/>
      <c r="H651" s="81"/>
      <c r="I651" s="289"/>
      <c r="J651" s="81"/>
      <c r="K651" s="289"/>
      <c r="L651" s="289"/>
      <c r="M651" s="289"/>
      <c r="N651" s="289"/>
      <c r="O651" s="289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 ht="24" customHeight="1" x14ac:dyDescent="0.5">
      <c r="A652" s="81"/>
      <c r="B652" s="81"/>
      <c r="C652" s="81"/>
      <c r="D652" s="81"/>
      <c r="E652" s="81"/>
      <c r="F652" s="81"/>
      <c r="G652" s="81"/>
      <c r="H652" s="81"/>
      <c r="I652" s="289"/>
      <c r="J652" s="81"/>
      <c r="K652" s="289"/>
      <c r="L652" s="289"/>
      <c r="M652" s="289"/>
      <c r="N652" s="289"/>
      <c r="O652" s="289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 ht="24" customHeight="1" x14ac:dyDescent="0.5">
      <c r="A653" s="81"/>
      <c r="B653" s="81"/>
      <c r="C653" s="81"/>
      <c r="D653" s="81"/>
      <c r="E653" s="81"/>
      <c r="F653" s="81"/>
      <c r="G653" s="81"/>
      <c r="H653" s="81"/>
      <c r="I653" s="289"/>
      <c r="J653" s="81"/>
      <c r="K653" s="289"/>
      <c r="L653" s="289"/>
      <c r="M653" s="289"/>
      <c r="N653" s="289"/>
      <c r="O653" s="289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 ht="24" customHeight="1" x14ac:dyDescent="0.5">
      <c r="A654" s="81"/>
      <c r="B654" s="81"/>
      <c r="C654" s="81"/>
      <c r="D654" s="81"/>
      <c r="E654" s="81"/>
      <c r="F654" s="81"/>
      <c r="G654" s="81"/>
      <c r="H654" s="81"/>
      <c r="I654" s="289"/>
      <c r="J654" s="81"/>
      <c r="K654" s="289"/>
      <c r="L654" s="289"/>
      <c r="M654" s="289"/>
      <c r="N654" s="289"/>
      <c r="O654" s="289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 ht="24" customHeight="1" x14ac:dyDescent="0.5">
      <c r="A655" s="81"/>
      <c r="B655" s="81"/>
      <c r="C655" s="81"/>
      <c r="D655" s="81"/>
      <c r="E655" s="81"/>
      <c r="F655" s="81"/>
      <c r="G655" s="81"/>
      <c r="H655" s="81"/>
      <c r="I655" s="289"/>
      <c r="J655" s="81"/>
      <c r="K655" s="289"/>
      <c r="L655" s="289"/>
      <c r="M655" s="289"/>
      <c r="N655" s="289"/>
      <c r="O655" s="289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 ht="24" customHeight="1" x14ac:dyDescent="0.5">
      <c r="A656" s="81"/>
      <c r="B656" s="81"/>
      <c r="C656" s="81"/>
      <c r="D656" s="81"/>
      <c r="E656" s="81"/>
      <c r="F656" s="81"/>
      <c r="G656" s="81"/>
      <c r="H656" s="81"/>
      <c r="I656" s="289"/>
      <c r="J656" s="81"/>
      <c r="K656" s="289"/>
      <c r="L656" s="289"/>
      <c r="M656" s="289"/>
      <c r="N656" s="289"/>
      <c r="O656" s="289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 ht="24" customHeight="1" x14ac:dyDescent="0.5">
      <c r="A657" s="81"/>
      <c r="B657" s="81"/>
      <c r="C657" s="81"/>
      <c r="D657" s="81"/>
      <c r="E657" s="81"/>
      <c r="F657" s="81"/>
      <c r="G657" s="81"/>
      <c r="H657" s="81"/>
      <c r="I657" s="289"/>
      <c r="J657" s="81"/>
      <c r="K657" s="289"/>
      <c r="L657" s="289"/>
      <c r="M657" s="289"/>
      <c r="N657" s="289"/>
      <c r="O657" s="289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 ht="24" customHeight="1" x14ac:dyDescent="0.5">
      <c r="A658" s="81"/>
      <c r="B658" s="81"/>
      <c r="C658" s="81"/>
      <c r="D658" s="81"/>
      <c r="E658" s="81"/>
      <c r="F658" s="81"/>
      <c r="G658" s="81"/>
      <c r="H658" s="81"/>
      <c r="I658" s="289"/>
      <c r="J658" s="81"/>
      <c r="K658" s="289"/>
      <c r="L658" s="289"/>
      <c r="M658" s="289"/>
      <c r="N658" s="289"/>
      <c r="O658" s="289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 ht="24" customHeight="1" x14ac:dyDescent="0.5">
      <c r="A659" s="81"/>
      <c r="B659" s="81"/>
      <c r="C659" s="81"/>
      <c r="D659" s="81"/>
      <c r="E659" s="81"/>
      <c r="F659" s="81"/>
      <c r="G659" s="81"/>
      <c r="H659" s="81"/>
      <c r="I659" s="289"/>
      <c r="J659" s="81"/>
      <c r="K659" s="289"/>
      <c r="L659" s="289"/>
      <c r="M659" s="289"/>
      <c r="N659" s="289"/>
      <c r="O659" s="289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 ht="24" customHeight="1" x14ac:dyDescent="0.5">
      <c r="A660" s="81"/>
      <c r="B660" s="81"/>
      <c r="C660" s="81"/>
      <c r="D660" s="81"/>
      <c r="E660" s="81"/>
      <c r="F660" s="81"/>
      <c r="G660" s="81"/>
      <c r="H660" s="81"/>
      <c r="I660" s="289"/>
      <c r="J660" s="81"/>
      <c r="K660" s="289"/>
      <c r="L660" s="289"/>
      <c r="M660" s="289"/>
      <c r="N660" s="289"/>
      <c r="O660" s="289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 ht="24" customHeight="1" x14ac:dyDescent="0.5">
      <c r="A661" s="81"/>
      <c r="B661" s="81"/>
      <c r="C661" s="81"/>
      <c r="D661" s="81"/>
      <c r="E661" s="81"/>
      <c r="F661" s="81"/>
      <c r="G661" s="81"/>
      <c r="H661" s="81"/>
      <c r="I661" s="289"/>
      <c r="J661" s="81"/>
      <c r="K661" s="289"/>
      <c r="L661" s="289"/>
      <c r="M661" s="289"/>
      <c r="N661" s="289"/>
      <c r="O661" s="289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 ht="24" customHeight="1" x14ac:dyDescent="0.5">
      <c r="A662" s="81"/>
      <c r="B662" s="81"/>
      <c r="C662" s="81"/>
      <c r="D662" s="81"/>
      <c r="E662" s="81"/>
      <c r="F662" s="81"/>
      <c r="G662" s="81"/>
      <c r="H662" s="81"/>
      <c r="I662" s="289"/>
      <c r="J662" s="81"/>
      <c r="K662" s="289"/>
      <c r="L662" s="289"/>
      <c r="M662" s="289"/>
      <c r="N662" s="289"/>
      <c r="O662" s="289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 ht="24" customHeight="1" x14ac:dyDescent="0.5">
      <c r="A663" s="81"/>
      <c r="B663" s="81"/>
      <c r="C663" s="81"/>
      <c r="D663" s="81"/>
      <c r="E663" s="81"/>
      <c r="F663" s="81"/>
      <c r="G663" s="81"/>
      <c r="H663" s="81"/>
      <c r="I663" s="289"/>
      <c r="J663" s="81"/>
      <c r="K663" s="289"/>
      <c r="L663" s="289"/>
      <c r="M663" s="289"/>
      <c r="N663" s="289"/>
      <c r="O663" s="289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 ht="24" customHeight="1" x14ac:dyDescent="0.5">
      <c r="A664" s="81"/>
      <c r="B664" s="81"/>
      <c r="C664" s="81"/>
      <c r="D664" s="81"/>
      <c r="E664" s="81"/>
      <c r="F664" s="81"/>
      <c r="G664" s="81"/>
      <c r="H664" s="81"/>
      <c r="I664" s="289"/>
      <c r="J664" s="81"/>
      <c r="K664" s="289"/>
      <c r="L664" s="289"/>
      <c r="M664" s="289"/>
      <c r="N664" s="289"/>
      <c r="O664" s="289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 ht="24" customHeight="1" x14ac:dyDescent="0.5">
      <c r="A665" s="81"/>
      <c r="B665" s="81"/>
      <c r="C665" s="81"/>
      <c r="D665" s="81"/>
      <c r="E665" s="81"/>
      <c r="F665" s="81"/>
      <c r="G665" s="81"/>
      <c r="H665" s="81"/>
      <c r="I665" s="289"/>
      <c r="J665" s="81"/>
      <c r="K665" s="289"/>
      <c r="L665" s="289"/>
      <c r="M665" s="289"/>
      <c r="N665" s="289"/>
      <c r="O665" s="289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 ht="24" customHeight="1" x14ac:dyDescent="0.5">
      <c r="A666" s="81"/>
      <c r="B666" s="81"/>
      <c r="C666" s="81"/>
      <c r="D666" s="81"/>
      <c r="E666" s="81"/>
      <c r="F666" s="81"/>
      <c r="G666" s="81"/>
      <c r="H666" s="81"/>
      <c r="I666" s="289"/>
      <c r="J666" s="81"/>
      <c r="K666" s="289"/>
      <c r="L666" s="289"/>
      <c r="M666" s="289"/>
      <c r="N666" s="289"/>
      <c r="O666" s="289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 ht="24" customHeight="1" x14ac:dyDescent="0.5">
      <c r="A667" s="81"/>
      <c r="B667" s="81"/>
      <c r="C667" s="81"/>
      <c r="D667" s="81"/>
      <c r="E667" s="81"/>
      <c r="F667" s="81"/>
      <c r="G667" s="81"/>
      <c r="H667" s="81"/>
      <c r="I667" s="289"/>
      <c r="J667" s="81"/>
      <c r="K667" s="289"/>
      <c r="L667" s="289"/>
      <c r="M667" s="289"/>
      <c r="N667" s="289"/>
      <c r="O667" s="289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 ht="24" customHeight="1" x14ac:dyDescent="0.5">
      <c r="A668" s="81"/>
      <c r="B668" s="81"/>
      <c r="C668" s="81"/>
      <c r="D668" s="81"/>
      <c r="E668" s="81"/>
      <c r="F668" s="81"/>
      <c r="G668" s="81"/>
      <c r="H668" s="81"/>
      <c r="I668" s="289"/>
      <c r="J668" s="81"/>
      <c r="K668" s="289"/>
      <c r="L668" s="289"/>
      <c r="M668" s="289"/>
      <c r="N668" s="289"/>
      <c r="O668" s="289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 ht="24" customHeight="1" x14ac:dyDescent="0.5">
      <c r="A669" s="81"/>
      <c r="B669" s="81"/>
      <c r="C669" s="81"/>
      <c r="D669" s="81"/>
      <c r="E669" s="81"/>
      <c r="F669" s="81"/>
      <c r="G669" s="81"/>
      <c r="H669" s="81"/>
      <c r="I669" s="289"/>
      <c r="J669" s="81"/>
      <c r="K669" s="289"/>
      <c r="L669" s="289"/>
      <c r="M669" s="289"/>
      <c r="N669" s="289"/>
      <c r="O669" s="289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 ht="24" customHeight="1" x14ac:dyDescent="0.5">
      <c r="A670" s="81"/>
      <c r="B670" s="81"/>
      <c r="C670" s="81"/>
      <c r="D670" s="81"/>
      <c r="E670" s="81"/>
      <c r="F670" s="81"/>
      <c r="G670" s="81"/>
      <c r="H670" s="81"/>
      <c r="I670" s="289"/>
      <c r="J670" s="81"/>
      <c r="K670" s="289"/>
      <c r="L670" s="289"/>
      <c r="M670" s="289"/>
      <c r="N670" s="289"/>
      <c r="O670" s="289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 ht="24" customHeight="1" x14ac:dyDescent="0.5">
      <c r="A671" s="81"/>
      <c r="B671" s="81"/>
      <c r="C671" s="81"/>
      <c r="D671" s="81"/>
      <c r="E671" s="81"/>
      <c r="F671" s="81"/>
      <c r="G671" s="81"/>
      <c r="H671" s="81"/>
      <c r="I671" s="289"/>
      <c r="J671" s="81"/>
      <c r="K671" s="289"/>
      <c r="L671" s="289"/>
      <c r="M671" s="289"/>
      <c r="N671" s="289"/>
      <c r="O671" s="289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 ht="24" customHeight="1" x14ac:dyDescent="0.5">
      <c r="A672" s="81"/>
      <c r="B672" s="81"/>
      <c r="C672" s="81"/>
      <c r="D672" s="81"/>
      <c r="E672" s="81"/>
      <c r="F672" s="81"/>
      <c r="G672" s="81"/>
      <c r="H672" s="81"/>
      <c r="I672" s="289"/>
      <c r="J672" s="81"/>
      <c r="K672" s="289"/>
      <c r="L672" s="289"/>
      <c r="M672" s="289"/>
      <c r="N672" s="289"/>
      <c r="O672" s="289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 ht="24" customHeight="1" x14ac:dyDescent="0.5">
      <c r="A673" s="81"/>
      <c r="B673" s="81"/>
      <c r="C673" s="81"/>
      <c r="D673" s="81"/>
      <c r="E673" s="81"/>
      <c r="F673" s="81"/>
      <c r="G673" s="81"/>
      <c r="H673" s="81"/>
      <c r="I673" s="289"/>
      <c r="J673" s="81"/>
      <c r="K673" s="289"/>
      <c r="L673" s="289"/>
      <c r="M673" s="289"/>
      <c r="N673" s="289"/>
      <c r="O673" s="289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 ht="24" customHeight="1" x14ac:dyDescent="0.5">
      <c r="A674" s="81"/>
      <c r="B674" s="81"/>
      <c r="C674" s="81"/>
      <c r="D674" s="81"/>
      <c r="E674" s="81"/>
      <c r="F674" s="81"/>
      <c r="G674" s="81"/>
      <c r="H674" s="81"/>
      <c r="I674" s="289"/>
      <c r="J674" s="81"/>
      <c r="K674" s="289"/>
      <c r="L674" s="289"/>
      <c r="M674" s="289"/>
      <c r="N674" s="289"/>
      <c r="O674" s="289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 ht="24" customHeight="1" x14ac:dyDescent="0.5">
      <c r="A675" s="81"/>
      <c r="B675" s="81"/>
      <c r="C675" s="81"/>
      <c r="D675" s="81"/>
      <c r="E675" s="81"/>
      <c r="F675" s="81"/>
      <c r="G675" s="81"/>
      <c r="H675" s="81"/>
      <c r="I675" s="289"/>
      <c r="J675" s="81"/>
      <c r="K675" s="289"/>
      <c r="L675" s="289"/>
      <c r="M675" s="289"/>
      <c r="N675" s="289"/>
      <c r="O675" s="289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 ht="24" customHeight="1" x14ac:dyDescent="0.5">
      <c r="A676" s="81"/>
      <c r="B676" s="81"/>
      <c r="C676" s="81"/>
      <c r="D676" s="81"/>
      <c r="E676" s="81"/>
      <c r="F676" s="81"/>
      <c r="G676" s="81"/>
      <c r="H676" s="81"/>
      <c r="I676" s="289"/>
      <c r="J676" s="81"/>
      <c r="K676" s="289"/>
      <c r="L676" s="289"/>
      <c r="M676" s="289"/>
      <c r="N676" s="289"/>
      <c r="O676" s="289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 ht="24" customHeight="1" x14ac:dyDescent="0.5">
      <c r="A677" s="81"/>
      <c r="B677" s="81"/>
      <c r="C677" s="81"/>
      <c r="D677" s="81"/>
      <c r="E677" s="81"/>
      <c r="F677" s="81"/>
      <c r="G677" s="81"/>
      <c r="H677" s="81"/>
      <c r="I677" s="289"/>
      <c r="J677" s="81"/>
      <c r="K677" s="289"/>
      <c r="L677" s="289"/>
      <c r="M677" s="289"/>
      <c r="N677" s="289"/>
      <c r="O677" s="289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 ht="24" customHeight="1" x14ac:dyDescent="0.5">
      <c r="A678" s="81"/>
      <c r="B678" s="81"/>
      <c r="C678" s="81"/>
      <c r="D678" s="81"/>
      <c r="E678" s="81"/>
      <c r="F678" s="81"/>
      <c r="G678" s="81"/>
      <c r="H678" s="81"/>
      <c r="I678" s="289"/>
      <c r="J678" s="81"/>
      <c r="K678" s="289"/>
      <c r="L678" s="289"/>
      <c r="M678" s="289"/>
      <c r="N678" s="289"/>
      <c r="O678" s="289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 ht="24" customHeight="1" x14ac:dyDescent="0.5">
      <c r="A679" s="81"/>
      <c r="B679" s="81"/>
      <c r="C679" s="81"/>
      <c r="D679" s="81"/>
      <c r="E679" s="81"/>
      <c r="F679" s="81"/>
      <c r="G679" s="81"/>
      <c r="H679" s="81"/>
      <c r="I679" s="289"/>
      <c r="J679" s="81"/>
      <c r="K679" s="289"/>
      <c r="L679" s="289"/>
      <c r="M679" s="289"/>
      <c r="N679" s="289"/>
      <c r="O679" s="289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 ht="24" customHeight="1" x14ac:dyDescent="0.5">
      <c r="A680" s="81"/>
      <c r="B680" s="81"/>
      <c r="C680" s="81"/>
      <c r="D680" s="81"/>
      <c r="E680" s="81"/>
      <c r="F680" s="81"/>
      <c r="G680" s="81"/>
      <c r="H680" s="81"/>
      <c r="I680" s="289"/>
      <c r="J680" s="81"/>
      <c r="K680" s="289"/>
      <c r="L680" s="289"/>
      <c r="M680" s="289"/>
      <c r="N680" s="289"/>
      <c r="O680" s="289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 ht="24" customHeight="1" x14ac:dyDescent="0.5">
      <c r="A681" s="81"/>
      <c r="B681" s="81"/>
      <c r="C681" s="81"/>
      <c r="D681" s="81"/>
      <c r="E681" s="81"/>
      <c r="F681" s="81"/>
      <c r="G681" s="81"/>
      <c r="H681" s="81"/>
      <c r="I681" s="289"/>
      <c r="J681" s="81"/>
      <c r="K681" s="289"/>
      <c r="L681" s="289"/>
      <c r="M681" s="289"/>
      <c r="N681" s="289"/>
      <c r="O681" s="289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 ht="24" customHeight="1" x14ac:dyDescent="0.5">
      <c r="A682" s="81"/>
      <c r="B682" s="81"/>
      <c r="C682" s="81"/>
      <c r="D682" s="81"/>
      <c r="E682" s="81"/>
      <c r="F682" s="81"/>
      <c r="G682" s="81"/>
      <c r="H682" s="81"/>
      <c r="I682" s="289"/>
      <c r="J682" s="81"/>
      <c r="K682" s="289"/>
      <c r="L682" s="289"/>
      <c r="M682" s="289"/>
      <c r="N682" s="289"/>
      <c r="O682" s="289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 ht="24" customHeight="1" x14ac:dyDescent="0.5">
      <c r="A683" s="81"/>
      <c r="B683" s="81"/>
      <c r="C683" s="81"/>
      <c r="D683" s="81"/>
      <c r="E683" s="81"/>
      <c r="F683" s="81"/>
      <c r="G683" s="81"/>
      <c r="H683" s="81"/>
      <c r="I683" s="289"/>
      <c r="J683" s="81"/>
      <c r="K683" s="289"/>
      <c r="L683" s="289"/>
      <c r="M683" s="289"/>
      <c r="N683" s="289"/>
      <c r="O683" s="289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 ht="24" customHeight="1" x14ac:dyDescent="0.5">
      <c r="A684" s="81"/>
      <c r="B684" s="81"/>
      <c r="C684" s="81"/>
      <c r="D684" s="81"/>
      <c r="E684" s="81"/>
      <c r="F684" s="81"/>
      <c r="G684" s="81"/>
      <c r="H684" s="81"/>
      <c r="I684" s="289"/>
      <c r="J684" s="81"/>
      <c r="K684" s="289"/>
      <c r="L684" s="289"/>
      <c r="M684" s="289"/>
      <c r="N684" s="289"/>
      <c r="O684" s="289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 ht="24" customHeight="1" x14ac:dyDescent="0.5">
      <c r="A685" s="81"/>
      <c r="B685" s="81"/>
      <c r="C685" s="81"/>
      <c r="D685" s="81"/>
      <c r="E685" s="81"/>
      <c r="F685" s="81"/>
      <c r="G685" s="81"/>
      <c r="H685" s="81"/>
      <c r="I685" s="289"/>
      <c r="J685" s="81"/>
      <c r="K685" s="289"/>
      <c r="L685" s="289"/>
      <c r="M685" s="289"/>
      <c r="N685" s="289"/>
      <c r="O685" s="289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 ht="24" customHeight="1" x14ac:dyDescent="0.5">
      <c r="A686" s="81"/>
      <c r="B686" s="81"/>
      <c r="C686" s="81"/>
      <c r="D686" s="81"/>
      <c r="E686" s="81"/>
      <c r="F686" s="81"/>
      <c r="G686" s="81"/>
      <c r="H686" s="81"/>
      <c r="I686" s="289"/>
      <c r="J686" s="81"/>
      <c r="K686" s="289"/>
      <c r="L686" s="289"/>
      <c r="M686" s="289"/>
      <c r="N686" s="289"/>
      <c r="O686" s="289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 ht="24" customHeight="1" x14ac:dyDescent="0.5">
      <c r="A687" s="81"/>
      <c r="B687" s="81"/>
      <c r="C687" s="81"/>
      <c r="D687" s="81"/>
      <c r="E687" s="81"/>
      <c r="F687" s="81"/>
      <c r="G687" s="81"/>
      <c r="H687" s="81"/>
      <c r="I687" s="289"/>
      <c r="J687" s="81"/>
      <c r="K687" s="289"/>
      <c r="L687" s="289"/>
      <c r="M687" s="289"/>
      <c r="N687" s="289"/>
      <c r="O687" s="289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 ht="24" customHeight="1" x14ac:dyDescent="0.5">
      <c r="A688" s="81"/>
      <c r="B688" s="81"/>
      <c r="C688" s="81"/>
      <c r="D688" s="81"/>
      <c r="E688" s="81"/>
      <c r="F688" s="81"/>
      <c r="G688" s="81"/>
      <c r="H688" s="81"/>
      <c r="I688" s="289"/>
      <c r="J688" s="81"/>
      <c r="K688" s="289"/>
      <c r="L688" s="289"/>
      <c r="M688" s="289"/>
      <c r="N688" s="289"/>
      <c r="O688" s="289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 ht="24" customHeight="1" x14ac:dyDescent="0.5">
      <c r="A689" s="81"/>
      <c r="B689" s="81"/>
      <c r="C689" s="81"/>
      <c r="D689" s="81"/>
      <c r="E689" s="81"/>
      <c r="F689" s="81"/>
      <c r="G689" s="81"/>
      <c r="H689" s="81"/>
      <c r="I689" s="289"/>
      <c r="J689" s="81"/>
      <c r="K689" s="289"/>
      <c r="L689" s="289"/>
      <c r="M689" s="289"/>
      <c r="N689" s="289"/>
      <c r="O689" s="289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 ht="24" customHeight="1" x14ac:dyDescent="0.5">
      <c r="A690" s="81"/>
      <c r="B690" s="81"/>
      <c r="C690" s="81"/>
      <c r="D690" s="81"/>
      <c r="E690" s="81"/>
      <c r="F690" s="81"/>
      <c r="G690" s="81"/>
      <c r="H690" s="81"/>
      <c r="I690" s="289"/>
      <c r="J690" s="81"/>
      <c r="K690" s="289"/>
      <c r="L690" s="289"/>
      <c r="M690" s="289"/>
      <c r="N690" s="289"/>
      <c r="O690" s="289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 ht="24" customHeight="1" x14ac:dyDescent="0.5">
      <c r="A691" s="81"/>
      <c r="B691" s="81"/>
      <c r="C691" s="81"/>
      <c r="D691" s="81"/>
      <c r="E691" s="81"/>
      <c r="F691" s="81"/>
      <c r="G691" s="81"/>
      <c r="H691" s="81"/>
      <c r="I691" s="289"/>
      <c r="J691" s="81"/>
      <c r="K691" s="289"/>
      <c r="L691" s="289"/>
      <c r="M691" s="289"/>
      <c r="N691" s="289"/>
      <c r="O691" s="289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 ht="24" customHeight="1" x14ac:dyDescent="0.5">
      <c r="A692" s="81"/>
      <c r="B692" s="81"/>
      <c r="C692" s="81"/>
      <c r="D692" s="81"/>
      <c r="E692" s="81"/>
      <c r="F692" s="81"/>
      <c r="G692" s="81"/>
      <c r="H692" s="81"/>
      <c r="I692" s="289"/>
      <c r="J692" s="81"/>
      <c r="K692" s="289"/>
      <c r="L692" s="289"/>
      <c r="M692" s="289"/>
      <c r="N692" s="289"/>
      <c r="O692" s="289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 ht="24" customHeight="1" x14ac:dyDescent="0.5">
      <c r="A693" s="81"/>
      <c r="B693" s="81"/>
      <c r="C693" s="81"/>
      <c r="D693" s="81"/>
      <c r="E693" s="81"/>
      <c r="F693" s="81"/>
      <c r="G693" s="81"/>
      <c r="H693" s="81"/>
      <c r="I693" s="289"/>
      <c r="J693" s="81"/>
      <c r="K693" s="289"/>
      <c r="L693" s="289"/>
      <c r="M693" s="289"/>
      <c r="N693" s="289"/>
      <c r="O693" s="289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 ht="24" customHeight="1" x14ac:dyDescent="0.5">
      <c r="A694" s="81"/>
      <c r="B694" s="81"/>
      <c r="C694" s="81"/>
      <c r="D694" s="81"/>
      <c r="E694" s="81"/>
      <c r="F694" s="81"/>
      <c r="G694" s="81"/>
      <c r="H694" s="81"/>
      <c r="I694" s="289"/>
      <c r="J694" s="81"/>
      <c r="K694" s="289"/>
      <c r="L694" s="289"/>
      <c r="M694" s="289"/>
      <c r="N694" s="289"/>
      <c r="O694" s="289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 ht="24" customHeight="1" x14ac:dyDescent="0.5">
      <c r="A695" s="81"/>
      <c r="B695" s="81"/>
      <c r="C695" s="81"/>
      <c r="D695" s="81"/>
      <c r="E695" s="81"/>
      <c r="F695" s="81"/>
      <c r="G695" s="81"/>
      <c r="H695" s="81"/>
      <c r="I695" s="289"/>
      <c r="J695" s="81"/>
      <c r="K695" s="289"/>
      <c r="L695" s="289"/>
      <c r="M695" s="289"/>
      <c r="N695" s="289"/>
      <c r="O695" s="289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 ht="24" customHeight="1" x14ac:dyDescent="0.5">
      <c r="A696" s="81"/>
      <c r="B696" s="81"/>
      <c r="C696" s="81"/>
      <c r="D696" s="81"/>
      <c r="E696" s="81"/>
      <c r="F696" s="81"/>
      <c r="G696" s="81"/>
      <c r="H696" s="81"/>
      <c r="I696" s="289"/>
      <c r="J696" s="81"/>
      <c r="K696" s="289"/>
      <c r="L696" s="289"/>
      <c r="M696" s="289"/>
      <c r="N696" s="289"/>
      <c r="O696" s="289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 ht="24" customHeight="1" x14ac:dyDescent="0.5">
      <c r="A697" s="81"/>
      <c r="B697" s="81"/>
      <c r="C697" s="81"/>
      <c r="D697" s="81"/>
      <c r="E697" s="81"/>
      <c r="F697" s="81"/>
      <c r="G697" s="81"/>
      <c r="H697" s="81"/>
      <c r="I697" s="289"/>
      <c r="J697" s="81"/>
      <c r="K697" s="289"/>
      <c r="L697" s="289"/>
      <c r="M697" s="289"/>
      <c r="N697" s="289"/>
      <c r="O697" s="289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 ht="24" customHeight="1" x14ac:dyDescent="0.5">
      <c r="A698" s="81"/>
      <c r="B698" s="81"/>
      <c r="C698" s="81"/>
      <c r="D698" s="81"/>
      <c r="E698" s="81"/>
      <c r="F698" s="81"/>
      <c r="G698" s="81"/>
      <c r="H698" s="81"/>
      <c r="I698" s="289"/>
      <c r="J698" s="81"/>
      <c r="K698" s="289"/>
      <c r="L698" s="289"/>
      <c r="M698" s="289"/>
      <c r="N698" s="289"/>
      <c r="O698" s="289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 ht="24" customHeight="1" x14ac:dyDescent="0.5">
      <c r="A699" s="81"/>
      <c r="B699" s="81"/>
      <c r="C699" s="81"/>
      <c r="D699" s="81"/>
      <c r="E699" s="81"/>
      <c r="F699" s="81"/>
      <c r="G699" s="81"/>
      <c r="H699" s="81"/>
      <c r="I699" s="289"/>
      <c r="J699" s="81"/>
      <c r="K699" s="289"/>
      <c r="L699" s="289"/>
      <c r="M699" s="289"/>
      <c r="N699" s="289"/>
      <c r="O699" s="289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 ht="24" customHeight="1" x14ac:dyDescent="0.5">
      <c r="A700" s="81"/>
      <c r="B700" s="81"/>
      <c r="C700" s="81"/>
      <c r="D700" s="81"/>
      <c r="E700" s="81"/>
      <c r="F700" s="81"/>
      <c r="G700" s="81"/>
      <c r="H700" s="81"/>
      <c r="I700" s="289"/>
      <c r="J700" s="81"/>
      <c r="K700" s="289"/>
      <c r="L700" s="289"/>
      <c r="M700" s="289"/>
      <c r="N700" s="289"/>
      <c r="O700" s="289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 ht="24" customHeight="1" x14ac:dyDescent="0.5">
      <c r="A701" s="81"/>
      <c r="B701" s="81"/>
      <c r="C701" s="81"/>
      <c r="D701" s="81"/>
      <c r="E701" s="81"/>
      <c r="F701" s="81"/>
      <c r="G701" s="81"/>
      <c r="H701" s="81"/>
      <c r="I701" s="289"/>
      <c r="J701" s="81"/>
      <c r="K701" s="289"/>
      <c r="L701" s="289"/>
      <c r="M701" s="289"/>
      <c r="N701" s="289"/>
      <c r="O701" s="289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 ht="24" customHeight="1" x14ac:dyDescent="0.5">
      <c r="A702" s="81"/>
      <c r="B702" s="81"/>
      <c r="C702" s="81"/>
      <c r="D702" s="81"/>
      <c r="E702" s="81"/>
      <c r="F702" s="81"/>
      <c r="G702" s="81"/>
      <c r="H702" s="81"/>
      <c r="I702" s="289"/>
      <c r="J702" s="81"/>
      <c r="K702" s="289"/>
      <c r="L702" s="289"/>
      <c r="M702" s="289"/>
      <c r="N702" s="289"/>
      <c r="O702" s="289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 ht="24" customHeight="1" x14ac:dyDescent="0.5">
      <c r="A703" s="81"/>
      <c r="B703" s="81"/>
      <c r="C703" s="81"/>
      <c r="D703" s="81"/>
      <c r="E703" s="81"/>
      <c r="F703" s="81"/>
      <c r="G703" s="81"/>
      <c r="H703" s="81"/>
      <c r="I703" s="289"/>
      <c r="J703" s="81"/>
      <c r="K703" s="289"/>
      <c r="L703" s="289"/>
      <c r="M703" s="289"/>
      <c r="N703" s="289"/>
      <c r="O703" s="289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 ht="24" customHeight="1" x14ac:dyDescent="0.5">
      <c r="A704" s="81"/>
      <c r="B704" s="81"/>
      <c r="C704" s="81"/>
      <c r="D704" s="81"/>
      <c r="E704" s="81"/>
      <c r="F704" s="81"/>
      <c r="G704" s="81"/>
      <c r="H704" s="81"/>
      <c r="I704" s="289"/>
      <c r="J704" s="81"/>
      <c r="K704" s="289"/>
      <c r="L704" s="289"/>
      <c r="M704" s="289"/>
      <c r="N704" s="289"/>
      <c r="O704" s="289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 ht="24" customHeight="1" x14ac:dyDescent="0.5">
      <c r="A705" s="81"/>
      <c r="B705" s="81"/>
      <c r="C705" s="81"/>
      <c r="D705" s="81"/>
      <c r="E705" s="81"/>
      <c r="F705" s="81"/>
      <c r="G705" s="81"/>
      <c r="H705" s="81"/>
      <c r="I705" s="289"/>
      <c r="J705" s="81"/>
      <c r="K705" s="289"/>
      <c r="L705" s="289"/>
      <c r="M705" s="289"/>
      <c r="N705" s="289"/>
      <c r="O705" s="289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 ht="24" customHeight="1" x14ac:dyDescent="0.5">
      <c r="A706" s="81"/>
      <c r="B706" s="81"/>
      <c r="C706" s="81"/>
      <c r="D706" s="81"/>
      <c r="E706" s="81"/>
      <c r="F706" s="81"/>
      <c r="G706" s="81"/>
      <c r="H706" s="81"/>
      <c r="I706" s="289"/>
      <c r="J706" s="81"/>
      <c r="K706" s="289"/>
      <c r="L706" s="289"/>
      <c r="M706" s="289"/>
      <c r="N706" s="289"/>
      <c r="O706" s="289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 ht="24" customHeight="1" x14ac:dyDescent="0.5">
      <c r="A707" s="81"/>
      <c r="B707" s="81"/>
      <c r="C707" s="81"/>
      <c r="D707" s="81"/>
      <c r="E707" s="81"/>
      <c r="F707" s="81"/>
      <c r="G707" s="81"/>
      <c r="H707" s="81"/>
      <c r="I707" s="289"/>
      <c r="J707" s="81"/>
      <c r="K707" s="289"/>
      <c r="L707" s="289"/>
      <c r="M707" s="289"/>
      <c r="N707" s="289"/>
      <c r="O707" s="289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 ht="24" customHeight="1" x14ac:dyDescent="0.5">
      <c r="A708" s="81"/>
      <c r="B708" s="81"/>
      <c r="C708" s="81"/>
      <c r="D708" s="81"/>
      <c r="E708" s="81"/>
      <c r="F708" s="81"/>
      <c r="G708" s="81"/>
      <c r="H708" s="81"/>
      <c r="I708" s="289"/>
      <c r="J708" s="81"/>
      <c r="K708" s="289"/>
      <c r="L708" s="289"/>
      <c r="M708" s="289"/>
      <c r="N708" s="289"/>
      <c r="O708" s="289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 ht="24" customHeight="1" x14ac:dyDescent="0.5">
      <c r="A709" s="81"/>
      <c r="B709" s="81"/>
      <c r="C709" s="81"/>
      <c r="D709" s="81"/>
      <c r="E709" s="81"/>
      <c r="F709" s="81"/>
      <c r="G709" s="81"/>
      <c r="H709" s="81"/>
      <c r="I709" s="289"/>
      <c r="J709" s="81"/>
      <c r="K709" s="289"/>
      <c r="L709" s="289"/>
      <c r="M709" s="289"/>
      <c r="N709" s="289"/>
      <c r="O709" s="289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 ht="24" customHeight="1" x14ac:dyDescent="0.5">
      <c r="A710" s="81"/>
      <c r="B710" s="81"/>
      <c r="C710" s="81"/>
      <c r="D710" s="81"/>
      <c r="E710" s="81"/>
      <c r="F710" s="81"/>
      <c r="G710" s="81"/>
      <c r="H710" s="81"/>
      <c r="I710" s="289"/>
      <c r="J710" s="81"/>
      <c r="K710" s="289"/>
      <c r="L710" s="289"/>
      <c r="M710" s="289"/>
      <c r="N710" s="289"/>
      <c r="O710" s="289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 ht="24" customHeight="1" x14ac:dyDescent="0.5">
      <c r="A711" s="81"/>
      <c r="B711" s="81"/>
      <c r="C711" s="81"/>
      <c r="D711" s="81"/>
      <c r="E711" s="81"/>
      <c r="F711" s="81"/>
      <c r="G711" s="81"/>
      <c r="H711" s="81"/>
      <c r="I711" s="289"/>
      <c r="J711" s="81"/>
      <c r="K711" s="289"/>
      <c r="L711" s="289"/>
      <c r="M711" s="289"/>
      <c r="N711" s="289"/>
      <c r="O711" s="289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 ht="24" customHeight="1" x14ac:dyDescent="0.5">
      <c r="A712" s="81"/>
      <c r="B712" s="81"/>
      <c r="C712" s="81"/>
      <c r="D712" s="81"/>
      <c r="E712" s="81"/>
      <c r="F712" s="81"/>
      <c r="G712" s="81"/>
      <c r="H712" s="81"/>
      <c r="I712" s="289"/>
      <c r="J712" s="81"/>
      <c r="K712" s="289"/>
      <c r="L712" s="289"/>
      <c r="M712" s="289"/>
      <c r="N712" s="289"/>
      <c r="O712" s="289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 ht="24" customHeight="1" x14ac:dyDescent="0.5">
      <c r="A713" s="81"/>
      <c r="B713" s="81"/>
      <c r="C713" s="81"/>
      <c r="D713" s="81"/>
      <c r="E713" s="81"/>
      <c r="F713" s="81"/>
      <c r="G713" s="81"/>
      <c r="H713" s="81"/>
      <c r="I713" s="289"/>
      <c r="J713" s="81"/>
      <c r="K713" s="289"/>
      <c r="L713" s="289"/>
      <c r="M713" s="289"/>
      <c r="N713" s="289"/>
      <c r="O713" s="289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 ht="24" customHeight="1" x14ac:dyDescent="0.5">
      <c r="A714" s="81"/>
      <c r="B714" s="81"/>
      <c r="C714" s="81"/>
      <c r="D714" s="81"/>
      <c r="E714" s="81"/>
      <c r="F714" s="81"/>
      <c r="G714" s="81"/>
      <c r="H714" s="81"/>
      <c r="I714" s="289"/>
      <c r="J714" s="81"/>
      <c r="K714" s="289"/>
      <c r="L714" s="289"/>
      <c r="M714" s="289"/>
      <c r="N714" s="289"/>
      <c r="O714" s="289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 ht="24" customHeight="1" x14ac:dyDescent="0.5">
      <c r="A715" s="81"/>
      <c r="B715" s="81"/>
      <c r="C715" s="81"/>
      <c r="D715" s="81"/>
      <c r="E715" s="81"/>
      <c r="F715" s="81"/>
      <c r="G715" s="81"/>
      <c r="H715" s="81"/>
      <c r="I715" s="289"/>
      <c r="J715" s="81"/>
      <c r="K715" s="289"/>
      <c r="L715" s="289"/>
      <c r="M715" s="289"/>
      <c r="N715" s="289"/>
      <c r="O715" s="289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 ht="24" customHeight="1" x14ac:dyDescent="0.5">
      <c r="A716" s="81"/>
      <c r="B716" s="81"/>
      <c r="C716" s="81"/>
      <c r="D716" s="81"/>
      <c r="E716" s="81"/>
      <c r="F716" s="81"/>
      <c r="G716" s="81"/>
      <c r="H716" s="81"/>
      <c r="I716" s="289"/>
      <c r="J716" s="81"/>
      <c r="K716" s="289"/>
      <c r="L716" s="289"/>
      <c r="M716" s="289"/>
      <c r="N716" s="289"/>
      <c r="O716" s="289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 ht="24" customHeight="1" x14ac:dyDescent="0.5">
      <c r="A717" s="81"/>
      <c r="B717" s="81"/>
      <c r="C717" s="81"/>
      <c r="D717" s="81"/>
      <c r="E717" s="81"/>
      <c r="F717" s="81"/>
      <c r="G717" s="81"/>
      <c r="H717" s="81"/>
      <c r="I717" s="289"/>
      <c r="J717" s="81"/>
      <c r="K717" s="289"/>
      <c r="L717" s="289"/>
      <c r="M717" s="289"/>
      <c r="N717" s="289"/>
      <c r="O717" s="289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 ht="24" customHeight="1" x14ac:dyDescent="0.5">
      <c r="A718" s="81"/>
      <c r="B718" s="81"/>
      <c r="C718" s="81"/>
      <c r="D718" s="81"/>
      <c r="E718" s="81"/>
      <c r="F718" s="81"/>
      <c r="G718" s="81"/>
      <c r="H718" s="81"/>
      <c r="I718" s="289"/>
      <c r="J718" s="81"/>
      <c r="K718" s="289"/>
      <c r="L718" s="289"/>
      <c r="M718" s="289"/>
      <c r="N718" s="289"/>
      <c r="O718" s="289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 ht="24" customHeight="1" x14ac:dyDescent="0.5">
      <c r="A719" s="81"/>
      <c r="B719" s="81"/>
      <c r="C719" s="81"/>
      <c r="D719" s="81"/>
      <c r="E719" s="81"/>
      <c r="F719" s="81"/>
      <c r="G719" s="81"/>
      <c r="H719" s="81"/>
      <c r="I719" s="289"/>
      <c r="J719" s="81"/>
      <c r="K719" s="289"/>
      <c r="L719" s="289"/>
      <c r="M719" s="289"/>
      <c r="N719" s="289"/>
      <c r="O719" s="289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 ht="24" customHeight="1" x14ac:dyDescent="0.5">
      <c r="A720" s="81"/>
      <c r="B720" s="81"/>
      <c r="C720" s="81"/>
      <c r="D720" s="81"/>
      <c r="E720" s="81"/>
      <c r="F720" s="81"/>
      <c r="G720" s="81"/>
      <c r="H720" s="81"/>
      <c r="I720" s="289"/>
      <c r="J720" s="81"/>
      <c r="K720" s="289"/>
      <c r="L720" s="289"/>
      <c r="M720" s="289"/>
      <c r="N720" s="289"/>
      <c r="O720" s="289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 ht="24" customHeight="1" x14ac:dyDescent="0.5">
      <c r="A721" s="81"/>
      <c r="B721" s="81"/>
      <c r="C721" s="81"/>
      <c r="D721" s="81"/>
      <c r="E721" s="81"/>
      <c r="F721" s="81"/>
      <c r="G721" s="81"/>
      <c r="H721" s="81"/>
      <c r="I721" s="289"/>
      <c r="J721" s="81"/>
      <c r="K721" s="289"/>
      <c r="L721" s="289"/>
      <c r="M721" s="289"/>
      <c r="N721" s="289"/>
      <c r="O721" s="289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 ht="24" customHeight="1" x14ac:dyDescent="0.5">
      <c r="A722" s="81"/>
      <c r="B722" s="81"/>
      <c r="C722" s="81"/>
      <c r="D722" s="81"/>
      <c r="E722" s="81"/>
      <c r="F722" s="81"/>
      <c r="G722" s="81"/>
      <c r="H722" s="81"/>
      <c r="I722" s="289"/>
      <c r="J722" s="81"/>
      <c r="K722" s="289"/>
      <c r="L722" s="289"/>
      <c r="M722" s="289"/>
      <c r="N722" s="289"/>
      <c r="O722" s="289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 ht="24" customHeight="1" x14ac:dyDescent="0.5">
      <c r="A723" s="81"/>
      <c r="B723" s="81"/>
      <c r="C723" s="81"/>
      <c r="D723" s="81"/>
      <c r="E723" s="81"/>
      <c r="F723" s="81"/>
      <c r="G723" s="81"/>
      <c r="H723" s="81"/>
      <c r="I723" s="289"/>
      <c r="J723" s="81"/>
      <c r="K723" s="289"/>
      <c r="L723" s="289"/>
      <c r="M723" s="289"/>
      <c r="N723" s="289"/>
      <c r="O723" s="289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 ht="24" customHeight="1" x14ac:dyDescent="0.5">
      <c r="A724" s="81"/>
      <c r="B724" s="81"/>
      <c r="C724" s="81"/>
      <c r="D724" s="81"/>
      <c r="E724" s="81"/>
      <c r="F724" s="81"/>
      <c r="G724" s="81"/>
      <c r="H724" s="81"/>
      <c r="I724" s="289"/>
      <c r="J724" s="81"/>
      <c r="K724" s="289"/>
      <c r="L724" s="289"/>
      <c r="M724" s="289"/>
      <c r="N724" s="289"/>
      <c r="O724" s="289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 ht="24" customHeight="1" x14ac:dyDescent="0.5">
      <c r="A725" s="81"/>
      <c r="B725" s="81"/>
      <c r="C725" s="81"/>
      <c r="D725" s="81"/>
      <c r="E725" s="81"/>
      <c r="F725" s="81"/>
      <c r="G725" s="81"/>
      <c r="H725" s="81"/>
      <c r="I725" s="289"/>
      <c r="J725" s="81"/>
      <c r="K725" s="289"/>
      <c r="L725" s="289"/>
      <c r="M725" s="289"/>
      <c r="N725" s="289"/>
      <c r="O725" s="289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 ht="24" customHeight="1" x14ac:dyDescent="0.5">
      <c r="A726" s="81"/>
      <c r="B726" s="81"/>
      <c r="C726" s="81"/>
      <c r="D726" s="81"/>
      <c r="E726" s="81"/>
      <c r="F726" s="81"/>
      <c r="G726" s="81"/>
      <c r="H726" s="81"/>
      <c r="I726" s="289"/>
      <c r="J726" s="81"/>
      <c r="K726" s="289"/>
      <c r="L726" s="289"/>
      <c r="M726" s="289"/>
      <c r="N726" s="289"/>
      <c r="O726" s="289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 ht="24" customHeight="1" x14ac:dyDescent="0.5">
      <c r="A727" s="81"/>
      <c r="B727" s="81"/>
      <c r="C727" s="81"/>
      <c r="D727" s="81"/>
      <c r="E727" s="81"/>
      <c r="F727" s="81"/>
      <c r="G727" s="81"/>
      <c r="H727" s="81"/>
      <c r="I727" s="289"/>
      <c r="J727" s="81"/>
      <c r="K727" s="289"/>
      <c r="L727" s="289"/>
      <c r="M727" s="289"/>
      <c r="N727" s="289"/>
      <c r="O727" s="289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 ht="24" customHeight="1" x14ac:dyDescent="0.5">
      <c r="A728" s="81"/>
      <c r="B728" s="81"/>
      <c r="C728" s="81"/>
      <c r="D728" s="81"/>
      <c r="E728" s="81"/>
      <c r="F728" s="81"/>
      <c r="G728" s="81"/>
      <c r="H728" s="81"/>
      <c r="I728" s="289"/>
      <c r="J728" s="81"/>
      <c r="K728" s="289"/>
      <c r="L728" s="289"/>
      <c r="M728" s="289"/>
      <c r="N728" s="289"/>
      <c r="O728" s="289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 ht="24" customHeight="1" x14ac:dyDescent="0.5">
      <c r="A729" s="81"/>
      <c r="B729" s="81"/>
      <c r="C729" s="81"/>
      <c r="D729" s="81"/>
      <c r="E729" s="81"/>
      <c r="F729" s="81"/>
      <c r="G729" s="81"/>
      <c r="H729" s="81"/>
      <c r="I729" s="289"/>
      <c r="J729" s="81"/>
      <c r="K729" s="289"/>
      <c r="L729" s="289"/>
      <c r="M729" s="289"/>
      <c r="N729" s="289"/>
      <c r="O729" s="289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 ht="24" customHeight="1" x14ac:dyDescent="0.5">
      <c r="A730" s="81"/>
      <c r="B730" s="81"/>
      <c r="C730" s="81"/>
      <c r="D730" s="81"/>
      <c r="E730" s="81"/>
      <c r="F730" s="81"/>
      <c r="G730" s="81"/>
      <c r="H730" s="81"/>
      <c r="I730" s="289"/>
      <c r="J730" s="81"/>
      <c r="K730" s="289"/>
      <c r="L730" s="289"/>
      <c r="M730" s="289"/>
      <c r="N730" s="289"/>
      <c r="O730" s="289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 ht="24" customHeight="1" x14ac:dyDescent="0.5">
      <c r="A731" s="81"/>
      <c r="B731" s="81"/>
      <c r="C731" s="81"/>
      <c r="D731" s="81"/>
      <c r="E731" s="81"/>
      <c r="F731" s="81"/>
      <c r="G731" s="81"/>
      <c r="H731" s="81"/>
      <c r="I731" s="289"/>
      <c r="J731" s="81"/>
      <c r="K731" s="289"/>
      <c r="L731" s="289"/>
      <c r="M731" s="289"/>
      <c r="N731" s="289"/>
      <c r="O731" s="289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 ht="24" customHeight="1" x14ac:dyDescent="0.5">
      <c r="A732" s="81"/>
      <c r="B732" s="81"/>
      <c r="C732" s="81"/>
      <c r="D732" s="81"/>
      <c r="E732" s="81"/>
      <c r="F732" s="81"/>
      <c r="G732" s="81"/>
      <c r="H732" s="81"/>
      <c r="I732" s="289"/>
      <c r="J732" s="81"/>
      <c r="K732" s="289"/>
      <c r="L732" s="289"/>
      <c r="M732" s="289"/>
      <c r="N732" s="289"/>
      <c r="O732" s="289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 ht="24" customHeight="1" x14ac:dyDescent="0.5">
      <c r="A733" s="81"/>
      <c r="B733" s="81"/>
      <c r="C733" s="81"/>
      <c r="D733" s="81"/>
      <c r="E733" s="81"/>
      <c r="F733" s="81"/>
      <c r="G733" s="81"/>
      <c r="H733" s="81"/>
      <c r="I733" s="289"/>
      <c r="J733" s="81"/>
      <c r="K733" s="289"/>
      <c r="L733" s="289"/>
      <c r="M733" s="289"/>
      <c r="N733" s="289"/>
      <c r="O733" s="289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 ht="24" customHeight="1" x14ac:dyDescent="0.5">
      <c r="A734" s="81"/>
      <c r="B734" s="81"/>
      <c r="C734" s="81"/>
      <c r="D734" s="81"/>
      <c r="E734" s="81"/>
      <c r="F734" s="81"/>
      <c r="G734" s="81"/>
      <c r="H734" s="81"/>
      <c r="I734" s="289"/>
      <c r="J734" s="81"/>
      <c r="K734" s="289"/>
      <c r="L734" s="289"/>
      <c r="M734" s="289"/>
      <c r="N734" s="289"/>
      <c r="O734" s="289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 ht="24" customHeight="1" x14ac:dyDescent="0.5">
      <c r="A735" s="81"/>
      <c r="B735" s="81"/>
      <c r="C735" s="81"/>
      <c r="D735" s="81"/>
      <c r="E735" s="81"/>
      <c r="F735" s="81"/>
      <c r="G735" s="81"/>
      <c r="H735" s="81"/>
      <c r="I735" s="289"/>
      <c r="J735" s="81"/>
      <c r="K735" s="289"/>
      <c r="L735" s="289"/>
      <c r="M735" s="289"/>
      <c r="N735" s="289"/>
      <c r="O735" s="289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 ht="24" customHeight="1" x14ac:dyDescent="0.5">
      <c r="A736" s="81"/>
      <c r="B736" s="81"/>
      <c r="C736" s="81"/>
      <c r="D736" s="81"/>
      <c r="E736" s="81"/>
      <c r="F736" s="81"/>
      <c r="G736" s="81"/>
      <c r="H736" s="81"/>
      <c r="I736" s="289"/>
      <c r="J736" s="81"/>
      <c r="K736" s="289"/>
      <c r="L736" s="289"/>
      <c r="M736" s="289"/>
      <c r="N736" s="289"/>
      <c r="O736" s="289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 ht="24" customHeight="1" x14ac:dyDescent="0.5">
      <c r="A737" s="81"/>
      <c r="B737" s="81"/>
      <c r="C737" s="81"/>
      <c r="D737" s="81"/>
      <c r="E737" s="81"/>
      <c r="F737" s="81"/>
      <c r="G737" s="81"/>
      <c r="H737" s="81"/>
      <c r="I737" s="289"/>
      <c r="J737" s="81"/>
      <c r="K737" s="289"/>
      <c r="L737" s="289"/>
      <c r="M737" s="289"/>
      <c r="N737" s="289"/>
      <c r="O737" s="289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 ht="24" customHeight="1" x14ac:dyDescent="0.5">
      <c r="A738" s="81"/>
      <c r="B738" s="81"/>
      <c r="C738" s="81"/>
      <c r="D738" s="81"/>
      <c r="E738" s="81"/>
      <c r="F738" s="81"/>
      <c r="G738" s="81"/>
      <c r="H738" s="81"/>
      <c r="I738" s="289"/>
      <c r="J738" s="81"/>
      <c r="K738" s="289"/>
      <c r="L738" s="289"/>
      <c r="M738" s="289"/>
      <c r="N738" s="289"/>
      <c r="O738" s="289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 ht="24" customHeight="1" x14ac:dyDescent="0.5">
      <c r="A739" s="81"/>
      <c r="B739" s="81"/>
      <c r="C739" s="81"/>
      <c r="D739" s="81"/>
      <c r="E739" s="81"/>
      <c r="F739" s="81"/>
      <c r="G739" s="81"/>
      <c r="H739" s="81"/>
      <c r="I739" s="289"/>
      <c r="J739" s="81"/>
      <c r="K739" s="289"/>
      <c r="L739" s="289"/>
      <c r="M739" s="289"/>
      <c r="N739" s="289"/>
      <c r="O739" s="289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 ht="24" customHeight="1" x14ac:dyDescent="0.5">
      <c r="A740" s="81"/>
      <c r="B740" s="81"/>
      <c r="C740" s="81"/>
      <c r="D740" s="81"/>
      <c r="E740" s="81"/>
      <c r="F740" s="81"/>
      <c r="G740" s="81"/>
      <c r="H740" s="81"/>
      <c r="I740" s="289"/>
      <c r="J740" s="81"/>
      <c r="K740" s="289"/>
      <c r="L740" s="289"/>
      <c r="M740" s="289"/>
      <c r="N740" s="289"/>
      <c r="O740" s="289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 ht="24" customHeight="1" x14ac:dyDescent="0.5">
      <c r="A741" s="81"/>
      <c r="B741" s="81"/>
      <c r="C741" s="81"/>
      <c r="D741" s="81"/>
      <c r="E741" s="81"/>
      <c r="F741" s="81"/>
      <c r="G741" s="81"/>
      <c r="H741" s="81"/>
      <c r="I741" s="289"/>
      <c r="J741" s="81"/>
      <c r="K741" s="289"/>
      <c r="L741" s="289"/>
      <c r="M741" s="289"/>
      <c r="N741" s="289"/>
      <c r="O741" s="289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 ht="24" customHeight="1" x14ac:dyDescent="0.5">
      <c r="A742" s="81"/>
      <c r="B742" s="81"/>
      <c r="C742" s="81"/>
      <c r="D742" s="81"/>
      <c r="E742" s="81"/>
      <c r="F742" s="81"/>
      <c r="G742" s="81"/>
      <c r="H742" s="81"/>
      <c r="I742" s="289"/>
      <c r="J742" s="81"/>
      <c r="K742" s="289"/>
      <c r="L742" s="289"/>
      <c r="M742" s="289"/>
      <c r="N742" s="289"/>
      <c r="O742" s="289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 ht="24" customHeight="1" x14ac:dyDescent="0.5">
      <c r="A743" s="81"/>
      <c r="B743" s="81"/>
      <c r="C743" s="81"/>
      <c r="D743" s="81"/>
      <c r="E743" s="81"/>
      <c r="F743" s="81"/>
      <c r="G743" s="81"/>
      <c r="H743" s="81"/>
      <c r="I743" s="289"/>
      <c r="J743" s="81"/>
      <c r="K743" s="289"/>
      <c r="L743" s="289"/>
      <c r="M743" s="289"/>
      <c r="N743" s="289"/>
      <c r="O743" s="289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 ht="24" customHeight="1" x14ac:dyDescent="0.5">
      <c r="A744" s="81"/>
      <c r="B744" s="81"/>
      <c r="C744" s="81"/>
      <c r="D744" s="81"/>
      <c r="E744" s="81"/>
      <c r="F744" s="81"/>
      <c r="G744" s="81"/>
      <c r="H744" s="81"/>
      <c r="I744" s="289"/>
      <c r="J744" s="81"/>
      <c r="K744" s="289"/>
      <c r="L744" s="289"/>
      <c r="M744" s="289"/>
      <c r="N744" s="289"/>
      <c r="O744" s="289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 ht="24" customHeight="1" x14ac:dyDescent="0.5">
      <c r="A745" s="81"/>
      <c r="B745" s="81"/>
      <c r="C745" s="81"/>
      <c r="D745" s="81"/>
      <c r="E745" s="81"/>
      <c r="F745" s="81"/>
      <c r="G745" s="81"/>
      <c r="H745" s="81"/>
      <c r="I745" s="289"/>
      <c r="J745" s="81"/>
      <c r="K745" s="289"/>
      <c r="L745" s="289"/>
      <c r="M745" s="289"/>
      <c r="N745" s="289"/>
      <c r="O745" s="289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 ht="24" customHeight="1" x14ac:dyDescent="0.5">
      <c r="A746" s="81"/>
      <c r="B746" s="81"/>
      <c r="C746" s="81"/>
      <c r="D746" s="81"/>
      <c r="E746" s="81"/>
      <c r="F746" s="81"/>
      <c r="G746" s="81"/>
      <c r="H746" s="81"/>
      <c r="I746" s="289"/>
      <c r="J746" s="81"/>
      <c r="K746" s="289"/>
      <c r="L746" s="289"/>
      <c r="M746" s="289"/>
      <c r="N746" s="289"/>
      <c r="O746" s="289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 ht="24" customHeight="1" x14ac:dyDescent="0.5">
      <c r="A747" s="81"/>
      <c r="B747" s="81"/>
      <c r="C747" s="81"/>
      <c r="D747" s="81"/>
      <c r="E747" s="81"/>
      <c r="F747" s="81"/>
      <c r="G747" s="81"/>
      <c r="H747" s="81"/>
      <c r="I747" s="289"/>
      <c r="J747" s="81"/>
      <c r="K747" s="289"/>
      <c r="L747" s="289"/>
      <c r="M747" s="289"/>
      <c r="N747" s="289"/>
      <c r="O747" s="289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 ht="24" customHeight="1" x14ac:dyDescent="0.5">
      <c r="A748" s="81"/>
      <c r="B748" s="81"/>
      <c r="C748" s="81"/>
      <c r="D748" s="81"/>
      <c r="E748" s="81"/>
      <c r="F748" s="81"/>
      <c r="G748" s="81"/>
      <c r="H748" s="81"/>
      <c r="I748" s="289"/>
      <c r="J748" s="81"/>
      <c r="K748" s="289"/>
      <c r="L748" s="289"/>
      <c r="M748" s="289"/>
      <c r="N748" s="289"/>
      <c r="O748" s="289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 ht="24" customHeight="1" x14ac:dyDescent="0.5">
      <c r="A749" s="81"/>
      <c r="B749" s="81"/>
      <c r="C749" s="81"/>
      <c r="D749" s="81"/>
      <c r="E749" s="81"/>
      <c r="F749" s="81"/>
      <c r="G749" s="81"/>
      <c r="H749" s="81"/>
      <c r="I749" s="289"/>
      <c r="J749" s="81"/>
      <c r="K749" s="289"/>
      <c r="L749" s="289"/>
      <c r="M749" s="289"/>
      <c r="N749" s="289"/>
      <c r="O749" s="289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 ht="24" customHeight="1" x14ac:dyDescent="0.5">
      <c r="A750" s="81"/>
      <c r="B750" s="81"/>
      <c r="C750" s="81"/>
      <c r="D750" s="81"/>
      <c r="E750" s="81"/>
      <c r="F750" s="81"/>
      <c r="G750" s="81"/>
      <c r="H750" s="81"/>
      <c r="I750" s="289"/>
      <c r="J750" s="81"/>
      <c r="K750" s="289"/>
      <c r="L750" s="289"/>
      <c r="M750" s="289"/>
      <c r="N750" s="289"/>
      <c r="O750" s="289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 ht="24" customHeight="1" x14ac:dyDescent="0.5">
      <c r="A751" s="81"/>
      <c r="B751" s="81"/>
      <c r="C751" s="81"/>
      <c r="D751" s="81"/>
      <c r="E751" s="81"/>
      <c r="F751" s="81"/>
      <c r="G751" s="81"/>
      <c r="H751" s="81"/>
      <c r="I751" s="289"/>
      <c r="J751" s="81"/>
      <c r="K751" s="289"/>
      <c r="L751" s="289"/>
      <c r="M751" s="289"/>
      <c r="N751" s="289"/>
      <c r="O751" s="289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 ht="24" customHeight="1" x14ac:dyDescent="0.5">
      <c r="A752" s="81"/>
      <c r="B752" s="81"/>
      <c r="C752" s="81"/>
      <c r="D752" s="81"/>
      <c r="E752" s="81"/>
      <c r="F752" s="81"/>
      <c r="G752" s="81"/>
      <c r="H752" s="81"/>
      <c r="I752" s="289"/>
      <c r="J752" s="81"/>
      <c r="K752" s="289"/>
      <c r="L752" s="289"/>
      <c r="M752" s="289"/>
      <c r="N752" s="289"/>
      <c r="O752" s="289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 ht="24" customHeight="1" x14ac:dyDescent="0.5">
      <c r="A753" s="81"/>
      <c r="B753" s="81"/>
      <c r="C753" s="81"/>
      <c r="D753" s="81"/>
      <c r="E753" s="81"/>
      <c r="F753" s="81"/>
      <c r="G753" s="81"/>
      <c r="H753" s="81"/>
      <c r="I753" s="289"/>
      <c r="J753" s="81"/>
      <c r="K753" s="289"/>
      <c r="L753" s="289"/>
      <c r="M753" s="289"/>
      <c r="N753" s="289"/>
      <c r="O753" s="289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 ht="24" customHeight="1" x14ac:dyDescent="0.5">
      <c r="A754" s="81"/>
      <c r="B754" s="81"/>
      <c r="C754" s="81"/>
      <c r="D754" s="81"/>
      <c r="E754" s="81"/>
      <c r="F754" s="81"/>
      <c r="G754" s="81"/>
      <c r="H754" s="81"/>
      <c r="I754" s="289"/>
      <c r="J754" s="81"/>
      <c r="K754" s="289"/>
      <c r="L754" s="289"/>
      <c r="M754" s="289"/>
      <c r="N754" s="289"/>
      <c r="O754" s="289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 ht="24" customHeight="1" x14ac:dyDescent="0.5">
      <c r="A755" s="81"/>
      <c r="B755" s="81"/>
      <c r="C755" s="81"/>
      <c r="D755" s="81"/>
      <c r="E755" s="81"/>
      <c r="F755" s="81"/>
      <c r="G755" s="81"/>
      <c r="H755" s="81"/>
      <c r="I755" s="289"/>
      <c r="J755" s="81"/>
      <c r="K755" s="289"/>
      <c r="L755" s="289"/>
      <c r="M755" s="289"/>
      <c r="N755" s="289"/>
      <c r="O755" s="289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 ht="24" customHeight="1" x14ac:dyDescent="0.5">
      <c r="A756" s="81"/>
      <c r="B756" s="81"/>
      <c r="C756" s="81"/>
      <c r="D756" s="81"/>
      <c r="E756" s="81"/>
      <c r="F756" s="81"/>
      <c r="G756" s="81"/>
      <c r="H756" s="81"/>
      <c r="I756" s="289"/>
      <c r="J756" s="81"/>
      <c r="K756" s="289"/>
      <c r="L756" s="289"/>
      <c r="M756" s="289"/>
      <c r="N756" s="289"/>
      <c r="O756" s="289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 ht="24" customHeight="1" x14ac:dyDescent="0.5">
      <c r="A757" s="81"/>
      <c r="B757" s="81"/>
      <c r="C757" s="81"/>
      <c r="D757" s="81"/>
      <c r="E757" s="81"/>
      <c r="F757" s="81"/>
      <c r="G757" s="81"/>
      <c r="H757" s="81"/>
      <c r="I757" s="289"/>
      <c r="J757" s="81"/>
      <c r="K757" s="289"/>
      <c r="L757" s="289"/>
      <c r="M757" s="289"/>
      <c r="N757" s="289"/>
      <c r="O757" s="289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 ht="24" customHeight="1" x14ac:dyDescent="0.5">
      <c r="A758" s="81"/>
      <c r="B758" s="81"/>
      <c r="C758" s="81"/>
      <c r="D758" s="81"/>
      <c r="E758" s="81"/>
      <c r="F758" s="81"/>
      <c r="G758" s="81"/>
      <c r="H758" s="81"/>
      <c r="I758" s="289"/>
      <c r="J758" s="81"/>
      <c r="K758" s="289"/>
      <c r="L758" s="289"/>
      <c r="M758" s="289"/>
      <c r="N758" s="289"/>
      <c r="O758" s="289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 ht="24" customHeight="1" x14ac:dyDescent="0.5">
      <c r="A759" s="81"/>
      <c r="B759" s="81"/>
      <c r="C759" s="81"/>
      <c r="D759" s="81"/>
      <c r="E759" s="81"/>
      <c r="F759" s="81"/>
      <c r="G759" s="81"/>
      <c r="H759" s="81"/>
      <c r="I759" s="289"/>
      <c r="J759" s="81"/>
      <c r="K759" s="289"/>
      <c r="L759" s="289"/>
      <c r="M759" s="289"/>
      <c r="N759" s="289"/>
      <c r="O759" s="289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 ht="24" customHeight="1" x14ac:dyDescent="0.5">
      <c r="A760" s="81"/>
      <c r="B760" s="81"/>
      <c r="C760" s="81"/>
      <c r="D760" s="81"/>
      <c r="E760" s="81"/>
      <c r="F760" s="81"/>
      <c r="G760" s="81"/>
      <c r="H760" s="81"/>
      <c r="I760" s="289"/>
      <c r="J760" s="81"/>
      <c r="K760" s="289"/>
      <c r="L760" s="289"/>
      <c r="M760" s="289"/>
      <c r="N760" s="289"/>
      <c r="O760" s="289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 ht="24" customHeight="1" x14ac:dyDescent="0.5">
      <c r="A761" s="81"/>
      <c r="B761" s="81"/>
      <c r="C761" s="81"/>
      <c r="D761" s="81"/>
      <c r="E761" s="81"/>
      <c r="F761" s="81"/>
      <c r="G761" s="81"/>
      <c r="H761" s="81"/>
      <c r="I761" s="289"/>
      <c r="J761" s="81"/>
      <c r="K761" s="289"/>
      <c r="L761" s="289"/>
      <c r="M761" s="289"/>
      <c r="N761" s="289"/>
      <c r="O761" s="289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 ht="24" customHeight="1" x14ac:dyDescent="0.5">
      <c r="A762" s="81"/>
      <c r="B762" s="81"/>
      <c r="C762" s="81"/>
      <c r="D762" s="81"/>
      <c r="E762" s="81"/>
      <c r="F762" s="81"/>
      <c r="G762" s="81"/>
      <c r="H762" s="81"/>
      <c r="I762" s="289"/>
      <c r="J762" s="81"/>
      <c r="K762" s="289"/>
      <c r="L762" s="289"/>
      <c r="M762" s="289"/>
      <c r="N762" s="289"/>
      <c r="O762" s="289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 ht="24" customHeight="1" x14ac:dyDescent="0.5">
      <c r="A763" s="81"/>
      <c r="B763" s="81"/>
      <c r="C763" s="81"/>
      <c r="D763" s="81"/>
      <c r="E763" s="81"/>
      <c r="F763" s="81"/>
      <c r="G763" s="81"/>
      <c r="H763" s="81"/>
      <c r="I763" s="289"/>
      <c r="J763" s="81"/>
      <c r="K763" s="289"/>
      <c r="L763" s="289"/>
      <c r="M763" s="289"/>
      <c r="N763" s="289"/>
      <c r="O763" s="289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 ht="24" customHeight="1" x14ac:dyDescent="0.5">
      <c r="A764" s="81"/>
      <c r="B764" s="81"/>
      <c r="C764" s="81"/>
      <c r="D764" s="81"/>
      <c r="E764" s="81"/>
      <c r="F764" s="81"/>
      <c r="G764" s="81"/>
      <c r="H764" s="81"/>
      <c r="I764" s="289"/>
      <c r="J764" s="81"/>
      <c r="K764" s="289"/>
      <c r="L764" s="289"/>
      <c r="M764" s="289"/>
      <c r="N764" s="289"/>
      <c r="O764" s="289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 ht="24" customHeight="1" x14ac:dyDescent="0.5">
      <c r="A765" s="81"/>
      <c r="B765" s="81"/>
      <c r="C765" s="81"/>
      <c r="D765" s="81"/>
      <c r="E765" s="81"/>
      <c r="F765" s="81"/>
      <c r="G765" s="81"/>
      <c r="H765" s="81"/>
      <c r="I765" s="289"/>
      <c r="J765" s="81"/>
      <c r="K765" s="289"/>
      <c r="L765" s="289"/>
      <c r="M765" s="289"/>
      <c r="N765" s="289"/>
      <c r="O765" s="289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 ht="24" customHeight="1" x14ac:dyDescent="0.5">
      <c r="A766" s="81"/>
      <c r="B766" s="81"/>
      <c r="C766" s="81"/>
      <c r="D766" s="81"/>
      <c r="E766" s="81"/>
      <c r="F766" s="81"/>
      <c r="G766" s="81"/>
      <c r="H766" s="81"/>
      <c r="I766" s="289"/>
      <c r="J766" s="81"/>
      <c r="K766" s="289"/>
      <c r="L766" s="289"/>
      <c r="M766" s="289"/>
      <c r="N766" s="289"/>
      <c r="O766" s="289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 ht="24" customHeight="1" x14ac:dyDescent="0.5">
      <c r="A767" s="81"/>
      <c r="B767" s="81"/>
      <c r="C767" s="81"/>
      <c r="D767" s="81"/>
      <c r="E767" s="81"/>
      <c r="F767" s="81"/>
      <c r="G767" s="81"/>
      <c r="H767" s="81"/>
      <c r="I767" s="289"/>
      <c r="J767" s="81"/>
      <c r="K767" s="289"/>
      <c r="L767" s="289"/>
      <c r="M767" s="289"/>
      <c r="N767" s="289"/>
      <c r="O767" s="289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 ht="24" customHeight="1" x14ac:dyDescent="0.5">
      <c r="A768" s="81"/>
      <c r="B768" s="81"/>
      <c r="C768" s="81"/>
      <c r="D768" s="81"/>
      <c r="E768" s="81"/>
      <c r="F768" s="81"/>
      <c r="G768" s="81"/>
      <c r="H768" s="81"/>
      <c r="I768" s="289"/>
      <c r="J768" s="81"/>
      <c r="K768" s="289"/>
      <c r="L768" s="289"/>
      <c r="M768" s="289"/>
      <c r="N768" s="289"/>
      <c r="O768" s="289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 ht="24" customHeight="1" x14ac:dyDescent="0.5">
      <c r="A769" s="81"/>
      <c r="B769" s="81"/>
      <c r="C769" s="81"/>
      <c r="D769" s="81"/>
      <c r="E769" s="81"/>
      <c r="F769" s="81"/>
      <c r="G769" s="81"/>
      <c r="H769" s="81"/>
      <c r="I769" s="289"/>
      <c r="J769" s="81"/>
      <c r="K769" s="289"/>
      <c r="L769" s="289"/>
      <c r="M769" s="289"/>
      <c r="N769" s="289"/>
      <c r="O769" s="289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 ht="24" customHeight="1" x14ac:dyDescent="0.5">
      <c r="A770" s="81"/>
      <c r="B770" s="81"/>
      <c r="C770" s="81"/>
      <c r="D770" s="81"/>
      <c r="E770" s="81"/>
      <c r="F770" s="81"/>
      <c r="G770" s="81"/>
      <c r="H770" s="81"/>
      <c r="I770" s="289"/>
      <c r="J770" s="81"/>
      <c r="K770" s="289"/>
      <c r="L770" s="289"/>
      <c r="M770" s="289"/>
      <c r="N770" s="289"/>
      <c r="O770" s="289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 ht="24" customHeight="1" x14ac:dyDescent="0.5">
      <c r="A771" s="81"/>
      <c r="B771" s="81"/>
      <c r="C771" s="81"/>
      <c r="D771" s="81"/>
      <c r="E771" s="81"/>
      <c r="F771" s="81"/>
      <c r="G771" s="81"/>
      <c r="H771" s="81"/>
      <c r="I771" s="289"/>
      <c r="J771" s="81"/>
      <c r="K771" s="289"/>
      <c r="L771" s="289"/>
      <c r="M771" s="289"/>
      <c r="N771" s="289"/>
      <c r="O771" s="289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 ht="24" customHeight="1" x14ac:dyDescent="0.5">
      <c r="A772" s="81"/>
      <c r="B772" s="81"/>
      <c r="C772" s="81"/>
      <c r="D772" s="81"/>
      <c r="E772" s="81"/>
      <c r="F772" s="81"/>
      <c r="G772" s="81"/>
      <c r="H772" s="81"/>
      <c r="I772" s="289"/>
      <c r="J772" s="81"/>
      <c r="K772" s="289"/>
      <c r="L772" s="289"/>
      <c r="M772" s="289"/>
      <c r="N772" s="289"/>
      <c r="O772" s="289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 ht="24" customHeight="1" x14ac:dyDescent="0.5">
      <c r="A773" s="81"/>
      <c r="B773" s="81"/>
      <c r="C773" s="81"/>
      <c r="D773" s="81"/>
      <c r="E773" s="81"/>
      <c r="F773" s="81"/>
      <c r="G773" s="81"/>
      <c r="H773" s="81"/>
      <c r="I773" s="289"/>
      <c r="J773" s="81"/>
      <c r="K773" s="289"/>
      <c r="L773" s="289"/>
      <c r="M773" s="289"/>
      <c r="N773" s="289"/>
      <c r="O773" s="289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 ht="24" customHeight="1" x14ac:dyDescent="0.5">
      <c r="A774" s="81"/>
      <c r="B774" s="81"/>
      <c r="C774" s="81"/>
      <c r="D774" s="81"/>
      <c r="E774" s="81"/>
      <c r="F774" s="81"/>
      <c r="G774" s="81"/>
      <c r="H774" s="81"/>
      <c r="I774" s="289"/>
      <c r="J774" s="81"/>
      <c r="K774" s="289"/>
      <c r="L774" s="289"/>
      <c r="M774" s="289"/>
      <c r="N774" s="289"/>
      <c r="O774" s="289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 ht="24" customHeight="1" x14ac:dyDescent="0.5">
      <c r="A775" s="81"/>
      <c r="B775" s="81"/>
      <c r="C775" s="81"/>
      <c r="D775" s="81"/>
      <c r="E775" s="81"/>
      <c r="F775" s="81"/>
      <c r="G775" s="81"/>
      <c r="H775" s="81"/>
      <c r="I775" s="289"/>
      <c r="J775" s="81"/>
      <c r="K775" s="289"/>
      <c r="L775" s="289"/>
      <c r="M775" s="289"/>
      <c r="N775" s="289"/>
      <c r="O775" s="289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 ht="24" customHeight="1" x14ac:dyDescent="0.5">
      <c r="A776" s="81"/>
      <c r="B776" s="81"/>
      <c r="C776" s="81"/>
      <c r="D776" s="81"/>
      <c r="E776" s="81"/>
      <c r="F776" s="81"/>
      <c r="G776" s="81"/>
      <c r="H776" s="81"/>
      <c r="I776" s="289"/>
      <c r="J776" s="81"/>
      <c r="K776" s="289"/>
      <c r="L776" s="289"/>
      <c r="M776" s="289"/>
      <c r="N776" s="289"/>
      <c r="O776" s="289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 ht="24" customHeight="1" x14ac:dyDescent="0.5">
      <c r="A777" s="81"/>
      <c r="B777" s="81"/>
      <c r="C777" s="81"/>
      <c r="D777" s="81"/>
      <c r="E777" s="81"/>
      <c r="F777" s="81"/>
      <c r="G777" s="81"/>
      <c r="H777" s="81"/>
      <c r="I777" s="289"/>
      <c r="J777" s="81"/>
      <c r="K777" s="289"/>
      <c r="L777" s="289"/>
      <c r="M777" s="289"/>
      <c r="N777" s="289"/>
      <c r="O777" s="289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 ht="24" customHeight="1" x14ac:dyDescent="0.5">
      <c r="A778" s="81"/>
      <c r="B778" s="81"/>
      <c r="C778" s="81"/>
      <c r="D778" s="81"/>
      <c r="E778" s="81"/>
      <c r="F778" s="81"/>
      <c r="G778" s="81"/>
      <c r="H778" s="81"/>
      <c r="I778" s="289"/>
      <c r="J778" s="81"/>
      <c r="K778" s="289"/>
      <c r="L778" s="289"/>
      <c r="M778" s="289"/>
      <c r="N778" s="289"/>
      <c r="O778" s="289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 ht="24" customHeight="1" x14ac:dyDescent="0.5">
      <c r="A779" s="81"/>
      <c r="B779" s="81"/>
      <c r="C779" s="81"/>
      <c r="D779" s="81"/>
      <c r="E779" s="81"/>
      <c r="F779" s="81"/>
      <c r="G779" s="81"/>
      <c r="H779" s="81"/>
      <c r="I779" s="289"/>
      <c r="J779" s="81"/>
      <c r="K779" s="289"/>
      <c r="L779" s="289"/>
      <c r="M779" s="289"/>
      <c r="N779" s="289"/>
      <c r="O779" s="289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 ht="24" customHeight="1" x14ac:dyDescent="0.5">
      <c r="A780" s="81"/>
      <c r="B780" s="81"/>
      <c r="C780" s="81"/>
      <c r="D780" s="81"/>
      <c r="E780" s="81"/>
      <c r="F780" s="81"/>
      <c r="G780" s="81"/>
      <c r="H780" s="81"/>
      <c r="I780" s="289"/>
      <c r="J780" s="81"/>
      <c r="K780" s="289"/>
      <c r="L780" s="289"/>
      <c r="M780" s="289"/>
      <c r="N780" s="289"/>
      <c r="O780" s="289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 ht="24" customHeight="1" x14ac:dyDescent="0.5">
      <c r="A781" s="81"/>
      <c r="B781" s="81"/>
      <c r="C781" s="81"/>
      <c r="D781" s="81"/>
      <c r="E781" s="81"/>
      <c r="F781" s="81"/>
      <c r="G781" s="81"/>
      <c r="H781" s="81"/>
      <c r="I781" s="289"/>
      <c r="J781" s="81"/>
      <c r="K781" s="289"/>
      <c r="L781" s="289"/>
      <c r="M781" s="289"/>
      <c r="N781" s="289"/>
      <c r="O781" s="289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 ht="24" customHeight="1" x14ac:dyDescent="0.5">
      <c r="A782" s="81"/>
      <c r="B782" s="81"/>
      <c r="C782" s="81"/>
      <c r="D782" s="81"/>
      <c r="E782" s="81"/>
      <c r="F782" s="81"/>
      <c r="G782" s="81"/>
      <c r="H782" s="81"/>
      <c r="I782" s="289"/>
      <c r="J782" s="81"/>
      <c r="K782" s="289"/>
      <c r="L782" s="289"/>
      <c r="M782" s="289"/>
      <c r="N782" s="289"/>
      <c r="O782" s="289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 ht="24" customHeight="1" x14ac:dyDescent="0.5">
      <c r="A783" s="81"/>
      <c r="B783" s="81"/>
      <c r="C783" s="81"/>
      <c r="D783" s="81"/>
      <c r="E783" s="81"/>
      <c r="F783" s="81"/>
      <c r="G783" s="81"/>
      <c r="H783" s="81"/>
      <c r="I783" s="289"/>
      <c r="J783" s="81"/>
      <c r="K783" s="289"/>
      <c r="L783" s="289"/>
      <c r="M783" s="289"/>
      <c r="N783" s="289"/>
      <c r="O783" s="289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 ht="24" customHeight="1" x14ac:dyDescent="0.5">
      <c r="A784" s="81"/>
      <c r="B784" s="81"/>
      <c r="C784" s="81"/>
      <c r="D784" s="81"/>
      <c r="E784" s="81"/>
      <c r="F784" s="81"/>
      <c r="G784" s="81"/>
      <c r="H784" s="81"/>
      <c r="I784" s="289"/>
      <c r="J784" s="81"/>
      <c r="K784" s="289"/>
      <c r="L784" s="289"/>
      <c r="M784" s="289"/>
      <c r="N784" s="289"/>
      <c r="O784" s="289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 ht="24" customHeight="1" x14ac:dyDescent="0.5">
      <c r="A785" s="81"/>
      <c r="B785" s="81"/>
      <c r="C785" s="81"/>
      <c r="D785" s="81"/>
      <c r="E785" s="81"/>
      <c r="F785" s="81"/>
      <c r="G785" s="81"/>
      <c r="H785" s="81"/>
      <c r="I785" s="289"/>
      <c r="J785" s="81"/>
      <c r="K785" s="289"/>
      <c r="L785" s="289"/>
      <c r="M785" s="289"/>
      <c r="N785" s="289"/>
      <c r="O785" s="289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 ht="24" customHeight="1" x14ac:dyDescent="0.5">
      <c r="A786" s="81"/>
      <c r="B786" s="81"/>
      <c r="C786" s="81"/>
      <c r="D786" s="81"/>
      <c r="E786" s="81"/>
      <c r="F786" s="81"/>
      <c r="G786" s="81"/>
      <c r="H786" s="81"/>
      <c r="I786" s="289"/>
      <c r="J786" s="81"/>
      <c r="K786" s="289"/>
      <c r="L786" s="289"/>
      <c r="M786" s="289"/>
      <c r="N786" s="289"/>
      <c r="O786" s="289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 ht="24" customHeight="1" x14ac:dyDescent="0.5">
      <c r="A787" s="81"/>
      <c r="B787" s="81"/>
      <c r="C787" s="81"/>
      <c r="D787" s="81"/>
      <c r="E787" s="81"/>
      <c r="F787" s="81"/>
      <c r="G787" s="81"/>
      <c r="H787" s="81"/>
      <c r="I787" s="289"/>
      <c r="J787" s="81"/>
      <c r="K787" s="289"/>
      <c r="L787" s="289"/>
      <c r="M787" s="289"/>
      <c r="N787" s="289"/>
      <c r="O787" s="289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 ht="24" customHeight="1" x14ac:dyDescent="0.5">
      <c r="A788" s="81"/>
      <c r="B788" s="81"/>
      <c r="C788" s="81"/>
      <c r="D788" s="81"/>
      <c r="E788" s="81"/>
      <c r="F788" s="81"/>
      <c r="G788" s="81"/>
      <c r="H788" s="81"/>
      <c r="I788" s="289"/>
      <c r="J788" s="81"/>
      <c r="K788" s="289"/>
      <c r="L788" s="289"/>
      <c r="M788" s="289"/>
      <c r="N788" s="289"/>
      <c r="O788" s="289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 ht="24" customHeight="1" x14ac:dyDescent="0.5">
      <c r="A789" s="81"/>
      <c r="B789" s="81"/>
      <c r="C789" s="81"/>
      <c r="D789" s="81"/>
      <c r="E789" s="81"/>
      <c r="F789" s="81"/>
      <c r="G789" s="81"/>
      <c r="H789" s="81"/>
      <c r="I789" s="289"/>
      <c r="J789" s="81"/>
      <c r="K789" s="289"/>
      <c r="L789" s="289"/>
      <c r="M789" s="289"/>
      <c r="N789" s="289"/>
      <c r="O789" s="289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 ht="24" customHeight="1" x14ac:dyDescent="0.5">
      <c r="A790" s="81"/>
      <c r="B790" s="81"/>
      <c r="C790" s="81"/>
      <c r="D790" s="81"/>
      <c r="E790" s="81"/>
      <c r="F790" s="81"/>
      <c r="G790" s="81"/>
      <c r="H790" s="81"/>
      <c r="I790" s="289"/>
      <c r="J790" s="81"/>
      <c r="K790" s="289"/>
      <c r="L790" s="289"/>
      <c r="M790" s="289"/>
      <c r="N790" s="289"/>
      <c r="O790" s="289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 ht="24" customHeight="1" x14ac:dyDescent="0.5">
      <c r="A791" s="81"/>
      <c r="B791" s="81"/>
      <c r="C791" s="81"/>
      <c r="D791" s="81"/>
      <c r="E791" s="81"/>
      <c r="F791" s="81"/>
      <c r="G791" s="81"/>
      <c r="H791" s="81"/>
      <c r="I791" s="289"/>
      <c r="J791" s="81"/>
      <c r="K791" s="289"/>
      <c r="L791" s="289"/>
      <c r="M791" s="289"/>
      <c r="N791" s="289"/>
      <c r="O791" s="289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 ht="24" customHeight="1" x14ac:dyDescent="0.5">
      <c r="A792" s="81"/>
      <c r="B792" s="81"/>
      <c r="C792" s="81"/>
      <c r="D792" s="81"/>
      <c r="E792" s="81"/>
      <c r="F792" s="81"/>
      <c r="G792" s="81"/>
      <c r="H792" s="81"/>
      <c r="I792" s="289"/>
      <c r="J792" s="81"/>
      <c r="K792" s="289"/>
      <c r="L792" s="289"/>
      <c r="M792" s="289"/>
      <c r="N792" s="289"/>
      <c r="O792" s="289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 ht="24" customHeight="1" x14ac:dyDescent="0.5">
      <c r="A793" s="81"/>
      <c r="B793" s="81"/>
      <c r="C793" s="81"/>
      <c r="D793" s="81"/>
      <c r="E793" s="81"/>
      <c r="F793" s="81"/>
      <c r="G793" s="81"/>
      <c r="H793" s="81"/>
      <c r="I793" s="289"/>
      <c r="J793" s="81"/>
      <c r="K793" s="289"/>
      <c r="L793" s="289"/>
      <c r="M793" s="289"/>
      <c r="N793" s="289"/>
      <c r="O793" s="289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 ht="24" customHeight="1" x14ac:dyDescent="0.5">
      <c r="A794" s="81"/>
      <c r="B794" s="81"/>
      <c r="C794" s="81"/>
      <c r="D794" s="81"/>
      <c r="E794" s="81"/>
      <c r="F794" s="81"/>
      <c r="G794" s="81"/>
      <c r="H794" s="81"/>
      <c r="I794" s="289"/>
      <c r="J794" s="81"/>
      <c r="K794" s="289"/>
      <c r="L794" s="289"/>
      <c r="M794" s="289"/>
      <c r="N794" s="289"/>
      <c r="O794" s="289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 ht="24" customHeight="1" x14ac:dyDescent="0.5">
      <c r="A795" s="81"/>
      <c r="B795" s="81"/>
      <c r="C795" s="81"/>
      <c r="D795" s="81"/>
      <c r="E795" s="81"/>
      <c r="F795" s="81"/>
      <c r="G795" s="81"/>
      <c r="H795" s="81"/>
      <c r="I795" s="289"/>
      <c r="J795" s="81"/>
      <c r="K795" s="289"/>
      <c r="L795" s="289"/>
      <c r="M795" s="289"/>
      <c r="N795" s="289"/>
      <c r="O795" s="289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 ht="24" customHeight="1" x14ac:dyDescent="0.5">
      <c r="A796" s="81"/>
      <c r="B796" s="81"/>
      <c r="C796" s="81"/>
      <c r="D796" s="81"/>
      <c r="E796" s="81"/>
      <c r="F796" s="81"/>
      <c r="G796" s="81"/>
      <c r="H796" s="81"/>
      <c r="I796" s="289"/>
      <c r="J796" s="81"/>
      <c r="K796" s="289"/>
      <c r="L796" s="289"/>
      <c r="M796" s="289"/>
      <c r="N796" s="289"/>
      <c r="O796" s="289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 ht="24" customHeight="1" x14ac:dyDescent="0.5">
      <c r="A797" s="81"/>
      <c r="B797" s="81"/>
      <c r="C797" s="81"/>
      <c r="D797" s="81"/>
      <c r="E797" s="81"/>
      <c r="F797" s="81"/>
      <c r="G797" s="81"/>
      <c r="H797" s="81"/>
      <c r="I797" s="289"/>
      <c r="J797" s="81"/>
      <c r="K797" s="289"/>
      <c r="L797" s="289"/>
      <c r="M797" s="289"/>
      <c r="N797" s="289"/>
      <c r="O797" s="289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 ht="24" customHeight="1" x14ac:dyDescent="0.5">
      <c r="A798" s="81"/>
      <c r="B798" s="81"/>
      <c r="C798" s="81"/>
      <c r="D798" s="81"/>
      <c r="E798" s="81"/>
      <c r="F798" s="81"/>
      <c r="G798" s="81"/>
      <c r="H798" s="81"/>
      <c r="I798" s="289"/>
      <c r="J798" s="81"/>
      <c r="K798" s="289"/>
      <c r="L798" s="289"/>
      <c r="M798" s="289"/>
      <c r="N798" s="289"/>
      <c r="O798" s="289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 ht="24" customHeight="1" x14ac:dyDescent="0.5">
      <c r="A799" s="81"/>
      <c r="B799" s="81"/>
      <c r="C799" s="81"/>
      <c r="D799" s="81"/>
      <c r="E799" s="81"/>
      <c r="F799" s="81"/>
      <c r="G799" s="81"/>
      <c r="H799" s="81"/>
      <c r="I799" s="289"/>
      <c r="J799" s="81"/>
      <c r="K799" s="289"/>
      <c r="L799" s="289"/>
      <c r="M799" s="289"/>
      <c r="N799" s="289"/>
      <c r="O799" s="289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 ht="24" customHeight="1" x14ac:dyDescent="0.5">
      <c r="A800" s="81"/>
      <c r="B800" s="81"/>
      <c r="C800" s="81"/>
      <c r="D800" s="81"/>
      <c r="E800" s="81"/>
      <c r="F800" s="81"/>
      <c r="G800" s="81"/>
      <c r="H800" s="81"/>
      <c r="I800" s="289"/>
      <c r="J800" s="81"/>
      <c r="K800" s="289"/>
      <c r="L800" s="289"/>
      <c r="M800" s="289"/>
      <c r="N800" s="289"/>
      <c r="O800" s="289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 ht="24" customHeight="1" x14ac:dyDescent="0.5">
      <c r="A801" s="81"/>
      <c r="B801" s="81"/>
      <c r="C801" s="81"/>
      <c r="D801" s="81"/>
      <c r="E801" s="81"/>
      <c r="F801" s="81"/>
      <c r="G801" s="81"/>
      <c r="H801" s="81"/>
      <c r="I801" s="289"/>
      <c r="J801" s="81"/>
      <c r="K801" s="289"/>
      <c r="L801" s="289"/>
      <c r="M801" s="289"/>
      <c r="N801" s="289"/>
      <c r="O801" s="289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 ht="24" customHeight="1" x14ac:dyDescent="0.5">
      <c r="A802" s="81"/>
      <c r="B802" s="81"/>
      <c r="C802" s="81"/>
      <c r="D802" s="81"/>
      <c r="E802" s="81"/>
      <c r="F802" s="81"/>
      <c r="G802" s="81"/>
      <c r="H802" s="81"/>
      <c r="I802" s="289"/>
      <c r="J802" s="81"/>
      <c r="K802" s="289"/>
      <c r="L802" s="289"/>
      <c r="M802" s="289"/>
      <c r="N802" s="289"/>
      <c r="O802" s="289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 ht="24" customHeight="1" x14ac:dyDescent="0.5">
      <c r="A803" s="81"/>
      <c r="B803" s="81"/>
      <c r="C803" s="81"/>
      <c r="D803" s="81"/>
      <c r="E803" s="81"/>
      <c r="F803" s="81"/>
      <c r="G803" s="81"/>
      <c r="H803" s="81"/>
      <c r="I803" s="289"/>
      <c r="J803" s="81"/>
      <c r="K803" s="289"/>
      <c r="L803" s="289"/>
      <c r="M803" s="289"/>
      <c r="N803" s="289"/>
      <c r="O803" s="289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 ht="24" customHeight="1" x14ac:dyDescent="0.5">
      <c r="A804" s="81"/>
      <c r="B804" s="81"/>
      <c r="C804" s="81"/>
      <c r="D804" s="81"/>
      <c r="E804" s="81"/>
      <c r="F804" s="81"/>
      <c r="G804" s="81"/>
      <c r="H804" s="81"/>
      <c r="I804" s="289"/>
      <c r="J804" s="81"/>
      <c r="K804" s="289"/>
      <c r="L804" s="289"/>
      <c r="M804" s="289"/>
      <c r="N804" s="289"/>
      <c r="O804" s="289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 ht="24" customHeight="1" x14ac:dyDescent="0.5">
      <c r="A805" s="81"/>
      <c r="B805" s="81"/>
      <c r="C805" s="81"/>
      <c r="D805" s="81"/>
      <c r="E805" s="81"/>
      <c r="F805" s="81"/>
      <c r="G805" s="81"/>
      <c r="H805" s="81"/>
      <c r="I805" s="289"/>
      <c r="J805" s="81"/>
      <c r="K805" s="289"/>
      <c r="L805" s="289"/>
      <c r="M805" s="289"/>
      <c r="N805" s="289"/>
      <c r="O805" s="289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 ht="24" customHeight="1" x14ac:dyDescent="0.5">
      <c r="A806" s="81"/>
      <c r="B806" s="81"/>
      <c r="C806" s="81"/>
      <c r="D806" s="81"/>
      <c r="E806" s="81"/>
      <c r="F806" s="81"/>
      <c r="G806" s="81"/>
      <c r="H806" s="81"/>
      <c r="I806" s="289"/>
      <c r="J806" s="81"/>
      <c r="K806" s="289"/>
      <c r="L806" s="289"/>
      <c r="M806" s="289"/>
      <c r="N806" s="289"/>
      <c r="O806" s="289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 ht="24" customHeight="1" x14ac:dyDescent="0.5">
      <c r="A807" s="81"/>
      <c r="B807" s="81"/>
      <c r="C807" s="81"/>
      <c r="D807" s="81"/>
      <c r="E807" s="81"/>
      <c r="F807" s="81"/>
      <c r="G807" s="81"/>
      <c r="H807" s="81"/>
      <c r="I807" s="289"/>
      <c r="J807" s="81"/>
      <c r="K807" s="289"/>
      <c r="L807" s="289"/>
      <c r="M807" s="289"/>
      <c r="N807" s="289"/>
      <c r="O807" s="289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 ht="24" customHeight="1" x14ac:dyDescent="0.5">
      <c r="A808" s="81"/>
      <c r="B808" s="81"/>
      <c r="C808" s="81"/>
      <c r="D808" s="81"/>
      <c r="E808" s="81"/>
      <c r="F808" s="81"/>
      <c r="G808" s="81"/>
      <c r="H808" s="81"/>
      <c r="I808" s="289"/>
      <c r="J808" s="81"/>
      <c r="K808" s="289"/>
      <c r="L808" s="289"/>
      <c r="M808" s="289"/>
      <c r="N808" s="289"/>
      <c r="O808" s="289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 ht="24" customHeight="1" x14ac:dyDescent="0.5">
      <c r="A809" s="81"/>
      <c r="B809" s="81"/>
      <c r="C809" s="81"/>
      <c r="D809" s="81"/>
      <c r="E809" s="81"/>
      <c r="F809" s="81"/>
      <c r="G809" s="81"/>
      <c r="H809" s="81"/>
      <c r="I809" s="289"/>
      <c r="J809" s="81"/>
      <c r="K809" s="289"/>
      <c r="L809" s="289"/>
      <c r="M809" s="289"/>
      <c r="N809" s="289"/>
      <c r="O809" s="289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 ht="24" customHeight="1" x14ac:dyDescent="0.5">
      <c r="A810" s="81"/>
      <c r="B810" s="81"/>
      <c r="C810" s="81"/>
      <c r="D810" s="81"/>
      <c r="E810" s="81"/>
      <c r="F810" s="81"/>
      <c r="G810" s="81"/>
      <c r="H810" s="81"/>
      <c r="I810" s="289"/>
      <c r="J810" s="81"/>
      <c r="K810" s="289"/>
      <c r="L810" s="289"/>
      <c r="M810" s="289"/>
      <c r="N810" s="289"/>
      <c r="O810" s="289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 ht="24" customHeight="1" x14ac:dyDescent="0.5">
      <c r="A811" s="81"/>
      <c r="B811" s="81"/>
      <c r="C811" s="81"/>
      <c r="D811" s="81"/>
      <c r="E811" s="81"/>
      <c r="F811" s="81"/>
      <c r="G811" s="81"/>
      <c r="H811" s="81"/>
      <c r="I811" s="289"/>
      <c r="J811" s="81"/>
      <c r="K811" s="289"/>
      <c r="L811" s="289"/>
      <c r="M811" s="289"/>
      <c r="N811" s="289"/>
      <c r="O811" s="289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 ht="24" customHeight="1" x14ac:dyDescent="0.5">
      <c r="A812" s="81"/>
      <c r="B812" s="81"/>
      <c r="C812" s="81"/>
      <c r="D812" s="81"/>
      <c r="E812" s="81"/>
      <c r="F812" s="81"/>
      <c r="G812" s="81"/>
      <c r="H812" s="81"/>
      <c r="I812" s="289"/>
      <c r="J812" s="81"/>
      <c r="K812" s="289"/>
      <c r="L812" s="289"/>
      <c r="M812" s="289"/>
      <c r="N812" s="289"/>
      <c r="O812" s="289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 ht="24" customHeight="1" x14ac:dyDescent="0.5">
      <c r="A813" s="81"/>
      <c r="B813" s="81"/>
      <c r="C813" s="81"/>
      <c r="D813" s="81"/>
      <c r="E813" s="81"/>
      <c r="F813" s="81"/>
      <c r="G813" s="81"/>
      <c r="H813" s="81"/>
      <c r="I813" s="289"/>
      <c r="J813" s="81"/>
      <c r="K813" s="289"/>
      <c r="L813" s="289"/>
      <c r="M813" s="289"/>
      <c r="N813" s="289"/>
      <c r="O813" s="289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 ht="24" customHeight="1" x14ac:dyDescent="0.5">
      <c r="A814" s="81"/>
      <c r="B814" s="81"/>
      <c r="C814" s="81"/>
      <c r="D814" s="81"/>
      <c r="E814" s="81"/>
      <c r="F814" s="81"/>
      <c r="G814" s="81"/>
      <c r="H814" s="81"/>
      <c r="I814" s="289"/>
      <c r="J814" s="81"/>
      <c r="K814" s="289"/>
      <c r="L814" s="289"/>
      <c r="M814" s="289"/>
      <c r="N814" s="289"/>
      <c r="O814" s="289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 ht="24" customHeight="1" x14ac:dyDescent="0.5">
      <c r="A815" s="81"/>
      <c r="B815" s="81"/>
      <c r="C815" s="81"/>
      <c r="D815" s="81"/>
      <c r="E815" s="81"/>
      <c r="F815" s="81"/>
      <c r="G815" s="81"/>
      <c r="H815" s="81"/>
      <c r="I815" s="289"/>
      <c r="J815" s="81"/>
      <c r="K815" s="289"/>
      <c r="L815" s="289"/>
      <c r="M815" s="289"/>
      <c r="N815" s="289"/>
      <c r="O815" s="289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 ht="24" customHeight="1" x14ac:dyDescent="0.5">
      <c r="A816" s="81"/>
      <c r="B816" s="81"/>
      <c r="C816" s="81"/>
      <c r="D816" s="81"/>
      <c r="E816" s="81"/>
      <c r="F816" s="81"/>
      <c r="G816" s="81"/>
      <c r="H816" s="81"/>
      <c r="I816" s="289"/>
      <c r="J816" s="81"/>
      <c r="K816" s="289"/>
      <c r="L816" s="289"/>
      <c r="M816" s="289"/>
      <c r="N816" s="289"/>
      <c r="O816" s="289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 ht="24" customHeight="1" x14ac:dyDescent="0.5">
      <c r="A817" s="81"/>
      <c r="B817" s="81"/>
      <c r="C817" s="81"/>
      <c r="D817" s="81"/>
      <c r="E817" s="81"/>
      <c r="F817" s="81"/>
      <c r="G817" s="81"/>
      <c r="H817" s="81"/>
      <c r="I817" s="289"/>
      <c r="J817" s="81"/>
      <c r="K817" s="289"/>
      <c r="L817" s="289"/>
      <c r="M817" s="289"/>
      <c r="N817" s="289"/>
      <c r="O817" s="289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 ht="24" customHeight="1" x14ac:dyDescent="0.5">
      <c r="A818" s="81"/>
      <c r="B818" s="81"/>
      <c r="C818" s="81"/>
      <c r="D818" s="81"/>
      <c r="E818" s="81"/>
      <c r="F818" s="81"/>
      <c r="G818" s="81"/>
      <c r="H818" s="81"/>
      <c r="I818" s="289"/>
      <c r="J818" s="81"/>
      <c r="K818" s="289"/>
      <c r="L818" s="289"/>
      <c r="M818" s="289"/>
      <c r="N818" s="289"/>
      <c r="O818" s="289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 ht="24" customHeight="1" x14ac:dyDescent="0.5">
      <c r="A819" s="81"/>
      <c r="B819" s="81"/>
      <c r="C819" s="81"/>
      <c r="D819" s="81"/>
      <c r="E819" s="81"/>
      <c r="F819" s="81"/>
      <c r="G819" s="81"/>
      <c r="H819" s="81"/>
      <c r="I819" s="289"/>
      <c r="J819" s="81"/>
      <c r="K819" s="289"/>
      <c r="L819" s="289"/>
      <c r="M819" s="289"/>
      <c r="N819" s="289"/>
      <c r="O819" s="289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 ht="24" customHeight="1" x14ac:dyDescent="0.5">
      <c r="A820" s="81"/>
      <c r="B820" s="81"/>
      <c r="C820" s="81"/>
      <c r="D820" s="81"/>
      <c r="E820" s="81"/>
      <c r="F820" s="81"/>
      <c r="G820" s="81"/>
      <c r="H820" s="81"/>
      <c r="I820" s="289"/>
      <c r="J820" s="81"/>
      <c r="K820" s="289"/>
      <c r="L820" s="289"/>
      <c r="M820" s="289"/>
      <c r="N820" s="289"/>
      <c r="O820" s="289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 ht="24" customHeight="1" x14ac:dyDescent="0.5">
      <c r="A821" s="81"/>
      <c r="B821" s="81"/>
      <c r="C821" s="81"/>
      <c r="D821" s="81"/>
      <c r="E821" s="81"/>
      <c r="F821" s="81"/>
      <c r="G821" s="81"/>
      <c r="H821" s="81"/>
      <c r="I821" s="289"/>
      <c r="J821" s="81"/>
      <c r="K821" s="289"/>
      <c r="L821" s="289"/>
      <c r="M821" s="289"/>
      <c r="N821" s="289"/>
      <c r="O821" s="289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 ht="24" customHeight="1" x14ac:dyDescent="0.5">
      <c r="A822" s="81"/>
      <c r="B822" s="81"/>
      <c r="C822" s="81"/>
      <c r="D822" s="81"/>
      <c r="E822" s="81"/>
      <c r="F822" s="81"/>
      <c r="G822" s="81"/>
      <c r="H822" s="81"/>
      <c r="I822" s="289"/>
      <c r="J822" s="81"/>
      <c r="K822" s="289"/>
      <c r="L822" s="289"/>
      <c r="M822" s="289"/>
      <c r="N822" s="289"/>
      <c r="O822" s="289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 ht="24" customHeight="1" x14ac:dyDescent="0.5">
      <c r="A823" s="81"/>
      <c r="B823" s="81"/>
      <c r="C823" s="81"/>
      <c r="D823" s="81"/>
      <c r="E823" s="81"/>
      <c r="F823" s="81"/>
      <c r="G823" s="81"/>
      <c r="H823" s="81"/>
      <c r="I823" s="289"/>
      <c r="J823" s="81"/>
      <c r="K823" s="289"/>
      <c r="L823" s="289"/>
      <c r="M823" s="289"/>
      <c r="N823" s="289"/>
      <c r="O823" s="289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 ht="24" customHeight="1" x14ac:dyDescent="0.5">
      <c r="A824" s="81"/>
      <c r="B824" s="81"/>
      <c r="C824" s="81"/>
      <c r="D824" s="81"/>
      <c r="E824" s="81"/>
      <c r="F824" s="81"/>
      <c r="G824" s="81"/>
      <c r="H824" s="81"/>
      <c r="I824" s="289"/>
      <c r="J824" s="81"/>
      <c r="K824" s="289"/>
      <c r="L824" s="289"/>
      <c r="M824" s="289"/>
      <c r="N824" s="289"/>
      <c r="O824" s="289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 ht="24" customHeight="1" x14ac:dyDescent="0.5">
      <c r="A825" s="81"/>
      <c r="B825" s="81"/>
      <c r="C825" s="81"/>
      <c r="D825" s="81"/>
      <c r="E825" s="81"/>
      <c r="F825" s="81"/>
      <c r="G825" s="81"/>
      <c r="H825" s="81"/>
      <c r="I825" s="289"/>
      <c r="J825" s="81"/>
      <c r="K825" s="289"/>
      <c r="L825" s="289"/>
      <c r="M825" s="289"/>
      <c r="N825" s="289"/>
      <c r="O825" s="289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 ht="24" customHeight="1" x14ac:dyDescent="0.5">
      <c r="A826" s="81"/>
      <c r="B826" s="81"/>
      <c r="C826" s="81"/>
      <c r="D826" s="81"/>
      <c r="E826" s="81"/>
      <c r="F826" s="81"/>
      <c r="G826" s="81"/>
      <c r="H826" s="81"/>
      <c r="I826" s="289"/>
      <c r="J826" s="81"/>
      <c r="K826" s="289"/>
      <c r="L826" s="289"/>
      <c r="M826" s="289"/>
      <c r="N826" s="289"/>
      <c r="O826" s="289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 ht="24" customHeight="1" x14ac:dyDescent="0.5">
      <c r="A827" s="81"/>
      <c r="B827" s="81"/>
      <c r="C827" s="81"/>
      <c r="D827" s="81"/>
      <c r="E827" s="81"/>
      <c r="F827" s="81"/>
      <c r="G827" s="81"/>
      <c r="H827" s="81"/>
      <c r="I827" s="289"/>
      <c r="J827" s="81"/>
      <c r="K827" s="289"/>
      <c r="L827" s="289"/>
      <c r="M827" s="289"/>
      <c r="N827" s="289"/>
      <c r="O827" s="289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 ht="24" customHeight="1" x14ac:dyDescent="0.5">
      <c r="A828" s="81"/>
      <c r="B828" s="81"/>
      <c r="C828" s="81"/>
      <c r="D828" s="81"/>
      <c r="E828" s="81"/>
      <c r="F828" s="81"/>
      <c r="G828" s="81"/>
      <c r="H828" s="81"/>
      <c r="I828" s="289"/>
      <c r="J828" s="81"/>
      <c r="K828" s="289"/>
      <c r="L828" s="289"/>
      <c r="M828" s="289"/>
      <c r="N828" s="289"/>
      <c r="O828" s="289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 ht="24" customHeight="1" x14ac:dyDescent="0.5">
      <c r="A829" s="81"/>
      <c r="B829" s="81"/>
      <c r="C829" s="81"/>
      <c r="D829" s="81"/>
      <c r="E829" s="81"/>
      <c r="F829" s="81"/>
      <c r="G829" s="81"/>
      <c r="H829" s="81"/>
      <c r="I829" s="289"/>
      <c r="J829" s="81"/>
      <c r="K829" s="289"/>
      <c r="L829" s="289"/>
      <c r="M829" s="289"/>
      <c r="N829" s="289"/>
      <c r="O829" s="289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 ht="24" customHeight="1" x14ac:dyDescent="0.5">
      <c r="A830" s="81"/>
      <c r="B830" s="81"/>
      <c r="C830" s="81"/>
      <c r="D830" s="81"/>
      <c r="E830" s="81"/>
      <c r="F830" s="81"/>
      <c r="G830" s="81"/>
      <c r="H830" s="81"/>
      <c r="I830" s="289"/>
      <c r="J830" s="81"/>
      <c r="K830" s="289"/>
      <c r="L830" s="289"/>
      <c r="M830" s="289"/>
      <c r="N830" s="289"/>
      <c r="O830" s="289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 ht="24" customHeight="1" x14ac:dyDescent="0.5">
      <c r="A831" s="81"/>
      <c r="B831" s="81"/>
      <c r="C831" s="81"/>
      <c r="D831" s="81"/>
      <c r="E831" s="81"/>
      <c r="F831" s="81"/>
      <c r="G831" s="81"/>
      <c r="H831" s="81"/>
      <c r="I831" s="289"/>
      <c r="J831" s="81"/>
      <c r="K831" s="289"/>
      <c r="L831" s="289"/>
      <c r="M831" s="289"/>
      <c r="N831" s="289"/>
      <c r="O831" s="289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 ht="24" customHeight="1" x14ac:dyDescent="0.5">
      <c r="A832" s="81"/>
      <c r="B832" s="81"/>
      <c r="C832" s="81"/>
      <c r="D832" s="81"/>
      <c r="E832" s="81"/>
      <c r="F832" s="81"/>
      <c r="G832" s="81"/>
      <c r="H832" s="81"/>
      <c r="I832" s="289"/>
      <c r="J832" s="81"/>
      <c r="K832" s="289"/>
      <c r="L832" s="289"/>
      <c r="M832" s="289"/>
      <c r="N832" s="289"/>
      <c r="O832" s="289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 ht="24" customHeight="1" x14ac:dyDescent="0.5">
      <c r="A833" s="81"/>
      <c r="B833" s="81"/>
      <c r="C833" s="81"/>
      <c r="D833" s="81"/>
      <c r="E833" s="81"/>
      <c r="F833" s="81"/>
      <c r="G833" s="81"/>
      <c r="H833" s="81"/>
      <c r="I833" s="289"/>
      <c r="J833" s="81"/>
      <c r="K833" s="289"/>
      <c r="L833" s="289"/>
      <c r="M833" s="289"/>
      <c r="N833" s="289"/>
      <c r="O833" s="289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 ht="24" customHeight="1" x14ac:dyDescent="0.5">
      <c r="A834" s="81"/>
      <c r="B834" s="81"/>
      <c r="C834" s="81"/>
      <c r="D834" s="81"/>
      <c r="E834" s="81"/>
      <c r="F834" s="81"/>
      <c r="G834" s="81"/>
      <c r="H834" s="81"/>
      <c r="I834" s="289"/>
      <c r="J834" s="81"/>
      <c r="K834" s="289"/>
      <c r="L834" s="289"/>
      <c r="M834" s="289"/>
      <c r="N834" s="289"/>
      <c r="O834" s="289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 ht="24" customHeight="1" x14ac:dyDescent="0.5">
      <c r="A835" s="81"/>
      <c r="B835" s="81"/>
      <c r="C835" s="81"/>
      <c r="D835" s="81"/>
      <c r="E835" s="81"/>
      <c r="F835" s="81"/>
      <c r="G835" s="81"/>
      <c r="H835" s="81"/>
      <c r="I835" s="289"/>
      <c r="J835" s="81"/>
      <c r="K835" s="289"/>
      <c r="L835" s="289"/>
      <c r="M835" s="289"/>
      <c r="N835" s="289"/>
      <c r="O835" s="289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 ht="24" customHeight="1" x14ac:dyDescent="0.5">
      <c r="A836" s="81"/>
      <c r="B836" s="81"/>
      <c r="C836" s="81"/>
      <c r="D836" s="81"/>
      <c r="E836" s="81"/>
      <c r="F836" s="81"/>
      <c r="G836" s="81"/>
      <c r="H836" s="81"/>
      <c r="I836" s="289"/>
      <c r="J836" s="81"/>
      <c r="K836" s="289"/>
      <c r="L836" s="289"/>
      <c r="M836" s="289"/>
      <c r="N836" s="289"/>
      <c r="O836" s="289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 ht="24" customHeight="1" x14ac:dyDescent="0.5">
      <c r="A837" s="81"/>
      <c r="B837" s="81"/>
      <c r="C837" s="81"/>
      <c r="D837" s="81"/>
      <c r="E837" s="81"/>
      <c r="F837" s="81"/>
      <c r="G837" s="81"/>
      <c r="H837" s="81"/>
      <c r="I837" s="289"/>
      <c r="J837" s="81"/>
      <c r="K837" s="289"/>
      <c r="L837" s="289"/>
      <c r="M837" s="289"/>
      <c r="N837" s="289"/>
      <c r="O837" s="289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 ht="24" customHeight="1" x14ac:dyDescent="0.5">
      <c r="A838" s="81"/>
      <c r="B838" s="81"/>
      <c r="C838" s="81"/>
      <c r="D838" s="81"/>
      <c r="E838" s="81"/>
      <c r="F838" s="81"/>
      <c r="G838" s="81"/>
      <c r="H838" s="81"/>
      <c r="I838" s="289"/>
      <c r="J838" s="81"/>
      <c r="K838" s="289"/>
      <c r="L838" s="289"/>
      <c r="M838" s="289"/>
      <c r="N838" s="289"/>
      <c r="O838" s="289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 ht="24" customHeight="1" x14ac:dyDescent="0.5">
      <c r="A839" s="81"/>
      <c r="B839" s="81"/>
      <c r="C839" s="81"/>
      <c r="D839" s="81"/>
      <c r="E839" s="81"/>
      <c r="F839" s="81"/>
      <c r="G839" s="81"/>
      <c r="H839" s="81"/>
      <c r="I839" s="289"/>
      <c r="J839" s="81"/>
      <c r="K839" s="289"/>
      <c r="L839" s="289"/>
      <c r="M839" s="289"/>
      <c r="N839" s="289"/>
      <c r="O839" s="289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 ht="24" customHeight="1" x14ac:dyDescent="0.5">
      <c r="A840" s="81"/>
      <c r="B840" s="81"/>
      <c r="C840" s="81"/>
      <c r="D840" s="81"/>
      <c r="E840" s="81"/>
      <c r="F840" s="81"/>
      <c r="G840" s="81"/>
      <c r="H840" s="81"/>
      <c r="I840" s="289"/>
      <c r="J840" s="81"/>
      <c r="K840" s="289"/>
      <c r="L840" s="289"/>
      <c r="M840" s="289"/>
      <c r="N840" s="289"/>
      <c r="O840" s="289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 ht="24" customHeight="1" x14ac:dyDescent="0.5">
      <c r="A841" s="81"/>
      <c r="B841" s="81"/>
      <c r="C841" s="81"/>
      <c r="D841" s="81"/>
      <c r="E841" s="81"/>
      <c r="F841" s="81"/>
      <c r="G841" s="81"/>
      <c r="H841" s="81"/>
      <c r="I841" s="289"/>
      <c r="J841" s="81"/>
      <c r="K841" s="289"/>
      <c r="L841" s="289"/>
      <c r="M841" s="289"/>
      <c r="N841" s="289"/>
      <c r="O841" s="289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 ht="24" customHeight="1" x14ac:dyDescent="0.5">
      <c r="A842" s="81"/>
      <c r="B842" s="81"/>
      <c r="C842" s="81"/>
      <c r="D842" s="81"/>
      <c r="E842" s="81"/>
      <c r="F842" s="81"/>
      <c r="G842" s="81"/>
      <c r="H842" s="81"/>
      <c r="I842" s="289"/>
      <c r="J842" s="81"/>
      <c r="K842" s="289"/>
      <c r="L842" s="289"/>
      <c r="M842" s="289"/>
      <c r="N842" s="289"/>
      <c r="O842" s="289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 ht="24" customHeight="1" x14ac:dyDescent="0.5">
      <c r="A843" s="81"/>
      <c r="B843" s="81"/>
      <c r="C843" s="81"/>
      <c r="D843" s="81"/>
      <c r="E843" s="81"/>
      <c r="F843" s="81"/>
      <c r="G843" s="81"/>
      <c r="H843" s="81"/>
      <c r="I843" s="289"/>
      <c r="J843" s="81"/>
      <c r="K843" s="289"/>
      <c r="L843" s="289"/>
      <c r="M843" s="289"/>
      <c r="N843" s="289"/>
      <c r="O843" s="289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 ht="24" customHeight="1" x14ac:dyDescent="0.5">
      <c r="A844" s="81"/>
      <c r="B844" s="81"/>
      <c r="C844" s="81"/>
      <c r="D844" s="81"/>
      <c r="E844" s="81"/>
      <c r="F844" s="81"/>
      <c r="G844" s="81"/>
      <c r="H844" s="81"/>
      <c r="I844" s="289"/>
      <c r="J844" s="81"/>
      <c r="K844" s="289"/>
      <c r="L844" s="289"/>
      <c r="M844" s="289"/>
      <c r="N844" s="289"/>
      <c r="O844" s="289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 ht="24" customHeight="1" x14ac:dyDescent="0.5">
      <c r="A845" s="81"/>
      <c r="B845" s="81"/>
      <c r="C845" s="81"/>
      <c r="D845" s="81"/>
      <c r="E845" s="81"/>
      <c r="F845" s="81"/>
      <c r="G845" s="81"/>
      <c r="H845" s="81"/>
      <c r="I845" s="289"/>
      <c r="J845" s="81"/>
      <c r="K845" s="289"/>
      <c r="L845" s="289"/>
      <c r="M845" s="289"/>
      <c r="N845" s="289"/>
      <c r="O845" s="289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 ht="24" customHeight="1" x14ac:dyDescent="0.5">
      <c r="A846" s="81"/>
      <c r="B846" s="81"/>
      <c r="C846" s="81"/>
      <c r="D846" s="81"/>
      <c r="E846" s="81"/>
      <c r="F846" s="81"/>
      <c r="G846" s="81"/>
      <c r="H846" s="81"/>
      <c r="I846" s="289"/>
      <c r="J846" s="81"/>
      <c r="K846" s="289"/>
      <c r="L846" s="289"/>
      <c r="M846" s="289"/>
      <c r="N846" s="289"/>
      <c r="O846" s="289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 ht="24" customHeight="1" x14ac:dyDescent="0.5">
      <c r="A847" s="81"/>
      <c r="B847" s="81"/>
      <c r="C847" s="81"/>
      <c r="D847" s="81"/>
      <c r="E847" s="81"/>
      <c r="F847" s="81"/>
      <c r="G847" s="81"/>
      <c r="H847" s="81"/>
      <c r="I847" s="289"/>
      <c r="J847" s="81"/>
      <c r="K847" s="289"/>
      <c r="L847" s="289"/>
      <c r="M847" s="289"/>
      <c r="N847" s="289"/>
      <c r="O847" s="289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 ht="24" customHeight="1" x14ac:dyDescent="0.5">
      <c r="A848" s="81"/>
      <c r="B848" s="81"/>
      <c r="C848" s="81"/>
      <c r="D848" s="81"/>
      <c r="E848" s="81"/>
      <c r="F848" s="81"/>
      <c r="G848" s="81"/>
      <c r="H848" s="81"/>
      <c r="I848" s="289"/>
      <c r="J848" s="81"/>
      <c r="K848" s="289"/>
      <c r="L848" s="289"/>
      <c r="M848" s="289"/>
      <c r="N848" s="289"/>
      <c r="O848" s="289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 ht="24" customHeight="1" x14ac:dyDescent="0.5">
      <c r="A849" s="81"/>
      <c r="B849" s="81"/>
      <c r="C849" s="81"/>
      <c r="D849" s="81"/>
      <c r="E849" s="81"/>
      <c r="F849" s="81"/>
      <c r="G849" s="81"/>
      <c r="H849" s="81"/>
      <c r="I849" s="289"/>
      <c r="J849" s="81"/>
      <c r="K849" s="289"/>
      <c r="L849" s="289"/>
      <c r="M849" s="289"/>
      <c r="N849" s="289"/>
      <c r="O849" s="289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 ht="24" customHeight="1" x14ac:dyDescent="0.5">
      <c r="A850" s="81"/>
      <c r="B850" s="81"/>
      <c r="C850" s="81"/>
      <c r="D850" s="81"/>
      <c r="E850" s="81"/>
      <c r="F850" s="81"/>
      <c r="G850" s="81"/>
      <c r="H850" s="81"/>
      <c r="I850" s="289"/>
      <c r="J850" s="81"/>
      <c r="K850" s="289"/>
      <c r="L850" s="289"/>
      <c r="M850" s="289"/>
      <c r="N850" s="289"/>
      <c r="O850" s="289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 ht="24" customHeight="1" x14ac:dyDescent="0.5">
      <c r="A851" s="81"/>
      <c r="B851" s="81"/>
      <c r="C851" s="81"/>
      <c r="D851" s="81"/>
      <c r="E851" s="81"/>
      <c r="F851" s="81"/>
      <c r="G851" s="81"/>
      <c r="H851" s="81"/>
      <c r="I851" s="289"/>
      <c r="J851" s="81"/>
      <c r="K851" s="289"/>
      <c r="L851" s="289"/>
      <c r="M851" s="289"/>
      <c r="N851" s="289"/>
      <c r="O851" s="289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 ht="24" customHeight="1" x14ac:dyDescent="0.5">
      <c r="A852" s="81"/>
      <c r="B852" s="81"/>
      <c r="C852" s="81"/>
      <c r="D852" s="81"/>
      <c r="E852" s="81"/>
      <c r="F852" s="81"/>
      <c r="G852" s="81"/>
      <c r="H852" s="81"/>
      <c r="I852" s="289"/>
      <c r="J852" s="81"/>
      <c r="K852" s="289"/>
      <c r="L852" s="289"/>
      <c r="M852" s="289"/>
      <c r="N852" s="289"/>
      <c r="O852" s="289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 ht="24" customHeight="1" x14ac:dyDescent="0.5">
      <c r="A853" s="81"/>
      <c r="B853" s="81"/>
      <c r="C853" s="81"/>
      <c r="D853" s="81"/>
      <c r="E853" s="81"/>
      <c r="F853" s="81"/>
      <c r="G853" s="81"/>
      <c r="H853" s="81"/>
      <c r="I853" s="289"/>
      <c r="J853" s="81"/>
      <c r="K853" s="289"/>
      <c r="L853" s="289"/>
      <c r="M853" s="289"/>
      <c r="N853" s="289"/>
      <c r="O853" s="289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 ht="24" customHeight="1" x14ac:dyDescent="0.5">
      <c r="A854" s="81"/>
      <c r="B854" s="81"/>
      <c r="C854" s="81"/>
      <c r="D854" s="81"/>
      <c r="E854" s="81"/>
      <c r="F854" s="81"/>
      <c r="G854" s="81"/>
      <c r="H854" s="81"/>
      <c r="I854" s="289"/>
      <c r="J854" s="81"/>
      <c r="K854" s="289"/>
      <c r="L854" s="289"/>
      <c r="M854" s="289"/>
      <c r="N854" s="289"/>
      <c r="O854" s="289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 ht="24" customHeight="1" x14ac:dyDescent="0.5">
      <c r="A855" s="81"/>
      <c r="B855" s="81"/>
      <c r="C855" s="81"/>
      <c r="D855" s="81"/>
      <c r="E855" s="81"/>
      <c r="F855" s="81"/>
      <c r="G855" s="81"/>
      <c r="H855" s="81"/>
      <c r="I855" s="289"/>
      <c r="J855" s="81"/>
      <c r="K855" s="289"/>
      <c r="L855" s="289"/>
      <c r="M855" s="289"/>
      <c r="N855" s="289"/>
      <c r="O855" s="289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 ht="24" customHeight="1" x14ac:dyDescent="0.5">
      <c r="A856" s="81"/>
      <c r="B856" s="81"/>
      <c r="C856" s="81"/>
      <c r="D856" s="81"/>
      <c r="E856" s="81"/>
      <c r="F856" s="81"/>
      <c r="G856" s="81"/>
      <c r="H856" s="81"/>
      <c r="I856" s="289"/>
      <c r="J856" s="81"/>
      <c r="K856" s="289"/>
      <c r="L856" s="289"/>
      <c r="M856" s="289"/>
      <c r="N856" s="289"/>
      <c r="O856" s="289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 ht="24" customHeight="1" x14ac:dyDescent="0.5">
      <c r="A857" s="81"/>
      <c r="B857" s="81"/>
      <c r="C857" s="81"/>
      <c r="D857" s="81"/>
      <c r="E857" s="81"/>
      <c r="F857" s="81"/>
      <c r="G857" s="81"/>
      <c r="H857" s="81"/>
      <c r="I857" s="289"/>
      <c r="J857" s="81"/>
      <c r="K857" s="289"/>
      <c r="L857" s="289"/>
      <c r="M857" s="289"/>
      <c r="N857" s="289"/>
      <c r="O857" s="289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 ht="24" customHeight="1" x14ac:dyDescent="0.5">
      <c r="A858" s="81"/>
      <c r="B858" s="81"/>
      <c r="C858" s="81"/>
      <c r="D858" s="81"/>
      <c r="E858" s="81"/>
      <c r="F858" s="81"/>
      <c r="G858" s="81"/>
      <c r="H858" s="81"/>
      <c r="I858" s="289"/>
      <c r="J858" s="81"/>
      <c r="K858" s="289"/>
      <c r="L858" s="289"/>
      <c r="M858" s="289"/>
      <c r="N858" s="289"/>
      <c r="O858" s="289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 ht="24" customHeight="1" x14ac:dyDescent="0.5">
      <c r="A859" s="81"/>
      <c r="B859" s="81"/>
      <c r="C859" s="81"/>
      <c r="D859" s="81"/>
      <c r="E859" s="81"/>
      <c r="F859" s="81"/>
      <c r="G859" s="81"/>
      <c r="H859" s="81"/>
      <c r="I859" s="289"/>
      <c r="J859" s="81"/>
      <c r="K859" s="289"/>
      <c r="L859" s="289"/>
      <c r="M859" s="289"/>
      <c r="N859" s="289"/>
      <c r="O859" s="289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 ht="24" customHeight="1" x14ac:dyDescent="0.5">
      <c r="A860" s="81"/>
      <c r="B860" s="81"/>
      <c r="C860" s="81"/>
      <c r="D860" s="81"/>
      <c r="E860" s="81"/>
      <c r="F860" s="81"/>
      <c r="G860" s="81"/>
      <c r="H860" s="81"/>
      <c r="I860" s="289"/>
      <c r="J860" s="81"/>
      <c r="K860" s="289"/>
      <c r="L860" s="289"/>
      <c r="M860" s="289"/>
      <c r="N860" s="289"/>
      <c r="O860" s="289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 ht="24" customHeight="1" x14ac:dyDescent="0.5">
      <c r="A861" s="81"/>
      <c r="B861" s="81"/>
      <c r="C861" s="81"/>
      <c r="D861" s="81"/>
      <c r="E861" s="81"/>
      <c r="F861" s="81"/>
      <c r="G861" s="81"/>
      <c r="H861" s="81"/>
      <c r="I861" s="289"/>
      <c r="J861" s="81"/>
      <c r="K861" s="289"/>
      <c r="L861" s="289"/>
      <c r="M861" s="289"/>
      <c r="N861" s="289"/>
      <c r="O861" s="289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 ht="24" customHeight="1" x14ac:dyDescent="0.5">
      <c r="A862" s="81"/>
      <c r="B862" s="81"/>
      <c r="C862" s="81"/>
      <c r="D862" s="81"/>
      <c r="E862" s="81"/>
      <c r="F862" s="81"/>
      <c r="G862" s="81"/>
      <c r="H862" s="81"/>
      <c r="I862" s="289"/>
      <c r="J862" s="81"/>
      <c r="K862" s="289"/>
      <c r="L862" s="289"/>
      <c r="M862" s="289"/>
      <c r="N862" s="289"/>
      <c r="O862" s="289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 ht="24" customHeight="1" x14ac:dyDescent="0.5">
      <c r="A863" s="81"/>
      <c r="B863" s="81"/>
      <c r="C863" s="81"/>
      <c r="D863" s="81"/>
      <c r="E863" s="81"/>
      <c r="F863" s="81"/>
      <c r="G863" s="81"/>
      <c r="H863" s="81"/>
      <c r="I863" s="289"/>
      <c r="J863" s="81"/>
      <c r="K863" s="289"/>
      <c r="L863" s="289"/>
      <c r="M863" s="289"/>
      <c r="N863" s="289"/>
      <c r="O863" s="289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 ht="24" customHeight="1" x14ac:dyDescent="0.5">
      <c r="A864" s="81"/>
      <c r="B864" s="81"/>
      <c r="C864" s="81"/>
      <c r="D864" s="81"/>
      <c r="E864" s="81"/>
      <c r="F864" s="81"/>
      <c r="G864" s="81"/>
      <c r="H864" s="81"/>
      <c r="I864" s="289"/>
      <c r="J864" s="81"/>
      <c r="K864" s="289"/>
      <c r="L864" s="289"/>
      <c r="M864" s="289"/>
      <c r="N864" s="289"/>
      <c r="O864" s="289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 ht="24" customHeight="1" x14ac:dyDescent="0.5">
      <c r="A865" s="81"/>
      <c r="B865" s="81"/>
      <c r="C865" s="81"/>
      <c r="D865" s="81"/>
      <c r="E865" s="81"/>
      <c r="F865" s="81"/>
      <c r="G865" s="81"/>
      <c r="H865" s="81"/>
      <c r="I865" s="289"/>
      <c r="J865" s="81"/>
      <c r="K865" s="289"/>
      <c r="L865" s="289"/>
      <c r="M865" s="289"/>
      <c r="N865" s="289"/>
      <c r="O865" s="289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 ht="24" customHeight="1" x14ac:dyDescent="0.5">
      <c r="A866" s="81"/>
      <c r="B866" s="81"/>
      <c r="C866" s="81"/>
      <c r="D866" s="81"/>
      <c r="E866" s="81"/>
      <c r="F866" s="81"/>
      <c r="G866" s="81"/>
      <c r="H866" s="81"/>
      <c r="I866" s="289"/>
      <c r="J866" s="81"/>
      <c r="K866" s="289"/>
      <c r="L866" s="289"/>
      <c r="M866" s="289"/>
      <c r="N866" s="289"/>
      <c r="O866" s="289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 ht="24" customHeight="1" x14ac:dyDescent="0.5">
      <c r="A867" s="81"/>
      <c r="B867" s="81"/>
      <c r="C867" s="81"/>
      <c r="D867" s="81"/>
      <c r="E867" s="81"/>
      <c r="F867" s="81"/>
      <c r="G867" s="81"/>
      <c r="H867" s="81"/>
      <c r="I867" s="289"/>
      <c r="J867" s="81"/>
      <c r="K867" s="289"/>
      <c r="L867" s="289"/>
      <c r="M867" s="289"/>
      <c r="N867" s="289"/>
      <c r="O867" s="289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 ht="24" customHeight="1" x14ac:dyDescent="0.5">
      <c r="A868" s="81"/>
      <c r="B868" s="81"/>
      <c r="C868" s="81"/>
      <c r="D868" s="81"/>
      <c r="E868" s="81"/>
      <c r="F868" s="81"/>
      <c r="G868" s="81"/>
      <c r="H868" s="81"/>
      <c r="I868" s="289"/>
      <c r="J868" s="81"/>
      <c r="K868" s="289"/>
      <c r="L868" s="289"/>
      <c r="M868" s="289"/>
      <c r="N868" s="289"/>
      <c r="O868" s="289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 ht="24" customHeight="1" x14ac:dyDescent="0.5">
      <c r="A869" s="81"/>
      <c r="B869" s="81"/>
      <c r="C869" s="81"/>
      <c r="D869" s="81"/>
      <c r="E869" s="81"/>
      <c r="F869" s="81"/>
      <c r="G869" s="81"/>
      <c r="H869" s="81"/>
      <c r="I869" s="289"/>
      <c r="J869" s="81"/>
      <c r="K869" s="289"/>
      <c r="L869" s="289"/>
      <c r="M869" s="289"/>
      <c r="N869" s="289"/>
      <c r="O869" s="289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 ht="24" customHeight="1" x14ac:dyDescent="0.5">
      <c r="A870" s="81"/>
      <c r="B870" s="81"/>
      <c r="C870" s="81"/>
      <c r="D870" s="81"/>
      <c r="E870" s="81"/>
      <c r="F870" s="81"/>
      <c r="G870" s="81"/>
      <c r="H870" s="81"/>
      <c r="I870" s="289"/>
      <c r="J870" s="81"/>
      <c r="K870" s="289"/>
      <c r="L870" s="289"/>
      <c r="M870" s="289"/>
      <c r="N870" s="289"/>
      <c r="O870" s="289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 ht="24" customHeight="1" x14ac:dyDescent="0.5">
      <c r="A871" s="81"/>
      <c r="B871" s="81"/>
      <c r="C871" s="81"/>
      <c r="D871" s="81"/>
      <c r="E871" s="81"/>
      <c r="F871" s="81"/>
      <c r="G871" s="81"/>
      <c r="H871" s="81"/>
      <c r="I871" s="289"/>
      <c r="J871" s="81"/>
      <c r="K871" s="289"/>
      <c r="L871" s="289"/>
      <c r="M871" s="289"/>
      <c r="N871" s="289"/>
      <c r="O871" s="289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 ht="24" customHeight="1" x14ac:dyDescent="0.5">
      <c r="A872" s="81"/>
      <c r="B872" s="81"/>
      <c r="C872" s="81"/>
      <c r="D872" s="81"/>
      <c r="E872" s="81"/>
      <c r="F872" s="81"/>
      <c r="G872" s="81"/>
      <c r="H872" s="81"/>
      <c r="I872" s="289"/>
      <c r="J872" s="81"/>
      <c r="K872" s="289"/>
      <c r="L872" s="289"/>
      <c r="M872" s="289"/>
      <c r="N872" s="289"/>
      <c r="O872" s="289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 ht="24" customHeight="1" x14ac:dyDescent="0.5">
      <c r="A873" s="81"/>
      <c r="B873" s="81"/>
      <c r="C873" s="81"/>
      <c r="D873" s="81"/>
      <c r="E873" s="81"/>
      <c r="F873" s="81"/>
      <c r="G873" s="81"/>
      <c r="H873" s="81"/>
      <c r="I873" s="289"/>
      <c r="J873" s="81"/>
      <c r="K873" s="289"/>
      <c r="L873" s="289"/>
      <c r="M873" s="289"/>
      <c r="N873" s="289"/>
      <c r="O873" s="289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 ht="24" customHeight="1" x14ac:dyDescent="0.5">
      <c r="A874" s="81"/>
      <c r="B874" s="81"/>
      <c r="C874" s="81"/>
      <c r="D874" s="81"/>
      <c r="E874" s="81"/>
      <c r="F874" s="81"/>
      <c r="G874" s="81"/>
      <c r="H874" s="81"/>
      <c r="I874" s="289"/>
      <c r="J874" s="81"/>
      <c r="K874" s="289"/>
      <c r="L874" s="289"/>
      <c r="M874" s="289"/>
      <c r="N874" s="289"/>
      <c r="O874" s="289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 ht="24" customHeight="1" x14ac:dyDescent="0.5">
      <c r="A875" s="81"/>
      <c r="B875" s="81"/>
      <c r="C875" s="81"/>
      <c r="D875" s="81"/>
      <c r="E875" s="81"/>
      <c r="F875" s="81"/>
      <c r="G875" s="81"/>
      <c r="H875" s="81"/>
      <c r="I875" s="289"/>
      <c r="J875" s="81"/>
      <c r="K875" s="289"/>
      <c r="L875" s="289"/>
      <c r="M875" s="289"/>
      <c r="N875" s="289"/>
      <c r="O875" s="289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 ht="24" customHeight="1" x14ac:dyDescent="0.5">
      <c r="A876" s="81"/>
      <c r="B876" s="81"/>
      <c r="C876" s="81"/>
      <c r="D876" s="81"/>
      <c r="E876" s="81"/>
      <c r="F876" s="81"/>
      <c r="G876" s="81"/>
      <c r="H876" s="81"/>
      <c r="I876" s="289"/>
      <c r="J876" s="81"/>
      <c r="K876" s="289"/>
      <c r="L876" s="289"/>
      <c r="M876" s="289"/>
      <c r="N876" s="289"/>
      <c r="O876" s="289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 ht="24" customHeight="1" x14ac:dyDescent="0.5">
      <c r="A877" s="81"/>
      <c r="B877" s="81"/>
      <c r="C877" s="81"/>
      <c r="D877" s="81"/>
      <c r="E877" s="81"/>
      <c r="F877" s="81"/>
      <c r="G877" s="81"/>
      <c r="H877" s="81"/>
      <c r="I877" s="289"/>
      <c r="J877" s="81"/>
      <c r="K877" s="289"/>
      <c r="L877" s="289"/>
      <c r="M877" s="289"/>
      <c r="N877" s="289"/>
      <c r="O877" s="289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 ht="24" customHeight="1" x14ac:dyDescent="0.5">
      <c r="A878" s="81"/>
      <c r="B878" s="81"/>
      <c r="C878" s="81"/>
      <c r="D878" s="81"/>
      <c r="E878" s="81"/>
      <c r="F878" s="81"/>
      <c r="G878" s="81"/>
      <c r="H878" s="81"/>
      <c r="I878" s="289"/>
      <c r="J878" s="81"/>
      <c r="K878" s="289"/>
      <c r="L878" s="289"/>
      <c r="M878" s="289"/>
      <c r="N878" s="289"/>
      <c r="O878" s="289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 ht="24" customHeight="1" x14ac:dyDescent="0.5">
      <c r="A879" s="81"/>
      <c r="B879" s="81"/>
      <c r="C879" s="81"/>
      <c r="D879" s="81"/>
      <c r="E879" s="81"/>
      <c r="F879" s="81"/>
      <c r="G879" s="81"/>
      <c r="H879" s="81"/>
      <c r="I879" s="289"/>
      <c r="J879" s="81"/>
      <c r="K879" s="289"/>
      <c r="L879" s="289"/>
      <c r="M879" s="289"/>
      <c r="N879" s="289"/>
      <c r="O879" s="289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 ht="24" customHeight="1" x14ac:dyDescent="0.5">
      <c r="A880" s="81"/>
      <c r="B880" s="81"/>
      <c r="C880" s="81"/>
      <c r="D880" s="81"/>
      <c r="E880" s="81"/>
      <c r="F880" s="81"/>
      <c r="G880" s="81"/>
      <c r="H880" s="81"/>
      <c r="I880" s="289"/>
      <c r="J880" s="81"/>
      <c r="K880" s="289"/>
      <c r="L880" s="289"/>
      <c r="M880" s="289"/>
      <c r="N880" s="289"/>
      <c r="O880" s="289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 ht="24" customHeight="1" x14ac:dyDescent="0.5">
      <c r="A881" s="81"/>
      <c r="B881" s="81"/>
      <c r="C881" s="81"/>
      <c r="D881" s="81"/>
      <c r="E881" s="81"/>
      <c r="F881" s="81"/>
      <c r="G881" s="81"/>
      <c r="H881" s="81"/>
      <c r="I881" s="289"/>
      <c r="J881" s="81"/>
      <c r="K881" s="289"/>
      <c r="L881" s="289"/>
      <c r="M881" s="289"/>
      <c r="N881" s="289"/>
      <c r="O881" s="289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 ht="24" customHeight="1" x14ac:dyDescent="0.5">
      <c r="A882" s="81"/>
      <c r="B882" s="81"/>
      <c r="C882" s="81"/>
      <c r="D882" s="81"/>
      <c r="E882" s="81"/>
      <c r="F882" s="81"/>
      <c r="G882" s="81"/>
      <c r="H882" s="81"/>
      <c r="I882" s="289"/>
      <c r="J882" s="81"/>
      <c r="K882" s="289"/>
      <c r="L882" s="289"/>
      <c r="M882" s="289"/>
      <c r="N882" s="289"/>
      <c r="O882" s="289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 ht="24" customHeight="1" x14ac:dyDescent="0.5">
      <c r="A883" s="81"/>
      <c r="B883" s="81"/>
      <c r="C883" s="81"/>
      <c r="D883" s="81"/>
      <c r="E883" s="81"/>
      <c r="F883" s="81"/>
      <c r="G883" s="81"/>
      <c r="H883" s="81"/>
      <c r="I883" s="289"/>
      <c r="J883" s="81"/>
      <c r="K883" s="289"/>
      <c r="L883" s="289"/>
      <c r="M883" s="289"/>
      <c r="N883" s="289"/>
      <c r="O883" s="289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 ht="24" customHeight="1" x14ac:dyDescent="0.5">
      <c r="A884" s="81"/>
      <c r="B884" s="81"/>
      <c r="C884" s="81"/>
      <c r="D884" s="81"/>
      <c r="E884" s="81"/>
      <c r="F884" s="81"/>
      <c r="G884" s="81"/>
      <c r="H884" s="81"/>
      <c r="I884" s="289"/>
      <c r="J884" s="81"/>
      <c r="K884" s="289"/>
      <c r="L884" s="289"/>
      <c r="M884" s="289"/>
      <c r="N884" s="289"/>
      <c r="O884" s="289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 ht="24" customHeight="1" x14ac:dyDescent="0.5">
      <c r="A885" s="81"/>
      <c r="B885" s="81"/>
      <c r="C885" s="81"/>
      <c r="D885" s="81"/>
      <c r="E885" s="81"/>
      <c r="F885" s="81"/>
      <c r="G885" s="81"/>
      <c r="H885" s="81"/>
      <c r="I885" s="289"/>
      <c r="J885" s="81"/>
      <c r="K885" s="289"/>
      <c r="L885" s="289"/>
      <c r="M885" s="289"/>
      <c r="N885" s="289"/>
      <c r="O885" s="289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 ht="24" customHeight="1" x14ac:dyDescent="0.5">
      <c r="A886" s="81"/>
      <c r="B886" s="81"/>
      <c r="C886" s="81"/>
      <c r="D886" s="81"/>
      <c r="E886" s="81"/>
      <c r="F886" s="81"/>
      <c r="G886" s="81"/>
      <c r="H886" s="81"/>
      <c r="I886" s="289"/>
      <c r="J886" s="81"/>
      <c r="K886" s="289"/>
      <c r="L886" s="289"/>
      <c r="M886" s="289"/>
      <c r="N886" s="289"/>
      <c r="O886" s="289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 ht="24" customHeight="1" x14ac:dyDescent="0.5">
      <c r="A887" s="81"/>
      <c r="B887" s="81"/>
      <c r="C887" s="81"/>
      <c r="D887" s="81"/>
      <c r="E887" s="81"/>
      <c r="F887" s="81"/>
      <c r="G887" s="81"/>
      <c r="H887" s="81"/>
      <c r="I887" s="289"/>
      <c r="J887" s="81"/>
      <c r="K887" s="289"/>
      <c r="L887" s="289"/>
      <c r="M887" s="289"/>
      <c r="N887" s="289"/>
      <c r="O887" s="289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 ht="24" customHeight="1" x14ac:dyDescent="0.5">
      <c r="A888" s="81"/>
      <c r="B888" s="81"/>
      <c r="C888" s="81"/>
      <c r="D888" s="81"/>
      <c r="E888" s="81"/>
      <c r="F888" s="81"/>
      <c r="G888" s="81"/>
      <c r="H888" s="81"/>
      <c r="I888" s="289"/>
      <c r="J888" s="81"/>
      <c r="K888" s="289"/>
      <c r="L888" s="289"/>
      <c r="M888" s="289"/>
      <c r="N888" s="289"/>
      <c r="O888" s="289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 ht="24" customHeight="1" x14ac:dyDescent="0.5">
      <c r="A889" s="81"/>
      <c r="B889" s="81"/>
      <c r="C889" s="81"/>
      <c r="D889" s="81"/>
      <c r="E889" s="81"/>
      <c r="F889" s="81"/>
      <c r="G889" s="81"/>
      <c r="H889" s="81"/>
      <c r="I889" s="289"/>
      <c r="J889" s="81"/>
      <c r="K889" s="289"/>
      <c r="L889" s="289"/>
      <c r="M889" s="289"/>
      <c r="N889" s="289"/>
      <c r="O889" s="289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 ht="24" customHeight="1" x14ac:dyDescent="0.5">
      <c r="A890" s="81"/>
      <c r="B890" s="81"/>
      <c r="C890" s="81"/>
      <c r="D890" s="81"/>
      <c r="E890" s="81"/>
      <c r="F890" s="81"/>
      <c r="G890" s="81"/>
      <c r="H890" s="81"/>
      <c r="I890" s="289"/>
      <c r="J890" s="81"/>
      <c r="K890" s="289"/>
      <c r="L890" s="289"/>
      <c r="M890" s="289"/>
      <c r="N890" s="289"/>
      <c r="O890" s="289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 ht="24" customHeight="1" x14ac:dyDescent="0.5">
      <c r="A891" s="81"/>
      <c r="B891" s="81"/>
      <c r="C891" s="81"/>
      <c r="D891" s="81"/>
      <c r="E891" s="81"/>
      <c r="F891" s="81"/>
      <c r="G891" s="81"/>
      <c r="H891" s="81"/>
      <c r="I891" s="289"/>
      <c r="J891" s="81"/>
      <c r="K891" s="289"/>
      <c r="L891" s="289"/>
      <c r="M891" s="289"/>
      <c r="N891" s="289"/>
      <c r="O891" s="289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 ht="24" customHeight="1" x14ac:dyDescent="0.5">
      <c r="A892" s="81"/>
      <c r="B892" s="81"/>
      <c r="C892" s="81"/>
      <c r="D892" s="81"/>
      <c r="E892" s="81"/>
      <c r="F892" s="81"/>
      <c r="G892" s="81"/>
      <c r="H892" s="81"/>
      <c r="I892" s="289"/>
      <c r="J892" s="81"/>
      <c r="K892" s="289"/>
      <c r="L892" s="289"/>
      <c r="M892" s="289"/>
      <c r="N892" s="289"/>
      <c r="O892" s="289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 ht="24" customHeight="1" x14ac:dyDescent="0.5">
      <c r="A893" s="81"/>
      <c r="B893" s="81"/>
      <c r="C893" s="81"/>
      <c r="D893" s="81"/>
      <c r="E893" s="81"/>
      <c r="F893" s="81"/>
      <c r="G893" s="81"/>
      <c r="H893" s="81"/>
      <c r="I893" s="289"/>
      <c r="J893" s="81"/>
      <c r="K893" s="289"/>
      <c r="L893" s="289"/>
      <c r="M893" s="289"/>
      <c r="N893" s="289"/>
      <c r="O893" s="289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 ht="24" customHeight="1" x14ac:dyDescent="0.5">
      <c r="A894" s="81"/>
      <c r="B894" s="81"/>
      <c r="C894" s="81"/>
      <c r="D894" s="81"/>
      <c r="E894" s="81"/>
      <c r="F894" s="81"/>
      <c r="G894" s="81"/>
      <c r="H894" s="81"/>
      <c r="I894" s="289"/>
      <c r="J894" s="81"/>
      <c r="K894" s="289"/>
      <c r="L894" s="289"/>
      <c r="M894" s="289"/>
      <c r="N894" s="289"/>
      <c r="O894" s="289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 ht="24" customHeight="1" x14ac:dyDescent="0.5">
      <c r="A895" s="81"/>
      <c r="B895" s="81"/>
      <c r="C895" s="81"/>
      <c r="D895" s="81"/>
      <c r="E895" s="81"/>
      <c r="F895" s="81"/>
      <c r="G895" s="81"/>
      <c r="H895" s="81"/>
      <c r="I895" s="289"/>
      <c r="J895" s="81"/>
      <c r="K895" s="289"/>
      <c r="L895" s="289"/>
      <c r="M895" s="289"/>
      <c r="N895" s="289"/>
      <c r="O895" s="289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 ht="24" customHeight="1" x14ac:dyDescent="0.5">
      <c r="A896" s="81"/>
      <c r="B896" s="81"/>
      <c r="C896" s="81"/>
      <c r="D896" s="81"/>
      <c r="E896" s="81"/>
      <c r="F896" s="81"/>
      <c r="G896" s="81"/>
      <c r="H896" s="81"/>
      <c r="I896" s="289"/>
      <c r="J896" s="81"/>
      <c r="K896" s="289"/>
      <c r="L896" s="289"/>
      <c r="M896" s="289"/>
      <c r="N896" s="289"/>
      <c r="O896" s="289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 ht="24" customHeight="1" x14ac:dyDescent="0.5">
      <c r="A897" s="81"/>
      <c r="B897" s="81"/>
      <c r="C897" s="81"/>
      <c r="D897" s="81"/>
      <c r="E897" s="81"/>
      <c r="F897" s="81"/>
      <c r="G897" s="81"/>
      <c r="H897" s="81"/>
      <c r="I897" s="289"/>
      <c r="J897" s="81"/>
      <c r="K897" s="289"/>
      <c r="L897" s="289"/>
      <c r="M897" s="289"/>
      <c r="N897" s="289"/>
      <c r="O897" s="289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 ht="24" customHeight="1" x14ac:dyDescent="0.5">
      <c r="A898" s="81"/>
      <c r="B898" s="81"/>
      <c r="C898" s="81"/>
      <c r="D898" s="81"/>
      <c r="E898" s="81"/>
      <c r="F898" s="81"/>
      <c r="G898" s="81"/>
      <c r="H898" s="81"/>
      <c r="I898" s="289"/>
      <c r="J898" s="81"/>
      <c r="K898" s="289"/>
      <c r="L898" s="289"/>
      <c r="M898" s="289"/>
      <c r="N898" s="289"/>
      <c r="O898" s="289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 ht="24" customHeight="1" x14ac:dyDescent="0.5">
      <c r="A899" s="81"/>
      <c r="B899" s="81"/>
      <c r="C899" s="81"/>
      <c r="D899" s="81"/>
      <c r="E899" s="81"/>
      <c r="F899" s="81"/>
      <c r="G899" s="81"/>
      <c r="H899" s="81"/>
      <c r="I899" s="289"/>
      <c r="J899" s="81"/>
      <c r="K899" s="289"/>
      <c r="L899" s="289"/>
      <c r="M899" s="289"/>
      <c r="N899" s="289"/>
      <c r="O899" s="289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 ht="24" customHeight="1" x14ac:dyDescent="0.5">
      <c r="A900" s="81"/>
      <c r="B900" s="81"/>
      <c r="C900" s="81"/>
      <c r="D900" s="81"/>
      <c r="E900" s="81"/>
      <c r="F900" s="81"/>
      <c r="G900" s="81"/>
      <c r="H900" s="81"/>
      <c r="I900" s="289"/>
      <c r="J900" s="81"/>
      <c r="K900" s="289"/>
      <c r="L900" s="289"/>
      <c r="M900" s="289"/>
      <c r="N900" s="289"/>
      <c r="O900" s="289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 ht="24" customHeight="1" x14ac:dyDescent="0.5">
      <c r="A901" s="81"/>
      <c r="B901" s="81"/>
      <c r="C901" s="81"/>
      <c r="D901" s="81"/>
      <c r="E901" s="81"/>
      <c r="F901" s="81"/>
      <c r="G901" s="81"/>
      <c r="H901" s="81"/>
      <c r="I901" s="289"/>
      <c r="J901" s="81"/>
      <c r="K901" s="289"/>
      <c r="L901" s="289"/>
      <c r="M901" s="289"/>
      <c r="N901" s="289"/>
      <c r="O901" s="289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 ht="24" customHeight="1" x14ac:dyDescent="0.5">
      <c r="A902" s="81"/>
      <c r="B902" s="81"/>
      <c r="C902" s="81"/>
      <c r="D902" s="81"/>
      <c r="E902" s="81"/>
      <c r="F902" s="81"/>
      <c r="G902" s="81"/>
      <c r="H902" s="81"/>
      <c r="I902" s="289"/>
      <c r="J902" s="81"/>
      <c r="K902" s="289"/>
      <c r="L902" s="289"/>
      <c r="M902" s="289"/>
      <c r="N902" s="289"/>
      <c r="O902" s="289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 ht="24" customHeight="1" x14ac:dyDescent="0.5">
      <c r="A903" s="81"/>
      <c r="B903" s="81"/>
      <c r="C903" s="81"/>
      <c r="D903" s="81"/>
      <c r="E903" s="81"/>
      <c r="F903" s="81"/>
      <c r="G903" s="81"/>
      <c r="H903" s="81"/>
      <c r="I903" s="289"/>
      <c r="J903" s="81"/>
      <c r="K903" s="289"/>
      <c r="L903" s="289"/>
      <c r="M903" s="289"/>
      <c r="N903" s="289"/>
      <c r="O903" s="289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 ht="24" customHeight="1" x14ac:dyDescent="0.5">
      <c r="A904" s="81"/>
      <c r="B904" s="81"/>
      <c r="C904" s="81"/>
      <c r="D904" s="81"/>
      <c r="E904" s="81"/>
      <c r="F904" s="81"/>
      <c r="G904" s="81"/>
      <c r="H904" s="81"/>
      <c r="I904" s="289"/>
      <c r="J904" s="81"/>
      <c r="K904" s="289"/>
      <c r="L904" s="289"/>
      <c r="M904" s="289"/>
      <c r="N904" s="289"/>
      <c r="O904" s="289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 ht="24" customHeight="1" x14ac:dyDescent="0.5">
      <c r="A905" s="81"/>
      <c r="B905" s="81"/>
      <c r="C905" s="81"/>
      <c r="D905" s="81"/>
      <c r="E905" s="81"/>
      <c r="F905" s="81"/>
      <c r="G905" s="81"/>
      <c r="H905" s="81"/>
      <c r="I905" s="289"/>
      <c r="J905" s="81"/>
      <c r="K905" s="289"/>
      <c r="L905" s="289"/>
      <c r="M905" s="289"/>
      <c r="N905" s="289"/>
      <c r="O905" s="289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 ht="24" customHeight="1" x14ac:dyDescent="0.5">
      <c r="A906" s="81"/>
      <c r="B906" s="81"/>
      <c r="C906" s="81"/>
      <c r="D906" s="81"/>
      <c r="E906" s="81"/>
      <c r="F906" s="81"/>
      <c r="G906" s="81"/>
      <c r="H906" s="81"/>
      <c r="I906" s="289"/>
      <c r="J906" s="81"/>
      <c r="K906" s="289"/>
      <c r="L906" s="289"/>
      <c r="M906" s="289"/>
      <c r="N906" s="289"/>
      <c r="O906" s="289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 ht="24" customHeight="1" x14ac:dyDescent="0.5">
      <c r="A907" s="81"/>
      <c r="B907" s="81"/>
      <c r="C907" s="81"/>
      <c r="D907" s="81"/>
      <c r="E907" s="81"/>
      <c r="F907" s="81"/>
      <c r="G907" s="81"/>
      <c r="H907" s="81"/>
      <c r="I907" s="289"/>
      <c r="J907" s="81"/>
      <c r="K907" s="289"/>
      <c r="L907" s="289"/>
      <c r="M907" s="289"/>
      <c r="N907" s="289"/>
      <c r="O907" s="289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 ht="24" customHeight="1" x14ac:dyDescent="0.5">
      <c r="A908" s="81"/>
      <c r="B908" s="81"/>
      <c r="C908" s="81"/>
      <c r="D908" s="81"/>
      <c r="E908" s="81"/>
      <c r="F908" s="81"/>
      <c r="G908" s="81"/>
      <c r="H908" s="81"/>
      <c r="I908" s="289"/>
      <c r="J908" s="81"/>
      <c r="K908" s="289"/>
      <c r="L908" s="289"/>
      <c r="M908" s="289"/>
      <c r="N908" s="289"/>
      <c r="O908" s="289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 ht="24" customHeight="1" x14ac:dyDescent="0.5">
      <c r="A909" s="81"/>
      <c r="B909" s="81"/>
      <c r="C909" s="81"/>
      <c r="D909" s="81"/>
      <c r="E909" s="81"/>
      <c r="F909" s="81"/>
      <c r="G909" s="81"/>
      <c r="H909" s="81"/>
      <c r="I909" s="289"/>
      <c r="J909" s="81"/>
      <c r="K909" s="289"/>
      <c r="L909" s="289"/>
      <c r="M909" s="289"/>
      <c r="N909" s="289"/>
      <c r="O909" s="289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 ht="24" customHeight="1" x14ac:dyDescent="0.5">
      <c r="A910" s="81"/>
      <c r="B910" s="81"/>
      <c r="C910" s="81"/>
      <c r="D910" s="81"/>
      <c r="E910" s="81"/>
      <c r="F910" s="81"/>
      <c r="G910" s="81"/>
      <c r="H910" s="81"/>
      <c r="I910" s="289"/>
      <c r="J910" s="81"/>
      <c r="K910" s="289"/>
      <c r="L910" s="289"/>
      <c r="M910" s="289"/>
      <c r="N910" s="289"/>
      <c r="O910" s="289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 ht="24" customHeight="1" x14ac:dyDescent="0.5">
      <c r="A911" s="81"/>
      <c r="B911" s="81"/>
      <c r="C911" s="81"/>
      <c r="D911" s="81"/>
      <c r="E911" s="81"/>
      <c r="F911" s="81"/>
      <c r="G911" s="81"/>
      <c r="H911" s="81"/>
      <c r="I911" s="289"/>
      <c r="J911" s="81"/>
      <c r="K911" s="289"/>
      <c r="L911" s="289"/>
      <c r="M911" s="289"/>
      <c r="N911" s="289"/>
      <c r="O911" s="289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 ht="24" customHeight="1" x14ac:dyDescent="0.5">
      <c r="A912" s="81"/>
      <c r="B912" s="81"/>
      <c r="C912" s="81"/>
      <c r="D912" s="81"/>
      <c r="E912" s="81"/>
      <c r="F912" s="81"/>
      <c r="G912" s="81"/>
      <c r="H912" s="81"/>
      <c r="I912" s="289"/>
      <c r="J912" s="81"/>
      <c r="K912" s="289"/>
      <c r="L912" s="289"/>
      <c r="M912" s="289"/>
      <c r="N912" s="289"/>
      <c r="O912" s="289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 ht="24" customHeight="1" x14ac:dyDescent="0.5">
      <c r="A913" s="81"/>
      <c r="B913" s="81"/>
      <c r="C913" s="81"/>
      <c r="D913" s="81"/>
      <c r="E913" s="81"/>
      <c r="F913" s="81"/>
      <c r="G913" s="81"/>
      <c r="H913" s="81"/>
      <c r="I913" s="289"/>
      <c r="J913" s="81"/>
      <c r="K913" s="289"/>
      <c r="L913" s="289"/>
      <c r="M913" s="289"/>
      <c r="N913" s="289"/>
      <c r="O913" s="289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 ht="24" customHeight="1" x14ac:dyDescent="0.5">
      <c r="A914" s="81"/>
      <c r="B914" s="81"/>
      <c r="C914" s="81"/>
      <c r="D914" s="81"/>
      <c r="E914" s="81"/>
      <c r="F914" s="81"/>
      <c r="G914" s="81"/>
      <c r="H914" s="81"/>
      <c r="I914" s="289"/>
      <c r="J914" s="81"/>
      <c r="K914" s="289"/>
      <c r="L914" s="289"/>
      <c r="M914" s="289"/>
      <c r="N914" s="289"/>
      <c r="O914" s="289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 ht="24" customHeight="1" x14ac:dyDescent="0.5">
      <c r="A915" s="81"/>
      <c r="B915" s="81"/>
      <c r="C915" s="81"/>
      <c r="D915" s="81"/>
      <c r="E915" s="81"/>
      <c r="F915" s="81"/>
      <c r="G915" s="81"/>
      <c r="H915" s="81"/>
      <c r="I915" s="289"/>
      <c r="J915" s="81"/>
      <c r="K915" s="289"/>
      <c r="L915" s="289"/>
      <c r="M915" s="289"/>
      <c r="N915" s="289"/>
      <c r="O915" s="289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 ht="24" customHeight="1" x14ac:dyDescent="0.5">
      <c r="A916" s="81"/>
      <c r="B916" s="81"/>
      <c r="C916" s="81"/>
      <c r="D916" s="81"/>
      <c r="E916" s="81"/>
      <c r="F916" s="81"/>
      <c r="G916" s="81"/>
      <c r="H916" s="81"/>
      <c r="I916" s="289"/>
      <c r="J916" s="81"/>
      <c r="K916" s="289"/>
      <c r="L916" s="289"/>
      <c r="M916" s="289"/>
      <c r="N916" s="289"/>
      <c r="O916" s="289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 ht="24" customHeight="1" x14ac:dyDescent="0.5">
      <c r="A917" s="81"/>
      <c r="B917" s="81"/>
      <c r="C917" s="81"/>
      <c r="D917" s="81"/>
      <c r="E917" s="81"/>
      <c r="F917" s="81"/>
      <c r="G917" s="81"/>
      <c r="H917" s="81"/>
      <c r="I917" s="289"/>
      <c r="J917" s="81"/>
      <c r="K917" s="289"/>
      <c r="L917" s="289"/>
      <c r="M917" s="289"/>
      <c r="N917" s="289"/>
      <c r="O917" s="289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 ht="24" customHeight="1" x14ac:dyDescent="0.5">
      <c r="A918" s="81"/>
      <c r="B918" s="81"/>
      <c r="C918" s="81"/>
      <c r="D918" s="81"/>
      <c r="E918" s="81"/>
      <c r="F918" s="81"/>
      <c r="G918" s="81"/>
      <c r="H918" s="81"/>
      <c r="I918" s="289"/>
      <c r="J918" s="81"/>
      <c r="K918" s="289"/>
      <c r="L918" s="289"/>
      <c r="M918" s="289"/>
      <c r="N918" s="289"/>
      <c r="O918" s="289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 ht="24" customHeight="1" x14ac:dyDescent="0.5">
      <c r="A919" s="81"/>
      <c r="B919" s="81"/>
      <c r="C919" s="81"/>
      <c r="D919" s="81"/>
      <c r="E919" s="81"/>
      <c r="F919" s="81"/>
      <c r="G919" s="81"/>
      <c r="H919" s="81"/>
      <c r="I919" s="289"/>
      <c r="J919" s="81"/>
      <c r="K919" s="289"/>
      <c r="L919" s="289"/>
      <c r="M919" s="289"/>
      <c r="N919" s="289"/>
      <c r="O919" s="289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 ht="24" customHeight="1" x14ac:dyDescent="0.5">
      <c r="A920" s="81"/>
      <c r="B920" s="81"/>
      <c r="C920" s="81"/>
      <c r="D920" s="81"/>
      <c r="E920" s="81"/>
      <c r="F920" s="81"/>
      <c r="G920" s="81"/>
      <c r="H920" s="81"/>
      <c r="I920" s="289"/>
      <c r="J920" s="81"/>
      <c r="K920" s="289"/>
      <c r="L920" s="289"/>
      <c r="M920" s="289"/>
      <c r="N920" s="289"/>
      <c r="O920" s="289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 ht="24" customHeight="1" x14ac:dyDescent="0.5">
      <c r="A921" s="81"/>
      <c r="B921" s="81"/>
      <c r="C921" s="81"/>
      <c r="D921" s="81"/>
      <c r="E921" s="81"/>
      <c r="F921" s="81"/>
      <c r="G921" s="81"/>
      <c r="H921" s="81"/>
      <c r="I921" s="289"/>
      <c r="J921" s="81"/>
      <c r="K921" s="289"/>
      <c r="L921" s="289"/>
      <c r="M921" s="289"/>
      <c r="N921" s="289"/>
      <c r="O921" s="289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 ht="24" customHeight="1" x14ac:dyDescent="0.5">
      <c r="A922" s="81"/>
      <c r="B922" s="81"/>
      <c r="C922" s="81"/>
      <c r="D922" s="81"/>
      <c r="E922" s="81"/>
      <c r="F922" s="81"/>
      <c r="G922" s="81"/>
      <c r="H922" s="81"/>
      <c r="I922" s="289"/>
      <c r="J922" s="81"/>
      <c r="K922" s="289"/>
      <c r="L922" s="289"/>
      <c r="M922" s="289"/>
      <c r="N922" s="289"/>
      <c r="O922" s="289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 ht="24" customHeight="1" x14ac:dyDescent="0.5">
      <c r="A923" s="81"/>
      <c r="B923" s="81"/>
      <c r="C923" s="81"/>
      <c r="D923" s="81"/>
      <c r="E923" s="81"/>
      <c r="F923" s="81"/>
      <c r="G923" s="81"/>
      <c r="H923" s="81"/>
      <c r="I923" s="289"/>
      <c r="J923" s="81"/>
      <c r="K923" s="289"/>
      <c r="L923" s="289"/>
      <c r="M923" s="289"/>
      <c r="N923" s="289"/>
      <c r="O923" s="289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 ht="24" customHeight="1" x14ac:dyDescent="0.5">
      <c r="A924" s="81"/>
      <c r="B924" s="81"/>
      <c r="C924" s="81"/>
      <c r="D924" s="81"/>
      <c r="E924" s="81"/>
      <c r="F924" s="81"/>
      <c r="G924" s="81"/>
      <c r="H924" s="81"/>
      <c r="I924" s="289"/>
      <c r="J924" s="81"/>
      <c r="K924" s="289"/>
      <c r="L924" s="289"/>
      <c r="M924" s="289"/>
      <c r="N924" s="289"/>
      <c r="O924" s="289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 ht="24" customHeight="1" x14ac:dyDescent="0.5">
      <c r="A925" s="81"/>
      <c r="B925" s="81"/>
      <c r="C925" s="81"/>
      <c r="D925" s="81"/>
      <c r="E925" s="81"/>
      <c r="F925" s="81"/>
      <c r="G925" s="81"/>
      <c r="H925" s="81"/>
      <c r="I925" s="289"/>
      <c r="J925" s="81"/>
      <c r="K925" s="289"/>
      <c r="L925" s="289"/>
      <c r="M925" s="289"/>
      <c r="N925" s="289"/>
      <c r="O925" s="289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 ht="24" customHeight="1" x14ac:dyDescent="0.5">
      <c r="A926" s="81"/>
      <c r="B926" s="81"/>
      <c r="C926" s="81"/>
      <c r="D926" s="81"/>
      <c r="E926" s="81"/>
      <c r="F926" s="81"/>
      <c r="G926" s="81"/>
      <c r="H926" s="81"/>
      <c r="I926" s="289"/>
      <c r="J926" s="81"/>
      <c r="K926" s="289"/>
      <c r="L926" s="289"/>
      <c r="M926" s="289"/>
      <c r="N926" s="289"/>
      <c r="O926" s="289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 ht="24" customHeight="1" x14ac:dyDescent="0.5">
      <c r="A927" s="81"/>
      <c r="B927" s="81"/>
      <c r="C927" s="81"/>
      <c r="D927" s="81"/>
      <c r="E927" s="81"/>
      <c r="F927" s="81"/>
      <c r="G927" s="81"/>
      <c r="H927" s="81"/>
      <c r="I927" s="289"/>
      <c r="J927" s="81"/>
      <c r="K927" s="289"/>
      <c r="L927" s="289"/>
      <c r="M927" s="289"/>
      <c r="N927" s="289"/>
      <c r="O927" s="289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 ht="24" customHeight="1" x14ac:dyDescent="0.5">
      <c r="A928" s="81"/>
      <c r="B928" s="81"/>
      <c r="C928" s="81"/>
      <c r="D928" s="81"/>
      <c r="E928" s="81"/>
      <c r="F928" s="81"/>
      <c r="G928" s="81"/>
      <c r="H928" s="81"/>
      <c r="I928" s="289"/>
      <c r="J928" s="81"/>
      <c r="K928" s="289"/>
      <c r="L928" s="289"/>
      <c r="M928" s="289"/>
      <c r="N928" s="289"/>
      <c r="O928" s="289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 ht="24" customHeight="1" x14ac:dyDescent="0.5">
      <c r="A929" s="81"/>
      <c r="B929" s="81"/>
      <c r="C929" s="81"/>
      <c r="D929" s="81"/>
      <c r="E929" s="81"/>
      <c r="F929" s="81"/>
      <c r="G929" s="81"/>
      <c r="H929" s="81"/>
      <c r="I929" s="289"/>
      <c r="J929" s="81"/>
      <c r="K929" s="289"/>
      <c r="L929" s="289"/>
      <c r="M929" s="289"/>
      <c r="N929" s="289"/>
      <c r="O929" s="289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 ht="24" customHeight="1" x14ac:dyDescent="0.5">
      <c r="A930" s="81"/>
      <c r="B930" s="81"/>
      <c r="C930" s="81"/>
      <c r="D930" s="81"/>
      <c r="E930" s="81"/>
      <c r="F930" s="81"/>
      <c r="G930" s="81"/>
      <c r="H930" s="81"/>
      <c r="I930" s="289"/>
      <c r="J930" s="81"/>
      <c r="K930" s="289"/>
      <c r="L930" s="289"/>
      <c r="M930" s="289"/>
      <c r="N930" s="289"/>
      <c r="O930" s="289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 ht="24" customHeight="1" x14ac:dyDescent="0.5">
      <c r="A931" s="81"/>
      <c r="B931" s="81"/>
      <c r="C931" s="81"/>
      <c r="D931" s="81"/>
      <c r="E931" s="81"/>
      <c r="F931" s="81"/>
      <c r="G931" s="81"/>
      <c r="H931" s="81"/>
      <c r="I931" s="289"/>
      <c r="J931" s="81"/>
      <c r="K931" s="289"/>
      <c r="L931" s="289"/>
      <c r="M931" s="289"/>
      <c r="N931" s="289"/>
      <c r="O931" s="289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 ht="24" customHeight="1" x14ac:dyDescent="0.5">
      <c r="A932" s="81"/>
      <c r="B932" s="81"/>
      <c r="C932" s="81"/>
      <c r="D932" s="81"/>
      <c r="E932" s="81"/>
      <c r="F932" s="81"/>
      <c r="G932" s="81"/>
      <c r="H932" s="81"/>
      <c r="I932" s="289"/>
      <c r="J932" s="81"/>
      <c r="K932" s="289"/>
      <c r="L932" s="289"/>
      <c r="M932" s="289"/>
      <c r="N932" s="289"/>
      <c r="O932" s="289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 ht="24" customHeight="1" x14ac:dyDescent="0.5">
      <c r="A933" s="81"/>
      <c r="B933" s="81"/>
      <c r="C933" s="81"/>
      <c r="D933" s="81"/>
      <c r="E933" s="81"/>
      <c r="F933" s="81"/>
      <c r="G933" s="81"/>
      <c r="H933" s="81"/>
      <c r="I933" s="289"/>
      <c r="J933" s="81"/>
      <c r="K933" s="289"/>
      <c r="L933" s="289"/>
      <c r="M933" s="289"/>
      <c r="N933" s="289"/>
      <c r="O933" s="289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 ht="24" customHeight="1" x14ac:dyDescent="0.5">
      <c r="A934" s="81"/>
      <c r="B934" s="81"/>
      <c r="C934" s="81"/>
      <c r="D934" s="81"/>
      <c r="E934" s="81"/>
      <c r="F934" s="81"/>
      <c r="G934" s="81"/>
      <c r="H934" s="81"/>
      <c r="I934" s="289"/>
      <c r="J934" s="81"/>
      <c r="K934" s="289"/>
      <c r="L934" s="289"/>
      <c r="M934" s="289"/>
      <c r="N934" s="289"/>
      <c r="O934" s="289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 ht="24" customHeight="1" x14ac:dyDescent="0.5">
      <c r="A935" s="81"/>
      <c r="B935" s="81"/>
      <c r="C935" s="81"/>
      <c r="D935" s="81"/>
      <c r="E935" s="81"/>
      <c r="F935" s="81"/>
      <c r="G935" s="81"/>
      <c r="H935" s="81"/>
      <c r="I935" s="289"/>
      <c r="J935" s="81"/>
      <c r="K935" s="289"/>
      <c r="L935" s="289"/>
      <c r="M935" s="289"/>
      <c r="N935" s="289"/>
      <c r="O935" s="289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 ht="24" customHeight="1" x14ac:dyDescent="0.5">
      <c r="A936" s="81"/>
      <c r="B936" s="81"/>
      <c r="C936" s="81"/>
      <c r="D936" s="81"/>
      <c r="E936" s="81"/>
      <c r="F936" s="81"/>
      <c r="G936" s="81"/>
      <c r="H936" s="81"/>
      <c r="I936" s="289"/>
      <c r="J936" s="81"/>
      <c r="K936" s="289"/>
      <c r="L936" s="289"/>
      <c r="M936" s="289"/>
      <c r="N936" s="289"/>
      <c r="O936" s="289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 ht="24" customHeight="1" x14ac:dyDescent="0.5">
      <c r="A937" s="81"/>
      <c r="B937" s="81"/>
      <c r="C937" s="81"/>
      <c r="D937" s="81"/>
      <c r="E937" s="81"/>
      <c r="F937" s="81"/>
      <c r="G937" s="81"/>
      <c r="H937" s="81"/>
      <c r="I937" s="289"/>
      <c r="J937" s="81"/>
      <c r="K937" s="289"/>
      <c r="L937" s="289"/>
      <c r="M937" s="289"/>
      <c r="N937" s="289"/>
      <c r="O937" s="289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 ht="24" customHeight="1" x14ac:dyDescent="0.5">
      <c r="A938" s="81"/>
      <c r="B938" s="81"/>
      <c r="C938" s="81"/>
      <c r="D938" s="81"/>
      <c r="E938" s="81"/>
      <c r="F938" s="81"/>
      <c r="G938" s="81"/>
      <c r="H938" s="81"/>
      <c r="I938" s="289"/>
      <c r="J938" s="81"/>
      <c r="K938" s="289"/>
      <c r="L938" s="289"/>
      <c r="M938" s="289"/>
      <c r="N938" s="289"/>
      <c r="O938" s="289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 ht="24" customHeight="1" x14ac:dyDescent="0.5">
      <c r="A939" s="81"/>
      <c r="B939" s="81"/>
      <c r="C939" s="81"/>
      <c r="D939" s="81"/>
      <c r="E939" s="81"/>
      <c r="F939" s="81"/>
      <c r="G939" s="81"/>
      <c r="H939" s="81"/>
      <c r="I939" s="289"/>
      <c r="J939" s="81"/>
      <c r="K939" s="289"/>
      <c r="L939" s="289"/>
      <c r="M939" s="289"/>
      <c r="N939" s="289"/>
      <c r="O939" s="289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 ht="24" customHeight="1" x14ac:dyDescent="0.5">
      <c r="A940" s="81"/>
      <c r="B940" s="81"/>
      <c r="C940" s="81"/>
      <c r="D940" s="81"/>
      <c r="E940" s="81"/>
      <c r="F940" s="81"/>
      <c r="G940" s="81"/>
      <c r="H940" s="81"/>
      <c r="I940" s="289"/>
      <c r="J940" s="81"/>
      <c r="K940" s="289"/>
      <c r="L940" s="289"/>
      <c r="M940" s="289"/>
      <c r="N940" s="289"/>
      <c r="O940" s="289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 ht="24" customHeight="1" x14ac:dyDescent="0.5">
      <c r="A941" s="81"/>
      <c r="B941" s="81"/>
      <c r="C941" s="81"/>
      <c r="D941" s="81"/>
      <c r="E941" s="81"/>
      <c r="F941" s="81"/>
      <c r="G941" s="81"/>
      <c r="H941" s="81"/>
      <c r="I941" s="289"/>
      <c r="J941" s="81"/>
      <c r="K941" s="289"/>
      <c r="L941" s="289"/>
      <c r="M941" s="289"/>
      <c r="N941" s="289"/>
      <c r="O941" s="289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 ht="24" customHeight="1" x14ac:dyDescent="0.5">
      <c r="A942" s="81"/>
      <c r="B942" s="81"/>
      <c r="C942" s="81"/>
      <c r="D942" s="81"/>
      <c r="E942" s="81"/>
      <c r="F942" s="81"/>
      <c r="G942" s="81"/>
      <c r="H942" s="81"/>
      <c r="I942" s="289"/>
      <c r="J942" s="81"/>
      <c r="K942" s="289"/>
      <c r="L942" s="289"/>
      <c r="M942" s="289"/>
      <c r="N942" s="289"/>
      <c r="O942" s="289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 ht="24" customHeight="1" x14ac:dyDescent="0.5">
      <c r="A943" s="81"/>
      <c r="B943" s="81"/>
      <c r="C943" s="81"/>
      <c r="D943" s="81"/>
      <c r="E943" s="81"/>
      <c r="F943" s="81"/>
      <c r="G943" s="81"/>
      <c r="H943" s="81"/>
      <c r="I943" s="289"/>
      <c r="J943" s="81"/>
      <c r="K943" s="289"/>
      <c r="L943" s="289"/>
      <c r="M943" s="289"/>
      <c r="N943" s="289"/>
      <c r="O943" s="289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 ht="24" customHeight="1" x14ac:dyDescent="0.5">
      <c r="A944" s="81"/>
      <c r="B944" s="81"/>
      <c r="C944" s="81"/>
      <c r="D944" s="81"/>
      <c r="E944" s="81"/>
      <c r="F944" s="81"/>
      <c r="G944" s="81"/>
      <c r="H944" s="81"/>
      <c r="I944" s="289"/>
      <c r="J944" s="81"/>
      <c r="K944" s="289"/>
      <c r="L944" s="289"/>
      <c r="M944" s="289"/>
      <c r="N944" s="289"/>
      <c r="O944" s="289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 ht="24" customHeight="1" x14ac:dyDescent="0.5">
      <c r="A945" s="81"/>
      <c r="B945" s="81"/>
      <c r="C945" s="81"/>
      <c r="D945" s="81"/>
      <c r="E945" s="81"/>
      <c r="F945" s="81"/>
      <c r="G945" s="81"/>
      <c r="H945" s="81"/>
      <c r="I945" s="289"/>
      <c r="J945" s="81"/>
      <c r="K945" s="289"/>
      <c r="L945" s="289"/>
      <c r="M945" s="289"/>
      <c r="N945" s="289"/>
      <c r="O945" s="289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 ht="24" customHeight="1" x14ac:dyDescent="0.5">
      <c r="A946" s="81"/>
      <c r="B946" s="81"/>
      <c r="C946" s="81"/>
      <c r="D946" s="81"/>
      <c r="E946" s="81"/>
      <c r="F946" s="81"/>
      <c r="G946" s="81"/>
      <c r="H946" s="81"/>
      <c r="I946" s="289"/>
      <c r="J946" s="81"/>
      <c r="K946" s="289"/>
      <c r="L946" s="289"/>
      <c r="M946" s="289"/>
      <c r="N946" s="289"/>
      <c r="O946" s="289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 ht="24" customHeight="1" x14ac:dyDescent="0.5">
      <c r="A947" s="81"/>
      <c r="B947" s="81"/>
      <c r="C947" s="81"/>
      <c r="D947" s="81"/>
      <c r="E947" s="81"/>
      <c r="F947" s="81"/>
      <c r="G947" s="81"/>
      <c r="H947" s="81"/>
      <c r="I947" s="289"/>
      <c r="J947" s="81"/>
      <c r="K947" s="289"/>
      <c r="L947" s="289"/>
      <c r="M947" s="289"/>
      <c r="N947" s="289"/>
      <c r="O947" s="289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 ht="24" customHeight="1" x14ac:dyDescent="0.5">
      <c r="A948" s="81"/>
      <c r="B948" s="81"/>
      <c r="C948" s="81"/>
      <c r="D948" s="81"/>
      <c r="E948" s="81"/>
      <c r="F948" s="81"/>
      <c r="G948" s="81"/>
      <c r="H948" s="81"/>
      <c r="I948" s="289"/>
      <c r="J948" s="81"/>
      <c r="K948" s="289"/>
      <c r="L948" s="289"/>
      <c r="M948" s="289"/>
      <c r="N948" s="289"/>
      <c r="O948" s="289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 ht="24" customHeight="1" x14ac:dyDescent="0.5">
      <c r="A949" s="81"/>
      <c r="B949" s="81"/>
      <c r="C949" s="81"/>
      <c r="D949" s="81"/>
      <c r="E949" s="81"/>
      <c r="F949" s="81"/>
      <c r="G949" s="81"/>
      <c r="H949" s="81"/>
      <c r="I949" s="289"/>
      <c r="J949" s="81"/>
      <c r="K949" s="289"/>
      <c r="L949" s="289"/>
      <c r="M949" s="289"/>
      <c r="N949" s="289"/>
      <c r="O949" s="289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 ht="24" customHeight="1" x14ac:dyDescent="0.5">
      <c r="A950" s="81"/>
      <c r="B950" s="81"/>
      <c r="C950" s="81"/>
      <c r="D950" s="81"/>
      <c r="E950" s="81"/>
      <c r="F950" s="81"/>
      <c r="G950" s="81"/>
      <c r="H950" s="81"/>
      <c r="I950" s="289"/>
      <c r="J950" s="81"/>
      <c r="K950" s="289"/>
      <c r="L950" s="289"/>
      <c r="M950" s="289"/>
      <c r="N950" s="289"/>
      <c r="O950" s="289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 ht="24" customHeight="1" x14ac:dyDescent="0.5">
      <c r="A951" s="81"/>
      <c r="B951" s="81"/>
      <c r="C951" s="81"/>
      <c r="D951" s="81"/>
      <c r="E951" s="81"/>
      <c r="F951" s="81"/>
      <c r="G951" s="81"/>
      <c r="H951" s="81"/>
      <c r="I951" s="289"/>
      <c r="J951" s="81"/>
      <c r="K951" s="289"/>
      <c r="L951" s="289"/>
      <c r="M951" s="289"/>
      <c r="N951" s="289"/>
      <c r="O951" s="289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 ht="24" customHeight="1" x14ac:dyDescent="0.5">
      <c r="A952" s="81"/>
      <c r="B952" s="81"/>
      <c r="C952" s="81"/>
      <c r="D952" s="81"/>
      <c r="E952" s="81"/>
      <c r="F952" s="81"/>
      <c r="G952" s="81"/>
      <c r="H952" s="81"/>
      <c r="I952" s="289"/>
      <c r="J952" s="81"/>
      <c r="K952" s="289"/>
      <c r="L952" s="289"/>
      <c r="M952" s="289"/>
      <c r="N952" s="289"/>
      <c r="O952" s="289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 ht="24" customHeight="1" x14ac:dyDescent="0.5">
      <c r="A953" s="81"/>
      <c r="B953" s="81"/>
      <c r="C953" s="81"/>
      <c r="D953" s="81"/>
      <c r="E953" s="81"/>
      <c r="F953" s="81"/>
      <c r="G953" s="81"/>
      <c r="H953" s="81"/>
      <c r="I953" s="289"/>
      <c r="J953" s="81"/>
      <c r="K953" s="289"/>
      <c r="L953" s="289"/>
      <c r="M953" s="289"/>
      <c r="N953" s="289"/>
      <c r="O953" s="289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 ht="24" customHeight="1" x14ac:dyDescent="0.5">
      <c r="A954" s="81"/>
      <c r="B954" s="81"/>
      <c r="C954" s="81"/>
      <c r="D954" s="81"/>
      <c r="E954" s="81"/>
      <c r="F954" s="81"/>
      <c r="G954" s="81"/>
      <c r="H954" s="81"/>
      <c r="I954" s="289"/>
      <c r="J954" s="81"/>
      <c r="K954" s="289"/>
      <c r="L954" s="289"/>
      <c r="M954" s="289"/>
      <c r="N954" s="289"/>
      <c r="O954" s="289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 ht="24" customHeight="1" x14ac:dyDescent="0.5">
      <c r="A955" s="81"/>
      <c r="B955" s="81"/>
      <c r="C955" s="81"/>
      <c r="D955" s="81"/>
      <c r="E955" s="81"/>
      <c r="F955" s="81"/>
      <c r="G955" s="81"/>
      <c r="H955" s="81"/>
      <c r="I955" s="289"/>
      <c r="J955" s="81"/>
      <c r="K955" s="289"/>
      <c r="L955" s="289"/>
      <c r="M955" s="289"/>
      <c r="N955" s="289"/>
      <c r="O955" s="289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 ht="24" customHeight="1" x14ac:dyDescent="0.5">
      <c r="A956" s="81"/>
      <c r="B956" s="81"/>
      <c r="C956" s="81"/>
      <c r="D956" s="81"/>
      <c r="E956" s="81"/>
      <c r="F956" s="81"/>
      <c r="G956" s="81"/>
      <c r="H956" s="81"/>
      <c r="I956" s="289"/>
      <c r="J956" s="81"/>
      <c r="K956" s="289"/>
      <c r="L956" s="289"/>
      <c r="M956" s="289"/>
      <c r="N956" s="289"/>
      <c r="O956" s="289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 ht="24" customHeight="1" x14ac:dyDescent="0.5">
      <c r="A957" s="81"/>
      <c r="B957" s="81"/>
      <c r="C957" s="81"/>
      <c r="D957" s="81"/>
      <c r="E957" s="81"/>
      <c r="F957" s="81"/>
      <c r="G957" s="81"/>
      <c r="H957" s="81"/>
      <c r="I957" s="289"/>
      <c r="J957" s="81"/>
      <c r="K957" s="289"/>
      <c r="L957" s="289"/>
      <c r="M957" s="289"/>
      <c r="N957" s="289"/>
      <c r="O957" s="289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 ht="24" customHeight="1" x14ac:dyDescent="0.5">
      <c r="A958" s="81"/>
      <c r="B958" s="81"/>
      <c r="C958" s="81"/>
      <c r="D958" s="81"/>
      <c r="E958" s="81"/>
      <c r="F958" s="81"/>
      <c r="G958" s="81"/>
      <c r="H958" s="81"/>
      <c r="I958" s="289"/>
      <c r="J958" s="81"/>
      <c r="K958" s="289"/>
      <c r="L958" s="289"/>
      <c r="M958" s="289"/>
      <c r="N958" s="289"/>
      <c r="O958" s="289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 ht="24" customHeight="1" x14ac:dyDescent="0.5">
      <c r="A959" s="81"/>
      <c r="B959" s="81"/>
      <c r="C959" s="81"/>
      <c r="D959" s="81"/>
      <c r="E959" s="81"/>
      <c r="F959" s="81"/>
      <c r="G959" s="81"/>
      <c r="H959" s="81"/>
      <c r="I959" s="289"/>
      <c r="J959" s="81"/>
      <c r="K959" s="289"/>
      <c r="L959" s="289"/>
      <c r="M959" s="289"/>
      <c r="N959" s="289"/>
      <c r="O959" s="289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 ht="24" customHeight="1" x14ac:dyDescent="0.5">
      <c r="A960" s="81"/>
      <c r="B960" s="81"/>
      <c r="C960" s="81"/>
      <c r="D960" s="81"/>
      <c r="E960" s="81"/>
      <c r="F960" s="81"/>
      <c r="G960" s="81"/>
      <c r="H960" s="81"/>
      <c r="I960" s="289"/>
      <c r="J960" s="81"/>
      <c r="K960" s="289"/>
      <c r="L960" s="289"/>
      <c r="M960" s="289"/>
      <c r="N960" s="289"/>
      <c r="O960" s="289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 ht="24" customHeight="1" x14ac:dyDescent="0.5">
      <c r="A961" s="81"/>
      <c r="B961" s="81"/>
      <c r="C961" s="81"/>
      <c r="D961" s="81"/>
      <c r="E961" s="81"/>
      <c r="F961" s="81"/>
      <c r="G961" s="81"/>
      <c r="H961" s="81"/>
      <c r="I961" s="289"/>
      <c r="J961" s="81"/>
      <c r="K961" s="289"/>
      <c r="L961" s="289"/>
      <c r="M961" s="289"/>
      <c r="N961" s="289"/>
      <c r="O961" s="289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 ht="24" customHeight="1" x14ac:dyDescent="0.5">
      <c r="A962" s="81"/>
      <c r="B962" s="81"/>
      <c r="C962" s="81"/>
      <c r="D962" s="81"/>
      <c r="E962" s="81"/>
      <c r="F962" s="81"/>
      <c r="G962" s="81"/>
      <c r="H962" s="81"/>
      <c r="I962" s="289"/>
      <c r="J962" s="81"/>
      <c r="K962" s="289"/>
      <c r="L962" s="289"/>
      <c r="M962" s="289"/>
      <c r="N962" s="289"/>
      <c r="O962" s="289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 ht="24" customHeight="1" x14ac:dyDescent="0.5">
      <c r="A963" s="81"/>
      <c r="B963" s="81"/>
      <c r="C963" s="81"/>
      <c r="D963" s="81"/>
      <c r="E963" s="81"/>
      <c r="F963" s="81"/>
      <c r="G963" s="81"/>
      <c r="H963" s="81"/>
      <c r="I963" s="289"/>
      <c r="J963" s="81"/>
      <c r="K963" s="289"/>
      <c r="L963" s="289"/>
      <c r="M963" s="289"/>
      <c r="N963" s="289"/>
      <c r="O963" s="289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 ht="24" customHeight="1" x14ac:dyDescent="0.5">
      <c r="A964" s="81"/>
      <c r="B964" s="81"/>
      <c r="C964" s="81"/>
      <c r="D964" s="81"/>
      <c r="E964" s="81"/>
      <c r="F964" s="81"/>
      <c r="G964" s="81"/>
      <c r="H964" s="81"/>
      <c r="I964" s="289"/>
      <c r="J964" s="81"/>
      <c r="K964" s="289"/>
      <c r="L964" s="289"/>
      <c r="M964" s="289"/>
      <c r="N964" s="289"/>
      <c r="O964" s="289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 ht="24" customHeight="1" x14ac:dyDescent="0.5">
      <c r="A965" s="81"/>
      <c r="B965" s="81"/>
      <c r="C965" s="81"/>
      <c r="D965" s="81"/>
      <c r="E965" s="81"/>
      <c r="F965" s="81"/>
      <c r="G965" s="81"/>
      <c r="H965" s="81"/>
      <c r="I965" s="289"/>
      <c r="J965" s="81"/>
      <c r="K965" s="289"/>
      <c r="L965" s="289"/>
      <c r="M965" s="289"/>
      <c r="N965" s="289"/>
      <c r="O965" s="289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 ht="24" customHeight="1" x14ac:dyDescent="0.5">
      <c r="A966" s="81"/>
      <c r="B966" s="81"/>
      <c r="C966" s="81"/>
      <c r="D966" s="81"/>
      <c r="E966" s="81"/>
      <c r="F966" s="81"/>
      <c r="G966" s="81"/>
      <c r="H966" s="81"/>
      <c r="I966" s="289"/>
      <c r="J966" s="81"/>
      <c r="K966" s="289"/>
      <c r="L966" s="289"/>
      <c r="M966" s="289"/>
      <c r="N966" s="289"/>
      <c r="O966" s="289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 ht="24" customHeight="1" x14ac:dyDescent="0.5">
      <c r="A967" s="81"/>
      <c r="B967" s="81"/>
      <c r="C967" s="81"/>
      <c r="D967" s="81"/>
      <c r="E967" s="81"/>
      <c r="F967" s="81"/>
      <c r="G967" s="81"/>
      <c r="H967" s="81"/>
      <c r="I967" s="289"/>
      <c r="J967" s="81"/>
      <c r="K967" s="289"/>
      <c r="L967" s="289"/>
      <c r="M967" s="289"/>
      <c r="N967" s="289"/>
      <c r="O967" s="289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 ht="24" customHeight="1" x14ac:dyDescent="0.5">
      <c r="A968" s="81"/>
      <c r="B968" s="81"/>
      <c r="C968" s="81"/>
      <c r="D968" s="81"/>
      <c r="E968" s="81"/>
      <c r="F968" s="81"/>
      <c r="G968" s="81"/>
      <c r="H968" s="81"/>
      <c r="I968" s="289"/>
      <c r="J968" s="81"/>
      <c r="K968" s="289"/>
      <c r="L968" s="289"/>
      <c r="M968" s="289"/>
      <c r="N968" s="289"/>
      <c r="O968" s="289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 ht="24" customHeight="1" x14ac:dyDescent="0.5">
      <c r="A969" s="81"/>
      <c r="B969" s="81"/>
      <c r="C969" s="81"/>
      <c r="D969" s="81"/>
      <c r="E969" s="81"/>
      <c r="F969" s="81"/>
      <c r="G969" s="81"/>
      <c r="H969" s="81"/>
      <c r="I969" s="289"/>
      <c r="J969" s="81"/>
      <c r="K969" s="289"/>
      <c r="L969" s="289"/>
      <c r="M969" s="289"/>
      <c r="N969" s="289"/>
      <c r="O969" s="289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 ht="24" customHeight="1" x14ac:dyDescent="0.5">
      <c r="A970" s="81"/>
      <c r="B970" s="81"/>
      <c r="C970" s="81"/>
      <c r="D970" s="81"/>
      <c r="E970" s="81"/>
      <c r="F970" s="81"/>
      <c r="G970" s="81"/>
      <c r="H970" s="81"/>
      <c r="I970" s="289"/>
      <c r="J970" s="81"/>
      <c r="K970" s="289"/>
      <c r="L970" s="289"/>
      <c r="M970" s="289"/>
      <c r="N970" s="289"/>
      <c r="O970" s="289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 ht="24" customHeight="1" x14ac:dyDescent="0.5">
      <c r="A971" s="81"/>
      <c r="B971" s="81"/>
      <c r="C971" s="81"/>
      <c r="D971" s="81"/>
      <c r="E971" s="81"/>
      <c r="F971" s="81"/>
      <c r="G971" s="81"/>
      <c r="H971" s="81"/>
      <c r="I971" s="289"/>
      <c r="J971" s="81"/>
      <c r="K971" s="289"/>
      <c r="L971" s="289"/>
      <c r="M971" s="289"/>
      <c r="N971" s="289"/>
      <c r="O971" s="289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 ht="24" customHeight="1" x14ac:dyDescent="0.5">
      <c r="A972" s="81"/>
      <c r="B972" s="81"/>
      <c r="C972" s="81"/>
      <c r="D972" s="81"/>
      <c r="E972" s="81"/>
      <c r="F972" s="81"/>
      <c r="G972" s="81"/>
      <c r="H972" s="81"/>
      <c r="I972" s="289"/>
      <c r="J972" s="81"/>
      <c r="K972" s="289"/>
      <c r="L972" s="289"/>
      <c r="M972" s="289"/>
      <c r="N972" s="289"/>
      <c r="O972" s="289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 ht="24" customHeight="1" x14ac:dyDescent="0.5">
      <c r="A973" s="81"/>
      <c r="B973" s="81"/>
      <c r="C973" s="81"/>
      <c r="D973" s="81"/>
      <c r="E973" s="81"/>
      <c r="F973" s="81"/>
      <c r="G973" s="81"/>
      <c r="H973" s="81"/>
      <c r="I973" s="289"/>
      <c r="J973" s="81"/>
      <c r="K973" s="289"/>
      <c r="L973" s="289"/>
      <c r="M973" s="289"/>
      <c r="N973" s="289"/>
      <c r="O973" s="289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 ht="24" customHeight="1" x14ac:dyDescent="0.5">
      <c r="A974" s="81"/>
      <c r="B974" s="81"/>
      <c r="C974" s="81"/>
      <c r="D974" s="81"/>
      <c r="E974" s="81"/>
      <c r="F974" s="81"/>
      <c r="G974" s="81"/>
      <c r="H974" s="81"/>
      <c r="I974" s="289"/>
      <c r="J974" s="81"/>
      <c r="K974" s="289"/>
      <c r="L974" s="289"/>
      <c r="M974" s="289"/>
      <c r="N974" s="289"/>
      <c r="O974" s="289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 ht="24" customHeight="1" x14ac:dyDescent="0.5">
      <c r="A975" s="81"/>
      <c r="B975" s="81"/>
      <c r="C975" s="81"/>
      <c r="D975" s="81"/>
      <c r="E975" s="81"/>
      <c r="F975" s="81"/>
      <c r="G975" s="81"/>
      <c r="H975" s="81"/>
      <c r="I975" s="289"/>
      <c r="J975" s="81"/>
      <c r="K975" s="289"/>
      <c r="L975" s="289"/>
      <c r="M975" s="289"/>
      <c r="N975" s="289"/>
      <c r="O975" s="289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 ht="24" customHeight="1" x14ac:dyDescent="0.5">
      <c r="A976" s="81"/>
      <c r="B976" s="81"/>
      <c r="C976" s="81"/>
      <c r="D976" s="81"/>
      <c r="E976" s="81"/>
      <c r="F976" s="81"/>
      <c r="G976" s="81"/>
      <c r="H976" s="81"/>
      <c r="I976" s="289"/>
      <c r="J976" s="81"/>
      <c r="K976" s="289"/>
      <c r="L976" s="289"/>
      <c r="M976" s="289"/>
      <c r="N976" s="289"/>
      <c r="O976" s="289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 ht="24" customHeight="1" x14ac:dyDescent="0.5">
      <c r="A977" s="81"/>
      <c r="B977" s="81"/>
      <c r="C977" s="81"/>
      <c r="D977" s="81"/>
      <c r="E977" s="81"/>
      <c r="F977" s="81"/>
      <c r="G977" s="81"/>
      <c r="H977" s="81"/>
      <c r="I977" s="289"/>
      <c r="J977" s="81"/>
      <c r="K977" s="289"/>
      <c r="L977" s="289"/>
      <c r="M977" s="289"/>
      <c r="N977" s="289"/>
      <c r="O977" s="289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 ht="24" customHeight="1" x14ac:dyDescent="0.5">
      <c r="A978" s="81"/>
      <c r="B978" s="81"/>
      <c r="C978" s="81"/>
      <c r="D978" s="81"/>
      <c r="E978" s="81"/>
      <c r="F978" s="81"/>
      <c r="G978" s="81"/>
      <c r="H978" s="81"/>
      <c r="I978" s="289"/>
      <c r="J978" s="81"/>
      <c r="K978" s="289"/>
      <c r="L978" s="289"/>
      <c r="M978" s="289"/>
      <c r="N978" s="289"/>
      <c r="O978" s="289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 ht="24" customHeight="1" x14ac:dyDescent="0.5">
      <c r="A979" s="81"/>
      <c r="B979" s="81"/>
      <c r="C979" s="81"/>
      <c r="D979" s="81"/>
      <c r="E979" s="81"/>
      <c r="F979" s="81"/>
      <c r="G979" s="81"/>
      <c r="H979" s="81"/>
      <c r="I979" s="289"/>
      <c r="J979" s="81"/>
      <c r="K979" s="289"/>
      <c r="L979" s="289"/>
      <c r="M979" s="289"/>
      <c r="N979" s="289"/>
      <c r="O979" s="289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 ht="24" customHeight="1" x14ac:dyDescent="0.5">
      <c r="A980" s="81"/>
      <c r="B980" s="81"/>
      <c r="C980" s="81"/>
      <c r="D980" s="81"/>
      <c r="E980" s="81"/>
      <c r="F980" s="81"/>
      <c r="G980" s="81"/>
      <c r="H980" s="81"/>
      <c r="I980" s="289"/>
      <c r="J980" s="81"/>
      <c r="K980" s="289"/>
      <c r="L980" s="289"/>
      <c r="M980" s="289"/>
      <c r="N980" s="289"/>
      <c r="O980" s="289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 ht="24" customHeight="1" x14ac:dyDescent="0.5">
      <c r="A981" s="81"/>
      <c r="B981" s="81"/>
      <c r="C981" s="81"/>
      <c r="D981" s="81"/>
      <c r="E981" s="81"/>
      <c r="F981" s="81"/>
      <c r="G981" s="81"/>
      <c r="H981" s="81"/>
      <c r="I981" s="289"/>
      <c r="J981" s="81"/>
      <c r="K981" s="289"/>
      <c r="L981" s="289"/>
      <c r="M981" s="289"/>
      <c r="N981" s="289"/>
      <c r="O981" s="289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 ht="24" customHeight="1" x14ac:dyDescent="0.5">
      <c r="A982" s="81"/>
      <c r="B982" s="81"/>
      <c r="C982" s="81"/>
      <c r="D982" s="81"/>
      <c r="E982" s="81"/>
      <c r="F982" s="81"/>
      <c r="G982" s="81"/>
      <c r="H982" s="81"/>
      <c r="I982" s="289"/>
      <c r="J982" s="81"/>
      <c r="K982" s="289"/>
      <c r="L982" s="289"/>
      <c r="M982" s="289"/>
      <c r="N982" s="289"/>
      <c r="O982" s="289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 ht="24" customHeight="1" x14ac:dyDescent="0.5">
      <c r="A983" s="81"/>
      <c r="B983" s="81"/>
      <c r="C983" s="81"/>
      <c r="D983" s="81"/>
      <c r="E983" s="81"/>
      <c r="F983" s="81"/>
      <c r="G983" s="81"/>
      <c r="H983" s="81"/>
      <c r="I983" s="289"/>
      <c r="J983" s="81"/>
      <c r="K983" s="289"/>
      <c r="L983" s="289"/>
      <c r="M983" s="289"/>
      <c r="N983" s="289"/>
      <c r="O983" s="289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 ht="24" customHeight="1" x14ac:dyDescent="0.5">
      <c r="A984" s="81"/>
      <c r="B984" s="81"/>
      <c r="C984" s="81"/>
      <c r="D984" s="81"/>
      <c r="E984" s="81"/>
      <c r="F984" s="81"/>
      <c r="G984" s="81"/>
      <c r="H984" s="81"/>
      <c r="I984" s="289"/>
      <c r="J984" s="81"/>
      <c r="K984" s="289"/>
      <c r="L984" s="289"/>
      <c r="M984" s="289"/>
      <c r="N984" s="289"/>
      <c r="O984" s="289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 ht="24" customHeight="1" x14ac:dyDescent="0.5">
      <c r="A985" s="81"/>
      <c r="B985" s="81"/>
      <c r="C985" s="81"/>
      <c r="D985" s="81"/>
      <c r="E985" s="81"/>
      <c r="F985" s="81"/>
      <c r="G985" s="81"/>
      <c r="H985" s="81"/>
      <c r="I985" s="289"/>
      <c r="J985" s="81"/>
      <c r="K985" s="289"/>
      <c r="L985" s="289"/>
      <c r="M985" s="289"/>
      <c r="N985" s="289"/>
      <c r="O985" s="289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 ht="24" customHeight="1" x14ac:dyDescent="0.5">
      <c r="A986" s="81"/>
      <c r="B986" s="81"/>
      <c r="C986" s="81"/>
      <c r="D986" s="81"/>
      <c r="E986" s="81"/>
      <c r="F986" s="81"/>
      <c r="G986" s="81"/>
      <c r="H986" s="81"/>
      <c r="I986" s="289"/>
      <c r="J986" s="81"/>
      <c r="K986" s="289"/>
      <c r="L986" s="289"/>
      <c r="M986" s="289"/>
      <c r="N986" s="289"/>
      <c r="O986" s="289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 ht="24" customHeight="1" x14ac:dyDescent="0.5">
      <c r="A987" s="81"/>
      <c r="B987" s="81"/>
      <c r="C987" s="81"/>
      <c r="D987" s="81"/>
      <c r="E987" s="81"/>
      <c r="F987" s="81"/>
      <c r="G987" s="81"/>
      <c r="H987" s="81"/>
      <c r="I987" s="289"/>
      <c r="J987" s="81"/>
      <c r="K987" s="289"/>
      <c r="L987" s="289"/>
      <c r="M987" s="289"/>
      <c r="N987" s="289"/>
      <c r="O987" s="289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 ht="24" customHeight="1" x14ac:dyDescent="0.5">
      <c r="A988" s="81"/>
      <c r="B988" s="81"/>
      <c r="C988" s="81"/>
      <c r="D988" s="81"/>
      <c r="E988" s="81"/>
      <c r="F988" s="81"/>
      <c r="G988" s="81"/>
      <c r="H988" s="81"/>
      <c r="I988" s="289"/>
      <c r="J988" s="81"/>
      <c r="K988" s="289"/>
      <c r="L988" s="289"/>
      <c r="M988" s="289"/>
      <c r="N988" s="289"/>
      <c r="O988" s="289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 ht="24" customHeight="1" x14ac:dyDescent="0.5">
      <c r="A989" s="81"/>
      <c r="B989" s="81"/>
      <c r="C989" s="81"/>
      <c r="D989" s="81"/>
      <c r="E989" s="81"/>
      <c r="F989" s="81"/>
      <c r="G989" s="81"/>
      <c r="H989" s="81"/>
      <c r="I989" s="289"/>
      <c r="J989" s="81"/>
      <c r="K989" s="289"/>
      <c r="L989" s="289"/>
      <c r="M989" s="289"/>
      <c r="N989" s="289"/>
      <c r="O989" s="289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 ht="24" customHeight="1" x14ac:dyDescent="0.5">
      <c r="A990" s="81"/>
      <c r="B990" s="81"/>
      <c r="C990" s="81"/>
      <c r="D990" s="81"/>
      <c r="E990" s="81"/>
      <c r="F990" s="81"/>
      <c r="G990" s="81"/>
      <c r="H990" s="81"/>
      <c r="I990" s="289"/>
      <c r="J990" s="81"/>
      <c r="K990" s="289"/>
      <c r="L990" s="289"/>
      <c r="M990" s="289"/>
      <c r="N990" s="289"/>
      <c r="O990" s="289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 ht="24" customHeight="1" x14ac:dyDescent="0.5">
      <c r="A991" s="81"/>
      <c r="B991" s="81"/>
      <c r="C991" s="81"/>
      <c r="D991" s="81"/>
      <c r="E991" s="81"/>
      <c r="F991" s="81"/>
      <c r="G991" s="81"/>
      <c r="H991" s="81"/>
      <c r="I991" s="289"/>
      <c r="J991" s="81"/>
      <c r="K991" s="289"/>
      <c r="L991" s="289"/>
      <c r="M991" s="289"/>
      <c r="N991" s="289"/>
      <c r="O991" s="289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 ht="24" customHeight="1" x14ac:dyDescent="0.5">
      <c r="A992" s="81"/>
      <c r="B992" s="81"/>
      <c r="C992" s="81"/>
      <c r="D992" s="81"/>
      <c r="E992" s="81"/>
      <c r="F992" s="81"/>
      <c r="G992" s="81"/>
      <c r="H992" s="81"/>
      <c r="I992" s="289"/>
      <c r="J992" s="81"/>
      <c r="K992" s="289"/>
      <c r="L992" s="289"/>
      <c r="M992" s="289"/>
      <c r="N992" s="289"/>
      <c r="O992" s="289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 ht="24" customHeight="1" x14ac:dyDescent="0.5">
      <c r="A993" s="81"/>
      <c r="B993" s="81"/>
      <c r="C993" s="81"/>
      <c r="D993" s="81"/>
      <c r="E993" s="81"/>
      <c r="F993" s="81"/>
      <c r="G993" s="81"/>
      <c r="H993" s="81"/>
      <c r="I993" s="289"/>
      <c r="J993" s="81"/>
      <c r="K993" s="289"/>
      <c r="L993" s="289"/>
      <c r="M993" s="289"/>
      <c r="N993" s="289"/>
      <c r="O993" s="289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 ht="24" customHeight="1" x14ac:dyDescent="0.5">
      <c r="A994" s="81"/>
      <c r="B994" s="81"/>
      <c r="C994" s="81"/>
      <c r="D994" s="81"/>
      <c r="E994" s="81"/>
      <c r="F994" s="81"/>
      <c r="G994" s="81"/>
      <c r="H994" s="81"/>
      <c r="I994" s="289"/>
      <c r="J994" s="81"/>
      <c r="K994" s="289"/>
      <c r="L994" s="289"/>
      <c r="M994" s="289"/>
      <c r="N994" s="289"/>
      <c r="O994" s="289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 ht="24" customHeight="1" x14ac:dyDescent="0.5">
      <c r="A995" s="81"/>
      <c r="B995" s="81"/>
      <c r="C995" s="81"/>
      <c r="D995" s="81"/>
      <c r="E995" s="81"/>
      <c r="F995" s="81"/>
      <c r="G995" s="81"/>
      <c r="H995" s="81"/>
      <c r="I995" s="289"/>
      <c r="J995" s="81"/>
      <c r="K995" s="289"/>
      <c r="L995" s="289"/>
      <c r="M995" s="289"/>
      <c r="N995" s="289"/>
      <c r="O995" s="289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 ht="24" customHeight="1" x14ac:dyDescent="0.5">
      <c r="A996" s="81"/>
      <c r="B996" s="81"/>
      <c r="C996" s="81"/>
      <c r="D996" s="81"/>
      <c r="E996" s="81"/>
      <c r="F996" s="81"/>
      <c r="G996" s="81"/>
      <c r="H996" s="81"/>
      <c r="I996" s="289"/>
      <c r="J996" s="81"/>
      <c r="K996" s="289"/>
      <c r="L996" s="289"/>
      <c r="M996" s="289"/>
      <c r="N996" s="289"/>
      <c r="O996" s="289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 ht="24" customHeight="1" x14ac:dyDescent="0.5">
      <c r="A997" s="81"/>
      <c r="B997" s="81"/>
      <c r="C997" s="81"/>
      <c r="D997" s="81"/>
      <c r="E997" s="81"/>
      <c r="F997" s="81"/>
      <c r="G997" s="81"/>
      <c r="H997" s="81"/>
      <c r="I997" s="289"/>
      <c r="J997" s="81"/>
      <c r="K997" s="289"/>
      <c r="L997" s="289"/>
      <c r="M997" s="289"/>
      <c r="N997" s="289"/>
      <c r="O997" s="289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 ht="24" customHeight="1" x14ac:dyDescent="0.5">
      <c r="A998" s="81"/>
      <c r="B998" s="81"/>
      <c r="C998" s="81"/>
      <c r="D998" s="81"/>
      <c r="E998" s="81"/>
      <c r="F998" s="81"/>
      <c r="G998" s="81"/>
      <c r="H998" s="81"/>
      <c r="I998" s="289"/>
      <c r="J998" s="81"/>
      <c r="K998" s="289"/>
      <c r="L998" s="289"/>
      <c r="M998" s="289"/>
      <c r="N998" s="289"/>
      <c r="O998" s="289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 ht="24" customHeight="1" x14ac:dyDescent="0.5">
      <c r="A999" s="81"/>
      <c r="B999" s="81"/>
      <c r="C999" s="81"/>
      <c r="D999" s="81"/>
      <c r="E999" s="81"/>
      <c r="F999" s="81"/>
      <c r="G999" s="81"/>
      <c r="H999" s="81"/>
      <c r="I999" s="289"/>
      <c r="J999" s="81"/>
      <c r="K999" s="289"/>
      <c r="L999" s="289"/>
      <c r="M999" s="289"/>
      <c r="N999" s="289"/>
      <c r="O999" s="289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  <row r="1000" spans="1:26" ht="24" customHeight="1" x14ac:dyDescent="0.5">
      <c r="A1000" s="81"/>
      <c r="B1000" s="81"/>
      <c r="C1000" s="81"/>
      <c r="D1000" s="81"/>
      <c r="E1000" s="81"/>
      <c r="F1000" s="81"/>
      <c r="G1000" s="81"/>
      <c r="H1000" s="81"/>
      <c r="I1000" s="289"/>
      <c r="J1000" s="81"/>
      <c r="K1000" s="289"/>
      <c r="L1000" s="289"/>
      <c r="M1000" s="289"/>
      <c r="N1000" s="289"/>
      <c r="O1000" s="289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</row>
  </sheetData>
  <mergeCells count="20">
    <mergeCell ref="A91:B91"/>
    <mergeCell ref="A106:B106"/>
    <mergeCell ref="A2:B6"/>
    <mergeCell ref="A7:B8"/>
    <mergeCell ref="A9:B9"/>
    <mergeCell ref="A15:B15"/>
    <mergeCell ref="A33:B33"/>
    <mergeCell ref="A54:B54"/>
    <mergeCell ref="A76:B76"/>
    <mergeCell ref="F6:G6"/>
    <mergeCell ref="F7:G7"/>
    <mergeCell ref="I7:J7"/>
    <mergeCell ref="K7:L7"/>
    <mergeCell ref="C2:O3"/>
    <mergeCell ref="C4:G5"/>
    <mergeCell ref="H4:O5"/>
    <mergeCell ref="C6:E6"/>
    <mergeCell ref="H6:H8"/>
    <mergeCell ref="I6:O6"/>
    <mergeCell ref="D7:D8"/>
  </mergeCells>
  <printOptions horizontalCentered="1"/>
  <pageMargins left="0.20866141699999999" right="0.20866141699999999" top="0.49803149600000002" bottom="0.24803149599999999" header="0" footer="0"/>
  <pageSetup paperSize="9" scale="70" orientation="landscape" r:id="rId1"/>
  <rowBreaks count="4" manualBreakCount="4">
    <brk id="32" max="14" man="1"/>
    <brk id="53" max="14" man="1"/>
    <brk id="75" max="14" man="1"/>
    <brk id="90" max="14" man="1"/>
  </rowBreaks>
  <colBreaks count="1" manualBreakCount="1">
    <brk id="15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D965"/>
  </sheetPr>
  <dimension ref="A1:Z1000"/>
  <sheetViews>
    <sheetView view="pageBreakPreview" zoomScale="115" zoomScaleNormal="85" zoomScaleSheetLayoutView="115" workbookViewId="0">
      <pane xSplit="2" ySplit="9" topLeftCell="C10" activePane="bottomRight" state="frozen"/>
      <selection activeCell="Z5" sqref="Z5:AB6"/>
      <selection pane="topRight" activeCell="Z5" sqref="Z5:AB6"/>
      <selection pane="bottomLeft" activeCell="Z5" sqref="Z5:AB6"/>
      <selection pane="bottomRight" activeCell="E18" sqref="E18"/>
    </sheetView>
  </sheetViews>
  <sheetFormatPr defaultColWidth="12.625" defaultRowHeight="24" customHeight="1" x14ac:dyDescent="0.5"/>
  <cols>
    <col min="1" max="1" width="4.375" style="6" customWidth="1"/>
    <col min="2" max="2" width="27.75" style="6" customWidth="1"/>
    <col min="3" max="6" width="10.75" style="6" customWidth="1"/>
    <col min="7" max="7" width="7" style="6" customWidth="1"/>
    <col min="8" max="8" width="8.625" style="6" customWidth="1"/>
    <col min="9" max="9" width="8.875" style="6" customWidth="1"/>
    <col min="10" max="11" width="7.625" style="6" customWidth="1"/>
    <col min="12" max="12" width="8.75" style="6" customWidth="1"/>
    <col min="13" max="14" width="7.625" style="6" customWidth="1"/>
    <col min="15" max="15" width="6" style="6" customWidth="1"/>
    <col min="16" max="17" width="7.625" style="6" customWidth="1"/>
    <col min="18" max="18" width="6.25" style="6" customWidth="1"/>
    <col min="19" max="20" width="7.625" style="6" customWidth="1"/>
    <col min="21" max="21" width="6.5" style="6" customWidth="1"/>
    <col min="22" max="16384" width="12.625" style="6"/>
  </cols>
  <sheetData>
    <row r="1" spans="1:26" ht="24" customHeight="1" x14ac:dyDescent="0.5">
      <c r="A1" s="257" t="s">
        <v>324</v>
      </c>
      <c r="B1" s="258"/>
      <c r="C1" s="259"/>
      <c r="D1" s="259"/>
      <c r="E1" s="259"/>
      <c r="F1" s="259"/>
      <c r="G1" s="259"/>
      <c r="H1" s="258"/>
      <c r="I1" s="258"/>
      <c r="J1" s="259"/>
      <c r="K1" s="258"/>
      <c r="L1" s="258"/>
      <c r="M1" s="259"/>
      <c r="N1" s="258"/>
      <c r="O1" s="258"/>
      <c r="P1" s="259"/>
      <c r="Q1" s="258"/>
      <c r="R1" s="258"/>
      <c r="S1" s="259"/>
      <c r="T1" s="258"/>
      <c r="U1" s="258"/>
      <c r="V1" s="261"/>
      <c r="W1" s="261"/>
      <c r="X1" s="261"/>
      <c r="Y1" s="261"/>
      <c r="Z1" s="261"/>
    </row>
    <row r="2" spans="1:26" ht="24" customHeight="1" x14ac:dyDescent="0.5">
      <c r="A2" s="752" t="s">
        <v>0</v>
      </c>
      <c r="B2" s="627"/>
      <c r="C2" s="844" t="s">
        <v>284</v>
      </c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755"/>
      <c r="V2" s="81"/>
      <c r="W2" s="81"/>
      <c r="X2" s="81"/>
      <c r="Y2" s="81"/>
      <c r="Z2" s="81"/>
    </row>
    <row r="3" spans="1:26" ht="24" customHeight="1" x14ac:dyDescent="0.5">
      <c r="A3" s="628"/>
      <c r="B3" s="629"/>
      <c r="C3" s="815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757"/>
      <c r="V3" s="81"/>
      <c r="W3" s="81"/>
      <c r="X3" s="81"/>
      <c r="Y3" s="81"/>
      <c r="Z3" s="81"/>
    </row>
    <row r="4" spans="1:26" ht="24" customHeight="1" x14ac:dyDescent="0.5">
      <c r="A4" s="628"/>
      <c r="B4" s="629"/>
      <c r="C4" s="816" t="s">
        <v>202</v>
      </c>
      <c r="D4" s="817"/>
      <c r="E4" s="817"/>
      <c r="F4" s="817"/>
      <c r="G4" s="822"/>
      <c r="H4" s="899" t="s">
        <v>285</v>
      </c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817"/>
      <c r="U4" s="866"/>
      <c r="V4" s="81"/>
      <c r="W4" s="81"/>
      <c r="X4" s="81"/>
      <c r="Y4" s="81"/>
      <c r="Z4" s="81"/>
    </row>
    <row r="5" spans="1:26" ht="24" customHeight="1" x14ac:dyDescent="0.5">
      <c r="A5" s="628"/>
      <c r="B5" s="629"/>
      <c r="C5" s="815"/>
      <c r="D5" s="669"/>
      <c r="E5" s="669"/>
      <c r="F5" s="669"/>
      <c r="G5" s="824"/>
      <c r="H5" s="900"/>
      <c r="I5" s="853"/>
      <c r="J5" s="853"/>
      <c r="K5" s="853"/>
      <c r="L5" s="853"/>
      <c r="M5" s="853"/>
      <c r="N5" s="853"/>
      <c r="O5" s="853"/>
      <c r="P5" s="853"/>
      <c r="Q5" s="853"/>
      <c r="R5" s="853"/>
      <c r="S5" s="853"/>
      <c r="T5" s="853"/>
      <c r="U5" s="767"/>
      <c r="V5" s="81"/>
      <c r="W5" s="81"/>
      <c r="X5" s="81"/>
      <c r="Y5" s="81"/>
      <c r="Z5" s="81"/>
    </row>
    <row r="6" spans="1:26" ht="24" customHeight="1" x14ac:dyDescent="0.5">
      <c r="A6" s="630"/>
      <c r="B6" s="631"/>
      <c r="C6" s="834" t="s">
        <v>6</v>
      </c>
      <c r="D6" s="819"/>
      <c r="E6" s="812"/>
      <c r="F6" s="835" t="s">
        <v>7</v>
      </c>
      <c r="G6" s="817"/>
      <c r="H6" s="901" t="s">
        <v>16</v>
      </c>
      <c r="I6" s="812"/>
      <c r="J6" s="898" t="s">
        <v>192</v>
      </c>
      <c r="K6" s="819"/>
      <c r="L6" s="819"/>
      <c r="M6" s="819"/>
      <c r="N6" s="819"/>
      <c r="O6" s="819"/>
      <c r="P6" s="819"/>
      <c r="Q6" s="819"/>
      <c r="R6" s="819"/>
      <c r="S6" s="819"/>
      <c r="T6" s="819"/>
      <c r="U6" s="820"/>
      <c r="V6" s="262"/>
      <c r="W6" s="262"/>
      <c r="X6" s="262"/>
      <c r="Y6" s="262"/>
      <c r="Z6" s="262"/>
    </row>
    <row r="7" spans="1:26" ht="24" customHeight="1" x14ac:dyDescent="0.5">
      <c r="A7" s="773" t="s">
        <v>207</v>
      </c>
      <c r="B7" s="774"/>
      <c r="C7" s="518" t="s">
        <v>12</v>
      </c>
      <c r="D7" s="604" t="s">
        <v>13</v>
      </c>
      <c r="E7" s="511" t="s">
        <v>14</v>
      </c>
      <c r="F7" s="838" t="s">
        <v>15</v>
      </c>
      <c r="G7" s="824"/>
      <c r="H7" s="554" t="s">
        <v>193</v>
      </c>
      <c r="I7" s="555" t="s">
        <v>194</v>
      </c>
      <c r="J7" s="898" t="s">
        <v>194</v>
      </c>
      <c r="K7" s="819"/>
      <c r="L7" s="819"/>
      <c r="M7" s="898" t="s">
        <v>195</v>
      </c>
      <c r="N7" s="819"/>
      <c r="O7" s="812"/>
      <c r="P7" s="898" t="s">
        <v>196</v>
      </c>
      <c r="Q7" s="819"/>
      <c r="R7" s="812"/>
      <c r="S7" s="898" t="s">
        <v>197</v>
      </c>
      <c r="T7" s="819"/>
      <c r="U7" s="820"/>
      <c r="V7" s="262"/>
      <c r="W7" s="262"/>
      <c r="X7" s="262"/>
      <c r="Y7" s="262"/>
      <c r="Z7" s="262"/>
    </row>
    <row r="8" spans="1:26" ht="35.25" customHeight="1" x14ac:dyDescent="0.5">
      <c r="A8" s="775"/>
      <c r="B8" s="776"/>
      <c r="C8" s="520"/>
      <c r="D8" s="605"/>
      <c r="E8" s="512"/>
      <c r="F8" s="14" t="s">
        <v>18</v>
      </c>
      <c r="G8" s="14" t="s">
        <v>19</v>
      </c>
      <c r="H8" s="148" t="s">
        <v>22</v>
      </c>
      <c r="I8" s="556" t="s">
        <v>286</v>
      </c>
      <c r="J8" s="521" t="s">
        <v>20</v>
      </c>
      <c r="K8" s="521" t="s">
        <v>199</v>
      </c>
      <c r="L8" s="465" t="s">
        <v>287</v>
      </c>
      <c r="M8" s="17" t="s">
        <v>21</v>
      </c>
      <c r="N8" s="521" t="s">
        <v>199</v>
      </c>
      <c r="O8" s="465" t="s">
        <v>288</v>
      </c>
      <c r="P8" s="17" t="s">
        <v>21</v>
      </c>
      <c r="Q8" s="521" t="s">
        <v>199</v>
      </c>
      <c r="R8" s="439" t="s">
        <v>288</v>
      </c>
      <c r="S8" s="17" t="s">
        <v>21</v>
      </c>
      <c r="T8" s="521" t="s">
        <v>199</v>
      </c>
      <c r="U8" s="466" t="s">
        <v>288</v>
      </c>
      <c r="V8" s="241"/>
      <c r="W8" s="241"/>
      <c r="X8" s="241"/>
      <c r="Y8" s="241"/>
      <c r="Z8" s="241"/>
    </row>
    <row r="9" spans="1:26" ht="24" customHeight="1" x14ac:dyDescent="0.5">
      <c r="A9" s="771" t="s">
        <v>24</v>
      </c>
      <c r="B9" s="643"/>
      <c r="C9" s="265">
        <f t="shared" ref="C9:E9" si="0">C10+C11</f>
        <v>8911999.9100000001</v>
      </c>
      <c r="D9" s="266">
        <f t="shared" si="0"/>
        <v>0</v>
      </c>
      <c r="E9" s="267">
        <f t="shared" si="0"/>
        <v>8911999.9100000001</v>
      </c>
      <c r="F9" s="242">
        <f ca="1">+F10+F11</f>
        <v>79594.14</v>
      </c>
      <c r="G9" s="243">
        <f t="shared" ref="G9:G114" ca="1" si="1">IF(C9&gt;0,F9*100/C9,0)</f>
        <v>0.89311199286131948</v>
      </c>
      <c r="H9" s="244">
        <f t="shared" ref="H9:K9" si="2">H10+H11</f>
        <v>5813</v>
      </c>
      <c r="I9" s="244">
        <f t="shared" si="2"/>
        <v>5813</v>
      </c>
      <c r="J9" s="245">
        <f t="shared" ca="1" si="2"/>
        <v>399</v>
      </c>
      <c r="K9" s="245">
        <f t="shared" ca="1" si="2"/>
        <v>321.77999999999997</v>
      </c>
      <c r="L9" s="246">
        <f t="shared" ref="L9:L114" ca="1" si="3">IF(I9&gt;0,J9*100/I9,0)</f>
        <v>6.8639256838121456</v>
      </c>
      <c r="M9" s="245">
        <f t="shared" ref="M9:N9" ca="1" si="4">M10+M11</f>
        <v>49</v>
      </c>
      <c r="N9" s="245">
        <f t="shared" ca="1" si="4"/>
        <v>28.859999999999996</v>
      </c>
      <c r="O9" s="246">
        <f t="shared" ref="O9:O114" ca="1" si="5">IF(H9&gt;0,M9*100/H9,0)</f>
        <v>0.84293824187166699</v>
      </c>
      <c r="P9" s="245">
        <f t="shared" ref="P9:Q9" ca="1" si="6">P10+P11</f>
        <v>0</v>
      </c>
      <c r="Q9" s="245">
        <f t="shared" ca="1" si="6"/>
        <v>0</v>
      </c>
      <c r="R9" s="246">
        <f t="shared" ref="R9:R114" ca="1" si="7">IF(H9&gt;0,P9*100/H9,0)</f>
        <v>0</v>
      </c>
      <c r="S9" s="245">
        <f t="shared" ref="S9:T9" ca="1" si="8">S10+S11</f>
        <v>18</v>
      </c>
      <c r="T9" s="245">
        <f t="shared" ca="1" si="8"/>
        <v>11.09</v>
      </c>
      <c r="U9" s="246">
        <f t="shared" ref="U9:U114" ca="1" si="9">IF(H9&gt;0,S9*100/H9,0)</f>
        <v>0.30965078272836744</v>
      </c>
      <c r="V9" s="3"/>
      <c r="W9" s="3"/>
      <c r="X9" s="3"/>
      <c r="Y9" s="3"/>
      <c r="Z9" s="3"/>
    </row>
    <row r="10" spans="1:26" ht="24" customHeight="1" x14ac:dyDescent="0.5">
      <c r="A10" s="27" t="s">
        <v>25</v>
      </c>
      <c r="B10" s="28"/>
      <c r="C10" s="248">
        <f t="shared" ref="C10:F10" si="10">+C15+C33+C54+C76</f>
        <v>8911999.9100000001</v>
      </c>
      <c r="D10" s="29">
        <f t="shared" si="10"/>
        <v>0</v>
      </c>
      <c r="E10" s="29">
        <f t="shared" si="10"/>
        <v>8911999.9100000001</v>
      </c>
      <c r="F10" s="29">
        <f t="shared" ca="1" si="10"/>
        <v>79594.14</v>
      </c>
      <c r="G10" s="91">
        <f t="shared" ca="1" si="1"/>
        <v>0.89311199286131948</v>
      </c>
      <c r="H10" s="66">
        <f t="shared" ref="H10:K10" si="11">+H15+H33+H54+H76</f>
        <v>5813</v>
      </c>
      <c r="I10" s="66">
        <f t="shared" si="11"/>
        <v>5813</v>
      </c>
      <c r="J10" s="66">
        <f t="shared" ca="1" si="11"/>
        <v>399</v>
      </c>
      <c r="K10" s="66">
        <f t="shared" ca="1" si="11"/>
        <v>321.77999999999997</v>
      </c>
      <c r="L10" s="91">
        <f t="shared" ca="1" si="3"/>
        <v>6.8639256838121456</v>
      </c>
      <c r="M10" s="66">
        <f t="shared" ref="M10:N10" ca="1" si="12">+M15+M33+M54+M76</f>
        <v>49</v>
      </c>
      <c r="N10" s="66">
        <f t="shared" ca="1" si="12"/>
        <v>28.859999999999996</v>
      </c>
      <c r="O10" s="91">
        <f t="shared" ca="1" si="5"/>
        <v>0.84293824187166699</v>
      </c>
      <c r="P10" s="66">
        <f t="shared" ref="P10:Q10" ca="1" si="13">+P15+P33+P54+P76</f>
        <v>0</v>
      </c>
      <c r="Q10" s="66">
        <f t="shared" ca="1" si="13"/>
        <v>0</v>
      </c>
      <c r="R10" s="91">
        <f t="shared" ca="1" si="7"/>
        <v>0</v>
      </c>
      <c r="S10" s="66">
        <f t="shared" ref="S10:T10" ca="1" si="14">+S15+S33+S54+S76</f>
        <v>18</v>
      </c>
      <c r="T10" s="66">
        <f t="shared" ca="1" si="14"/>
        <v>11.09</v>
      </c>
      <c r="U10" s="91">
        <f t="shared" ca="1" si="9"/>
        <v>0.30965078272836744</v>
      </c>
      <c r="V10" s="81"/>
      <c r="W10" s="81"/>
      <c r="X10" s="81"/>
      <c r="Y10" s="81"/>
      <c r="Z10" s="81"/>
    </row>
    <row r="11" spans="1:26" ht="24" customHeight="1" x14ac:dyDescent="0.5">
      <c r="A11" s="33" t="s">
        <v>26</v>
      </c>
      <c r="B11" s="34"/>
      <c r="C11" s="250">
        <f t="shared" ref="C11:F11" si="15">+C12+C13</f>
        <v>0</v>
      </c>
      <c r="D11" s="35">
        <f t="shared" si="15"/>
        <v>0</v>
      </c>
      <c r="E11" s="35">
        <f t="shared" si="15"/>
        <v>0</v>
      </c>
      <c r="F11" s="35">
        <f t="shared" si="15"/>
        <v>0</v>
      </c>
      <c r="G11" s="92">
        <f t="shared" si="1"/>
        <v>0</v>
      </c>
      <c r="H11" s="35">
        <f t="shared" ref="H11:K11" si="16">+H12+H13</f>
        <v>0</v>
      </c>
      <c r="I11" s="35">
        <f t="shared" si="16"/>
        <v>0</v>
      </c>
      <c r="J11" s="35">
        <f t="shared" si="16"/>
        <v>0</v>
      </c>
      <c r="K11" s="35">
        <f t="shared" si="16"/>
        <v>0</v>
      </c>
      <c r="L11" s="92">
        <f t="shared" si="3"/>
        <v>0</v>
      </c>
      <c r="M11" s="35">
        <f t="shared" ref="M11:N11" si="17">+M12+M13</f>
        <v>0</v>
      </c>
      <c r="N11" s="35">
        <f t="shared" si="17"/>
        <v>0</v>
      </c>
      <c r="O11" s="92">
        <f t="shared" si="5"/>
        <v>0</v>
      </c>
      <c r="P11" s="35">
        <f t="shared" ref="P11:Q11" si="18">+P12+P13</f>
        <v>0</v>
      </c>
      <c r="Q11" s="35">
        <f t="shared" si="18"/>
        <v>0</v>
      </c>
      <c r="R11" s="92">
        <f t="shared" si="7"/>
        <v>0</v>
      </c>
      <c r="S11" s="35">
        <f t="shared" ref="S11:T11" si="19">+S12+S13</f>
        <v>0</v>
      </c>
      <c r="T11" s="35">
        <f t="shared" si="19"/>
        <v>0</v>
      </c>
      <c r="U11" s="92">
        <f t="shared" si="9"/>
        <v>0</v>
      </c>
      <c r="V11" s="81"/>
      <c r="W11" s="81"/>
      <c r="X11" s="81"/>
      <c r="Y11" s="81"/>
      <c r="Z11" s="81"/>
    </row>
    <row r="12" spans="1:26" ht="24" customHeight="1" x14ac:dyDescent="0.5">
      <c r="A12" s="33" t="s">
        <v>27</v>
      </c>
      <c r="B12" s="34"/>
      <c r="C12" s="250">
        <f t="shared" ref="C12:F12" si="20">+C91</f>
        <v>0</v>
      </c>
      <c r="D12" s="35">
        <f t="shared" si="20"/>
        <v>0</v>
      </c>
      <c r="E12" s="35">
        <f t="shared" si="20"/>
        <v>0</v>
      </c>
      <c r="F12" s="35">
        <f t="shared" si="20"/>
        <v>0</v>
      </c>
      <c r="G12" s="92">
        <f t="shared" si="1"/>
        <v>0</v>
      </c>
      <c r="H12" s="35">
        <f t="shared" ref="H12:K12" si="21">+H91</f>
        <v>0</v>
      </c>
      <c r="I12" s="35">
        <f t="shared" si="21"/>
        <v>0</v>
      </c>
      <c r="J12" s="35">
        <f t="shared" si="21"/>
        <v>0</v>
      </c>
      <c r="K12" s="35">
        <f t="shared" si="21"/>
        <v>0</v>
      </c>
      <c r="L12" s="92">
        <f t="shared" si="3"/>
        <v>0</v>
      </c>
      <c r="M12" s="35">
        <f t="shared" ref="M12:N12" si="22">+M91</f>
        <v>0</v>
      </c>
      <c r="N12" s="35">
        <f t="shared" si="22"/>
        <v>0</v>
      </c>
      <c r="O12" s="92">
        <f t="shared" si="5"/>
        <v>0</v>
      </c>
      <c r="P12" s="35">
        <f t="shared" ref="P12:Q12" si="23">+P91</f>
        <v>0</v>
      </c>
      <c r="Q12" s="35">
        <f t="shared" si="23"/>
        <v>0</v>
      </c>
      <c r="R12" s="92">
        <f t="shared" si="7"/>
        <v>0</v>
      </c>
      <c r="S12" s="35">
        <f t="shared" ref="S12:T12" si="24">+S91</f>
        <v>0</v>
      </c>
      <c r="T12" s="35">
        <f t="shared" si="24"/>
        <v>0</v>
      </c>
      <c r="U12" s="92">
        <f t="shared" si="9"/>
        <v>0</v>
      </c>
      <c r="V12" s="81"/>
      <c r="W12" s="81"/>
      <c r="X12" s="81"/>
      <c r="Y12" s="81"/>
      <c r="Z12" s="81"/>
    </row>
    <row r="13" spans="1:26" ht="24" customHeight="1" x14ac:dyDescent="0.5">
      <c r="A13" s="33" t="s">
        <v>28</v>
      </c>
      <c r="B13" s="34"/>
      <c r="C13" s="250">
        <f t="shared" ref="C13:E13" si="25">+C106</f>
        <v>0</v>
      </c>
      <c r="D13" s="35">
        <f t="shared" si="25"/>
        <v>0</v>
      </c>
      <c r="E13" s="35">
        <f t="shared" si="25"/>
        <v>0</v>
      </c>
      <c r="F13" s="35"/>
      <c r="G13" s="92">
        <f t="shared" si="1"/>
        <v>0</v>
      </c>
      <c r="H13" s="35">
        <f t="shared" ref="H13:K13" si="26">+H106</f>
        <v>0</v>
      </c>
      <c r="I13" s="35">
        <f t="shared" si="26"/>
        <v>0</v>
      </c>
      <c r="J13" s="35">
        <f t="shared" si="26"/>
        <v>0</v>
      </c>
      <c r="K13" s="35">
        <f t="shared" si="26"/>
        <v>0</v>
      </c>
      <c r="L13" s="92">
        <f t="shared" si="3"/>
        <v>0</v>
      </c>
      <c r="M13" s="35">
        <f t="shared" ref="M13:N13" si="27">+M106</f>
        <v>0</v>
      </c>
      <c r="N13" s="35">
        <f t="shared" si="27"/>
        <v>0</v>
      </c>
      <c r="O13" s="92">
        <f t="shared" si="5"/>
        <v>0</v>
      </c>
      <c r="P13" s="35">
        <f t="shared" ref="P13:Q13" si="28">+P106</f>
        <v>0</v>
      </c>
      <c r="Q13" s="35">
        <f t="shared" si="28"/>
        <v>0</v>
      </c>
      <c r="R13" s="92">
        <f t="shared" si="7"/>
        <v>0</v>
      </c>
      <c r="S13" s="35">
        <f t="shared" ref="S13:T13" si="29">+S106</f>
        <v>0</v>
      </c>
      <c r="T13" s="35">
        <f t="shared" si="29"/>
        <v>0</v>
      </c>
      <c r="U13" s="92">
        <f t="shared" si="9"/>
        <v>0</v>
      </c>
      <c r="V13" s="81"/>
      <c r="W13" s="81"/>
      <c r="X13" s="81"/>
      <c r="Y13" s="81"/>
      <c r="Z13" s="81"/>
    </row>
    <row r="14" spans="1:26" ht="24" customHeight="1" x14ac:dyDescent="0.5">
      <c r="A14" s="39" t="s">
        <v>208</v>
      </c>
      <c r="B14" s="252"/>
      <c r="C14" s="253">
        <v>0</v>
      </c>
      <c r="D14" s="93">
        <v>0</v>
      </c>
      <c r="E14" s="93">
        <v>0</v>
      </c>
      <c r="F14" s="93"/>
      <c r="G14" s="96">
        <f t="shared" si="1"/>
        <v>0</v>
      </c>
      <c r="H14" s="93">
        <v>0</v>
      </c>
      <c r="I14" s="93">
        <v>0</v>
      </c>
      <c r="J14" s="93">
        <v>0</v>
      </c>
      <c r="K14" s="93">
        <v>0</v>
      </c>
      <c r="L14" s="96">
        <f t="shared" si="3"/>
        <v>0</v>
      </c>
      <c r="M14" s="93">
        <v>0</v>
      </c>
      <c r="N14" s="93">
        <v>0</v>
      </c>
      <c r="O14" s="96">
        <f t="shared" si="5"/>
        <v>0</v>
      </c>
      <c r="P14" s="93">
        <v>0</v>
      </c>
      <c r="Q14" s="93">
        <v>0</v>
      </c>
      <c r="R14" s="96">
        <f t="shared" si="7"/>
        <v>0</v>
      </c>
      <c r="S14" s="93">
        <v>0</v>
      </c>
      <c r="T14" s="93">
        <v>0</v>
      </c>
      <c r="U14" s="96">
        <f t="shared" si="9"/>
        <v>0</v>
      </c>
      <c r="V14" s="81"/>
      <c r="W14" s="81"/>
      <c r="X14" s="81"/>
      <c r="Y14" s="81"/>
      <c r="Z14" s="81"/>
    </row>
    <row r="15" spans="1:26" ht="24" customHeight="1" x14ac:dyDescent="0.5">
      <c r="A15" s="777" t="s">
        <v>30</v>
      </c>
      <c r="B15" s="571"/>
      <c r="C15" s="255">
        <f t="shared" ref="C15:F15" si="30">SUM(C16:C32)</f>
        <v>3115386.3200000003</v>
      </c>
      <c r="D15" s="66">
        <f t="shared" si="30"/>
        <v>0</v>
      </c>
      <c r="E15" s="66">
        <f t="shared" si="30"/>
        <v>3115386.3200000003</v>
      </c>
      <c r="F15" s="101">
        <f t="shared" ca="1" si="30"/>
        <v>22717.64</v>
      </c>
      <c r="G15" s="101">
        <f t="shared" ca="1" si="1"/>
        <v>0.729207798537165</v>
      </c>
      <c r="H15" s="66">
        <f t="shared" ref="H15:K15" si="31">SUM(H16:H32)</f>
        <v>1576</v>
      </c>
      <c r="I15" s="66">
        <f t="shared" si="31"/>
        <v>1576</v>
      </c>
      <c r="J15" s="66">
        <f t="shared" ca="1" si="31"/>
        <v>38</v>
      </c>
      <c r="K15" s="66">
        <f t="shared" ca="1" si="31"/>
        <v>66.61</v>
      </c>
      <c r="L15" s="101">
        <f t="shared" ca="1" si="3"/>
        <v>2.4111675126903553</v>
      </c>
      <c r="M15" s="66">
        <f t="shared" ref="M15:N15" ca="1" si="32">SUM(M16:M32)</f>
        <v>6</v>
      </c>
      <c r="N15" s="66">
        <f t="shared" ca="1" si="32"/>
        <v>6.47</v>
      </c>
      <c r="O15" s="101">
        <f t="shared" ca="1" si="5"/>
        <v>0.38071065989847713</v>
      </c>
      <c r="P15" s="66">
        <f t="shared" ref="P15:Q15" ca="1" si="33">SUM(P16:P32)</f>
        <v>0</v>
      </c>
      <c r="Q15" s="66">
        <f t="shared" ca="1" si="33"/>
        <v>0</v>
      </c>
      <c r="R15" s="101">
        <f t="shared" ca="1" si="7"/>
        <v>0</v>
      </c>
      <c r="S15" s="66">
        <f t="shared" ref="S15:T15" ca="1" si="34">SUM(S16:S32)</f>
        <v>1</v>
      </c>
      <c r="T15" s="66">
        <f t="shared" ca="1" si="34"/>
        <v>0.6</v>
      </c>
      <c r="U15" s="101">
        <f t="shared" ca="1" si="9"/>
        <v>6.3451776649746189E-2</v>
      </c>
      <c r="V15" s="81"/>
      <c r="W15" s="81"/>
      <c r="X15" s="81"/>
      <c r="Y15" s="81"/>
      <c r="Z15" s="81"/>
    </row>
    <row r="16" spans="1:26" ht="24" customHeight="1" x14ac:dyDescent="0.5">
      <c r="A16" s="268">
        <v>1</v>
      </c>
      <c r="B16" s="269" t="s">
        <v>31</v>
      </c>
      <c r="C16" s="270">
        <f t="shared" ref="C16:C32" si="35">+D16+E16</f>
        <v>588242</v>
      </c>
      <c r="D16" s="48">
        <v>0</v>
      </c>
      <c r="E16" s="48">
        <v>588242</v>
      </c>
      <c r="F16" s="98">
        <f ca="1">IFERROR(__xludf.DUMMYFUNCTION("IMPORTRANGE(""https://docs.google.com/spreadsheets/d/11923uPwbBZFjjGgGUA6NLw09EwE0CqkOc4q9oUmW1yo/edit?usp=sharing"",""กำแพงเพชร!M475"")"),0)</f>
        <v>0</v>
      </c>
      <c r="G16" s="98">
        <f t="shared" ca="1" si="1"/>
        <v>0</v>
      </c>
      <c r="H16" s="48">
        <v>600</v>
      </c>
      <c r="I16" s="48">
        <v>600</v>
      </c>
      <c r="J16" s="48">
        <f ca="1">IFERROR(__xludf.DUMMYFUNCTION("IMPORTRANGE(""https://docs.google.com/spreadsheets/d/11923uPwbBZFjjGgGUA6NLw09EwE0CqkOc4q9oUmW1yo/edit?usp=sharing"",""กำแพงเพชร!J482"")"),26)</f>
        <v>26</v>
      </c>
      <c r="K16" s="48">
        <f ca="1">IFERROR(__xludf.DUMMYFUNCTION("IMPORTRANGE(""https://docs.google.com/spreadsheets/d/11923uPwbBZFjjGgGUA6NLw09EwE0CqkOc4q9oUmW1yo/edit?usp=sharing"",""กำแพงเพชร!J483"")"),34.53)</f>
        <v>34.53</v>
      </c>
      <c r="L16" s="98">
        <f t="shared" ca="1" si="3"/>
        <v>4.333333333333333</v>
      </c>
      <c r="M16" s="48">
        <f ca="1">IFERROR(__xludf.DUMMYFUNCTION("IMPORTRANGE(""https://docs.google.com/spreadsheets/d/11923uPwbBZFjjGgGUA6NLw09EwE0CqkOc4q9oUmW1yo/edit?usp=sharing"",""กำแพงเพชร!J484"")"),0)</f>
        <v>0</v>
      </c>
      <c r="N16" s="48">
        <f ca="1">IFERROR(__xludf.DUMMYFUNCTION("IMPORTRANGE(""https://docs.google.com/spreadsheets/d/11923uPwbBZFjjGgGUA6NLw09EwE0CqkOc4q9oUmW1yo/edit?usp=sharing"",""กำแพงเพชร!J485"")"),0)</f>
        <v>0</v>
      </c>
      <c r="O16" s="98">
        <f t="shared" ca="1" si="5"/>
        <v>0</v>
      </c>
      <c r="P16" s="48">
        <f ca="1">IFERROR(__xludf.DUMMYFUNCTION("IMPORTRANGE(""https://docs.google.com/spreadsheets/d/11923uPwbBZFjjGgGUA6NLw09EwE0CqkOc4q9oUmW1yo/edit?usp=sharing"",""กำแพงเพชร!J486"")"),0)</f>
        <v>0</v>
      </c>
      <c r="Q16" s="98">
        <f ca="1">IFERROR(__xludf.DUMMYFUNCTION("IMPORTRANGE(""https://docs.google.com/spreadsheets/d/11923uPwbBZFjjGgGUA6NLw09EwE0CqkOc4q9oUmW1yo/edit?usp=sharing"",""กำแพงเพชร!J487"")"),0)</f>
        <v>0</v>
      </c>
      <c r="R16" s="98">
        <f t="shared" ca="1" si="7"/>
        <v>0</v>
      </c>
      <c r="S16" s="48">
        <f ca="1">IFERROR(__xludf.DUMMYFUNCTION("IMPORTRANGE(""https://docs.google.com/spreadsheets/d/11923uPwbBZFjjGgGUA6NLw09EwE0CqkOc4q9oUmW1yo/edit?usp=sharing"",""กำแพงเพชร!J488"")"),0)</f>
        <v>0</v>
      </c>
      <c r="T16" s="98">
        <f ca="1">IFERROR(__xludf.DUMMYFUNCTION("IMPORTRANGE(""https://docs.google.com/spreadsheets/d/11923uPwbBZFjjGgGUA6NLw09EwE0CqkOc4q9oUmW1yo/edit?usp=sharing"",""กำแพงเพชร!J489"")"),0)</f>
        <v>0</v>
      </c>
      <c r="U16" s="98">
        <f t="shared" ca="1" si="9"/>
        <v>0</v>
      </c>
      <c r="V16" s="81"/>
      <c r="W16" s="81"/>
      <c r="X16" s="81"/>
      <c r="Y16" s="81"/>
      <c r="Z16" s="81"/>
    </row>
    <row r="17" spans="1:26" ht="24" customHeight="1" x14ac:dyDescent="0.5">
      <c r="A17" s="273">
        <v>2</v>
      </c>
      <c r="B17" s="274" t="s">
        <v>32</v>
      </c>
      <c r="C17" s="275">
        <f t="shared" si="35"/>
        <v>359088.32</v>
      </c>
      <c r="D17" s="55">
        <v>0</v>
      </c>
      <c r="E17" s="55">
        <v>359088.32</v>
      </c>
      <c r="F17" s="99">
        <f ca="1">IFERROR(__xludf.DUMMYFUNCTION("IMPORTRANGE(""https://docs.google.com/spreadsheets/d/11923uPwbBZFjjGgGUA6NLw09EwE0CqkOc4q9oUmW1yo/edit?usp=sharing"",""เชียงราย!M475"")"),0)</f>
        <v>0</v>
      </c>
      <c r="G17" s="99">
        <f t="shared" ca="1" si="1"/>
        <v>0</v>
      </c>
      <c r="H17" s="55">
        <v>176</v>
      </c>
      <c r="I17" s="55">
        <v>176</v>
      </c>
      <c r="J17" s="55">
        <f ca="1">IFERROR(__xludf.DUMMYFUNCTION("IMPORTRANGE(""https://docs.google.com/spreadsheets/d/11923uPwbBZFjjGgGUA6NLw09EwE0CqkOc4q9oUmW1yo/edit?usp=sharing"",""เชียงราย!J482"")"),5)</f>
        <v>5</v>
      </c>
      <c r="K17" s="55">
        <f ca="1">IFERROR(__xludf.DUMMYFUNCTION("IMPORTRANGE(""https://docs.google.com/spreadsheets/d/11923uPwbBZFjjGgGUA6NLw09EwE0CqkOc4q9oUmW1yo/edit?usp=sharing"",""เชียงราย!J483"")"),2.64)</f>
        <v>2.64</v>
      </c>
      <c r="L17" s="99">
        <f t="shared" ca="1" si="3"/>
        <v>2.8409090909090908</v>
      </c>
      <c r="M17" s="55">
        <f ca="1">IFERROR(__xludf.DUMMYFUNCTION("IMPORTRANGE(""https://docs.google.com/spreadsheets/d/11923uPwbBZFjjGgGUA6NLw09EwE0CqkOc4q9oUmW1yo/edit?usp=sharing"",""เชียงราย!J484"")"),0)</f>
        <v>0</v>
      </c>
      <c r="N17" s="55">
        <f ca="1">IFERROR(__xludf.DUMMYFUNCTION("IMPORTRANGE(""https://docs.google.com/spreadsheets/d/11923uPwbBZFjjGgGUA6NLw09EwE0CqkOc4q9oUmW1yo/edit?usp=sharing"",""เชียงราย!J485"")"),0)</f>
        <v>0</v>
      </c>
      <c r="O17" s="99">
        <f t="shared" ca="1" si="5"/>
        <v>0</v>
      </c>
      <c r="P17" s="55">
        <f ca="1">IFERROR(__xludf.DUMMYFUNCTION("IMPORTRANGE(""https://docs.google.com/spreadsheets/d/11923uPwbBZFjjGgGUA6NLw09EwE0CqkOc4q9oUmW1yo/edit?usp=sharing"",""เชียงราย!J486"")"),0)</f>
        <v>0</v>
      </c>
      <c r="Q17" s="99">
        <f ca="1">IFERROR(__xludf.DUMMYFUNCTION("IMPORTRANGE(""https://docs.google.com/spreadsheets/d/11923uPwbBZFjjGgGUA6NLw09EwE0CqkOc4q9oUmW1yo/edit?usp=sharing"",""เชียงราย!J487"")"),0)</f>
        <v>0</v>
      </c>
      <c r="R17" s="99">
        <f t="shared" ca="1" si="7"/>
        <v>0</v>
      </c>
      <c r="S17" s="55">
        <f ca="1">IFERROR(__xludf.DUMMYFUNCTION("IMPORTRANGE(""https://docs.google.com/spreadsheets/d/11923uPwbBZFjjGgGUA6NLw09EwE0CqkOc4q9oUmW1yo/edit?usp=sharing"",""เชียงราย!J488"")"),0)</f>
        <v>0</v>
      </c>
      <c r="T17" s="99">
        <f ca="1">IFERROR(__xludf.DUMMYFUNCTION("IMPORTRANGE(""https://docs.google.com/spreadsheets/d/11923uPwbBZFjjGgGUA6NLw09EwE0CqkOc4q9oUmW1yo/edit?usp=sharing"",""เชียงราย!J489"")"),0)</f>
        <v>0</v>
      </c>
      <c r="U17" s="99">
        <f t="shared" ca="1" si="9"/>
        <v>0</v>
      </c>
      <c r="V17" s="81"/>
      <c r="W17" s="81"/>
      <c r="X17" s="81"/>
      <c r="Y17" s="81"/>
      <c r="Z17" s="81"/>
    </row>
    <row r="18" spans="1:26" ht="24" customHeight="1" x14ac:dyDescent="0.5">
      <c r="A18" s="273">
        <v>3</v>
      </c>
      <c r="B18" s="274" t="s">
        <v>33</v>
      </c>
      <c r="C18" s="275">
        <f t="shared" si="35"/>
        <v>153232.1</v>
      </c>
      <c r="D18" s="55">
        <v>0</v>
      </c>
      <c r="E18" s="55">
        <v>153232.1</v>
      </c>
      <c r="F18" s="99">
        <f ca="1">IFERROR(__xludf.DUMMYFUNCTION("IMPORTRANGE(""https://docs.google.com/spreadsheets/d/11923uPwbBZFjjGgGUA6NLw09EwE0CqkOc4q9oUmW1yo/edit?usp=sharing"",""เชียงใหม่!M475"")"),0)</f>
        <v>0</v>
      </c>
      <c r="G18" s="99">
        <f t="shared" ca="1" si="1"/>
        <v>0</v>
      </c>
      <c r="H18" s="55">
        <v>30</v>
      </c>
      <c r="I18" s="55">
        <v>30</v>
      </c>
      <c r="J18" s="55">
        <f ca="1">IFERROR(__xludf.DUMMYFUNCTION("IMPORTRANGE(""https://docs.google.com/spreadsheets/d/11923uPwbBZFjjGgGUA6NLw09EwE0CqkOc4q9oUmW1yo/edit?usp=sharing"",""เชียงใหม่!J482"")"),0)</f>
        <v>0</v>
      </c>
      <c r="K18" s="55">
        <f ca="1">IFERROR(__xludf.DUMMYFUNCTION("IMPORTRANGE(""https://docs.google.com/spreadsheets/d/11923uPwbBZFjjGgGUA6NLw09EwE0CqkOc4q9oUmW1yo/edit?usp=sharing"",""เชียงใหม่!J483"")"),0)</f>
        <v>0</v>
      </c>
      <c r="L18" s="99">
        <f t="shared" ca="1" si="3"/>
        <v>0</v>
      </c>
      <c r="M18" s="55">
        <f ca="1">IFERROR(__xludf.DUMMYFUNCTION("IMPORTRANGE(""https://docs.google.com/spreadsheets/d/11923uPwbBZFjjGgGUA6NLw09EwE0CqkOc4q9oUmW1yo/edit?usp=sharing"",""เชียงใหม่!J484"")"),0)</f>
        <v>0</v>
      </c>
      <c r="N18" s="55">
        <f ca="1">IFERROR(__xludf.DUMMYFUNCTION("IMPORTRANGE(""https://docs.google.com/spreadsheets/d/11923uPwbBZFjjGgGUA6NLw09EwE0CqkOc4q9oUmW1yo/edit?usp=sharing"",""เชียงใหม่!J485"")"),0)</f>
        <v>0</v>
      </c>
      <c r="O18" s="99">
        <f t="shared" ca="1" si="5"/>
        <v>0</v>
      </c>
      <c r="P18" s="55">
        <f ca="1">IFERROR(__xludf.DUMMYFUNCTION("IMPORTRANGE(""https://docs.google.com/spreadsheets/d/11923uPwbBZFjjGgGUA6NLw09EwE0CqkOc4q9oUmW1yo/edit?usp=sharing"",""เชียงใหม่!J486"")"),0)</f>
        <v>0</v>
      </c>
      <c r="Q18" s="99">
        <f ca="1">IFERROR(__xludf.DUMMYFUNCTION("IMPORTRANGE(""https://docs.google.com/spreadsheets/d/11923uPwbBZFjjGgGUA6NLw09EwE0CqkOc4q9oUmW1yo/edit?usp=sharing"",""เชียงใหม่!J487"")"),0)</f>
        <v>0</v>
      </c>
      <c r="R18" s="99">
        <f t="shared" ca="1" si="7"/>
        <v>0</v>
      </c>
      <c r="S18" s="55">
        <f ca="1">IFERROR(__xludf.DUMMYFUNCTION("IMPORTRANGE(""https://docs.google.com/spreadsheets/d/11923uPwbBZFjjGgGUA6NLw09EwE0CqkOc4q9oUmW1yo/edit?usp=sharing"",""เชียงใหม่!J488"")"),0)</f>
        <v>0</v>
      </c>
      <c r="T18" s="99">
        <f ca="1">IFERROR(__xludf.DUMMYFUNCTION("IMPORTRANGE(""https://docs.google.com/spreadsheets/d/11923uPwbBZFjjGgGUA6NLw09EwE0CqkOc4q9oUmW1yo/edit?usp=sharing"",""เชียงใหม่!J489"")"),0)</f>
        <v>0</v>
      </c>
      <c r="U18" s="99">
        <f t="shared" ca="1" si="9"/>
        <v>0</v>
      </c>
      <c r="V18" s="81"/>
      <c r="W18" s="81"/>
      <c r="X18" s="81"/>
      <c r="Y18" s="81"/>
      <c r="Z18" s="81"/>
    </row>
    <row r="19" spans="1:26" ht="24" customHeight="1" x14ac:dyDescent="0.5">
      <c r="A19" s="273">
        <v>4</v>
      </c>
      <c r="B19" s="274" t="s">
        <v>34</v>
      </c>
      <c r="C19" s="275">
        <f t="shared" si="35"/>
        <v>0</v>
      </c>
      <c r="D19" s="55">
        <v>0</v>
      </c>
      <c r="E19" s="55">
        <v>0</v>
      </c>
      <c r="F19" s="99">
        <f ca="1">IFERROR(__xludf.DUMMYFUNCTION("IMPORTRANGE(""https://docs.google.com/spreadsheets/d/11923uPwbBZFjjGgGUA6NLw09EwE0CqkOc4q9oUmW1yo/edit?usp=sharing"",""ตาก!M475"")"),0)</f>
        <v>0</v>
      </c>
      <c r="G19" s="99">
        <f t="shared" si="1"/>
        <v>0</v>
      </c>
      <c r="H19" s="55">
        <v>0</v>
      </c>
      <c r="I19" s="55">
        <v>0</v>
      </c>
      <c r="J19" s="55">
        <f ca="1">IFERROR(__xludf.DUMMYFUNCTION("IMPORTRANGE(""https://docs.google.com/spreadsheets/d/11923uPwbBZFjjGgGUA6NLw09EwE0CqkOc4q9oUmW1yo/edit?usp=sharing"",""ตาก!J482"")"),0)</f>
        <v>0</v>
      </c>
      <c r="K19" s="55">
        <f ca="1">IFERROR(__xludf.DUMMYFUNCTION("IMPORTRANGE(""https://docs.google.com/spreadsheets/d/11923uPwbBZFjjGgGUA6NLw09EwE0CqkOc4q9oUmW1yo/edit?usp=sharing"",""ตาก!J483"")"),0)</f>
        <v>0</v>
      </c>
      <c r="L19" s="99">
        <f t="shared" si="3"/>
        <v>0</v>
      </c>
      <c r="M19" s="55">
        <f ca="1">IFERROR(__xludf.DUMMYFUNCTION("IMPORTRANGE(""https://docs.google.com/spreadsheets/d/11923uPwbBZFjjGgGUA6NLw09EwE0CqkOc4q9oUmW1yo/edit?usp=sharing"",""ตาก!J484"")"),0)</f>
        <v>0</v>
      </c>
      <c r="N19" s="55">
        <f ca="1">IFERROR(__xludf.DUMMYFUNCTION("IMPORTRANGE(""https://docs.google.com/spreadsheets/d/11923uPwbBZFjjGgGUA6NLw09EwE0CqkOc4q9oUmW1yo/edit?usp=sharing"",""ตาก!J485"")"),0)</f>
        <v>0</v>
      </c>
      <c r="O19" s="99">
        <f t="shared" si="5"/>
        <v>0</v>
      </c>
      <c r="P19" s="55">
        <f ca="1">IFERROR(__xludf.DUMMYFUNCTION("IMPORTRANGE(""https://docs.google.com/spreadsheets/d/11923uPwbBZFjjGgGUA6NLw09EwE0CqkOc4q9oUmW1yo/edit?usp=sharing"",""ตาก!J486"")"),0)</f>
        <v>0</v>
      </c>
      <c r="Q19" s="99">
        <f ca="1">IFERROR(__xludf.DUMMYFUNCTION("IMPORTRANGE(""https://docs.google.com/spreadsheets/d/11923uPwbBZFjjGgGUA6NLw09EwE0CqkOc4q9oUmW1yo/edit?usp=sharing"",""ตาก!J487"")"),0)</f>
        <v>0</v>
      </c>
      <c r="R19" s="99">
        <f t="shared" si="7"/>
        <v>0</v>
      </c>
      <c r="S19" s="55">
        <f ca="1">IFERROR(__xludf.DUMMYFUNCTION("IMPORTRANGE(""https://docs.google.com/spreadsheets/d/11923uPwbBZFjjGgGUA6NLw09EwE0CqkOc4q9oUmW1yo/edit?usp=sharing"",""ตาก!J488"")"),0)</f>
        <v>0</v>
      </c>
      <c r="T19" s="99">
        <f ca="1">IFERROR(__xludf.DUMMYFUNCTION("IMPORTRANGE(""https://docs.google.com/spreadsheets/d/11923uPwbBZFjjGgGUA6NLw09EwE0CqkOc4q9oUmW1yo/edit?usp=sharing"",""ตาก!J489"")"),0)</f>
        <v>0</v>
      </c>
      <c r="U19" s="99">
        <f t="shared" si="9"/>
        <v>0</v>
      </c>
      <c r="V19" s="81"/>
      <c r="W19" s="81"/>
      <c r="X19" s="81"/>
      <c r="Y19" s="81"/>
      <c r="Z19" s="81"/>
    </row>
    <row r="20" spans="1:26" ht="24" customHeight="1" x14ac:dyDescent="0.5">
      <c r="A20" s="273">
        <v>5</v>
      </c>
      <c r="B20" s="274" t="s">
        <v>35</v>
      </c>
      <c r="C20" s="275">
        <f t="shared" si="35"/>
        <v>0</v>
      </c>
      <c r="D20" s="55">
        <v>0</v>
      </c>
      <c r="E20" s="55">
        <v>0</v>
      </c>
      <c r="F20" s="99">
        <f ca="1">IFERROR(__xludf.DUMMYFUNCTION("IMPORTRANGE(""https://docs.google.com/spreadsheets/d/11923uPwbBZFjjGgGUA6NLw09EwE0CqkOc4q9oUmW1yo/edit?usp=sharing"",""นครสวรรค์!M475"")"),0)</f>
        <v>0</v>
      </c>
      <c r="G20" s="99">
        <f t="shared" si="1"/>
        <v>0</v>
      </c>
      <c r="H20" s="55">
        <v>0</v>
      </c>
      <c r="I20" s="55">
        <v>0</v>
      </c>
      <c r="J20" s="55">
        <f ca="1">IFERROR(__xludf.DUMMYFUNCTION("IMPORTRANGE(""https://docs.google.com/spreadsheets/d/11923uPwbBZFjjGgGUA6NLw09EwE0CqkOc4q9oUmW1yo/edit?usp=sharing"",""นครสวรรค์!J482"")"),0)</f>
        <v>0</v>
      </c>
      <c r="K20" s="55">
        <f ca="1">IFERROR(__xludf.DUMMYFUNCTION("IMPORTRANGE(""https://docs.google.com/spreadsheets/d/11923uPwbBZFjjGgGUA6NLw09EwE0CqkOc4q9oUmW1yo/edit?usp=sharing"",""นครสวรรค์!J483"")"),0)</f>
        <v>0</v>
      </c>
      <c r="L20" s="99">
        <f t="shared" si="3"/>
        <v>0</v>
      </c>
      <c r="M20" s="55">
        <f ca="1">IFERROR(__xludf.DUMMYFUNCTION("IMPORTRANGE(""https://docs.google.com/spreadsheets/d/11923uPwbBZFjjGgGUA6NLw09EwE0CqkOc4q9oUmW1yo/edit?usp=sharing"",""นครสวรรค์!J484"")"),0)</f>
        <v>0</v>
      </c>
      <c r="N20" s="55">
        <f ca="1">IFERROR(__xludf.DUMMYFUNCTION("IMPORTRANGE(""https://docs.google.com/spreadsheets/d/11923uPwbBZFjjGgGUA6NLw09EwE0CqkOc4q9oUmW1yo/edit?usp=sharing"",""นครสวรรค์!J485"")"),0)</f>
        <v>0</v>
      </c>
      <c r="O20" s="99">
        <f t="shared" si="5"/>
        <v>0</v>
      </c>
      <c r="P20" s="55">
        <f ca="1">IFERROR(__xludf.DUMMYFUNCTION("IMPORTRANGE(""https://docs.google.com/spreadsheets/d/11923uPwbBZFjjGgGUA6NLw09EwE0CqkOc4q9oUmW1yo/edit?usp=sharing"",""นครสวรรค์!J486"")"),0)</f>
        <v>0</v>
      </c>
      <c r="Q20" s="99">
        <f ca="1">IFERROR(__xludf.DUMMYFUNCTION("IMPORTRANGE(""https://docs.google.com/spreadsheets/d/11923uPwbBZFjjGgGUA6NLw09EwE0CqkOc4q9oUmW1yo/edit?usp=sharing"",""นครสวรรค์!J487"")"),0)</f>
        <v>0</v>
      </c>
      <c r="R20" s="99">
        <f t="shared" si="7"/>
        <v>0</v>
      </c>
      <c r="S20" s="55">
        <f ca="1">IFERROR(__xludf.DUMMYFUNCTION("IMPORTRANGE(""https://docs.google.com/spreadsheets/d/11923uPwbBZFjjGgGUA6NLw09EwE0CqkOc4q9oUmW1yo/edit?usp=sharing"",""นครสวรรค์!J488"")"),0)</f>
        <v>0</v>
      </c>
      <c r="T20" s="99">
        <f ca="1">IFERROR(__xludf.DUMMYFUNCTION("IMPORTRANGE(""https://docs.google.com/spreadsheets/d/11923uPwbBZFjjGgGUA6NLw09EwE0CqkOc4q9oUmW1yo/edit?usp=sharing"",""นครสวรรค์!J489"")"),0)</f>
        <v>0</v>
      </c>
      <c r="U20" s="99">
        <f t="shared" si="9"/>
        <v>0</v>
      </c>
      <c r="V20" s="81"/>
      <c r="W20" s="81"/>
      <c r="X20" s="81"/>
      <c r="Y20" s="81"/>
      <c r="Z20" s="81"/>
    </row>
    <row r="21" spans="1:26" ht="24" customHeight="1" x14ac:dyDescent="0.5">
      <c r="A21" s="273">
        <v>6</v>
      </c>
      <c r="B21" s="274" t="s">
        <v>36</v>
      </c>
      <c r="C21" s="275">
        <f t="shared" si="35"/>
        <v>298474.90000000002</v>
      </c>
      <c r="D21" s="55">
        <v>0</v>
      </c>
      <c r="E21" s="55">
        <v>298474.90000000002</v>
      </c>
      <c r="F21" s="99">
        <f ca="1">IFERROR(__xludf.DUMMYFUNCTION("IMPORTRANGE(""https://docs.google.com/spreadsheets/d/11923uPwbBZFjjGgGUA6NLw09EwE0CqkOc4q9oUmW1yo/edit?usp=sharing"",""น่าน!M475"")"),0)</f>
        <v>0</v>
      </c>
      <c r="G21" s="99">
        <f t="shared" ca="1" si="1"/>
        <v>0</v>
      </c>
      <c r="H21" s="55">
        <v>70</v>
      </c>
      <c r="I21" s="55">
        <v>70</v>
      </c>
      <c r="J21" s="55">
        <f ca="1">IFERROR(__xludf.DUMMYFUNCTION("IMPORTRANGE(""https://docs.google.com/spreadsheets/d/11923uPwbBZFjjGgGUA6NLw09EwE0CqkOc4q9oUmW1yo/edit?usp=sharing"",""น่าน!J482"")"),0)</f>
        <v>0</v>
      </c>
      <c r="K21" s="55">
        <f ca="1">IFERROR(__xludf.DUMMYFUNCTION("IMPORTRANGE(""https://docs.google.com/spreadsheets/d/11923uPwbBZFjjGgGUA6NLw09EwE0CqkOc4q9oUmW1yo/edit?usp=sharing"",""น่าน!J483"")"),0)</f>
        <v>0</v>
      </c>
      <c r="L21" s="99">
        <f t="shared" ca="1" si="3"/>
        <v>0</v>
      </c>
      <c r="M21" s="55">
        <f ca="1">IFERROR(__xludf.DUMMYFUNCTION("IMPORTRANGE(""https://docs.google.com/spreadsheets/d/11923uPwbBZFjjGgGUA6NLw09EwE0CqkOc4q9oUmW1yo/edit?usp=sharing"",""น่าน!J484"")"),0)</f>
        <v>0</v>
      </c>
      <c r="N21" s="55">
        <f ca="1">IFERROR(__xludf.DUMMYFUNCTION("IMPORTRANGE(""https://docs.google.com/spreadsheets/d/11923uPwbBZFjjGgGUA6NLw09EwE0CqkOc4q9oUmW1yo/edit?usp=sharing"",""น่าน!J485"")"),0)</f>
        <v>0</v>
      </c>
      <c r="O21" s="99">
        <f t="shared" ca="1" si="5"/>
        <v>0</v>
      </c>
      <c r="P21" s="55">
        <f ca="1">IFERROR(__xludf.DUMMYFUNCTION("IMPORTRANGE(""https://docs.google.com/spreadsheets/d/11923uPwbBZFjjGgGUA6NLw09EwE0CqkOc4q9oUmW1yo/edit?usp=sharing"",""น่าน!J486"")"),0)</f>
        <v>0</v>
      </c>
      <c r="Q21" s="99">
        <f ca="1">IFERROR(__xludf.DUMMYFUNCTION("IMPORTRANGE(""https://docs.google.com/spreadsheets/d/11923uPwbBZFjjGgGUA6NLw09EwE0CqkOc4q9oUmW1yo/edit?usp=sharing"",""น่าน!J487"")"),0)</f>
        <v>0</v>
      </c>
      <c r="R21" s="99">
        <f t="shared" ca="1" si="7"/>
        <v>0</v>
      </c>
      <c r="S21" s="55">
        <f ca="1">IFERROR(__xludf.DUMMYFUNCTION("IMPORTRANGE(""https://docs.google.com/spreadsheets/d/11923uPwbBZFjjGgGUA6NLw09EwE0CqkOc4q9oUmW1yo/edit?usp=sharing"",""น่าน!J488"")"),0)</f>
        <v>0</v>
      </c>
      <c r="T21" s="99">
        <f ca="1">IFERROR(__xludf.DUMMYFUNCTION("IMPORTRANGE(""https://docs.google.com/spreadsheets/d/11923uPwbBZFjjGgGUA6NLw09EwE0CqkOc4q9oUmW1yo/edit?usp=sharing"",""น่าน!J489"")"),0)</f>
        <v>0</v>
      </c>
      <c r="U21" s="99">
        <f t="shared" ca="1" si="9"/>
        <v>0</v>
      </c>
      <c r="V21" s="81"/>
      <c r="W21" s="81"/>
      <c r="X21" s="81"/>
      <c r="Y21" s="81"/>
      <c r="Z21" s="81"/>
    </row>
    <row r="22" spans="1:26" ht="24" customHeight="1" x14ac:dyDescent="0.5">
      <c r="A22" s="273">
        <v>7</v>
      </c>
      <c r="B22" s="274" t="s">
        <v>37</v>
      </c>
      <c r="C22" s="275">
        <f t="shared" si="35"/>
        <v>138842.79999999999</v>
      </c>
      <c r="D22" s="55">
        <v>0</v>
      </c>
      <c r="E22" s="55">
        <v>138842.79999999999</v>
      </c>
      <c r="F22" s="99">
        <f ca="1">IFERROR(__xludf.DUMMYFUNCTION("IMPORTRANGE(""https://docs.google.com/spreadsheets/d/11923uPwbBZFjjGgGUA6NLw09EwE0CqkOc4q9oUmW1yo/edit?usp=sharing"",""พะเยา!M475"")"),0)</f>
        <v>0</v>
      </c>
      <c r="G22" s="99">
        <f t="shared" ca="1" si="1"/>
        <v>0</v>
      </c>
      <c r="H22" s="55">
        <v>40</v>
      </c>
      <c r="I22" s="55">
        <v>40</v>
      </c>
      <c r="J22" s="55">
        <f ca="1">IFERROR(__xludf.DUMMYFUNCTION("IMPORTRANGE(""https://docs.google.com/spreadsheets/d/11923uPwbBZFjjGgGUA6NLw09EwE0CqkOc4q9oUmW1yo/edit?usp=sharing"",""พะเยา!J482"")"),0)</f>
        <v>0</v>
      </c>
      <c r="K22" s="55">
        <f ca="1">IFERROR(__xludf.DUMMYFUNCTION("IMPORTRANGE(""https://docs.google.com/spreadsheets/d/11923uPwbBZFjjGgGUA6NLw09EwE0CqkOc4q9oUmW1yo/edit?usp=sharing"",""พะเยา!J483"")"),0)</f>
        <v>0</v>
      </c>
      <c r="L22" s="99">
        <f t="shared" ca="1" si="3"/>
        <v>0</v>
      </c>
      <c r="M22" s="55">
        <f ca="1">IFERROR(__xludf.DUMMYFUNCTION("IMPORTRANGE(""https://docs.google.com/spreadsheets/d/11923uPwbBZFjjGgGUA6NLw09EwE0CqkOc4q9oUmW1yo/edit?usp=sharing"",""พะเยา!J484"")"),0)</f>
        <v>0</v>
      </c>
      <c r="N22" s="55">
        <f ca="1">IFERROR(__xludf.DUMMYFUNCTION("IMPORTRANGE(""https://docs.google.com/spreadsheets/d/11923uPwbBZFjjGgGUA6NLw09EwE0CqkOc4q9oUmW1yo/edit?usp=sharing"",""พะเยา!J485"")"),0)</f>
        <v>0</v>
      </c>
      <c r="O22" s="99">
        <f t="shared" ca="1" si="5"/>
        <v>0</v>
      </c>
      <c r="P22" s="55">
        <f ca="1">IFERROR(__xludf.DUMMYFUNCTION("IMPORTRANGE(""https://docs.google.com/spreadsheets/d/11923uPwbBZFjjGgGUA6NLw09EwE0CqkOc4q9oUmW1yo/edit?usp=sharing"",""พะเยา!J486"")"),0)</f>
        <v>0</v>
      </c>
      <c r="Q22" s="99">
        <f ca="1">IFERROR(__xludf.DUMMYFUNCTION("IMPORTRANGE(""https://docs.google.com/spreadsheets/d/11923uPwbBZFjjGgGUA6NLw09EwE0CqkOc4q9oUmW1yo/edit?usp=sharing"",""พะเยา!J487"")"),0)</f>
        <v>0</v>
      </c>
      <c r="R22" s="99">
        <f t="shared" ca="1" si="7"/>
        <v>0</v>
      </c>
      <c r="S22" s="55">
        <f ca="1">IFERROR(__xludf.DUMMYFUNCTION("IMPORTRANGE(""https://docs.google.com/spreadsheets/d/11923uPwbBZFjjGgGUA6NLw09EwE0CqkOc4q9oUmW1yo/edit?usp=sharing"",""พะเยา!J488"")"),0)</f>
        <v>0</v>
      </c>
      <c r="T22" s="99">
        <f ca="1">IFERROR(__xludf.DUMMYFUNCTION("IMPORTRANGE(""https://docs.google.com/spreadsheets/d/11923uPwbBZFjjGgGUA6NLw09EwE0CqkOc4q9oUmW1yo/edit?usp=sharing"",""พะเยา!J489"")"),0)</f>
        <v>0</v>
      </c>
      <c r="U22" s="99">
        <f t="shared" ca="1" si="9"/>
        <v>0</v>
      </c>
      <c r="V22" s="81"/>
      <c r="W22" s="81"/>
      <c r="X22" s="81"/>
      <c r="Y22" s="81"/>
      <c r="Z22" s="81"/>
    </row>
    <row r="23" spans="1:26" ht="24" customHeight="1" x14ac:dyDescent="0.5">
      <c r="A23" s="273">
        <v>8</v>
      </c>
      <c r="B23" s="274" t="s">
        <v>38</v>
      </c>
      <c r="C23" s="275">
        <f t="shared" si="35"/>
        <v>352414</v>
      </c>
      <c r="D23" s="55">
        <v>0</v>
      </c>
      <c r="E23" s="55">
        <v>352414</v>
      </c>
      <c r="F23" s="99">
        <f ca="1">IFERROR(__xludf.DUMMYFUNCTION("IMPORTRANGE(""https://docs.google.com/spreadsheets/d/11923uPwbBZFjjGgGUA6NLw09EwE0CqkOc4q9oUmW1yo/edit?usp=sharing"",""พิจิตร!M475"")"),7451.64)</f>
        <v>7451.64</v>
      </c>
      <c r="G23" s="99">
        <f t="shared" ca="1" si="1"/>
        <v>2.1144562928828026</v>
      </c>
      <c r="H23" s="55">
        <v>200</v>
      </c>
      <c r="I23" s="55">
        <v>200</v>
      </c>
      <c r="J23" s="55">
        <f ca="1">IFERROR(__xludf.DUMMYFUNCTION("IMPORTRANGE(""https://docs.google.com/spreadsheets/d/11923uPwbBZFjjGgGUA6NLw09EwE0CqkOc4q9oUmW1yo/edit?usp=sharing"",""พิจิตร!J482"")"),0)</f>
        <v>0</v>
      </c>
      <c r="K23" s="55">
        <f ca="1">IFERROR(__xludf.DUMMYFUNCTION("IMPORTRANGE(""https://docs.google.com/spreadsheets/d/11923uPwbBZFjjGgGUA6NLw09EwE0CqkOc4q9oUmW1yo/edit?usp=sharing"",""พิจิตร!J483"")"),0)</f>
        <v>0</v>
      </c>
      <c r="L23" s="99">
        <f t="shared" ca="1" si="3"/>
        <v>0</v>
      </c>
      <c r="M23" s="55">
        <f ca="1">IFERROR(__xludf.DUMMYFUNCTION("IMPORTRANGE(""https://docs.google.com/spreadsheets/d/11923uPwbBZFjjGgGUA6NLw09EwE0CqkOc4q9oUmW1yo/edit?usp=sharing"",""พิจิตร!J484"")"),1)</f>
        <v>1</v>
      </c>
      <c r="N23" s="55">
        <f ca="1">IFERROR(__xludf.DUMMYFUNCTION("IMPORTRANGE(""https://docs.google.com/spreadsheets/d/11923uPwbBZFjjGgGUA6NLw09EwE0CqkOc4q9oUmW1yo/edit?usp=sharing"",""พิจิตร!J485"")"),0.6)</f>
        <v>0.6</v>
      </c>
      <c r="O23" s="99">
        <f t="shared" ca="1" si="5"/>
        <v>0.5</v>
      </c>
      <c r="P23" s="55">
        <f ca="1">IFERROR(__xludf.DUMMYFUNCTION("IMPORTRANGE(""https://docs.google.com/spreadsheets/d/11923uPwbBZFjjGgGUA6NLw09EwE0CqkOc4q9oUmW1yo/edit?usp=sharing"",""พิจิตร!J486"")"),0)</f>
        <v>0</v>
      </c>
      <c r="Q23" s="99">
        <f ca="1">IFERROR(__xludf.DUMMYFUNCTION("IMPORTRANGE(""https://docs.google.com/spreadsheets/d/11923uPwbBZFjjGgGUA6NLw09EwE0CqkOc4q9oUmW1yo/edit?usp=sharing"",""พิจิตร!J487"")"),0)</f>
        <v>0</v>
      </c>
      <c r="R23" s="99">
        <f t="shared" ca="1" si="7"/>
        <v>0</v>
      </c>
      <c r="S23" s="55">
        <f ca="1">IFERROR(__xludf.DUMMYFUNCTION("IMPORTRANGE(""https://docs.google.com/spreadsheets/d/11923uPwbBZFjjGgGUA6NLw09EwE0CqkOc4q9oUmW1yo/edit?usp=sharing"",""พิจิตร!J488"")"),1)</f>
        <v>1</v>
      </c>
      <c r="T23" s="99">
        <f ca="1">IFERROR(__xludf.DUMMYFUNCTION("IMPORTRANGE(""https://docs.google.com/spreadsheets/d/11923uPwbBZFjjGgGUA6NLw09EwE0CqkOc4q9oUmW1yo/edit?usp=sharing"",""พิจิตร!J489"")"),0.6)</f>
        <v>0.6</v>
      </c>
      <c r="U23" s="99">
        <f t="shared" ca="1" si="9"/>
        <v>0.5</v>
      </c>
      <c r="V23" s="81"/>
      <c r="W23" s="81"/>
      <c r="X23" s="81"/>
      <c r="Y23" s="81"/>
      <c r="Z23" s="81"/>
    </row>
    <row r="24" spans="1:26" ht="24" customHeight="1" x14ac:dyDescent="0.5">
      <c r="A24" s="273">
        <v>9</v>
      </c>
      <c r="B24" s="274" t="s">
        <v>39</v>
      </c>
      <c r="C24" s="275">
        <f t="shared" si="35"/>
        <v>127825.68</v>
      </c>
      <c r="D24" s="55">
        <v>0</v>
      </c>
      <c r="E24" s="55">
        <v>127825.68</v>
      </c>
      <c r="F24" s="99">
        <f ca="1">IFERROR(__xludf.DUMMYFUNCTION("IMPORTRANGE(""https://docs.google.com/spreadsheets/d/11923uPwbBZFjjGgGUA6NLw09EwE0CqkOc4q9oUmW1yo/edit?usp=sharing"",""พิษณุโลก!M475"")"),240)</f>
        <v>240</v>
      </c>
      <c r="G24" s="99">
        <f t="shared" ca="1" si="1"/>
        <v>0.1877556997936565</v>
      </c>
      <c r="H24" s="55">
        <v>24</v>
      </c>
      <c r="I24" s="55">
        <v>24</v>
      </c>
      <c r="J24" s="55">
        <f ca="1">IFERROR(__xludf.DUMMYFUNCTION("IMPORTRANGE(""https://docs.google.com/spreadsheets/d/11923uPwbBZFjjGgGUA6NLw09EwE0CqkOc4q9oUmW1yo/edit?usp=sharing"",""พิษณุโลก!J482"")"),5)</f>
        <v>5</v>
      </c>
      <c r="K24" s="55">
        <f ca="1">IFERROR(__xludf.DUMMYFUNCTION("IMPORTRANGE(""https://docs.google.com/spreadsheets/d/11923uPwbBZFjjGgGUA6NLw09EwE0CqkOc4q9oUmW1yo/edit?usp=sharing"",""พิษณุโลก!J483"")"),28.33)</f>
        <v>28.33</v>
      </c>
      <c r="L24" s="99">
        <f t="shared" ca="1" si="3"/>
        <v>20.833333333333332</v>
      </c>
      <c r="M24" s="55">
        <f ca="1">IFERROR(__xludf.DUMMYFUNCTION("IMPORTRANGE(""https://docs.google.com/spreadsheets/d/11923uPwbBZFjjGgGUA6NLw09EwE0CqkOc4q9oUmW1yo/edit?usp=sharing"",""พิษณุโลก!J484"")"),3)</f>
        <v>3</v>
      </c>
      <c r="N24" s="55">
        <f ca="1">IFERROR(__xludf.DUMMYFUNCTION("IMPORTRANGE(""https://docs.google.com/spreadsheets/d/11923uPwbBZFjjGgGUA6NLw09EwE0CqkOc4q9oUmW1yo/edit?usp=sharing"",""พิษณุโลก!J485"")"),4.76)</f>
        <v>4.76</v>
      </c>
      <c r="O24" s="99">
        <f t="shared" ca="1" si="5"/>
        <v>12.5</v>
      </c>
      <c r="P24" s="55">
        <f ca="1">IFERROR(__xludf.DUMMYFUNCTION("IMPORTRANGE(""https://docs.google.com/spreadsheets/d/11923uPwbBZFjjGgGUA6NLw09EwE0CqkOc4q9oUmW1yo/edit?usp=sharing"",""พิษณุโลก!J486"")"),0)</f>
        <v>0</v>
      </c>
      <c r="Q24" s="99">
        <f ca="1">IFERROR(__xludf.DUMMYFUNCTION("IMPORTRANGE(""https://docs.google.com/spreadsheets/d/11923uPwbBZFjjGgGUA6NLw09EwE0CqkOc4q9oUmW1yo/edit?usp=sharing"",""พิษณุโลก!J487"")"),0)</f>
        <v>0</v>
      </c>
      <c r="R24" s="99">
        <f t="shared" ca="1" si="7"/>
        <v>0</v>
      </c>
      <c r="S24" s="55">
        <f ca="1">IFERROR(__xludf.DUMMYFUNCTION("IMPORTRANGE(""https://docs.google.com/spreadsheets/d/11923uPwbBZFjjGgGUA6NLw09EwE0CqkOc4q9oUmW1yo/edit?usp=sharing"",""พิษณุโลก!J488"")"),0)</f>
        <v>0</v>
      </c>
      <c r="T24" s="99">
        <f ca="1">IFERROR(__xludf.DUMMYFUNCTION("IMPORTRANGE(""https://docs.google.com/spreadsheets/d/11923uPwbBZFjjGgGUA6NLw09EwE0CqkOc4q9oUmW1yo/edit?usp=sharing"",""พิษณุโลก!J489"")"),0)</f>
        <v>0</v>
      </c>
      <c r="U24" s="99">
        <f t="shared" ca="1" si="9"/>
        <v>0</v>
      </c>
      <c r="V24" s="81"/>
      <c r="W24" s="81"/>
      <c r="X24" s="81"/>
      <c r="Y24" s="81"/>
      <c r="Z24" s="81"/>
    </row>
    <row r="25" spans="1:26" ht="24" customHeight="1" x14ac:dyDescent="0.5">
      <c r="A25" s="273">
        <v>10</v>
      </c>
      <c r="B25" s="274" t="s">
        <v>40</v>
      </c>
      <c r="C25" s="275">
        <f t="shared" si="35"/>
        <v>429621</v>
      </c>
      <c r="D25" s="55">
        <v>0</v>
      </c>
      <c r="E25" s="55">
        <v>429621</v>
      </c>
      <c r="F25" s="99">
        <f ca="1">IFERROR(__xludf.DUMMYFUNCTION("IMPORTRANGE(""https://docs.google.com/spreadsheets/d/11923uPwbBZFjjGgGUA6NLw09EwE0CqkOc4q9oUmW1yo/edit?usp=sharing"",""เพชรบูรณ์!M475"")"),15026)</f>
        <v>15026</v>
      </c>
      <c r="G25" s="99">
        <f t="shared" ca="1" si="1"/>
        <v>3.4975012860172106</v>
      </c>
      <c r="H25" s="55">
        <v>300</v>
      </c>
      <c r="I25" s="55">
        <v>300</v>
      </c>
      <c r="J25" s="55">
        <f ca="1">IFERROR(__xludf.DUMMYFUNCTION("IMPORTRANGE(""https://docs.google.com/spreadsheets/d/11923uPwbBZFjjGgGUA6NLw09EwE0CqkOc4q9oUmW1yo/edit?usp=sharing"",""เพชรบูรณ์!J482"")"),0)</f>
        <v>0</v>
      </c>
      <c r="K25" s="55">
        <f ca="1">IFERROR(__xludf.DUMMYFUNCTION("IMPORTRANGE(""https://docs.google.com/spreadsheets/d/11923uPwbBZFjjGgGUA6NLw09EwE0CqkOc4q9oUmW1yo/edit?usp=sharing"",""เพชรบูรณ์!J483"")"),0)</f>
        <v>0</v>
      </c>
      <c r="L25" s="99">
        <f t="shared" ca="1" si="3"/>
        <v>0</v>
      </c>
      <c r="M25" s="55">
        <f ca="1">IFERROR(__xludf.DUMMYFUNCTION("IMPORTRANGE(""https://docs.google.com/spreadsheets/d/11923uPwbBZFjjGgGUA6NLw09EwE0CqkOc4q9oUmW1yo/edit?usp=sharing"",""เพชรบูรณ์!J484"")"),0)</f>
        <v>0</v>
      </c>
      <c r="N25" s="55">
        <f ca="1">IFERROR(__xludf.DUMMYFUNCTION("IMPORTRANGE(""https://docs.google.com/spreadsheets/d/11923uPwbBZFjjGgGUA6NLw09EwE0CqkOc4q9oUmW1yo/edit?usp=sharing"",""เพชรบูรณ์!J485"")"),0)</f>
        <v>0</v>
      </c>
      <c r="O25" s="99">
        <f t="shared" ca="1" si="5"/>
        <v>0</v>
      </c>
      <c r="P25" s="55">
        <f ca="1">IFERROR(__xludf.DUMMYFUNCTION("IMPORTRANGE(""https://docs.google.com/spreadsheets/d/11923uPwbBZFjjGgGUA6NLw09EwE0CqkOc4q9oUmW1yo/edit?usp=sharing"",""เพชรบูรณ์!J486"")"),0)</f>
        <v>0</v>
      </c>
      <c r="Q25" s="99">
        <f ca="1">IFERROR(__xludf.DUMMYFUNCTION("IMPORTRANGE(""https://docs.google.com/spreadsheets/d/11923uPwbBZFjjGgGUA6NLw09EwE0CqkOc4q9oUmW1yo/edit?usp=sharing"",""เพชรบูรณ์!J487"")"),0)</f>
        <v>0</v>
      </c>
      <c r="R25" s="99">
        <f t="shared" ca="1" si="7"/>
        <v>0</v>
      </c>
      <c r="S25" s="55">
        <f ca="1">IFERROR(__xludf.DUMMYFUNCTION("IMPORTRANGE(""https://docs.google.com/spreadsheets/d/11923uPwbBZFjjGgGUA6NLw09EwE0CqkOc4q9oUmW1yo/edit?usp=sharing"",""เพชรบูรณ์!J488"")"),0)</f>
        <v>0</v>
      </c>
      <c r="T25" s="99">
        <f ca="1">IFERROR(__xludf.DUMMYFUNCTION("IMPORTRANGE(""https://docs.google.com/spreadsheets/d/11923uPwbBZFjjGgGUA6NLw09EwE0CqkOc4q9oUmW1yo/edit?usp=sharing"",""เพชรบูรณ์!J489"")"),0)</f>
        <v>0</v>
      </c>
      <c r="U25" s="99">
        <f t="shared" ca="1" si="9"/>
        <v>0</v>
      </c>
      <c r="V25" s="81"/>
      <c r="W25" s="81"/>
      <c r="X25" s="81"/>
      <c r="Y25" s="81"/>
      <c r="Z25" s="81"/>
    </row>
    <row r="26" spans="1:26" ht="24" customHeight="1" x14ac:dyDescent="0.5">
      <c r="A26" s="273">
        <v>11</v>
      </c>
      <c r="B26" s="274" t="s">
        <v>41</v>
      </c>
      <c r="C26" s="275">
        <f t="shared" si="35"/>
        <v>0</v>
      </c>
      <c r="D26" s="55">
        <v>0</v>
      </c>
      <c r="E26" s="55">
        <v>0</v>
      </c>
      <c r="F26" s="99">
        <f ca="1">IFERROR(__xludf.DUMMYFUNCTION("IMPORTRANGE(""https://docs.google.com/spreadsheets/d/11923uPwbBZFjjGgGUA6NLw09EwE0CqkOc4q9oUmW1yo/edit?usp=sharing"",""แพร่!M475"")"),0)</f>
        <v>0</v>
      </c>
      <c r="G26" s="99">
        <f t="shared" si="1"/>
        <v>0</v>
      </c>
      <c r="H26" s="55">
        <v>0</v>
      </c>
      <c r="I26" s="55">
        <v>0</v>
      </c>
      <c r="J26" s="55">
        <f ca="1">IFERROR(__xludf.DUMMYFUNCTION("IMPORTRANGE(""https://docs.google.com/spreadsheets/d/11923uPwbBZFjjGgGUA6NLw09EwE0CqkOc4q9oUmW1yo/edit?usp=sharing"",""แพร่!J482"")"),0)</f>
        <v>0</v>
      </c>
      <c r="K26" s="55">
        <f ca="1">IFERROR(__xludf.DUMMYFUNCTION("IMPORTRANGE(""https://docs.google.com/spreadsheets/d/11923uPwbBZFjjGgGUA6NLw09EwE0CqkOc4q9oUmW1yo/edit?usp=sharing"",""แพร่!J483"")"),0)</f>
        <v>0</v>
      </c>
      <c r="L26" s="99">
        <f t="shared" si="3"/>
        <v>0</v>
      </c>
      <c r="M26" s="55">
        <f ca="1">IFERROR(__xludf.DUMMYFUNCTION("IMPORTRANGE(""https://docs.google.com/spreadsheets/d/11923uPwbBZFjjGgGUA6NLw09EwE0CqkOc4q9oUmW1yo/edit?usp=sharing"",""แพร่!J484"")"),0)</f>
        <v>0</v>
      </c>
      <c r="N26" s="55">
        <f ca="1">IFERROR(__xludf.DUMMYFUNCTION("IMPORTRANGE(""https://docs.google.com/spreadsheets/d/11923uPwbBZFjjGgGUA6NLw09EwE0CqkOc4q9oUmW1yo/edit?usp=sharing"",""แพร่!J485"")"),0)</f>
        <v>0</v>
      </c>
      <c r="O26" s="99">
        <f t="shared" si="5"/>
        <v>0</v>
      </c>
      <c r="P26" s="55">
        <f ca="1">IFERROR(__xludf.DUMMYFUNCTION("IMPORTRANGE(""https://docs.google.com/spreadsheets/d/11923uPwbBZFjjGgGUA6NLw09EwE0CqkOc4q9oUmW1yo/edit?usp=sharing"",""แพร่!J486"")"),0)</f>
        <v>0</v>
      </c>
      <c r="Q26" s="99">
        <f ca="1">IFERROR(__xludf.DUMMYFUNCTION("IMPORTRANGE(""https://docs.google.com/spreadsheets/d/11923uPwbBZFjjGgGUA6NLw09EwE0CqkOc4q9oUmW1yo/edit?usp=sharing"",""แพร่!J487"")"),0)</f>
        <v>0</v>
      </c>
      <c r="R26" s="99">
        <f t="shared" si="7"/>
        <v>0</v>
      </c>
      <c r="S26" s="55">
        <f ca="1">IFERROR(__xludf.DUMMYFUNCTION("IMPORTRANGE(""https://docs.google.com/spreadsheets/d/11923uPwbBZFjjGgGUA6NLw09EwE0CqkOc4q9oUmW1yo/edit?usp=sharing"",""แพร่!J488"")"),0)</f>
        <v>0</v>
      </c>
      <c r="T26" s="99">
        <f ca="1">IFERROR(__xludf.DUMMYFUNCTION("IMPORTRANGE(""https://docs.google.com/spreadsheets/d/11923uPwbBZFjjGgGUA6NLw09EwE0CqkOc4q9oUmW1yo/edit?usp=sharing"",""แพร่!J489"")"),0)</f>
        <v>0</v>
      </c>
      <c r="U26" s="99">
        <f t="shared" si="9"/>
        <v>0</v>
      </c>
      <c r="V26" s="81"/>
      <c r="W26" s="81"/>
      <c r="X26" s="81"/>
      <c r="Y26" s="81"/>
      <c r="Z26" s="81"/>
    </row>
    <row r="27" spans="1:26" ht="24" customHeight="1" x14ac:dyDescent="0.5">
      <c r="A27" s="273">
        <v>12</v>
      </c>
      <c r="B27" s="274" t="s">
        <v>42</v>
      </c>
      <c r="C27" s="275">
        <f t="shared" si="35"/>
        <v>128936.38</v>
      </c>
      <c r="D27" s="55">
        <v>0</v>
      </c>
      <c r="E27" s="55">
        <v>128936.38</v>
      </c>
      <c r="F27" s="99">
        <f ca="1">IFERROR(__xludf.DUMMYFUNCTION("IMPORTRANGE(""https://docs.google.com/spreadsheets/d/11923uPwbBZFjjGgGUA6NLw09EwE0CqkOc4q9oUmW1yo/edit?usp=sharing"",""แม่ฮ่องสอน!M475"")"),0)</f>
        <v>0</v>
      </c>
      <c r="G27" s="99">
        <f t="shared" ca="1" si="1"/>
        <v>0</v>
      </c>
      <c r="H27" s="55">
        <v>34</v>
      </c>
      <c r="I27" s="55">
        <v>34</v>
      </c>
      <c r="J27" s="55">
        <f ca="1">IFERROR(__xludf.DUMMYFUNCTION("IMPORTRANGE(""https://docs.google.com/spreadsheets/d/11923uPwbBZFjjGgGUA6NLw09EwE0CqkOc4q9oUmW1yo/edit?usp=sharing"",""แม่ฮ่องสอน!J482"")"),0)</f>
        <v>0</v>
      </c>
      <c r="K27" s="55">
        <f ca="1">IFERROR(__xludf.DUMMYFUNCTION("IMPORTRANGE(""https://docs.google.com/spreadsheets/d/11923uPwbBZFjjGgGUA6NLw09EwE0CqkOc4q9oUmW1yo/edit?usp=sharing"",""แม่ฮ่องสอน!J483"")"),0)</f>
        <v>0</v>
      </c>
      <c r="L27" s="99">
        <f t="shared" ca="1" si="3"/>
        <v>0</v>
      </c>
      <c r="M27" s="55">
        <f ca="1">IFERROR(__xludf.DUMMYFUNCTION("IMPORTRANGE(""https://docs.google.com/spreadsheets/d/11923uPwbBZFjjGgGUA6NLw09EwE0CqkOc4q9oUmW1yo/edit?usp=sharing"",""แม่ฮ่องสอน!J484"")"),0)</f>
        <v>0</v>
      </c>
      <c r="N27" s="55">
        <f ca="1">IFERROR(__xludf.DUMMYFUNCTION("IMPORTRANGE(""https://docs.google.com/spreadsheets/d/11923uPwbBZFjjGgGUA6NLw09EwE0CqkOc4q9oUmW1yo/edit?usp=sharing"",""แม่ฮ่องสอน!J485"")"),0)</f>
        <v>0</v>
      </c>
      <c r="O27" s="99">
        <f t="shared" ca="1" si="5"/>
        <v>0</v>
      </c>
      <c r="P27" s="55">
        <f ca="1">IFERROR(__xludf.DUMMYFUNCTION("IMPORTRANGE(""https://docs.google.com/spreadsheets/d/11923uPwbBZFjjGgGUA6NLw09EwE0CqkOc4q9oUmW1yo/edit?usp=sharing"",""แม่ฮ่องสอน!J486"")"),0)</f>
        <v>0</v>
      </c>
      <c r="Q27" s="99">
        <f ca="1">IFERROR(__xludf.DUMMYFUNCTION("IMPORTRANGE(""https://docs.google.com/spreadsheets/d/11923uPwbBZFjjGgGUA6NLw09EwE0CqkOc4q9oUmW1yo/edit?usp=sharing"",""แม่ฮ่องสอน!J487"")"),0)</f>
        <v>0</v>
      </c>
      <c r="R27" s="99">
        <f t="shared" ca="1" si="7"/>
        <v>0</v>
      </c>
      <c r="S27" s="55">
        <f ca="1">IFERROR(__xludf.DUMMYFUNCTION("IMPORTRANGE(""https://docs.google.com/spreadsheets/d/11923uPwbBZFjjGgGUA6NLw09EwE0CqkOc4q9oUmW1yo/edit?usp=sharing"",""แม่ฮ่องสอน!J488"")"),0)</f>
        <v>0</v>
      </c>
      <c r="T27" s="99">
        <f ca="1">IFERROR(__xludf.DUMMYFUNCTION("IMPORTRANGE(""https://docs.google.com/spreadsheets/d/11923uPwbBZFjjGgGUA6NLw09EwE0CqkOc4q9oUmW1yo/edit?usp=sharing"",""แม่ฮ่องสอน!J489"")"),0)</f>
        <v>0</v>
      </c>
      <c r="U27" s="99">
        <f t="shared" ca="1" si="9"/>
        <v>0</v>
      </c>
      <c r="V27" s="81"/>
      <c r="W27" s="81"/>
      <c r="X27" s="81"/>
      <c r="Y27" s="81"/>
      <c r="Z27" s="81"/>
    </row>
    <row r="28" spans="1:26" ht="24" customHeight="1" x14ac:dyDescent="0.5">
      <c r="A28" s="273">
        <v>13</v>
      </c>
      <c r="B28" s="274" t="s">
        <v>43</v>
      </c>
      <c r="C28" s="275">
        <f t="shared" si="35"/>
        <v>130655.35</v>
      </c>
      <c r="D28" s="55">
        <v>0</v>
      </c>
      <c r="E28" s="55">
        <v>130655.35</v>
      </c>
      <c r="F28" s="99">
        <f ca="1">IFERROR(__xludf.DUMMYFUNCTION("IMPORTRANGE(""https://docs.google.com/spreadsheets/d/11923uPwbBZFjjGgGUA6NLw09EwE0CqkOc4q9oUmW1yo/edit?usp=sharing"",""ลำปาง!M475"")"),0)</f>
        <v>0</v>
      </c>
      <c r="G28" s="99">
        <f t="shared" ca="1" si="1"/>
        <v>0</v>
      </c>
      <c r="H28" s="55">
        <v>5</v>
      </c>
      <c r="I28" s="55">
        <v>5</v>
      </c>
      <c r="J28" s="55">
        <f ca="1">IFERROR(__xludf.DUMMYFUNCTION("IMPORTRANGE(""https://docs.google.com/spreadsheets/d/11923uPwbBZFjjGgGUA6NLw09EwE0CqkOc4q9oUmW1yo/edit?usp=sharing"",""ลำปาง!J482"")"),0)</f>
        <v>0</v>
      </c>
      <c r="K28" s="55">
        <f ca="1">IFERROR(__xludf.DUMMYFUNCTION("IMPORTRANGE(""https://docs.google.com/spreadsheets/d/11923uPwbBZFjjGgGUA6NLw09EwE0CqkOc4q9oUmW1yo/edit?usp=sharing"",""ลำปาง!J483"")"),0)</f>
        <v>0</v>
      </c>
      <c r="L28" s="99">
        <f t="shared" ca="1" si="3"/>
        <v>0</v>
      </c>
      <c r="M28" s="55">
        <f ca="1">IFERROR(__xludf.DUMMYFUNCTION("IMPORTRANGE(""https://docs.google.com/spreadsheets/d/11923uPwbBZFjjGgGUA6NLw09EwE0CqkOc4q9oUmW1yo/edit?usp=sharing"",""ลำปาง!J484"")"),0)</f>
        <v>0</v>
      </c>
      <c r="N28" s="55">
        <f ca="1">IFERROR(__xludf.DUMMYFUNCTION("IMPORTRANGE(""https://docs.google.com/spreadsheets/d/11923uPwbBZFjjGgGUA6NLw09EwE0CqkOc4q9oUmW1yo/edit?usp=sharing"",""ลำปาง!J485"")"),0)</f>
        <v>0</v>
      </c>
      <c r="O28" s="99">
        <f t="shared" ca="1" si="5"/>
        <v>0</v>
      </c>
      <c r="P28" s="55">
        <f ca="1">IFERROR(__xludf.DUMMYFUNCTION("IMPORTRANGE(""https://docs.google.com/spreadsheets/d/11923uPwbBZFjjGgGUA6NLw09EwE0CqkOc4q9oUmW1yo/edit?usp=sharing"",""ลำปาง!J486"")"),0)</f>
        <v>0</v>
      </c>
      <c r="Q28" s="99">
        <f ca="1">IFERROR(__xludf.DUMMYFUNCTION("IMPORTRANGE(""https://docs.google.com/spreadsheets/d/11923uPwbBZFjjGgGUA6NLw09EwE0CqkOc4q9oUmW1yo/edit?usp=sharing"",""ลำปาง!J487"")"),0)</f>
        <v>0</v>
      </c>
      <c r="R28" s="99">
        <f t="shared" ca="1" si="7"/>
        <v>0</v>
      </c>
      <c r="S28" s="55">
        <f ca="1">IFERROR(__xludf.DUMMYFUNCTION("IMPORTRANGE(""https://docs.google.com/spreadsheets/d/11923uPwbBZFjjGgGUA6NLw09EwE0CqkOc4q9oUmW1yo/edit?usp=sharing"",""ลำปาง!J488"")"),0)</f>
        <v>0</v>
      </c>
      <c r="T28" s="99">
        <f ca="1">IFERROR(__xludf.DUMMYFUNCTION("IMPORTRANGE(""https://docs.google.com/spreadsheets/d/11923uPwbBZFjjGgGUA6NLw09EwE0CqkOc4q9oUmW1yo/edit?usp=sharing"",""ลำปาง!J489"")"),0)</f>
        <v>0</v>
      </c>
      <c r="U28" s="99">
        <f t="shared" ca="1" si="9"/>
        <v>0</v>
      </c>
      <c r="V28" s="81"/>
      <c r="W28" s="81"/>
      <c r="X28" s="81"/>
      <c r="Y28" s="81"/>
      <c r="Z28" s="81"/>
    </row>
    <row r="29" spans="1:26" ht="24" customHeight="1" x14ac:dyDescent="0.5">
      <c r="A29" s="273">
        <v>14</v>
      </c>
      <c r="B29" s="274" t="s">
        <v>44</v>
      </c>
      <c r="C29" s="275">
        <f t="shared" si="35"/>
        <v>0</v>
      </c>
      <c r="D29" s="55">
        <v>0</v>
      </c>
      <c r="E29" s="55">
        <v>0</v>
      </c>
      <c r="F29" s="99">
        <f ca="1">IFERROR(__xludf.DUMMYFUNCTION("IMPORTRANGE(""https://docs.google.com/spreadsheets/d/11923uPwbBZFjjGgGUA6NLw09EwE0CqkOc4q9oUmW1yo/edit?usp=sharing"",""ลำพูน!M475"")"),0)</f>
        <v>0</v>
      </c>
      <c r="G29" s="99">
        <f t="shared" si="1"/>
        <v>0</v>
      </c>
      <c r="H29" s="55">
        <v>0</v>
      </c>
      <c r="I29" s="55">
        <v>0</v>
      </c>
      <c r="J29" s="55">
        <f ca="1">IFERROR(__xludf.DUMMYFUNCTION("IMPORTRANGE(""https://docs.google.com/spreadsheets/d/11923uPwbBZFjjGgGUA6NLw09EwE0CqkOc4q9oUmW1yo/edit?usp=sharing"",""ลำพูน!J482"")"),0)</f>
        <v>0</v>
      </c>
      <c r="K29" s="55">
        <f ca="1">IFERROR(__xludf.DUMMYFUNCTION("IMPORTRANGE(""https://docs.google.com/spreadsheets/d/11923uPwbBZFjjGgGUA6NLw09EwE0CqkOc4q9oUmW1yo/edit?usp=sharing"",""ลำพูน!J483"")"),0)</f>
        <v>0</v>
      </c>
      <c r="L29" s="99">
        <f t="shared" si="3"/>
        <v>0</v>
      </c>
      <c r="M29" s="55">
        <f ca="1">IFERROR(__xludf.DUMMYFUNCTION("IMPORTRANGE(""https://docs.google.com/spreadsheets/d/11923uPwbBZFjjGgGUA6NLw09EwE0CqkOc4q9oUmW1yo/edit?usp=sharing"",""ลำพูน!J484"")"),0)</f>
        <v>0</v>
      </c>
      <c r="N29" s="55">
        <f ca="1">IFERROR(__xludf.DUMMYFUNCTION("IMPORTRANGE(""https://docs.google.com/spreadsheets/d/11923uPwbBZFjjGgGUA6NLw09EwE0CqkOc4q9oUmW1yo/edit?usp=sharing"",""ลำพูน!J485"")"),0)</f>
        <v>0</v>
      </c>
      <c r="O29" s="99">
        <f t="shared" si="5"/>
        <v>0</v>
      </c>
      <c r="P29" s="55">
        <f ca="1">IFERROR(__xludf.DUMMYFUNCTION("IMPORTRANGE(""https://docs.google.com/spreadsheets/d/11923uPwbBZFjjGgGUA6NLw09EwE0CqkOc4q9oUmW1yo/edit?usp=sharing"",""ลำพูน!J486"")"),0)</f>
        <v>0</v>
      </c>
      <c r="Q29" s="99">
        <f ca="1">IFERROR(__xludf.DUMMYFUNCTION("IMPORTRANGE(""https://docs.google.com/spreadsheets/d/11923uPwbBZFjjGgGUA6NLw09EwE0CqkOc4q9oUmW1yo/edit?usp=sharing"",""ลำพูน!J487"")"),0)</f>
        <v>0</v>
      </c>
      <c r="R29" s="99">
        <f t="shared" si="7"/>
        <v>0</v>
      </c>
      <c r="S29" s="55">
        <f ca="1">IFERROR(__xludf.DUMMYFUNCTION("IMPORTRANGE(""https://docs.google.com/spreadsheets/d/11923uPwbBZFjjGgGUA6NLw09EwE0CqkOc4q9oUmW1yo/edit?usp=sharing"",""ลำพูน!J488"")"),0)</f>
        <v>0</v>
      </c>
      <c r="T29" s="99">
        <f ca="1">IFERROR(__xludf.DUMMYFUNCTION("IMPORTRANGE(""https://docs.google.com/spreadsheets/d/11923uPwbBZFjjGgGUA6NLw09EwE0CqkOc4q9oUmW1yo/edit?usp=sharing"",""ลำพูน!J489"")"),0)</f>
        <v>0</v>
      </c>
      <c r="U29" s="99">
        <f t="shared" si="9"/>
        <v>0</v>
      </c>
      <c r="V29" s="81"/>
      <c r="W29" s="81"/>
      <c r="X29" s="81"/>
      <c r="Y29" s="81"/>
      <c r="Z29" s="81"/>
    </row>
    <row r="30" spans="1:26" ht="24" customHeight="1" x14ac:dyDescent="0.5">
      <c r="A30" s="273">
        <v>15</v>
      </c>
      <c r="B30" s="274" t="s">
        <v>45</v>
      </c>
      <c r="C30" s="275">
        <f t="shared" si="35"/>
        <v>296196.3</v>
      </c>
      <c r="D30" s="55">
        <v>0</v>
      </c>
      <c r="E30" s="55">
        <v>296196.3</v>
      </c>
      <c r="F30" s="99">
        <f ca="1">IFERROR(__xludf.DUMMYFUNCTION("IMPORTRANGE(""https://docs.google.com/spreadsheets/d/11923uPwbBZFjjGgGUA6NLw09EwE0CqkOc4q9oUmW1yo/edit?usp=sharing"",""สุโขทัย!M475"")"),0)</f>
        <v>0</v>
      </c>
      <c r="G30" s="99">
        <f t="shared" ca="1" si="1"/>
        <v>0</v>
      </c>
      <c r="H30" s="55">
        <v>90</v>
      </c>
      <c r="I30" s="55">
        <v>90</v>
      </c>
      <c r="J30" s="55">
        <f ca="1">IFERROR(__xludf.DUMMYFUNCTION("IMPORTRANGE(""https://docs.google.com/spreadsheets/d/11923uPwbBZFjjGgGUA6NLw09EwE0CqkOc4q9oUmW1yo/edit?usp=sharing"",""สุโขทัย!J482"")"),0)</f>
        <v>0</v>
      </c>
      <c r="K30" s="55">
        <f ca="1">IFERROR(__xludf.DUMMYFUNCTION("IMPORTRANGE(""https://docs.google.com/spreadsheets/d/11923uPwbBZFjjGgGUA6NLw09EwE0CqkOc4q9oUmW1yo/edit?usp=sharing"",""สุโขทัย!J483"")"),0)</f>
        <v>0</v>
      </c>
      <c r="L30" s="99">
        <f t="shared" ca="1" si="3"/>
        <v>0</v>
      </c>
      <c r="M30" s="55">
        <f ca="1">IFERROR(__xludf.DUMMYFUNCTION("IMPORTRANGE(""https://docs.google.com/spreadsheets/d/11923uPwbBZFjjGgGUA6NLw09EwE0CqkOc4q9oUmW1yo/edit?usp=sharing"",""สุโขทัย!J484"")"),0)</f>
        <v>0</v>
      </c>
      <c r="N30" s="55">
        <f ca="1">IFERROR(__xludf.DUMMYFUNCTION("IMPORTRANGE(""https://docs.google.com/spreadsheets/d/11923uPwbBZFjjGgGUA6NLw09EwE0CqkOc4q9oUmW1yo/edit?usp=sharing"",""สุโขทัย!J485"")"),0)</f>
        <v>0</v>
      </c>
      <c r="O30" s="99">
        <f t="shared" ca="1" si="5"/>
        <v>0</v>
      </c>
      <c r="P30" s="55">
        <f ca="1">IFERROR(__xludf.DUMMYFUNCTION("IMPORTRANGE(""https://docs.google.com/spreadsheets/d/11923uPwbBZFjjGgGUA6NLw09EwE0CqkOc4q9oUmW1yo/edit?usp=sharing"",""สุโขทัย!J486"")"),0)</f>
        <v>0</v>
      </c>
      <c r="Q30" s="99">
        <f ca="1">IFERROR(__xludf.DUMMYFUNCTION("IMPORTRANGE(""https://docs.google.com/spreadsheets/d/11923uPwbBZFjjGgGUA6NLw09EwE0CqkOc4q9oUmW1yo/edit?usp=sharing"",""สุโขทัย!J487"")"),0)</f>
        <v>0</v>
      </c>
      <c r="R30" s="99">
        <f t="shared" ca="1" si="7"/>
        <v>0</v>
      </c>
      <c r="S30" s="55">
        <f ca="1">IFERROR(__xludf.DUMMYFUNCTION("IMPORTRANGE(""https://docs.google.com/spreadsheets/d/11923uPwbBZFjjGgGUA6NLw09EwE0CqkOc4q9oUmW1yo/edit?usp=sharing"",""สุโขทัย!J488"")"),0)</f>
        <v>0</v>
      </c>
      <c r="T30" s="99">
        <f ca="1">IFERROR(__xludf.DUMMYFUNCTION("IMPORTRANGE(""https://docs.google.com/spreadsheets/d/11923uPwbBZFjjGgGUA6NLw09EwE0CqkOc4q9oUmW1yo/edit?usp=sharing"",""สุโขทัย!J489"")"),0)</f>
        <v>0</v>
      </c>
      <c r="U30" s="99">
        <f t="shared" ca="1" si="9"/>
        <v>0</v>
      </c>
      <c r="V30" s="81"/>
      <c r="W30" s="81"/>
      <c r="X30" s="81"/>
      <c r="Y30" s="81"/>
      <c r="Z30" s="81"/>
    </row>
    <row r="31" spans="1:26" ht="24" customHeight="1" x14ac:dyDescent="0.5">
      <c r="A31" s="273">
        <v>16</v>
      </c>
      <c r="B31" s="274" t="s">
        <v>46</v>
      </c>
      <c r="C31" s="275">
        <f t="shared" si="35"/>
        <v>0</v>
      </c>
      <c r="D31" s="55">
        <v>0</v>
      </c>
      <c r="E31" s="55">
        <v>0</v>
      </c>
      <c r="F31" s="99">
        <f ca="1">IFERROR(__xludf.DUMMYFUNCTION("IMPORTRANGE(""https://docs.google.com/spreadsheets/d/11923uPwbBZFjjGgGUA6NLw09EwE0CqkOc4q9oUmW1yo/edit?usp=sharing"",""อุตรดิตถ์!M475"")"),0)</f>
        <v>0</v>
      </c>
      <c r="G31" s="99">
        <f t="shared" si="1"/>
        <v>0</v>
      </c>
      <c r="H31" s="55">
        <v>0</v>
      </c>
      <c r="I31" s="55">
        <v>0</v>
      </c>
      <c r="J31" s="55">
        <f ca="1">IFERROR(__xludf.DUMMYFUNCTION("IMPORTRANGE(""https://docs.google.com/spreadsheets/d/11923uPwbBZFjjGgGUA6NLw09EwE0CqkOc4q9oUmW1yo/edit?usp=sharing"",""อุตรดิตถ์!J482"")"),2)</f>
        <v>2</v>
      </c>
      <c r="K31" s="55">
        <f ca="1">IFERROR(__xludf.DUMMYFUNCTION("IMPORTRANGE(""https://docs.google.com/spreadsheets/d/11923uPwbBZFjjGgGUA6NLw09EwE0CqkOc4q9oUmW1yo/edit?usp=sharing"",""อุตรดิตถ์!J483"")"),1.11)</f>
        <v>1.1100000000000001</v>
      </c>
      <c r="L31" s="99">
        <f t="shared" si="3"/>
        <v>0</v>
      </c>
      <c r="M31" s="55">
        <f ca="1">IFERROR(__xludf.DUMMYFUNCTION("IMPORTRANGE(""https://docs.google.com/spreadsheets/d/11923uPwbBZFjjGgGUA6NLw09EwE0CqkOc4q9oUmW1yo/edit?usp=sharing"",""อุตรดิตถ์!J484"")"),2)</f>
        <v>2</v>
      </c>
      <c r="N31" s="55">
        <f ca="1">IFERROR(__xludf.DUMMYFUNCTION("IMPORTRANGE(""https://docs.google.com/spreadsheets/d/11923uPwbBZFjjGgGUA6NLw09EwE0CqkOc4q9oUmW1yo/edit?usp=sharing"",""อุตรดิตถ์!J485"")"),1.11)</f>
        <v>1.1100000000000001</v>
      </c>
      <c r="O31" s="99">
        <f t="shared" si="5"/>
        <v>0</v>
      </c>
      <c r="P31" s="55">
        <f ca="1">IFERROR(__xludf.DUMMYFUNCTION("IMPORTRANGE(""https://docs.google.com/spreadsheets/d/11923uPwbBZFjjGgGUA6NLw09EwE0CqkOc4q9oUmW1yo/edit?usp=sharing"",""อุตรดิตถ์!J486"")"),0)</f>
        <v>0</v>
      </c>
      <c r="Q31" s="99">
        <f ca="1">IFERROR(__xludf.DUMMYFUNCTION("IMPORTRANGE(""https://docs.google.com/spreadsheets/d/11923uPwbBZFjjGgGUA6NLw09EwE0CqkOc4q9oUmW1yo/edit?usp=sharing"",""อุตรดิตถ์!J487"")"),0)</f>
        <v>0</v>
      </c>
      <c r="R31" s="99">
        <f t="shared" si="7"/>
        <v>0</v>
      </c>
      <c r="S31" s="55">
        <f ca="1">IFERROR(__xludf.DUMMYFUNCTION("IMPORTRANGE(""https://docs.google.com/spreadsheets/d/11923uPwbBZFjjGgGUA6NLw09EwE0CqkOc4q9oUmW1yo/edit?usp=sharing"",""อุตรดิตถ์!J488"")"),0)</f>
        <v>0</v>
      </c>
      <c r="T31" s="99">
        <f ca="1">IFERROR(__xludf.DUMMYFUNCTION("IMPORTRANGE(""https://docs.google.com/spreadsheets/d/11923uPwbBZFjjGgGUA6NLw09EwE0CqkOc4q9oUmW1yo/edit?usp=sharing"",""อุตรดิตถ์!J489"")"),0)</f>
        <v>0</v>
      </c>
      <c r="U31" s="99">
        <f t="shared" si="9"/>
        <v>0</v>
      </c>
      <c r="V31" s="81"/>
      <c r="W31" s="81"/>
      <c r="X31" s="81"/>
      <c r="Y31" s="81"/>
      <c r="Z31" s="81"/>
    </row>
    <row r="32" spans="1:26" ht="24" customHeight="1" x14ac:dyDescent="0.5">
      <c r="A32" s="490">
        <v>17</v>
      </c>
      <c r="B32" s="491" t="s">
        <v>47</v>
      </c>
      <c r="C32" s="492">
        <f t="shared" si="35"/>
        <v>111857.48999999999</v>
      </c>
      <c r="D32" s="486">
        <v>0</v>
      </c>
      <c r="E32" s="486">
        <v>111857.48999999999</v>
      </c>
      <c r="F32" s="487">
        <f ca="1">IFERROR(__xludf.DUMMYFUNCTION("IMPORTRANGE(""https://docs.google.com/spreadsheets/d/11923uPwbBZFjjGgGUA6NLw09EwE0CqkOc4q9oUmW1yo/edit?usp=sharing"",""อุทัยธานี!M475"")"),0)</f>
        <v>0</v>
      </c>
      <c r="G32" s="487">
        <f t="shared" ca="1" si="1"/>
        <v>0</v>
      </c>
      <c r="H32" s="486">
        <v>7</v>
      </c>
      <c r="I32" s="486">
        <v>7</v>
      </c>
      <c r="J32" s="486">
        <f ca="1">IFERROR(__xludf.DUMMYFUNCTION("IMPORTRANGE(""https://docs.google.com/spreadsheets/d/11923uPwbBZFjjGgGUA6NLw09EwE0CqkOc4q9oUmW1yo/edit?usp=sharing"",""อุทัยธานี!J482"")"),0)</f>
        <v>0</v>
      </c>
      <c r="K32" s="486">
        <f ca="1">IFERROR(__xludf.DUMMYFUNCTION("IMPORTRANGE(""https://docs.google.com/spreadsheets/d/11923uPwbBZFjjGgGUA6NLw09EwE0CqkOc4q9oUmW1yo/edit?usp=sharing"",""อุทัยธานี!J483"")"),0)</f>
        <v>0</v>
      </c>
      <c r="L32" s="487">
        <f t="shared" ca="1" si="3"/>
        <v>0</v>
      </c>
      <c r="M32" s="486">
        <f ca="1">IFERROR(__xludf.DUMMYFUNCTION("IMPORTRANGE(""https://docs.google.com/spreadsheets/d/11923uPwbBZFjjGgGUA6NLw09EwE0CqkOc4q9oUmW1yo/edit?usp=sharing"",""อุทัยธานี!J484"")"),0)</f>
        <v>0</v>
      </c>
      <c r="N32" s="486">
        <f ca="1">IFERROR(__xludf.DUMMYFUNCTION("IMPORTRANGE(""https://docs.google.com/spreadsheets/d/11923uPwbBZFjjGgGUA6NLw09EwE0CqkOc4q9oUmW1yo/edit?usp=sharing"",""อุทัยธานี!J485"")"),0)</f>
        <v>0</v>
      </c>
      <c r="O32" s="487">
        <f t="shared" ca="1" si="5"/>
        <v>0</v>
      </c>
      <c r="P32" s="486">
        <f ca="1">IFERROR(__xludf.DUMMYFUNCTION("IMPORTRANGE(""https://docs.google.com/spreadsheets/d/11923uPwbBZFjjGgGUA6NLw09EwE0CqkOc4q9oUmW1yo/edit?usp=sharing"",""อุทัยธานี!J486"")"),0)</f>
        <v>0</v>
      </c>
      <c r="Q32" s="487">
        <f ca="1">IFERROR(__xludf.DUMMYFUNCTION("IMPORTRANGE(""https://docs.google.com/spreadsheets/d/11923uPwbBZFjjGgGUA6NLw09EwE0CqkOc4q9oUmW1yo/edit?usp=sharing"",""อุทัยธานี!J487"")"),0)</f>
        <v>0</v>
      </c>
      <c r="R32" s="487">
        <f t="shared" ca="1" si="7"/>
        <v>0</v>
      </c>
      <c r="S32" s="486">
        <f ca="1">IFERROR(__xludf.DUMMYFUNCTION("IMPORTRANGE(""https://docs.google.com/spreadsheets/d/11923uPwbBZFjjGgGUA6NLw09EwE0CqkOc4q9oUmW1yo/edit?usp=sharing"",""อุทัยธานี!J488"")"),0)</f>
        <v>0</v>
      </c>
      <c r="T32" s="487">
        <f ca="1">IFERROR(__xludf.DUMMYFUNCTION("IMPORTRANGE(""https://docs.google.com/spreadsheets/d/11923uPwbBZFjjGgGUA6NLw09EwE0CqkOc4q9oUmW1yo/edit?usp=sharing"",""อุทัยธานี!J489"")"),0)</f>
        <v>0</v>
      </c>
      <c r="U32" s="487">
        <f t="shared" ca="1" si="9"/>
        <v>0</v>
      </c>
      <c r="V32" s="81"/>
      <c r="W32" s="81"/>
      <c r="X32" s="81"/>
      <c r="Y32" s="81"/>
      <c r="Z32" s="81"/>
    </row>
    <row r="33" spans="1:26" ht="24" customHeight="1" x14ac:dyDescent="0.5">
      <c r="A33" s="902" t="s">
        <v>48</v>
      </c>
      <c r="B33" s="669"/>
      <c r="C33" s="248">
        <f t="shared" ref="C33:F33" si="36">SUM(C34:C53)</f>
        <v>3827600.5</v>
      </c>
      <c r="D33" s="481">
        <f t="shared" si="36"/>
        <v>0</v>
      </c>
      <c r="E33" s="481">
        <f t="shared" si="36"/>
        <v>3827600.5</v>
      </c>
      <c r="F33" s="482">
        <f t="shared" ca="1" si="36"/>
        <v>36102.770000000004</v>
      </c>
      <c r="G33" s="482">
        <f t="shared" ca="1" si="1"/>
        <v>0.94322200031063863</v>
      </c>
      <c r="H33" s="481">
        <f t="shared" ref="H33:K33" si="37">SUM(H34:H53)</f>
        <v>3150</v>
      </c>
      <c r="I33" s="481">
        <f t="shared" si="37"/>
        <v>3150</v>
      </c>
      <c r="J33" s="481">
        <f t="shared" ca="1" si="37"/>
        <v>253</v>
      </c>
      <c r="K33" s="481">
        <f t="shared" ca="1" si="37"/>
        <v>162.03</v>
      </c>
      <c r="L33" s="482">
        <f t="shared" ca="1" si="3"/>
        <v>8.0317460317460316</v>
      </c>
      <c r="M33" s="481">
        <f t="shared" ref="M33:N33" ca="1" si="38">SUM(M34:M53)</f>
        <v>42</v>
      </c>
      <c r="N33" s="481">
        <f t="shared" ca="1" si="38"/>
        <v>21.83</v>
      </c>
      <c r="O33" s="482">
        <f t="shared" ca="1" si="5"/>
        <v>1.3333333333333333</v>
      </c>
      <c r="P33" s="481">
        <f t="shared" ref="P33:Q33" ca="1" si="39">SUM(P34:P53)</f>
        <v>0</v>
      </c>
      <c r="Q33" s="482">
        <f t="shared" ca="1" si="39"/>
        <v>0</v>
      </c>
      <c r="R33" s="482">
        <f t="shared" ca="1" si="7"/>
        <v>0</v>
      </c>
      <c r="S33" s="481">
        <f t="shared" ref="S33:T33" ca="1" si="40">SUM(S34:S53)</f>
        <v>14</v>
      </c>
      <c r="T33" s="482">
        <f t="shared" ca="1" si="40"/>
        <v>8.25</v>
      </c>
      <c r="U33" s="482">
        <f t="shared" ca="1" si="9"/>
        <v>0.44444444444444442</v>
      </c>
      <c r="V33" s="81"/>
      <c r="W33" s="81"/>
      <c r="X33" s="81"/>
      <c r="Y33" s="81"/>
      <c r="Z33" s="81"/>
    </row>
    <row r="34" spans="1:26" ht="24" customHeight="1" x14ac:dyDescent="0.5">
      <c r="A34" s="268">
        <v>1</v>
      </c>
      <c r="B34" s="269" t="s">
        <v>49</v>
      </c>
      <c r="C34" s="270">
        <f t="shared" ref="C34:C53" si="41">+D34+E34</f>
        <v>148832.1</v>
      </c>
      <c r="D34" s="48">
        <v>0</v>
      </c>
      <c r="E34" s="48">
        <v>148832.1</v>
      </c>
      <c r="F34" s="98">
        <f ca="1">IFERROR(__xludf.DUMMYFUNCTION("IMPORTRANGE(""https://docs.google.com/spreadsheets/d/1XL5vhW3sbDhbH9Cz0tuDiY8C3ctxq1tqvaCgkFb8cCA/edit?usp=sharing"",""กาฬสินธุ์!M475"")"),0)</f>
        <v>0</v>
      </c>
      <c r="G34" s="98">
        <f t="shared" ca="1" si="1"/>
        <v>0</v>
      </c>
      <c r="H34" s="48">
        <v>30</v>
      </c>
      <c r="I34" s="48">
        <v>30</v>
      </c>
      <c r="J34" s="48">
        <f ca="1">IFERROR(__xludf.DUMMYFUNCTION("IMPORTRANGE(""https://docs.google.com/spreadsheets/d/1XL5vhW3sbDhbH9Cz0tuDiY8C3ctxq1tqvaCgkFb8cCA/edit?usp=sharing"",""กาฬสินธุ์!J482"")"),0)</f>
        <v>0</v>
      </c>
      <c r="K34" s="48">
        <f ca="1">IFERROR(__xludf.DUMMYFUNCTION("IMPORTRANGE(""https://docs.google.com/spreadsheets/d/1XL5vhW3sbDhbH9Cz0tuDiY8C3ctxq1tqvaCgkFb8cCA/edit?usp=sharing"",""กาฬสินธุ์!J483"")"),0)</f>
        <v>0</v>
      </c>
      <c r="L34" s="98">
        <f t="shared" ca="1" si="3"/>
        <v>0</v>
      </c>
      <c r="M34" s="48">
        <f ca="1">IFERROR(__xludf.DUMMYFUNCTION("IMPORTRANGE(""https://docs.google.com/spreadsheets/d/1XL5vhW3sbDhbH9Cz0tuDiY8C3ctxq1tqvaCgkFb8cCA/edit?usp=sharing"",""กาฬสินธุ์!J484"")"),0)</f>
        <v>0</v>
      </c>
      <c r="N34" s="48">
        <f ca="1">IFERROR(__xludf.DUMMYFUNCTION("IMPORTRANGE(""https://docs.google.com/spreadsheets/d/1XL5vhW3sbDhbH9Cz0tuDiY8C3ctxq1tqvaCgkFb8cCA/edit?usp=sharing"",""กาฬสินธุ์!J485"")"),0)</f>
        <v>0</v>
      </c>
      <c r="O34" s="98">
        <f t="shared" ca="1" si="5"/>
        <v>0</v>
      </c>
      <c r="P34" s="48">
        <f ca="1">IFERROR(__xludf.DUMMYFUNCTION("IMPORTRANGE(""https://docs.google.com/spreadsheets/d/1XL5vhW3sbDhbH9Cz0tuDiY8C3ctxq1tqvaCgkFb8cCA/edit?usp=sharing"",""กาฬสินธุ์!J486"")"),0)</f>
        <v>0</v>
      </c>
      <c r="Q34" s="98">
        <f ca="1">IFERROR(__xludf.DUMMYFUNCTION("IMPORTRANGE(""https://docs.google.com/spreadsheets/d/1XL5vhW3sbDhbH9Cz0tuDiY8C3ctxq1tqvaCgkFb8cCA/edit?usp=sharing"",""กาฬสินธุ์!J487"")"),0)</f>
        <v>0</v>
      </c>
      <c r="R34" s="98">
        <f t="shared" ca="1" si="7"/>
        <v>0</v>
      </c>
      <c r="S34" s="48">
        <f ca="1">IFERROR(__xludf.DUMMYFUNCTION("IMPORTRANGE(""https://docs.google.com/spreadsheets/d/1XL5vhW3sbDhbH9Cz0tuDiY8C3ctxq1tqvaCgkFb8cCA/edit?usp=sharing"",""กาฬสินธุ์!J488"")"),0)</f>
        <v>0</v>
      </c>
      <c r="T34" s="98">
        <f ca="1">IFERROR(__xludf.DUMMYFUNCTION("IMPORTRANGE(""https://docs.google.com/spreadsheets/d/1XL5vhW3sbDhbH9Cz0tuDiY8C3ctxq1tqvaCgkFb8cCA/edit?usp=sharing"",""กาฬสินธุ์!J489"")"),0)</f>
        <v>0</v>
      </c>
      <c r="U34" s="98">
        <f t="shared" ca="1" si="9"/>
        <v>0</v>
      </c>
      <c r="V34" s="81"/>
      <c r="W34" s="81"/>
      <c r="X34" s="81"/>
      <c r="Y34" s="81"/>
      <c r="Z34" s="81"/>
    </row>
    <row r="35" spans="1:26" ht="24" customHeight="1" x14ac:dyDescent="0.5">
      <c r="A35" s="273">
        <v>2</v>
      </c>
      <c r="B35" s="274" t="s">
        <v>50</v>
      </c>
      <c r="C35" s="275">
        <f t="shared" si="41"/>
        <v>172042.8</v>
      </c>
      <c r="D35" s="55">
        <v>0</v>
      </c>
      <c r="E35" s="55">
        <v>172042.8</v>
      </c>
      <c r="F35" s="99">
        <f ca="1">IFERROR(__xludf.DUMMYFUNCTION("IMPORTRANGE(""https://docs.google.com/spreadsheets/d/1XL5vhW3sbDhbH9Cz0tuDiY8C3ctxq1tqvaCgkFb8cCA/edit?usp=sharing"",""ขอนแก่น!M475"")"),0)</f>
        <v>0</v>
      </c>
      <c r="G35" s="99">
        <f t="shared" ca="1" si="1"/>
        <v>0</v>
      </c>
      <c r="H35" s="55">
        <v>40</v>
      </c>
      <c r="I35" s="55">
        <v>40</v>
      </c>
      <c r="J35" s="55">
        <f ca="1">IFERROR(__xludf.DUMMYFUNCTION("IMPORTRANGE(""https://docs.google.com/spreadsheets/d/1XL5vhW3sbDhbH9Cz0tuDiY8C3ctxq1tqvaCgkFb8cCA/edit?usp=sharing"",""ขอนแก่น!J482"")"),0)</f>
        <v>0</v>
      </c>
      <c r="K35" s="55">
        <f ca="1">IFERROR(__xludf.DUMMYFUNCTION("IMPORTRANGE(""https://docs.google.com/spreadsheets/d/1XL5vhW3sbDhbH9Cz0tuDiY8C3ctxq1tqvaCgkFb8cCA/edit?usp=sharing"",""ขอนแก่น!J483"")"),0)</f>
        <v>0</v>
      </c>
      <c r="L35" s="99">
        <f t="shared" ca="1" si="3"/>
        <v>0</v>
      </c>
      <c r="M35" s="55">
        <f ca="1">IFERROR(__xludf.DUMMYFUNCTION("IMPORTRANGE(""https://docs.google.com/spreadsheets/d/1XL5vhW3sbDhbH9Cz0tuDiY8C3ctxq1tqvaCgkFb8cCA/edit?usp=sharing"",""ขอนแก่น!J484"")"),0)</f>
        <v>0</v>
      </c>
      <c r="N35" s="55">
        <f ca="1">IFERROR(__xludf.DUMMYFUNCTION("IMPORTRANGE(""https://docs.google.com/spreadsheets/d/1XL5vhW3sbDhbH9Cz0tuDiY8C3ctxq1tqvaCgkFb8cCA/edit?usp=sharing"",""ขอนแก่น!J485"")"),0)</f>
        <v>0</v>
      </c>
      <c r="O35" s="99">
        <f t="shared" ca="1" si="5"/>
        <v>0</v>
      </c>
      <c r="P35" s="55">
        <f ca="1">IFERROR(__xludf.DUMMYFUNCTION("IMPORTRANGE(""https://docs.google.com/spreadsheets/d/1XL5vhW3sbDhbH9Cz0tuDiY8C3ctxq1tqvaCgkFb8cCA/edit?usp=sharing"",""ขอนแก่น!J486"")"),0)</f>
        <v>0</v>
      </c>
      <c r="Q35" s="99">
        <f ca="1">IFERROR(__xludf.DUMMYFUNCTION("IMPORTRANGE(""https://docs.google.com/spreadsheets/d/1XL5vhW3sbDhbH9Cz0tuDiY8C3ctxq1tqvaCgkFb8cCA/edit?usp=sharing"",""ขอนแก่น!J487"")"),0)</f>
        <v>0</v>
      </c>
      <c r="R35" s="99">
        <f t="shared" ca="1" si="7"/>
        <v>0</v>
      </c>
      <c r="S35" s="55">
        <f ca="1">IFERROR(__xludf.DUMMYFUNCTION("IMPORTRANGE(""https://docs.google.com/spreadsheets/d/1XL5vhW3sbDhbH9Cz0tuDiY8C3ctxq1tqvaCgkFb8cCA/edit?usp=sharing"",""ขอนแก่น!J488"")"),0)</f>
        <v>0</v>
      </c>
      <c r="T35" s="99">
        <f ca="1">IFERROR(__xludf.DUMMYFUNCTION("IMPORTRANGE(""https://docs.google.com/spreadsheets/d/1XL5vhW3sbDhbH9Cz0tuDiY8C3ctxq1tqvaCgkFb8cCA/edit?usp=sharing"",""ขอนแก่น!J489"")"),0)</f>
        <v>0</v>
      </c>
      <c r="U35" s="99">
        <f t="shared" ca="1" si="9"/>
        <v>0</v>
      </c>
      <c r="V35" s="81"/>
      <c r="W35" s="81"/>
      <c r="X35" s="81"/>
      <c r="Y35" s="81"/>
      <c r="Z35" s="81"/>
    </row>
    <row r="36" spans="1:26" ht="24" customHeight="1" x14ac:dyDescent="0.5">
      <c r="A36" s="273">
        <v>3</v>
      </c>
      <c r="B36" s="274" t="s">
        <v>51</v>
      </c>
      <c r="C36" s="275">
        <f t="shared" si="41"/>
        <v>0</v>
      </c>
      <c r="D36" s="55">
        <v>0</v>
      </c>
      <c r="E36" s="55">
        <v>0</v>
      </c>
      <c r="F36" s="99">
        <f ca="1">IFERROR(__xludf.DUMMYFUNCTION("IMPORTRANGE(""https://docs.google.com/spreadsheets/d/1XL5vhW3sbDhbH9Cz0tuDiY8C3ctxq1tqvaCgkFb8cCA/edit?usp=sharing"",""ชัยภูมิ!M475"")"),0)</f>
        <v>0</v>
      </c>
      <c r="G36" s="99">
        <f t="shared" si="1"/>
        <v>0</v>
      </c>
      <c r="H36" s="55">
        <v>0</v>
      </c>
      <c r="I36" s="55">
        <v>0</v>
      </c>
      <c r="J36" s="55">
        <f ca="1">IFERROR(__xludf.DUMMYFUNCTION("IMPORTRANGE(""https://docs.google.com/spreadsheets/d/1XL5vhW3sbDhbH9Cz0tuDiY8C3ctxq1tqvaCgkFb8cCA/edit?usp=sharing"",""ชัยภูมิ!J482"")"),0)</f>
        <v>0</v>
      </c>
      <c r="K36" s="55">
        <f ca="1">IFERROR(__xludf.DUMMYFUNCTION("IMPORTRANGE(""https://docs.google.com/spreadsheets/d/1XL5vhW3sbDhbH9Cz0tuDiY8C3ctxq1tqvaCgkFb8cCA/edit?usp=sharing"",""ชัยภูมิ!J483"")"),0)</f>
        <v>0</v>
      </c>
      <c r="L36" s="99">
        <f t="shared" si="3"/>
        <v>0</v>
      </c>
      <c r="M36" s="55">
        <f ca="1">IFERROR(__xludf.DUMMYFUNCTION("IMPORTRANGE(""https://docs.google.com/spreadsheets/d/1XL5vhW3sbDhbH9Cz0tuDiY8C3ctxq1tqvaCgkFb8cCA/edit?usp=sharing"",""ชัยภูมิ!J484"")"),5)</f>
        <v>5</v>
      </c>
      <c r="N36" s="55">
        <f ca="1">IFERROR(__xludf.DUMMYFUNCTION("IMPORTRANGE(""https://docs.google.com/spreadsheets/d/1XL5vhW3sbDhbH9Cz0tuDiY8C3ctxq1tqvaCgkFb8cCA/edit?usp=sharing"",""ชัยภูมิ!J485"")"),4.47)</f>
        <v>4.47</v>
      </c>
      <c r="O36" s="99">
        <f t="shared" si="5"/>
        <v>0</v>
      </c>
      <c r="P36" s="55">
        <f ca="1">IFERROR(__xludf.DUMMYFUNCTION("IMPORTRANGE(""https://docs.google.com/spreadsheets/d/1XL5vhW3sbDhbH9Cz0tuDiY8C3ctxq1tqvaCgkFb8cCA/edit?usp=sharing"",""ชัยภูมิ!J486"")"),0)</f>
        <v>0</v>
      </c>
      <c r="Q36" s="99">
        <f ca="1">IFERROR(__xludf.DUMMYFUNCTION("IMPORTRANGE(""https://docs.google.com/spreadsheets/d/1XL5vhW3sbDhbH9Cz0tuDiY8C3ctxq1tqvaCgkFb8cCA/edit?usp=sharing"",""ชัยภูมิ!J487"")"),0)</f>
        <v>0</v>
      </c>
      <c r="R36" s="99">
        <f t="shared" si="7"/>
        <v>0</v>
      </c>
      <c r="S36" s="55">
        <f ca="1">IFERROR(__xludf.DUMMYFUNCTION("IMPORTRANGE(""https://docs.google.com/spreadsheets/d/1XL5vhW3sbDhbH9Cz0tuDiY8C3ctxq1tqvaCgkFb8cCA/edit?usp=sharing"",""ชัยภูมิ!J488"")"),4)</f>
        <v>4</v>
      </c>
      <c r="T36" s="99">
        <f ca="1">IFERROR(__xludf.DUMMYFUNCTION("IMPORTRANGE(""https://docs.google.com/spreadsheets/d/1XL5vhW3sbDhbH9Cz0tuDiY8C3ctxq1tqvaCgkFb8cCA/edit?usp=sharing"",""ชัยภูมิ!J489"")"),3.95)</f>
        <v>3.95</v>
      </c>
      <c r="U36" s="99">
        <f t="shared" si="9"/>
        <v>0</v>
      </c>
      <c r="V36" s="81"/>
      <c r="W36" s="81"/>
      <c r="X36" s="81"/>
      <c r="Y36" s="81"/>
      <c r="Z36" s="81"/>
    </row>
    <row r="37" spans="1:26" ht="24" customHeight="1" x14ac:dyDescent="0.5">
      <c r="A37" s="273">
        <v>4</v>
      </c>
      <c r="B37" s="274" t="s">
        <v>52</v>
      </c>
      <c r="C37" s="275">
        <f t="shared" si="41"/>
        <v>0</v>
      </c>
      <c r="D37" s="55">
        <v>0</v>
      </c>
      <c r="E37" s="55">
        <v>0</v>
      </c>
      <c r="F37" s="99">
        <f ca="1">IFERROR(__xludf.DUMMYFUNCTION("IMPORTRANGE(""https://docs.google.com/spreadsheets/d/1XL5vhW3sbDhbH9Cz0tuDiY8C3ctxq1tqvaCgkFb8cCA/edit?usp=sharing"",""นครพนม!M475"")"),0)</f>
        <v>0</v>
      </c>
      <c r="G37" s="99">
        <f t="shared" si="1"/>
        <v>0</v>
      </c>
      <c r="H37" s="55">
        <v>0</v>
      </c>
      <c r="I37" s="55">
        <v>0</v>
      </c>
      <c r="J37" s="55">
        <f ca="1">IFERROR(__xludf.DUMMYFUNCTION("IMPORTRANGE(""https://docs.google.com/spreadsheets/d/1XL5vhW3sbDhbH9Cz0tuDiY8C3ctxq1tqvaCgkFb8cCA/edit?usp=sharing"",""นครพนม!J482"")"),0)</f>
        <v>0</v>
      </c>
      <c r="K37" s="55">
        <f ca="1">IFERROR(__xludf.DUMMYFUNCTION("IMPORTRANGE(""https://docs.google.com/spreadsheets/d/1XL5vhW3sbDhbH9Cz0tuDiY8C3ctxq1tqvaCgkFb8cCA/edit?usp=sharing"",""นครพนม!J483"")"),0)</f>
        <v>0</v>
      </c>
      <c r="L37" s="99">
        <f t="shared" si="3"/>
        <v>0</v>
      </c>
      <c r="M37" s="55">
        <f ca="1">IFERROR(__xludf.DUMMYFUNCTION("IMPORTRANGE(""https://docs.google.com/spreadsheets/d/1XL5vhW3sbDhbH9Cz0tuDiY8C3ctxq1tqvaCgkFb8cCA/edit?usp=sharing"",""นครพนม!J484"")"),0)</f>
        <v>0</v>
      </c>
      <c r="N37" s="55">
        <f ca="1">IFERROR(__xludf.DUMMYFUNCTION("IMPORTRANGE(""https://docs.google.com/spreadsheets/d/1XL5vhW3sbDhbH9Cz0tuDiY8C3ctxq1tqvaCgkFb8cCA/edit?usp=sharing"",""นครพนม!J485"")"),0)</f>
        <v>0</v>
      </c>
      <c r="O37" s="99">
        <f t="shared" si="5"/>
        <v>0</v>
      </c>
      <c r="P37" s="55">
        <f ca="1">IFERROR(__xludf.DUMMYFUNCTION("IMPORTRANGE(""https://docs.google.com/spreadsheets/d/1XL5vhW3sbDhbH9Cz0tuDiY8C3ctxq1tqvaCgkFb8cCA/edit?usp=sharing"",""นครพนม!J486"")"),0)</f>
        <v>0</v>
      </c>
      <c r="Q37" s="99">
        <f ca="1">IFERROR(__xludf.DUMMYFUNCTION("IMPORTRANGE(""https://docs.google.com/spreadsheets/d/1XL5vhW3sbDhbH9Cz0tuDiY8C3ctxq1tqvaCgkFb8cCA/edit?usp=sharing"",""นครพนม!J487"")"),0)</f>
        <v>0</v>
      </c>
      <c r="R37" s="99">
        <f t="shared" si="7"/>
        <v>0</v>
      </c>
      <c r="S37" s="55">
        <f ca="1">IFERROR(__xludf.DUMMYFUNCTION("IMPORTRANGE(""https://docs.google.com/spreadsheets/d/1XL5vhW3sbDhbH9Cz0tuDiY8C3ctxq1tqvaCgkFb8cCA/edit?usp=sharing"",""นครพนม!J488"")"),0)</f>
        <v>0</v>
      </c>
      <c r="T37" s="99">
        <f ca="1">IFERROR(__xludf.DUMMYFUNCTION("IMPORTRANGE(""https://docs.google.com/spreadsheets/d/1XL5vhW3sbDhbH9Cz0tuDiY8C3ctxq1tqvaCgkFb8cCA/edit?usp=sharing"",""นครพนม!J489"")"),0)</f>
        <v>0</v>
      </c>
      <c r="U37" s="99">
        <f t="shared" si="9"/>
        <v>0</v>
      </c>
      <c r="V37" s="81"/>
      <c r="W37" s="81"/>
      <c r="X37" s="81"/>
      <c r="Y37" s="81"/>
      <c r="Z37" s="81"/>
    </row>
    <row r="38" spans="1:26" ht="24" customHeight="1" x14ac:dyDescent="0.5">
      <c r="A38" s="273">
        <v>5</v>
      </c>
      <c r="B38" s="274" t="s">
        <v>53</v>
      </c>
      <c r="C38" s="275">
        <f t="shared" si="41"/>
        <v>1144670</v>
      </c>
      <c r="D38" s="55">
        <v>0</v>
      </c>
      <c r="E38" s="55">
        <v>1144670</v>
      </c>
      <c r="F38" s="99">
        <f ca="1">IFERROR(__xludf.DUMMYFUNCTION("IMPORTRANGE(""https://docs.google.com/spreadsheets/d/1XL5vhW3sbDhbH9Cz0tuDiY8C3ctxq1tqvaCgkFb8cCA/edit?usp=sharing"",""นครราชสีมา!M475"")"),0)</f>
        <v>0</v>
      </c>
      <c r="G38" s="99">
        <f t="shared" ca="1" si="1"/>
        <v>0</v>
      </c>
      <c r="H38" s="55">
        <v>2000</v>
      </c>
      <c r="I38" s="55">
        <v>2000</v>
      </c>
      <c r="J38" s="55">
        <f ca="1">IFERROR(__xludf.DUMMYFUNCTION("IMPORTRANGE(""https://docs.google.com/spreadsheets/d/1XL5vhW3sbDhbH9Cz0tuDiY8C3ctxq1tqvaCgkFb8cCA/edit?usp=sharing"",""นครราชสีมา!J482"")"),253)</f>
        <v>253</v>
      </c>
      <c r="K38" s="55">
        <f ca="1">IFERROR(__xludf.DUMMYFUNCTION("IMPORTRANGE(""https://docs.google.com/spreadsheets/d/1XL5vhW3sbDhbH9Cz0tuDiY8C3ctxq1tqvaCgkFb8cCA/edit?usp=sharing"",""นครราชสีมา!J483"")"),162.03)</f>
        <v>162.03</v>
      </c>
      <c r="L38" s="99">
        <f t="shared" ca="1" si="3"/>
        <v>12.65</v>
      </c>
      <c r="M38" s="55">
        <f ca="1">IFERROR(__xludf.DUMMYFUNCTION("IMPORTRANGE(""https://docs.google.com/spreadsheets/d/1XL5vhW3sbDhbH9Cz0tuDiY8C3ctxq1tqvaCgkFb8cCA/edit?usp=sharing"",""นครราชสีมา!J484"")"),24)</f>
        <v>24</v>
      </c>
      <c r="N38" s="55">
        <f ca="1">IFERROR(__xludf.DUMMYFUNCTION("IMPORTRANGE(""https://docs.google.com/spreadsheets/d/1XL5vhW3sbDhbH9Cz0tuDiY8C3ctxq1tqvaCgkFb8cCA/edit?usp=sharing"",""นครราชสีมา!J485"")"),12.15)</f>
        <v>12.15</v>
      </c>
      <c r="O38" s="99">
        <f t="shared" ca="1" si="5"/>
        <v>1.2</v>
      </c>
      <c r="P38" s="55">
        <f ca="1">IFERROR(__xludf.DUMMYFUNCTION("IMPORTRANGE(""https://docs.google.com/spreadsheets/d/1XL5vhW3sbDhbH9Cz0tuDiY8C3ctxq1tqvaCgkFb8cCA/edit?usp=sharing"",""นครราชสีมา!J486"")"),0)</f>
        <v>0</v>
      </c>
      <c r="Q38" s="99">
        <f ca="1">IFERROR(__xludf.DUMMYFUNCTION("IMPORTRANGE(""https://docs.google.com/spreadsheets/d/1XL5vhW3sbDhbH9Cz0tuDiY8C3ctxq1tqvaCgkFb8cCA/edit?usp=sharing"",""นครราชสีมา!J487"")"),0)</f>
        <v>0</v>
      </c>
      <c r="R38" s="99">
        <f t="shared" ca="1" si="7"/>
        <v>0</v>
      </c>
      <c r="S38" s="55">
        <f ca="1">IFERROR(__xludf.DUMMYFUNCTION("IMPORTRANGE(""https://docs.google.com/spreadsheets/d/1XL5vhW3sbDhbH9Cz0tuDiY8C3ctxq1tqvaCgkFb8cCA/edit?usp=sharing"",""นครราชสีมา!J488"")"),0)</f>
        <v>0</v>
      </c>
      <c r="T38" s="99">
        <f ca="1">IFERROR(__xludf.DUMMYFUNCTION("IMPORTRANGE(""https://docs.google.com/spreadsheets/d/1XL5vhW3sbDhbH9Cz0tuDiY8C3ctxq1tqvaCgkFb8cCA/edit?usp=sharing"",""นครราชสีมา!J489"")"),0)</f>
        <v>0</v>
      </c>
      <c r="U38" s="99">
        <f t="shared" ca="1" si="9"/>
        <v>0</v>
      </c>
      <c r="V38" s="81"/>
      <c r="W38" s="81"/>
      <c r="X38" s="81"/>
      <c r="Y38" s="81"/>
      <c r="Z38" s="81"/>
    </row>
    <row r="39" spans="1:26" ht="24" customHeight="1" x14ac:dyDescent="0.5">
      <c r="A39" s="273">
        <v>6</v>
      </c>
      <c r="B39" s="274" t="s">
        <v>54</v>
      </c>
      <c r="C39" s="275">
        <f t="shared" si="41"/>
        <v>0</v>
      </c>
      <c r="D39" s="55">
        <v>0</v>
      </c>
      <c r="E39" s="55">
        <v>0</v>
      </c>
      <c r="F39" s="99">
        <f ca="1">IFERROR(__xludf.DUMMYFUNCTION("IMPORTRANGE(""https://docs.google.com/spreadsheets/d/1XL5vhW3sbDhbH9Cz0tuDiY8C3ctxq1tqvaCgkFb8cCA/edit?usp=sharing"",""บึงกาฬ!M475"")"),0)</f>
        <v>0</v>
      </c>
      <c r="G39" s="99">
        <f t="shared" si="1"/>
        <v>0</v>
      </c>
      <c r="H39" s="55">
        <v>0</v>
      </c>
      <c r="I39" s="55">
        <v>0</v>
      </c>
      <c r="J39" s="55">
        <f ca="1">IFERROR(__xludf.DUMMYFUNCTION("IMPORTRANGE(""https://docs.google.com/spreadsheets/d/1XL5vhW3sbDhbH9Cz0tuDiY8C3ctxq1tqvaCgkFb8cCA/edit?usp=sharing"",""บึงกาฬ!J482"")"),0)</f>
        <v>0</v>
      </c>
      <c r="K39" s="55">
        <f ca="1">IFERROR(__xludf.DUMMYFUNCTION("IMPORTRANGE(""https://docs.google.com/spreadsheets/d/1XL5vhW3sbDhbH9Cz0tuDiY8C3ctxq1tqvaCgkFb8cCA/edit?usp=sharing"",""บึงกาฬ!J483"")"),0)</f>
        <v>0</v>
      </c>
      <c r="L39" s="99">
        <f t="shared" si="3"/>
        <v>0</v>
      </c>
      <c r="M39" s="55">
        <f ca="1">IFERROR(__xludf.DUMMYFUNCTION("IMPORTRANGE(""https://docs.google.com/spreadsheets/d/1XL5vhW3sbDhbH9Cz0tuDiY8C3ctxq1tqvaCgkFb8cCA/edit?usp=sharing"",""บึงกาฬ!J484"")"),0)</f>
        <v>0</v>
      </c>
      <c r="N39" s="55">
        <f ca="1">IFERROR(__xludf.DUMMYFUNCTION("IMPORTRANGE(""https://docs.google.com/spreadsheets/d/1XL5vhW3sbDhbH9Cz0tuDiY8C3ctxq1tqvaCgkFb8cCA/edit?usp=sharing"",""บึงกาฬ!J485"")"),0)</f>
        <v>0</v>
      </c>
      <c r="O39" s="99">
        <f t="shared" si="5"/>
        <v>0</v>
      </c>
      <c r="P39" s="55">
        <f ca="1">IFERROR(__xludf.DUMMYFUNCTION("IMPORTRANGE(""https://docs.google.com/spreadsheets/d/1XL5vhW3sbDhbH9Cz0tuDiY8C3ctxq1tqvaCgkFb8cCA/edit?usp=sharing"",""บึงกาฬ!J486"")"),0)</f>
        <v>0</v>
      </c>
      <c r="Q39" s="99">
        <f ca="1">IFERROR(__xludf.DUMMYFUNCTION("IMPORTRANGE(""https://docs.google.com/spreadsheets/d/1XL5vhW3sbDhbH9Cz0tuDiY8C3ctxq1tqvaCgkFb8cCA/edit?usp=sharing"",""บึงกาฬ!J487"")"),0)</f>
        <v>0</v>
      </c>
      <c r="R39" s="99">
        <f t="shared" si="7"/>
        <v>0</v>
      </c>
      <c r="S39" s="55">
        <f ca="1">IFERROR(__xludf.DUMMYFUNCTION("IMPORTRANGE(""https://docs.google.com/spreadsheets/d/1XL5vhW3sbDhbH9Cz0tuDiY8C3ctxq1tqvaCgkFb8cCA/edit?usp=sharing"",""บึงกาฬ!J488"")"),0)</f>
        <v>0</v>
      </c>
      <c r="T39" s="99">
        <f ca="1">IFERROR(__xludf.DUMMYFUNCTION("IMPORTRANGE(""https://docs.google.com/spreadsheets/d/1XL5vhW3sbDhbH9Cz0tuDiY8C3ctxq1tqvaCgkFb8cCA/edit?usp=sharing"",""บึงกาฬ!J489"")"),0)</f>
        <v>0</v>
      </c>
      <c r="U39" s="99">
        <f t="shared" si="9"/>
        <v>0</v>
      </c>
      <c r="V39" s="81"/>
      <c r="W39" s="81"/>
      <c r="X39" s="81"/>
      <c r="Y39" s="81"/>
      <c r="Z39" s="81"/>
    </row>
    <row r="40" spans="1:26" ht="24" customHeight="1" x14ac:dyDescent="0.5">
      <c r="A40" s="273">
        <v>7</v>
      </c>
      <c r="B40" s="274" t="s">
        <v>55</v>
      </c>
      <c r="C40" s="275">
        <f t="shared" si="41"/>
        <v>172042.8</v>
      </c>
      <c r="D40" s="55">
        <v>0</v>
      </c>
      <c r="E40" s="55">
        <v>172042.8</v>
      </c>
      <c r="F40" s="99">
        <f ca="1">IFERROR(__xludf.DUMMYFUNCTION("IMPORTRANGE(""https://docs.google.com/spreadsheets/d/1XL5vhW3sbDhbH9Cz0tuDiY8C3ctxq1tqvaCgkFb8cCA/edit?usp=sharing"",""บุรีรัมย์!M475"")"),0)</f>
        <v>0</v>
      </c>
      <c r="G40" s="99">
        <f t="shared" ca="1" si="1"/>
        <v>0</v>
      </c>
      <c r="H40" s="55">
        <v>40</v>
      </c>
      <c r="I40" s="55">
        <v>40</v>
      </c>
      <c r="J40" s="55">
        <f ca="1">IFERROR(__xludf.DUMMYFUNCTION("IMPORTRANGE(""https://docs.google.com/spreadsheets/d/1XL5vhW3sbDhbH9Cz0tuDiY8C3ctxq1tqvaCgkFb8cCA/edit?usp=sharing"",""บุรีรัมย์!J482"")"),0)</f>
        <v>0</v>
      </c>
      <c r="K40" s="55">
        <f ca="1">IFERROR(__xludf.DUMMYFUNCTION("IMPORTRANGE(""https://docs.google.com/spreadsheets/d/1XL5vhW3sbDhbH9Cz0tuDiY8C3ctxq1tqvaCgkFb8cCA/edit?usp=sharing"",""บุรีรัมย์!J483"")"),0)</f>
        <v>0</v>
      </c>
      <c r="L40" s="99">
        <f t="shared" ca="1" si="3"/>
        <v>0</v>
      </c>
      <c r="M40" s="55">
        <f ca="1">IFERROR(__xludf.DUMMYFUNCTION("IMPORTRANGE(""https://docs.google.com/spreadsheets/d/1XL5vhW3sbDhbH9Cz0tuDiY8C3ctxq1tqvaCgkFb8cCA/edit?usp=sharing"",""บุรีรัมย์!J484"")"),0)</f>
        <v>0</v>
      </c>
      <c r="N40" s="55">
        <f ca="1">IFERROR(__xludf.DUMMYFUNCTION("IMPORTRANGE(""https://docs.google.com/spreadsheets/d/1XL5vhW3sbDhbH9Cz0tuDiY8C3ctxq1tqvaCgkFb8cCA/edit?usp=sharing"",""บุรีรัมย์!J485"")"),0)</f>
        <v>0</v>
      </c>
      <c r="O40" s="99">
        <f t="shared" ca="1" si="5"/>
        <v>0</v>
      </c>
      <c r="P40" s="55">
        <f ca="1">IFERROR(__xludf.DUMMYFUNCTION("IMPORTRANGE(""https://docs.google.com/spreadsheets/d/1XL5vhW3sbDhbH9Cz0tuDiY8C3ctxq1tqvaCgkFb8cCA/edit?usp=sharing"",""บุรีรัมย์!J486"")"),0)</f>
        <v>0</v>
      </c>
      <c r="Q40" s="99">
        <f ca="1">IFERROR(__xludf.DUMMYFUNCTION("IMPORTRANGE(""https://docs.google.com/spreadsheets/d/1XL5vhW3sbDhbH9Cz0tuDiY8C3ctxq1tqvaCgkFb8cCA/edit?usp=sharing"",""บุรีรัมย์!J487"")"),0)</f>
        <v>0</v>
      </c>
      <c r="R40" s="99">
        <f t="shared" ca="1" si="7"/>
        <v>0</v>
      </c>
      <c r="S40" s="55">
        <f ca="1">IFERROR(__xludf.DUMMYFUNCTION("IMPORTRANGE(""https://docs.google.com/spreadsheets/d/1XL5vhW3sbDhbH9Cz0tuDiY8C3ctxq1tqvaCgkFb8cCA/edit?usp=sharing"",""บุรีรัมย์!J488"")"),0)</f>
        <v>0</v>
      </c>
      <c r="T40" s="99">
        <f ca="1">IFERROR(__xludf.DUMMYFUNCTION("IMPORTRANGE(""https://docs.google.com/spreadsheets/d/1XL5vhW3sbDhbH9Cz0tuDiY8C3ctxq1tqvaCgkFb8cCA/edit?usp=sharing"",""บุรีรัมย์!J489"")"),0)</f>
        <v>0</v>
      </c>
      <c r="U40" s="99">
        <f t="shared" ca="1" si="9"/>
        <v>0</v>
      </c>
      <c r="V40" s="81"/>
      <c r="W40" s="81"/>
      <c r="X40" s="81"/>
      <c r="Y40" s="81"/>
      <c r="Z40" s="81"/>
    </row>
    <row r="41" spans="1:26" ht="24" customHeight="1" x14ac:dyDescent="0.5">
      <c r="A41" s="273">
        <v>8</v>
      </c>
      <c r="B41" s="274" t="s">
        <v>56</v>
      </c>
      <c r="C41" s="275">
        <f t="shared" si="41"/>
        <v>0</v>
      </c>
      <c r="D41" s="55">
        <v>0</v>
      </c>
      <c r="E41" s="55">
        <v>0</v>
      </c>
      <c r="F41" s="99">
        <f ca="1">IFERROR(__xludf.DUMMYFUNCTION("IMPORTRANGE(""https://docs.google.com/spreadsheets/d/1XL5vhW3sbDhbH9Cz0tuDiY8C3ctxq1tqvaCgkFb8cCA/edit?usp=sharing"",""มหาสารคาม!M475"")"),0)</f>
        <v>0</v>
      </c>
      <c r="G41" s="99">
        <f t="shared" si="1"/>
        <v>0</v>
      </c>
      <c r="H41" s="55">
        <v>0</v>
      </c>
      <c r="I41" s="55">
        <v>0</v>
      </c>
      <c r="J41" s="55">
        <f ca="1">IFERROR(__xludf.DUMMYFUNCTION("IMPORTRANGE(""https://docs.google.com/spreadsheets/d/1XL5vhW3sbDhbH9Cz0tuDiY8C3ctxq1tqvaCgkFb8cCA/edit?usp=sharing"",""มหาสารคาม!J482"")"),0)</f>
        <v>0</v>
      </c>
      <c r="K41" s="55">
        <f ca="1">IFERROR(__xludf.DUMMYFUNCTION("IMPORTRANGE(""https://docs.google.com/spreadsheets/d/1XL5vhW3sbDhbH9Cz0tuDiY8C3ctxq1tqvaCgkFb8cCA/edit?usp=sharing"",""มหาสารคาม!J483"")"),0)</f>
        <v>0</v>
      </c>
      <c r="L41" s="99">
        <f t="shared" si="3"/>
        <v>0</v>
      </c>
      <c r="M41" s="55">
        <f ca="1">IFERROR(__xludf.DUMMYFUNCTION("IMPORTRANGE(""https://docs.google.com/spreadsheets/d/1XL5vhW3sbDhbH9Cz0tuDiY8C3ctxq1tqvaCgkFb8cCA/edit?usp=sharing"",""มหาสารคาม!J484"")"),0)</f>
        <v>0</v>
      </c>
      <c r="N41" s="55">
        <f ca="1">IFERROR(__xludf.DUMMYFUNCTION("IMPORTRANGE(""https://docs.google.com/spreadsheets/d/1XL5vhW3sbDhbH9Cz0tuDiY8C3ctxq1tqvaCgkFb8cCA/edit?usp=sharing"",""มหาสารคาม!J485"")"),0)</f>
        <v>0</v>
      </c>
      <c r="O41" s="99">
        <f t="shared" si="5"/>
        <v>0</v>
      </c>
      <c r="P41" s="55">
        <f ca="1">IFERROR(__xludf.DUMMYFUNCTION("IMPORTRANGE(""https://docs.google.com/spreadsheets/d/1XL5vhW3sbDhbH9Cz0tuDiY8C3ctxq1tqvaCgkFb8cCA/edit?usp=sharing"",""มหาสารคาม!J486"")"),0)</f>
        <v>0</v>
      </c>
      <c r="Q41" s="99">
        <f ca="1">IFERROR(__xludf.DUMMYFUNCTION("IMPORTRANGE(""https://docs.google.com/spreadsheets/d/1XL5vhW3sbDhbH9Cz0tuDiY8C3ctxq1tqvaCgkFb8cCA/edit?usp=sharing"",""มหาสารคาม!J487"")"),0)</f>
        <v>0</v>
      </c>
      <c r="R41" s="99">
        <f t="shared" si="7"/>
        <v>0</v>
      </c>
      <c r="S41" s="55">
        <f ca="1">IFERROR(__xludf.DUMMYFUNCTION("IMPORTRANGE(""https://docs.google.com/spreadsheets/d/1XL5vhW3sbDhbH9Cz0tuDiY8C3ctxq1tqvaCgkFb8cCA/edit?usp=sharing"",""มหาสารคาม!J488"")"),0)</f>
        <v>0</v>
      </c>
      <c r="T41" s="99">
        <f ca="1">IFERROR(__xludf.DUMMYFUNCTION("IMPORTRANGE(""https://docs.google.com/spreadsheets/d/1XL5vhW3sbDhbH9Cz0tuDiY8C3ctxq1tqvaCgkFb8cCA/edit?usp=sharing"",""มหาสารคาม!J489"")"),0)</f>
        <v>0</v>
      </c>
      <c r="U41" s="99">
        <f t="shared" si="9"/>
        <v>0</v>
      </c>
      <c r="V41" s="81"/>
      <c r="W41" s="81"/>
      <c r="X41" s="81"/>
      <c r="Y41" s="81"/>
      <c r="Z41" s="81"/>
    </row>
    <row r="42" spans="1:26" ht="24" customHeight="1" x14ac:dyDescent="0.5">
      <c r="A42" s="273">
        <v>9</v>
      </c>
      <c r="B42" s="274" t="s">
        <v>57</v>
      </c>
      <c r="C42" s="275">
        <f t="shared" si="41"/>
        <v>134442.79999999999</v>
      </c>
      <c r="D42" s="55">
        <v>0</v>
      </c>
      <c r="E42" s="55">
        <v>134442.79999999999</v>
      </c>
      <c r="F42" s="99">
        <f ca="1">IFERROR(__xludf.DUMMYFUNCTION("IMPORTRANGE(""https://docs.google.com/spreadsheets/d/1XL5vhW3sbDhbH9Cz0tuDiY8C3ctxq1tqvaCgkFb8cCA/edit?usp=sharing"",""มุกดาหาร!M475"")"),0)</f>
        <v>0</v>
      </c>
      <c r="G42" s="99">
        <f t="shared" ca="1" si="1"/>
        <v>0</v>
      </c>
      <c r="H42" s="55">
        <v>40</v>
      </c>
      <c r="I42" s="55">
        <v>40</v>
      </c>
      <c r="J42" s="55">
        <f ca="1">IFERROR(__xludf.DUMMYFUNCTION("IMPORTRANGE(""https://docs.google.com/spreadsheets/d/1XL5vhW3sbDhbH9Cz0tuDiY8C3ctxq1tqvaCgkFb8cCA/edit?usp=sharing"",""มุกดาหาร!J482"")"),0)</f>
        <v>0</v>
      </c>
      <c r="K42" s="55">
        <f ca="1">IFERROR(__xludf.DUMMYFUNCTION("IMPORTRANGE(""https://docs.google.com/spreadsheets/d/1XL5vhW3sbDhbH9Cz0tuDiY8C3ctxq1tqvaCgkFb8cCA/edit?usp=sharing"",""มุกดาหาร!J483"")"),0)</f>
        <v>0</v>
      </c>
      <c r="L42" s="99">
        <f t="shared" ca="1" si="3"/>
        <v>0</v>
      </c>
      <c r="M42" s="55">
        <f ca="1">IFERROR(__xludf.DUMMYFUNCTION("IMPORTRANGE(""https://docs.google.com/spreadsheets/d/1XL5vhW3sbDhbH9Cz0tuDiY8C3ctxq1tqvaCgkFb8cCA/edit?usp=sharing"",""มุกดาหาร!J484"")"),0)</f>
        <v>0</v>
      </c>
      <c r="N42" s="55">
        <f ca="1">IFERROR(__xludf.DUMMYFUNCTION("IMPORTRANGE(""https://docs.google.com/spreadsheets/d/1XL5vhW3sbDhbH9Cz0tuDiY8C3ctxq1tqvaCgkFb8cCA/edit?usp=sharing"",""มุกดาหาร!J485"")"),0)</f>
        <v>0</v>
      </c>
      <c r="O42" s="99">
        <f t="shared" ca="1" si="5"/>
        <v>0</v>
      </c>
      <c r="P42" s="55">
        <f ca="1">IFERROR(__xludf.DUMMYFUNCTION("IMPORTRANGE(""https://docs.google.com/spreadsheets/d/1XL5vhW3sbDhbH9Cz0tuDiY8C3ctxq1tqvaCgkFb8cCA/edit?usp=sharing"",""มุกดาหาร!J486"")"),0)</f>
        <v>0</v>
      </c>
      <c r="Q42" s="99">
        <f ca="1">IFERROR(__xludf.DUMMYFUNCTION("IMPORTRANGE(""https://docs.google.com/spreadsheets/d/1XL5vhW3sbDhbH9Cz0tuDiY8C3ctxq1tqvaCgkFb8cCA/edit?usp=sharing"",""มุกดาหาร!J487"")"),0)</f>
        <v>0</v>
      </c>
      <c r="R42" s="99">
        <f t="shared" ca="1" si="7"/>
        <v>0</v>
      </c>
      <c r="S42" s="55">
        <f ca="1">IFERROR(__xludf.DUMMYFUNCTION("IMPORTRANGE(""https://docs.google.com/spreadsheets/d/1XL5vhW3sbDhbH9Cz0tuDiY8C3ctxq1tqvaCgkFb8cCA/edit?usp=sharing"",""มุกดาหาร!J488"")"),0)</f>
        <v>0</v>
      </c>
      <c r="T42" s="99">
        <f ca="1">IFERROR(__xludf.DUMMYFUNCTION("IMPORTRANGE(""https://docs.google.com/spreadsheets/d/1XL5vhW3sbDhbH9Cz0tuDiY8C3ctxq1tqvaCgkFb8cCA/edit?usp=sharing"",""มุกดาหาร!J489"")"),0)</f>
        <v>0</v>
      </c>
      <c r="U42" s="99">
        <f t="shared" ca="1" si="9"/>
        <v>0</v>
      </c>
      <c r="V42" s="81"/>
      <c r="W42" s="81"/>
      <c r="X42" s="81"/>
      <c r="Y42" s="81"/>
      <c r="Z42" s="81"/>
    </row>
    <row r="43" spans="1:26" ht="24" customHeight="1" x14ac:dyDescent="0.5">
      <c r="A43" s="273">
        <v>10</v>
      </c>
      <c r="B43" s="274" t="s">
        <v>58</v>
      </c>
      <c r="C43" s="275">
        <f t="shared" si="41"/>
        <v>306107</v>
      </c>
      <c r="D43" s="55">
        <v>0</v>
      </c>
      <c r="E43" s="55">
        <v>306107</v>
      </c>
      <c r="F43" s="99">
        <f ca="1">IFERROR(__xludf.DUMMYFUNCTION("IMPORTRANGE(""https://docs.google.com/spreadsheets/d/1XL5vhW3sbDhbH9Cz0tuDiY8C3ctxq1tqvaCgkFb8cCA/edit?usp=sharing"",""ยโสธร!M475"")"),6900)</f>
        <v>6900</v>
      </c>
      <c r="G43" s="99">
        <f t="shared" ca="1" si="1"/>
        <v>2.2541137576076338</v>
      </c>
      <c r="H43" s="55">
        <v>100</v>
      </c>
      <c r="I43" s="55">
        <v>100</v>
      </c>
      <c r="J43" s="55">
        <f ca="1">IFERROR(__xludf.DUMMYFUNCTION("IMPORTRANGE(""https://docs.google.com/spreadsheets/d/1XL5vhW3sbDhbH9Cz0tuDiY8C3ctxq1tqvaCgkFb8cCA/edit?usp=sharing"",""ยโสธร!J482"")"),0)</f>
        <v>0</v>
      </c>
      <c r="K43" s="55">
        <f ca="1">IFERROR(__xludf.DUMMYFUNCTION("IMPORTRANGE(""https://docs.google.com/spreadsheets/d/1XL5vhW3sbDhbH9Cz0tuDiY8C3ctxq1tqvaCgkFb8cCA/edit?usp=sharing"",""ยโสธร!J483"")"),0)</f>
        <v>0</v>
      </c>
      <c r="L43" s="99">
        <f t="shared" ca="1" si="3"/>
        <v>0</v>
      </c>
      <c r="M43" s="55">
        <f ca="1">IFERROR(__xludf.DUMMYFUNCTION("IMPORTRANGE(""https://docs.google.com/spreadsheets/d/1XL5vhW3sbDhbH9Cz0tuDiY8C3ctxq1tqvaCgkFb8cCA/edit?usp=sharing"",""ยโสธร!J484"")"),2)</f>
        <v>2</v>
      </c>
      <c r="N43" s="55">
        <f ca="1">IFERROR(__xludf.DUMMYFUNCTION("IMPORTRANGE(""https://docs.google.com/spreadsheets/d/1XL5vhW3sbDhbH9Cz0tuDiY8C3ctxq1tqvaCgkFb8cCA/edit?usp=sharing"",""ยโสธร!J485"")"),0.7)</f>
        <v>0.7</v>
      </c>
      <c r="O43" s="99">
        <f t="shared" ca="1" si="5"/>
        <v>2</v>
      </c>
      <c r="P43" s="55">
        <f ca="1">IFERROR(__xludf.DUMMYFUNCTION("IMPORTRANGE(""https://docs.google.com/spreadsheets/d/1XL5vhW3sbDhbH9Cz0tuDiY8C3ctxq1tqvaCgkFb8cCA/edit?usp=sharing"",""ยโสธร!J486"")"),0)</f>
        <v>0</v>
      </c>
      <c r="Q43" s="99">
        <f ca="1">IFERROR(__xludf.DUMMYFUNCTION("IMPORTRANGE(""https://docs.google.com/spreadsheets/d/1XL5vhW3sbDhbH9Cz0tuDiY8C3ctxq1tqvaCgkFb8cCA/edit?usp=sharing"",""ยโสธร!J487"")"),0)</f>
        <v>0</v>
      </c>
      <c r="R43" s="99">
        <f t="shared" ca="1" si="7"/>
        <v>0</v>
      </c>
      <c r="S43" s="55">
        <f ca="1">IFERROR(__xludf.DUMMYFUNCTION("IMPORTRANGE(""https://docs.google.com/spreadsheets/d/1XL5vhW3sbDhbH9Cz0tuDiY8C3ctxq1tqvaCgkFb8cCA/edit?usp=sharing"",""ยโสธร!J488"")"),2)</f>
        <v>2</v>
      </c>
      <c r="T43" s="99">
        <f ca="1">IFERROR(__xludf.DUMMYFUNCTION("IMPORTRANGE(""https://docs.google.com/spreadsheets/d/1XL5vhW3sbDhbH9Cz0tuDiY8C3ctxq1tqvaCgkFb8cCA/edit?usp=sharing"",""ยโสธร!J489"")"),0.7)</f>
        <v>0.7</v>
      </c>
      <c r="U43" s="99">
        <f t="shared" ca="1" si="9"/>
        <v>2</v>
      </c>
      <c r="V43" s="81"/>
      <c r="W43" s="81"/>
      <c r="X43" s="81"/>
      <c r="Y43" s="81"/>
      <c r="Z43" s="81"/>
    </row>
    <row r="44" spans="1:26" ht="24" customHeight="1" x14ac:dyDescent="0.5">
      <c r="A44" s="273">
        <v>11</v>
      </c>
      <c r="B44" s="274" t="s">
        <v>59</v>
      </c>
      <c r="C44" s="275">
        <f t="shared" si="41"/>
        <v>162057.78</v>
      </c>
      <c r="D44" s="55">
        <v>0</v>
      </c>
      <c r="E44" s="55">
        <v>162057.78</v>
      </c>
      <c r="F44" s="99">
        <f ca="1">IFERROR(__xludf.DUMMYFUNCTION("IMPORTRANGE(""https://docs.google.com/spreadsheets/d/1XL5vhW3sbDhbH9Cz0tuDiY8C3ctxq1tqvaCgkFb8cCA/edit?usp=sharing"",""ร้อยเอ็ด!M475"")"),0)</f>
        <v>0</v>
      </c>
      <c r="G44" s="99">
        <f t="shared" ca="1" si="1"/>
        <v>0</v>
      </c>
      <c r="H44" s="55">
        <v>54</v>
      </c>
      <c r="I44" s="55">
        <v>54</v>
      </c>
      <c r="J44" s="55">
        <f ca="1">IFERROR(__xludf.DUMMYFUNCTION("IMPORTRANGE(""https://docs.google.com/spreadsheets/d/1XL5vhW3sbDhbH9Cz0tuDiY8C3ctxq1tqvaCgkFb8cCA/edit?usp=sharing"",""ร้อยเอ็ด!J482"")"),0)</f>
        <v>0</v>
      </c>
      <c r="K44" s="55">
        <f ca="1">IFERROR(__xludf.DUMMYFUNCTION("IMPORTRANGE(""https://docs.google.com/spreadsheets/d/1XL5vhW3sbDhbH9Cz0tuDiY8C3ctxq1tqvaCgkFb8cCA/edit?usp=sharing"",""ร้อยเอ็ด!J483"")"),0)</f>
        <v>0</v>
      </c>
      <c r="L44" s="99">
        <f t="shared" ca="1" si="3"/>
        <v>0</v>
      </c>
      <c r="M44" s="55">
        <f ca="1">IFERROR(__xludf.DUMMYFUNCTION("IMPORTRANGE(""https://docs.google.com/spreadsheets/d/1XL5vhW3sbDhbH9Cz0tuDiY8C3ctxq1tqvaCgkFb8cCA/edit?usp=sharing"",""ร้อยเอ็ด!J484"")"),0)</f>
        <v>0</v>
      </c>
      <c r="N44" s="55">
        <f ca="1">IFERROR(__xludf.DUMMYFUNCTION("IMPORTRANGE(""https://docs.google.com/spreadsheets/d/1XL5vhW3sbDhbH9Cz0tuDiY8C3ctxq1tqvaCgkFb8cCA/edit?usp=sharing"",""ร้อยเอ็ด!J485"")"),0)</f>
        <v>0</v>
      </c>
      <c r="O44" s="99">
        <f t="shared" ca="1" si="5"/>
        <v>0</v>
      </c>
      <c r="P44" s="55">
        <f ca="1">IFERROR(__xludf.DUMMYFUNCTION("IMPORTRANGE(""https://docs.google.com/spreadsheets/d/1XL5vhW3sbDhbH9Cz0tuDiY8C3ctxq1tqvaCgkFb8cCA/edit?usp=sharing"",""ร้อยเอ็ด!J486"")"),0)</f>
        <v>0</v>
      </c>
      <c r="Q44" s="99">
        <f ca="1">IFERROR(__xludf.DUMMYFUNCTION("IMPORTRANGE(""https://docs.google.com/spreadsheets/d/1XL5vhW3sbDhbH9Cz0tuDiY8C3ctxq1tqvaCgkFb8cCA/edit?usp=sharing"",""ร้อยเอ็ด!J487"")"),0)</f>
        <v>0</v>
      </c>
      <c r="R44" s="99">
        <f t="shared" ca="1" si="7"/>
        <v>0</v>
      </c>
      <c r="S44" s="55">
        <f ca="1">IFERROR(__xludf.DUMMYFUNCTION("IMPORTRANGE(""https://docs.google.com/spreadsheets/d/1XL5vhW3sbDhbH9Cz0tuDiY8C3ctxq1tqvaCgkFb8cCA/edit?usp=sharing"",""ร้อยเอ็ด!J488"")"),0)</f>
        <v>0</v>
      </c>
      <c r="T44" s="99">
        <f ca="1">IFERROR(__xludf.DUMMYFUNCTION("IMPORTRANGE(""https://docs.google.com/spreadsheets/d/1XL5vhW3sbDhbH9Cz0tuDiY8C3ctxq1tqvaCgkFb8cCA/edit?usp=sharing"",""ร้อยเอ็ด!J489"")"),0)</f>
        <v>0</v>
      </c>
      <c r="U44" s="99">
        <f t="shared" ca="1" si="9"/>
        <v>0</v>
      </c>
      <c r="V44" s="81"/>
      <c r="W44" s="81"/>
      <c r="X44" s="81"/>
      <c r="Y44" s="81"/>
      <c r="Z44" s="81"/>
    </row>
    <row r="45" spans="1:26" ht="24" customHeight="1" x14ac:dyDescent="0.5">
      <c r="A45" s="273">
        <v>12</v>
      </c>
      <c r="B45" s="274" t="s">
        <v>60</v>
      </c>
      <c r="C45" s="275">
        <f t="shared" si="41"/>
        <v>0</v>
      </c>
      <c r="D45" s="55">
        <v>0</v>
      </c>
      <c r="E45" s="55">
        <v>0</v>
      </c>
      <c r="F45" s="99">
        <f ca="1">IFERROR(__xludf.DUMMYFUNCTION("IMPORTRANGE(""https://docs.google.com/spreadsheets/d/1XL5vhW3sbDhbH9Cz0tuDiY8C3ctxq1tqvaCgkFb8cCA/edit?usp=sharing"",""เลย!M475"")"),0)</f>
        <v>0</v>
      </c>
      <c r="G45" s="99">
        <f t="shared" si="1"/>
        <v>0</v>
      </c>
      <c r="H45" s="55">
        <v>0</v>
      </c>
      <c r="I45" s="55">
        <v>0</v>
      </c>
      <c r="J45" s="55">
        <f ca="1">IFERROR(__xludf.DUMMYFUNCTION("IMPORTRANGE(""https://docs.google.com/spreadsheets/d/1XL5vhW3sbDhbH9Cz0tuDiY8C3ctxq1tqvaCgkFb8cCA/edit?usp=sharing"",""เลย!J482"")"),0)</f>
        <v>0</v>
      </c>
      <c r="K45" s="55">
        <f ca="1">IFERROR(__xludf.DUMMYFUNCTION("IMPORTRANGE(""https://docs.google.com/spreadsheets/d/1XL5vhW3sbDhbH9Cz0tuDiY8C3ctxq1tqvaCgkFb8cCA/edit?usp=sharing"",""เลย!J483"")"),0)</f>
        <v>0</v>
      </c>
      <c r="L45" s="99">
        <f t="shared" si="3"/>
        <v>0</v>
      </c>
      <c r="M45" s="55">
        <f ca="1">IFERROR(__xludf.DUMMYFUNCTION("IMPORTRANGE(""https://docs.google.com/spreadsheets/d/1XL5vhW3sbDhbH9Cz0tuDiY8C3ctxq1tqvaCgkFb8cCA/edit?usp=sharing"",""เลย!J484"")"),0)</f>
        <v>0</v>
      </c>
      <c r="N45" s="55">
        <f ca="1">IFERROR(__xludf.DUMMYFUNCTION("IMPORTRANGE(""https://docs.google.com/spreadsheets/d/1XL5vhW3sbDhbH9Cz0tuDiY8C3ctxq1tqvaCgkFb8cCA/edit?usp=sharing"",""เลย!J485"")"),0)</f>
        <v>0</v>
      </c>
      <c r="O45" s="99">
        <f t="shared" si="5"/>
        <v>0</v>
      </c>
      <c r="P45" s="55">
        <f ca="1">IFERROR(__xludf.DUMMYFUNCTION("IMPORTRANGE(""https://docs.google.com/spreadsheets/d/1XL5vhW3sbDhbH9Cz0tuDiY8C3ctxq1tqvaCgkFb8cCA/edit?usp=sharing"",""เลย!J486"")"),0)</f>
        <v>0</v>
      </c>
      <c r="Q45" s="99">
        <f ca="1">IFERROR(__xludf.DUMMYFUNCTION("IMPORTRANGE(""https://docs.google.com/spreadsheets/d/1XL5vhW3sbDhbH9Cz0tuDiY8C3ctxq1tqvaCgkFb8cCA/edit?usp=sharing"",""เลย!J487"")"),0)</f>
        <v>0</v>
      </c>
      <c r="R45" s="99">
        <f t="shared" si="7"/>
        <v>0</v>
      </c>
      <c r="S45" s="55">
        <f ca="1">IFERROR(__xludf.DUMMYFUNCTION("IMPORTRANGE(""https://docs.google.com/spreadsheets/d/1XL5vhW3sbDhbH9Cz0tuDiY8C3ctxq1tqvaCgkFb8cCA/edit?usp=sharing"",""เลย!J488"")"),0)</f>
        <v>0</v>
      </c>
      <c r="T45" s="99">
        <f ca="1">IFERROR(__xludf.DUMMYFUNCTION("IMPORTRANGE(""https://docs.google.com/spreadsheets/d/1XL5vhW3sbDhbH9Cz0tuDiY8C3ctxq1tqvaCgkFb8cCA/edit?usp=sharing"",""เลย!J489"")"),0)</f>
        <v>0</v>
      </c>
      <c r="U45" s="99">
        <f t="shared" si="9"/>
        <v>0</v>
      </c>
      <c r="V45" s="81"/>
      <c r="W45" s="81"/>
      <c r="X45" s="81"/>
      <c r="Y45" s="81"/>
      <c r="Z45" s="81"/>
    </row>
    <row r="46" spans="1:26" ht="24" customHeight="1" x14ac:dyDescent="0.5">
      <c r="A46" s="273">
        <v>13</v>
      </c>
      <c r="B46" s="274" t="s">
        <v>61</v>
      </c>
      <c r="C46" s="275">
        <f t="shared" si="41"/>
        <v>355760.5</v>
      </c>
      <c r="D46" s="55">
        <v>0</v>
      </c>
      <c r="E46" s="55">
        <v>355760.5</v>
      </c>
      <c r="F46" s="99">
        <f ca="1">IFERROR(__xludf.DUMMYFUNCTION("IMPORTRANGE(""https://docs.google.com/spreadsheets/d/1XL5vhW3sbDhbH9Cz0tuDiY8C3ctxq1tqvaCgkFb8cCA/edit?usp=sharing"",""ศรีสะเกษ!M475"")"),0)</f>
        <v>0</v>
      </c>
      <c r="G46" s="99">
        <f t="shared" ca="1" si="1"/>
        <v>0</v>
      </c>
      <c r="H46" s="55">
        <v>150</v>
      </c>
      <c r="I46" s="55">
        <v>150</v>
      </c>
      <c r="J46" s="55">
        <f ca="1">IFERROR(__xludf.DUMMYFUNCTION("IMPORTRANGE(""https://docs.google.com/spreadsheets/d/1XL5vhW3sbDhbH9Cz0tuDiY8C3ctxq1tqvaCgkFb8cCA/edit?usp=sharing"",""ศรีสะเกษ!J482"")"),0)</f>
        <v>0</v>
      </c>
      <c r="K46" s="55">
        <f ca="1">IFERROR(__xludf.DUMMYFUNCTION("IMPORTRANGE(""https://docs.google.com/spreadsheets/d/1XL5vhW3sbDhbH9Cz0tuDiY8C3ctxq1tqvaCgkFb8cCA/edit?usp=sharing"",""ศรีสะเกษ!J483"")"),0)</f>
        <v>0</v>
      </c>
      <c r="L46" s="99">
        <f t="shared" ca="1" si="3"/>
        <v>0</v>
      </c>
      <c r="M46" s="55">
        <f ca="1">IFERROR(__xludf.DUMMYFUNCTION("IMPORTRANGE(""https://docs.google.com/spreadsheets/d/1XL5vhW3sbDhbH9Cz0tuDiY8C3ctxq1tqvaCgkFb8cCA/edit?usp=sharing"",""ศรีสะเกษ!J484"")"),11)</f>
        <v>11</v>
      </c>
      <c r="N46" s="55">
        <f ca="1">IFERROR(__xludf.DUMMYFUNCTION("IMPORTRANGE(""https://docs.google.com/spreadsheets/d/1XL5vhW3sbDhbH9Cz0tuDiY8C3ctxq1tqvaCgkFb8cCA/edit?usp=sharing"",""ศรีสะเกษ!J485"")"),4.51)</f>
        <v>4.51</v>
      </c>
      <c r="O46" s="99">
        <f t="shared" ca="1" si="5"/>
        <v>7.333333333333333</v>
      </c>
      <c r="P46" s="55">
        <f ca="1">IFERROR(__xludf.DUMMYFUNCTION("IMPORTRANGE(""https://docs.google.com/spreadsheets/d/1XL5vhW3sbDhbH9Cz0tuDiY8C3ctxq1tqvaCgkFb8cCA/edit?usp=sharing"",""ศรีสะเกษ!J486"")"),0)</f>
        <v>0</v>
      </c>
      <c r="Q46" s="99">
        <f ca="1">IFERROR(__xludf.DUMMYFUNCTION("IMPORTRANGE(""https://docs.google.com/spreadsheets/d/1XL5vhW3sbDhbH9Cz0tuDiY8C3ctxq1tqvaCgkFb8cCA/edit?usp=sharing"",""ศรีสะเกษ!J487"")"),0)</f>
        <v>0</v>
      </c>
      <c r="R46" s="99">
        <f t="shared" ca="1" si="7"/>
        <v>0</v>
      </c>
      <c r="S46" s="55">
        <f ca="1">IFERROR(__xludf.DUMMYFUNCTION("IMPORTRANGE(""https://docs.google.com/spreadsheets/d/1XL5vhW3sbDhbH9Cz0tuDiY8C3ctxq1tqvaCgkFb8cCA/edit?usp=sharing"",""ศรีสะเกษ!J488"")"),8)</f>
        <v>8</v>
      </c>
      <c r="T46" s="99">
        <f ca="1">IFERROR(__xludf.DUMMYFUNCTION("IMPORTRANGE(""https://docs.google.com/spreadsheets/d/1XL5vhW3sbDhbH9Cz0tuDiY8C3ctxq1tqvaCgkFb8cCA/edit?usp=sharing"",""ศรีสะเกษ!J489"")"),3.6)</f>
        <v>3.6</v>
      </c>
      <c r="U46" s="99">
        <f t="shared" ca="1" si="9"/>
        <v>5.333333333333333</v>
      </c>
      <c r="V46" s="81"/>
      <c r="W46" s="81"/>
      <c r="X46" s="81"/>
      <c r="Y46" s="81"/>
      <c r="Z46" s="81"/>
    </row>
    <row r="47" spans="1:26" ht="24" customHeight="1" x14ac:dyDescent="0.5">
      <c r="A47" s="273">
        <v>14</v>
      </c>
      <c r="B47" s="274" t="s">
        <v>62</v>
      </c>
      <c r="C47" s="275">
        <f t="shared" si="41"/>
        <v>389931.12</v>
      </c>
      <c r="D47" s="55">
        <v>0</v>
      </c>
      <c r="E47" s="55">
        <v>389931.12</v>
      </c>
      <c r="F47" s="99">
        <f ca="1">IFERROR(__xludf.DUMMYFUNCTION("IMPORTRANGE(""https://docs.google.com/spreadsheets/d/1XL5vhW3sbDhbH9Cz0tuDiY8C3ctxq1tqvaCgkFb8cCA/edit?usp=sharing"",""สกลนคร!M475"")"),6032.26)</f>
        <v>6032.26</v>
      </c>
      <c r="G47" s="99">
        <f t="shared" ca="1" si="1"/>
        <v>1.5470065584916639</v>
      </c>
      <c r="H47" s="55">
        <v>216</v>
      </c>
      <c r="I47" s="55">
        <v>216</v>
      </c>
      <c r="J47" s="55">
        <f ca="1">IFERROR(__xludf.DUMMYFUNCTION("IMPORTRANGE(""https://docs.google.com/spreadsheets/d/1XL5vhW3sbDhbH9Cz0tuDiY8C3ctxq1tqvaCgkFb8cCA/edit?usp=sharing"",""สกลนคร!J482"")"),0)</f>
        <v>0</v>
      </c>
      <c r="K47" s="55">
        <f ca="1">IFERROR(__xludf.DUMMYFUNCTION("IMPORTRANGE(""https://docs.google.com/spreadsheets/d/1XL5vhW3sbDhbH9Cz0tuDiY8C3ctxq1tqvaCgkFb8cCA/edit?usp=sharing"",""สกลนคร!J483"")"),0)</f>
        <v>0</v>
      </c>
      <c r="L47" s="99">
        <f t="shared" ca="1" si="3"/>
        <v>0</v>
      </c>
      <c r="M47" s="55">
        <f ca="1">IFERROR(__xludf.DUMMYFUNCTION("IMPORTRANGE(""https://docs.google.com/spreadsheets/d/1XL5vhW3sbDhbH9Cz0tuDiY8C3ctxq1tqvaCgkFb8cCA/edit?usp=sharing"",""สกลนคร!J484"")"),0)</f>
        <v>0</v>
      </c>
      <c r="N47" s="55">
        <f ca="1">IFERROR(__xludf.DUMMYFUNCTION("IMPORTRANGE(""https://docs.google.com/spreadsheets/d/1XL5vhW3sbDhbH9Cz0tuDiY8C3ctxq1tqvaCgkFb8cCA/edit?usp=sharing"",""สกลนคร!J485"")"),0)</f>
        <v>0</v>
      </c>
      <c r="O47" s="99">
        <f t="shared" ca="1" si="5"/>
        <v>0</v>
      </c>
      <c r="P47" s="55">
        <f ca="1">IFERROR(__xludf.DUMMYFUNCTION("IMPORTRANGE(""https://docs.google.com/spreadsheets/d/1XL5vhW3sbDhbH9Cz0tuDiY8C3ctxq1tqvaCgkFb8cCA/edit?usp=sharing"",""สกลนคร!J486"")"),0)</f>
        <v>0</v>
      </c>
      <c r="Q47" s="99">
        <f ca="1">IFERROR(__xludf.DUMMYFUNCTION("IMPORTRANGE(""https://docs.google.com/spreadsheets/d/1XL5vhW3sbDhbH9Cz0tuDiY8C3ctxq1tqvaCgkFb8cCA/edit?usp=sharing"",""สกลนคร!J487"")"),0)</f>
        <v>0</v>
      </c>
      <c r="R47" s="99">
        <f t="shared" ca="1" si="7"/>
        <v>0</v>
      </c>
      <c r="S47" s="55">
        <f ca="1">IFERROR(__xludf.DUMMYFUNCTION("IMPORTRANGE(""https://docs.google.com/spreadsheets/d/1XL5vhW3sbDhbH9Cz0tuDiY8C3ctxq1tqvaCgkFb8cCA/edit?usp=sharing"",""สกลนคร!J488"")"),0)</f>
        <v>0</v>
      </c>
      <c r="T47" s="99">
        <f ca="1">IFERROR(__xludf.DUMMYFUNCTION("IMPORTRANGE(""https://docs.google.com/spreadsheets/d/1XL5vhW3sbDhbH9Cz0tuDiY8C3ctxq1tqvaCgkFb8cCA/edit?usp=sharing"",""สกลนคร!J489"")"),0)</f>
        <v>0</v>
      </c>
      <c r="U47" s="99">
        <f t="shared" ca="1" si="9"/>
        <v>0</v>
      </c>
      <c r="V47" s="81"/>
      <c r="W47" s="81"/>
      <c r="X47" s="81"/>
      <c r="Y47" s="81"/>
      <c r="Z47" s="81"/>
    </row>
    <row r="48" spans="1:26" ht="24" customHeight="1" x14ac:dyDescent="0.5">
      <c r="A48" s="273">
        <v>15</v>
      </c>
      <c r="B48" s="274" t="s">
        <v>63</v>
      </c>
      <c r="C48" s="275">
        <f t="shared" si="41"/>
        <v>0</v>
      </c>
      <c r="D48" s="55">
        <v>0</v>
      </c>
      <c r="E48" s="55">
        <v>0</v>
      </c>
      <c r="F48" s="99">
        <f ca="1">IFERROR(__xludf.DUMMYFUNCTION("IMPORTRANGE(""https://docs.google.com/spreadsheets/d/1XL5vhW3sbDhbH9Cz0tuDiY8C3ctxq1tqvaCgkFb8cCA/edit?usp=sharing"",""สุรินทร์!M475"")"),0)</f>
        <v>0</v>
      </c>
      <c r="G48" s="99">
        <f t="shared" si="1"/>
        <v>0</v>
      </c>
      <c r="H48" s="55">
        <v>0</v>
      </c>
      <c r="I48" s="55">
        <v>0</v>
      </c>
      <c r="J48" s="55">
        <f ca="1">IFERROR(__xludf.DUMMYFUNCTION("IMPORTRANGE(""https://docs.google.com/spreadsheets/d/1XL5vhW3sbDhbH9Cz0tuDiY8C3ctxq1tqvaCgkFb8cCA/edit?usp=sharing"",""สุรินทร์!J482"")"),0)</f>
        <v>0</v>
      </c>
      <c r="K48" s="55">
        <f ca="1">IFERROR(__xludf.DUMMYFUNCTION("IMPORTRANGE(""https://docs.google.com/spreadsheets/d/1XL5vhW3sbDhbH9Cz0tuDiY8C3ctxq1tqvaCgkFb8cCA/edit?usp=sharing"",""สุรินทร์!J483"")"),0)</f>
        <v>0</v>
      </c>
      <c r="L48" s="99">
        <f t="shared" si="3"/>
        <v>0</v>
      </c>
      <c r="M48" s="55">
        <f ca="1">IFERROR(__xludf.DUMMYFUNCTION("IMPORTRANGE(""https://docs.google.com/spreadsheets/d/1XL5vhW3sbDhbH9Cz0tuDiY8C3ctxq1tqvaCgkFb8cCA/edit?usp=sharing"",""สุรินทร์!J484"")"),0)</f>
        <v>0</v>
      </c>
      <c r="N48" s="55">
        <f ca="1">IFERROR(__xludf.DUMMYFUNCTION("IMPORTRANGE(""https://docs.google.com/spreadsheets/d/1XL5vhW3sbDhbH9Cz0tuDiY8C3ctxq1tqvaCgkFb8cCA/edit?usp=sharing"",""สุรินทร์!J485"")"),0)</f>
        <v>0</v>
      </c>
      <c r="O48" s="99">
        <f t="shared" si="5"/>
        <v>0</v>
      </c>
      <c r="P48" s="55">
        <f ca="1">IFERROR(__xludf.DUMMYFUNCTION("IMPORTRANGE(""https://docs.google.com/spreadsheets/d/1XL5vhW3sbDhbH9Cz0tuDiY8C3ctxq1tqvaCgkFb8cCA/edit?usp=sharing"",""สุรินทร์!J486"")"),0)</f>
        <v>0</v>
      </c>
      <c r="Q48" s="99">
        <f ca="1">IFERROR(__xludf.DUMMYFUNCTION("IMPORTRANGE(""https://docs.google.com/spreadsheets/d/1XL5vhW3sbDhbH9Cz0tuDiY8C3ctxq1tqvaCgkFb8cCA/edit?usp=sharing"",""สุรินทร์!J487"")"),0)</f>
        <v>0</v>
      </c>
      <c r="R48" s="99">
        <f t="shared" si="7"/>
        <v>0</v>
      </c>
      <c r="S48" s="55">
        <f ca="1">IFERROR(__xludf.DUMMYFUNCTION("IMPORTRANGE(""https://docs.google.com/spreadsheets/d/1XL5vhW3sbDhbH9Cz0tuDiY8C3ctxq1tqvaCgkFb8cCA/edit?usp=sharing"",""สุรินทร์!J488"")"),0)</f>
        <v>0</v>
      </c>
      <c r="T48" s="99">
        <f ca="1">IFERROR(__xludf.DUMMYFUNCTION("IMPORTRANGE(""https://docs.google.com/spreadsheets/d/1XL5vhW3sbDhbH9Cz0tuDiY8C3ctxq1tqvaCgkFb8cCA/edit?usp=sharing"",""สุรินทร์!J489"")"),0)</f>
        <v>0</v>
      </c>
      <c r="U48" s="99">
        <f t="shared" si="9"/>
        <v>0</v>
      </c>
      <c r="V48" s="81"/>
      <c r="W48" s="81"/>
      <c r="X48" s="81"/>
      <c r="Y48" s="81"/>
      <c r="Z48" s="81"/>
    </row>
    <row r="49" spans="1:26" ht="24" customHeight="1" x14ac:dyDescent="0.5">
      <c r="A49" s="273">
        <v>16</v>
      </c>
      <c r="B49" s="274" t="s">
        <v>64</v>
      </c>
      <c r="C49" s="275">
        <f t="shared" si="41"/>
        <v>0</v>
      </c>
      <c r="D49" s="55">
        <v>0</v>
      </c>
      <c r="E49" s="55">
        <v>0</v>
      </c>
      <c r="F49" s="99">
        <f ca="1">IFERROR(__xludf.DUMMYFUNCTION("IMPORTRANGE(""https://docs.google.com/spreadsheets/d/1XL5vhW3sbDhbH9Cz0tuDiY8C3ctxq1tqvaCgkFb8cCA/edit?usp=sharing"",""หนองคาย!M475"")"),0)</f>
        <v>0</v>
      </c>
      <c r="G49" s="99">
        <f t="shared" si="1"/>
        <v>0</v>
      </c>
      <c r="H49" s="55">
        <v>0</v>
      </c>
      <c r="I49" s="55">
        <v>0</v>
      </c>
      <c r="J49" s="55">
        <f ca="1">IFERROR(__xludf.DUMMYFUNCTION("IMPORTRANGE(""https://docs.google.com/spreadsheets/d/1XL5vhW3sbDhbH9Cz0tuDiY8C3ctxq1tqvaCgkFb8cCA/edit?usp=sharing"",""หนองคาย!J482"")"),0)</f>
        <v>0</v>
      </c>
      <c r="K49" s="55">
        <f ca="1">IFERROR(__xludf.DUMMYFUNCTION("IMPORTRANGE(""https://docs.google.com/spreadsheets/d/1XL5vhW3sbDhbH9Cz0tuDiY8C3ctxq1tqvaCgkFb8cCA/edit?usp=sharing"",""หนองคาย!J483"")"),0)</f>
        <v>0</v>
      </c>
      <c r="L49" s="99">
        <f t="shared" si="3"/>
        <v>0</v>
      </c>
      <c r="M49" s="55">
        <f ca="1">IFERROR(__xludf.DUMMYFUNCTION("IMPORTRANGE(""https://docs.google.com/spreadsheets/d/1XL5vhW3sbDhbH9Cz0tuDiY8C3ctxq1tqvaCgkFb8cCA/edit?usp=sharing"",""หนองคาย!J484"")"),0)</f>
        <v>0</v>
      </c>
      <c r="N49" s="55">
        <f ca="1">IFERROR(__xludf.DUMMYFUNCTION("IMPORTRANGE(""https://docs.google.com/spreadsheets/d/1XL5vhW3sbDhbH9Cz0tuDiY8C3ctxq1tqvaCgkFb8cCA/edit?usp=sharing"",""หนองคาย!J485"")"),0)</f>
        <v>0</v>
      </c>
      <c r="O49" s="99">
        <f t="shared" si="5"/>
        <v>0</v>
      </c>
      <c r="P49" s="55">
        <f ca="1">IFERROR(__xludf.DUMMYFUNCTION("IMPORTRANGE(""https://docs.google.com/spreadsheets/d/1XL5vhW3sbDhbH9Cz0tuDiY8C3ctxq1tqvaCgkFb8cCA/edit?usp=sharing"",""หนองคาย!J486"")"),0)</f>
        <v>0</v>
      </c>
      <c r="Q49" s="99">
        <f ca="1">IFERROR(__xludf.DUMMYFUNCTION("IMPORTRANGE(""https://docs.google.com/spreadsheets/d/1XL5vhW3sbDhbH9Cz0tuDiY8C3ctxq1tqvaCgkFb8cCA/edit?usp=sharing"",""หนองคาย!J487"")"),0)</f>
        <v>0</v>
      </c>
      <c r="R49" s="99">
        <f t="shared" si="7"/>
        <v>0</v>
      </c>
      <c r="S49" s="55">
        <f ca="1">IFERROR(__xludf.DUMMYFUNCTION("IMPORTRANGE(""https://docs.google.com/spreadsheets/d/1XL5vhW3sbDhbH9Cz0tuDiY8C3ctxq1tqvaCgkFb8cCA/edit?usp=sharing"",""หนองคาย!J488"")"),0)</f>
        <v>0</v>
      </c>
      <c r="T49" s="99">
        <f ca="1">IFERROR(__xludf.DUMMYFUNCTION("IMPORTRANGE(""https://docs.google.com/spreadsheets/d/1XL5vhW3sbDhbH9Cz0tuDiY8C3ctxq1tqvaCgkFb8cCA/edit?usp=sharing"",""หนองคาย!J489"")"),0)</f>
        <v>0</v>
      </c>
      <c r="U49" s="99">
        <f t="shared" si="9"/>
        <v>0</v>
      </c>
      <c r="V49" s="81"/>
      <c r="W49" s="81"/>
      <c r="X49" s="81"/>
      <c r="Y49" s="81"/>
      <c r="Z49" s="81"/>
    </row>
    <row r="50" spans="1:26" ht="24" customHeight="1" x14ac:dyDescent="0.5">
      <c r="A50" s="273">
        <v>17</v>
      </c>
      <c r="B50" s="274" t="s">
        <v>65</v>
      </c>
      <c r="C50" s="275">
        <f t="shared" si="41"/>
        <v>0</v>
      </c>
      <c r="D50" s="55">
        <v>0</v>
      </c>
      <c r="E50" s="55">
        <v>0</v>
      </c>
      <c r="F50" s="99">
        <f ca="1">IFERROR(__xludf.DUMMYFUNCTION("IMPORTRANGE(""https://docs.google.com/spreadsheets/d/1XL5vhW3sbDhbH9Cz0tuDiY8C3ctxq1tqvaCgkFb8cCA/edit?usp=sharing"",""หนองบัวลำภู!M475"")"),3300.03)</f>
        <v>3300.03</v>
      </c>
      <c r="G50" s="99">
        <f t="shared" si="1"/>
        <v>0</v>
      </c>
      <c r="H50" s="55">
        <v>0</v>
      </c>
      <c r="I50" s="55">
        <v>0</v>
      </c>
      <c r="J50" s="55">
        <f ca="1">IFERROR(__xludf.DUMMYFUNCTION("IMPORTRANGE(""https://docs.google.com/spreadsheets/d/1XL5vhW3sbDhbH9Cz0tuDiY8C3ctxq1tqvaCgkFb8cCA/edit?usp=sharing"",""หนองบัวลำภู!J482"")"),0)</f>
        <v>0</v>
      </c>
      <c r="K50" s="55">
        <f ca="1">IFERROR(__xludf.DUMMYFUNCTION("IMPORTRANGE(""https://docs.google.com/spreadsheets/d/1XL5vhW3sbDhbH9Cz0tuDiY8C3ctxq1tqvaCgkFb8cCA/edit?usp=sharing"",""หนองบัวลำภู!J483"")"),0)</f>
        <v>0</v>
      </c>
      <c r="L50" s="99">
        <f t="shared" si="3"/>
        <v>0</v>
      </c>
      <c r="M50" s="55">
        <f ca="1">IFERROR(__xludf.DUMMYFUNCTION("IMPORTRANGE(""https://docs.google.com/spreadsheets/d/1XL5vhW3sbDhbH9Cz0tuDiY8C3ctxq1tqvaCgkFb8cCA/edit?usp=sharing"",""หนองบัวลำภู!J484"")"),0)</f>
        <v>0</v>
      </c>
      <c r="N50" s="55">
        <f ca="1">IFERROR(__xludf.DUMMYFUNCTION("IMPORTRANGE(""https://docs.google.com/spreadsheets/d/1XL5vhW3sbDhbH9Cz0tuDiY8C3ctxq1tqvaCgkFb8cCA/edit?usp=sharing"",""หนองบัวลำภู!J485"")"),0)</f>
        <v>0</v>
      </c>
      <c r="O50" s="99">
        <f t="shared" si="5"/>
        <v>0</v>
      </c>
      <c r="P50" s="55">
        <f ca="1">IFERROR(__xludf.DUMMYFUNCTION("IMPORTRANGE(""https://docs.google.com/spreadsheets/d/1XL5vhW3sbDhbH9Cz0tuDiY8C3ctxq1tqvaCgkFb8cCA/edit?usp=sharing"",""หนองบัวลำภู!J486"")"),0)</f>
        <v>0</v>
      </c>
      <c r="Q50" s="99">
        <f ca="1">IFERROR(__xludf.DUMMYFUNCTION("IMPORTRANGE(""https://docs.google.com/spreadsheets/d/1XL5vhW3sbDhbH9Cz0tuDiY8C3ctxq1tqvaCgkFb8cCA/edit?usp=sharing"",""หนองบัวลำภู!J487"")"),0)</f>
        <v>0</v>
      </c>
      <c r="R50" s="99">
        <f t="shared" si="7"/>
        <v>0</v>
      </c>
      <c r="S50" s="55">
        <f ca="1">IFERROR(__xludf.DUMMYFUNCTION("IMPORTRANGE(""https://docs.google.com/spreadsheets/d/1XL5vhW3sbDhbH9Cz0tuDiY8C3ctxq1tqvaCgkFb8cCA/edit?usp=sharing"",""หนองบัวลำภู!J488"")"),0)</f>
        <v>0</v>
      </c>
      <c r="T50" s="99">
        <f ca="1">IFERROR(__xludf.DUMMYFUNCTION("IMPORTRANGE(""https://docs.google.com/spreadsheets/d/1XL5vhW3sbDhbH9Cz0tuDiY8C3ctxq1tqvaCgkFb8cCA/edit?usp=sharing"",""หนองบัวลำภู!J489"")"),0)</f>
        <v>0</v>
      </c>
      <c r="U50" s="99">
        <f t="shared" si="9"/>
        <v>0</v>
      </c>
      <c r="V50" s="81"/>
      <c r="W50" s="81"/>
      <c r="X50" s="81"/>
      <c r="Y50" s="81"/>
      <c r="Z50" s="81"/>
    </row>
    <row r="51" spans="1:26" ht="24" customHeight="1" x14ac:dyDescent="0.5">
      <c r="A51" s="273">
        <v>18</v>
      </c>
      <c r="B51" s="274" t="s">
        <v>66</v>
      </c>
      <c r="C51" s="275">
        <f t="shared" si="41"/>
        <v>0</v>
      </c>
      <c r="D51" s="55">
        <v>0</v>
      </c>
      <c r="E51" s="55">
        <v>0</v>
      </c>
      <c r="F51" s="99">
        <f ca="1">IFERROR(__xludf.DUMMYFUNCTION("IMPORTRANGE(""https://docs.google.com/spreadsheets/d/1XL5vhW3sbDhbH9Cz0tuDiY8C3ctxq1tqvaCgkFb8cCA/edit?usp=sharing"",""อำนาจเจริญ!M475"")"),0)</f>
        <v>0</v>
      </c>
      <c r="G51" s="99">
        <f t="shared" si="1"/>
        <v>0</v>
      </c>
      <c r="H51" s="55">
        <v>0</v>
      </c>
      <c r="I51" s="55">
        <v>0</v>
      </c>
      <c r="J51" s="55">
        <f ca="1">IFERROR(__xludf.DUMMYFUNCTION("IMPORTRANGE(""https://docs.google.com/spreadsheets/d/1XL5vhW3sbDhbH9Cz0tuDiY8C3ctxq1tqvaCgkFb8cCA/edit?usp=sharing"",""อำนาจเจริญ!J482"")"),0)</f>
        <v>0</v>
      </c>
      <c r="K51" s="55">
        <f ca="1">IFERROR(__xludf.DUMMYFUNCTION("IMPORTRANGE(""https://docs.google.com/spreadsheets/d/1XL5vhW3sbDhbH9Cz0tuDiY8C3ctxq1tqvaCgkFb8cCA/edit?usp=sharing"",""อำนาจเจริญ!J483"")"),0)</f>
        <v>0</v>
      </c>
      <c r="L51" s="99">
        <f t="shared" si="3"/>
        <v>0</v>
      </c>
      <c r="M51" s="55">
        <f ca="1">IFERROR(__xludf.DUMMYFUNCTION("IMPORTRANGE(""https://docs.google.com/spreadsheets/d/1XL5vhW3sbDhbH9Cz0tuDiY8C3ctxq1tqvaCgkFb8cCA/edit?usp=sharing"",""อำนาจเจริญ!J484"")"),0)</f>
        <v>0</v>
      </c>
      <c r="N51" s="55">
        <f ca="1">IFERROR(__xludf.DUMMYFUNCTION("IMPORTRANGE(""https://docs.google.com/spreadsheets/d/1XL5vhW3sbDhbH9Cz0tuDiY8C3ctxq1tqvaCgkFb8cCA/edit?usp=sharing"",""อำนาจเจริญ!J485"")"),0)</f>
        <v>0</v>
      </c>
      <c r="O51" s="99">
        <f t="shared" si="5"/>
        <v>0</v>
      </c>
      <c r="P51" s="55">
        <f ca="1">IFERROR(__xludf.DUMMYFUNCTION("IMPORTRANGE(""https://docs.google.com/spreadsheets/d/1XL5vhW3sbDhbH9Cz0tuDiY8C3ctxq1tqvaCgkFb8cCA/edit?usp=sharing"",""อำนาจเจริญ!J486"")"),0)</f>
        <v>0</v>
      </c>
      <c r="Q51" s="99">
        <f ca="1">IFERROR(__xludf.DUMMYFUNCTION("IMPORTRANGE(""https://docs.google.com/spreadsheets/d/1XL5vhW3sbDhbH9Cz0tuDiY8C3ctxq1tqvaCgkFb8cCA/edit?usp=sharing"",""อำนาจเจริญ!J487"")"),0)</f>
        <v>0</v>
      </c>
      <c r="R51" s="99">
        <f t="shared" si="7"/>
        <v>0</v>
      </c>
      <c r="S51" s="55">
        <f ca="1">IFERROR(__xludf.DUMMYFUNCTION("IMPORTRANGE(""https://docs.google.com/spreadsheets/d/1XL5vhW3sbDhbH9Cz0tuDiY8C3ctxq1tqvaCgkFb8cCA/edit?usp=sharing"",""อำนาจเจริญ!J488"")"),0)</f>
        <v>0</v>
      </c>
      <c r="T51" s="99">
        <f ca="1">IFERROR(__xludf.DUMMYFUNCTION("IMPORTRANGE(""https://docs.google.com/spreadsheets/d/1XL5vhW3sbDhbH9Cz0tuDiY8C3ctxq1tqvaCgkFb8cCA/edit?usp=sharing"",""อำนาจเจริญ!J489"")"),0)</f>
        <v>0</v>
      </c>
      <c r="U51" s="99">
        <f t="shared" si="9"/>
        <v>0</v>
      </c>
      <c r="V51" s="81"/>
      <c r="W51" s="81"/>
      <c r="X51" s="81"/>
      <c r="Y51" s="81"/>
      <c r="Z51" s="81"/>
    </row>
    <row r="52" spans="1:26" ht="24" customHeight="1" x14ac:dyDescent="0.5">
      <c r="A52" s="273">
        <v>19</v>
      </c>
      <c r="B52" s="274" t="s">
        <v>67</v>
      </c>
      <c r="C52" s="275">
        <f t="shared" si="41"/>
        <v>493606.6</v>
      </c>
      <c r="D52" s="55">
        <v>0</v>
      </c>
      <c r="E52" s="55">
        <v>493606.6</v>
      </c>
      <c r="F52" s="99">
        <f ca="1">IFERROR(__xludf.DUMMYFUNCTION("IMPORTRANGE(""https://docs.google.com/spreadsheets/d/1XL5vhW3sbDhbH9Cz0tuDiY8C3ctxq1tqvaCgkFb8cCA/edit?usp=sharing"",""อุดรธานี!M475"")"),9935.48)</f>
        <v>9935.48</v>
      </c>
      <c r="G52" s="99">
        <f t="shared" ca="1" si="1"/>
        <v>2.0128337019804841</v>
      </c>
      <c r="H52" s="55">
        <v>380</v>
      </c>
      <c r="I52" s="55">
        <v>380</v>
      </c>
      <c r="J52" s="55">
        <f ca="1">IFERROR(__xludf.DUMMYFUNCTION("IMPORTRANGE(""https://docs.google.com/spreadsheets/d/1XL5vhW3sbDhbH9Cz0tuDiY8C3ctxq1tqvaCgkFb8cCA/edit?usp=sharing"",""อุดรธานี!J482"")"),0)</f>
        <v>0</v>
      </c>
      <c r="K52" s="55">
        <f ca="1">IFERROR(__xludf.DUMMYFUNCTION("IMPORTRANGE(""https://docs.google.com/spreadsheets/d/1XL5vhW3sbDhbH9Cz0tuDiY8C3ctxq1tqvaCgkFb8cCA/edit?usp=sharing"",""อุดรธานี!J483"")"),0)</f>
        <v>0</v>
      </c>
      <c r="L52" s="99">
        <f t="shared" ca="1" si="3"/>
        <v>0</v>
      </c>
      <c r="M52" s="55">
        <f ca="1">IFERROR(__xludf.DUMMYFUNCTION("IMPORTRANGE(""https://docs.google.com/spreadsheets/d/1XL5vhW3sbDhbH9Cz0tuDiY8C3ctxq1tqvaCgkFb8cCA/edit?usp=sharing"",""อุดรธานี!J484"")"),0)</f>
        <v>0</v>
      </c>
      <c r="N52" s="55">
        <f ca="1">IFERROR(__xludf.DUMMYFUNCTION("IMPORTRANGE(""https://docs.google.com/spreadsheets/d/1XL5vhW3sbDhbH9Cz0tuDiY8C3ctxq1tqvaCgkFb8cCA/edit?usp=sharing"",""อุดรธานี!J485"")"),0)</f>
        <v>0</v>
      </c>
      <c r="O52" s="99">
        <f t="shared" ca="1" si="5"/>
        <v>0</v>
      </c>
      <c r="P52" s="55">
        <f ca="1">IFERROR(__xludf.DUMMYFUNCTION("IMPORTRANGE(""https://docs.google.com/spreadsheets/d/1XL5vhW3sbDhbH9Cz0tuDiY8C3ctxq1tqvaCgkFb8cCA/edit?usp=sharing"",""อุดรธานี!J486"")"),0)</f>
        <v>0</v>
      </c>
      <c r="Q52" s="99">
        <f ca="1">IFERROR(__xludf.DUMMYFUNCTION("IMPORTRANGE(""https://docs.google.com/spreadsheets/d/1XL5vhW3sbDhbH9Cz0tuDiY8C3ctxq1tqvaCgkFb8cCA/edit?usp=sharing"",""อุดรธานี!J487"")"),0)</f>
        <v>0</v>
      </c>
      <c r="R52" s="99">
        <f t="shared" ca="1" si="7"/>
        <v>0</v>
      </c>
      <c r="S52" s="55">
        <f ca="1">IFERROR(__xludf.DUMMYFUNCTION("IMPORTRANGE(""https://docs.google.com/spreadsheets/d/1XL5vhW3sbDhbH9Cz0tuDiY8C3ctxq1tqvaCgkFb8cCA/edit?usp=sharing"",""อุดรธานี!J488"")"),0)</f>
        <v>0</v>
      </c>
      <c r="T52" s="99">
        <f ca="1">IFERROR(__xludf.DUMMYFUNCTION("IMPORTRANGE(""https://docs.google.com/spreadsheets/d/1XL5vhW3sbDhbH9Cz0tuDiY8C3ctxq1tqvaCgkFb8cCA/edit?usp=sharing"",""อุดรธานี!J489"")"),0)</f>
        <v>0</v>
      </c>
      <c r="U52" s="99">
        <f t="shared" ca="1" si="9"/>
        <v>0</v>
      </c>
      <c r="V52" s="81"/>
      <c r="W52" s="81"/>
      <c r="X52" s="81"/>
      <c r="Y52" s="81"/>
      <c r="Z52" s="81"/>
    </row>
    <row r="53" spans="1:26" ht="24" customHeight="1" x14ac:dyDescent="0.5">
      <c r="A53" s="278">
        <v>20</v>
      </c>
      <c r="B53" s="279" t="s">
        <v>68</v>
      </c>
      <c r="C53" s="280">
        <f t="shared" si="41"/>
        <v>348107</v>
      </c>
      <c r="D53" s="62">
        <v>0</v>
      </c>
      <c r="E53" s="62">
        <v>348107</v>
      </c>
      <c r="F53" s="100">
        <f ca="1">IFERROR(__xludf.DUMMYFUNCTION("IMPORTRANGE(""https://docs.google.com/spreadsheets/d/1XL5vhW3sbDhbH9Cz0tuDiY8C3ctxq1tqvaCgkFb8cCA/edit?usp=sharing"",""อุบลราชธานี!M475"")"),9935)</f>
        <v>9935</v>
      </c>
      <c r="G53" s="100">
        <f t="shared" ca="1" si="1"/>
        <v>2.8540075321668339</v>
      </c>
      <c r="H53" s="62">
        <v>100</v>
      </c>
      <c r="I53" s="62">
        <v>100</v>
      </c>
      <c r="J53" s="62">
        <f ca="1">IFERROR(__xludf.DUMMYFUNCTION("IMPORTRANGE(""https://docs.google.com/spreadsheets/d/1XL5vhW3sbDhbH9Cz0tuDiY8C3ctxq1tqvaCgkFb8cCA/edit?usp=sharing"",""อุบลราชธานี!J482"")"),0)</f>
        <v>0</v>
      </c>
      <c r="K53" s="62">
        <f ca="1">IFERROR(__xludf.DUMMYFUNCTION("IMPORTRANGE(""https://docs.google.com/spreadsheets/d/1XL5vhW3sbDhbH9Cz0tuDiY8C3ctxq1tqvaCgkFb8cCA/edit?usp=sharing"",""อุบลราชธานี!J483"")"),0)</f>
        <v>0</v>
      </c>
      <c r="L53" s="100">
        <f t="shared" ca="1" si="3"/>
        <v>0</v>
      </c>
      <c r="M53" s="62">
        <f ca="1">IFERROR(__xludf.DUMMYFUNCTION("IMPORTRANGE(""https://docs.google.com/spreadsheets/d/1XL5vhW3sbDhbH9Cz0tuDiY8C3ctxq1tqvaCgkFb8cCA/edit?usp=sharing"",""อุบลราชธานี!J484"")"),0)</f>
        <v>0</v>
      </c>
      <c r="N53" s="62">
        <f ca="1">IFERROR(__xludf.DUMMYFUNCTION("IMPORTRANGE(""https://docs.google.com/spreadsheets/d/1XL5vhW3sbDhbH9Cz0tuDiY8C3ctxq1tqvaCgkFb8cCA/edit?usp=sharing"",""อุบลราชธานี!J485"")"),0)</f>
        <v>0</v>
      </c>
      <c r="O53" s="100">
        <f t="shared" ca="1" si="5"/>
        <v>0</v>
      </c>
      <c r="P53" s="62">
        <f ca="1">IFERROR(__xludf.DUMMYFUNCTION("IMPORTRANGE(""https://docs.google.com/spreadsheets/d/1XL5vhW3sbDhbH9Cz0tuDiY8C3ctxq1tqvaCgkFb8cCA/edit?usp=sharing"",""อุบลราชธานี!J486"")"),0)</f>
        <v>0</v>
      </c>
      <c r="Q53" s="100">
        <f ca="1">IFERROR(__xludf.DUMMYFUNCTION("IMPORTRANGE(""https://docs.google.com/spreadsheets/d/1XL5vhW3sbDhbH9Cz0tuDiY8C3ctxq1tqvaCgkFb8cCA/edit?usp=sharing"",""อุบลราชธานี!J487"")"),0)</f>
        <v>0</v>
      </c>
      <c r="R53" s="100">
        <f t="shared" ca="1" si="7"/>
        <v>0</v>
      </c>
      <c r="S53" s="62">
        <f ca="1">IFERROR(__xludf.DUMMYFUNCTION("IMPORTRANGE(""https://docs.google.com/spreadsheets/d/1XL5vhW3sbDhbH9Cz0tuDiY8C3ctxq1tqvaCgkFb8cCA/edit?usp=sharing"",""อุบลราชธานี!J488"")"),0)</f>
        <v>0</v>
      </c>
      <c r="T53" s="100">
        <f ca="1">IFERROR(__xludf.DUMMYFUNCTION("IMPORTRANGE(""https://docs.google.com/spreadsheets/d/1XL5vhW3sbDhbH9Cz0tuDiY8C3ctxq1tqvaCgkFb8cCA/edit?usp=sharing"",""อุบลราชธานี!J489"")"),0)</f>
        <v>0</v>
      </c>
      <c r="U53" s="100">
        <f t="shared" ca="1" si="9"/>
        <v>0</v>
      </c>
      <c r="V53" s="81"/>
      <c r="W53" s="81"/>
      <c r="X53" s="81"/>
      <c r="Y53" s="81"/>
      <c r="Z53" s="81"/>
    </row>
    <row r="54" spans="1:26" ht="24" customHeight="1" x14ac:dyDescent="0.5">
      <c r="A54" s="779" t="s">
        <v>69</v>
      </c>
      <c r="B54" s="569"/>
      <c r="C54" s="255">
        <f t="shared" ref="C54:F54" si="42">SUM(C55:C75)</f>
        <v>1301400.6499999999</v>
      </c>
      <c r="D54" s="66">
        <f t="shared" si="42"/>
        <v>0</v>
      </c>
      <c r="E54" s="66">
        <f t="shared" si="42"/>
        <v>1301400.6499999999</v>
      </c>
      <c r="F54" s="101">
        <f t="shared" ca="1" si="42"/>
        <v>10838.73</v>
      </c>
      <c r="G54" s="101">
        <f t="shared" ca="1" si="1"/>
        <v>0.83285112851296028</v>
      </c>
      <c r="H54" s="66">
        <f t="shared" ref="H54:K54" si="43">SUM(H55:H75)</f>
        <v>795</v>
      </c>
      <c r="I54" s="66">
        <f t="shared" si="43"/>
        <v>795</v>
      </c>
      <c r="J54" s="66">
        <f t="shared" ca="1" si="43"/>
        <v>108</v>
      </c>
      <c r="K54" s="66">
        <f t="shared" ca="1" si="43"/>
        <v>93.14</v>
      </c>
      <c r="L54" s="101">
        <f t="shared" ca="1" si="3"/>
        <v>13.584905660377359</v>
      </c>
      <c r="M54" s="66">
        <f t="shared" ref="M54:N54" ca="1" si="44">SUM(M55:M75)</f>
        <v>1</v>
      </c>
      <c r="N54" s="66">
        <f t="shared" ca="1" si="44"/>
        <v>0.56000000000000005</v>
      </c>
      <c r="O54" s="101">
        <f t="shared" ca="1" si="5"/>
        <v>0.12578616352201258</v>
      </c>
      <c r="P54" s="66">
        <f t="shared" ref="P54:Q54" ca="1" si="45">SUM(P55:P75)</f>
        <v>0</v>
      </c>
      <c r="Q54" s="101">
        <f t="shared" ca="1" si="45"/>
        <v>0</v>
      </c>
      <c r="R54" s="101">
        <f t="shared" ca="1" si="7"/>
        <v>0</v>
      </c>
      <c r="S54" s="66">
        <f t="shared" ref="S54:T54" ca="1" si="46">SUM(S55:S75)</f>
        <v>3</v>
      </c>
      <c r="T54" s="101">
        <f t="shared" ca="1" si="46"/>
        <v>2.2400000000000002</v>
      </c>
      <c r="U54" s="101">
        <f t="shared" ca="1" si="9"/>
        <v>0.37735849056603776</v>
      </c>
      <c r="V54" s="81"/>
      <c r="W54" s="81"/>
      <c r="X54" s="81"/>
      <c r="Y54" s="81"/>
      <c r="Z54" s="81"/>
    </row>
    <row r="55" spans="1:26" ht="24" customHeight="1" x14ac:dyDescent="0.5">
      <c r="A55" s="268">
        <v>1</v>
      </c>
      <c r="B55" s="269" t="s">
        <v>70</v>
      </c>
      <c r="C55" s="270">
        <f t="shared" ref="C55:C75" si="47">+D55+E55</f>
        <v>0</v>
      </c>
      <c r="D55" s="48">
        <v>0</v>
      </c>
      <c r="E55" s="48">
        <v>0</v>
      </c>
      <c r="F55" s="98">
        <f ca="1">IFERROR(__xludf.DUMMYFUNCTION("IMPORTRANGE(""https://docs.google.com/spreadsheets/d/1SX6NBoVAgQJ6U1MVXOaj8PK2l7WJ3RER9xtqwdhxkhw/edit?usp=sharing"",""กาญจนบุรี!M475"")"),0)</f>
        <v>0</v>
      </c>
      <c r="G55" s="98">
        <f t="shared" si="1"/>
        <v>0</v>
      </c>
      <c r="H55" s="48">
        <v>0</v>
      </c>
      <c r="I55" s="48">
        <v>0</v>
      </c>
      <c r="J55" s="48">
        <f ca="1">IFERROR(__xludf.DUMMYFUNCTION("IMPORTRANGE(""https://docs.google.com/spreadsheets/d/1SX6NBoVAgQJ6U1MVXOaj8PK2l7WJ3RER9xtqwdhxkhw/edit?usp=sharing"",""กาญจนบุรี!J482"")"),0)</f>
        <v>0</v>
      </c>
      <c r="K55" s="48">
        <f ca="1">IFERROR(__xludf.DUMMYFUNCTION("IMPORTRANGE(""https://docs.google.com/spreadsheets/d/1SX6NBoVAgQJ6U1MVXOaj8PK2l7WJ3RER9xtqwdhxkhw/edit?usp=sharing"",""กาญจนบุรี!J483"")"),0)</f>
        <v>0</v>
      </c>
      <c r="L55" s="98">
        <f t="shared" si="3"/>
        <v>0</v>
      </c>
      <c r="M55" s="48">
        <f ca="1">IFERROR(__xludf.DUMMYFUNCTION("IMPORTRANGE(""https://docs.google.com/spreadsheets/d/1SX6NBoVAgQJ6U1MVXOaj8PK2l7WJ3RER9xtqwdhxkhw/edit?usp=sharing"",""กาญจนบุรี!J484"")"),0)</f>
        <v>0</v>
      </c>
      <c r="N55" s="48">
        <f ca="1">IFERROR(__xludf.DUMMYFUNCTION("IMPORTRANGE(""https://docs.google.com/spreadsheets/d/1SX6NBoVAgQJ6U1MVXOaj8PK2l7WJ3RER9xtqwdhxkhw/edit?usp=sharing"",""กาญจนบุรี!J485"")"),0)</f>
        <v>0</v>
      </c>
      <c r="O55" s="98">
        <f t="shared" si="5"/>
        <v>0</v>
      </c>
      <c r="P55" s="48">
        <f ca="1">IFERROR(__xludf.DUMMYFUNCTION("IMPORTRANGE(""https://docs.google.com/spreadsheets/d/1SX6NBoVAgQJ6U1MVXOaj8PK2l7WJ3RER9xtqwdhxkhw/edit?usp=sharing"",""กาญจนบุรี!J486"")"),0)</f>
        <v>0</v>
      </c>
      <c r="Q55" s="98">
        <f ca="1">IFERROR(__xludf.DUMMYFUNCTION("IMPORTRANGE(""https://docs.google.com/spreadsheets/d/1SX6NBoVAgQJ6U1MVXOaj8PK2l7WJ3RER9xtqwdhxkhw/edit?usp=sharing"",""กาญจนบุรี!J487"")"),0)</f>
        <v>0</v>
      </c>
      <c r="R55" s="98">
        <f t="shared" si="7"/>
        <v>0</v>
      </c>
      <c r="S55" s="48">
        <f ca="1">IFERROR(__xludf.DUMMYFUNCTION("IMPORTRANGE(""https://docs.google.com/spreadsheets/d/1SX6NBoVAgQJ6U1MVXOaj8PK2l7WJ3RER9xtqwdhxkhw/edit?usp=sharing"",""กาญจนบุรี!J488"")"),0)</f>
        <v>0</v>
      </c>
      <c r="T55" s="98">
        <f ca="1">IFERROR(__xludf.DUMMYFUNCTION("IMPORTRANGE(""https://docs.google.com/spreadsheets/d/1SX6NBoVAgQJ6U1MVXOaj8PK2l7WJ3RER9xtqwdhxkhw/edit?usp=sharing"",""กาญจนบุรี!J489"")"),0)</f>
        <v>0</v>
      </c>
      <c r="U55" s="98">
        <f t="shared" si="9"/>
        <v>0</v>
      </c>
      <c r="V55" s="81"/>
      <c r="W55" s="81"/>
      <c r="X55" s="81"/>
      <c r="Y55" s="81"/>
      <c r="Z55" s="81"/>
    </row>
    <row r="56" spans="1:26" ht="24" customHeight="1" x14ac:dyDescent="0.5">
      <c r="A56" s="273">
        <v>2</v>
      </c>
      <c r="B56" s="274" t="s">
        <v>71</v>
      </c>
      <c r="C56" s="275">
        <f t="shared" si="47"/>
        <v>0</v>
      </c>
      <c r="D56" s="55">
        <v>0</v>
      </c>
      <c r="E56" s="55">
        <v>0</v>
      </c>
      <c r="F56" s="99">
        <f ca="1">IFERROR(__xludf.DUMMYFUNCTION("IMPORTRANGE(""https://docs.google.com/spreadsheets/d/1SX6NBoVAgQJ6U1MVXOaj8PK2l7WJ3RER9xtqwdhxkhw/edit?usp=sharing"",""จันทบุรี!M475"")"),0)</f>
        <v>0</v>
      </c>
      <c r="G56" s="99">
        <f t="shared" si="1"/>
        <v>0</v>
      </c>
      <c r="H56" s="55">
        <v>0</v>
      </c>
      <c r="I56" s="55">
        <v>0</v>
      </c>
      <c r="J56" s="55">
        <f ca="1">IFERROR(__xludf.DUMMYFUNCTION("IMPORTRANGE(""https://docs.google.com/spreadsheets/d/1SX6NBoVAgQJ6U1MVXOaj8PK2l7WJ3RER9xtqwdhxkhw/edit?usp=sharing"",""จันทบุรี!J482"")"),0)</f>
        <v>0</v>
      </c>
      <c r="K56" s="55">
        <f ca="1">IFERROR(__xludf.DUMMYFUNCTION("IMPORTRANGE(""https://docs.google.com/spreadsheets/d/1SX6NBoVAgQJ6U1MVXOaj8PK2l7WJ3RER9xtqwdhxkhw/edit?usp=sharing"",""จันทบุรี!J483"")"),0)</f>
        <v>0</v>
      </c>
      <c r="L56" s="99">
        <f t="shared" si="3"/>
        <v>0</v>
      </c>
      <c r="M56" s="55">
        <f ca="1">IFERROR(__xludf.DUMMYFUNCTION("IMPORTRANGE(""https://docs.google.com/spreadsheets/d/1SX6NBoVAgQJ6U1MVXOaj8PK2l7WJ3RER9xtqwdhxkhw/edit?usp=sharing"",""จันทบุรี!J484"")"),0)</f>
        <v>0</v>
      </c>
      <c r="N56" s="55">
        <f ca="1">IFERROR(__xludf.DUMMYFUNCTION("IMPORTRANGE(""https://docs.google.com/spreadsheets/d/1SX6NBoVAgQJ6U1MVXOaj8PK2l7WJ3RER9xtqwdhxkhw/edit?usp=sharing"",""จันทบุรี!J485"")"),0)</f>
        <v>0</v>
      </c>
      <c r="O56" s="99">
        <f t="shared" si="5"/>
        <v>0</v>
      </c>
      <c r="P56" s="55">
        <f ca="1">IFERROR(__xludf.DUMMYFUNCTION("IMPORTRANGE(""https://docs.google.com/spreadsheets/d/1SX6NBoVAgQJ6U1MVXOaj8PK2l7WJ3RER9xtqwdhxkhw/edit?usp=sharing"",""จันทบุรี!J486"")"),0)</f>
        <v>0</v>
      </c>
      <c r="Q56" s="99">
        <f ca="1">IFERROR(__xludf.DUMMYFUNCTION("IMPORTRANGE(""https://docs.google.com/spreadsheets/d/1SX6NBoVAgQJ6U1MVXOaj8PK2l7WJ3RER9xtqwdhxkhw/edit?usp=sharing"",""จันทบุรี!J487"")"),0)</f>
        <v>0</v>
      </c>
      <c r="R56" s="99">
        <f t="shared" si="7"/>
        <v>0</v>
      </c>
      <c r="S56" s="55">
        <f ca="1">IFERROR(__xludf.DUMMYFUNCTION("IMPORTRANGE(""https://docs.google.com/spreadsheets/d/1SX6NBoVAgQJ6U1MVXOaj8PK2l7WJ3RER9xtqwdhxkhw/edit?usp=sharing"",""จันทบุรี!J488"")"),0)</f>
        <v>0</v>
      </c>
      <c r="T56" s="99">
        <f ca="1">IFERROR(__xludf.DUMMYFUNCTION("IMPORTRANGE(""https://docs.google.com/spreadsheets/d/1SX6NBoVAgQJ6U1MVXOaj8PK2l7WJ3RER9xtqwdhxkhw/edit?usp=sharing"",""จันทบุรี!J489"")"),0)</f>
        <v>0</v>
      </c>
      <c r="U56" s="99">
        <f t="shared" si="9"/>
        <v>0</v>
      </c>
      <c r="V56" s="81"/>
      <c r="W56" s="81"/>
      <c r="X56" s="81"/>
      <c r="Y56" s="81"/>
      <c r="Z56" s="81"/>
    </row>
    <row r="57" spans="1:26" ht="24" customHeight="1" x14ac:dyDescent="0.5">
      <c r="A57" s="273">
        <v>3</v>
      </c>
      <c r="B57" s="274" t="s">
        <v>72</v>
      </c>
      <c r="C57" s="275">
        <f t="shared" si="47"/>
        <v>0</v>
      </c>
      <c r="D57" s="55">
        <v>0</v>
      </c>
      <c r="E57" s="55">
        <v>0</v>
      </c>
      <c r="F57" s="99">
        <f ca="1">IFERROR(__xludf.DUMMYFUNCTION("IMPORTRANGE(""https://docs.google.com/spreadsheets/d/1SX6NBoVAgQJ6U1MVXOaj8PK2l7WJ3RER9xtqwdhxkhw/edit?usp=sharing"",""ฉะเชิงเทรา!M475"")"),0)</f>
        <v>0</v>
      </c>
      <c r="G57" s="99">
        <f t="shared" si="1"/>
        <v>0</v>
      </c>
      <c r="H57" s="55">
        <v>0</v>
      </c>
      <c r="I57" s="55">
        <v>0</v>
      </c>
      <c r="J57" s="55">
        <f ca="1">IFERROR(__xludf.DUMMYFUNCTION("IMPORTRANGE(""https://docs.google.com/spreadsheets/d/1SX6NBoVAgQJ6U1MVXOaj8PK2l7WJ3RER9xtqwdhxkhw/edit?usp=sharing"",""ฉะเชิงเทรา!J482"")"),69)</f>
        <v>69</v>
      </c>
      <c r="K57" s="55">
        <f ca="1">IFERROR(__xludf.DUMMYFUNCTION("IMPORTRANGE(""https://docs.google.com/spreadsheets/d/1SX6NBoVAgQJ6U1MVXOaj8PK2l7WJ3RER9xtqwdhxkhw/edit?usp=sharing"",""ฉะเชิงเทรา!J483"")"),49.62)</f>
        <v>49.62</v>
      </c>
      <c r="L57" s="99">
        <f t="shared" si="3"/>
        <v>0</v>
      </c>
      <c r="M57" s="55">
        <f ca="1">IFERROR(__xludf.DUMMYFUNCTION("IMPORTRANGE(""https://docs.google.com/spreadsheets/d/1SX6NBoVAgQJ6U1MVXOaj8PK2l7WJ3RER9xtqwdhxkhw/edit?usp=sharing"",""ฉะเชิงเทรา!J484"")"),0)</f>
        <v>0</v>
      </c>
      <c r="N57" s="55">
        <f ca="1">IFERROR(__xludf.DUMMYFUNCTION("IMPORTRANGE(""https://docs.google.com/spreadsheets/d/1SX6NBoVAgQJ6U1MVXOaj8PK2l7WJ3RER9xtqwdhxkhw/edit?usp=sharing"",""ฉะเชิงเทรา!J485"")"),0)</f>
        <v>0</v>
      </c>
      <c r="O57" s="99">
        <f t="shared" si="5"/>
        <v>0</v>
      </c>
      <c r="P57" s="55">
        <f ca="1">IFERROR(__xludf.DUMMYFUNCTION("IMPORTRANGE(""https://docs.google.com/spreadsheets/d/1SX6NBoVAgQJ6U1MVXOaj8PK2l7WJ3RER9xtqwdhxkhw/edit?usp=sharing"",""ฉะเชิงเทรา!J486"")"),0)</f>
        <v>0</v>
      </c>
      <c r="Q57" s="99">
        <f ca="1">IFERROR(__xludf.DUMMYFUNCTION("IMPORTRANGE(""https://docs.google.com/spreadsheets/d/1SX6NBoVAgQJ6U1MVXOaj8PK2l7WJ3RER9xtqwdhxkhw/edit?usp=sharing"",""ฉะเชิงเทรา!J487"")"),0)</f>
        <v>0</v>
      </c>
      <c r="R57" s="99">
        <f t="shared" si="7"/>
        <v>0</v>
      </c>
      <c r="S57" s="55">
        <f ca="1">IFERROR(__xludf.DUMMYFUNCTION("IMPORTRANGE(""https://docs.google.com/spreadsheets/d/1SX6NBoVAgQJ6U1MVXOaj8PK2l7WJ3RER9xtqwdhxkhw/edit?usp=sharing"",""ฉะเชิงเทรา!J488"")"),0)</f>
        <v>0</v>
      </c>
      <c r="T57" s="99">
        <f ca="1">IFERROR(__xludf.DUMMYFUNCTION("IMPORTRANGE(""https://docs.google.com/spreadsheets/d/1SX6NBoVAgQJ6U1MVXOaj8PK2l7WJ3RER9xtqwdhxkhw/edit?usp=sharing"",""ฉะเชิงเทรา!J489"")"),0)</f>
        <v>0</v>
      </c>
      <c r="U57" s="99">
        <f t="shared" si="9"/>
        <v>0</v>
      </c>
      <c r="V57" s="81"/>
      <c r="W57" s="81"/>
      <c r="X57" s="81"/>
      <c r="Y57" s="81"/>
      <c r="Z57" s="81"/>
    </row>
    <row r="58" spans="1:26" ht="24" customHeight="1" x14ac:dyDescent="0.5">
      <c r="A58" s="273">
        <v>4</v>
      </c>
      <c r="B58" s="274" t="s">
        <v>73</v>
      </c>
      <c r="C58" s="275">
        <f t="shared" si="47"/>
        <v>0</v>
      </c>
      <c r="D58" s="55">
        <v>0</v>
      </c>
      <c r="E58" s="55">
        <v>0</v>
      </c>
      <c r="F58" s="99">
        <f ca="1">IFERROR(__xludf.DUMMYFUNCTION("IMPORTRANGE(""https://docs.google.com/spreadsheets/d/1SX6NBoVAgQJ6U1MVXOaj8PK2l7WJ3RER9xtqwdhxkhw/edit?usp=sharing"",""ชลบุรี!M475"")"),0)</f>
        <v>0</v>
      </c>
      <c r="G58" s="99">
        <f t="shared" si="1"/>
        <v>0</v>
      </c>
      <c r="H58" s="55">
        <v>0</v>
      </c>
      <c r="I58" s="55">
        <v>0</v>
      </c>
      <c r="J58" s="55">
        <f ca="1">IFERROR(__xludf.DUMMYFUNCTION("IMPORTRANGE(""https://docs.google.com/spreadsheets/d/1SX6NBoVAgQJ6U1MVXOaj8PK2l7WJ3RER9xtqwdhxkhw/edit?usp=sharing"",""ชลบุรี!J482"")"),0)</f>
        <v>0</v>
      </c>
      <c r="K58" s="55">
        <f ca="1">IFERROR(__xludf.DUMMYFUNCTION("IMPORTRANGE(""https://docs.google.com/spreadsheets/d/1SX6NBoVAgQJ6U1MVXOaj8PK2l7WJ3RER9xtqwdhxkhw/edit?usp=sharing"",""ชลบุรี!J483"")"),0)</f>
        <v>0</v>
      </c>
      <c r="L58" s="99">
        <f t="shared" si="3"/>
        <v>0</v>
      </c>
      <c r="M58" s="55">
        <f ca="1">IFERROR(__xludf.DUMMYFUNCTION("IMPORTRANGE(""https://docs.google.com/spreadsheets/d/1SX6NBoVAgQJ6U1MVXOaj8PK2l7WJ3RER9xtqwdhxkhw/edit?usp=sharing"",""ชลบุรี!J484"")"),0)</f>
        <v>0</v>
      </c>
      <c r="N58" s="55">
        <f ca="1">IFERROR(__xludf.DUMMYFUNCTION("IMPORTRANGE(""https://docs.google.com/spreadsheets/d/1SX6NBoVAgQJ6U1MVXOaj8PK2l7WJ3RER9xtqwdhxkhw/edit?usp=sharing"",""ชลบุรี!J485"")"),0)</f>
        <v>0</v>
      </c>
      <c r="O58" s="99">
        <f t="shared" si="5"/>
        <v>0</v>
      </c>
      <c r="P58" s="55">
        <f ca="1">IFERROR(__xludf.DUMMYFUNCTION("IMPORTRANGE(""https://docs.google.com/spreadsheets/d/1SX6NBoVAgQJ6U1MVXOaj8PK2l7WJ3RER9xtqwdhxkhw/edit?usp=sharing"",""ชลบุรี!J486"")"),0)</f>
        <v>0</v>
      </c>
      <c r="Q58" s="99">
        <f ca="1">IFERROR(__xludf.DUMMYFUNCTION("IMPORTRANGE(""https://docs.google.com/spreadsheets/d/1SX6NBoVAgQJ6U1MVXOaj8PK2l7WJ3RER9xtqwdhxkhw/edit?usp=sharing"",""ชลบุรี!J487"")"),0)</f>
        <v>0</v>
      </c>
      <c r="R58" s="99">
        <f t="shared" si="7"/>
        <v>0</v>
      </c>
      <c r="S58" s="55">
        <f ca="1">IFERROR(__xludf.DUMMYFUNCTION("IMPORTRANGE(""https://docs.google.com/spreadsheets/d/1SX6NBoVAgQJ6U1MVXOaj8PK2l7WJ3RER9xtqwdhxkhw/edit?usp=sharing"",""ชลบุรี!J488"")"),0)</f>
        <v>0</v>
      </c>
      <c r="T58" s="99">
        <f ca="1">IFERROR(__xludf.DUMMYFUNCTION("IMPORTRANGE(""https://docs.google.com/spreadsheets/d/1SX6NBoVAgQJ6U1MVXOaj8PK2l7WJ3RER9xtqwdhxkhw/edit?usp=sharing"",""ชลบุรี!J489"")"),0)</f>
        <v>0</v>
      </c>
      <c r="U58" s="99">
        <f t="shared" si="9"/>
        <v>0</v>
      </c>
      <c r="V58" s="81"/>
      <c r="W58" s="81"/>
      <c r="X58" s="81"/>
      <c r="Y58" s="81"/>
      <c r="Z58" s="81"/>
    </row>
    <row r="59" spans="1:26" ht="24" customHeight="1" x14ac:dyDescent="0.5">
      <c r="A59" s="273">
        <v>5</v>
      </c>
      <c r="B59" s="274" t="s">
        <v>74</v>
      </c>
      <c r="C59" s="275">
        <f t="shared" si="47"/>
        <v>0</v>
      </c>
      <c r="D59" s="55">
        <v>0</v>
      </c>
      <c r="E59" s="55">
        <v>0</v>
      </c>
      <c r="F59" s="99">
        <f ca="1">IFERROR(__xludf.DUMMYFUNCTION("IMPORTRANGE(""https://docs.google.com/spreadsheets/d/1SX6NBoVAgQJ6U1MVXOaj8PK2l7WJ3RER9xtqwdhxkhw/edit?usp=sharing"",""ชัยนาท!M475"")"),0)</f>
        <v>0</v>
      </c>
      <c r="G59" s="99">
        <f t="shared" si="1"/>
        <v>0</v>
      </c>
      <c r="H59" s="55">
        <v>0</v>
      </c>
      <c r="I59" s="55">
        <v>0</v>
      </c>
      <c r="J59" s="55">
        <f ca="1">IFERROR(__xludf.DUMMYFUNCTION("IMPORTRANGE(""https://docs.google.com/spreadsheets/d/1SX6NBoVAgQJ6U1MVXOaj8PK2l7WJ3RER9xtqwdhxkhw/edit?usp=sharing"",""ชัยนาท!J482"")"),0)</f>
        <v>0</v>
      </c>
      <c r="K59" s="55">
        <f ca="1">IFERROR(__xludf.DUMMYFUNCTION("IMPORTRANGE(""https://docs.google.com/spreadsheets/d/1SX6NBoVAgQJ6U1MVXOaj8PK2l7WJ3RER9xtqwdhxkhw/edit?usp=sharing"",""ชัยนาท!J483"")"),0)</f>
        <v>0</v>
      </c>
      <c r="L59" s="99">
        <f t="shared" si="3"/>
        <v>0</v>
      </c>
      <c r="M59" s="55">
        <f ca="1">IFERROR(__xludf.DUMMYFUNCTION("IMPORTRANGE(""https://docs.google.com/spreadsheets/d/1SX6NBoVAgQJ6U1MVXOaj8PK2l7WJ3RER9xtqwdhxkhw/edit?usp=sharing"",""ชัยนาท!J484"")"),0)</f>
        <v>0</v>
      </c>
      <c r="N59" s="55">
        <f ca="1">IFERROR(__xludf.DUMMYFUNCTION("IMPORTRANGE(""https://docs.google.com/spreadsheets/d/1SX6NBoVAgQJ6U1MVXOaj8PK2l7WJ3RER9xtqwdhxkhw/edit?usp=sharing"",""ชัยนาท!J485"")"),0)</f>
        <v>0</v>
      </c>
      <c r="O59" s="99">
        <f t="shared" si="5"/>
        <v>0</v>
      </c>
      <c r="P59" s="55">
        <f ca="1">IFERROR(__xludf.DUMMYFUNCTION("IMPORTRANGE(""https://docs.google.com/spreadsheets/d/1SX6NBoVAgQJ6U1MVXOaj8PK2l7WJ3RER9xtqwdhxkhw/edit?usp=sharing"",""ชัยนาท!J486"")"),0)</f>
        <v>0</v>
      </c>
      <c r="Q59" s="99">
        <f ca="1">IFERROR(__xludf.DUMMYFUNCTION("IMPORTRANGE(""https://docs.google.com/spreadsheets/d/1SX6NBoVAgQJ6U1MVXOaj8PK2l7WJ3RER9xtqwdhxkhw/edit?usp=sharing"",""ชัยนาท!J487"")"),0)</f>
        <v>0</v>
      </c>
      <c r="R59" s="99">
        <f t="shared" si="7"/>
        <v>0</v>
      </c>
      <c r="S59" s="55">
        <f ca="1">IFERROR(__xludf.DUMMYFUNCTION("IMPORTRANGE(""https://docs.google.com/spreadsheets/d/1SX6NBoVAgQJ6U1MVXOaj8PK2l7WJ3RER9xtqwdhxkhw/edit?usp=sharing"",""ชัยนาท!J488"")"),0)</f>
        <v>0</v>
      </c>
      <c r="T59" s="99">
        <f ca="1">IFERROR(__xludf.DUMMYFUNCTION("IMPORTRANGE(""https://docs.google.com/spreadsheets/d/1SX6NBoVAgQJ6U1MVXOaj8PK2l7WJ3RER9xtqwdhxkhw/edit?usp=sharing"",""ชัยนาท!J489"")"),0)</f>
        <v>0</v>
      </c>
      <c r="U59" s="99">
        <f t="shared" si="9"/>
        <v>0</v>
      </c>
      <c r="V59" s="81"/>
      <c r="W59" s="81"/>
      <c r="X59" s="81"/>
      <c r="Y59" s="81"/>
      <c r="Z59" s="81"/>
    </row>
    <row r="60" spans="1:26" ht="24" customHeight="1" x14ac:dyDescent="0.5">
      <c r="A60" s="273">
        <v>6</v>
      </c>
      <c r="B60" s="274" t="s">
        <v>75</v>
      </c>
      <c r="C60" s="275">
        <f t="shared" si="47"/>
        <v>0</v>
      </c>
      <c r="D60" s="55">
        <v>0</v>
      </c>
      <c r="E60" s="55">
        <v>0</v>
      </c>
      <c r="F60" s="99">
        <f ca="1">IFERROR(__xludf.DUMMYFUNCTION("IMPORTRANGE(""https://docs.google.com/spreadsheets/d/1SX6NBoVAgQJ6U1MVXOaj8PK2l7WJ3RER9xtqwdhxkhw/edit?usp=sharing"",""ตราด!M475"")"),0)</f>
        <v>0</v>
      </c>
      <c r="G60" s="99">
        <f t="shared" si="1"/>
        <v>0</v>
      </c>
      <c r="H60" s="55">
        <v>0</v>
      </c>
      <c r="I60" s="55">
        <v>0</v>
      </c>
      <c r="J60" s="55">
        <f ca="1">IFERROR(__xludf.DUMMYFUNCTION("IMPORTRANGE(""https://docs.google.com/spreadsheets/d/1SX6NBoVAgQJ6U1MVXOaj8PK2l7WJ3RER9xtqwdhxkhw/edit?usp=sharing"",""ตราด!J482"")"),0)</f>
        <v>0</v>
      </c>
      <c r="K60" s="55">
        <f ca="1">IFERROR(__xludf.DUMMYFUNCTION("IMPORTRANGE(""https://docs.google.com/spreadsheets/d/1SX6NBoVAgQJ6U1MVXOaj8PK2l7WJ3RER9xtqwdhxkhw/edit?usp=sharing"",""ตราด!J483"")"),0)</f>
        <v>0</v>
      </c>
      <c r="L60" s="99">
        <f t="shared" si="3"/>
        <v>0</v>
      </c>
      <c r="M60" s="55">
        <f ca="1">IFERROR(__xludf.DUMMYFUNCTION("IMPORTRANGE(""https://docs.google.com/spreadsheets/d/1SX6NBoVAgQJ6U1MVXOaj8PK2l7WJ3RER9xtqwdhxkhw/edit?usp=sharing"",""ตราด!J484"")"),0)</f>
        <v>0</v>
      </c>
      <c r="N60" s="55">
        <f ca="1">IFERROR(__xludf.DUMMYFUNCTION("IMPORTRANGE(""https://docs.google.com/spreadsheets/d/1SX6NBoVAgQJ6U1MVXOaj8PK2l7WJ3RER9xtqwdhxkhw/edit?usp=sharing"",""ตราด!J485"")"),0)</f>
        <v>0</v>
      </c>
      <c r="O60" s="99">
        <f t="shared" si="5"/>
        <v>0</v>
      </c>
      <c r="P60" s="55">
        <f ca="1">IFERROR(__xludf.DUMMYFUNCTION("IMPORTRANGE(""https://docs.google.com/spreadsheets/d/1SX6NBoVAgQJ6U1MVXOaj8PK2l7WJ3RER9xtqwdhxkhw/edit?usp=sharing"",""ตราด!J486"")"),0)</f>
        <v>0</v>
      </c>
      <c r="Q60" s="99">
        <f ca="1">IFERROR(__xludf.DUMMYFUNCTION("IMPORTRANGE(""https://docs.google.com/spreadsheets/d/1SX6NBoVAgQJ6U1MVXOaj8PK2l7WJ3RER9xtqwdhxkhw/edit?usp=sharing"",""ตราด!J487"")"),0)</f>
        <v>0</v>
      </c>
      <c r="R60" s="99">
        <f t="shared" si="7"/>
        <v>0</v>
      </c>
      <c r="S60" s="55">
        <f ca="1">IFERROR(__xludf.DUMMYFUNCTION("IMPORTRANGE(""https://docs.google.com/spreadsheets/d/1SX6NBoVAgQJ6U1MVXOaj8PK2l7WJ3RER9xtqwdhxkhw/edit?usp=sharing"",""ตราด!J488"")"),0)</f>
        <v>0</v>
      </c>
      <c r="T60" s="99">
        <f ca="1">IFERROR(__xludf.DUMMYFUNCTION("IMPORTRANGE(""https://docs.google.com/spreadsheets/d/1SX6NBoVAgQJ6U1MVXOaj8PK2l7WJ3RER9xtqwdhxkhw/edit?usp=sharing"",""ตราด!J489"")"),0)</f>
        <v>0</v>
      </c>
      <c r="U60" s="99">
        <f t="shared" si="9"/>
        <v>0</v>
      </c>
      <c r="V60" s="81"/>
      <c r="W60" s="81"/>
      <c r="X60" s="81"/>
      <c r="Y60" s="81"/>
      <c r="Z60" s="81"/>
    </row>
    <row r="61" spans="1:26" ht="24" customHeight="1" x14ac:dyDescent="0.5">
      <c r="A61" s="273">
        <v>7</v>
      </c>
      <c r="B61" s="274" t="s">
        <v>76</v>
      </c>
      <c r="C61" s="275">
        <f t="shared" si="47"/>
        <v>0</v>
      </c>
      <c r="D61" s="55">
        <v>0</v>
      </c>
      <c r="E61" s="55">
        <v>0</v>
      </c>
      <c r="F61" s="99">
        <f ca="1">IFERROR(__xludf.DUMMYFUNCTION("IMPORTRANGE(""https://docs.google.com/spreadsheets/d/1SX6NBoVAgQJ6U1MVXOaj8PK2l7WJ3RER9xtqwdhxkhw/edit?usp=sharing"",""นครนายก!M475"")"),0)</f>
        <v>0</v>
      </c>
      <c r="G61" s="99">
        <f t="shared" si="1"/>
        <v>0</v>
      </c>
      <c r="H61" s="55">
        <v>0</v>
      </c>
      <c r="I61" s="55">
        <v>0</v>
      </c>
      <c r="J61" s="55">
        <f ca="1">IFERROR(__xludf.DUMMYFUNCTION("IMPORTRANGE(""https://docs.google.com/spreadsheets/d/1SX6NBoVAgQJ6U1MVXOaj8PK2l7WJ3RER9xtqwdhxkhw/edit?usp=sharing"",""นครนายก!J482"")"),0)</f>
        <v>0</v>
      </c>
      <c r="K61" s="55">
        <f ca="1">IFERROR(__xludf.DUMMYFUNCTION("IMPORTRANGE(""https://docs.google.com/spreadsheets/d/1SX6NBoVAgQJ6U1MVXOaj8PK2l7WJ3RER9xtqwdhxkhw/edit?usp=sharing"",""นครนายก!J483"")"),0)</f>
        <v>0</v>
      </c>
      <c r="L61" s="99">
        <f t="shared" si="3"/>
        <v>0</v>
      </c>
      <c r="M61" s="55">
        <f ca="1">IFERROR(__xludf.DUMMYFUNCTION("IMPORTRANGE(""https://docs.google.com/spreadsheets/d/1SX6NBoVAgQJ6U1MVXOaj8PK2l7WJ3RER9xtqwdhxkhw/edit?usp=sharing"",""นครนายก!J484"")"),0)</f>
        <v>0</v>
      </c>
      <c r="N61" s="55">
        <f ca="1">IFERROR(__xludf.DUMMYFUNCTION("IMPORTRANGE(""https://docs.google.com/spreadsheets/d/1SX6NBoVAgQJ6U1MVXOaj8PK2l7WJ3RER9xtqwdhxkhw/edit?usp=sharing"",""นครนายก!J485"")"),0)</f>
        <v>0</v>
      </c>
      <c r="O61" s="99">
        <f t="shared" si="5"/>
        <v>0</v>
      </c>
      <c r="P61" s="55">
        <f ca="1">IFERROR(__xludf.DUMMYFUNCTION("IMPORTRANGE(""https://docs.google.com/spreadsheets/d/1SX6NBoVAgQJ6U1MVXOaj8PK2l7WJ3RER9xtqwdhxkhw/edit?usp=sharing"",""นครนายก!J486"")"),0)</f>
        <v>0</v>
      </c>
      <c r="Q61" s="99">
        <f ca="1">IFERROR(__xludf.DUMMYFUNCTION("IMPORTRANGE(""https://docs.google.com/spreadsheets/d/1SX6NBoVAgQJ6U1MVXOaj8PK2l7WJ3RER9xtqwdhxkhw/edit?usp=sharing"",""นครนายก!J487"")"),0)</f>
        <v>0</v>
      </c>
      <c r="R61" s="99">
        <f t="shared" si="7"/>
        <v>0</v>
      </c>
      <c r="S61" s="55">
        <f ca="1">IFERROR(__xludf.DUMMYFUNCTION("IMPORTRANGE(""https://docs.google.com/spreadsheets/d/1SX6NBoVAgQJ6U1MVXOaj8PK2l7WJ3RER9xtqwdhxkhw/edit?usp=sharing"",""นครนายก!J488"")"),0)</f>
        <v>0</v>
      </c>
      <c r="T61" s="99">
        <f ca="1">IFERROR(__xludf.DUMMYFUNCTION("IMPORTRANGE(""https://docs.google.com/spreadsheets/d/1SX6NBoVAgQJ6U1MVXOaj8PK2l7WJ3RER9xtqwdhxkhw/edit?usp=sharing"",""นครนายก!J489"")"),0)</f>
        <v>0</v>
      </c>
      <c r="U61" s="99">
        <f t="shared" si="9"/>
        <v>0</v>
      </c>
      <c r="V61" s="81"/>
      <c r="W61" s="81"/>
      <c r="X61" s="81"/>
      <c r="Y61" s="81"/>
      <c r="Z61" s="81"/>
    </row>
    <row r="62" spans="1:26" ht="24" customHeight="1" x14ac:dyDescent="0.5">
      <c r="A62" s="273">
        <v>8</v>
      </c>
      <c r="B62" s="274" t="s">
        <v>77</v>
      </c>
      <c r="C62" s="275">
        <f t="shared" si="47"/>
        <v>0</v>
      </c>
      <c r="D62" s="55">
        <v>0</v>
      </c>
      <c r="E62" s="55">
        <v>0</v>
      </c>
      <c r="F62" s="99">
        <f ca="1">IFERROR(__xludf.DUMMYFUNCTION("IMPORTRANGE(""https://docs.google.com/spreadsheets/d/1SX6NBoVAgQJ6U1MVXOaj8PK2l7WJ3RER9xtqwdhxkhw/edit?usp=sharing"",""นครปฐม!M475"")"),0)</f>
        <v>0</v>
      </c>
      <c r="G62" s="99">
        <f t="shared" si="1"/>
        <v>0</v>
      </c>
      <c r="H62" s="55">
        <v>0</v>
      </c>
      <c r="I62" s="55">
        <v>0</v>
      </c>
      <c r="J62" s="55">
        <f ca="1">IFERROR(__xludf.DUMMYFUNCTION("IMPORTRANGE(""https://docs.google.com/spreadsheets/d/1SX6NBoVAgQJ6U1MVXOaj8PK2l7WJ3RER9xtqwdhxkhw/edit?usp=sharing"",""นครปฐม!J482"")"),0)</f>
        <v>0</v>
      </c>
      <c r="K62" s="55">
        <f ca="1">IFERROR(__xludf.DUMMYFUNCTION("IMPORTRANGE(""https://docs.google.com/spreadsheets/d/1SX6NBoVAgQJ6U1MVXOaj8PK2l7WJ3RER9xtqwdhxkhw/edit?usp=sharing"",""นครปฐม!J483"")"),0)</f>
        <v>0</v>
      </c>
      <c r="L62" s="99">
        <f t="shared" si="3"/>
        <v>0</v>
      </c>
      <c r="M62" s="55">
        <f ca="1">IFERROR(__xludf.DUMMYFUNCTION("IMPORTRANGE(""https://docs.google.com/spreadsheets/d/1SX6NBoVAgQJ6U1MVXOaj8PK2l7WJ3RER9xtqwdhxkhw/edit?usp=sharing"",""นครปฐม!J484"")"),0)</f>
        <v>0</v>
      </c>
      <c r="N62" s="55">
        <f ca="1">IFERROR(__xludf.DUMMYFUNCTION("IMPORTRANGE(""https://docs.google.com/spreadsheets/d/1SX6NBoVAgQJ6U1MVXOaj8PK2l7WJ3RER9xtqwdhxkhw/edit?usp=sharing"",""นครปฐม!J485"")"),0)</f>
        <v>0</v>
      </c>
      <c r="O62" s="99">
        <f t="shared" si="5"/>
        <v>0</v>
      </c>
      <c r="P62" s="55">
        <f ca="1">IFERROR(__xludf.DUMMYFUNCTION("IMPORTRANGE(""https://docs.google.com/spreadsheets/d/1SX6NBoVAgQJ6U1MVXOaj8PK2l7WJ3RER9xtqwdhxkhw/edit?usp=sharing"",""นครปฐม!J486"")"),0)</f>
        <v>0</v>
      </c>
      <c r="Q62" s="99">
        <f ca="1">IFERROR(__xludf.DUMMYFUNCTION("IMPORTRANGE(""https://docs.google.com/spreadsheets/d/1SX6NBoVAgQJ6U1MVXOaj8PK2l7WJ3RER9xtqwdhxkhw/edit?usp=sharing"",""นครปฐม!J487"")"),0)</f>
        <v>0</v>
      </c>
      <c r="R62" s="99">
        <f t="shared" si="7"/>
        <v>0</v>
      </c>
      <c r="S62" s="55">
        <f ca="1">IFERROR(__xludf.DUMMYFUNCTION("IMPORTRANGE(""https://docs.google.com/spreadsheets/d/1SX6NBoVAgQJ6U1MVXOaj8PK2l7WJ3RER9xtqwdhxkhw/edit?usp=sharing"",""นครปฐม!J488"")"),0)</f>
        <v>0</v>
      </c>
      <c r="T62" s="99">
        <f ca="1">IFERROR(__xludf.DUMMYFUNCTION("IMPORTRANGE(""https://docs.google.com/spreadsheets/d/1SX6NBoVAgQJ6U1MVXOaj8PK2l7WJ3RER9xtqwdhxkhw/edit?usp=sharing"",""นครปฐม!J489"")"),0)</f>
        <v>0</v>
      </c>
      <c r="U62" s="99">
        <f t="shared" si="9"/>
        <v>0</v>
      </c>
      <c r="V62" s="81"/>
      <c r="W62" s="81"/>
      <c r="X62" s="81"/>
      <c r="Y62" s="81"/>
      <c r="Z62" s="81"/>
    </row>
    <row r="63" spans="1:26" ht="24" customHeight="1" x14ac:dyDescent="0.5">
      <c r="A63" s="273">
        <v>9</v>
      </c>
      <c r="B63" s="274" t="s">
        <v>78</v>
      </c>
      <c r="C63" s="275">
        <f t="shared" si="47"/>
        <v>0</v>
      </c>
      <c r="D63" s="55">
        <v>0</v>
      </c>
      <c r="E63" s="55">
        <v>0</v>
      </c>
      <c r="F63" s="99">
        <f ca="1">IFERROR(__xludf.DUMMYFUNCTION("IMPORTRANGE(""https://docs.google.com/spreadsheets/d/1SX6NBoVAgQJ6U1MVXOaj8PK2l7WJ3RER9xtqwdhxkhw/edit?usp=sharing"",""ปทุมธานี!M475"")"),0)</f>
        <v>0</v>
      </c>
      <c r="G63" s="99">
        <f t="shared" si="1"/>
        <v>0</v>
      </c>
      <c r="H63" s="55">
        <v>0</v>
      </c>
      <c r="I63" s="55">
        <v>0</v>
      </c>
      <c r="J63" s="55">
        <f ca="1">IFERROR(__xludf.DUMMYFUNCTION("IMPORTRANGE(""https://docs.google.com/spreadsheets/d/1SX6NBoVAgQJ6U1MVXOaj8PK2l7WJ3RER9xtqwdhxkhw/edit?usp=sharing"",""ปทุมธานี!J482"")"),0)</f>
        <v>0</v>
      </c>
      <c r="K63" s="55">
        <f ca="1">IFERROR(__xludf.DUMMYFUNCTION("IMPORTRANGE(""https://docs.google.com/spreadsheets/d/1SX6NBoVAgQJ6U1MVXOaj8PK2l7WJ3RER9xtqwdhxkhw/edit?usp=sharing"",""ปทุมธานี!J483"")"),0)</f>
        <v>0</v>
      </c>
      <c r="L63" s="99">
        <f t="shared" si="3"/>
        <v>0</v>
      </c>
      <c r="M63" s="55">
        <f ca="1">IFERROR(__xludf.DUMMYFUNCTION("IMPORTRANGE(""https://docs.google.com/spreadsheets/d/1SX6NBoVAgQJ6U1MVXOaj8PK2l7WJ3RER9xtqwdhxkhw/edit?usp=sharing"",""ปทุมธานี!J484"")"),0)</f>
        <v>0</v>
      </c>
      <c r="N63" s="55">
        <f ca="1">IFERROR(__xludf.DUMMYFUNCTION("IMPORTRANGE(""https://docs.google.com/spreadsheets/d/1SX6NBoVAgQJ6U1MVXOaj8PK2l7WJ3RER9xtqwdhxkhw/edit?usp=sharing"",""ปทุมธานี!J485"")"),0)</f>
        <v>0</v>
      </c>
      <c r="O63" s="99">
        <f t="shared" si="5"/>
        <v>0</v>
      </c>
      <c r="P63" s="55">
        <f ca="1">IFERROR(__xludf.DUMMYFUNCTION("IMPORTRANGE(""https://docs.google.com/spreadsheets/d/1SX6NBoVAgQJ6U1MVXOaj8PK2l7WJ3RER9xtqwdhxkhw/edit?usp=sharing"",""ปทุมธานี!J486"")"),0)</f>
        <v>0</v>
      </c>
      <c r="Q63" s="99">
        <f ca="1">IFERROR(__xludf.DUMMYFUNCTION("IMPORTRANGE(""https://docs.google.com/spreadsheets/d/1SX6NBoVAgQJ6U1MVXOaj8PK2l7WJ3RER9xtqwdhxkhw/edit?usp=sharing"",""ปทุมธานี!J487"")"),0)</f>
        <v>0</v>
      </c>
      <c r="R63" s="99">
        <f t="shared" si="7"/>
        <v>0</v>
      </c>
      <c r="S63" s="55">
        <f ca="1">IFERROR(__xludf.DUMMYFUNCTION("IMPORTRANGE(""https://docs.google.com/spreadsheets/d/1SX6NBoVAgQJ6U1MVXOaj8PK2l7WJ3RER9xtqwdhxkhw/edit?usp=sharing"",""ปทุมธานี!J488"")"),0)</f>
        <v>0</v>
      </c>
      <c r="T63" s="99">
        <f ca="1">IFERROR(__xludf.DUMMYFUNCTION("IMPORTRANGE(""https://docs.google.com/spreadsheets/d/1SX6NBoVAgQJ6U1MVXOaj8PK2l7WJ3RER9xtqwdhxkhw/edit?usp=sharing"",""ปทุมธานี!J489"")"),0)</f>
        <v>0</v>
      </c>
      <c r="U63" s="99">
        <f t="shared" si="9"/>
        <v>0</v>
      </c>
      <c r="V63" s="81"/>
      <c r="W63" s="81"/>
      <c r="X63" s="81"/>
      <c r="Y63" s="81"/>
      <c r="Z63" s="81"/>
    </row>
    <row r="64" spans="1:26" ht="24" customHeight="1" x14ac:dyDescent="0.5">
      <c r="A64" s="273">
        <v>10</v>
      </c>
      <c r="B64" s="274" t="s">
        <v>79</v>
      </c>
      <c r="C64" s="275">
        <f t="shared" si="47"/>
        <v>0</v>
      </c>
      <c r="D64" s="55">
        <v>0</v>
      </c>
      <c r="E64" s="55">
        <v>0</v>
      </c>
      <c r="F64" s="99">
        <f ca="1">IFERROR(__xludf.DUMMYFUNCTION("IMPORTRANGE(""https://docs.google.com/spreadsheets/d/1SX6NBoVAgQJ6U1MVXOaj8PK2l7WJ3RER9xtqwdhxkhw/edit?usp=sharing"",""ประจวบคีรีขันธ์!M475"")"),0)</f>
        <v>0</v>
      </c>
      <c r="G64" s="99">
        <f t="shared" si="1"/>
        <v>0</v>
      </c>
      <c r="H64" s="55">
        <v>0</v>
      </c>
      <c r="I64" s="55">
        <v>0</v>
      </c>
      <c r="J64" s="55">
        <f ca="1">IFERROR(__xludf.DUMMYFUNCTION("IMPORTRANGE(""https://docs.google.com/spreadsheets/d/1SX6NBoVAgQJ6U1MVXOaj8PK2l7WJ3RER9xtqwdhxkhw/edit?usp=sharing"",""ประจวบคีรีขันธ์!J482"")"),0)</f>
        <v>0</v>
      </c>
      <c r="K64" s="55">
        <f ca="1">IFERROR(__xludf.DUMMYFUNCTION("IMPORTRANGE(""https://docs.google.com/spreadsheets/d/1SX6NBoVAgQJ6U1MVXOaj8PK2l7WJ3RER9xtqwdhxkhw/edit?usp=sharing"",""ประจวบคีรีขันธ์!J483"")"),0)</f>
        <v>0</v>
      </c>
      <c r="L64" s="99">
        <f t="shared" si="3"/>
        <v>0</v>
      </c>
      <c r="M64" s="55">
        <f ca="1">IFERROR(__xludf.DUMMYFUNCTION("IMPORTRANGE(""https://docs.google.com/spreadsheets/d/1SX6NBoVAgQJ6U1MVXOaj8PK2l7WJ3RER9xtqwdhxkhw/edit?usp=sharing"",""ประจวบคีรีขันธ์!J484"")"),0)</f>
        <v>0</v>
      </c>
      <c r="N64" s="55">
        <f ca="1">IFERROR(__xludf.DUMMYFUNCTION("IMPORTRANGE(""https://docs.google.com/spreadsheets/d/1SX6NBoVAgQJ6U1MVXOaj8PK2l7WJ3RER9xtqwdhxkhw/edit?usp=sharing"",""ประจวบคีรีขันธ์!J485"")"),0)</f>
        <v>0</v>
      </c>
      <c r="O64" s="99">
        <f t="shared" si="5"/>
        <v>0</v>
      </c>
      <c r="P64" s="55">
        <f ca="1">IFERROR(__xludf.DUMMYFUNCTION("IMPORTRANGE(""https://docs.google.com/spreadsheets/d/1SX6NBoVAgQJ6U1MVXOaj8PK2l7WJ3RER9xtqwdhxkhw/edit?usp=sharing"",""ประจวบคีรีขันธ์!J486"")"),0)</f>
        <v>0</v>
      </c>
      <c r="Q64" s="99">
        <f ca="1">IFERROR(__xludf.DUMMYFUNCTION("IMPORTRANGE(""https://docs.google.com/spreadsheets/d/1SX6NBoVAgQJ6U1MVXOaj8PK2l7WJ3RER9xtqwdhxkhw/edit?usp=sharing"",""ประจวบคีรีขันธ์!J487"")"),0)</f>
        <v>0</v>
      </c>
      <c r="R64" s="99">
        <f t="shared" si="7"/>
        <v>0</v>
      </c>
      <c r="S64" s="55">
        <f ca="1">IFERROR(__xludf.DUMMYFUNCTION("IMPORTRANGE(""https://docs.google.com/spreadsheets/d/1SX6NBoVAgQJ6U1MVXOaj8PK2l7WJ3RER9xtqwdhxkhw/edit?usp=sharing"",""ประจวบคีรีขันธ์!J488"")"),0)</f>
        <v>0</v>
      </c>
      <c r="T64" s="99">
        <f ca="1">IFERROR(__xludf.DUMMYFUNCTION("IMPORTRANGE(""https://docs.google.com/spreadsheets/d/1SX6NBoVAgQJ6U1MVXOaj8PK2l7WJ3RER9xtqwdhxkhw/edit?usp=sharing"",""ประจวบคีรีขันธ์!J489"")"),0)</f>
        <v>0</v>
      </c>
      <c r="U64" s="99">
        <f t="shared" si="9"/>
        <v>0</v>
      </c>
      <c r="V64" s="81"/>
      <c r="W64" s="81"/>
      <c r="X64" s="81"/>
      <c r="Y64" s="81"/>
      <c r="Z64" s="81"/>
    </row>
    <row r="65" spans="1:26" ht="24" customHeight="1" x14ac:dyDescent="0.5">
      <c r="A65" s="273">
        <v>11</v>
      </c>
      <c r="B65" s="274" t="s">
        <v>80</v>
      </c>
      <c r="C65" s="275">
        <f t="shared" si="47"/>
        <v>106902.14</v>
      </c>
      <c r="D65" s="55">
        <v>0</v>
      </c>
      <c r="E65" s="55">
        <v>106902.14</v>
      </c>
      <c r="F65" s="99">
        <f ca="1">IFERROR(__xludf.DUMMYFUNCTION("IMPORTRANGE(""https://docs.google.com/spreadsheets/d/1SX6NBoVAgQJ6U1MVXOaj8PK2l7WJ3RER9xtqwdhxkhw/edit?usp=sharing"",""ปราจีนบุรี!M475"")"),0)</f>
        <v>0</v>
      </c>
      <c r="G65" s="99">
        <f t="shared" ca="1" si="1"/>
        <v>0</v>
      </c>
      <c r="H65" s="55">
        <v>2</v>
      </c>
      <c r="I65" s="55">
        <v>2</v>
      </c>
      <c r="J65" s="55">
        <f ca="1">IFERROR(__xludf.DUMMYFUNCTION("IMPORTRANGE(""https://docs.google.com/spreadsheets/d/1SX6NBoVAgQJ6U1MVXOaj8PK2l7WJ3RER9xtqwdhxkhw/edit?usp=sharing"",""ปราจีนบุรี!J482"")"),0)</f>
        <v>0</v>
      </c>
      <c r="K65" s="55">
        <f ca="1">IFERROR(__xludf.DUMMYFUNCTION("IMPORTRANGE(""https://docs.google.com/spreadsheets/d/1SX6NBoVAgQJ6U1MVXOaj8PK2l7WJ3RER9xtqwdhxkhw/edit?usp=sharing"",""ปราจีนบุรี!J483"")"),0)</f>
        <v>0</v>
      </c>
      <c r="L65" s="99">
        <f t="shared" ca="1" si="3"/>
        <v>0</v>
      </c>
      <c r="M65" s="55">
        <f ca="1">IFERROR(__xludf.DUMMYFUNCTION("IMPORTRANGE(""https://docs.google.com/spreadsheets/d/1SX6NBoVAgQJ6U1MVXOaj8PK2l7WJ3RER9xtqwdhxkhw/edit?usp=sharing"",""ปราจีนบุรี!J484"")"),0)</f>
        <v>0</v>
      </c>
      <c r="N65" s="55">
        <f ca="1">IFERROR(__xludf.DUMMYFUNCTION("IMPORTRANGE(""https://docs.google.com/spreadsheets/d/1SX6NBoVAgQJ6U1MVXOaj8PK2l7WJ3RER9xtqwdhxkhw/edit?usp=sharing"",""ปราจีนบุรี!J485"")"),0)</f>
        <v>0</v>
      </c>
      <c r="O65" s="99">
        <f t="shared" ca="1" si="5"/>
        <v>0</v>
      </c>
      <c r="P65" s="55">
        <f ca="1">IFERROR(__xludf.DUMMYFUNCTION("IMPORTRANGE(""https://docs.google.com/spreadsheets/d/1SX6NBoVAgQJ6U1MVXOaj8PK2l7WJ3RER9xtqwdhxkhw/edit?usp=sharing"",""ปราจีนบุรี!J486"")"),0)</f>
        <v>0</v>
      </c>
      <c r="Q65" s="99">
        <f ca="1">IFERROR(__xludf.DUMMYFUNCTION("IMPORTRANGE(""https://docs.google.com/spreadsheets/d/1SX6NBoVAgQJ6U1MVXOaj8PK2l7WJ3RER9xtqwdhxkhw/edit?usp=sharing"",""ปราจีนบุรี!J487"")"),0)</f>
        <v>0</v>
      </c>
      <c r="R65" s="99">
        <f t="shared" ca="1" si="7"/>
        <v>0</v>
      </c>
      <c r="S65" s="55">
        <f ca="1">IFERROR(__xludf.DUMMYFUNCTION("IMPORTRANGE(""https://docs.google.com/spreadsheets/d/1SX6NBoVAgQJ6U1MVXOaj8PK2l7WJ3RER9xtqwdhxkhw/edit?usp=sharing"",""ปราจีนบุรี!J488"")"),2)</f>
        <v>2</v>
      </c>
      <c r="T65" s="99">
        <f ca="1">IFERROR(__xludf.DUMMYFUNCTION("IMPORTRANGE(""https://docs.google.com/spreadsheets/d/1SX6NBoVAgQJ6U1MVXOaj8PK2l7WJ3RER9xtqwdhxkhw/edit?usp=sharing"",""ปราจีนบุรี!J489"")"),1.68)</f>
        <v>1.68</v>
      </c>
      <c r="U65" s="99">
        <f t="shared" ca="1" si="9"/>
        <v>100</v>
      </c>
      <c r="V65" s="81"/>
      <c r="W65" s="81"/>
      <c r="X65" s="81"/>
      <c r="Y65" s="81"/>
      <c r="Z65" s="81"/>
    </row>
    <row r="66" spans="1:26" ht="24" customHeight="1" x14ac:dyDescent="0.5">
      <c r="A66" s="273">
        <v>12</v>
      </c>
      <c r="B66" s="274" t="s">
        <v>81</v>
      </c>
      <c r="C66" s="275">
        <f t="shared" si="47"/>
        <v>0</v>
      </c>
      <c r="D66" s="55">
        <v>0</v>
      </c>
      <c r="E66" s="55">
        <v>0</v>
      </c>
      <c r="F66" s="99">
        <f ca="1">IFERROR(__xludf.DUMMYFUNCTION("IMPORTRANGE(""https://docs.google.com/spreadsheets/d/1SX6NBoVAgQJ6U1MVXOaj8PK2l7WJ3RER9xtqwdhxkhw/edit?usp=sharing"",""พระนครศรีอยุธยา!M475"")"),0)</f>
        <v>0</v>
      </c>
      <c r="G66" s="99">
        <f t="shared" si="1"/>
        <v>0</v>
      </c>
      <c r="H66" s="55">
        <v>0</v>
      </c>
      <c r="I66" s="55">
        <v>0</v>
      </c>
      <c r="J66" s="55">
        <f ca="1">IFERROR(__xludf.DUMMYFUNCTION("IMPORTRANGE(""https://docs.google.com/spreadsheets/d/1SX6NBoVAgQJ6U1MVXOaj8PK2l7WJ3RER9xtqwdhxkhw/edit?usp=sharing"",""พระนครศรีอยุธยา!J482"")"),0)</f>
        <v>0</v>
      </c>
      <c r="K66" s="55">
        <f ca="1">IFERROR(__xludf.DUMMYFUNCTION("IMPORTRANGE(""https://docs.google.com/spreadsheets/d/1SX6NBoVAgQJ6U1MVXOaj8PK2l7WJ3RER9xtqwdhxkhw/edit?usp=sharing"",""พระนครศรีอยุธยา!J483"")"),0)</f>
        <v>0</v>
      </c>
      <c r="L66" s="99">
        <f t="shared" si="3"/>
        <v>0</v>
      </c>
      <c r="M66" s="55">
        <f ca="1">IFERROR(__xludf.DUMMYFUNCTION("IMPORTRANGE(""https://docs.google.com/spreadsheets/d/1SX6NBoVAgQJ6U1MVXOaj8PK2l7WJ3RER9xtqwdhxkhw/edit?usp=sharing"",""พระนครศรีอยุธยา!J484"")"),0)</f>
        <v>0</v>
      </c>
      <c r="N66" s="55">
        <f ca="1">IFERROR(__xludf.DUMMYFUNCTION("IMPORTRANGE(""https://docs.google.com/spreadsheets/d/1SX6NBoVAgQJ6U1MVXOaj8PK2l7WJ3RER9xtqwdhxkhw/edit?usp=sharing"",""พระนครศรีอยุธยา!J485"")"),0)</f>
        <v>0</v>
      </c>
      <c r="O66" s="99">
        <f t="shared" si="5"/>
        <v>0</v>
      </c>
      <c r="P66" s="55">
        <f ca="1">IFERROR(__xludf.DUMMYFUNCTION("IMPORTRANGE(""https://docs.google.com/spreadsheets/d/1SX6NBoVAgQJ6U1MVXOaj8PK2l7WJ3RER9xtqwdhxkhw/edit?usp=sharing"",""พระนครศรีอยุธยา!J486"")"),0)</f>
        <v>0</v>
      </c>
      <c r="Q66" s="99">
        <f ca="1">IFERROR(__xludf.DUMMYFUNCTION("IMPORTRANGE(""https://docs.google.com/spreadsheets/d/1SX6NBoVAgQJ6U1MVXOaj8PK2l7WJ3RER9xtqwdhxkhw/edit?usp=sharing"",""พระนครศรีอยุธยา!J487"")"),0)</f>
        <v>0</v>
      </c>
      <c r="R66" s="99">
        <f t="shared" si="7"/>
        <v>0</v>
      </c>
      <c r="S66" s="55">
        <f ca="1">IFERROR(__xludf.DUMMYFUNCTION("IMPORTRANGE(""https://docs.google.com/spreadsheets/d/1SX6NBoVAgQJ6U1MVXOaj8PK2l7WJ3RER9xtqwdhxkhw/edit?usp=sharing"",""พระนครศรีอยุธยา!J488"")"),0)</f>
        <v>0</v>
      </c>
      <c r="T66" s="99">
        <f ca="1">IFERROR(__xludf.DUMMYFUNCTION("IMPORTRANGE(""https://docs.google.com/spreadsheets/d/1SX6NBoVAgQJ6U1MVXOaj8PK2l7WJ3RER9xtqwdhxkhw/edit?usp=sharing"",""พระนครศรีอยุธยา!J489"")"),0)</f>
        <v>0</v>
      </c>
      <c r="U66" s="99">
        <f t="shared" si="9"/>
        <v>0</v>
      </c>
      <c r="V66" s="81"/>
      <c r="W66" s="81"/>
      <c r="X66" s="81"/>
      <c r="Y66" s="81"/>
      <c r="Z66" s="81"/>
    </row>
    <row r="67" spans="1:26" ht="24" customHeight="1" x14ac:dyDescent="0.5">
      <c r="A67" s="273">
        <v>13</v>
      </c>
      <c r="B67" s="274" t="s">
        <v>82</v>
      </c>
      <c r="C67" s="275">
        <f t="shared" si="47"/>
        <v>0</v>
      </c>
      <c r="D67" s="55">
        <v>0</v>
      </c>
      <c r="E67" s="55">
        <v>0</v>
      </c>
      <c r="F67" s="99">
        <f ca="1">IFERROR(__xludf.DUMMYFUNCTION("IMPORTRANGE(""https://docs.google.com/spreadsheets/d/1SX6NBoVAgQJ6U1MVXOaj8PK2l7WJ3RER9xtqwdhxkhw/edit?usp=sharing"",""เพชรบุรี!M475"")"),0)</f>
        <v>0</v>
      </c>
      <c r="G67" s="99">
        <f t="shared" si="1"/>
        <v>0</v>
      </c>
      <c r="H67" s="55">
        <v>0</v>
      </c>
      <c r="I67" s="55">
        <v>0</v>
      </c>
      <c r="J67" s="55">
        <f ca="1">IFERROR(__xludf.DUMMYFUNCTION("IMPORTRANGE(""https://docs.google.com/spreadsheets/d/1SX6NBoVAgQJ6U1MVXOaj8PK2l7WJ3RER9xtqwdhxkhw/edit?usp=sharing"",""เพชรบุรี!J482"")"),0)</f>
        <v>0</v>
      </c>
      <c r="K67" s="55">
        <f ca="1">IFERROR(__xludf.DUMMYFUNCTION("IMPORTRANGE(""https://docs.google.com/spreadsheets/d/1SX6NBoVAgQJ6U1MVXOaj8PK2l7WJ3RER9xtqwdhxkhw/edit?usp=sharing"",""เพชรบุรี!J483"")"),0)</f>
        <v>0</v>
      </c>
      <c r="L67" s="99">
        <f t="shared" si="3"/>
        <v>0</v>
      </c>
      <c r="M67" s="55">
        <f ca="1">IFERROR(__xludf.DUMMYFUNCTION("IMPORTRANGE(""https://docs.google.com/spreadsheets/d/1SX6NBoVAgQJ6U1MVXOaj8PK2l7WJ3RER9xtqwdhxkhw/edit?usp=sharing"",""เพชรบุรี!J484"")"),0)</f>
        <v>0</v>
      </c>
      <c r="N67" s="55">
        <f ca="1">IFERROR(__xludf.DUMMYFUNCTION("IMPORTRANGE(""https://docs.google.com/spreadsheets/d/1SX6NBoVAgQJ6U1MVXOaj8PK2l7WJ3RER9xtqwdhxkhw/edit?usp=sharing"",""เพชรบุรี!J485"")"),0)</f>
        <v>0</v>
      </c>
      <c r="O67" s="99">
        <f t="shared" si="5"/>
        <v>0</v>
      </c>
      <c r="P67" s="55">
        <f ca="1">IFERROR(__xludf.DUMMYFUNCTION("IMPORTRANGE(""https://docs.google.com/spreadsheets/d/1SX6NBoVAgQJ6U1MVXOaj8PK2l7WJ3RER9xtqwdhxkhw/edit?usp=sharing"",""เพชรบุรี!J486"")"),0)</f>
        <v>0</v>
      </c>
      <c r="Q67" s="99">
        <f ca="1">IFERROR(__xludf.DUMMYFUNCTION("IMPORTRANGE(""https://docs.google.com/spreadsheets/d/1SX6NBoVAgQJ6U1MVXOaj8PK2l7WJ3RER9xtqwdhxkhw/edit?usp=sharing"",""เพชรบุรี!J487"")"),0)</f>
        <v>0</v>
      </c>
      <c r="R67" s="99">
        <f t="shared" si="7"/>
        <v>0</v>
      </c>
      <c r="S67" s="55">
        <f ca="1">IFERROR(__xludf.DUMMYFUNCTION("IMPORTRANGE(""https://docs.google.com/spreadsheets/d/1SX6NBoVAgQJ6U1MVXOaj8PK2l7WJ3RER9xtqwdhxkhw/edit?usp=sharing"",""เพชรบุรี!J488"")"),0)</f>
        <v>0</v>
      </c>
      <c r="T67" s="99">
        <f ca="1">IFERROR(__xludf.DUMMYFUNCTION("IMPORTRANGE(""https://docs.google.com/spreadsheets/d/1SX6NBoVAgQJ6U1MVXOaj8PK2l7WJ3RER9xtqwdhxkhw/edit?usp=sharing"",""เพชรบุรี!J489"")"),0)</f>
        <v>0</v>
      </c>
      <c r="U67" s="99">
        <f t="shared" si="9"/>
        <v>0</v>
      </c>
      <c r="V67" s="81"/>
      <c r="W67" s="81"/>
      <c r="X67" s="81"/>
      <c r="Y67" s="81"/>
      <c r="Z67" s="81"/>
    </row>
    <row r="68" spans="1:26" ht="24" customHeight="1" x14ac:dyDescent="0.5">
      <c r="A68" s="273">
        <v>14</v>
      </c>
      <c r="B68" s="274" t="s">
        <v>83</v>
      </c>
      <c r="C68" s="275">
        <f t="shared" si="47"/>
        <v>0</v>
      </c>
      <c r="D68" s="55">
        <v>0</v>
      </c>
      <c r="E68" s="55">
        <v>0</v>
      </c>
      <c r="F68" s="99">
        <f ca="1">IFERROR(__xludf.DUMMYFUNCTION("IMPORTRANGE(""https://docs.google.com/spreadsheets/d/1SX6NBoVAgQJ6U1MVXOaj8PK2l7WJ3RER9xtqwdhxkhw/edit?usp=sharing"",""ระยอง!M475"")"),0)</f>
        <v>0</v>
      </c>
      <c r="G68" s="99">
        <f t="shared" si="1"/>
        <v>0</v>
      </c>
      <c r="H68" s="55">
        <v>0</v>
      </c>
      <c r="I68" s="55">
        <v>0</v>
      </c>
      <c r="J68" s="55">
        <f ca="1">IFERROR(__xludf.DUMMYFUNCTION("IMPORTRANGE(""https://docs.google.com/spreadsheets/d/1SX6NBoVAgQJ6U1MVXOaj8PK2l7WJ3RER9xtqwdhxkhw/edit?usp=sharing"",""ระยอง!J482"")"),0)</f>
        <v>0</v>
      </c>
      <c r="K68" s="55">
        <f ca="1">IFERROR(__xludf.DUMMYFUNCTION("IMPORTRANGE(""https://docs.google.com/spreadsheets/d/1SX6NBoVAgQJ6U1MVXOaj8PK2l7WJ3RER9xtqwdhxkhw/edit?usp=sharing"",""ระยอง!J483"")"),0)</f>
        <v>0</v>
      </c>
      <c r="L68" s="99">
        <f t="shared" si="3"/>
        <v>0</v>
      </c>
      <c r="M68" s="55">
        <f ca="1">IFERROR(__xludf.DUMMYFUNCTION("IMPORTRANGE(""https://docs.google.com/spreadsheets/d/1SX6NBoVAgQJ6U1MVXOaj8PK2l7WJ3RER9xtqwdhxkhw/edit?usp=sharing"",""ระยอง!J484"")"),0)</f>
        <v>0</v>
      </c>
      <c r="N68" s="55">
        <f ca="1">IFERROR(__xludf.DUMMYFUNCTION("IMPORTRANGE(""https://docs.google.com/spreadsheets/d/1SX6NBoVAgQJ6U1MVXOaj8PK2l7WJ3RER9xtqwdhxkhw/edit?usp=sharing"",""ระยอง!J485"")"),0)</f>
        <v>0</v>
      </c>
      <c r="O68" s="99">
        <f t="shared" si="5"/>
        <v>0</v>
      </c>
      <c r="P68" s="55">
        <f ca="1">IFERROR(__xludf.DUMMYFUNCTION("IMPORTRANGE(""https://docs.google.com/spreadsheets/d/1SX6NBoVAgQJ6U1MVXOaj8PK2l7WJ3RER9xtqwdhxkhw/edit?usp=sharing"",""ระยอง!J486"")"),0)</f>
        <v>0</v>
      </c>
      <c r="Q68" s="99">
        <f ca="1">IFERROR(__xludf.DUMMYFUNCTION("IMPORTRANGE(""https://docs.google.com/spreadsheets/d/1SX6NBoVAgQJ6U1MVXOaj8PK2l7WJ3RER9xtqwdhxkhw/edit?usp=sharing"",""ระยอง!J487"")"),0)</f>
        <v>0</v>
      </c>
      <c r="R68" s="99">
        <f t="shared" si="7"/>
        <v>0</v>
      </c>
      <c r="S68" s="55">
        <f ca="1">IFERROR(__xludf.DUMMYFUNCTION("IMPORTRANGE(""https://docs.google.com/spreadsheets/d/1SX6NBoVAgQJ6U1MVXOaj8PK2l7WJ3RER9xtqwdhxkhw/edit?usp=sharing"",""ระยอง!J488"")"),0)</f>
        <v>0</v>
      </c>
      <c r="T68" s="99">
        <f ca="1">IFERROR(__xludf.DUMMYFUNCTION("IMPORTRANGE(""https://docs.google.com/spreadsheets/d/1SX6NBoVAgQJ6U1MVXOaj8PK2l7WJ3RER9xtqwdhxkhw/edit?usp=sharing"",""ระยอง!J489"")"),0)</f>
        <v>0</v>
      </c>
      <c r="U68" s="99">
        <f t="shared" si="9"/>
        <v>0</v>
      </c>
      <c r="V68" s="81"/>
      <c r="W68" s="81"/>
      <c r="X68" s="81"/>
      <c r="Y68" s="81"/>
      <c r="Z68" s="81"/>
    </row>
    <row r="69" spans="1:26" ht="24" customHeight="1" x14ac:dyDescent="0.5">
      <c r="A69" s="273">
        <v>15</v>
      </c>
      <c r="B69" s="274" t="s">
        <v>84</v>
      </c>
      <c r="C69" s="275">
        <f t="shared" si="47"/>
        <v>0</v>
      </c>
      <c r="D69" s="55">
        <v>0</v>
      </c>
      <c r="E69" s="55">
        <v>0</v>
      </c>
      <c r="F69" s="99">
        <f ca="1">IFERROR(__xludf.DUMMYFUNCTION("IMPORTRANGE(""https://docs.google.com/spreadsheets/d/1SX6NBoVAgQJ6U1MVXOaj8PK2l7WJ3RER9xtqwdhxkhw/edit?usp=sharing"",""ราชบุรี!M475"")"),0)</f>
        <v>0</v>
      </c>
      <c r="G69" s="99">
        <f t="shared" si="1"/>
        <v>0</v>
      </c>
      <c r="H69" s="55">
        <v>0</v>
      </c>
      <c r="I69" s="55">
        <v>0</v>
      </c>
      <c r="J69" s="55">
        <f ca="1">IFERROR(__xludf.DUMMYFUNCTION("IMPORTRANGE(""https://docs.google.com/spreadsheets/d/1SX6NBoVAgQJ6U1MVXOaj8PK2l7WJ3RER9xtqwdhxkhw/edit?usp=sharing"",""ราชบุรี!J482"")"),0)</f>
        <v>0</v>
      </c>
      <c r="K69" s="55">
        <f ca="1">IFERROR(__xludf.DUMMYFUNCTION("IMPORTRANGE(""https://docs.google.com/spreadsheets/d/1SX6NBoVAgQJ6U1MVXOaj8PK2l7WJ3RER9xtqwdhxkhw/edit?usp=sharing"",""ราชบุรี!J483"")"),0)</f>
        <v>0</v>
      </c>
      <c r="L69" s="99">
        <f t="shared" si="3"/>
        <v>0</v>
      </c>
      <c r="M69" s="55">
        <f ca="1">IFERROR(__xludf.DUMMYFUNCTION("IMPORTRANGE(""https://docs.google.com/spreadsheets/d/1SX6NBoVAgQJ6U1MVXOaj8PK2l7WJ3RER9xtqwdhxkhw/edit?usp=sharing"",""ราชบุรี!J484"")"),0)</f>
        <v>0</v>
      </c>
      <c r="N69" s="55">
        <f ca="1">IFERROR(__xludf.DUMMYFUNCTION("IMPORTRANGE(""https://docs.google.com/spreadsheets/d/1SX6NBoVAgQJ6U1MVXOaj8PK2l7WJ3RER9xtqwdhxkhw/edit?usp=sharing"",""ราชบุรี!J485"")"),0)</f>
        <v>0</v>
      </c>
      <c r="O69" s="99">
        <f t="shared" si="5"/>
        <v>0</v>
      </c>
      <c r="P69" s="55">
        <f ca="1">IFERROR(__xludf.DUMMYFUNCTION("IMPORTRANGE(""https://docs.google.com/spreadsheets/d/1SX6NBoVAgQJ6U1MVXOaj8PK2l7WJ3RER9xtqwdhxkhw/edit?usp=sharing"",""ราชบุรี!J486"")"),0)</f>
        <v>0</v>
      </c>
      <c r="Q69" s="99">
        <f ca="1">IFERROR(__xludf.DUMMYFUNCTION("IMPORTRANGE(""https://docs.google.com/spreadsheets/d/1SX6NBoVAgQJ6U1MVXOaj8PK2l7WJ3RER9xtqwdhxkhw/edit?usp=sharing"",""ราชบุรี!J487"")"),0)</f>
        <v>0</v>
      </c>
      <c r="R69" s="99">
        <f t="shared" si="7"/>
        <v>0</v>
      </c>
      <c r="S69" s="55">
        <f ca="1">IFERROR(__xludf.DUMMYFUNCTION("IMPORTRANGE(""https://docs.google.com/spreadsheets/d/1SX6NBoVAgQJ6U1MVXOaj8PK2l7WJ3RER9xtqwdhxkhw/edit?usp=sharing"",""ราชบุรี!J488"")"),0)</f>
        <v>0</v>
      </c>
      <c r="T69" s="99">
        <f ca="1">IFERROR(__xludf.DUMMYFUNCTION("IMPORTRANGE(""https://docs.google.com/spreadsheets/d/1SX6NBoVAgQJ6U1MVXOaj8PK2l7WJ3RER9xtqwdhxkhw/edit?usp=sharing"",""ราชบุรี!J489"")"),0)</f>
        <v>0</v>
      </c>
      <c r="U69" s="99">
        <f t="shared" si="9"/>
        <v>0</v>
      </c>
      <c r="V69" s="81"/>
      <c r="W69" s="81"/>
      <c r="X69" s="81"/>
      <c r="Y69" s="81"/>
      <c r="Z69" s="81"/>
    </row>
    <row r="70" spans="1:26" ht="24" customHeight="1" x14ac:dyDescent="0.5">
      <c r="A70" s="273">
        <v>16</v>
      </c>
      <c r="B70" s="274" t="s">
        <v>85</v>
      </c>
      <c r="C70" s="275">
        <f t="shared" si="47"/>
        <v>0</v>
      </c>
      <c r="D70" s="55">
        <v>0</v>
      </c>
      <c r="E70" s="55">
        <v>0</v>
      </c>
      <c r="F70" s="99">
        <f ca="1">IFERROR(__xludf.DUMMYFUNCTION("IMPORTRANGE(""https://docs.google.com/spreadsheets/d/1SX6NBoVAgQJ6U1MVXOaj8PK2l7WJ3RER9xtqwdhxkhw/edit?usp=sharing"",""ลพบุรี!M475"")"),0)</f>
        <v>0</v>
      </c>
      <c r="G70" s="99">
        <f t="shared" si="1"/>
        <v>0</v>
      </c>
      <c r="H70" s="55">
        <v>0</v>
      </c>
      <c r="I70" s="55">
        <v>0</v>
      </c>
      <c r="J70" s="55">
        <f ca="1">IFERROR(__xludf.DUMMYFUNCTION("IMPORTRANGE(""https://docs.google.com/spreadsheets/d/1SX6NBoVAgQJ6U1MVXOaj8PK2l7WJ3RER9xtqwdhxkhw/edit?usp=sharing"",""ลพบุรี!J482"")"),0)</f>
        <v>0</v>
      </c>
      <c r="K70" s="55">
        <f ca="1">IFERROR(__xludf.DUMMYFUNCTION("IMPORTRANGE(""https://docs.google.com/spreadsheets/d/1SX6NBoVAgQJ6U1MVXOaj8PK2l7WJ3RER9xtqwdhxkhw/edit?usp=sharing"",""ลพบุรี!J483"")"),0)</f>
        <v>0</v>
      </c>
      <c r="L70" s="99">
        <f t="shared" si="3"/>
        <v>0</v>
      </c>
      <c r="M70" s="55">
        <f ca="1">IFERROR(__xludf.DUMMYFUNCTION("IMPORTRANGE(""https://docs.google.com/spreadsheets/d/1SX6NBoVAgQJ6U1MVXOaj8PK2l7WJ3RER9xtqwdhxkhw/edit?usp=sharing"",""ลพบุรี!J484"")"),1)</f>
        <v>1</v>
      </c>
      <c r="N70" s="55">
        <f ca="1">IFERROR(__xludf.DUMMYFUNCTION("IMPORTRANGE(""https://docs.google.com/spreadsheets/d/1SX6NBoVAgQJ6U1MVXOaj8PK2l7WJ3RER9xtqwdhxkhw/edit?usp=sharing"",""ลพบุรี!J485"")"),0.56)</f>
        <v>0.56000000000000005</v>
      </c>
      <c r="O70" s="99">
        <f t="shared" si="5"/>
        <v>0</v>
      </c>
      <c r="P70" s="55">
        <f ca="1">IFERROR(__xludf.DUMMYFUNCTION("IMPORTRANGE(""https://docs.google.com/spreadsheets/d/1SX6NBoVAgQJ6U1MVXOaj8PK2l7WJ3RER9xtqwdhxkhw/edit?usp=sharing"",""ลพบุรี!J486"")"),0)</f>
        <v>0</v>
      </c>
      <c r="Q70" s="99">
        <f ca="1">IFERROR(__xludf.DUMMYFUNCTION("IMPORTRANGE(""https://docs.google.com/spreadsheets/d/1SX6NBoVAgQJ6U1MVXOaj8PK2l7WJ3RER9xtqwdhxkhw/edit?usp=sharing"",""ลพบุรี!J487"")"),0)</f>
        <v>0</v>
      </c>
      <c r="R70" s="99">
        <f t="shared" si="7"/>
        <v>0</v>
      </c>
      <c r="S70" s="55">
        <f ca="1">IFERROR(__xludf.DUMMYFUNCTION("IMPORTRANGE(""https://docs.google.com/spreadsheets/d/1SX6NBoVAgQJ6U1MVXOaj8PK2l7WJ3RER9xtqwdhxkhw/edit?usp=sharing"",""ลพบุรี!J488"")"),1)</f>
        <v>1</v>
      </c>
      <c r="T70" s="99">
        <f ca="1">IFERROR(__xludf.DUMMYFUNCTION("IMPORTRANGE(""https://docs.google.com/spreadsheets/d/1SX6NBoVAgQJ6U1MVXOaj8PK2l7WJ3RER9xtqwdhxkhw/edit?usp=sharing"",""ลพบุรี!J489"")"),0.56)</f>
        <v>0.56000000000000005</v>
      </c>
      <c r="U70" s="99">
        <f t="shared" si="9"/>
        <v>0</v>
      </c>
      <c r="V70" s="81"/>
      <c r="W70" s="81"/>
      <c r="X70" s="81"/>
      <c r="Y70" s="81"/>
      <c r="Z70" s="81"/>
    </row>
    <row r="71" spans="1:26" ht="24" customHeight="1" x14ac:dyDescent="0.5">
      <c r="A71" s="273">
        <v>17</v>
      </c>
      <c r="B71" s="274" t="s">
        <v>86</v>
      </c>
      <c r="C71" s="275">
        <f t="shared" si="47"/>
        <v>370577.91000000003</v>
      </c>
      <c r="D71" s="55">
        <v>0</v>
      </c>
      <c r="E71" s="55">
        <v>370577.91000000003</v>
      </c>
      <c r="F71" s="99">
        <f ca="1">IFERROR(__xludf.DUMMYFUNCTION("IMPORTRANGE(""https://docs.google.com/spreadsheets/d/1SX6NBoVAgQJ6U1MVXOaj8PK2l7WJ3RER9xtqwdhxkhw/edit?usp=sharing"",""สระแก้ว!M475"")"),0)</f>
        <v>0</v>
      </c>
      <c r="G71" s="99">
        <f t="shared" ca="1" si="1"/>
        <v>0</v>
      </c>
      <c r="H71" s="55">
        <v>213</v>
      </c>
      <c r="I71" s="55">
        <v>213</v>
      </c>
      <c r="J71" s="55">
        <f ca="1">IFERROR(__xludf.DUMMYFUNCTION("IMPORTRANGE(""https://docs.google.com/spreadsheets/d/1SX6NBoVAgQJ6U1MVXOaj8PK2l7WJ3RER9xtqwdhxkhw/edit?usp=sharing"",""สระแก้ว!J482"")"),1)</f>
        <v>1</v>
      </c>
      <c r="K71" s="55">
        <f ca="1">IFERROR(__xludf.DUMMYFUNCTION("IMPORTRANGE(""https://docs.google.com/spreadsheets/d/1SX6NBoVAgQJ6U1MVXOaj8PK2l7WJ3RER9xtqwdhxkhw/edit?usp=sharing"",""สระแก้ว!J483"")"),0.21)</f>
        <v>0.21</v>
      </c>
      <c r="L71" s="99">
        <f t="shared" ca="1" si="3"/>
        <v>0.46948356807511737</v>
      </c>
      <c r="M71" s="55">
        <f ca="1">IFERROR(__xludf.DUMMYFUNCTION("IMPORTRANGE(""https://docs.google.com/spreadsheets/d/1SX6NBoVAgQJ6U1MVXOaj8PK2l7WJ3RER9xtqwdhxkhw/edit?usp=sharing"",""สระแก้ว!J484"")"),0)</f>
        <v>0</v>
      </c>
      <c r="N71" s="55">
        <f ca="1">IFERROR(__xludf.DUMMYFUNCTION("IMPORTRANGE(""https://docs.google.com/spreadsheets/d/1SX6NBoVAgQJ6U1MVXOaj8PK2l7WJ3RER9xtqwdhxkhw/edit?usp=sharing"",""สระแก้ว!J485"")"),0)</f>
        <v>0</v>
      </c>
      <c r="O71" s="99">
        <f t="shared" ca="1" si="5"/>
        <v>0</v>
      </c>
      <c r="P71" s="55">
        <f ca="1">IFERROR(__xludf.DUMMYFUNCTION("IMPORTRANGE(""https://docs.google.com/spreadsheets/d/1SX6NBoVAgQJ6U1MVXOaj8PK2l7WJ3RER9xtqwdhxkhw/edit?usp=sharing"",""สระแก้ว!J486"")"),0)</f>
        <v>0</v>
      </c>
      <c r="Q71" s="99">
        <f ca="1">IFERROR(__xludf.DUMMYFUNCTION("IMPORTRANGE(""https://docs.google.com/spreadsheets/d/1SX6NBoVAgQJ6U1MVXOaj8PK2l7WJ3RER9xtqwdhxkhw/edit?usp=sharing"",""สระแก้ว!J487"")"),0)</f>
        <v>0</v>
      </c>
      <c r="R71" s="99">
        <f t="shared" ca="1" si="7"/>
        <v>0</v>
      </c>
      <c r="S71" s="55">
        <f ca="1">IFERROR(__xludf.DUMMYFUNCTION("IMPORTRANGE(""https://docs.google.com/spreadsheets/d/1SX6NBoVAgQJ6U1MVXOaj8PK2l7WJ3RER9xtqwdhxkhw/edit?usp=sharing"",""สระแก้ว!J488"")"),0)</f>
        <v>0</v>
      </c>
      <c r="T71" s="99">
        <f ca="1">IFERROR(__xludf.DUMMYFUNCTION("IMPORTRANGE(""https://docs.google.com/spreadsheets/d/1SX6NBoVAgQJ6U1MVXOaj8PK2l7WJ3RER9xtqwdhxkhw/edit?usp=sharing"",""สระแก้ว!J489"")"),0)</f>
        <v>0</v>
      </c>
      <c r="U71" s="99">
        <f t="shared" ca="1" si="9"/>
        <v>0</v>
      </c>
      <c r="V71" s="81"/>
      <c r="W71" s="81"/>
      <c r="X71" s="81"/>
      <c r="Y71" s="81"/>
      <c r="Z71" s="81"/>
    </row>
    <row r="72" spans="1:26" ht="24" customHeight="1" x14ac:dyDescent="0.5">
      <c r="A72" s="273">
        <v>18</v>
      </c>
      <c r="B72" s="274" t="s">
        <v>87</v>
      </c>
      <c r="C72" s="275">
        <f t="shared" si="47"/>
        <v>515535</v>
      </c>
      <c r="D72" s="55">
        <v>0</v>
      </c>
      <c r="E72" s="55">
        <v>515535</v>
      </c>
      <c r="F72" s="99">
        <f ca="1">IFERROR(__xludf.DUMMYFUNCTION("IMPORTRANGE(""https://docs.google.com/spreadsheets/d/1SX6NBoVAgQJ6U1MVXOaj8PK2l7WJ3RER9xtqwdhxkhw/edit?usp=sharing"",""สระบุรี!M475"")"),0)</f>
        <v>0</v>
      </c>
      <c r="G72" s="99">
        <f t="shared" ca="1" si="1"/>
        <v>0</v>
      </c>
      <c r="H72" s="55">
        <v>500</v>
      </c>
      <c r="I72" s="55">
        <v>500</v>
      </c>
      <c r="J72" s="55">
        <f ca="1">IFERROR(__xludf.DUMMYFUNCTION("IMPORTRANGE(""https://docs.google.com/spreadsheets/d/1SX6NBoVAgQJ6U1MVXOaj8PK2l7WJ3RER9xtqwdhxkhw/edit?usp=sharing"",""สระบุรี!J482"")"),26)</f>
        <v>26</v>
      </c>
      <c r="K72" s="55">
        <f ca="1">IFERROR(__xludf.DUMMYFUNCTION("IMPORTRANGE(""https://docs.google.com/spreadsheets/d/1SX6NBoVAgQJ6U1MVXOaj8PK2l7WJ3RER9xtqwdhxkhw/edit?usp=sharing"",""สระบุรี!J483"")"),34.53)</f>
        <v>34.53</v>
      </c>
      <c r="L72" s="99">
        <f t="shared" ca="1" si="3"/>
        <v>5.2</v>
      </c>
      <c r="M72" s="55">
        <f ca="1">IFERROR(__xludf.DUMMYFUNCTION("IMPORTRANGE(""https://docs.google.com/spreadsheets/d/1SX6NBoVAgQJ6U1MVXOaj8PK2l7WJ3RER9xtqwdhxkhw/edit?usp=sharing"",""สระบุรี!J484"")"),0)</f>
        <v>0</v>
      </c>
      <c r="N72" s="55">
        <f ca="1">IFERROR(__xludf.DUMMYFUNCTION("IMPORTRANGE(""https://docs.google.com/spreadsheets/d/1SX6NBoVAgQJ6U1MVXOaj8PK2l7WJ3RER9xtqwdhxkhw/edit?usp=sharing"",""สระบุรี!J485"")"),0)</f>
        <v>0</v>
      </c>
      <c r="O72" s="99">
        <f t="shared" ca="1" si="5"/>
        <v>0</v>
      </c>
      <c r="P72" s="55">
        <f ca="1">IFERROR(__xludf.DUMMYFUNCTION("IMPORTRANGE(""https://docs.google.com/spreadsheets/d/1SX6NBoVAgQJ6U1MVXOaj8PK2l7WJ3RER9xtqwdhxkhw/edit?usp=sharing"",""สระบุรี!J486"")"),0)</f>
        <v>0</v>
      </c>
      <c r="Q72" s="99">
        <f ca="1">IFERROR(__xludf.DUMMYFUNCTION("IMPORTRANGE(""https://docs.google.com/spreadsheets/d/1SX6NBoVAgQJ6U1MVXOaj8PK2l7WJ3RER9xtqwdhxkhw/edit?usp=sharing"",""สระบุรี!J487"")"),0)</f>
        <v>0</v>
      </c>
      <c r="R72" s="99">
        <f t="shared" ca="1" si="7"/>
        <v>0</v>
      </c>
      <c r="S72" s="55">
        <f ca="1">IFERROR(__xludf.DUMMYFUNCTION("IMPORTRANGE(""https://docs.google.com/spreadsheets/d/1SX6NBoVAgQJ6U1MVXOaj8PK2l7WJ3RER9xtqwdhxkhw/edit?usp=sharing"",""สระบุรี!J488"")"),0)</f>
        <v>0</v>
      </c>
      <c r="T72" s="99">
        <f ca="1">IFERROR(__xludf.DUMMYFUNCTION("IMPORTRANGE(""https://docs.google.com/spreadsheets/d/1SX6NBoVAgQJ6U1MVXOaj8PK2l7WJ3RER9xtqwdhxkhw/edit?usp=sharing"",""สระบุรี!J489"")"),0)</f>
        <v>0</v>
      </c>
      <c r="U72" s="99">
        <f t="shared" ca="1" si="9"/>
        <v>0</v>
      </c>
      <c r="V72" s="81"/>
      <c r="W72" s="81"/>
      <c r="X72" s="81"/>
      <c r="Y72" s="81"/>
      <c r="Z72" s="81"/>
    </row>
    <row r="73" spans="1:26" ht="24" customHeight="1" x14ac:dyDescent="0.5">
      <c r="A73" s="273">
        <v>19</v>
      </c>
      <c r="B73" s="274" t="s">
        <v>88</v>
      </c>
      <c r="C73" s="275">
        <f t="shared" si="47"/>
        <v>0</v>
      </c>
      <c r="D73" s="55">
        <v>0</v>
      </c>
      <c r="E73" s="55">
        <v>0</v>
      </c>
      <c r="F73" s="99">
        <f ca="1">IFERROR(__xludf.DUMMYFUNCTION("IMPORTRANGE(""https://docs.google.com/spreadsheets/d/1SX6NBoVAgQJ6U1MVXOaj8PK2l7WJ3RER9xtqwdhxkhw/edit?usp=sharing"",""สิงห์บุรี!M475"")"),0)</f>
        <v>0</v>
      </c>
      <c r="G73" s="99">
        <f t="shared" si="1"/>
        <v>0</v>
      </c>
      <c r="H73" s="55">
        <v>0</v>
      </c>
      <c r="I73" s="55">
        <v>0</v>
      </c>
      <c r="J73" s="55">
        <f ca="1">IFERROR(__xludf.DUMMYFUNCTION("IMPORTRANGE(""https://docs.google.com/spreadsheets/d/1SX6NBoVAgQJ6U1MVXOaj8PK2l7WJ3RER9xtqwdhxkhw/edit?usp=sharing"",""สิงห์บุรี!J482"")"),0)</f>
        <v>0</v>
      </c>
      <c r="K73" s="55">
        <f ca="1">IFERROR(__xludf.DUMMYFUNCTION("IMPORTRANGE(""https://docs.google.com/spreadsheets/d/1SX6NBoVAgQJ6U1MVXOaj8PK2l7WJ3RER9xtqwdhxkhw/edit?usp=sharing"",""สิงห์บุรี!J483"")"),0)</f>
        <v>0</v>
      </c>
      <c r="L73" s="99">
        <f t="shared" si="3"/>
        <v>0</v>
      </c>
      <c r="M73" s="55">
        <f ca="1">IFERROR(__xludf.DUMMYFUNCTION("IMPORTRANGE(""https://docs.google.com/spreadsheets/d/1SX6NBoVAgQJ6U1MVXOaj8PK2l7WJ3RER9xtqwdhxkhw/edit?usp=sharing"",""สิงห์บุรี!J484"")"),0)</f>
        <v>0</v>
      </c>
      <c r="N73" s="55">
        <f ca="1">IFERROR(__xludf.DUMMYFUNCTION("IMPORTRANGE(""https://docs.google.com/spreadsheets/d/1SX6NBoVAgQJ6U1MVXOaj8PK2l7WJ3RER9xtqwdhxkhw/edit?usp=sharing"",""สิงห์บุรี!J485"")"),0)</f>
        <v>0</v>
      </c>
      <c r="O73" s="99">
        <f t="shared" si="5"/>
        <v>0</v>
      </c>
      <c r="P73" s="55">
        <f ca="1">IFERROR(__xludf.DUMMYFUNCTION("IMPORTRANGE(""https://docs.google.com/spreadsheets/d/1SX6NBoVAgQJ6U1MVXOaj8PK2l7WJ3RER9xtqwdhxkhw/edit?usp=sharing"",""สิงห์บุรี!J486"")"),0)</f>
        <v>0</v>
      </c>
      <c r="Q73" s="99">
        <f ca="1">IFERROR(__xludf.DUMMYFUNCTION("IMPORTRANGE(""https://docs.google.com/spreadsheets/d/1SX6NBoVAgQJ6U1MVXOaj8PK2l7WJ3RER9xtqwdhxkhw/edit?usp=sharing"",""สิงห์บุรี!J487"")"),0)</f>
        <v>0</v>
      </c>
      <c r="R73" s="99">
        <f t="shared" si="7"/>
        <v>0</v>
      </c>
      <c r="S73" s="55">
        <f ca="1">IFERROR(__xludf.DUMMYFUNCTION("IMPORTRANGE(""https://docs.google.com/spreadsheets/d/1SX6NBoVAgQJ6U1MVXOaj8PK2l7WJ3RER9xtqwdhxkhw/edit?usp=sharing"",""สิงห์บุรี!J488"")"),0)</f>
        <v>0</v>
      </c>
      <c r="T73" s="99">
        <f ca="1">IFERROR(__xludf.DUMMYFUNCTION("IMPORTRANGE(""https://docs.google.com/spreadsheets/d/1SX6NBoVAgQJ6U1MVXOaj8PK2l7WJ3RER9xtqwdhxkhw/edit?usp=sharing"",""สิงห์บุรี!J489"")"),0)</f>
        <v>0</v>
      </c>
      <c r="U73" s="99">
        <f t="shared" si="9"/>
        <v>0</v>
      </c>
      <c r="V73" s="81"/>
      <c r="W73" s="81"/>
      <c r="X73" s="81"/>
      <c r="Y73" s="81"/>
      <c r="Z73" s="81"/>
    </row>
    <row r="74" spans="1:26" ht="24" customHeight="1" x14ac:dyDescent="0.5">
      <c r="A74" s="273">
        <v>20</v>
      </c>
      <c r="B74" s="274" t="s">
        <v>89</v>
      </c>
      <c r="C74" s="275">
        <f t="shared" si="47"/>
        <v>308385.59999999998</v>
      </c>
      <c r="D74" s="55">
        <v>0</v>
      </c>
      <c r="E74" s="55">
        <v>308385.59999999998</v>
      </c>
      <c r="F74" s="99">
        <f ca="1">IFERROR(__xludf.DUMMYFUNCTION("IMPORTRANGE(""https://docs.google.com/spreadsheets/d/1SX6NBoVAgQJ6U1MVXOaj8PK2l7WJ3RER9xtqwdhxkhw/edit?usp=sharing"",""สุพรรณบุรี!M475"")"),10838.73)</f>
        <v>10838.73</v>
      </c>
      <c r="G74" s="99">
        <f t="shared" ca="1" si="1"/>
        <v>3.5146680000622599</v>
      </c>
      <c r="H74" s="55">
        <v>80</v>
      </c>
      <c r="I74" s="55">
        <v>80</v>
      </c>
      <c r="J74" s="55">
        <f ca="1">IFERROR(__xludf.DUMMYFUNCTION("IMPORTRANGE(""https://docs.google.com/spreadsheets/d/1SX6NBoVAgQJ6U1MVXOaj8PK2l7WJ3RER9xtqwdhxkhw/edit?usp=sharing"",""สุพรรณบุรี!J482"")"),12)</f>
        <v>12</v>
      </c>
      <c r="K74" s="55">
        <f ca="1">IFERROR(__xludf.DUMMYFUNCTION("IMPORTRANGE(""https://docs.google.com/spreadsheets/d/1SX6NBoVAgQJ6U1MVXOaj8PK2l7WJ3RER9xtqwdhxkhw/edit?usp=sharing"",""สุพรรณบุรี!J483"")"),8.78)</f>
        <v>8.7799999999999994</v>
      </c>
      <c r="L74" s="99">
        <f t="shared" ca="1" si="3"/>
        <v>15</v>
      </c>
      <c r="M74" s="55">
        <f ca="1">IFERROR(__xludf.DUMMYFUNCTION("IMPORTRANGE(""https://docs.google.com/spreadsheets/d/1SX6NBoVAgQJ6U1MVXOaj8PK2l7WJ3RER9xtqwdhxkhw/edit?usp=sharing"",""สุพรรณบุรี!J484"")"),0)</f>
        <v>0</v>
      </c>
      <c r="N74" s="55">
        <f ca="1">IFERROR(__xludf.DUMMYFUNCTION("IMPORTRANGE(""https://docs.google.com/spreadsheets/d/1SX6NBoVAgQJ6U1MVXOaj8PK2l7WJ3RER9xtqwdhxkhw/edit?usp=sharing"",""สุพรรณบุรี!J485"")"),0)</f>
        <v>0</v>
      </c>
      <c r="O74" s="99">
        <f t="shared" ca="1" si="5"/>
        <v>0</v>
      </c>
      <c r="P74" s="55">
        <f ca="1">IFERROR(__xludf.DUMMYFUNCTION("IMPORTRANGE(""https://docs.google.com/spreadsheets/d/1SX6NBoVAgQJ6U1MVXOaj8PK2l7WJ3RER9xtqwdhxkhw/edit?usp=sharing"",""สุพรรณบุรี!J486"")"),0)</f>
        <v>0</v>
      </c>
      <c r="Q74" s="99">
        <f ca="1">IFERROR(__xludf.DUMMYFUNCTION("IMPORTRANGE(""https://docs.google.com/spreadsheets/d/1SX6NBoVAgQJ6U1MVXOaj8PK2l7WJ3RER9xtqwdhxkhw/edit?usp=sharing"",""สุพรรณบุรี!J487"")"),0)</f>
        <v>0</v>
      </c>
      <c r="R74" s="99">
        <f t="shared" ca="1" si="7"/>
        <v>0</v>
      </c>
      <c r="S74" s="55">
        <f ca="1">IFERROR(__xludf.DUMMYFUNCTION("IMPORTRANGE(""https://docs.google.com/spreadsheets/d/1SX6NBoVAgQJ6U1MVXOaj8PK2l7WJ3RER9xtqwdhxkhw/edit?usp=sharing"",""สุพรรณบุรี!J488"")"),0)</f>
        <v>0</v>
      </c>
      <c r="T74" s="99">
        <f ca="1">IFERROR(__xludf.DUMMYFUNCTION("IMPORTRANGE(""https://docs.google.com/spreadsheets/d/1SX6NBoVAgQJ6U1MVXOaj8PK2l7WJ3RER9xtqwdhxkhw/edit?usp=sharing"",""สุพรรณบุรี!J489"")"),0)</f>
        <v>0</v>
      </c>
      <c r="U74" s="99">
        <f t="shared" ca="1" si="9"/>
        <v>0</v>
      </c>
      <c r="V74" s="81"/>
      <c r="W74" s="81"/>
      <c r="X74" s="81"/>
      <c r="Y74" s="81"/>
      <c r="Z74" s="81"/>
    </row>
    <row r="75" spans="1:26" ht="24" customHeight="1" x14ac:dyDescent="0.5">
      <c r="A75" s="278">
        <v>21</v>
      </c>
      <c r="B75" s="279" t="s">
        <v>90</v>
      </c>
      <c r="C75" s="280">
        <f t="shared" si="47"/>
        <v>0</v>
      </c>
      <c r="D75" s="62">
        <v>0</v>
      </c>
      <c r="E75" s="62">
        <v>0</v>
      </c>
      <c r="F75" s="100">
        <f ca="1">IFERROR(__xludf.DUMMYFUNCTION("IMPORTRANGE(""https://docs.google.com/spreadsheets/d/1SX6NBoVAgQJ6U1MVXOaj8PK2l7WJ3RER9xtqwdhxkhw/edit?usp=sharing"",""อ่างทอง!M475"")"),0)</f>
        <v>0</v>
      </c>
      <c r="G75" s="100">
        <f t="shared" si="1"/>
        <v>0</v>
      </c>
      <c r="H75" s="62">
        <v>0</v>
      </c>
      <c r="I75" s="62">
        <v>0</v>
      </c>
      <c r="J75" s="62">
        <f ca="1">IFERROR(__xludf.DUMMYFUNCTION("IMPORTRANGE(""https://docs.google.com/spreadsheets/d/1SX6NBoVAgQJ6U1MVXOaj8PK2l7WJ3RER9xtqwdhxkhw/edit?usp=sharing"",""อ่างทอง!J482"")"),0)</f>
        <v>0</v>
      </c>
      <c r="K75" s="62">
        <f ca="1">IFERROR(__xludf.DUMMYFUNCTION("IMPORTRANGE(""https://docs.google.com/spreadsheets/d/1SX6NBoVAgQJ6U1MVXOaj8PK2l7WJ3RER9xtqwdhxkhw/edit?usp=sharing"",""อ่างทอง!J483"")"),0)</f>
        <v>0</v>
      </c>
      <c r="L75" s="100">
        <f t="shared" si="3"/>
        <v>0</v>
      </c>
      <c r="M75" s="62">
        <f ca="1">IFERROR(__xludf.DUMMYFUNCTION("IMPORTRANGE(""https://docs.google.com/spreadsheets/d/1SX6NBoVAgQJ6U1MVXOaj8PK2l7WJ3RER9xtqwdhxkhw/edit?usp=sharing"",""อ่างทอง!J484"")"),0)</f>
        <v>0</v>
      </c>
      <c r="N75" s="62">
        <f ca="1">IFERROR(__xludf.DUMMYFUNCTION("IMPORTRANGE(""https://docs.google.com/spreadsheets/d/1SX6NBoVAgQJ6U1MVXOaj8PK2l7WJ3RER9xtqwdhxkhw/edit?usp=sharing"",""อ่างทอง!J485"")"),0)</f>
        <v>0</v>
      </c>
      <c r="O75" s="100">
        <f t="shared" si="5"/>
        <v>0</v>
      </c>
      <c r="P75" s="62">
        <f ca="1">IFERROR(__xludf.DUMMYFUNCTION("IMPORTRANGE(""https://docs.google.com/spreadsheets/d/1SX6NBoVAgQJ6U1MVXOaj8PK2l7WJ3RER9xtqwdhxkhw/edit?usp=sharing"",""อ่างทอง!J486"")"),0)</f>
        <v>0</v>
      </c>
      <c r="Q75" s="100">
        <f ca="1">IFERROR(__xludf.DUMMYFUNCTION("IMPORTRANGE(""https://docs.google.com/spreadsheets/d/1SX6NBoVAgQJ6U1MVXOaj8PK2l7WJ3RER9xtqwdhxkhw/edit?usp=sharing"",""อ่างทอง!J487"")"),0)</f>
        <v>0</v>
      </c>
      <c r="R75" s="100">
        <f t="shared" si="7"/>
        <v>0</v>
      </c>
      <c r="S75" s="62">
        <f ca="1">IFERROR(__xludf.DUMMYFUNCTION("IMPORTRANGE(""https://docs.google.com/spreadsheets/d/1SX6NBoVAgQJ6U1MVXOaj8PK2l7WJ3RER9xtqwdhxkhw/edit?usp=sharing"",""อ่างทอง!J488"")"),0)</f>
        <v>0</v>
      </c>
      <c r="T75" s="100">
        <f ca="1">IFERROR(__xludf.DUMMYFUNCTION("IMPORTRANGE(""https://docs.google.com/spreadsheets/d/1SX6NBoVAgQJ6U1MVXOaj8PK2l7WJ3RER9xtqwdhxkhw/edit?usp=sharing"",""อ่างทอง!J489"")"),0)</f>
        <v>0</v>
      </c>
      <c r="U75" s="100">
        <f t="shared" si="9"/>
        <v>0</v>
      </c>
      <c r="V75" s="81"/>
      <c r="W75" s="81"/>
      <c r="X75" s="81"/>
      <c r="Y75" s="81"/>
      <c r="Z75" s="81"/>
    </row>
    <row r="76" spans="1:26" ht="24" customHeight="1" x14ac:dyDescent="0.5">
      <c r="A76" s="777" t="s">
        <v>91</v>
      </c>
      <c r="B76" s="571"/>
      <c r="C76" s="255">
        <f t="shared" ref="C76:F76" si="48">SUM(C77:C90)</f>
        <v>667612.44000000006</v>
      </c>
      <c r="D76" s="66">
        <f t="shared" si="48"/>
        <v>0</v>
      </c>
      <c r="E76" s="66">
        <f t="shared" si="48"/>
        <v>667612.44000000006</v>
      </c>
      <c r="F76" s="101">
        <f t="shared" ca="1" si="48"/>
        <v>9935</v>
      </c>
      <c r="G76" s="101">
        <f t="shared" ca="1" si="1"/>
        <v>1.4881388369575617</v>
      </c>
      <c r="H76" s="66">
        <f t="shared" ref="H76:K76" si="49">SUM(H77:H90)</f>
        <v>292</v>
      </c>
      <c r="I76" s="66">
        <f t="shared" si="49"/>
        <v>292</v>
      </c>
      <c r="J76" s="66">
        <f t="shared" ca="1" si="49"/>
        <v>0</v>
      </c>
      <c r="K76" s="66">
        <f t="shared" ca="1" si="49"/>
        <v>0</v>
      </c>
      <c r="L76" s="101">
        <f t="shared" ca="1" si="3"/>
        <v>0</v>
      </c>
      <c r="M76" s="66">
        <f t="shared" ref="M76:N76" ca="1" si="50">SUM(M77:M90)</f>
        <v>0</v>
      </c>
      <c r="N76" s="66">
        <f t="shared" ca="1" si="50"/>
        <v>0</v>
      </c>
      <c r="O76" s="101">
        <f t="shared" ca="1" si="5"/>
        <v>0</v>
      </c>
      <c r="P76" s="66">
        <f t="shared" ref="P76:Q76" ca="1" si="51">SUM(P77:P90)</f>
        <v>0</v>
      </c>
      <c r="Q76" s="101">
        <f t="shared" ca="1" si="51"/>
        <v>0</v>
      </c>
      <c r="R76" s="101">
        <f t="shared" ca="1" si="7"/>
        <v>0</v>
      </c>
      <c r="S76" s="66">
        <f t="shared" ref="S76:T76" ca="1" si="52">SUM(S77:S90)</f>
        <v>0</v>
      </c>
      <c r="T76" s="101">
        <f t="shared" ca="1" si="52"/>
        <v>0</v>
      </c>
      <c r="U76" s="101">
        <f t="shared" ca="1" si="9"/>
        <v>0</v>
      </c>
      <c r="V76" s="81"/>
      <c r="W76" s="81"/>
      <c r="X76" s="81"/>
      <c r="Y76" s="81"/>
      <c r="Z76" s="81"/>
    </row>
    <row r="77" spans="1:26" ht="24" customHeight="1" x14ac:dyDescent="0.5">
      <c r="A77" s="268">
        <v>1</v>
      </c>
      <c r="B77" s="269" t="s">
        <v>92</v>
      </c>
      <c r="C77" s="270">
        <f t="shared" ref="C77:C90" si="53">+D77+E77</f>
        <v>0</v>
      </c>
      <c r="D77" s="48">
        <v>0</v>
      </c>
      <c r="E77" s="48">
        <v>0</v>
      </c>
      <c r="F77" s="98">
        <f ca="1">IFERROR(__xludf.DUMMYFUNCTION("IMPORTRANGE(""https://docs.google.com/spreadsheets/d/1IYY_tgx_IHuhSq3AJ5eI5OnqOPBNLWSHKh2a30DoXe8/edit?usp=sharing"",""กระบี่!M475"")"),0)</f>
        <v>0</v>
      </c>
      <c r="G77" s="98">
        <f t="shared" si="1"/>
        <v>0</v>
      </c>
      <c r="H77" s="48">
        <v>0</v>
      </c>
      <c r="I77" s="48">
        <v>0</v>
      </c>
      <c r="J77" s="48">
        <f ca="1">IFERROR(__xludf.DUMMYFUNCTION("IMPORTRANGE(""https://docs.google.com/spreadsheets/d/1IYY_tgx_IHuhSq3AJ5eI5OnqOPBNLWSHKh2a30DoXe8/edit?usp=sharing"",""กระบี่!J482"")"),0)</f>
        <v>0</v>
      </c>
      <c r="K77" s="48">
        <f ca="1">IFERROR(__xludf.DUMMYFUNCTION("IMPORTRANGE(""https://docs.google.com/spreadsheets/d/1IYY_tgx_IHuhSq3AJ5eI5OnqOPBNLWSHKh2a30DoXe8/edit?usp=sharing"",""กระบี่!J483"")"),0)</f>
        <v>0</v>
      </c>
      <c r="L77" s="98">
        <f t="shared" si="3"/>
        <v>0</v>
      </c>
      <c r="M77" s="48">
        <f ca="1">IFERROR(__xludf.DUMMYFUNCTION("IMPORTRANGE(""https://docs.google.com/spreadsheets/d/1IYY_tgx_IHuhSq3AJ5eI5OnqOPBNLWSHKh2a30DoXe8/edit?usp=sharing"",""กระบี่!J484"")"),0)</f>
        <v>0</v>
      </c>
      <c r="N77" s="48">
        <f ca="1">IFERROR(__xludf.DUMMYFUNCTION("IMPORTRANGE(""https://docs.google.com/spreadsheets/d/1IYY_tgx_IHuhSq3AJ5eI5OnqOPBNLWSHKh2a30DoXe8/edit?usp=sharing"",""กระบี่!J485"")"),0)</f>
        <v>0</v>
      </c>
      <c r="O77" s="98">
        <f t="shared" si="5"/>
        <v>0</v>
      </c>
      <c r="P77" s="48">
        <f ca="1">IFERROR(__xludf.DUMMYFUNCTION("IMPORTRANGE(""https://docs.google.com/spreadsheets/d/1IYY_tgx_IHuhSq3AJ5eI5OnqOPBNLWSHKh2a30DoXe8/edit?usp=sharing"",""กระบี่!J486"")"),0)</f>
        <v>0</v>
      </c>
      <c r="Q77" s="98">
        <f ca="1">IFERROR(__xludf.DUMMYFUNCTION("IMPORTRANGE(""https://docs.google.com/spreadsheets/d/1IYY_tgx_IHuhSq3AJ5eI5OnqOPBNLWSHKh2a30DoXe8/edit?usp=sharing"",""กระบี่!J487"")"),0)</f>
        <v>0</v>
      </c>
      <c r="R77" s="98">
        <f t="shared" si="7"/>
        <v>0</v>
      </c>
      <c r="S77" s="48">
        <f ca="1">IFERROR(__xludf.DUMMYFUNCTION("IMPORTRANGE(""https://docs.google.com/spreadsheets/d/1IYY_tgx_IHuhSq3AJ5eI5OnqOPBNLWSHKh2a30DoXe8/edit?usp=sharing"",""กระบี่!J488"")"),0)</f>
        <v>0</v>
      </c>
      <c r="T77" s="98">
        <f ca="1">IFERROR(__xludf.DUMMYFUNCTION("IMPORTRANGE(""https://docs.google.com/spreadsheets/d/1IYY_tgx_IHuhSq3AJ5eI5OnqOPBNLWSHKh2a30DoXe8/edit?usp=sharing"",""กระบี่!J489"")"),0)</f>
        <v>0</v>
      </c>
      <c r="U77" s="98">
        <f t="shared" si="9"/>
        <v>0</v>
      </c>
      <c r="V77" s="81"/>
      <c r="W77" s="81"/>
      <c r="X77" s="81"/>
      <c r="Y77" s="81"/>
      <c r="Z77" s="81"/>
    </row>
    <row r="78" spans="1:26" ht="24" customHeight="1" x14ac:dyDescent="0.5">
      <c r="A78" s="273">
        <v>2</v>
      </c>
      <c r="B78" s="274" t="s">
        <v>93</v>
      </c>
      <c r="C78" s="275">
        <f t="shared" si="53"/>
        <v>0</v>
      </c>
      <c r="D78" s="55">
        <v>0</v>
      </c>
      <c r="E78" s="55">
        <v>0</v>
      </c>
      <c r="F78" s="99">
        <f ca="1">IFERROR(__xludf.DUMMYFUNCTION("IMPORTRANGE(""https://docs.google.com/spreadsheets/d/1IYY_tgx_IHuhSq3AJ5eI5OnqOPBNLWSHKh2a30DoXe8/edit?usp=sharing"",""ชุมพร!M475"")"),0)</f>
        <v>0</v>
      </c>
      <c r="G78" s="99">
        <f t="shared" si="1"/>
        <v>0</v>
      </c>
      <c r="H78" s="55">
        <v>0</v>
      </c>
      <c r="I78" s="55">
        <v>0</v>
      </c>
      <c r="J78" s="55">
        <f ca="1">IFERROR(__xludf.DUMMYFUNCTION("IMPORTRANGE(""https://docs.google.com/spreadsheets/d/1IYY_tgx_IHuhSq3AJ5eI5OnqOPBNLWSHKh2a30DoXe8/edit?usp=sharing"",""ชุมพร!J482"")"),0)</f>
        <v>0</v>
      </c>
      <c r="K78" s="55">
        <f ca="1">IFERROR(__xludf.DUMMYFUNCTION("IMPORTRANGE(""https://docs.google.com/spreadsheets/d/1IYY_tgx_IHuhSq3AJ5eI5OnqOPBNLWSHKh2a30DoXe8/edit?usp=sharing"",""ชุมพร!J483"")"),0)</f>
        <v>0</v>
      </c>
      <c r="L78" s="99">
        <f t="shared" si="3"/>
        <v>0</v>
      </c>
      <c r="M78" s="55">
        <f ca="1">IFERROR(__xludf.DUMMYFUNCTION("IMPORTRANGE(""https://docs.google.com/spreadsheets/d/1IYY_tgx_IHuhSq3AJ5eI5OnqOPBNLWSHKh2a30DoXe8/edit?usp=sharing"",""ชุมพร!J484"")"),0)</f>
        <v>0</v>
      </c>
      <c r="N78" s="55">
        <f ca="1">IFERROR(__xludf.DUMMYFUNCTION("IMPORTRANGE(""https://docs.google.com/spreadsheets/d/1IYY_tgx_IHuhSq3AJ5eI5OnqOPBNLWSHKh2a30DoXe8/edit?usp=sharing"",""ชุมพร!J485"")"),0)</f>
        <v>0</v>
      </c>
      <c r="O78" s="99">
        <f t="shared" si="5"/>
        <v>0</v>
      </c>
      <c r="P78" s="55">
        <f ca="1">IFERROR(__xludf.DUMMYFUNCTION("IMPORTRANGE(""https://docs.google.com/spreadsheets/d/1IYY_tgx_IHuhSq3AJ5eI5OnqOPBNLWSHKh2a30DoXe8/edit?usp=sharing"",""ชุมพร!J486"")"),0)</f>
        <v>0</v>
      </c>
      <c r="Q78" s="99">
        <f ca="1">IFERROR(__xludf.DUMMYFUNCTION("IMPORTRANGE(""https://docs.google.com/spreadsheets/d/1IYY_tgx_IHuhSq3AJ5eI5OnqOPBNLWSHKh2a30DoXe8/edit?usp=sharing"",""ชุมพร!J487"")"),0)</f>
        <v>0</v>
      </c>
      <c r="R78" s="99">
        <f t="shared" si="7"/>
        <v>0</v>
      </c>
      <c r="S78" s="55">
        <f ca="1">IFERROR(__xludf.DUMMYFUNCTION("IMPORTRANGE(""https://docs.google.com/spreadsheets/d/1IYY_tgx_IHuhSq3AJ5eI5OnqOPBNLWSHKh2a30DoXe8/edit?usp=sharing"",""ชุมพร!J488"")"),0)</f>
        <v>0</v>
      </c>
      <c r="T78" s="99">
        <f ca="1">IFERROR(__xludf.DUMMYFUNCTION("IMPORTRANGE(""https://docs.google.com/spreadsheets/d/1IYY_tgx_IHuhSq3AJ5eI5OnqOPBNLWSHKh2a30DoXe8/edit?usp=sharing"",""ชุมพร!J489"")"),0)</f>
        <v>0</v>
      </c>
      <c r="U78" s="99">
        <f t="shared" si="9"/>
        <v>0</v>
      </c>
      <c r="V78" s="81"/>
      <c r="W78" s="81"/>
      <c r="X78" s="81"/>
      <c r="Y78" s="81"/>
      <c r="Z78" s="81"/>
    </row>
    <row r="79" spans="1:26" ht="24" customHeight="1" x14ac:dyDescent="0.5">
      <c r="A79" s="273">
        <v>3</v>
      </c>
      <c r="B79" s="274" t="s">
        <v>94</v>
      </c>
      <c r="C79" s="275">
        <f t="shared" si="53"/>
        <v>0</v>
      </c>
      <c r="D79" s="55">
        <v>0</v>
      </c>
      <c r="E79" s="55">
        <v>0</v>
      </c>
      <c r="F79" s="99">
        <f ca="1">IFERROR(__xludf.DUMMYFUNCTION("IMPORTRANGE(""https://docs.google.com/spreadsheets/d/1IYY_tgx_IHuhSq3AJ5eI5OnqOPBNLWSHKh2a30DoXe8/edit?usp=sharing"",""ตรัง!M475"")"),0)</f>
        <v>0</v>
      </c>
      <c r="G79" s="99">
        <f t="shared" si="1"/>
        <v>0</v>
      </c>
      <c r="H79" s="55">
        <v>0</v>
      </c>
      <c r="I79" s="55">
        <v>0</v>
      </c>
      <c r="J79" s="55">
        <f ca="1">IFERROR(__xludf.DUMMYFUNCTION("IMPORTRANGE(""https://docs.google.com/spreadsheets/d/1IYY_tgx_IHuhSq3AJ5eI5OnqOPBNLWSHKh2a30DoXe8/edit?usp=sharing"",""ตรัง!J482"")"),0)</f>
        <v>0</v>
      </c>
      <c r="K79" s="55">
        <f ca="1">IFERROR(__xludf.DUMMYFUNCTION("IMPORTRANGE(""https://docs.google.com/spreadsheets/d/1IYY_tgx_IHuhSq3AJ5eI5OnqOPBNLWSHKh2a30DoXe8/edit?usp=sharing"",""ตรัง!J483"")"),0)</f>
        <v>0</v>
      </c>
      <c r="L79" s="99">
        <f t="shared" si="3"/>
        <v>0</v>
      </c>
      <c r="M79" s="55">
        <f ca="1">IFERROR(__xludf.DUMMYFUNCTION("IMPORTRANGE(""https://docs.google.com/spreadsheets/d/1IYY_tgx_IHuhSq3AJ5eI5OnqOPBNLWSHKh2a30DoXe8/edit?usp=sharing"",""ตรัง!J484"")"),0)</f>
        <v>0</v>
      </c>
      <c r="N79" s="55">
        <f ca="1">IFERROR(__xludf.DUMMYFUNCTION("IMPORTRANGE(""https://docs.google.com/spreadsheets/d/1IYY_tgx_IHuhSq3AJ5eI5OnqOPBNLWSHKh2a30DoXe8/edit?usp=sharing"",""ตรัง!J485"")"),0)</f>
        <v>0</v>
      </c>
      <c r="O79" s="99">
        <f t="shared" si="5"/>
        <v>0</v>
      </c>
      <c r="P79" s="55">
        <f ca="1">IFERROR(__xludf.DUMMYFUNCTION("IMPORTRANGE(""https://docs.google.com/spreadsheets/d/1IYY_tgx_IHuhSq3AJ5eI5OnqOPBNLWSHKh2a30DoXe8/edit?usp=sharing"",""ตรัง!J486"")"),0)</f>
        <v>0</v>
      </c>
      <c r="Q79" s="99">
        <f ca="1">IFERROR(__xludf.DUMMYFUNCTION("IMPORTRANGE(""https://docs.google.com/spreadsheets/d/1IYY_tgx_IHuhSq3AJ5eI5OnqOPBNLWSHKh2a30DoXe8/edit?usp=sharing"",""ตรัง!J487"")"),0)</f>
        <v>0</v>
      </c>
      <c r="R79" s="99">
        <f t="shared" si="7"/>
        <v>0</v>
      </c>
      <c r="S79" s="55">
        <f ca="1">IFERROR(__xludf.DUMMYFUNCTION("IMPORTRANGE(""https://docs.google.com/spreadsheets/d/1IYY_tgx_IHuhSq3AJ5eI5OnqOPBNLWSHKh2a30DoXe8/edit?usp=sharing"",""ตรัง!J488"")"),0)</f>
        <v>0</v>
      </c>
      <c r="T79" s="99">
        <f ca="1">IFERROR(__xludf.DUMMYFUNCTION("IMPORTRANGE(""https://docs.google.com/spreadsheets/d/1IYY_tgx_IHuhSq3AJ5eI5OnqOPBNLWSHKh2a30DoXe8/edit?usp=sharing"",""ตรัง!J489"")"),0)</f>
        <v>0</v>
      </c>
      <c r="U79" s="99">
        <f t="shared" si="9"/>
        <v>0</v>
      </c>
      <c r="V79" s="81"/>
      <c r="W79" s="81"/>
      <c r="X79" s="81"/>
      <c r="Y79" s="81"/>
      <c r="Z79" s="81"/>
    </row>
    <row r="80" spans="1:26" ht="24" customHeight="1" x14ac:dyDescent="0.5">
      <c r="A80" s="273">
        <v>4</v>
      </c>
      <c r="B80" s="274" t="s">
        <v>95</v>
      </c>
      <c r="C80" s="275">
        <f t="shared" si="53"/>
        <v>147178.89000000001</v>
      </c>
      <c r="D80" s="55">
        <v>0</v>
      </c>
      <c r="E80" s="55">
        <v>147178.89000000001</v>
      </c>
      <c r="F80" s="99">
        <f ca="1">IFERROR(__xludf.DUMMYFUNCTION("IMPORTRANGE(""https://docs.google.com/spreadsheets/d/1IYY_tgx_IHuhSq3AJ5eI5OnqOPBNLWSHKh2a30DoXe8/edit?usp=sharing"",""นครศรีธรรมราช!M475"")"),0)</f>
        <v>0</v>
      </c>
      <c r="G80" s="99">
        <f t="shared" ca="1" si="1"/>
        <v>0</v>
      </c>
      <c r="H80" s="55">
        <v>27</v>
      </c>
      <c r="I80" s="55">
        <v>27</v>
      </c>
      <c r="J80" s="55">
        <f ca="1">IFERROR(__xludf.DUMMYFUNCTION("IMPORTRANGE(""https://docs.google.com/spreadsheets/d/1IYY_tgx_IHuhSq3AJ5eI5OnqOPBNLWSHKh2a30DoXe8/edit?usp=sharing"",""นครศรีธรรมราช!J482"")"),0)</f>
        <v>0</v>
      </c>
      <c r="K80" s="55">
        <f ca="1">IFERROR(__xludf.DUMMYFUNCTION("IMPORTRANGE(""https://docs.google.com/spreadsheets/d/1IYY_tgx_IHuhSq3AJ5eI5OnqOPBNLWSHKh2a30DoXe8/edit?usp=sharing"",""นครศรีธรรมราช!J483"")"),0)</f>
        <v>0</v>
      </c>
      <c r="L80" s="99">
        <f t="shared" ca="1" si="3"/>
        <v>0</v>
      </c>
      <c r="M80" s="55">
        <f ca="1">IFERROR(__xludf.DUMMYFUNCTION("IMPORTRANGE(""https://docs.google.com/spreadsheets/d/1IYY_tgx_IHuhSq3AJ5eI5OnqOPBNLWSHKh2a30DoXe8/edit?usp=sharing"",""นครศรีธรรมราช!J484"")"),0)</f>
        <v>0</v>
      </c>
      <c r="N80" s="55">
        <f ca="1">IFERROR(__xludf.DUMMYFUNCTION("IMPORTRANGE(""https://docs.google.com/spreadsheets/d/1IYY_tgx_IHuhSq3AJ5eI5OnqOPBNLWSHKh2a30DoXe8/edit?usp=sharing"",""นครศรีธรรมราช!J485"")"),0)</f>
        <v>0</v>
      </c>
      <c r="O80" s="99">
        <f t="shared" ca="1" si="5"/>
        <v>0</v>
      </c>
      <c r="P80" s="55">
        <f ca="1">IFERROR(__xludf.DUMMYFUNCTION("IMPORTRANGE(""https://docs.google.com/spreadsheets/d/1IYY_tgx_IHuhSq3AJ5eI5OnqOPBNLWSHKh2a30DoXe8/edit?usp=sharing"",""นครศรีธรรมราช!J486"")"),0)</f>
        <v>0</v>
      </c>
      <c r="Q80" s="99">
        <f ca="1">IFERROR(__xludf.DUMMYFUNCTION("IMPORTRANGE(""https://docs.google.com/spreadsheets/d/1IYY_tgx_IHuhSq3AJ5eI5OnqOPBNLWSHKh2a30DoXe8/edit?usp=sharing"",""นครศรีธรรมราช!J487"")"),0)</f>
        <v>0</v>
      </c>
      <c r="R80" s="99">
        <f t="shared" ca="1" si="7"/>
        <v>0</v>
      </c>
      <c r="S80" s="55">
        <f ca="1">IFERROR(__xludf.DUMMYFUNCTION("IMPORTRANGE(""https://docs.google.com/spreadsheets/d/1IYY_tgx_IHuhSq3AJ5eI5OnqOPBNLWSHKh2a30DoXe8/edit?usp=sharing"",""นครศรีธรรมราช!J488"")"),0)</f>
        <v>0</v>
      </c>
      <c r="T80" s="99">
        <f ca="1">IFERROR(__xludf.DUMMYFUNCTION("IMPORTRANGE(""https://docs.google.com/spreadsheets/d/1IYY_tgx_IHuhSq3AJ5eI5OnqOPBNLWSHKh2a30DoXe8/edit?usp=sharing"",""นครศรีธรรมราช!J489"")"),0)</f>
        <v>0</v>
      </c>
      <c r="U80" s="99">
        <f t="shared" ca="1" si="9"/>
        <v>0</v>
      </c>
      <c r="V80" s="81"/>
      <c r="W80" s="81"/>
      <c r="X80" s="81"/>
      <c r="Y80" s="81"/>
      <c r="Z80" s="81"/>
    </row>
    <row r="81" spans="1:26" ht="24" customHeight="1" x14ac:dyDescent="0.5">
      <c r="A81" s="273">
        <v>5</v>
      </c>
      <c r="B81" s="274" t="s">
        <v>96</v>
      </c>
      <c r="C81" s="275">
        <f t="shared" si="53"/>
        <v>0</v>
      </c>
      <c r="D81" s="55">
        <v>0</v>
      </c>
      <c r="E81" s="55">
        <v>0</v>
      </c>
      <c r="F81" s="99">
        <f ca="1">IFERROR(__xludf.DUMMYFUNCTION("IMPORTRANGE(""https://docs.google.com/spreadsheets/d/1IYY_tgx_IHuhSq3AJ5eI5OnqOPBNLWSHKh2a30DoXe8/edit?usp=sharing"",""นราธิวาส!M475"")"),0)</f>
        <v>0</v>
      </c>
      <c r="G81" s="99">
        <f t="shared" si="1"/>
        <v>0</v>
      </c>
      <c r="H81" s="55">
        <v>0</v>
      </c>
      <c r="I81" s="55">
        <v>0</v>
      </c>
      <c r="J81" s="55">
        <f ca="1">IFERROR(__xludf.DUMMYFUNCTION("IMPORTRANGE(""https://docs.google.com/spreadsheets/d/1IYY_tgx_IHuhSq3AJ5eI5OnqOPBNLWSHKh2a30DoXe8/edit?usp=sharing"",""นราธิวาส!J482"")"),0)</f>
        <v>0</v>
      </c>
      <c r="K81" s="55">
        <f ca="1">IFERROR(__xludf.DUMMYFUNCTION("IMPORTRANGE(""https://docs.google.com/spreadsheets/d/1IYY_tgx_IHuhSq3AJ5eI5OnqOPBNLWSHKh2a30DoXe8/edit?usp=sharing"",""นราธิวาส!J483"")"),0)</f>
        <v>0</v>
      </c>
      <c r="L81" s="99">
        <f t="shared" si="3"/>
        <v>0</v>
      </c>
      <c r="M81" s="55">
        <f ca="1">IFERROR(__xludf.DUMMYFUNCTION("IMPORTRANGE(""https://docs.google.com/spreadsheets/d/1IYY_tgx_IHuhSq3AJ5eI5OnqOPBNLWSHKh2a30DoXe8/edit?usp=sharing"",""นราธิวาส!J484"")"),0)</f>
        <v>0</v>
      </c>
      <c r="N81" s="55">
        <f ca="1">IFERROR(__xludf.DUMMYFUNCTION("IMPORTRANGE(""https://docs.google.com/spreadsheets/d/1IYY_tgx_IHuhSq3AJ5eI5OnqOPBNLWSHKh2a30DoXe8/edit?usp=sharing"",""นราธิวาส!J485"")"),0)</f>
        <v>0</v>
      </c>
      <c r="O81" s="99">
        <f t="shared" si="5"/>
        <v>0</v>
      </c>
      <c r="P81" s="55">
        <f ca="1">IFERROR(__xludf.DUMMYFUNCTION("IMPORTRANGE(""https://docs.google.com/spreadsheets/d/1IYY_tgx_IHuhSq3AJ5eI5OnqOPBNLWSHKh2a30DoXe8/edit?usp=sharing"",""นราธิวาส!J486"")"),0)</f>
        <v>0</v>
      </c>
      <c r="Q81" s="99">
        <f ca="1">IFERROR(__xludf.DUMMYFUNCTION("IMPORTRANGE(""https://docs.google.com/spreadsheets/d/1IYY_tgx_IHuhSq3AJ5eI5OnqOPBNLWSHKh2a30DoXe8/edit?usp=sharing"",""นราธิวาส!J487"")"),0)</f>
        <v>0</v>
      </c>
      <c r="R81" s="99">
        <f t="shared" si="7"/>
        <v>0</v>
      </c>
      <c r="S81" s="55">
        <f ca="1">IFERROR(__xludf.DUMMYFUNCTION("IMPORTRANGE(""https://docs.google.com/spreadsheets/d/1IYY_tgx_IHuhSq3AJ5eI5OnqOPBNLWSHKh2a30DoXe8/edit?usp=sharing"",""นราธิวาส!J488"")"),0)</f>
        <v>0</v>
      </c>
      <c r="T81" s="99">
        <f ca="1">IFERROR(__xludf.DUMMYFUNCTION("IMPORTRANGE(""https://docs.google.com/spreadsheets/d/1IYY_tgx_IHuhSq3AJ5eI5OnqOPBNLWSHKh2a30DoXe8/edit?usp=sharing"",""นราธิวาส!J489"")"),0)</f>
        <v>0</v>
      </c>
      <c r="U81" s="99">
        <f t="shared" si="9"/>
        <v>0</v>
      </c>
      <c r="V81" s="81"/>
      <c r="W81" s="81"/>
      <c r="X81" s="81"/>
      <c r="Y81" s="81"/>
      <c r="Z81" s="81"/>
    </row>
    <row r="82" spans="1:26" ht="24" customHeight="1" x14ac:dyDescent="0.5">
      <c r="A82" s="273">
        <v>6</v>
      </c>
      <c r="B82" s="274" t="s">
        <v>97</v>
      </c>
      <c r="C82" s="275">
        <f t="shared" si="53"/>
        <v>0</v>
      </c>
      <c r="D82" s="55">
        <v>0</v>
      </c>
      <c r="E82" s="55">
        <v>0</v>
      </c>
      <c r="F82" s="99">
        <f ca="1">IFERROR(__xludf.DUMMYFUNCTION("IMPORTRANGE(""https://docs.google.com/spreadsheets/d/1IYY_tgx_IHuhSq3AJ5eI5OnqOPBNLWSHKh2a30DoXe8/edit?usp=sharing"",""ปัตตานี!M475"")"),0)</f>
        <v>0</v>
      </c>
      <c r="G82" s="99">
        <f t="shared" si="1"/>
        <v>0</v>
      </c>
      <c r="H82" s="55">
        <v>0</v>
      </c>
      <c r="I82" s="55">
        <v>0</v>
      </c>
      <c r="J82" s="55">
        <f ca="1">IFERROR(__xludf.DUMMYFUNCTION("IMPORTRANGE(""https://docs.google.com/spreadsheets/d/1IYY_tgx_IHuhSq3AJ5eI5OnqOPBNLWSHKh2a30DoXe8/edit?usp=sharing"",""ปัตตานี!J482"")"),0)</f>
        <v>0</v>
      </c>
      <c r="K82" s="55">
        <f ca="1">IFERROR(__xludf.DUMMYFUNCTION("IMPORTRANGE(""https://docs.google.com/spreadsheets/d/1IYY_tgx_IHuhSq3AJ5eI5OnqOPBNLWSHKh2a30DoXe8/edit?usp=sharing"",""ปัตตานี!J483"")"),0)</f>
        <v>0</v>
      </c>
      <c r="L82" s="99">
        <f t="shared" si="3"/>
        <v>0</v>
      </c>
      <c r="M82" s="55">
        <f ca="1">IFERROR(__xludf.DUMMYFUNCTION("IMPORTRANGE(""https://docs.google.com/spreadsheets/d/1IYY_tgx_IHuhSq3AJ5eI5OnqOPBNLWSHKh2a30DoXe8/edit?usp=sharing"",""ปัตตานี!J484"")"),0)</f>
        <v>0</v>
      </c>
      <c r="N82" s="55">
        <f ca="1">IFERROR(__xludf.DUMMYFUNCTION("IMPORTRANGE(""https://docs.google.com/spreadsheets/d/1IYY_tgx_IHuhSq3AJ5eI5OnqOPBNLWSHKh2a30DoXe8/edit?usp=sharing"",""ปัตตานี!J485"")"),0)</f>
        <v>0</v>
      </c>
      <c r="O82" s="99">
        <f t="shared" si="5"/>
        <v>0</v>
      </c>
      <c r="P82" s="55">
        <f ca="1">IFERROR(__xludf.DUMMYFUNCTION("IMPORTRANGE(""https://docs.google.com/spreadsheets/d/1IYY_tgx_IHuhSq3AJ5eI5OnqOPBNLWSHKh2a30DoXe8/edit?usp=sharing"",""ปัตตานี!J486"")"),0)</f>
        <v>0</v>
      </c>
      <c r="Q82" s="99">
        <f ca="1">IFERROR(__xludf.DUMMYFUNCTION("IMPORTRANGE(""https://docs.google.com/spreadsheets/d/1IYY_tgx_IHuhSq3AJ5eI5OnqOPBNLWSHKh2a30DoXe8/edit?usp=sharing"",""ปัตตานี!J487"")"),0)</f>
        <v>0</v>
      </c>
      <c r="R82" s="99">
        <f t="shared" si="7"/>
        <v>0</v>
      </c>
      <c r="S82" s="55">
        <f ca="1">IFERROR(__xludf.DUMMYFUNCTION("IMPORTRANGE(""https://docs.google.com/spreadsheets/d/1IYY_tgx_IHuhSq3AJ5eI5OnqOPBNLWSHKh2a30DoXe8/edit?usp=sharing"",""ปัตตานี!J488"")"),0)</f>
        <v>0</v>
      </c>
      <c r="T82" s="99">
        <f ca="1">IFERROR(__xludf.DUMMYFUNCTION("IMPORTRANGE(""https://docs.google.com/spreadsheets/d/1IYY_tgx_IHuhSq3AJ5eI5OnqOPBNLWSHKh2a30DoXe8/edit?usp=sharing"",""ปัตตานี!J489"")"),0)</f>
        <v>0</v>
      </c>
      <c r="U82" s="99">
        <f t="shared" si="9"/>
        <v>0</v>
      </c>
      <c r="V82" s="81"/>
      <c r="W82" s="81"/>
      <c r="X82" s="81"/>
      <c r="Y82" s="81"/>
      <c r="Z82" s="81"/>
    </row>
    <row r="83" spans="1:26" ht="24" customHeight="1" x14ac:dyDescent="0.5">
      <c r="A83" s="273">
        <v>7</v>
      </c>
      <c r="B83" s="274" t="s">
        <v>98</v>
      </c>
      <c r="C83" s="275">
        <f t="shared" si="53"/>
        <v>0</v>
      </c>
      <c r="D83" s="55">
        <v>0</v>
      </c>
      <c r="E83" s="55">
        <v>0</v>
      </c>
      <c r="F83" s="99">
        <f ca="1">IFERROR(__xludf.DUMMYFUNCTION("IMPORTRANGE(""https://docs.google.com/spreadsheets/d/1IYY_tgx_IHuhSq3AJ5eI5OnqOPBNLWSHKh2a30DoXe8/edit?usp=sharing"",""พังงา!M475"")"),0)</f>
        <v>0</v>
      </c>
      <c r="G83" s="99">
        <f t="shared" si="1"/>
        <v>0</v>
      </c>
      <c r="H83" s="55">
        <v>0</v>
      </c>
      <c r="I83" s="55">
        <v>0</v>
      </c>
      <c r="J83" s="55">
        <f ca="1">IFERROR(__xludf.DUMMYFUNCTION("IMPORTRANGE(""https://docs.google.com/spreadsheets/d/1IYY_tgx_IHuhSq3AJ5eI5OnqOPBNLWSHKh2a30DoXe8/edit?usp=sharing"",""พังงา!J482"")"),0)</f>
        <v>0</v>
      </c>
      <c r="K83" s="55">
        <f ca="1">IFERROR(__xludf.DUMMYFUNCTION("IMPORTRANGE(""https://docs.google.com/spreadsheets/d/1IYY_tgx_IHuhSq3AJ5eI5OnqOPBNLWSHKh2a30DoXe8/edit?usp=sharing"",""พังงา!J483"")"),0)</f>
        <v>0</v>
      </c>
      <c r="L83" s="99">
        <f t="shared" si="3"/>
        <v>0</v>
      </c>
      <c r="M83" s="55">
        <f ca="1">IFERROR(__xludf.DUMMYFUNCTION("IMPORTRANGE(""https://docs.google.com/spreadsheets/d/1IYY_tgx_IHuhSq3AJ5eI5OnqOPBNLWSHKh2a30DoXe8/edit?usp=sharing"",""พังงา!J484"")"),0)</f>
        <v>0</v>
      </c>
      <c r="N83" s="55">
        <f ca="1">IFERROR(__xludf.DUMMYFUNCTION("IMPORTRANGE(""https://docs.google.com/spreadsheets/d/1IYY_tgx_IHuhSq3AJ5eI5OnqOPBNLWSHKh2a30DoXe8/edit?usp=sharing"",""พังงา!J485"")"),0)</f>
        <v>0</v>
      </c>
      <c r="O83" s="99">
        <f t="shared" si="5"/>
        <v>0</v>
      </c>
      <c r="P83" s="55">
        <f ca="1">IFERROR(__xludf.DUMMYFUNCTION("IMPORTRANGE(""https://docs.google.com/spreadsheets/d/1IYY_tgx_IHuhSq3AJ5eI5OnqOPBNLWSHKh2a30DoXe8/edit?usp=sharing"",""พังงา!J486"")"),0)</f>
        <v>0</v>
      </c>
      <c r="Q83" s="99">
        <f ca="1">IFERROR(__xludf.DUMMYFUNCTION("IMPORTRANGE(""https://docs.google.com/spreadsheets/d/1IYY_tgx_IHuhSq3AJ5eI5OnqOPBNLWSHKh2a30DoXe8/edit?usp=sharing"",""พังงา!J487"")"),0)</f>
        <v>0</v>
      </c>
      <c r="R83" s="99">
        <f t="shared" si="7"/>
        <v>0</v>
      </c>
      <c r="S83" s="55">
        <f ca="1">IFERROR(__xludf.DUMMYFUNCTION("IMPORTRANGE(""https://docs.google.com/spreadsheets/d/1IYY_tgx_IHuhSq3AJ5eI5OnqOPBNLWSHKh2a30DoXe8/edit?usp=sharing"",""พังงา!J488"")"),0)</f>
        <v>0</v>
      </c>
      <c r="T83" s="99">
        <f ca="1">IFERROR(__xludf.DUMMYFUNCTION("IMPORTRANGE(""https://docs.google.com/spreadsheets/d/1IYY_tgx_IHuhSq3AJ5eI5OnqOPBNLWSHKh2a30DoXe8/edit?usp=sharing"",""พังงา!J489"")"),0)</f>
        <v>0</v>
      </c>
      <c r="U83" s="99">
        <f t="shared" si="9"/>
        <v>0</v>
      </c>
      <c r="V83" s="81"/>
      <c r="W83" s="81"/>
      <c r="X83" s="81"/>
      <c r="Y83" s="81"/>
      <c r="Z83" s="81"/>
    </row>
    <row r="84" spans="1:26" ht="24" customHeight="1" x14ac:dyDescent="0.5">
      <c r="A84" s="273">
        <v>8</v>
      </c>
      <c r="B84" s="274" t="s">
        <v>99</v>
      </c>
      <c r="C84" s="275">
        <f t="shared" si="53"/>
        <v>143798.15</v>
      </c>
      <c r="D84" s="55">
        <v>0</v>
      </c>
      <c r="E84" s="55">
        <v>143798.15</v>
      </c>
      <c r="F84" s="99">
        <f ca="1">IFERROR(__xludf.DUMMYFUNCTION("IMPORTRANGE(""https://docs.google.com/spreadsheets/d/1IYY_tgx_IHuhSq3AJ5eI5OnqOPBNLWSHKh2a30DoXe8/edit?usp=sharing"",""พัทลุง!M475"")"),0)</f>
        <v>0</v>
      </c>
      <c r="G84" s="99">
        <f t="shared" ca="1" si="1"/>
        <v>0</v>
      </c>
      <c r="H84" s="55">
        <v>45</v>
      </c>
      <c r="I84" s="55">
        <v>45</v>
      </c>
      <c r="J84" s="55">
        <f ca="1">IFERROR(__xludf.DUMMYFUNCTION("IMPORTRANGE(""https://docs.google.com/spreadsheets/d/1IYY_tgx_IHuhSq3AJ5eI5OnqOPBNLWSHKh2a30DoXe8/edit?usp=sharing"",""พัทลุง!J482"")"),0)</f>
        <v>0</v>
      </c>
      <c r="K84" s="55">
        <f ca="1">IFERROR(__xludf.DUMMYFUNCTION("IMPORTRANGE(""https://docs.google.com/spreadsheets/d/1IYY_tgx_IHuhSq3AJ5eI5OnqOPBNLWSHKh2a30DoXe8/edit?usp=sharing"",""พัทลุง!J483"")"),0)</f>
        <v>0</v>
      </c>
      <c r="L84" s="99">
        <f t="shared" ca="1" si="3"/>
        <v>0</v>
      </c>
      <c r="M84" s="55">
        <f ca="1">IFERROR(__xludf.DUMMYFUNCTION("IMPORTRANGE(""https://docs.google.com/spreadsheets/d/1IYY_tgx_IHuhSq3AJ5eI5OnqOPBNLWSHKh2a30DoXe8/edit?usp=sharing"",""พัทลุง!J484"")"),0)</f>
        <v>0</v>
      </c>
      <c r="N84" s="55">
        <f ca="1">IFERROR(__xludf.DUMMYFUNCTION("IMPORTRANGE(""https://docs.google.com/spreadsheets/d/1IYY_tgx_IHuhSq3AJ5eI5OnqOPBNLWSHKh2a30DoXe8/edit?usp=sharing"",""พัทลุง!J485"")"),0)</f>
        <v>0</v>
      </c>
      <c r="O84" s="99">
        <f t="shared" ca="1" si="5"/>
        <v>0</v>
      </c>
      <c r="P84" s="55">
        <f ca="1">IFERROR(__xludf.DUMMYFUNCTION("IMPORTRANGE(""https://docs.google.com/spreadsheets/d/1IYY_tgx_IHuhSq3AJ5eI5OnqOPBNLWSHKh2a30DoXe8/edit?usp=sharing"",""พัทลุง!J486"")"),0)</f>
        <v>0</v>
      </c>
      <c r="Q84" s="99">
        <f ca="1">IFERROR(__xludf.DUMMYFUNCTION("IMPORTRANGE(""https://docs.google.com/spreadsheets/d/1IYY_tgx_IHuhSq3AJ5eI5OnqOPBNLWSHKh2a30DoXe8/edit?usp=sharing"",""พัทลุง!J487"")"),0)</f>
        <v>0</v>
      </c>
      <c r="R84" s="99">
        <f t="shared" ca="1" si="7"/>
        <v>0</v>
      </c>
      <c r="S84" s="55">
        <f ca="1">IFERROR(__xludf.DUMMYFUNCTION("IMPORTRANGE(""https://docs.google.com/spreadsheets/d/1IYY_tgx_IHuhSq3AJ5eI5OnqOPBNLWSHKh2a30DoXe8/edit?usp=sharing"",""พัทลุง!J488"")"),0)</f>
        <v>0</v>
      </c>
      <c r="T84" s="99">
        <f ca="1">IFERROR(__xludf.DUMMYFUNCTION("IMPORTRANGE(""https://docs.google.com/spreadsheets/d/1IYY_tgx_IHuhSq3AJ5eI5OnqOPBNLWSHKh2a30DoXe8/edit?usp=sharing"",""พัทลุง!J489"")"),0)</f>
        <v>0</v>
      </c>
      <c r="U84" s="99">
        <f t="shared" ca="1" si="9"/>
        <v>0</v>
      </c>
      <c r="V84" s="81"/>
      <c r="W84" s="81"/>
      <c r="X84" s="81"/>
      <c r="Y84" s="81"/>
      <c r="Z84" s="81"/>
    </row>
    <row r="85" spans="1:26" ht="24" customHeight="1" x14ac:dyDescent="0.5">
      <c r="A85" s="273">
        <v>9</v>
      </c>
      <c r="B85" s="274" t="s">
        <v>100</v>
      </c>
      <c r="C85" s="275">
        <f t="shared" si="53"/>
        <v>0</v>
      </c>
      <c r="D85" s="55">
        <v>0</v>
      </c>
      <c r="E85" s="55">
        <v>0</v>
      </c>
      <c r="F85" s="99">
        <f ca="1">IFERROR(__xludf.DUMMYFUNCTION("IMPORTRANGE(""https://docs.google.com/spreadsheets/d/1IYY_tgx_IHuhSq3AJ5eI5OnqOPBNLWSHKh2a30DoXe8/edit?usp=sharing"",""ภูเก็ต!M475"")"),0)</f>
        <v>0</v>
      </c>
      <c r="G85" s="99">
        <f t="shared" si="1"/>
        <v>0</v>
      </c>
      <c r="H85" s="55">
        <v>0</v>
      </c>
      <c r="I85" s="55">
        <v>0</v>
      </c>
      <c r="J85" s="55">
        <f ca="1">IFERROR(__xludf.DUMMYFUNCTION("IMPORTRANGE(""https://docs.google.com/spreadsheets/d/1IYY_tgx_IHuhSq3AJ5eI5OnqOPBNLWSHKh2a30DoXe8/edit?usp=sharing"",""ภูเก็ต!J482"")"),0)</f>
        <v>0</v>
      </c>
      <c r="K85" s="55">
        <f ca="1">IFERROR(__xludf.DUMMYFUNCTION("IMPORTRANGE(""https://docs.google.com/spreadsheets/d/1IYY_tgx_IHuhSq3AJ5eI5OnqOPBNLWSHKh2a30DoXe8/edit?usp=sharing"",""ภูเก็ต!J483"")"),0)</f>
        <v>0</v>
      </c>
      <c r="L85" s="99">
        <f t="shared" si="3"/>
        <v>0</v>
      </c>
      <c r="M85" s="55">
        <f ca="1">IFERROR(__xludf.DUMMYFUNCTION("IMPORTRANGE(""https://docs.google.com/spreadsheets/d/1IYY_tgx_IHuhSq3AJ5eI5OnqOPBNLWSHKh2a30DoXe8/edit?usp=sharing"",""ภูเก็ต!J484"")"),0)</f>
        <v>0</v>
      </c>
      <c r="N85" s="55">
        <f ca="1">IFERROR(__xludf.DUMMYFUNCTION("IMPORTRANGE(""https://docs.google.com/spreadsheets/d/1IYY_tgx_IHuhSq3AJ5eI5OnqOPBNLWSHKh2a30DoXe8/edit?usp=sharing"",""ภูเก็ต!J485"")"),0)</f>
        <v>0</v>
      </c>
      <c r="O85" s="99">
        <f t="shared" si="5"/>
        <v>0</v>
      </c>
      <c r="P85" s="55">
        <f ca="1">IFERROR(__xludf.DUMMYFUNCTION("IMPORTRANGE(""https://docs.google.com/spreadsheets/d/1IYY_tgx_IHuhSq3AJ5eI5OnqOPBNLWSHKh2a30DoXe8/edit?usp=sharing"",""ภูเก็ต!J486"")"),0)</f>
        <v>0</v>
      </c>
      <c r="Q85" s="99">
        <f ca="1">IFERROR(__xludf.DUMMYFUNCTION("IMPORTRANGE(""https://docs.google.com/spreadsheets/d/1IYY_tgx_IHuhSq3AJ5eI5OnqOPBNLWSHKh2a30DoXe8/edit?usp=sharing"",""ภูเก็ต!J487"")"),0)</f>
        <v>0</v>
      </c>
      <c r="R85" s="99">
        <f t="shared" si="7"/>
        <v>0</v>
      </c>
      <c r="S85" s="55">
        <f ca="1">IFERROR(__xludf.DUMMYFUNCTION("IMPORTRANGE(""https://docs.google.com/spreadsheets/d/1IYY_tgx_IHuhSq3AJ5eI5OnqOPBNLWSHKh2a30DoXe8/edit?usp=sharing"",""ภูเก็ต!J488"")"),0)</f>
        <v>0</v>
      </c>
      <c r="T85" s="99">
        <f ca="1">IFERROR(__xludf.DUMMYFUNCTION("IMPORTRANGE(""https://docs.google.com/spreadsheets/d/1IYY_tgx_IHuhSq3AJ5eI5OnqOPBNLWSHKh2a30DoXe8/edit?usp=sharing"",""ภูเก็ต!J489"")"),0)</f>
        <v>0</v>
      </c>
      <c r="U85" s="99">
        <f t="shared" si="9"/>
        <v>0</v>
      </c>
      <c r="V85" s="81"/>
      <c r="W85" s="81"/>
      <c r="X85" s="81"/>
      <c r="Y85" s="81"/>
      <c r="Z85" s="81"/>
    </row>
    <row r="86" spans="1:26" ht="24" customHeight="1" x14ac:dyDescent="0.5">
      <c r="A86" s="273">
        <v>10</v>
      </c>
      <c r="B86" s="274" t="s">
        <v>101</v>
      </c>
      <c r="C86" s="275">
        <f t="shared" si="53"/>
        <v>0</v>
      </c>
      <c r="D86" s="55">
        <v>0</v>
      </c>
      <c r="E86" s="55">
        <v>0</v>
      </c>
      <c r="F86" s="99">
        <f ca="1">IFERROR(__xludf.DUMMYFUNCTION("IMPORTRANGE(""https://docs.google.com/spreadsheets/d/1IYY_tgx_IHuhSq3AJ5eI5OnqOPBNLWSHKh2a30DoXe8/edit?usp=sharing"",""ยะลา!M475"")"),0)</f>
        <v>0</v>
      </c>
      <c r="G86" s="99">
        <f t="shared" si="1"/>
        <v>0</v>
      </c>
      <c r="H86" s="55">
        <v>0</v>
      </c>
      <c r="I86" s="55">
        <v>0</v>
      </c>
      <c r="J86" s="55">
        <f ca="1">IFERROR(__xludf.DUMMYFUNCTION("IMPORTRANGE(""https://docs.google.com/spreadsheets/d/1IYY_tgx_IHuhSq3AJ5eI5OnqOPBNLWSHKh2a30DoXe8/edit?usp=sharing"",""ยะลา!J482"")"),0)</f>
        <v>0</v>
      </c>
      <c r="K86" s="55">
        <f ca="1">IFERROR(__xludf.DUMMYFUNCTION("IMPORTRANGE(""https://docs.google.com/spreadsheets/d/1IYY_tgx_IHuhSq3AJ5eI5OnqOPBNLWSHKh2a30DoXe8/edit?usp=sharing"",""ยะลา!J483"")"),0)</f>
        <v>0</v>
      </c>
      <c r="L86" s="99">
        <f t="shared" si="3"/>
        <v>0</v>
      </c>
      <c r="M86" s="55">
        <f ca="1">IFERROR(__xludf.DUMMYFUNCTION("IMPORTRANGE(""https://docs.google.com/spreadsheets/d/1IYY_tgx_IHuhSq3AJ5eI5OnqOPBNLWSHKh2a30DoXe8/edit?usp=sharing"",""ยะลา!J484"")"),0)</f>
        <v>0</v>
      </c>
      <c r="N86" s="55">
        <f ca="1">IFERROR(__xludf.DUMMYFUNCTION("IMPORTRANGE(""https://docs.google.com/spreadsheets/d/1IYY_tgx_IHuhSq3AJ5eI5OnqOPBNLWSHKh2a30DoXe8/edit?usp=sharing"",""ยะลา!J485"")"),0)</f>
        <v>0</v>
      </c>
      <c r="O86" s="99">
        <f t="shared" si="5"/>
        <v>0</v>
      </c>
      <c r="P86" s="55">
        <f ca="1">IFERROR(__xludf.DUMMYFUNCTION("IMPORTRANGE(""https://docs.google.com/spreadsheets/d/1IYY_tgx_IHuhSq3AJ5eI5OnqOPBNLWSHKh2a30DoXe8/edit?usp=sharing"",""ยะลา!J486"")"),0)</f>
        <v>0</v>
      </c>
      <c r="Q86" s="99">
        <f ca="1">IFERROR(__xludf.DUMMYFUNCTION("IMPORTRANGE(""https://docs.google.com/spreadsheets/d/1IYY_tgx_IHuhSq3AJ5eI5OnqOPBNLWSHKh2a30DoXe8/edit?usp=sharing"",""ยะลา!J487"")"),0)</f>
        <v>0</v>
      </c>
      <c r="R86" s="99">
        <f t="shared" si="7"/>
        <v>0</v>
      </c>
      <c r="S86" s="55">
        <f ca="1">IFERROR(__xludf.DUMMYFUNCTION("IMPORTRANGE(""https://docs.google.com/spreadsheets/d/1IYY_tgx_IHuhSq3AJ5eI5OnqOPBNLWSHKh2a30DoXe8/edit?usp=sharing"",""ยะลา!J488"")"),0)</f>
        <v>0</v>
      </c>
      <c r="T86" s="99">
        <f ca="1">IFERROR(__xludf.DUMMYFUNCTION("IMPORTRANGE(""https://docs.google.com/spreadsheets/d/1IYY_tgx_IHuhSq3AJ5eI5OnqOPBNLWSHKh2a30DoXe8/edit?usp=sharing"",""ยะลา!J489"")"),0)</f>
        <v>0</v>
      </c>
      <c r="U86" s="99">
        <f t="shared" si="9"/>
        <v>0</v>
      </c>
      <c r="V86" s="81"/>
      <c r="W86" s="81"/>
      <c r="X86" s="81"/>
      <c r="Y86" s="81"/>
      <c r="Z86" s="81"/>
    </row>
    <row r="87" spans="1:26" ht="24" customHeight="1" x14ac:dyDescent="0.5">
      <c r="A87" s="273">
        <v>11</v>
      </c>
      <c r="B87" s="274" t="s">
        <v>102</v>
      </c>
      <c r="C87" s="275">
        <f t="shared" si="53"/>
        <v>0</v>
      </c>
      <c r="D87" s="55">
        <v>0</v>
      </c>
      <c r="E87" s="55">
        <v>0</v>
      </c>
      <c r="F87" s="99">
        <f ca="1">IFERROR(__xludf.DUMMYFUNCTION("IMPORTRANGE(""https://docs.google.com/spreadsheets/d/1IYY_tgx_IHuhSq3AJ5eI5OnqOPBNLWSHKh2a30DoXe8/edit?usp=sharing"",""ระนอง!M475"")"),0)</f>
        <v>0</v>
      </c>
      <c r="G87" s="99">
        <f t="shared" si="1"/>
        <v>0</v>
      </c>
      <c r="H87" s="55">
        <v>0</v>
      </c>
      <c r="I87" s="55">
        <v>0</v>
      </c>
      <c r="J87" s="55">
        <f ca="1">IFERROR(__xludf.DUMMYFUNCTION("IMPORTRANGE(""https://docs.google.com/spreadsheets/d/1IYY_tgx_IHuhSq3AJ5eI5OnqOPBNLWSHKh2a30DoXe8/edit?usp=sharing"",""ระนอง!J482"")"),0)</f>
        <v>0</v>
      </c>
      <c r="K87" s="55">
        <f ca="1">IFERROR(__xludf.DUMMYFUNCTION("IMPORTRANGE(""https://docs.google.com/spreadsheets/d/1IYY_tgx_IHuhSq3AJ5eI5OnqOPBNLWSHKh2a30DoXe8/edit?usp=sharing"",""ระนอง!J483"")"),0)</f>
        <v>0</v>
      </c>
      <c r="L87" s="99">
        <f t="shared" si="3"/>
        <v>0</v>
      </c>
      <c r="M87" s="55">
        <f ca="1">IFERROR(__xludf.DUMMYFUNCTION("IMPORTRANGE(""https://docs.google.com/spreadsheets/d/1IYY_tgx_IHuhSq3AJ5eI5OnqOPBNLWSHKh2a30DoXe8/edit?usp=sharing"",""ระนอง!J484"")"),0)</f>
        <v>0</v>
      </c>
      <c r="N87" s="55">
        <f ca="1">IFERROR(__xludf.DUMMYFUNCTION("IMPORTRANGE(""https://docs.google.com/spreadsheets/d/1IYY_tgx_IHuhSq3AJ5eI5OnqOPBNLWSHKh2a30DoXe8/edit?usp=sharing"",""ระนอง!J485"")"),0)</f>
        <v>0</v>
      </c>
      <c r="O87" s="99">
        <f t="shared" si="5"/>
        <v>0</v>
      </c>
      <c r="P87" s="55">
        <f ca="1">IFERROR(__xludf.DUMMYFUNCTION("IMPORTRANGE(""https://docs.google.com/spreadsheets/d/1IYY_tgx_IHuhSq3AJ5eI5OnqOPBNLWSHKh2a30DoXe8/edit?usp=sharing"",""ระนอง!J486"")"),0)</f>
        <v>0</v>
      </c>
      <c r="Q87" s="99">
        <f ca="1">IFERROR(__xludf.DUMMYFUNCTION("IMPORTRANGE(""https://docs.google.com/spreadsheets/d/1IYY_tgx_IHuhSq3AJ5eI5OnqOPBNLWSHKh2a30DoXe8/edit?usp=sharing"",""ระนอง!J487"")"),0)</f>
        <v>0</v>
      </c>
      <c r="R87" s="99">
        <f t="shared" si="7"/>
        <v>0</v>
      </c>
      <c r="S87" s="55">
        <f ca="1">IFERROR(__xludf.DUMMYFUNCTION("IMPORTRANGE(""https://docs.google.com/spreadsheets/d/1IYY_tgx_IHuhSq3AJ5eI5OnqOPBNLWSHKh2a30DoXe8/edit?usp=sharing"",""ระนอง!J488"")"),0)</f>
        <v>0</v>
      </c>
      <c r="T87" s="99">
        <f ca="1">IFERROR(__xludf.DUMMYFUNCTION("IMPORTRANGE(""https://docs.google.com/spreadsheets/d/1IYY_tgx_IHuhSq3AJ5eI5OnqOPBNLWSHKh2a30DoXe8/edit?usp=sharing"",""ระนอง!J489"")"),0)</f>
        <v>0</v>
      </c>
      <c r="U87" s="99">
        <f t="shared" si="9"/>
        <v>0</v>
      </c>
      <c r="V87" s="81"/>
      <c r="W87" s="81"/>
      <c r="X87" s="81"/>
      <c r="Y87" s="81"/>
      <c r="Z87" s="81"/>
    </row>
    <row r="88" spans="1:26" ht="24" customHeight="1" x14ac:dyDescent="0.5">
      <c r="A88" s="273">
        <v>12</v>
      </c>
      <c r="B88" s="274" t="s">
        <v>103</v>
      </c>
      <c r="C88" s="275">
        <f t="shared" si="53"/>
        <v>376635.4</v>
      </c>
      <c r="D88" s="55">
        <v>0</v>
      </c>
      <c r="E88" s="55">
        <v>376635.4</v>
      </c>
      <c r="F88" s="99">
        <f ca="1">IFERROR(__xludf.DUMMYFUNCTION("IMPORTRANGE(""https://docs.google.com/spreadsheets/d/1IYY_tgx_IHuhSq3AJ5eI5OnqOPBNLWSHKh2a30DoXe8/edit?usp=sharing"",""สงขลา!M475"")"),9935)</f>
        <v>9935</v>
      </c>
      <c r="G88" s="99">
        <f t="shared" ca="1" si="1"/>
        <v>2.6378295826680125</v>
      </c>
      <c r="H88" s="55">
        <v>220</v>
      </c>
      <c r="I88" s="55">
        <v>220</v>
      </c>
      <c r="J88" s="55">
        <f ca="1">IFERROR(__xludf.DUMMYFUNCTION("IMPORTRANGE(""https://docs.google.com/spreadsheets/d/1IYY_tgx_IHuhSq3AJ5eI5OnqOPBNLWSHKh2a30DoXe8/edit?usp=sharing"",""สงขลา!J482"")"),0)</f>
        <v>0</v>
      </c>
      <c r="K88" s="55">
        <f ca="1">IFERROR(__xludf.DUMMYFUNCTION("IMPORTRANGE(""https://docs.google.com/spreadsheets/d/1IYY_tgx_IHuhSq3AJ5eI5OnqOPBNLWSHKh2a30DoXe8/edit?usp=sharing"",""สงขลา!J483"")"),0)</f>
        <v>0</v>
      </c>
      <c r="L88" s="99">
        <f t="shared" ca="1" si="3"/>
        <v>0</v>
      </c>
      <c r="M88" s="55">
        <f ca="1">IFERROR(__xludf.DUMMYFUNCTION("IMPORTRANGE(""https://docs.google.com/spreadsheets/d/1IYY_tgx_IHuhSq3AJ5eI5OnqOPBNLWSHKh2a30DoXe8/edit?usp=sharing"",""สงขลา!J484"")"),0)</f>
        <v>0</v>
      </c>
      <c r="N88" s="55">
        <f ca="1">IFERROR(__xludf.DUMMYFUNCTION("IMPORTRANGE(""https://docs.google.com/spreadsheets/d/1IYY_tgx_IHuhSq3AJ5eI5OnqOPBNLWSHKh2a30DoXe8/edit?usp=sharing"",""สงขลา!J485"")"),0)</f>
        <v>0</v>
      </c>
      <c r="O88" s="99">
        <f t="shared" ca="1" si="5"/>
        <v>0</v>
      </c>
      <c r="P88" s="55">
        <f ca="1">IFERROR(__xludf.DUMMYFUNCTION("IMPORTRANGE(""https://docs.google.com/spreadsheets/d/1IYY_tgx_IHuhSq3AJ5eI5OnqOPBNLWSHKh2a30DoXe8/edit?usp=sharing"",""สงขลา!J486"")"),0)</f>
        <v>0</v>
      </c>
      <c r="Q88" s="99">
        <f ca="1">IFERROR(__xludf.DUMMYFUNCTION("IMPORTRANGE(""https://docs.google.com/spreadsheets/d/1IYY_tgx_IHuhSq3AJ5eI5OnqOPBNLWSHKh2a30DoXe8/edit?usp=sharing"",""สงขลา!J487"")"),0)</f>
        <v>0</v>
      </c>
      <c r="R88" s="99">
        <f t="shared" ca="1" si="7"/>
        <v>0</v>
      </c>
      <c r="S88" s="55">
        <f ca="1">IFERROR(__xludf.DUMMYFUNCTION("IMPORTRANGE(""https://docs.google.com/spreadsheets/d/1IYY_tgx_IHuhSq3AJ5eI5OnqOPBNLWSHKh2a30DoXe8/edit?usp=sharing"",""สงขลา!J488"")"),0)</f>
        <v>0</v>
      </c>
      <c r="T88" s="99">
        <f ca="1">IFERROR(__xludf.DUMMYFUNCTION("IMPORTRANGE(""https://docs.google.com/spreadsheets/d/1IYY_tgx_IHuhSq3AJ5eI5OnqOPBNLWSHKh2a30DoXe8/edit?usp=sharing"",""สงขลา!J489"")"),0)</f>
        <v>0</v>
      </c>
      <c r="U88" s="99">
        <f t="shared" ca="1" si="9"/>
        <v>0</v>
      </c>
      <c r="V88" s="81"/>
      <c r="W88" s="81"/>
      <c r="X88" s="81"/>
      <c r="Y88" s="81"/>
      <c r="Z88" s="81"/>
    </row>
    <row r="89" spans="1:26" ht="24" customHeight="1" x14ac:dyDescent="0.5">
      <c r="A89" s="273">
        <v>13</v>
      </c>
      <c r="B89" s="274" t="s">
        <v>104</v>
      </c>
      <c r="C89" s="275">
        <f t="shared" si="53"/>
        <v>0</v>
      </c>
      <c r="D89" s="55">
        <v>0</v>
      </c>
      <c r="E89" s="55">
        <v>0</v>
      </c>
      <c r="F89" s="99">
        <f ca="1">IFERROR(__xludf.DUMMYFUNCTION("IMPORTRANGE(""https://docs.google.com/spreadsheets/d/1IYY_tgx_IHuhSq3AJ5eI5OnqOPBNLWSHKh2a30DoXe8/edit?usp=sharing"",""สตูล!M475"")"),0)</f>
        <v>0</v>
      </c>
      <c r="G89" s="99">
        <f t="shared" si="1"/>
        <v>0</v>
      </c>
      <c r="H89" s="55">
        <v>0</v>
      </c>
      <c r="I89" s="55">
        <v>0</v>
      </c>
      <c r="J89" s="55">
        <f ca="1">IFERROR(__xludf.DUMMYFUNCTION("IMPORTRANGE(""https://docs.google.com/spreadsheets/d/1IYY_tgx_IHuhSq3AJ5eI5OnqOPBNLWSHKh2a30DoXe8/edit?usp=sharing"",""สตูล!J482"")"),0)</f>
        <v>0</v>
      </c>
      <c r="K89" s="55">
        <f ca="1">IFERROR(__xludf.DUMMYFUNCTION("IMPORTRANGE(""https://docs.google.com/spreadsheets/d/1IYY_tgx_IHuhSq3AJ5eI5OnqOPBNLWSHKh2a30DoXe8/edit?usp=sharing"",""สตูล!J483"")"),0)</f>
        <v>0</v>
      </c>
      <c r="L89" s="99">
        <f t="shared" si="3"/>
        <v>0</v>
      </c>
      <c r="M89" s="55">
        <f ca="1">IFERROR(__xludf.DUMMYFUNCTION("IMPORTRANGE(""https://docs.google.com/spreadsheets/d/1IYY_tgx_IHuhSq3AJ5eI5OnqOPBNLWSHKh2a30DoXe8/edit?usp=sharing"",""สตูล!J484"")"),0)</f>
        <v>0</v>
      </c>
      <c r="N89" s="55">
        <f ca="1">IFERROR(__xludf.DUMMYFUNCTION("IMPORTRANGE(""https://docs.google.com/spreadsheets/d/1IYY_tgx_IHuhSq3AJ5eI5OnqOPBNLWSHKh2a30DoXe8/edit?usp=sharing"",""สตูล!J485"")"),0)</f>
        <v>0</v>
      </c>
      <c r="O89" s="99">
        <f t="shared" si="5"/>
        <v>0</v>
      </c>
      <c r="P89" s="55">
        <f ca="1">IFERROR(__xludf.DUMMYFUNCTION("IMPORTRANGE(""https://docs.google.com/spreadsheets/d/1IYY_tgx_IHuhSq3AJ5eI5OnqOPBNLWSHKh2a30DoXe8/edit?usp=sharing"",""สตูล!J486"")"),0)</f>
        <v>0</v>
      </c>
      <c r="Q89" s="99">
        <f ca="1">IFERROR(__xludf.DUMMYFUNCTION("IMPORTRANGE(""https://docs.google.com/spreadsheets/d/1IYY_tgx_IHuhSq3AJ5eI5OnqOPBNLWSHKh2a30DoXe8/edit?usp=sharing"",""สตูล!J487"")"),0)</f>
        <v>0</v>
      </c>
      <c r="R89" s="99">
        <f t="shared" si="7"/>
        <v>0</v>
      </c>
      <c r="S89" s="55">
        <f ca="1">IFERROR(__xludf.DUMMYFUNCTION("IMPORTRANGE(""https://docs.google.com/spreadsheets/d/1IYY_tgx_IHuhSq3AJ5eI5OnqOPBNLWSHKh2a30DoXe8/edit?usp=sharing"",""สตูล!J488"")"),0)</f>
        <v>0</v>
      </c>
      <c r="T89" s="99">
        <f ca="1">IFERROR(__xludf.DUMMYFUNCTION("IMPORTRANGE(""https://docs.google.com/spreadsheets/d/1IYY_tgx_IHuhSq3AJ5eI5OnqOPBNLWSHKh2a30DoXe8/edit?usp=sharing"",""สตูล!J489"")"),0)</f>
        <v>0</v>
      </c>
      <c r="U89" s="99">
        <f t="shared" si="9"/>
        <v>0</v>
      </c>
      <c r="V89" s="81"/>
      <c r="W89" s="81"/>
      <c r="X89" s="81"/>
      <c r="Y89" s="81"/>
      <c r="Z89" s="81"/>
    </row>
    <row r="90" spans="1:26" ht="24" customHeight="1" x14ac:dyDescent="0.5">
      <c r="A90" s="278">
        <v>14</v>
      </c>
      <c r="B90" s="279" t="s">
        <v>105</v>
      </c>
      <c r="C90" s="280">
        <f t="shared" si="53"/>
        <v>0</v>
      </c>
      <c r="D90" s="62">
        <v>0</v>
      </c>
      <c r="E90" s="62">
        <v>0</v>
      </c>
      <c r="F90" s="100">
        <f ca="1">IFERROR(__xludf.DUMMYFUNCTION("IMPORTRANGE(""https://docs.google.com/spreadsheets/d/1IYY_tgx_IHuhSq3AJ5eI5OnqOPBNLWSHKh2a30DoXe8/edit?usp=sharing"",""สุราษฎร์ธานี!M475"")"),0)</f>
        <v>0</v>
      </c>
      <c r="G90" s="100">
        <f t="shared" si="1"/>
        <v>0</v>
      </c>
      <c r="H90" s="62">
        <v>0</v>
      </c>
      <c r="I90" s="62">
        <v>0</v>
      </c>
      <c r="J90" s="62">
        <f ca="1">IFERROR(__xludf.DUMMYFUNCTION("IMPORTRANGE(""https://docs.google.com/spreadsheets/d/1IYY_tgx_IHuhSq3AJ5eI5OnqOPBNLWSHKh2a30DoXe8/edit?usp=sharing"",""สุราษฎร์ธานี!J482"")"),0)</f>
        <v>0</v>
      </c>
      <c r="K90" s="62">
        <f ca="1">IFERROR(__xludf.DUMMYFUNCTION("IMPORTRANGE(""https://docs.google.com/spreadsheets/d/1IYY_tgx_IHuhSq3AJ5eI5OnqOPBNLWSHKh2a30DoXe8/edit?usp=sharing"",""สุราษฎร์ธานี!J483"")"),0)</f>
        <v>0</v>
      </c>
      <c r="L90" s="100">
        <f t="shared" si="3"/>
        <v>0</v>
      </c>
      <c r="M90" s="62">
        <f ca="1">IFERROR(__xludf.DUMMYFUNCTION("IMPORTRANGE(""https://docs.google.com/spreadsheets/d/1IYY_tgx_IHuhSq3AJ5eI5OnqOPBNLWSHKh2a30DoXe8/edit?usp=sharing"",""สุราษฎร์ธานี!J484"")"),0)</f>
        <v>0</v>
      </c>
      <c r="N90" s="62">
        <f ca="1">IFERROR(__xludf.DUMMYFUNCTION("IMPORTRANGE(""https://docs.google.com/spreadsheets/d/1IYY_tgx_IHuhSq3AJ5eI5OnqOPBNLWSHKh2a30DoXe8/edit?usp=sharing"",""สุราษฎร์ธานี!J485"")"),0)</f>
        <v>0</v>
      </c>
      <c r="O90" s="100">
        <f t="shared" si="5"/>
        <v>0</v>
      </c>
      <c r="P90" s="62">
        <f ca="1">IFERROR(__xludf.DUMMYFUNCTION("IMPORTRANGE(""https://docs.google.com/spreadsheets/d/1IYY_tgx_IHuhSq3AJ5eI5OnqOPBNLWSHKh2a30DoXe8/edit?usp=sharing"",""สุราษฎร์ธานี!J486"")"),0)</f>
        <v>0</v>
      </c>
      <c r="Q90" s="100">
        <f ca="1">IFERROR(__xludf.DUMMYFUNCTION("IMPORTRANGE(""https://docs.google.com/spreadsheets/d/1IYY_tgx_IHuhSq3AJ5eI5OnqOPBNLWSHKh2a30DoXe8/edit?usp=sharing"",""สุราษฎร์ธานี!J487"")"),0)</f>
        <v>0</v>
      </c>
      <c r="R90" s="100">
        <f t="shared" si="7"/>
        <v>0</v>
      </c>
      <c r="S90" s="62">
        <f ca="1">IFERROR(__xludf.DUMMYFUNCTION("IMPORTRANGE(""https://docs.google.com/spreadsheets/d/1IYY_tgx_IHuhSq3AJ5eI5OnqOPBNLWSHKh2a30DoXe8/edit?usp=sharing"",""สุราษฎร์ธานี!J488"")"),0)</f>
        <v>0</v>
      </c>
      <c r="T90" s="100">
        <f ca="1">IFERROR(__xludf.DUMMYFUNCTION("IMPORTRANGE(""https://docs.google.com/spreadsheets/d/1IYY_tgx_IHuhSq3AJ5eI5OnqOPBNLWSHKh2a30DoXe8/edit?usp=sharing"",""สุราษฎร์ธานี!J489"")"),0)</f>
        <v>0</v>
      </c>
      <c r="U90" s="100">
        <f t="shared" si="9"/>
        <v>0</v>
      </c>
      <c r="V90" s="81"/>
      <c r="W90" s="81"/>
      <c r="X90" s="81"/>
      <c r="Y90" s="81"/>
      <c r="Z90" s="81"/>
    </row>
    <row r="91" spans="1:26" ht="24" customHeight="1" x14ac:dyDescent="0.5">
      <c r="A91" s="772" t="s">
        <v>106</v>
      </c>
      <c r="B91" s="571"/>
      <c r="C91" s="250">
        <f t="shared" ref="C91:F91" si="54">+C92+C93+C94+C95+C96+C97+C98+C99+C100+C101+C102+C103+C104+C105</f>
        <v>0</v>
      </c>
      <c r="D91" s="35">
        <f t="shared" si="54"/>
        <v>0</v>
      </c>
      <c r="E91" s="35">
        <f t="shared" si="54"/>
        <v>0</v>
      </c>
      <c r="F91" s="35">
        <f t="shared" si="54"/>
        <v>0</v>
      </c>
      <c r="G91" s="92">
        <f t="shared" si="1"/>
        <v>0</v>
      </c>
      <c r="H91" s="35">
        <f t="shared" ref="H91:K91" si="55">+H92+H93+H94+H95+H96+H97+H98+H99+H100+H101+H102+H103+H104+H105</f>
        <v>0</v>
      </c>
      <c r="I91" s="35">
        <f t="shared" si="55"/>
        <v>0</v>
      </c>
      <c r="J91" s="35">
        <f t="shared" si="55"/>
        <v>0</v>
      </c>
      <c r="K91" s="35">
        <f t="shared" si="55"/>
        <v>0</v>
      </c>
      <c r="L91" s="92">
        <f t="shared" si="3"/>
        <v>0</v>
      </c>
      <c r="M91" s="35">
        <f t="shared" ref="M91:N91" si="56">+M92+M93+M94+M95+M96+M97+M98+M99+M100+M101+M102+M103+M104+M105</f>
        <v>0</v>
      </c>
      <c r="N91" s="35">
        <f t="shared" si="56"/>
        <v>0</v>
      </c>
      <c r="O91" s="92">
        <f t="shared" si="5"/>
        <v>0</v>
      </c>
      <c r="P91" s="35">
        <f t="shared" ref="P91:Q91" si="57">+P92+P93+P94+P95+P96+P97+P98+P99+P100+P101+P102+P103+P104+P105</f>
        <v>0</v>
      </c>
      <c r="Q91" s="35">
        <f t="shared" si="57"/>
        <v>0</v>
      </c>
      <c r="R91" s="92">
        <f t="shared" si="7"/>
        <v>0</v>
      </c>
      <c r="S91" s="35">
        <f t="shared" ref="S91:T91" si="58">+S92+S93+S94+S95+S96+S97+S98+S99+S100+S101+S102+S103+S104+S105</f>
        <v>0</v>
      </c>
      <c r="T91" s="35">
        <f t="shared" si="58"/>
        <v>0</v>
      </c>
      <c r="U91" s="92">
        <f t="shared" si="9"/>
        <v>0</v>
      </c>
      <c r="V91" s="81"/>
      <c r="W91" s="81"/>
      <c r="X91" s="81"/>
      <c r="Y91" s="81"/>
      <c r="Z91" s="81"/>
    </row>
    <row r="92" spans="1:26" ht="24" customHeight="1" x14ac:dyDescent="0.5">
      <c r="A92" s="283">
        <v>1</v>
      </c>
      <c r="B92" s="69" t="s">
        <v>107</v>
      </c>
      <c r="C92" s="270">
        <f t="shared" ref="C92:C105" si="59">+D92+E92</f>
        <v>0</v>
      </c>
      <c r="D92" s="48">
        <v>0</v>
      </c>
      <c r="E92" s="48">
        <v>0</v>
      </c>
      <c r="F92" s="98">
        <v>0</v>
      </c>
      <c r="G92" s="98">
        <f t="shared" si="1"/>
        <v>0</v>
      </c>
      <c r="H92" s="48">
        <v>0</v>
      </c>
      <c r="I92" s="48">
        <v>0</v>
      </c>
      <c r="J92" s="48">
        <v>0</v>
      </c>
      <c r="K92" s="48">
        <v>0</v>
      </c>
      <c r="L92" s="98">
        <f t="shared" si="3"/>
        <v>0</v>
      </c>
      <c r="M92" s="48">
        <v>0</v>
      </c>
      <c r="N92" s="48">
        <v>0</v>
      </c>
      <c r="O92" s="98">
        <f t="shared" si="5"/>
        <v>0</v>
      </c>
      <c r="P92" s="48">
        <v>0</v>
      </c>
      <c r="Q92" s="98">
        <v>0</v>
      </c>
      <c r="R92" s="98">
        <f t="shared" si="7"/>
        <v>0</v>
      </c>
      <c r="S92" s="48">
        <v>0</v>
      </c>
      <c r="T92" s="98">
        <v>0</v>
      </c>
      <c r="U92" s="98">
        <f t="shared" si="9"/>
        <v>0</v>
      </c>
      <c r="V92" s="81"/>
      <c r="W92" s="81"/>
      <c r="X92" s="81"/>
      <c r="Y92" s="81"/>
      <c r="Z92" s="81"/>
    </row>
    <row r="93" spans="1:26" ht="24" customHeight="1" x14ac:dyDescent="0.5">
      <c r="A93" s="284">
        <v>2</v>
      </c>
      <c r="B93" s="71" t="s">
        <v>108</v>
      </c>
      <c r="C93" s="275">
        <f t="shared" si="59"/>
        <v>0</v>
      </c>
      <c r="D93" s="55">
        <v>0</v>
      </c>
      <c r="E93" s="55">
        <v>0</v>
      </c>
      <c r="F93" s="99">
        <v>0</v>
      </c>
      <c r="G93" s="99">
        <f t="shared" si="1"/>
        <v>0</v>
      </c>
      <c r="H93" s="55">
        <v>0</v>
      </c>
      <c r="I93" s="55">
        <v>0</v>
      </c>
      <c r="J93" s="55">
        <v>0</v>
      </c>
      <c r="K93" s="55">
        <v>0</v>
      </c>
      <c r="L93" s="99">
        <f t="shared" si="3"/>
        <v>0</v>
      </c>
      <c r="M93" s="55">
        <v>0</v>
      </c>
      <c r="N93" s="55">
        <v>0</v>
      </c>
      <c r="O93" s="99">
        <f t="shared" si="5"/>
        <v>0</v>
      </c>
      <c r="P93" s="55">
        <v>0</v>
      </c>
      <c r="Q93" s="99">
        <v>0</v>
      </c>
      <c r="R93" s="99">
        <f t="shared" si="7"/>
        <v>0</v>
      </c>
      <c r="S93" s="55">
        <v>0</v>
      </c>
      <c r="T93" s="99">
        <v>0</v>
      </c>
      <c r="U93" s="99">
        <f t="shared" si="9"/>
        <v>0</v>
      </c>
      <c r="V93" s="81"/>
      <c r="W93" s="81"/>
      <c r="X93" s="81"/>
      <c r="Y93" s="81"/>
      <c r="Z93" s="81"/>
    </row>
    <row r="94" spans="1:26" ht="24" customHeight="1" x14ac:dyDescent="0.5">
      <c r="A94" s="284">
        <v>3</v>
      </c>
      <c r="B94" s="71" t="s">
        <v>109</v>
      </c>
      <c r="C94" s="275">
        <f t="shared" si="59"/>
        <v>0</v>
      </c>
      <c r="D94" s="55">
        <v>0</v>
      </c>
      <c r="E94" s="55">
        <v>0</v>
      </c>
      <c r="F94" s="99">
        <v>0</v>
      </c>
      <c r="G94" s="99">
        <f t="shared" si="1"/>
        <v>0</v>
      </c>
      <c r="H94" s="55">
        <v>0</v>
      </c>
      <c r="I94" s="55">
        <v>0</v>
      </c>
      <c r="J94" s="55">
        <v>0</v>
      </c>
      <c r="K94" s="55">
        <v>0</v>
      </c>
      <c r="L94" s="99">
        <f t="shared" si="3"/>
        <v>0</v>
      </c>
      <c r="M94" s="55">
        <v>0</v>
      </c>
      <c r="N94" s="55">
        <v>0</v>
      </c>
      <c r="O94" s="99">
        <f t="shared" si="5"/>
        <v>0</v>
      </c>
      <c r="P94" s="55">
        <v>0</v>
      </c>
      <c r="Q94" s="99">
        <v>0</v>
      </c>
      <c r="R94" s="99">
        <f t="shared" si="7"/>
        <v>0</v>
      </c>
      <c r="S94" s="55">
        <v>0</v>
      </c>
      <c r="T94" s="99">
        <v>0</v>
      </c>
      <c r="U94" s="99">
        <f t="shared" si="9"/>
        <v>0</v>
      </c>
      <c r="V94" s="81"/>
      <c r="W94" s="81"/>
      <c r="X94" s="81"/>
      <c r="Y94" s="81"/>
      <c r="Z94" s="81"/>
    </row>
    <row r="95" spans="1:26" ht="24" customHeight="1" x14ac:dyDescent="0.5">
      <c r="A95" s="284">
        <f t="shared" ref="A95:A105" si="60">+A94+1</f>
        <v>4</v>
      </c>
      <c r="B95" s="71" t="s">
        <v>110</v>
      </c>
      <c r="C95" s="275">
        <f t="shared" si="59"/>
        <v>0</v>
      </c>
      <c r="D95" s="55">
        <v>0</v>
      </c>
      <c r="E95" s="55">
        <v>0</v>
      </c>
      <c r="F95" s="99">
        <v>0</v>
      </c>
      <c r="G95" s="99">
        <f t="shared" si="1"/>
        <v>0</v>
      </c>
      <c r="H95" s="55">
        <v>0</v>
      </c>
      <c r="I95" s="55">
        <v>0</v>
      </c>
      <c r="J95" s="55">
        <v>0</v>
      </c>
      <c r="K95" s="55">
        <v>0</v>
      </c>
      <c r="L95" s="99">
        <f t="shared" si="3"/>
        <v>0</v>
      </c>
      <c r="M95" s="55">
        <v>0</v>
      </c>
      <c r="N95" s="55">
        <v>0</v>
      </c>
      <c r="O95" s="99">
        <f t="shared" si="5"/>
        <v>0</v>
      </c>
      <c r="P95" s="55">
        <v>0</v>
      </c>
      <c r="Q95" s="99">
        <v>0</v>
      </c>
      <c r="R95" s="99">
        <f t="shared" si="7"/>
        <v>0</v>
      </c>
      <c r="S95" s="55">
        <v>0</v>
      </c>
      <c r="T95" s="99">
        <v>0</v>
      </c>
      <c r="U95" s="99">
        <f t="shared" si="9"/>
        <v>0</v>
      </c>
      <c r="V95" s="81"/>
      <c r="W95" s="81"/>
      <c r="X95" s="81"/>
      <c r="Y95" s="81"/>
      <c r="Z95" s="81"/>
    </row>
    <row r="96" spans="1:26" ht="24" customHeight="1" x14ac:dyDescent="0.5">
      <c r="A96" s="284">
        <f t="shared" si="60"/>
        <v>5</v>
      </c>
      <c r="B96" s="71" t="s">
        <v>111</v>
      </c>
      <c r="C96" s="275">
        <f t="shared" si="59"/>
        <v>0</v>
      </c>
      <c r="D96" s="55">
        <v>0</v>
      </c>
      <c r="E96" s="55">
        <v>0</v>
      </c>
      <c r="F96" s="99">
        <v>0</v>
      </c>
      <c r="G96" s="99">
        <f t="shared" si="1"/>
        <v>0</v>
      </c>
      <c r="H96" s="55">
        <v>0</v>
      </c>
      <c r="I96" s="55">
        <v>0</v>
      </c>
      <c r="J96" s="55">
        <v>0</v>
      </c>
      <c r="K96" s="55">
        <v>0</v>
      </c>
      <c r="L96" s="99">
        <f t="shared" si="3"/>
        <v>0</v>
      </c>
      <c r="M96" s="55">
        <v>0</v>
      </c>
      <c r="N96" s="55">
        <v>0</v>
      </c>
      <c r="O96" s="99">
        <f t="shared" si="5"/>
        <v>0</v>
      </c>
      <c r="P96" s="55">
        <v>0</v>
      </c>
      <c r="Q96" s="99">
        <v>0</v>
      </c>
      <c r="R96" s="99">
        <f t="shared" si="7"/>
        <v>0</v>
      </c>
      <c r="S96" s="55">
        <v>0</v>
      </c>
      <c r="T96" s="99">
        <v>0</v>
      </c>
      <c r="U96" s="99">
        <f t="shared" si="9"/>
        <v>0</v>
      </c>
      <c r="V96" s="81"/>
      <c r="W96" s="81"/>
      <c r="X96" s="81"/>
      <c r="Y96" s="81"/>
      <c r="Z96" s="81"/>
    </row>
    <row r="97" spans="1:26" ht="24" customHeight="1" x14ac:dyDescent="0.5">
      <c r="A97" s="284">
        <f t="shared" si="60"/>
        <v>6</v>
      </c>
      <c r="B97" s="71" t="s">
        <v>112</v>
      </c>
      <c r="C97" s="275">
        <f t="shared" si="59"/>
        <v>0</v>
      </c>
      <c r="D97" s="55">
        <v>0</v>
      </c>
      <c r="E97" s="55">
        <v>0</v>
      </c>
      <c r="F97" s="99">
        <v>0</v>
      </c>
      <c r="G97" s="99">
        <f t="shared" si="1"/>
        <v>0</v>
      </c>
      <c r="H97" s="55">
        <v>0</v>
      </c>
      <c r="I97" s="55">
        <v>0</v>
      </c>
      <c r="J97" s="55">
        <v>0</v>
      </c>
      <c r="K97" s="55">
        <v>0</v>
      </c>
      <c r="L97" s="99">
        <f t="shared" si="3"/>
        <v>0</v>
      </c>
      <c r="M97" s="55">
        <v>0</v>
      </c>
      <c r="N97" s="55">
        <v>0</v>
      </c>
      <c r="O97" s="99">
        <f t="shared" si="5"/>
        <v>0</v>
      </c>
      <c r="P97" s="55">
        <v>0</v>
      </c>
      <c r="Q97" s="99">
        <v>0</v>
      </c>
      <c r="R97" s="99">
        <f t="shared" si="7"/>
        <v>0</v>
      </c>
      <c r="S97" s="55">
        <v>0</v>
      </c>
      <c r="T97" s="99">
        <v>0</v>
      </c>
      <c r="U97" s="99">
        <f t="shared" si="9"/>
        <v>0</v>
      </c>
      <c r="V97" s="81"/>
      <c r="W97" s="81"/>
      <c r="X97" s="81"/>
      <c r="Y97" s="81"/>
      <c r="Z97" s="81"/>
    </row>
    <row r="98" spans="1:26" ht="24" customHeight="1" x14ac:dyDescent="0.5">
      <c r="A98" s="284">
        <f t="shared" si="60"/>
        <v>7</v>
      </c>
      <c r="B98" s="71" t="s">
        <v>113</v>
      </c>
      <c r="C98" s="275">
        <f t="shared" si="59"/>
        <v>0</v>
      </c>
      <c r="D98" s="55">
        <v>0</v>
      </c>
      <c r="E98" s="55">
        <v>0</v>
      </c>
      <c r="F98" s="99">
        <v>0</v>
      </c>
      <c r="G98" s="99">
        <f t="shared" si="1"/>
        <v>0</v>
      </c>
      <c r="H98" s="55">
        <v>0</v>
      </c>
      <c r="I98" s="55">
        <v>0</v>
      </c>
      <c r="J98" s="55">
        <v>0</v>
      </c>
      <c r="K98" s="55">
        <v>0</v>
      </c>
      <c r="L98" s="99">
        <f t="shared" si="3"/>
        <v>0</v>
      </c>
      <c r="M98" s="55">
        <v>0</v>
      </c>
      <c r="N98" s="55">
        <v>0</v>
      </c>
      <c r="O98" s="99">
        <f t="shared" si="5"/>
        <v>0</v>
      </c>
      <c r="P98" s="55">
        <v>0</v>
      </c>
      <c r="Q98" s="99">
        <v>0</v>
      </c>
      <c r="R98" s="99">
        <f t="shared" si="7"/>
        <v>0</v>
      </c>
      <c r="S98" s="55">
        <v>0</v>
      </c>
      <c r="T98" s="99">
        <v>0</v>
      </c>
      <c r="U98" s="99">
        <f t="shared" si="9"/>
        <v>0</v>
      </c>
      <c r="V98" s="81"/>
      <c r="W98" s="81"/>
      <c r="X98" s="81"/>
      <c r="Y98" s="81"/>
      <c r="Z98" s="81"/>
    </row>
    <row r="99" spans="1:26" ht="24" customHeight="1" x14ac:dyDescent="0.5">
      <c r="A99" s="284">
        <f t="shared" si="60"/>
        <v>8</v>
      </c>
      <c r="B99" s="71" t="s">
        <v>114</v>
      </c>
      <c r="C99" s="275">
        <f t="shared" si="59"/>
        <v>0</v>
      </c>
      <c r="D99" s="55">
        <v>0</v>
      </c>
      <c r="E99" s="55">
        <v>0</v>
      </c>
      <c r="F99" s="99">
        <v>0</v>
      </c>
      <c r="G99" s="99">
        <f t="shared" si="1"/>
        <v>0</v>
      </c>
      <c r="H99" s="55">
        <v>0</v>
      </c>
      <c r="I99" s="55">
        <v>0</v>
      </c>
      <c r="J99" s="55">
        <v>0</v>
      </c>
      <c r="K99" s="55">
        <v>0</v>
      </c>
      <c r="L99" s="99">
        <f t="shared" si="3"/>
        <v>0</v>
      </c>
      <c r="M99" s="55">
        <v>0</v>
      </c>
      <c r="N99" s="55">
        <v>0</v>
      </c>
      <c r="O99" s="99">
        <f t="shared" si="5"/>
        <v>0</v>
      </c>
      <c r="P99" s="55">
        <v>0</v>
      </c>
      <c r="Q99" s="99">
        <v>0</v>
      </c>
      <c r="R99" s="99">
        <f t="shared" si="7"/>
        <v>0</v>
      </c>
      <c r="S99" s="55">
        <v>0</v>
      </c>
      <c r="T99" s="99">
        <v>0</v>
      </c>
      <c r="U99" s="99">
        <f t="shared" si="9"/>
        <v>0</v>
      </c>
      <c r="V99" s="81"/>
      <c r="W99" s="81"/>
      <c r="X99" s="81"/>
      <c r="Y99" s="81"/>
      <c r="Z99" s="81"/>
    </row>
    <row r="100" spans="1:26" ht="24" customHeight="1" x14ac:dyDescent="0.5">
      <c r="A100" s="284">
        <f t="shared" si="60"/>
        <v>9</v>
      </c>
      <c r="B100" s="71" t="s">
        <v>115</v>
      </c>
      <c r="C100" s="275">
        <f t="shared" si="59"/>
        <v>0</v>
      </c>
      <c r="D100" s="55">
        <v>0</v>
      </c>
      <c r="E100" s="55">
        <v>0</v>
      </c>
      <c r="F100" s="99">
        <v>0</v>
      </c>
      <c r="G100" s="99">
        <f t="shared" si="1"/>
        <v>0</v>
      </c>
      <c r="H100" s="55">
        <v>0</v>
      </c>
      <c r="I100" s="55">
        <v>0</v>
      </c>
      <c r="J100" s="55">
        <v>0</v>
      </c>
      <c r="K100" s="55">
        <v>0</v>
      </c>
      <c r="L100" s="99">
        <f t="shared" si="3"/>
        <v>0</v>
      </c>
      <c r="M100" s="55">
        <v>0</v>
      </c>
      <c r="N100" s="55">
        <v>0</v>
      </c>
      <c r="O100" s="99">
        <f t="shared" si="5"/>
        <v>0</v>
      </c>
      <c r="P100" s="55">
        <v>0</v>
      </c>
      <c r="Q100" s="99">
        <v>0</v>
      </c>
      <c r="R100" s="99">
        <f t="shared" si="7"/>
        <v>0</v>
      </c>
      <c r="S100" s="55">
        <v>0</v>
      </c>
      <c r="T100" s="99">
        <v>0</v>
      </c>
      <c r="U100" s="99">
        <f t="shared" si="9"/>
        <v>0</v>
      </c>
      <c r="V100" s="81"/>
      <c r="W100" s="81"/>
      <c r="X100" s="81"/>
      <c r="Y100" s="81"/>
      <c r="Z100" s="81"/>
    </row>
    <row r="101" spans="1:26" ht="24" customHeight="1" x14ac:dyDescent="0.5">
      <c r="A101" s="284">
        <f t="shared" si="60"/>
        <v>10</v>
      </c>
      <c r="B101" s="71" t="s">
        <v>116</v>
      </c>
      <c r="C101" s="275">
        <f t="shared" si="59"/>
        <v>0</v>
      </c>
      <c r="D101" s="55">
        <v>0</v>
      </c>
      <c r="E101" s="55">
        <v>0</v>
      </c>
      <c r="F101" s="99">
        <v>0</v>
      </c>
      <c r="G101" s="99">
        <f t="shared" si="1"/>
        <v>0</v>
      </c>
      <c r="H101" s="55">
        <v>0</v>
      </c>
      <c r="I101" s="55">
        <v>0</v>
      </c>
      <c r="J101" s="55">
        <v>0</v>
      </c>
      <c r="K101" s="55">
        <v>0</v>
      </c>
      <c r="L101" s="99">
        <f t="shared" si="3"/>
        <v>0</v>
      </c>
      <c r="M101" s="55">
        <v>0</v>
      </c>
      <c r="N101" s="55">
        <v>0</v>
      </c>
      <c r="O101" s="99">
        <f t="shared" si="5"/>
        <v>0</v>
      </c>
      <c r="P101" s="55">
        <v>0</v>
      </c>
      <c r="Q101" s="99">
        <v>0</v>
      </c>
      <c r="R101" s="99">
        <f t="shared" si="7"/>
        <v>0</v>
      </c>
      <c r="S101" s="55">
        <v>0</v>
      </c>
      <c r="T101" s="99">
        <v>0</v>
      </c>
      <c r="U101" s="99">
        <f t="shared" si="9"/>
        <v>0</v>
      </c>
      <c r="V101" s="81"/>
      <c r="W101" s="81"/>
      <c r="X101" s="81"/>
      <c r="Y101" s="81"/>
      <c r="Z101" s="81"/>
    </row>
    <row r="102" spans="1:26" ht="24" customHeight="1" x14ac:dyDescent="0.5">
      <c r="A102" s="284">
        <f t="shared" si="60"/>
        <v>11</v>
      </c>
      <c r="B102" s="71" t="s">
        <v>117</v>
      </c>
      <c r="C102" s="275">
        <f t="shared" si="59"/>
        <v>0</v>
      </c>
      <c r="D102" s="55">
        <v>0</v>
      </c>
      <c r="E102" s="55">
        <v>0</v>
      </c>
      <c r="F102" s="99">
        <v>0</v>
      </c>
      <c r="G102" s="99">
        <f t="shared" si="1"/>
        <v>0</v>
      </c>
      <c r="H102" s="55">
        <v>0</v>
      </c>
      <c r="I102" s="55">
        <v>0</v>
      </c>
      <c r="J102" s="55">
        <v>0</v>
      </c>
      <c r="K102" s="55">
        <v>0</v>
      </c>
      <c r="L102" s="99">
        <f t="shared" si="3"/>
        <v>0</v>
      </c>
      <c r="M102" s="55">
        <v>0</v>
      </c>
      <c r="N102" s="55">
        <v>0</v>
      </c>
      <c r="O102" s="99">
        <f t="shared" si="5"/>
        <v>0</v>
      </c>
      <c r="P102" s="55">
        <v>0</v>
      </c>
      <c r="Q102" s="99">
        <v>0</v>
      </c>
      <c r="R102" s="99">
        <f t="shared" si="7"/>
        <v>0</v>
      </c>
      <c r="S102" s="55">
        <v>0</v>
      </c>
      <c r="T102" s="99">
        <v>0</v>
      </c>
      <c r="U102" s="99">
        <f t="shared" si="9"/>
        <v>0</v>
      </c>
      <c r="V102" s="81"/>
      <c r="W102" s="81"/>
      <c r="X102" s="81"/>
      <c r="Y102" s="81"/>
      <c r="Z102" s="81"/>
    </row>
    <row r="103" spans="1:26" ht="24" customHeight="1" x14ac:dyDescent="0.5">
      <c r="A103" s="284">
        <f t="shared" si="60"/>
        <v>12</v>
      </c>
      <c r="B103" s="71" t="s">
        <v>118</v>
      </c>
      <c r="C103" s="275">
        <f t="shared" si="59"/>
        <v>0</v>
      </c>
      <c r="D103" s="55">
        <v>0</v>
      </c>
      <c r="E103" s="55">
        <v>0</v>
      </c>
      <c r="F103" s="99">
        <v>0</v>
      </c>
      <c r="G103" s="99">
        <f t="shared" si="1"/>
        <v>0</v>
      </c>
      <c r="H103" s="55">
        <v>0</v>
      </c>
      <c r="I103" s="55">
        <v>0</v>
      </c>
      <c r="J103" s="55">
        <v>0</v>
      </c>
      <c r="K103" s="55">
        <v>0</v>
      </c>
      <c r="L103" s="99">
        <f t="shared" si="3"/>
        <v>0</v>
      </c>
      <c r="M103" s="55">
        <v>0</v>
      </c>
      <c r="N103" s="55">
        <v>0</v>
      </c>
      <c r="O103" s="99">
        <f t="shared" si="5"/>
        <v>0</v>
      </c>
      <c r="P103" s="55">
        <v>0</v>
      </c>
      <c r="Q103" s="99">
        <v>0</v>
      </c>
      <c r="R103" s="99">
        <f t="shared" si="7"/>
        <v>0</v>
      </c>
      <c r="S103" s="55">
        <v>0</v>
      </c>
      <c r="T103" s="99">
        <v>0</v>
      </c>
      <c r="U103" s="99">
        <f t="shared" si="9"/>
        <v>0</v>
      </c>
      <c r="V103" s="81"/>
      <c r="W103" s="81"/>
      <c r="X103" s="81"/>
      <c r="Y103" s="81"/>
      <c r="Z103" s="81"/>
    </row>
    <row r="104" spans="1:26" ht="24" customHeight="1" x14ac:dyDescent="0.5">
      <c r="A104" s="284">
        <f t="shared" si="60"/>
        <v>13</v>
      </c>
      <c r="B104" s="71" t="s">
        <v>119</v>
      </c>
      <c r="C104" s="275">
        <f t="shared" si="59"/>
        <v>0</v>
      </c>
      <c r="D104" s="55">
        <v>0</v>
      </c>
      <c r="E104" s="55">
        <v>0</v>
      </c>
      <c r="F104" s="99">
        <v>0</v>
      </c>
      <c r="G104" s="99">
        <f t="shared" si="1"/>
        <v>0</v>
      </c>
      <c r="H104" s="55">
        <v>0</v>
      </c>
      <c r="I104" s="55">
        <v>0</v>
      </c>
      <c r="J104" s="55">
        <v>0</v>
      </c>
      <c r="K104" s="55">
        <v>0</v>
      </c>
      <c r="L104" s="99">
        <f t="shared" si="3"/>
        <v>0</v>
      </c>
      <c r="M104" s="55">
        <v>0</v>
      </c>
      <c r="N104" s="55">
        <v>0</v>
      </c>
      <c r="O104" s="99">
        <f t="shared" si="5"/>
        <v>0</v>
      </c>
      <c r="P104" s="55">
        <v>0</v>
      </c>
      <c r="Q104" s="99">
        <v>0</v>
      </c>
      <c r="R104" s="99">
        <f t="shared" si="7"/>
        <v>0</v>
      </c>
      <c r="S104" s="55">
        <v>0</v>
      </c>
      <c r="T104" s="99">
        <v>0</v>
      </c>
      <c r="U104" s="99">
        <f t="shared" si="9"/>
        <v>0</v>
      </c>
      <c r="V104" s="81"/>
      <c r="W104" s="81"/>
      <c r="X104" s="81"/>
      <c r="Y104" s="81"/>
      <c r="Z104" s="81"/>
    </row>
    <row r="105" spans="1:26" ht="24" customHeight="1" x14ac:dyDescent="0.5">
      <c r="A105" s="285">
        <f t="shared" si="60"/>
        <v>14</v>
      </c>
      <c r="B105" s="73" t="s">
        <v>120</v>
      </c>
      <c r="C105" s="280">
        <f t="shared" si="59"/>
        <v>0</v>
      </c>
      <c r="D105" s="62">
        <v>0</v>
      </c>
      <c r="E105" s="62">
        <v>0</v>
      </c>
      <c r="F105" s="100">
        <v>0</v>
      </c>
      <c r="G105" s="100">
        <f t="shared" si="1"/>
        <v>0</v>
      </c>
      <c r="H105" s="62">
        <v>0</v>
      </c>
      <c r="I105" s="62">
        <v>0</v>
      </c>
      <c r="J105" s="62">
        <v>0</v>
      </c>
      <c r="K105" s="62">
        <v>0</v>
      </c>
      <c r="L105" s="100">
        <f t="shared" si="3"/>
        <v>0</v>
      </c>
      <c r="M105" s="62">
        <v>0</v>
      </c>
      <c r="N105" s="62">
        <v>0</v>
      </c>
      <c r="O105" s="100">
        <f t="shared" si="5"/>
        <v>0</v>
      </c>
      <c r="P105" s="62">
        <v>0</v>
      </c>
      <c r="Q105" s="100">
        <v>0</v>
      </c>
      <c r="R105" s="100">
        <f t="shared" si="7"/>
        <v>0</v>
      </c>
      <c r="S105" s="62">
        <v>0</v>
      </c>
      <c r="T105" s="100">
        <v>0</v>
      </c>
      <c r="U105" s="100">
        <f t="shared" si="9"/>
        <v>0</v>
      </c>
      <c r="V105" s="81"/>
      <c r="W105" s="81"/>
      <c r="X105" s="81"/>
      <c r="Y105" s="81"/>
      <c r="Z105" s="81"/>
    </row>
    <row r="106" spans="1:26" ht="24" customHeight="1" x14ac:dyDescent="0.5">
      <c r="A106" s="772" t="s">
        <v>121</v>
      </c>
      <c r="B106" s="571"/>
      <c r="C106" s="250">
        <f t="shared" ref="C106:F106" si="61">+C107+C108+C109+C110+C111+C112+C113+C114</f>
        <v>0</v>
      </c>
      <c r="D106" s="35">
        <f t="shared" si="61"/>
        <v>0</v>
      </c>
      <c r="E106" s="35">
        <f t="shared" si="61"/>
        <v>0</v>
      </c>
      <c r="F106" s="35">
        <f t="shared" si="61"/>
        <v>0</v>
      </c>
      <c r="G106" s="92">
        <f t="shared" si="1"/>
        <v>0</v>
      </c>
      <c r="H106" s="35">
        <f t="shared" ref="H106:K106" si="62">+H107+H108+H109+H110+H111+H112+H113+H114</f>
        <v>0</v>
      </c>
      <c r="I106" s="35">
        <f t="shared" si="62"/>
        <v>0</v>
      </c>
      <c r="J106" s="35">
        <f t="shared" si="62"/>
        <v>0</v>
      </c>
      <c r="K106" s="35">
        <f t="shared" si="62"/>
        <v>0</v>
      </c>
      <c r="L106" s="92">
        <f t="shared" si="3"/>
        <v>0</v>
      </c>
      <c r="M106" s="35">
        <f t="shared" ref="M106:N106" si="63">+M107+M108+M109+M110+M111+M112+M113+M114</f>
        <v>0</v>
      </c>
      <c r="N106" s="35">
        <f t="shared" si="63"/>
        <v>0</v>
      </c>
      <c r="O106" s="92">
        <f t="shared" si="5"/>
        <v>0</v>
      </c>
      <c r="P106" s="35">
        <f t="shared" ref="P106:Q106" si="64">+P107+P108+P109+P110+P111+P112+P113+P114</f>
        <v>0</v>
      </c>
      <c r="Q106" s="35">
        <f t="shared" si="64"/>
        <v>0</v>
      </c>
      <c r="R106" s="92">
        <f t="shared" si="7"/>
        <v>0</v>
      </c>
      <c r="S106" s="35">
        <f t="shared" ref="S106:T106" si="65">+S107+S108+S109+S110+S111+S112+S113+S114</f>
        <v>0</v>
      </c>
      <c r="T106" s="35">
        <f t="shared" si="65"/>
        <v>0</v>
      </c>
      <c r="U106" s="92">
        <f t="shared" si="9"/>
        <v>0</v>
      </c>
      <c r="V106" s="81"/>
      <c r="W106" s="81"/>
      <c r="X106" s="81"/>
      <c r="Y106" s="81"/>
      <c r="Z106" s="81"/>
    </row>
    <row r="107" spans="1:26" ht="24" customHeight="1" x14ac:dyDescent="0.5">
      <c r="A107" s="283">
        <v>1</v>
      </c>
      <c r="B107" s="69" t="s">
        <v>122</v>
      </c>
      <c r="C107" s="270">
        <f t="shared" ref="C107:C114" si="66">+D107+E107</f>
        <v>0</v>
      </c>
      <c r="D107" s="48">
        <v>0</v>
      </c>
      <c r="E107" s="48">
        <v>0</v>
      </c>
      <c r="F107" s="98">
        <v>0</v>
      </c>
      <c r="G107" s="98">
        <f t="shared" si="1"/>
        <v>0</v>
      </c>
      <c r="H107" s="48">
        <v>0</v>
      </c>
      <c r="I107" s="48">
        <v>0</v>
      </c>
      <c r="J107" s="48">
        <v>0</v>
      </c>
      <c r="K107" s="48">
        <v>0</v>
      </c>
      <c r="L107" s="98">
        <f t="shared" si="3"/>
        <v>0</v>
      </c>
      <c r="M107" s="48">
        <v>0</v>
      </c>
      <c r="N107" s="48">
        <v>0</v>
      </c>
      <c r="O107" s="98">
        <f t="shared" si="5"/>
        <v>0</v>
      </c>
      <c r="P107" s="48">
        <v>0</v>
      </c>
      <c r="Q107" s="98">
        <v>0</v>
      </c>
      <c r="R107" s="98">
        <f t="shared" si="7"/>
        <v>0</v>
      </c>
      <c r="S107" s="48">
        <v>0</v>
      </c>
      <c r="T107" s="98">
        <v>0</v>
      </c>
      <c r="U107" s="98">
        <f t="shared" si="9"/>
        <v>0</v>
      </c>
      <c r="V107" s="81"/>
      <c r="W107" s="81"/>
      <c r="X107" s="81"/>
      <c r="Y107" s="81"/>
      <c r="Z107" s="81"/>
    </row>
    <row r="108" spans="1:26" ht="24" customHeight="1" x14ac:dyDescent="0.5">
      <c r="A108" s="284">
        <v>2</v>
      </c>
      <c r="B108" s="71" t="s">
        <v>123</v>
      </c>
      <c r="C108" s="275">
        <f t="shared" si="66"/>
        <v>0</v>
      </c>
      <c r="D108" s="55">
        <v>0</v>
      </c>
      <c r="E108" s="55">
        <v>0</v>
      </c>
      <c r="F108" s="99">
        <v>0</v>
      </c>
      <c r="G108" s="99">
        <f t="shared" si="1"/>
        <v>0</v>
      </c>
      <c r="H108" s="55">
        <v>0</v>
      </c>
      <c r="I108" s="55">
        <v>0</v>
      </c>
      <c r="J108" s="55">
        <v>0</v>
      </c>
      <c r="K108" s="55">
        <v>0</v>
      </c>
      <c r="L108" s="99">
        <f t="shared" si="3"/>
        <v>0</v>
      </c>
      <c r="M108" s="55">
        <v>0</v>
      </c>
      <c r="N108" s="55">
        <v>0</v>
      </c>
      <c r="O108" s="99">
        <f t="shared" si="5"/>
        <v>0</v>
      </c>
      <c r="P108" s="55">
        <v>0</v>
      </c>
      <c r="Q108" s="99">
        <v>0</v>
      </c>
      <c r="R108" s="99">
        <f t="shared" si="7"/>
        <v>0</v>
      </c>
      <c r="S108" s="55">
        <v>0</v>
      </c>
      <c r="T108" s="99">
        <v>0</v>
      </c>
      <c r="U108" s="99">
        <f t="shared" si="9"/>
        <v>0</v>
      </c>
      <c r="V108" s="81"/>
      <c r="W108" s="81"/>
      <c r="X108" s="81"/>
      <c r="Y108" s="81"/>
      <c r="Z108" s="81"/>
    </row>
    <row r="109" spans="1:26" ht="24" customHeight="1" x14ac:dyDescent="0.5">
      <c r="A109" s="284">
        <v>3</v>
      </c>
      <c r="B109" s="71" t="s">
        <v>124</v>
      </c>
      <c r="C109" s="275">
        <f t="shared" si="66"/>
        <v>0</v>
      </c>
      <c r="D109" s="55">
        <v>0</v>
      </c>
      <c r="E109" s="55">
        <v>0</v>
      </c>
      <c r="F109" s="99">
        <v>0</v>
      </c>
      <c r="G109" s="99">
        <f t="shared" si="1"/>
        <v>0</v>
      </c>
      <c r="H109" s="55">
        <v>0</v>
      </c>
      <c r="I109" s="55">
        <v>0</v>
      </c>
      <c r="J109" s="55">
        <v>0</v>
      </c>
      <c r="K109" s="55">
        <v>0</v>
      </c>
      <c r="L109" s="99">
        <f t="shared" si="3"/>
        <v>0</v>
      </c>
      <c r="M109" s="55">
        <v>0</v>
      </c>
      <c r="N109" s="55">
        <v>0</v>
      </c>
      <c r="O109" s="99">
        <f t="shared" si="5"/>
        <v>0</v>
      </c>
      <c r="P109" s="55">
        <v>0</v>
      </c>
      <c r="Q109" s="99">
        <v>0</v>
      </c>
      <c r="R109" s="99">
        <f t="shared" si="7"/>
        <v>0</v>
      </c>
      <c r="S109" s="55">
        <v>0</v>
      </c>
      <c r="T109" s="99">
        <v>0</v>
      </c>
      <c r="U109" s="99">
        <f t="shared" si="9"/>
        <v>0</v>
      </c>
      <c r="V109" s="81"/>
      <c r="W109" s="81"/>
      <c r="X109" s="81"/>
      <c r="Y109" s="81"/>
      <c r="Z109" s="81"/>
    </row>
    <row r="110" spans="1:26" ht="24" customHeight="1" x14ac:dyDescent="0.5">
      <c r="A110" s="284">
        <f t="shared" ref="A110:A112" si="67">+A109+1</f>
        <v>4</v>
      </c>
      <c r="B110" s="71" t="s">
        <v>125</v>
      </c>
      <c r="C110" s="275">
        <f t="shared" si="66"/>
        <v>0</v>
      </c>
      <c r="D110" s="55">
        <v>0</v>
      </c>
      <c r="E110" s="55">
        <v>0</v>
      </c>
      <c r="F110" s="99">
        <v>0</v>
      </c>
      <c r="G110" s="99">
        <f t="shared" si="1"/>
        <v>0</v>
      </c>
      <c r="H110" s="55">
        <v>0</v>
      </c>
      <c r="I110" s="55">
        <v>0</v>
      </c>
      <c r="J110" s="55">
        <v>0</v>
      </c>
      <c r="K110" s="55">
        <v>0</v>
      </c>
      <c r="L110" s="99">
        <f t="shared" si="3"/>
        <v>0</v>
      </c>
      <c r="M110" s="55">
        <v>0</v>
      </c>
      <c r="N110" s="55">
        <v>0</v>
      </c>
      <c r="O110" s="99">
        <f t="shared" si="5"/>
        <v>0</v>
      </c>
      <c r="P110" s="55">
        <v>0</v>
      </c>
      <c r="Q110" s="99">
        <v>0</v>
      </c>
      <c r="R110" s="99">
        <f t="shared" si="7"/>
        <v>0</v>
      </c>
      <c r="S110" s="55">
        <v>0</v>
      </c>
      <c r="T110" s="99">
        <v>0</v>
      </c>
      <c r="U110" s="99">
        <f t="shared" si="9"/>
        <v>0</v>
      </c>
      <c r="V110" s="81"/>
      <c r="W110" s="81"/>
      <c r="X110" s="81"/>
      <c r="Y110" s="81"/>
      <c r="Z110" s="81"/>
    </row>
    <row r="111" spans="1:26" ht="24" customHeight="1" x14ac:dyDescent="0.5">
      <c r="A111" s="284">
        <f t="shared" si="67"/>
        <v>5</v>
      </c>
      <c r="B111" s="71" t="s">
        <v>126</v>
      </c>
      <c r="C111" s="275">
        <f t="shared" si="66"/>
        <v>0</v>
      </c>
      <c r="D111" s="55">
        <v>0</v>
      </c>
      <c r="E111" s="55">
        <v>0</v>
      </c>
      <c r="F111" s="99">
        <v>0</v>
      </c>
      <c r="G111" s="99">
        <f t="shared" si="1"/>
        <v>0</v>
      </c>
      <c r="H111" s="55">
        <v>0</v>
      </c>
      <c r="I111" s="55">
        <v>0</v>
      </c>
      <c r="J111" s="55">
        <v>0</v>
      </c>
      <c r="K111" s="55">
        <v>0</v>
      </c>
      <c r="L111" s="99">
        <f t="shared" si="3"/>
        <v>0</v>
      </c>
      <c r="M111" s="55">
        <v>0</v>
      </c>
      <c r="N111" s="55">
        <v>0</v>
      </c>
      <c r="O111" s="99">
        <f t="shared" si="5"/>
        <v>0</v>
      </c>
      <c r="P111" s="55">
        <v>0</v>
      </c>
      <c r="Q111" s="99">
        <v>0</v>
      </c>
      <c r="R111" s="99">
        <f t="shared" si="7"/>
        <v>0</v>
      </c>
      <c r="S111" s="55">
        <v>0</v>
      </c>
      <c r="T111" s="99">
        <v>0</v>
      </c>
      <c r="U111" s="99">
        <f t="shared" si="9"/>
        <v>0</v>
      </c>
      <c r="V111" s="81"/>
      <c r="W111" s="81"/>
      <c r="X111" s="81"/>
      <c r="Y111" s="81"/>
      <c r="Z111" s="81"/>
    </row>
    <row r="112" spans="1:26" ht="24" customHeight="1" x14ac:dyDescent="0.5">
      <c r="A112" s="284">
        <f t="shared" si="67"/>
        <v>6</v>
      </c>
      <c r="B112" s="71" t="s">
        <v>127</v>
      </c>
      <c r="C112" s="275">
        <f t="shared" si="66"/>
        <v>0</v>
      </c>
      <c r="D112" s="55">
        <v>0</v>
      </c>
      <c r="E112" s="55">
        <v>0</v>
      </c>
      <c r="F112" s="99">
        <v>0</v>
      </c>
      <c r="G112" s="99">
        <f t="shared" si="1"/>
        <v>0</v>
      </c>
      <c r="H112" s="55">
        <v>0</v>
      </c>
      <c r="I112" s="55">
        <v>0</v>
      </c>
      <c r="J112" s="55">
        <v>0</v>
      </c>
      <c r="K112" s="55">
        <v>0</v>
      </c>
      <c r="L112" s="99">
        <f t="shared" si="3"/>
        <v>0</v>
      </c>
      <c r="M112" s="55">
        <v>0</v>
      </c>
      <c r="N112" s="55">
        <v>0</v>
      </c>
      <c r="O112" s="99">
        <f t="shared" si="5"/>
        <v>0</v>
      </c>
      <c r="P112" s="55">
        <v>0</v>
      </c>
      <c r="Q112" s="99">
        <v>0</v>
      </c>
      <c r="R112" s="99">
        <f t="shared" si="7"/>
        <v>0</v>
      </c>
      <c r="S112" s="55">
        <v>0</v>
      </c>
      <c r="T112" s="99">
        <v>0</v>
      </c>
      <c r="U112" s="99">
        <f t="shared" si="9"/>
        <v>0</v>
      </c>
      <c r="V112" s="81"/>
      <c r="W112" s="81"/>
      <c r="X112" s="81"/>
      <c r="Y112" s="81"/>
      <c r="Z112" s="81"/>
    </row>
    <row r="113" spans="1:26" ht="24" customHeight="1" x14ac:dyDescent="0.5">
      <c r="A113" s="284">
        <v>7</v>
      </c>
      <c r="B113" s="71" t="s">
        <v>128</v>
      </c>
      <c r="C113" s="275">
        <f t="shared" si="66"/>
        <v>0</v>
      </c>
      <c r="D113" s="55">
        <v>0</v>
      </c>
      <c r="E113" s="55">
        <v>0</v>
      </c>
      <c r="F113" s="99">
        <v>0</v>
      </c>
      <c r="G113" s="99">
        <f t="shared" si="1"/>
        <v>0</v>
      </c>
      <c r="H113" s="55">
        <v>0</v>
      </c>
      <c r="I113" s="55">
        <v>0</v>
      </c>
      <c r="J113" s="55">
        <v>0</v>
      </c>
      <c r="K113" s="55">
        <v>0</v>
      </c>
      <c r="L113" s="99">
        <f t="shared" si="3"/>
        <v>0</v>
      </c>
      <c r="M113" s="55">
        <v>0</v>
      </c>
      <c r="N113" s="55">
        <v>0</v>
      </c>
      <c r="O113" s="99">
        <f t="shared" si="5"/>
        <v>0</v>
      </c>
      <c r="P113" s="55">
        <v>0</v>
      </c>
      <c r="Q113" s="99">
        <v>0</v>
      </c>
      <c r="R113" s="99">
        <f t="shared" si="7"/>
        <v>0</v>
      </c>
      <c r="S113" s="55">
        <v>0</v>
      </c>
      <c r="T113" s="99">
        <v>0</v>
      </c>
      <c r="U113" s="99">
        <f t="shared" si="9"/>
        <v>0</v>
      </c>
      <c r="V113" s="81"/>
      <c r="W113" s="81"/>
      <c r="X113" s="81"/>
      <c r="Y113" s="81"/>
      <c r="Z113" s="81"/>
    </row>
    <row r="114" spans="1:26" ht="24" customHeight="1" thickBot="1" x14ac:dyDescent="0.55000000000000004">
      <c r="A114" s="493">
        <v>8</v>
      </c>
      <c r="B114" s="494" t="s">
        <v>129</v>
      </c>
      <c r="C114" s="286">
        <f t="shared" si="66"/>
        <v>0</v>
      </c>
      <c r="D114" s="79">
        <v>0</v>
      </c>
      <c r="E114" s="79">
        <v>0</v>
      </c>
      <c r="F114" s="104">
        <v>0</v>
      </c>
      <c r="G114" s="104">
        <f t="shared" si="1"/>
        <v>0</v>
      </c>
      <c r="H114" s="79">
        <v>0</v>
      </c>
      <c r="I114" s="79">
        <v>0</v>
      </c>
      <c r="J114" s="79">
        <v>0</v>
      </c>
      <c r="K114" s="79">
        <v>0</v>
      </c>
      <c r="L114" s="104">
        <f t="shared" si="3"/>
        <v>0</v>
      </c>
      <c r="M114" s="79">
        <v>0</v>
      </c>
      <c r="N114" s="79">
        <v>0</v>
      </c>
      <c r="O114" s="104">
        <f t="shared" si="5"/>
        <v>0</v>
      </c>
      <c r="P114" s="79">
        <v>0</v>
      </c>
      <c r="Q114" s="104">
        <v>0</v>
      </c>
      <c r="R114" s="104">
        <f t="shared" si="7"/>
        <v>0</v>
      </c>
      <c r="S114" s="79">
        <v>0</v>
      </c>
      <c r="T114" s="104">
        <v>0</v>
      </c>
      <c r="U114" s="104">
        <f t="shared" si="9"/>
        <v>0</v>
      </c>
      <c r="V114" s="81"/>
      <c r="W114" s="81"/>
      <c r="X114" s="81"/>
      <c r="Y114" s="81"/>
      <c r="Z114" s="81"/>
    </row>
    <row r="115" spans="1:26" s="203" customFormat="1" ht="24" customHeight="1" x14ac:dyDescent="0.55000000000000004">
      <c r="A115" s="467" t="s">
        <v>322</v>
      </c>
    </row>
    <row r="116" spans="1:26" ht="24" customHeight="1" x14ac:dyDescent="0.5">
      <c r="A116" s="3"/>
      <c r="B116" s="3"/>
      <c r="C116" s="3"/>
      <c r="D116" s="3"/>
      <c r="E116" s="3"/>
      <c r="F116" s="3"/>
      <c r="G116" s="3"/>
      <c r="H116" s="3"/>
      <c r="I116" s="3"/>
      <c r="J116" s="4"/>
      <c r="K116" s="3"/>
      <c r="L116" s="3"/>
      <c r="M116" s="4"/>
      <c r="N116" s="3"/>
      <c r="O116" s="3"/>
      <c r="P116" s="4"/>
      <c r="Q116" s="3"/>
      <c r="R116" s="3"/>
      <c r="S116" s="4"/>
      <c r="T116" s="3"/>
      <c r="U116" s="3"/>
      <c r="V116" s="81"/>
      <c r="W116" s="81"/>
      <c r="X116" s="81"/>
      <c r="Y116" s="81"/>
      <c r="Z116" s="81"/>
    </row>
    <row r="117" spans="1:26" ht="24" customHeight="1" x14ac:dyDescent="0.5">
      <c r="A117" s="3"/>
      <c r="B117" s="3"/>
      <c r="C117" s="3"/>
      <c r="D117" s="3"/>
      <c r="E117" s="3"/>
      <c r="F117" s="3"/>
      <c r="G117" s="3"/>
      <c r="H117" s="3"/>
      <c r="I117" s="3"/>
      <c r="J117" s="4"/>
      <c r="K117" s="3"/>
      <c r="L117" s="3"/>
      <c r="M117" s="4"/>
      <c r="N117" s="3"/>
      <c r="O117" s="3"/>
      <c r="P117" s="4"/>
      <c r="Q117" s="3"/>
      <c r="R117" s="3"/>
      <c r="S117" s="4"/>
      <c r="T117" s="3"/>
      <c r="U117" s="3"/>
      <c r="V117" s="81"/>
      <c r="W117" s="81"/>
      <c r="X117" s="81"/>
      <c r="Y117" s="81"/>
      <c r="Z117" s="81"/>
    </row>
    <row r="118" spans="1:26" ht="24" customHeight="1" x14ac:dyDescent="0.5">
      <c r="A118" s="3"/>
      <c r="B118" s="3"/>
      <c r="C118" s="3"/>
      <c r="D118" s="3"/>
      <c r="E118" s="3"/>
      <c r="F118" s="3"/>
      <c r="G118" s="3"/>
      <c r="H118" s="3"/>
      <c r="I118" s="3"/>
      <c r="J118" s="4"/>
      <c r="K118" s="3"/>
      <c r="L118" s="3"/>
      <c r="M118" s="4"/>
      <c r="N118" s="3"/>
      <c r="O118" s="3"/>
      <c r="P118" s="4"/>
      <c r="Q118" s="3"/>
      <c r="R118" s="3"/>
      <c r="S118" s="4"/>
      <c r="T118" s="3"/>
      <c r="U118" s="3"/>
      <c r="V118" s="81"/>
      <c r="W118" s="81"/>
      <c r="X118" s="81"/>
      <c r="Y118" s="81"/>
      <c r="Z118" s="81"/>
    </row>
    <row r="119" spans="1:26" ht="24" customHeight="1" x14ac:dyDescent="0.5">
      <c r="A119" s="3"/>
      <c r="B119" s="3"/>
      <c r="C119" s="3"/>
      <c r="D119" s="3"/>
      <c r="E119" s="3"/>
      <c r="F119" s="3"/>
      <c r="G119" s="3"/>
      <c r="H119" s="3"/>
      <c r="I119" s="3"/>
      <c r="J119" s="4"/>
      <c r="K119" s="3"/>
      <c r="L119" s="3"/>
      <c r="M119" s="4"/>
      <c r="N119" s="3"/>
      <c r="O119" s="3"/>
      <c r="P119" s="4"/>
      <c r="Q119" s="3"/>
      <c r="R119" s="3"/>
      <c r="S119" s="4"/>
      <c r="T119" s="3"/>
      <c r="U119" s="3"/>
      <c r="V119" s="81"/>
      <c r="W119" s="81"/>
      <c r="X119" s="81"/>
      <c r="Y119" s="81"/>
      <c r="Z119" s="81"/>
    </row>
    <row r="120" spans="1:26" ht="24" customHeight="1" x14ac:dyDescent="0.5">
      <c r="A120" s="3"/>
      <c r="B120" s="3"/>
      <c r="C120" s="3"/>
      <c r="D120" s="3"/>
      <c r="E120" s="3"/>
      <c r="F120" s="3"/>
      <c r="G120" s="3"/>
      <c r="H120" s="3"/>
      <c r="I120" s="3"/>
      <c r="J120" s="4"/>
      <c r="K120" s="3"/>
      <c r="L120" s="3"/>
      <c r="M120" s="4"/>
      <c r="N120" s="3"/>
      <c r="O120" s="3"/>
      <c r="P120" s="4"/>
      <c r="Q120" s="3"/>
      <c r="R120" s="3"/>
      <c r="S120" s="4"/>
      <c r="T120" s="3"/>
      <c r="U120" s="3"/>
      <c r="V120" s="81"/>
      <c r="W120" s="81"/>
      <c r="X120" s="81"/>
      <c r="Y120" s="81"/>
      <c r="Z120" s="81"/>
    </row>
    <row r="121" spans="1:26" ht="24" customHeight="1" x14ac:dyDescent="0.5">
      <c r="A121" s="3"/>
      <c r="B121" s="3"/>
      <c r="C121" s="3"/>
      <c r="D121" s="3"/>
      <c r="E121" s="3"/>
      <c r="F121" s="3"/>
      <c r="G121" s="3"/>
      <c r="H121" s="3"/>
      <c r="I121" s="3"/>
      <c r="J121" s="4"/>
      <c r="K121" s="3"/>
      <c r="L121" s="3"/>
      <c r="M121" s="4"/>
      <c r="N121" s="3"/>
      <c r="O121" s="3"/>
      <c r="P121" s="4"/>
      <c r="Q121" s="3"/>
      <c r="R121" s="3"/>
      <c r="S121" s="4"/>
      <c r="T121" s="3"/>
      <c r="U121" s="3"/>
      <c r="V121" s="81"/>
      <c r="W121" s="81"/>
      <c r="X121" s="81"/>
      <c r="Y121" s="81"/>
      <c r="Z121" s="81"/>
    </row>
    <row r="122" spans="1:26" ht="24" customHeight="1" x14ac:dyDescent="0.5">
      <c r="A122" s="3"/>
      <c r="B122" s="3"/>
      <c r="C122" s="3"/>
      <c r="D122" s="3"/>
      <c r="E122" s="3"/>
      <c r="F122" s="3"/>
      <c r="G122" s="3"/>
      <c r="H122" s="3"/>
      <c r="I122" s="3"/>
      <c r="J122" s="4"/>
      <c r="K122" s="3"/>
      <c r="L122" s="3"/>
      <c r="M122" s="4"/>
      <c r="N122" s="3"/>
      <c r="O122" s="3"/>
      <c r="P122" s="4"/>
      <c r="Q122" s="3"/>
      <c r="R122" s="3"/>
      <c r="S122" s="4"/>
      <c r="T122" s="3"/>
      <c r="U122" s="3"/>
      <c r="V122" s="81"/>
      <c r="W122" s="81"/>
      <c r="X122" s="81"/>
      <c r="Y122" s="81"/>
      <c r="Z122" s="81"/>
    </row>
    <row r="123" spans="1:26" ht="24" customHeight="1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4"/>
      <c r="K123" s="3"/>
      <c r="L123" s="3"/>
      <c r="M123" s="4"/>
      <c r="N123" s="3"/>
      <c r="O123" s="3"/>
      <c r="P123" s="4"/>
      <c r="Q123" s="3"/>
      <c r="R123" s="3"/>
      <c r="S123" s="4"/>
      <c r="T123" s="3"/>
      <c r="U123" s="3"/>
      <c r="V123" s="81"/>
      <c r="W123" s="81"/>
      <c r="X123" s="81"/>
      <c r="Y123" s="81"/>
      <c r="Z123" s="81"/>
    </row>
    <row r="124" spans="1:26" ht="24" customHeight="1" x14ac:dyDescent="0.5">
      <c r="A124" s="3"/>
      <c r="B124" s="3"/>
      <c r="C124" s="3"/>
      <c r="D124" s="3"/>
      <c r="E124" s="3"/>
      <c r="F124" s="3"/>
      <c r="G124" s="3"/>
      <c r="H124" s="3"/>
      <c r="I124" s="3"/>
      <c r="J124" s="4"/>
      <c r="K124" s="3"/>
      <c r="L124" s="3"/>
      <c r="M124" s="4"/>
      <c r="N124" s="3"/>
      <c r="O124" s="3"/>
      <c r="P124" s="4"/>
      <c r="Q124" s="3"/>
      <c r="R124" s="3"/>
      <c r="S124" s="4"/>
      <c r="T124" s="3"/>
      <c r="U124" s="3"/>
      <c r="V124" s="81"/>
      <c r="W124" s="81"/>
      <c r="X124" s="81"/>
      <c r="Y124" s="81"/>
      <c r="Z124" s="81"/>
    </row>
    <row r="125" spans="1:26" ht="24" customHeight="1" x14ac:dyDescent="0.5">
      <c r="A125" s="3"/>
      <c r="B125" s="3"/>
      <c r="C125" s="3"/>
      <c r="D125" s="3"/>
      <c r="E125" s="3"/>
      <c r="F125" s="3"/>
      <c r="G125" s="3"/>
      <c r="H125" s="3"/>
      <c r="I125" s="3"/>
      <c r="J125" s="4"/>
      <c r="K125" s="3"/>
      <c r="L125" s="3"/>
      <c r="M125" s="4"/>
      <c r="N125" s="3"/>
      <c r="O125" s="3"/>
      <c r="P125" s="4"/>
      <c r="Q125" s="3"/>
      <c r="R125" s="3"/>
      <c r="S125" s="4"/>
      <c r="T125" s="3"/>
      <c r="U125" s="3"/>
      <c r="V125" s="81"/>
      <c r="W125" s="81"/>
      <c r="X125" s="81"/>
      <c r="Y125" s="81"/>
      <c r="Z125" s="81"/>
    </row>
    <row r="126" spans="1:26" ht="24" customHeight="1" x14ac:dyDescent="0.5">
      <c r="A126" s="3"/>
      <c r="B126" s="3"/>
      <c r="C126" s="3"/>
      <c r="D126" s="3"/>
      <c r="E126" s="3"/>
      <c r="F126" s="3"/>
      <c r="G126" s="3"/>
      <c r="H126" s="3"/>
      <c r="I126" s="3"/>
      <c r="J126" s="4"/>
      <c r="K126" s="3"/>
      <c r="L126" s="3"/>
      <c r="M126" s="4"/>
      <c r="N126" s="3"/>
      <c r="O126" s="3"/>
      <c r="P126" s="4"/>
      <c r="Q126" s="3"/>
      <c r="R126" s="3"/>
      <c r="S126" s="4"/>
      <c r="T126" s="3"/>
      <c r="U126" s="3"/>
      <c r="V126" s="81"/>
      <c r="W126" s="81"/>
      <c r="X126" s="81"/>
      <c r="Y126" s="81"/>
      <c r="Z126" s="81"/>
    </row>
    <row r="127" spans="1:26" ht="24" customHeight="1" x14ac:dyDescent="0.5">
      <c r="A127" s="3"/>
      <c r="B127" s="3"/>
      <c r="C127" s="3"/>
      <c r="D127" s="3"/>
      <c r="E127" s="3"/>
      <c r="F127" s="3"/>
      <c r="G127" s="3"/>
      <c r="H127" s="3"/>
      <c r="I127" s="3"/>
      <c r="J127" s="4"/>
      <c r="K127" s="3"/>
      <c r="L127" s="3"/>
      <c r="M127" s="4"/>
      <c r="N127" s="3"/>
      <c r="O127" s="3"/>
      <c r="P127" s="4"/>
      <c r="Q127" s="3"/>
      <c r="R127" s="3"/>
      <c r="S127" s="4"/>
      <c r="T127" s="3"/>
      <c r="U127" s="3"/>
      <c r="V127" s="81"/>
      <c r="W127" s="81"/>
      <c r="X127" s="81"/>
      <c r="Y127" s="81"/>
      <c r="Z127" s="81"/>
    </row>
    <row r="128" spans="1:26" ht="24" customHeight="1" x14ac:dyDescent="0.5">
      <c r="A128" s="3"/>
      <c r="B128" s="3"/>
      <c r="C128" s="3"/>
      <c r="D128" s="3"/>
      <c r="E128" s="3"/>
      <c r="F128" s="3"/>
      <c r="G128" s="3"/>
      <c r="H128" s="3"/>
      <c r="I128" s="3"/>
      <c r="J128" s="4"/>
      <c r="K128" s="3"/>
      <c r="L128" s="3"/>
      <c r="M128" s="4"/>
      <c r="N128" s="3"/>
      <c r="O128" s="3"/>
      <c r="P128" s="4"/>
      <c r="Q128" s="3"/>
      <c r="R128" s="3"/>
      <c r="S128" s="4"/>
      <c r="T128" s="3"/>
      <c r="U128" s="3"/>
      <c r="V128" s="81"/>
      <c r="W128" s="81"/>
      <c r="X128" s="81"/>
      <c r="Y128" s="81"/>
      <c r="Z128" s="81"/>
    </row>
    <row r="129" spans="1:26" ht="24" customHeight="1" x14ac:dyDescent="0.5">
      <c r="A129" s="3"/>
      <c r="B129" s="3"/>
      <c r="C129" s="3"/>
      <c r="D129" s="3"/>
      <c r="E129" s="3"/>
      <c r="F129" s="3"/>
      <c r="G129" s="3"/>
      <c r="H129" s="3"/>
      <c r="I129" s="3"/>
      <c r="J129" s="4"/>
      <c r="K129" s="3"/>
      <c r="L129" s="3"/>
      <c r="M129" s="4"/>
      <c r="N129" s="3"/>
      <c r="O129" s="3"/>
      <c r="P129" s="4"/>
      <c r="Q129" s="3"/>
      <c r="R129" s="3"/>
      <c r="S129" s="4"/>
      <c r="T129" s="3"/>
      <c r="U129" s="3"/>
      <c r="V129" s="81"/>
      <c r="W129" s="81"/>
      <c r="X129" s="81"/>
      <c r="Y129" s="81"/>
      <c r="Z129" s="81"/>
    </row>
    <row r="130" spans="1:26" ht="24" customHeight="1" x14ac:dyDescent="0.5">
      <c r="A130" s="3"/>
      <c r="B130" s="3"/>
      <c r="C130" s="3"/>
      <c r="D130" s="3"/>
      <c r="E130" s="3"/>
      <c r="F130" s="3"/>
      <c r="G130" s="3"/>
      <c r="H130" s="3"/>
      <c r="I130" s="3"/>
      <c r="J130" s="4"/>
      <c r="K130" s="3"/>
      <c r="L130" s="3"/>
      <c r="M130" s="4"/>
      <c r="N130" s="3"/>
      <c r="O130" s="3"/>
      <c r="P130" s="4"/>
      <c r="Q130" s="3"/>
      <c r="R130" s="3"/>
      <c r="S130" s="4"/>
      <c r="T130" s="3"/>
      <c r="U130" s="3"/>
      <c r="V130" s="81"/>
      <c r="W130" s="81"/>
      <c r="X130" s="81"/>
      <c r="Y130" s="81"/>
      <c r="Z130" s="81"/>
    </row>
    <row r="131" spans="1:26" ht="24" customHeight="1" x14ac:dyDescent="0.5">
      <c r="A131" s="3"/>
      <c r="B131" s="3"/>
      <c r="C131" s="3"/>
      <c r="D131" s="3"/>
      <c r="E131" s="3"/>
      <c r="F131" s="3"/>
      <c r="G131" s="3"/>
      <c r="H131" s="3"/>
      <c r="I131" s="3"/>
      <c r="J131" s="4"/>
      <c r="K131" s="3"/>
      <c r="L131" s="3"/>
      <c r="M131" s="4"/>
      <c r="N131" s="3"/>
      <c r="O131" s="3"/>
      <c r="P131" s="4"/>
      <c r="Q131" s="3"/>
      <c r="R131" s="3"/>
      <c r="S131" s="4"/>
      <c r="T131" s="3"/>
      <c r="U131" s="3"/>
      <c r="V131" s="81"/>
      <c r="W131" s="81"/>
      <c r="X131" s="81"/>
      <c r="Y131" s="81"/>
      <c r="Z131" s="81"/>
    </row>
    <row r="132" spans="1:26" ht="24" customHeight="1" x14ac:dyDescent="0.5">
      <c r="A132" s="3"/>
      <c r="B132" s="3"/>
      <c r="C132" s="3"/>
      <c r="D132" s="3"/>
      <c r="E132" s="3"/>
      <c r="F132" s="3"/>
      <c r="G132" s="3"/>
      <c r="H132" s="3"/>
      <c r="I132" s="3"/>
      <c r="J132" s="4"/>
      <c r="K132" s="3"/>
      <c r="L132" s="3"/>
      <c r="M132" s="4"/>
      <c r="N132" s="3"/>
      <c r="O132" s="3"/>
      <c r="P132" s="4"/>
      <c r="Q132" s="3"/>
      <c r="R132" s="3"/>
      <c r="S132" s="4"/>
      <c r="T132" s="3"/>
      <c r="U132" s="3"/>
      <c r="V132" s="81"/>
      <c r="W132" s="81"/>
      <c r="X132" s="81"/>
      <c r="Y132" s="81"/>
      <c r="Z132" s="81"/>
    </row>
    <row r="133" spans="1:26" ht="24" customHeight="1" x14ac:dyDescent="0.5">
      <c r="A133" s="3"/>
      <c r="B133" s="3"/>
      <c r="C133" s="3"/>
      <c r="D133" s="3"/>
      <c r="E133" s="3"/>
      <c r="F133" s="3"/>
      <c r="G133" s="3"/>
      <c r="H133" s="3"/>
      <c r="I133" s="3"/>
      <c r="J133" s="4"/>
      <c r="K133" s="3"/>
      <c r="L133" s="3"/>
      <c r="M133" s="4"/>
      <c r="N133" s="3"/>
      <c r="O133" s="3"/>
      <c r="P133" s="4"/>
      <c r="Q133" s="3"/>
      <c r="R133" s="3"/>
      <c r="S133" s="4"/>
      <c r="T133" s="3"/>
      <c r="U133" s="3"/>
      <c r="V133" s="81"/>
      <c r="W133" s="81"/>
      <c r="X133" s="81"/>
      <c r="Y133" s="81"/>
      <c r="Z133" s="81"/>
    </row>
    <row r="134" spans="1:26" ht="24" customHeight="1" x14ac:dyDescent="0.5">
      <c r="A134" s="3"/>
      <c r="B134" s="3"/>
      <c r="C134" s="3"/>
      <c r="D134" s="3"/>
      <c r="E134" s="3"/>
      <c r="F134" s="3"/>
      <c r="G134" s="3"/>
      <c r="H134" s="3"/>
      <c r="I134" s="3"/>
      <c r="J134" s="4"/>
      <c r="K134" s="3"/>
      <c r="L134" s="3"/>
      <c r="M134" s="4"/>
      <c r="N134" s="3"/>
      <c r="O134" s="3"/>
      <c r="P134" s="4"/>
      <c r="Q134" s="3"/>
      <c r="R134" s="3"/>
      <c r="S134" s="4"/>
      <c r="T134" s="3"/>
      <c r="U134" s="3"/>
      <c r="V134" s="81"/>
      <c r="W134" s="81"/>
      <c r="X134" s="81"/>
      <c r="Y134" s="81"/>
      <c r="Z134" s="81"/>
    </row>
    <row r="135" spans="1:26" ht="24" customHeight="1" x14ac:dyDescent="0.5">
      <c r="A135" s="3"/>
      <c r="B135" s="3"/>
      <c r="C135" s="3"/>
      <c r="D135" s="3"/>
      <c r="E135" s="3"/>
      <c r="F135" s="3"/>
      <c r="G135" s="3"/>
      <c r="H135" s="3"/>
      <c r="I135" s="3"/>
      <c r="J135" s="4"/>
      <c r="K135" s="3"/>
      <c r="L135" s="3"/>
      <c r="M135" s="4"/>
      <c r="N135" s="3"/>
      <c r="O135" s="3"/>
      <c r="P135" s="4"/>
      <c r="Q135" s="3"/>
      <c r="R135" s="3"/>
      <c r="S135" s="4"/>
      <c r="T135" s="3"/>
      <c r="U135" s="3"/>
      <c r="V135" s="81"/>
      <c r="W135" s="81"/>
      <c r="X135" s="81"/>
      <c r="Y135" s="81"/>
      <c r="Z135" s="81"/>
    </row>
    <row r="136" spans="1:26" ht="24" customHeight="1" x14ac:dyDescent="0.5">
      <c r="A136" s="3"/>
      <c r="B136" s="3"/>
      <c r="C136" s="3"/>
      <c r="D136" s="3"/>
      <c r="E136" s="3"/>
      <c r="F136" s="3"/>
      <c r="G136" s="3"/>
      <c r="H136" s="3"/>
      <c r="I136" s="3"/>
      <c r="J136" s="4"/>
      <c r="K136" s="3"/>
      <c r="L136" s="3"/>
      <c r="M136" s="4"/>
      <c r="N136" s="3"/>
      <c r="O136" s="3"/>
      <c r="P136" s="4"/>
      <c r="Q136" s="3"/>
      <c r="R136" s="3"/>
      <c r="S136" s="4"/>
      <c r="T136" s="3"/>
      <c r="U136" s="3"/>
      <c r="V136" s="81"/>
      <c r="W136" s="81"/>
      <c r="X136" s="81"/>
      <c r="Y136" s="81"/>
      <c r="Z136" s="81"/>
    </row>
    <row r="137" spans="1:26" ht="24" customHeight="1" x14ac:dyDescent="0.5">
      <c r="A137" s="3"/>
      <c r="B137" s="3"/>
      <c r="C137" s="3"/>
      <c r="D137" s="3"/>
      <c r="E137" s="3"/>
      <c r="F137" s="3"/>
      <c r="G137" s="3"/>
      <c r="H137" s="3"/>
      <c r="I137" s="3"/>
      <c r="J137" s="4"/>
      <c r="K137" s="3"/>
      <c r="L137" s="3"/>
      <c r="M137" s="4"/>
      <c r="N137" s="3"/>
      <c r="O137" s="3"/>
      <c r="P137" s="4"/>
      <c r="Q137" s="3"/>
      <c r="R137" s="3"/>
      <c r="S137" s="4"/>
      <c r="T137" s="3"/>
      <c r="U137" s="3"/>
      <c r="V137" s="81"/>
      <c r="W137" s="81"/>
      <c r="X137" s="81"/>
      <c r="Y137" s="81"/>
      <c r="Z137" s="81"/>
    </row>
    <row r="138" spans="1:26" ht="24" customHeight="1" x14ac:dyDescent="0.5">
      <c r="A138" s="3"/>
      <c r="B138" s="3"/>
      <c r="C138" s="3"/>
      <c r="D138" s="3"/>
      <c r="E138" s="3"/>
      <c r="F138" s="3"/>
      <c r="G138" s="3"/>
      <c r="H138" s="3"/>
      <c r="I138" s="3"/>
      <c r="J138" s="4"/>
      <c r="K138" s="3"/>
      <c r="L138" s="3"/>
      <c r="M138" s="4"/>
      <c r="N138" s="3"/>
      <c r="O138" s="3"/>
      <c r="P138" s="4"/>
      <c r="Q138" s="3"/>
      <c r="R138" s="3"/>
      <c r="S138" s="4"/>
      <c r="T138" s="3"/>
      <c r="U138" s="3"/>
      <c r="V138" s="81"/>
      <c r="W138" s="81"/>
      <c r="X138" s="81"/>
      <c r="Y138" s="81"/>
      <c r="Z138" s="81"/>
    </row>
    <row r="139" spans="1:26" ht="24" customHeight="1" x14ac:dyDescent="0.5">
      <c r="A139" s="3"/>
      <c r="B139" s="3"/>
      <c r="C139" s="3"/>
      <c r="D139" s="3"/>
      <c r="E139" s="3"/>
      <c r="F139" s="3"/>
      <c r="G139" s="3"/>
      <c r="H139" s="3"/>
      <c r="I139" s="3"/>
      <c r="J139" s="4"/>
      <c r="K139" s="3"/>
      <c r="L139" s="3"/>
      <c r="M139" s="4"/>
      <c r="N139" s="3"/>
      <c r="O139" s="3"/>
      <c r="P139" s="4"/>
      <c r="Q139" s="3"/>
      <c r="R139" s="3"/>
      <c r="S139" s="4"/>
      <c r="T139" s="3"/>
      <c r="U139" s="3"/>
      <c r="V139" s="81"/>
      <c r="W139" s="81"/>
      <c r="X139" s="81"/>
      <c r="Y139" s="81"/>
      <c r="Z139" s="81"/>
    </row>
    <row r="140" spans="1:26" ht="24" customHeight="1" x14ac:dyDescent="0.5">
      <c r="A140" s="3"/>
      <c r="B140" s="3"/>
      <c r="C140" s="3"/>
      <c r="D140" s="3"/>
      <c r="E140" s="3"/>
      <c r="F140" s="3"/>
      <c r="G140" s="3"/>
      <c r="H140" s="3"/>
      <c r="I140" s="3"/>
      <c r="J140" s="4"/>
      <c r="K140" s="3"/>
      <c r="L140" s="3"/>
      <c r="M140" s="4"/>
      <c r="N140" s="3"/>
      <c r="O140" s="3"/>
      <c r="P140" s="4"/>
      <c r="Q140" s="3"/>
      <c r="R140" s="3"/>
      <c r="S140" s="4"/>
      <c r="T140" s="3"/>
      <c r="U140" s="3"/>
      <c r="V140" s="81"/>
      <c r="W140" s="81"/>
      <c r="X140" s="81"/>
      <c r="Y140" s="81"/>
      <c r="Z140" s="81"/>
    </row>
    <row r="141" spans="1:26" ht="24" customHeight="1" x14ac:dyDescent="0.5">
      <c r="A141" s="3"/>
      <c r="B141" s="3"/>
      <c r="C141" s="3"/>
      <c r="D141" s="3"/>
      <c r="E141" s="3"/>
      <c r="F141" s="3"/>
      <c r="G141" s="3"/>
      <c r="H141" s="3"/>
      <c r="I141" s="3"/>
      <c r="J141" s="4"/>
      <c r="K141" s="3"/>
      <c r="L141" s="3"/>
      <c r="M141" s="4"/>
      <c r="N141" s="3"/>
      <c r="O141" s="3"/>
      <c r="P141" s="4"/>
      <c r="Q141" s="3"/>
      <c r="R141" s="3"/>
      <c r="S141" s="4"/>
      <c r="T141" s="3"/>
      <c r="U141" s="3"/>
      <c r="V141" s="81"/>
      <c r="W141" s="81"/>
      <c r="X141" s="81"/>
      <c r="Y141" s="81"/>
      <c r="Z141" s="81"/>
    </row>
    <row r="142" spans="1:26" ht="24" customHeight="1" x14ac:dyDescent="0.5">
      <c r="A142" s="3"/>
      <c r="B142" s="3"/>
      <c r="C142" s="3"/>
      <c r="D142" s="3"/>
      <c r="E142" s="3"/>
      <c r="F142" s="3"/>
      <c r="G142" s="3"/>
      <c r="H142" s="3"/>
      <c r="I142" s="3"/>
      <c r="J142" s="4"/>
      <c r="K142" s="3"/>
      <c r="L142" s="3"/>
      <c r="M142" s="4"/>
      <c r="N142" s="3"/>
      <c r="O142" s="3"/>
      <c r="P142" s="4"/>
      <c r="Q142" s="3"/>
      <c r="R142" s="3"/>
      <c r="S142" s="4"/>
      <c r="T142" s="3"/>
      <c r="U142" s="3"/>
      <c r="V142" s="81"/>
      <c r="W142" s="81"/>
      <c r="X142" s="81"/>
      <c r="Y142" s="81"/>
      <c r="Z142" s="81"/>
    </row>
    <row r="143" spans="1:26" ht="24" customHeight="1" x14ac:dyDescent="0.5">
      <c r="A143" s="3"/>
      <c r="B143" s="3"/>
      <c r="C143" s="3"/>
      <c r="D143" s="3"/>
      <c r="E143" s="3"/>
      <c r="F143" s="3"/>
      <c r="G143" s="3"/>
      <c r="H143" s="3"/>
      <c r="I143" s="3"/>
      <c r="J143" s="4"/>
      <c r="K143" s="3"/>
      <c r="L143" s="3"/>
      <c r="M143" s="4"/>
      <c r="N143" s="3"/>
      <c r="O143" s="3"/>
      <c r="P143" s="4"/>
      <c r="Q143" s="3"/>
      <c r="R143" s="3"/>
      <c r="S143" s="4"/>
      <c r="T143" s="3"/>
      <c r="U143" s="3"/>
      <c r="V143" s="81"/>
      <c r="W143" s="81"/>
      <c r="X143" s="81"/>
      <c r="Y143" s="81"/>
      <c r="Z143" s="81"/>
    </row>
    <row r="144" spans="1:26" ht="24" customHeight="1" x14ac:dyDescent="0.5">
      <c r="A144" s="3"/>
      <c r="B144" s="3"/>
      <c r="C144" s="3"/>
      <c r="D144" s="3"/>
      <c r="E144" s="3"/>
      <c r="F144" s="3"/>
      <c r="G144" s="3"/>
      <c r="H144" s="3"/>
      <c r="I144" s="3"/>
      <c r="J144" s="4"/>
      <c r="K144" s="3"/>
      <c r="L144" s="3"/>
      <c r="M144" s="4"/>
      <c r="N144" s="3"/>
      <c r="O144" s="3"/>
      <c r="P144" s="4"/>
      <c r="Q144" s="3"/>
      <c r="R144" s="3"/>
      <c r="S144" s="4"/>
      <c r="T144" s="3"/>
      <c r="U144" s="3"/>
      <c r="V144" s="81"/>
      <c r="W144" s="81"/>
      <c r="X144" s="81"/>
      <c r="Y144" s="81"/>
      <c r="Z144" s="81"/>
    </row>
    <row r="145" spans="1:26" ht="24" customHeight="1" x14ac:dyDescent="0.5">
      <c r="A145" s="3"/>
      <c r="B145" s="3"/>
      <c r="C145" s="3"/>
      <c r="D145" s="3"/>
      <c r="E145" s="3"/>
      <c r="F145" s="3"/>
      <c r="G145" s="3"/>
      <c r="H145" s="3"/>
      <c r="I145" s="3"/>
      <c r="J145" s="4"/>
      <c r="K145" s="3"/>
      <c r="L145" s="3"/>
      <c r="M145" s="4"/>
      <c r="N145" s="3"/>
      <c r="O145" s="3"/>
      <c r="P145" s="4"/>
      <c r="Q145" s="3"/>
      <c r="R145" s="3"/>
      <c r="S145" s="4"/>
      <c r="T145" s="3"/>
      <c r="U145" s="3"/>
      <c r="V145" s="81"/>
      <c r="W145" s="81"/>
      <c r="X145" s="81"/>
      <c r="Y145" s="81"/>
      <c r="Z145" s="81"/>
    </row>
    <row r="146" spans="1:26" ht="24" customHeight="1" x14ac:dyDescent="0.5">
      <c r="A146" s="3"/>
      <c r="B146" s="3"/>
      <c r="C146" s="3"/>
      <c r="D146" s="3"/>
      <c r="E146" s="3"/>
      <c r="F146" s="3"/>
      <c r="G146" s="3"/>
      <c r="H146" s="3"/>
      <c r="I146" s="3"/>
      <c r="J146" s="4"/>
      <c r="K146" s="3"/>
      <c r="L146" s="3"/>
      <c r="M146" s="4"/>
      <c r="N146" s="3"/>
      <c r="O146" s="3"/>
      <c r="P146" s="4"/>
      <c r="Q146" s="3"/>
      <c r="R146" s="3"/>
      <c r="S146" s="4"/>
      <c r="T146" s="3"/>
      <c r="U146" s="3"/>
      <c r="V146" s="81"/>
      <c r="W146" s="81"/>
      <c r="X146" s="81"/>
      <c r="Y146" s="81"/>
      <c r="Z146" s="81"/>
    </row>
    <row r="147" spans="1:26" ht="24" customHeight="1" x14ac:dyDescent="0.5">
      <c r="A147" s="3"/>
      <c r="B147" s="3"/>
      <c r="C147" s="3"/>
      <c r="D147" s="3"/>
      <c r="E147" s="3"/>
      <c r="F147" s="3"/>
      <c r="G147" s="3"/>
      <c r="H147" s="3"/>
      <c r="I147" s="3"/>
      <c r="J147" s="4"/>
      <c r="K147" s="3"/>
      <c r="L147" s="3"/>
      <c r="M147" s="4"/>
      <c r="N147" s="3"/>
      <c r="O147" s="3"/>
      <c r="P147" s="4"/>
      <c r="Q147" s="3"/>
      <c r="R147" s="3"/>
      <c r="S147" s="4"/>
      <c r="T147" s="3"/>
      <c r="U147" s="3"/>
      <c r="V147" s="81"/>
      <c r="W147" s="81"/>
      <c r="X147" s="81"/>
      <c r="Y147" s="81"/>
      <c r="Z147" s="81"/>
    </row>
    <row r="148" spans="1:26" ht="24" customHeight="1" x14ac:dyDescent="0.5">
      <c r="A148" s="3"/>
      <c r="B148" s="3"/>
      <c r="C148" s="3"/>
      <c r="D148" s="3"/>
      <c r="E148" s="3"/>
      <c r="F148" s="3"/>
      <c r="G148" s="3"/>
      <c r="H148" s="3"/>
      <c r="I148" s="3"/>
      <c r="J148" s="4"/>
      <c r="K148" s="3"/>
      <c r="L148" s="3"/>
      <c r="M148" s="4"/>
      <c r="N148" s="3"/>
      <c r="O148" s="3"/>
      <c r="P148" s="4"/>
      <c r="Q148" s="3"/>
      <c r="R148" s="3"/>
      <c r="S148" s="4"/>
      <c r="T148" s="3"/>
      <c r="U148" s="3"/>
      <c r="V148" s="81"/>
      <c r="W148" s="81"/>
      <c r="X148" s="81"/>
      <c r="Y148" s="81"/>
      <c r="Z148" s="81"/>
    </row>
    <row r="149" spans="1:26" ht="24" customHeight="1" x14ac:dyDescent="0.5">
      <c r="A149" s="3"/>
      <c r="B149" s="3"/>
      <c r="C149" s="3"/>
      <c r="D149" s="3"/>
      <c r="E149" s="3"/>
      <c r="F149" s="3"/>
      <c r="G149" s="3"/>
      <c r="H149" s="3"/>
      <c r="I149" s="3"/>
      <c r="J149" s="4"/>
      <c r="K149" s="3"/>
      <c r="L149" s="3"/>
      <c r="M149" s="4"/>
      <c r="N149" s="3"/>
      <c r="O149" s="3"/>
      <c r="P149" s="4"/>
      <c r="Q149" s="3"/>
      <c r="R149" s="3"/>
      <c r="S149" s="4"/>
      <c r="T149" s="3"/>
      <c r="U149" s="3"/>
      <c r="V149" s="81"/>
      <c r="W149" s="81"/>
      <c r="X149" s="81"/>
      <c r="Y149" s="81"/>
      <c r="Z149" s="81"/>
    </row>
    <row r="150" spans="1:26" ht="24" customHeight="1" x14ac:dyDescent="0.5">
      <c r="A150" s="3"/>
      <c r="B150" s="3"/>
      <c r="C150" s="3"/>
      <c r="D150" s="3"/>
      <c r="E150" s="3"/>
      <c r="F150" s="3"/>
      <c r="G150" s="3"/>
      <c r="H150" s="3"/>
      <c r="I150" s="3"/>
      <c r="J150" s="4"/>
      <c r="K150" s="3"/>
      <c r="L150" s="3"/>
      <c r="M150" s="4"/>
      <c r="N150" s="3"/>
      <c r="O150" s="3"/>
      <c r="P150" s="4"/>
      <c r="Q150" s="3"/>
      <c r="R150" s="3"/>
      <c r="S150" s="4"/>
      <c r="T150" s="3"/>
      <c r="U150" s="3"/>
      <c r="V150" s="81"/>
      <c r="W150" s="81"/>
      <c r="X150" s="81"/>
      <c r="Y150" s="81"/>
      <c r="Z150" s="81"/>
    </row>
    <row r="151" spans="1:26" ht="24" customHeight="1" x14ac:dyDescent="0.5">
      <c r="A151" s="3"/>
      <c r="B151" s="3"/>
      <c r="C151" s="3"/>
      <c r="D151" s="3"/>
      <c r="E151" s="3"/>
      <c r="F151" s="3"/>
      <c r="G151" s="3"/>
      <c r="H151" s="3"/>
      <c r="I151" s="3"/>
      <c r="J151" s="4"/>
      <c r="K151" s="3"/>
      <c r="L151" s="3"/>
      <c r="M151" s="4"/>
      <c r="N151" s="3"/>
      <c r="O151" s="3"/>
      <c r="P151" s="4"/>
      <c r="Q151" s="3"/>
      <c r="R151" s="3"/>
      <c r="S151" s="4"/>
      <c r="T151" s="3"/>
      <c r="U151" s="3"/>
      <c r="V151" s="81"/>
      <c r="W151" s="81"/>
      <c r="X151" s="81"/>
      <c r="Y151" s="81"/>
      <c r="Z151" s="81"/>
    </row>
    <row r="152" spans="1:26" ht="24" customHeight="1" x14ac:dyDescent="0.5">
      <c r="A152" s="3"/>
      <c r="B152" s="3"/>
      <c r="C152" s="3"/>
      <c r="D152" s="3"/>
      <c r="E152" s="3"/>
      <c r="F152" s="3"/>
      <c r="G152" s="3"/>
      <c r="H152" s="3"/>
      <c r="I152" s="3"/>
      <c r="J152" s="4"/>
      <c r="K152" s="3"/>
      <c r="L152" s="3"/>
      <c r="M152" s="4"/>
      <c r="N152" s="3"/>
      <c r="O152" s="3"/>
      <c r="P152" s="4"/>
      <c r="Q152" s="3"/>
      <c r="R152" s="3"/>
      <c r="S152" s="4"/>
      <c r="T152" s="3"/>
      <c r="U152" s="3"/>
      <c r="V152" s="81"/>
      <c r="W152" s="81"/>
      <c r="X152" s="81"/>
      <c r="Y152" s="81"/>
      <c r="Z152" s="81"/>
    </row>
    <row r="153" spans="1:26" ht="24" customHeight="1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4"/>
      <c r="K153" s="3"/>
      <c r="L153" s="3"/>
      <c r="M153" s="4"/>
      <c r="N153" s="3"/>
      <c r="O153" s="3"/>
      <c r="P153" s="4"/>
      <c r="Q153" s="3"/>
      <c r="R153" s="3"/>
      <c r="S153" s="4"/>
      <c r="T153" s="3"/>
      <c r="U153" s="3"/>
      <c r="V153" s="81"/>
      <c r="W153" s="81"/>
      <c r="X153" s="81"/>
      <c r="Y153" s="81"/>
      <c r="Z153" s="81"/>
    </row>
    <row r="154" spans="1:26" ht="24" customHeight="1" x14ac:dyDescent="0.5">
      <c r="A154" s="3"/>
      <c r="B154" s="3"/>
      <c r="C154" s="3"/>
      <c r="D154" s="3"/>
      <c r="E154" s="3"/>
      <c r="F154" s="3"/>
      <c r="G154" s="3"/>
      <c r="H154" s="3"/>
      <c r="I154" s="3"/>
      <c r="J154" s="4"/>
      <c r="K154" s="3"/>
      <c r="L154" s="3"/>
      <c r="M154" s="4"/>
      <c r="N154" s="3"/>
      <c r="O154" s="3"/>
      <c r="P154" s="4"/>
      <c r="Q154" s="3"/>
      <c r="R154" s="3"/>
      <c r="S154" s="4"/>
      <c r="T154" s="3"/>
      <c r="U154" s="3"/>
      <c r="V154" s="81"/>
      <c r="W154" s="81"/>
      <c r="X154" s="81"/>
      <c r="Y154" s="81"/>
      <c r="Z154" s="81"/>
    </row>
    <row r="155" spans="1:26" ht="24" customHeight="1" x14ac:dyDescent="0.5">
      <c r="A155" s="3"/>
      <c r="B155" s="3"/>
      <c r="C155" s="3"/>
      <c r="D155" s="3"/>
      <c r="E155" s="3"/>
      <c r="F155" s="3"/>
      <c r="G155" s="3"/>
      <c r="H155" s="3"/>
      <c r="I155" s="3"/>
      <c r="J155" s="4"/>
      <c r="K155" s="3"/>
      <c r="L155" s="3"/>
      <c r="M155" s="4"/>
      <c r="N155" s="3"/>
      <c r="O155" s="3"/>
      <c r="P155" s="4"/>
      <c r="Q155" s="3"/>
      <c r="R155" s="3"/>
      <c r="S155" s="4"/>
      <c r="T155" s="3"/>
      <c r="U155" s="3"/>
      <c r="V155" s="81"/>
      <c r="W155" s="81"/>
      <c r="X155" s="81"/>
      <c r="Y155" s="81"/>
      <c r="Z155" s="81"/>
    </row>
    <row r="156" spans="1:26" ht="24" customHeight="1" x14ac:dyDescent="0.5">
      <c r="A156" s="3"/>
      <c r="B156" s="3"/>
      <c r="C156" s="3"/>
      <c r="D156" s="3"/>
      <c r="E156" s="3"/>
      <c r="F156" s="3"/>
      <c r="G156" s="3"/>
      <c r="H156" s="3"/>
      <c r="I156" s="3"/>
      <c r="J156" s="4"/>
      <c r="K156" s="3"/>
      <c r="L156" s="3"/>
      <c r="M156" s="4"/>
      <c r="N156" s="3"/>
      <c r="O156" s="3"/>
      <c r="P156" s="4"/>
      <c r="Q156" s="3"/>
      <c r="R156" s="3"/>
      <c r="S156" s="4"/>
      <c r="T156" s="3"/>
      <c r="U156" s="3"/>
      <c r="V156" s="81"/>
      <c r="W156" s="81"/>
      <c r="X156" s="81"/>
      <c r="Y156" s="81"/>
      <c r="Z156" s="81"/>
    </row>
    <row r="157" spans="1:26" ht="24" customHeight="1" x14ac:dyDescent="0.5">
      <c r="A157" s="3"/>
      <c r="B157" s="3"/>
      <c r="C157" s="3"/>
      <c r="D157" s="3"/>
      <c r="E157" s="3"/>
      <c r="F157" s="3"/>
      <c r="G157" s="3"/>
      <c r="H157" s="3"/>
      <c r="I157" s="3"/>
      <c r="J157" s="4"/>
      <c r="K157" s="3"/>
      <c r="L157" s="3"/>
      <c r="M157" s="4"/>
      <c r="N157" s="3"/>
      <c r="O157" s="3"/>
      <c r="P157" s="4"/>
      <c r="Q157" s="3"/>
      <c r="R157" s="3"/>
      <c r="S157" s="4"/>
      <c r="T157" s="3"/>
      <c r="U157" s="3"/>
      <c r="V157" s="81"/>
      <c r="W157" s="81"/>
      <c r="X157" s="81"/>
      <c r="Y157" s="81"/>
      <c r="Z157" s="81"/>
    </row>
    <row r="158" spans="1:26" ht="24" customHeight="1" x14ac:dyDescent="0.5">
      <c r="A158" s="3"/>
      <c r="B158" s="3"/>
      <c r="C158" s="3"/>
      <c r="D158" s="3"/>
      <c r="E158" s="3"/>
      <c r="F158" s="3"/>
      <c r="G158" s="3"/>
      <c r="H158" s="3"/>
      <c r="I158" s="3"/>
      <c r="J158" s="4"/>
      <c r="K158" s="3"/>
      <c r="L158" s="3"/>
      <c r="M158" s="4"/>
      <c r="N158" s="3"/>
      <c r="O158" s="3"/>
      <c r="P158" s="4"/>
      <c r="Q158" s="3"/>
      <c r="R158" s="3"/>
      <c r="S158" s="4"/>
      <c r="T158" s="3"/>
      <c r="U158" s="3"/>
      <c r="V158" s="81"/>
      <c r="W158" s="81"/>
      <c r="X158" s="81"/>
      <c r="Y158" s="81"/>
      <c r="Z158" s="81"/>
    </row>
    <row r="159" spans="1:26" ht="24" customHeight="1" x14ac:dyDescent="0.5">
      <c r="A159" s="3"/>
      <c r="B159" s="3"/>
      <c r="C159" s="3"/>
      <c r="D159" s="3"/>
      <c r="E159" s="3"/>
      <c r="F159" s="3"/>
      <c r="G159" s="3"/>
      <c r="H159" s="3"/>
      <c r="I159" s="3"/>
      <c r="J159" s="4"/>
      <c r="K159" s="3"/>
      <c r="L159" s="3"/>
      <c r="M159" s="4"/>
      <c r="N159" s="3"/>
      <c r="O159" s="3"/>
      <c r="P159" s="4"/>
      <c r="Q159" s="3"/>
      <c r="R159" s="3"/>
      <c r="S159" s="4"/>
      <c r="T159" s="3"/>
      <c r="U159" s="3"/>
      <c r="V159" s="81"/>
      <c r="W159" s="81"/>
      <c r="X159" s="81"/>
      <c r="Y159" s="81"/>
      <c r="Z159" s="81"/>
    </row>
    <row r="160" spans="1:26" ht="24" customHeight="1" x14ac:dyDescent="0.5">
      <c r="A160" s="3"/>
      <c r="B160" s="3"/>
      <c r="C160" s="3"/>
      <c r="D160" s="3"/>
      <c r="E160" s="3"/>
      <c r="F160" s="3"/>
      <c r="G160" s="3"/>
      <c r="H160" s="3"/>
      <c r="I160" s="3"/>
      <c r="J160" s="4"/>
      <c r="K160" s="3"/>
      <c r="L160" s="3"/>
      <c r="M160" s="4"/>
      <c r="N160" s="3"/>
      <c r="O160" s="3"/>
      <c r="P160" s="4"/>
      <c r="Q160" s="3"/>
      <c r="R160" s="3"/>
      <c r="S160" s="4"/>
      <c r="T160" s="3"/>
      <c r="U160" s="3"/>
      <c r="V160" s="81"/>
      <c r="W160" s="81"/>
      <c r="X160" s="81"/>
      <c r="Y160" s="81"/>
      <c r="Z160" s="81"/>
    </row>
    <row r="161" spans="1:26" ht="24" customHeight="1" x14ac:dyDescent="0.5">
      <c r="A161" s="3"/>
      <c r="B161" s="3"/>
      <c r="C161" s="3"/>
      <c r="D161" s="3"/>
      <c r="E161" s="3"/>
      <c r="F161" s="3"/>
      <c r="G161" s="3"/>
      <c r="H161" s="3"/>
      <c r="I161" s="3"/>
      <c r="J161" s="4"/>
      <c r="K161" s="3"/>
      <c r="L161" s="3"/>
      <c r="M161" s="4"/>
      <c r="N161" s="3"/>
      <c r="O161" s="3"/>
      <c r="P161" s="4"/>
      <c r="Q161" s="3"/>
      <c r="R161" s="3"/>
      <c r="S161" s="4"/>
      <c r="T161" s="3"/>
      <c r="U161" s="3"/>
      <c r="V161" s="81"/>
      <c r="W161" s="81"/>
      <c r="X161" s="81"/>
      <c r="Y161" s="81"/>
      <c r="Z161" s="81"/>
    </row>
    <row r="162" spans="1:26" ht="24" customHeight="1" x14ac:dyDescent="0.5">
      <c r="A162" s="3"/>
      <c r="B162" s="3"/>
      <c r="C162" s="3"/>
      <c r="D162" s="3"/>
      <c r="E162" s="3"/>
      <c r="F162" s="3"/>
      <c r="G162" s="3"/>
      <c r="H162" s="3"/>
      <c r="I162" s="3"/>
      <c r="J162" s="4"/>
      <c r="K162" s="3"/>
      <c r="L162" s="3"/>
      <c r="M162" s="4"/>
      <c r="N162" s="3"/>
      <c r="O162" s="3"/>
      <c r="P162" s="4"/>
      <c r="Q162" s="3"/>
      <c r="R162" s="3"/>
      <c r="S162" s="4"/>
      <c r="T162" s="3"/>
      <c r="U162" s="3"/>
      <c r="V162" s="81"/>
      <c r="W162" s="81"/>
      <c r="X162" s="81"/>
      <c r="Y162" s="81"/>
      <c r="Z162" s="81"/>
    </row>
    <row r="163" spans="1:26" ht="24" customHeight="1" x14ac:dyDescent="0.5">
      <c r="A163" s="3"/>
      <c r="B163" s="3"/>
      <c r="C163" s="3"/>
      <c r="D163" s="3"/>
      <c r="E163" s="3"/>
      <c r="F163" s="3"/>
      <c r="G163" s="3"/>
      <c r="H163" s="3"/>
      <c r="I163" s="3"/>
      <c r="J163" s="4"/>
      <c r="K163" s="3"/>
      <c r="L163" s="3"/>
      <c r="M163" s="4"/>
      <c r="N163" s="3"/>
      <c r="O163" s="3"/>
      <c r="P163" s="4"/>
      <c r="Q163" s="3"/>
      <c r="R163" s="3"/>
      <c r="S163" s="4"/>
      <c r="T163" s="3"/>
      <c r="U163" s="3"/>
      <c r="V163" s="81"/>
      <c r="W163" s="81"/>
      <c r="X163" s="81"/>
      <c r="Y163" s="81"/>
      <c r="Z163" s="81"/>
    </row>
    <row r="164" spans="1:26" ht="24" customHeight="1" x14ac:dyDescent="0.5">
      <c r="A164" s="3"/>
      <c r="B164" s="3"/>
      <c r="C164" s="3"/>
      <c r="D164" s="3"/>
      <c r="E164" s="3"/>
      <c r="F164" s="3"/>
      <c r="G164" s="3"/>
      <c r="H164" s="3"/>
      <c r="I164" s="3"/>
      <c r="J164" s="4"/>
      <c r="K164" s="3"/>
      <c r="L164" s="3"/>
      <c r="M164" s="4"/>
      <c r="N164" s="3"/>
      <c r="O164" s="3"/>
      <c r="P164" s="4"/>
      <c r="Q164" s="3"/>
      <c r="R164" s="3"/>
      <c r="S164" s="4"/>
      <c r="T164" s="3"/>
      <c r="U164" s="3"/>
      <c r="V164" s="81"/>
      <c r="W164" s="81"/>
      <c r="X164" s="81"/>
      <c r="Y164" s="81"/>
      <c r="Z164" s="81"/>
    </row>
    <row r="165" spans="1:26" ht="24" customHeight="1" x14ac:dyDescent="0.5">
      <c r="A165" s="3"/>
      <c r="B165" s="3"/>
      <c r="C165" s="3"/>
      <c r="D165" s="3"/>
      <c r="E165" s="3"/>
      <c r="F165" s="3"/>
      <c r="G165" s="3"/>
      <c r="H165" s="3"/>
      <c r="I165" s="3"/>
      <c r="J165" s="4"/>
      <c r="K165" s="3"/>
      <c r="L165" s="3"/>
      <c r="M165" s="4"/>
      <c r="N165" s="3"/>
      <c r="O165" s="3"/>
      <c r="P165" s="4"/>
      <c r="Q165" s="3"/>
      <c r="R165" s="3"/>
      <c r="S165" s="4"/>
      <c r="T165" s="3"/>
      <c r="U165" s="3"/>
      <c r="V165" s="81"/>
      <c r="W165" s="81"/>
      <c r="X165" s="81"/>
      <c r="Y165" s="81"/>
      <c r="Z165" s="81"/>
    </row>
    <row r="166" spans="1:26" ht="24" customHeight="1" x14ac:dyDescent="0.5">
      <c r="A166" s="3"/>
      <c r="B166" s="3"/>
      <c r="C166" s="3"/>
      <c r="D166" s="3"/>
      <c r="E166" s="3"/>
      <c r="F166" s="3"/>
      <c r="G166" s="3"/>
      <c r="H166" s="3"/>
      <c r="I166" s="3"/>
      <c r="J166" s="4"/>
      <c r="K166" s="3"/>
      <c r="L166" s="3"/>
      <c r="M166" s="4"/>
      <c r="N166" s="3"/>
      <c r="O166" s="3"/>
      <c r="P166" s="4"/>
      <c r="Q166" s="3"/>
      <c r="R166" s="3"/>
      <c r="S166" s="4"/>
      <c r="T166" s="3"/>
      <c r="U166" s="3"/>
      <c r="V166" s="81"/>
      <c r="W166" s="81"/>
      <c r="X166" s="81"/>
      <c r="Y166" s="81"/>
      <c r="Z166" s="81"/>
    </row>
    <row r="167" spans="1:26" ht="24" customHeight="1" x14ac:dyDescent="0.5">
      <c r="A167" s="3"/>
      <c r="B167" s="3"/>
      <c r="C167" s="3"/>
      <c r="D167" s="3"/>
      <c r="E167" s="3"/>
      <c r="F167" s="3"/>
      <c r="G167" s="3"/>
      <c r="H167" s="3"/>
      <c r="I167" s="3"/>
      <c r="J167" s="4"/>
      <c r="K167" s="3"/>
      <c r="L167" s="3"/>
      <c r="M167" s="4"/>
      <c r="N167" s="3"/>
      <c r="O167" s="3"/>
      <c r="P167" s="4"/>
      <c r="Q167" s="3"/>
      <c r="R167" s="3"/>
      <c r="S167" s="4"/>
      <c r="T167" s="3"/>
      <c r="U167" s="3"/>
      <c r="V167" s="81"/>
      <c r="W167" s="81"/>
      <c r="X167" s="81"/>
      <c r="Y167" s="81"/>
      <c r="Z167" s="81"/>
    </row>
    <row r="168" spans="1:26" ht="24" customHeight="1" x14ac:dyDescent="0.5">
      <c r="A168" s="3"/>
      <c r="B168" s="3"/>
      <c r="C168" s="3"/>
      <c r="D168" s="3"/>
      <c r="E168" s="3"/>
      <c r="F168" s="3"/>
      <c r="G168" s="3"/>
      <c r="H168" s="3"/>
      <c r="I168" s="3"/>
      <c r="J168" s="4"/>
      <c r="K168" s="3"/>
      <c r="L168" s="3"/>
      <c r="M168" s="4"/>
      <c r="N168" s="3"/>
      <c r="O168" s="3"/>
      <c r="P168" s="4"/>
      <c r="Q168" s="3"/>
      <c r="R168" s="3"/>
      <c r="S168" s="4"/>
      <c r="T168" s="3"/>
      <c r="U168" s="3"/>
      <c r="V168" s="81"/>
      <c r="W168" s="81"/>
      <c r="X168" s="81"/>
      <c r="Y168" s="81"/>
      <c r="Z168" s="81"/>
    </row>
    <row r="169" spans="1:26" ht="24" customHeight="1" x14ac:dyDescent="0.5">
      <c r="A169" s="3"/>
      <c r="B169" s="3"/>
      <c r="C169" s="3"/>
      <c r="D169" s="3"/>
      <c r="E169" s="3"/>
      <c r="F169" s="3"/>
      <c r="G169" s="3"/>
      <c r="H169" s="3"/>
      <c r="I169" s="3"/>
      <c r="J169" s="4"/>
      <c r="K169" s="3"/>
      <c r="L169" s="3"/>
      <c r="M169" s="4"/>
      <c r="N169" s="3"/>
      <c r="O169" s="3"/>
      <c r="P169" s="4"/>
      <c r="Q169" s="3"/>
      <c r="R169" s="3"/>
      <c r="S169" s="4"/>
      <c r="T169" s="3"/>
      <c r="U169" s="3"/>
      <c r="V169" s="81"/>
      <c r="W169" s="81"/>
      <c r="X169" s="81"/>
      <c r="Y169" s="81"/>
      <c r="Z169" s="81"/>
    </row>
    <row r="170" spans="1:26" ht="24" customHeight="1" x14ac:dyDescent="0.5">
      <c r="A170" s="3"/>
      <c r="B170" s="3"/>
      <c r="C170" s="3"/>
      <c r="D170" s="3"/>
      <c r="E170" s="3"/>
      <c r="F170" s="3"/>
      <c r="G170" s="3"/>
      <c r="H170" s="3"/>
      <c r="I170" s="3"/>
      <c r="J170" s="4"/>
      <c r="K170" s="3"/>
      <c r="L170" s="3"/>
      <c r="M170" s="4"/>
      <c r="N170" s="3"/>
      <c r="O170" s="3"/>
      <c r="P170" s="4"/>
      <c r="Q170" s="3"/>
      <c r="R170" s="3"/>
      <c r="S170" s="4"/>
      <c r="T170" s="3"/>
      <c r="U170" s="3"/>
      <c r="V170" s="81"/>
      <c r="W170" s="81"/>
      <c r="X170" s="81"/>
      <c r="Y170" s="81"/>
      <c r="Z170" s="81"/>
    </row>
    <row r="171" spans="1:26" ht="24" customHeight="1" x14ac:dyDescent="0.5">
      <c r="A171" s="3"/>
      <c r="B171" s="3"/>
      <c r="C171" s="3"/>
      <c r="D171" s="3"/>
      <c r="E171" s="3"/>
      <c r="F171" s="3"/>
      <c r="G171" s="3"/>
      <c r="H171" s="3"/>
      <c r="I171" s="3"/>
      <c r="J171" s="4"/>
      <c r="K171" s="3"/>
      <c r="L171" s="3"/>
      <c r="M171" s="4"/>
      <c r="N171" s="3"/>
      <c r="O171" s="3"/>
      <c r="P171" s="4"/>
      <c r="Q171" s="3"/>
      <c r="R171" s="3"/>
      <c r="S171" s="4"/>
      <c r="T171" s="3"/>
      <c r="U171" s="3"/>
      <c r="V171" s="81"/>
      <c r="W171" s="81"/>
      <c r="X171" s="81"/>
      <c r="Y171" s="81"/>
      <c r="Z171" s="81"/>
    </row>
    <row r="172" spans="1:26" ht="24" customHeight="1" x14ac:dyDescent="0.5">
      <c r="A172" s="3"/>
      <c r="B172" s="3"/>
      <c r="C172" s="3"/>
      <c r="D172" s="3"/>
      <c r="E172" s="3"/>
      <c r="F172" s="3"/>
      <c r="G172" s="3"/>
      <c r="H172" s="3"/>
      <c r="I172" s="3"/>
      <c r="J172" s="4"/>
      <c r="K172" s="3"/>
      <c r="L172" s="3"/>
      <c r="M172" s="4"/>
      <c r="N172" s="3"/>
      <c r="O172" s="3"/>
      <c r="P172" s="4"/>
      <c r="Q172" s="3"/>
      <c r="R172" s="3"/>
      <c r="S172" s="4"/>
      <c r="T172" s="3"/>
      <c r="U172" s="3"/>
      <c r="V172" s="81"/>
      <c r="W172" s="81"/>
      <c r="X172" s="81"/>
      <c r="Y172" s="81"/>
      <c r="Z172" s="81"/>
    </row>
    <row r="173" spans="1:26" ht="24" customHeight="1" x14ac:dyDescent="0.5">
      <c r="A173" s="3"/>
      <c r="B173" s="3"/>
      <c r="C173" s="3"/>
      <c r="D173" s="3"/>
      <c r="E173" s="3"/>
      <c r="F173" s="3"/>
      <c r="G173" s="3"/>
      <c r="H173" s="3"/>
      <c r="I173" s="3"/>
      <c r="J173" s="4"/>
      <c r="K173" s="3"/>
      <c r="L173" s="3"/>
      <c r="M173" s="4"/>
      <c r="N173" s="3"/>
      <c r="O173" s="3"/>
      <c r="P173" s="4"/>
      <c r="Q173" s="3"/>
      <c r="R173" s="3"/>
      <c r="S173" s="4"/>
      <c r="T173" s="3"/>
      <c r="U173" s="3"/>
      <c r="V173" s="81"/>
      <c r="W173" s="81"/>
      <c r="X173" s="81"/>
      <c r="Y173" s="81"/>
      <c r="Z173" s="81"/>
    </row>
    <row r="174" spans="1:26" ht="24" customHeight="1" x14ac:dyDescent="0.5">
      <c r="A174" s="3"/>
      <c r="B174" s="3"/>
      <c r="C174" s="3"/>
      <c r="D174" s="3"/>
      <c r="E174" s="3"/>
      <c r="F174" s="3"/>
      <c r="G174" s="3"/>
      <c r="H174" s="3"/>
      <c r="I174" s="3"/>
      <c r="J174" s="4"/>
      <c r="K174" s="3"/>
      <c r="L174" s="3"/>
      <c r="M174" s="4"/>
      <c r="N174" s="3"/>
      <c r="O174" s="3"/>
      <c r="P174" s="4"/>
      <c r="Q174" s="3"/>
      <c r="R174" s="3"/>
      <c r="S174" s="4"/>
      <c r="T174" s="3"/>
      <c r="U174" s="3"/>
      <c r="V174" s="81"/>
      <c r="W174" s="81"/>
      <c r="X174" s="81"/>
      <c r="Y174" s="81"/>
      <c r="Z174" s="81"/>
    </row>
    <row r="175" spans="1:26" ht="24" customHeight="1" x14ac:dyDescent="0.5">
      <c r="A175" s="3"/>
      <c r="B175" s="3"/>
      <c r="C175" s="3"/>
      <c r="D175" s="3"/>
      <c r="E175" s="3"/>
      <c r="F175" s="3"/>
      <c r="G175" s="3"/>
      <c r="H175" s="3"/>
      <c r="I175" s="3"/>
      <c r="J175" s="4"/>
      <c r="K175" s="3"/>
      <c r="L175" s="3"/>
      <c r="M175" s="4"/>
      <c r="N175" s="3"/>
      <c r="O175" s="3"/>
      <c r="P175" s="4"/>
      <c r="Q175" s="3"/>
      <c r="R175" s="3"/>
      <c r="S175" s="4"/>
      <c r="T175" s="3"/>
      <c r="U175" s="3"/>
      <c r="V175" s="81"/>
      <c r="W175" s="81"/>
      <c r="X175" s="81"/>
      <c r="Y175" s="81"/>
      <c r="Z175" s="81"/>
    </row>
    <row r="176" spans="1:26" ht="24" customHeight="1" x14ac:dyDescent="0.5">
      <c r="A176" s="3"/>
      <c r="B176" s="3"/>
      <c r="C176" s="3"/>
      <c r="D176" s="3"/>
      <c r="E176" s="3"/>
      <c r="F176" s="3"/>
      <c r="G176" s="3"/>
      <c r="H176" s="3"/>
      <c r="I176" s="3"/>
      <c r="J176" s="4"/>
      <c r="K176" s="3"/>
      <c r="L176" s="3"/>
      <c r="M176" s="4"/>
      <c r="N176" s="3"/>
      <c r="O176" s="3"/>
      <c r="P176" s="4"/>
      <c r="Q176" s="3"/>
      <c r="R176" s="3"/>
      <c r="S176" s="4"/>
      <c r="T176" s="3"/>
      <c r="U176" s="3"/>
      <c r="V176" s="81"/>
      <c r="W176" s="81"/>
      <c r="X176" s="81"/>
      <c r="Y176" s="81"/>
      <c r="Z176" s="81"/>
    </row>
    <row r="177" spans="1:26" ht="24" customHeight="1" x14ac:dyDescent="0.5">
      <c r="A177" s="3"/>
      <c r="B177" s="3"/>
      <c r="C177" s="3"/>
      <c r="D177" s="3"/>
      <c r="E177" s="3"/>
      <c r="F177" s="3"/>
      <c r="G177" s="3"/>
      <c r="H177" s="3"/>
      <c r="I177" s="3"/>
      <c r="J177" s="4"/>
      <c r="K177" s="3"/>
      <c r="L177" s="3"/>
      <c r="M177" s="4"/>
      <c r="N177" s="3"/>
      <c r="O177" s="3"/>
      <c r="P177" s="4"/>
      <c r="Q177" s="3"/>
      <c r="R177" s="3"/>
      <c r="S177" s="4"/>
      <c r="T177" s="3"/>
      <c r="U177" s="3"/>
      <c r="V177" s="81"/>
      <c r="W177" s="81"/>
      <c r="X177" s="81"/>
      <c r="Y177" s="81"/>
      <c r="Z177" s="81"/>
    </row>
    <row r="178" spans="1:26" ht="24" customHeight="1" x14ac:dyDescent="0.5">
      <c r="A178" s="3"/>
      <c r="B178" s="3"/>
      <c r="C178" s="3"/>
      <c r="D178" s="3"/>
      <c r="E178" s="3"/>
      <c r="F178" s="3"/>
      <c r="G178" s="3"/>
      <c r="H178" s="3"/>
      <c r="I178" s="3"/>
      <c r="J178" s="4"/>
      <c r="K178" s="3"/>
      <c r="L178" s="3"/>
      <c r="M178" s="4"/>
      <c r="N178" s="3"/>
      <c r="O178" s="3"/>
      <c r="P178" s="4"/>
      <c r="Q178" s="3"/>
      <c r="R178" s="3"/>
      <c r="S178" s="4"/>
      <c r="T178" s="3"/>
      <c r="U178" s="3"/>
      <c r="V178" s="81"/>
      <c r="W178" s="81"/>
      <c r="X178" s="81"/>
      <c r="Y178" s="81"/>
      <c r="Z178" s="81"/>
    </row>
    <row r="179" spans="1:26" ht="24" customHeight="1" x14ac:dyDescent="0.5">
      <c r="A179" s="3"/>
      <c r="B179" s="3"/>
      <c r="C179" s="3"/>
      <c r="D179" s="3"/>
      <c r="E179" s="3"/>
      <c r="F179" s="3"/>
      <c r="G179" s="3"/>
      <c r="H179" s="3"/>
      <c r="I179" s="3"/>
      <c r="J179" s="4"/>
      <c r="K179" s="3"/>
      <c r="L179" s="3"/>
      <c r="M179" s="4"/>
      <c r="N179" s="3"/>
      <c r="O179" s="3"/>
      <c r="P179" s="4"/>
      <c r="Q179" s="3"/>
      <c r="R179" s="3"/>
      <c r="S179" s="4"/>
      <c r="T179" s="3"/>
      <c r="U179" s="3"/>
      <c r="V179" s="81"/>
      <c r="W179" s="81"/>
      <c r="X179" s="81"/>
      <c r="Y179" s="81"/>
      <c r="Z179" s="81"/>
    </row>
    <row r="180" spans="1:26" ht="24" customHeight="1" x14ac:dyDescent="0.5">
      <c r="A180" s="3"/>
      <c r="B180" s="3"/>
      <c r="C180" s="3"/>
      <c r="D180" s="3"/>
      <c r="E180" s="3"/>
      <c r="F180" s="3"/>
      <c r="G180" s="3"/>
      <c r="H180" s="3"/>
      <c r="I180" s="3"/>
      <c r="J180" s="4"/>
      <c r="K180" s="3"/>
      <c r="L180" s="3"/>
      <c r="M180" s="4"/>
      <c r="N180" s="3"/>
      <c r="O180" s="3"/>
      <c r="P180" s="4"/>
      <c r="Q180" s="3"/>
      <c r="R180" s="3"/>
      <c r="S180" s="4"/>
      <c r="T180" s="3"/>
      <c r="U180" s="3"/>
      <c r="V180" s="81"/>
      <c r="W180" s="81"/>
      <c r="X180" s="81"/>
      <c r="Y180" s="81"/>
      <c r="Z180" s="81"/>
    </row>
    <row r="181" spans="1:26" ht="24" customHeight="1" x14ac:dyDescent="0.5">
      <c r="A181" s="3"/>
      <c r="B181" s="3"/>
      <c r="C181" s="3"/>
      <c r="D181" s="3"/>
      <c r="E181" s="3"/>
      <c r="F181" s="3"/>
      <c r="G181" s="3"/>
      <c r="H181" s="3"/>
      <c r="I181" s="3"/>
      <c r="J181" s="4"/>
      <c r="K181" s="3"/>
      <c r="L181" s="3"/>
      <c r="M181" s="4"/>
      <c r="N181" s="3"/>
      <c r="O181" s="3"/>
      <c r="P181" s="4"/>
      <c r="Q181" s="3"/>
      <c r="R181" s="3"/>
      <c r="S181" s="4"/>
      <c r="T181" s="3"/>
      <c r="U181" s="3"/>
      <c r="V181" s="81"/>
      <c r="W181" s="81"/>
      <c r="X181" s="81"/>
      <c r="Y181" s="81"/>
      <c r="Z181" s="81"/>
    </row>
    <row r="182" spans="1:26" ht="24" customHeight="1" x14ac:dyDescent="0.5">
      <c r="A182" s="3"/>
      <c r="B182" s="3"/>
      <c r="C182" s="3"/>
      <c r="D182" s="3"/>
      <c r="E182" s="3"/>
      <c r="F182" s="3"/>
      <c r="G182" s="3"/>
      <c r="H182" s="3"/>
      <c r="I182" s="3"/>
      <c r="J182" s="4"/>
      <c r="K182" s="3"/>
      <c r="L182" s="3"/>
      <c r="M182" s="4"/>
      <c r="N182" s="3"/>
      <c r="O182" s="3"/>
      <c r="P182" s="4"/>
      <c r="Q182" s="3"/>
      <c r="R182" s="3"/>
      <c r="S182" s="4"/>
      <c r="T182" s="3"/>
      <c r="U182" s="3"/>
      <c r="V182" s="81"/>
      <c r="W182" s="81"/>
      <c r="X182" s="81"/>
      <c r="Y182" s="81"/>
      <c r="Z182" s="81"/>
    </row>
    <row r="183" spans="1:26" ht="24" customHeight="1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4"/>
      <c r="K183" s="3"/>
      <c r="L183" s="3"/>
      <c r="M183" s="4"/>
      <c r="N183" s="3"/>
      <c r="O183" s="3"/>
      <c r="P183" s="4"/>
      <c r="Q183" s="3"/>
      <c r="R183" s="3"/>
      <c r="S183" s="4"/>
      <c r="T183" s="3"/>
      <c r="U183" s="3"/>
      <c r="V183" s="81"/>
      <c r="W183" s="81"/>
      <c r="X183" s="81"/>
      <c r="Y183" s="81"/>
      <c r="Z183" s="81"/>
    </row>
    <row r="184" spans="1:26" ht="24" customHeight="1" x14ac:dyDescent="0.5">
      <c r="A184" s="3"/>
      <c r="B184" s="3"/>
      <c r="C184" s="3"/>
      <c r="D184" s="3"/>
      <c r="E184" s="3"/>
      <c r="F184" s="3"/>
      <c r="G184" s="3"/>
      <c r="H184" s="3"/>
      <c r="I184" s="3"/>
      <c r="J184" s="4"/>
      <c r="K184" s="3"/>
      <c r="L184" s="3"/>
      <c r="M184" s="4"/>
      <c r="N184" s="3"/>
      <c r="O184" s="3"/>
      <c r="P184" s="4"/>
      <c r="Q184" s="3"/>
      <c r="R184" s="3"/>
      <c r="S184" s="4"/>
      <c r="T184" s="3"/>
      <c r="U184" s="3"/>
      <c r="V184" s="81"/>
      <c r="W184" s="81"/>
      <c r="X184" s="81"/>
      <c r="Y184" s="81"/>
      <c r="Z184" s="81"/>
    </row>
    <row r="185" spans="1:26" ht="24" customHeight="1" x14ac:dyDescent="0.5">
      <c r="A185" s="3"/>
      <c r="B185" s="3"/>
      <c r="C185" s="3"/>
      <c r="D185" s="3"/>
      <c r="E185" s="3"/>
      <c r="F185" s="3"/>
      <c r="G185" s="3"/>
      <c r="H185" s="3"/>
      <c r="I185" s="3"/>
      <c r="J185" s="4"/>
      <c r="K185" s="3"/>
      <c r="L185" s="3"/>
      <c r="M185" s="4"/>
      <c r="N185" s="3"/>
      <c r="O185" s="3"/>
      <c r="P185" s="4"/>
      <c r="Q185" s="3"/>
      <c r="R185" s="3"/>
      <c r="S185" s="4"/>
      <c r="T185" s="3"/>
      <c r="U185" s="3"/>
      <c r="V185" s="81"/>
      <c r="W185" s="81"/>
      <c r="X185" s="81"/>
      <c r="Y185" s="81"/>
      <c r="Z185" s="81"/>
    </row>
    <row r="186" spans="1:26" ht="24" customHeight="1" x14ac:dyDescent="0.5">
      <c r="A186" s="3"/>
      <c r="B186" s="3"/>
      <c r="C186" s="3"/>
      <c r="D186" s="3"/>
      <c r="E186" s="3"/>
      <c r="F186" s="3"/>
      <c r="G186" s="3"/>
      <c r="H186" s="3"/>
      <c r="I186" s="3"/>
      <c r="J186" s="4"/>
      <c r="K186" s="3"/>
      <c r="L186" s="3"/>
      <c r="M186" s="4"/>
      <c r="N186" s="3"/>
      <c r="O186" s="3"/>
      <c r="P186" s="4"/>
      <c r="Q186" s="3"/>
      <c r="R186" s="3"/>
      <c r="S186" s="4"/>
      <c r="T186" s="3"/>
      <c r="U186" s="3"/>
      <c r="V186" s="81"/>
      <c r="W186" s="81"/>
      <c r="X186" s="81"/>
      <c r="Y186" s="81"/>
      <c r="Z186" s="81"/>
    </row>
    <row r="187" spans="1:26" ht="24" customHeight="1" x14ac:dyDescent="0.5">
      <c r="A187" s="3"/>
      <c r="B187" s="3"/>
      <c r="C187" s="3"/>
      <c r="D187" s="3"/>
      <c r="E187" s="3"/>
      <c r="F187" s="3"/>
      <c r="G187" s="3"/>
      <c r="H187" s="3"/>
      <c r="I187" s="3"/>
      <c r="J187" s="4"/>
      <c r="K187" s="3"/>
      <c r="L187" s="3"/>
      <c r="M187" s="4"/>
      <c r="N187" s="3"/>
      <c r="O187" s="3"/>
      <c r="P187" s="4"/>
      <c r="Q187" s="3"/>
      <c r="R187" s="3"/>
      <c r="S187" s="4"/>
      <c r="T187" s="3"/>
      <c r="U187" s="3"/>
      <c r="V187" s="81"/>
      <c r="W187" s="81"/>
      <c r="X187" s="81"/>
      <c r="Y187" s="81"/>
      <c r="Z187" s="81"/>
    </row>
    <row r="188" spans="1:26" ht="24" customHeight="1" x14ac:dyDescent="0.5">
      <c r="A188" s="3"/>
      <c r="B188" s="3"/>
      <c r="C188" s="3"/>
      <c r="D188" s="3"/>
      <c r="E188" s="3"/>
      <c r="F188" s="3"/>
      <c r="G188" s="3"/>
      <c r="H188" s="3"/>
      <c r="I188" s="3"/>
      <c r="J188" s="4"/>
      <c r="K188" s="3"/>
      <c r="L188" s="3"/>
      <c r="M188" s="4"/>
      <c r="N188" s="3"/>
      <c r="O188" s="3"/>
      <c r="P188" s="4"/>
      <c r="Q188" s="3"/>
      <c r="R188" s="3"/>
      <c r="S188" s="4"/>
      <c r="T188" s="3"/>
      <c r="U188" s="3"/>
      <c r="V188" s="81"/>
      <c r="W188" s="81"/>
      <c r="X188" s="81"/>
      <c r="Y188" s="81"/>
      <c r="Z188" s="81"/>
    </row>
    <row r="189" spans="1:26" ht="24" customHeight="1" x14ac:dyDescent="0.5">
      <c r="A189" s="3"/>
      <c r="B189" s="3"/>
      <c r="C189" s="3"/>
      <c r="D189" s="3"/>
      <c r="E189" s="3"/>
      <c r="F189" s="3"/>
      <c r="G189" s="3"/>
      <c r="H189" s="3"/>
      <c r="I189" s="3"/>
      <c r="J189" s="4"/>
      <c r="K189" s="3"/>
      <c r="L189" s="3"/>
      <c r="M189" s="4"/>
      <c r="N189" s="3"/>
      <c r="O189" s="3"/>
      <c r="P189" s="4"/>
      <c r="Q189" s="3"/>
      <c r="R189" s="3"/>
      <c r="S189" s="4"/>
      <c r="T189" s="3"/>
      <c r="U189" s="3"/>
      <c r="V189" s="81"/>
      <c r="W189" s="81"/>
      <c r="X189" s="81"/>
      <c r="Y189" s="81"/>
      <c r="Z189" s="81"/>
    </row>
    <row r="190" spans="1:26" ht="24" customHeight="1" x14ac:dyDescent="0.5">
      <c r="A190" s="3"/>
      <c r="B190" s="3"/>
      <c r="C190" s="3"/>
      <c r="D190" s="3"/>
      <c r="E190" s="3"/>
      <c r="F190" s="3"/>
      <c r="G190" s="3"/>
      <c r="H190" s="3"/>
      <c r="I190" s="3"/>
      <c r="J190" s="4"/>
      <c r="K190" s="3"/>
      <c r="L190" s="3"/>
      <c r="M190" s="4"/>
      <c r="N190" s="3"/>
      <c r="O190" s="3"/>
      <c r="P190" s="4"/>
      <c r="Q190" s="3"/>
      <c r="R190" s="3"/>
      <c r="S190" s="4"/>
      <c r="T190" s="3"/>
      <c r="U190" s="3"/>
      <c r="V190" s="81"/>
      <c r="W190" s="81"/>
      <c r="X190" s="81"/>
      <c r="Y190" s="81"/>
      <c r="Z190" s="81"/>
    </row>
    <row r="191" spans="1:26" ht="24" customHeight="1" x14ac:dyDescent="0.5">
      <c r="A191" s="3"/>
      <c r="B191" s="3"/>
      <c r="C191" s="3"/>
      <c r="D191" s="3"/>
      <c r="E191" s="3"/>
      <c r="F191" s="3"/>
      <c r="G191" s="3"/>
      <c r="H191" s="3"/>
      <c r="I191" s="3"/>
      <c r="J191" s="4"/>
      <c r="K191" s="3"/>
      <c r="L191" s="3"/>
      <c r="M191" s="4"/>
      <c r="N191" s="3"/>
      <c r="O191" s="3"/>
      <c r="P191" s="4"/>
      <c r="Q191" s="3"/>
      <c r="R191" s="3"/>
      <c r="S191" s="4"/>
      <c r="T191" s="3"/>
      <c r="U191" s="3"/>
      <c r="V191" s="81"/>
      <c r="W191" s="81"/>
      <c r="X191" s="81"/>
      <c r="Y191" s="81"/>
      <c r="Z191" s="81"/>
    </row>
    <row r="192" spans="1:26" ht="24" customHeight="1" x14ac:dyDescent="0.5">
      <c r="A192" s="3"/>
      <c r="B192" s="3"/>
      <c r="C192" s="3"/>
      <c r="D192" s="3"/>
      <c r="E192" s="3"/>
      <c r="F192" s="3"/>
      <c r="G192" s="3"/>
      <c r="H192" s="3"/>
      <c r="I192" s="3"/>
      <c r="J192" s="4"/>
      <c r="K192" s="3"/>
      <c r="L192" s="3"/>
      <c r="M192" s="4"/>
      <c r="N192" s="3"/>
      <c r="O192" s="3"/>
      <c r="P192" s="4"/>
      <c r="Q192" s="3"/>
      <c r="R192" s="3"/>
      <c r="S192" s="4"/>
      <c r="T192" s="3"/>
      <c r="U192" s="3"/>
      <c r="V192" s="81"/>
      <c r="W192" s="81"/>
      <c r="X192" s="81"/>
      <c r="Y192" s="81"/>
      <c r="Z192" s="81"/>
    </row>
    <row r="193" spans="1:26" ht="24" customHeight="1" x14ac:dyDescent="0.5">
      <c r="A193" s="3"/>
      <c r="B193" s="3"/>
      <c r="C193" s="3"/>
      <c r="D193" s="3"/>
      <c r="E193" s="3"/>
      <c r="F193" s="3"/>
      <c r="G193" s="3"/>
      <c r="H193" s="3"/>
      <c r="I193" s="3"/>
      <c r="J193" s="4"/>
      <c r="K193" s="3"/>
      <c r="L193" s="3"/>
      <c r="M193" s="4"/>
      <c r="N193" s="3"/>
      <c r="O193" s="3"/>
      <c r="P193" s="4"/>
      <c r="Q193" s="3"/>
      <c r="R193" s="3"/>
      <c r="S193" s="4"/>
      <c r="T193" s="3"/>
      <c r="U193" s="3"/>
      <c r="V193" s="81"/>
      <c r="W193" s="81"/>
      <c r="X193" s="81"/>
      <c r="Y193" s="81"/>
      <c r="Z193" s="81"/>
    </row>
    <row r="194" spans="1:26" ht="24" customHeight="1" x14ac:dyDescent="0.5">
      <c r="A194" s="3"/>
      <c r="B194" s="3"/>
      <c r="C194" s="3"/>
      <c r="D194" s="3"/>
      <c r="E194" s="3"/>
      <c r="F194" s="3"/>
      <c r="G194" s="3"/>
      <c r="H194" s="3"/>
      <c r="I194" s="3"/>
      <c r="J194" s="4"/>
      <c r="K194" s="3"/>
      <c r="L194" s="3"/>
      <c r="M194" s="4"/>
      <c r="N194" s="3"/>
      <c r="O194" s="3"/>
      <c r="P194" s="4"/>
      <c r="Q194" s="3"/>
      <c r="R194" s="3"/>
      <c r="S194" s="4"/>
      <c r="T194" s="3"/>
      <c r="U194" s="3"/>
      <c r="V194" s="81"/>
      <c r="W194" s="81"/>
      <c r="X194" s="81"/>
      <c r="Y194" s="81"/>
      <c r="Z194" s="81"/>
    </row>
    <row r="195" spans="1:26" ht="24" customHeight="1" x14ac:dyDescent="0.5">
      <c r="A195" s="3"/>
      <c r="B195" s="3"/>
      <c r="C195" s="3"/>
      <c r="D195" s="3"/>
      <c r="E195" s="3"/>
      <c r="F195" s="3"/>
      <c r="G195" s="3"/>
      <c r="H195" s="3"/>
      <c r="I195" s="3"/>
      <c r="J195" s="4"/>
      <c r="K195" s="3"/>
      <c r="L195" s="3"/>
      <c r="M195" s="4"/>
      <c r="N195" s="3"/>
      <c r="O195" s="3"/>
      <c r="P195" s="4"/>
      <c r="Q195" s="3"/>
      <c r="R195" s="3"/>
      <c r="S195" s="4"/>
      <c r="T195" s="3"/>
      <c r="U195" s="3"/>
      <c r="V195" s="81"/>
      <c r="W195" s="81"/>
      <c r="X195" s="81"/>
      <c r="Y195" s="81"/>
      <c r="Z195" s="81"/>
    </row>
    <row r="196" spans="1:26" ht="24" customHeight="1" x14ac:dyDescent="0.5">
      <c r="A196" s="3"/>
      <c r="B196" s="3"/>
      <c r="C196" s="3"/>
      <c r="D196" s="3"/>
      <c r="E196" s="3"/>
      <c r="F196" s="3"/>
      <c r="G196" s="3"/>
      <c r="H196" s="3"/>
      <c r="I196" s="3"/>
      <c r="J196" s="4"/>
      <c r="K196" s="3"/>
      <c r="L196" s="3"/>
      <c r="M196" s="4"/>
      <c r="N196" s="3"/>
      <c r="O196" s="3"/>
      <c r="P196" s="4"/>
      <c r="Q196" s="3"/>
      <c r="R196" s="3"/>
      <c r="S196" s="4"/>
      <c r="T196" s="3"/>
      <c r="U196" s="3"/>
      <c r="V196" s="81"/>
      <c r="W196" s="81"/>
      <c r="X196" s="81"/>
      <c r="Y196" s="81"/>
      <c r="Z196" s="81"/>
    </row>
    <row r="197" spans="1:26" ht="24" customHeight="1" x14ac:dyDescent="0.5">
      <c r="A197" s="3"/>
      <c r="B197" s="3"/>
      <c r="C197" s="3"/>
      <c r="D197" s="3"/>
      <c r="E197" s="3"/>
      <c r="F197" s="3"/>
      <c r="G197" s="3"/>
      <c r="H197" s="3"/>
      <c r="I197" s="3"/>
      <c r="J197" s="4"/>
      <c r="K197" s="3"/>
      <c r="L197" s="3"/>
      <c r="M197" s="4"/>
      <c r="N197" s="3"/>
      <c r="O197" s="3"/>
      <c r="P197" s="4"/>
      <c r="Q197" s="3"/>
      <c r="R197" s="3"/>
      <c r="S197" s="4"/>
      <c r="T197" s="3"/>
      <c r="U197" s="3"/>
      <c r="V197" s="81"/>
      <c r="W197" s="81"/>
      <c r="X197" s="81"/>
      <c r="Y197" s="81"/>
      <c r="Z197" s="81"/>
    </row>
    <row r="198" spans="1:26" ht="24" customHeight="1" x14ac:dyDescent="0.5">
      <c r="A198" s="3"/>
      <c r="B198" s="3"/>
      <c r="C198" s="3"/>
      <c r="D198" s="3"/>
      <c r="E198" s="3"/>
      <c r="F198" s="3"/>
      <c r="G198" s="3"/>
      <c r="H198" s="3"/>
      <c r="I198" s="3"/>
      <c r="J198" s="4"/>
      <c r="K198" s="3"/>
      <c r="L198" s="3"/>
      <c r="M198" s="4"/>
      <c r="N198" s="3"/>
      <c r="O198" s="3"/>
      <c r="P198" s="4"/>
      <c r="Q198" s="3"/>
      <c r="R198" s="3"/>
      <c r="S198" s="4"/>
      <c r="T198" s="3"/>
      <c r="U198" s="3"/>
      <c r="V198" s="81"/>
      <c r="W198" s="81"/>
      <c r="X198" s="81"/>
      <c r="Y198" s="81"/>
      <c r="Z198" s="81"/>
    </row>
    <row r="199" spans="1:26" ht="24" customHeight="1" x14ac:dyDescent="0.5">
      <c r="A199" s="3"/>
      <c r="B199" s="3"/>
      <c r="C199" s="3"/>
      <c r="D199" s="3"/>
      <c r="E199" s="3"/>
      <c r="F199" s="3"/>
      <c r="G199" s="3"/>
      <c r="H199" s="3"/>
      <c r="I199" s="3"/>
      <c r="J199" s="4"/>
      <c r="K199" s="3"/>
      <c r="L199" s="3"/>
      <c r="M199" s="4"/>
      <c r="N199" s="3"/>
      <c r="O199" s="3"/>
      <c r="P199" s="4"/>
      <c r="Q199" s="3"/>
      <c r="R199" s="3"/>
      <c r="S199" s="4"/>
      <c r="T199" s="3"/>
      <c r="U199" s="3"/>
      <c r="V199" s="81"/>
      <c r="W199" s="81"/>
      <c r="X199" s="81"/>
      <c r="Y199" s="81"/>
      <c r="Z199" s="81"/>
    </row>
    <row r="200" spans="1:26" ht="24" customHeight="1" x14ac:dyDescent="0.5">
      <c r="A200" s="3"/>
      <c r="B200" s="3"/>
      <c r="C200" s="3"/>
      <c r="D200" s="3"/>
      <c r="E200" s="3"/>
      <c r="F200" s="3"/>
      <c r="G200" s="3"/>
      <c r="H200" s="3"/>
      <c r="I200" s="3"/>
      <c r="J200" s="4"/>
      <c r="K200" s="3"/>
      <c r="L200" s="3"/>
      <c r="M200" s="4"/>
      <c r="N200" s="3"/>
      <c r="O200" s="3"/>
      <c r="P200" s="4"/>
      <c r="Q200" s="3"/>
      <c r="R200" s="3"/>
      <c r="S200" s="4"/>
      <c r="T200" s="3"/>
      <c r="U200" s="3"/>
      <c r="V200" s="81"/>
      <c r="W200" s="81"/>
      <c r="X200" s="81"/>
      <c r="Y200" s="81"/>
      <c r="Z200" s="81"/>
    </row>
    <row r="201" spans="1:26" ht="24" customHeight="1" x14ac:dyDescent="0.5">
      <c r="A201" s="3"/>
      <c r="B201" s="3"/>
      <c r="C201" s="3"/>
      <c r="D201" s="3"/>
      <c r="E201" s="3"/>
      <c r="F201" s="3"/>
      <c r="G201" s="3"/>
      <c r="H201" s="3"/>
      <c r="I201" s="3"/>
      <c r="J201" s="4"/>
      <c r="K201" s="3"/>
      <c r="L201" s="3"/>
      <c r="M201" s="4"/>
      <c r="N201" s="3"/>
      <c r="O201" s="3"/>
      <c r="P201" s="4"/>
      <c r="Q201" s="3"/>
      <c r="R201" s="3"/>
      <c r="S201" s="4"/>
      <c r="T201" s="3"/>
      <c r="U201" s="3"/>
      <c r="V201" s="81"/>
      <c r="W201" s="81"/>
      <c r="X201" s="81"/>
      <c r="Y201" s="81"/>
      <c r="Z201" s="81"/>
    </row>
    <row r="202" spans="1:26" ht="24" customHeight="1" x14ac:dyDescent="0.5">
      <c r="A202" s="3"/>
      <c r="B202" s="3"/>
      <c r="C202" s="3"/>
      <c r="D202" s="3"/>
      <c r="E202" s="3"/>
      <c r="F202" s="3"/>
      <c r="G202" s="3"/>
      <c r="H202" s="3"/>
      <c r="I202" s="3"/>
      <c r="J202" s="4"/>
      <c r="K202" s="3"/>
      <c r="L202" s="3"/>
      <c r="M202" s="4"/>
      <c r="N202" s="3"/>
      <c r="O202" s="3"/>
      <c r="P202" s="4"/>
      <c r="Q202" s="3"/>
      <c r="R202" s="3"/>
      <c r="S202" s="4"/>
      <c r="T202" s="3"/>
      <c r="U202" s="3"/>
      <c r="V202" s="81"/>
      <c r="W202" s="81"/>
      <c r="X202" s="81"/>
      <c r="Y202" s="81"/>
      <c r="Z202" s="81"/>
    </row>
    <row r="203" spans="1:26" ht="24" customHeight="1" x14ac:dyDescent="0.5">
      <c r="A203" s="3"/>
      <c r="B203" s="3"/>
      <c r="C203" s="3"/>
      <c r="D203" s="3"/>
      <c r="E203" s="3"/>
      <c r="F203" s="3"/>
      <c r="G203" s="3"/>
      <c r="H203" s="3"/>
      <c r="I203" s="3"/>
      <c r="J203" s="4"/>
      <c r="K203" s="3"/>
      <c r="L203" s="3"/>
      <c r="M203" s="4"/>
      <c r="N203" s="3"/>
      <c r="O203" s="3"/>
      <c r="P203" s="4"/>
      <c r="Q203" s="3"/>
      <c r="R203" s="3"/>
      <c r="S203" s="4"/>
      <c r="T203" s="3"/>
      <c r="U203" s="3"/>
      <c r="V203" s="81"/>
      <c r="W203" s="81"/>
      <c r="X203" s="81"/>
      <c r="Y203" s="81"/>
      <c r="Z203" s="81"/>
    </row>
    <row r="204" spans="1:26" ht="24" customHeight="1" x14ac:dyDescent="0.5">
      <c r="A204" s="3"/>
      <c r="B204" s="3"/>
      <c r="C204" s="3"/>
      <c r="D204" s="3"/>
      <c r="E204" s="3"/>
      <c r="F204" s="3"/>
      <c r="G204" s="3"/>
      <c r="H204" s="3"/>
      <c r="I204" s="3"/>
      <c r="J204" s="4"/>
      <c r="K204" s="3"/>
      <c r="L204" s="3"/>
      <c r="M204" s="4"/>
      <c r="N204" s="3"/>
      <c r="O204" s="3"/>
      <c r="P204" s="4"/>
      <c r="Q204" s="3"/>
      <c r="R204" s="3"/>
      <c r="S204" s="4"/>
      <c r="T204" s="3"/>
      <c r="U204" s="3"/>
      <c r="V204" s="81"/>
      <c r="W204" s="81"/>
      <c r="X204" s="81"/>
      <c r="Y204" s="81"/>
      <c r="Z204" s="81"/>
    </row>
    <row r="205" spans="1:26" ht="24" customHeight="1" x14ac:dyDescent="0.5">
      <c r="A205" s="3"/>
      <c r="B205" s="3"/>
      <c r="C205" s="3"/>
      <c r="D205" s="3"/>
      <c r="E205" s="3"/>
      <c r="F205" s="3"/>
      <c r="G205" s="3"/>
      <c r="H205" s="3"/>
      <c r="I205" s="3"/>
      <c r="J205" s="4"/>
      <c r="K205" s="3"/>
      <c r="L205" s="3"/>
      <c r="M205" s="4"/>
      <c r="N205" s="3"/>
      <c r="O205" s="3"/>
      <c r="P205" s="4"/>
      <c r="Q205" s="3"/>
      <c r="R205" s="3"/>
      <c r="S205" s="4"/>
      <c r="T205" s="3"/>
      <c r="U205" s="3"/>
      <c r="V205" s="81"/>
      <c r="W205" s="81"/>
      <c r="X205" s="81"/>
      <c r="Y205" s="81"/>
      <c r="Z205" s="81"/>
    </row>
    <row r="206" spans="1:26" ht="24" customHeight="1" x14ac:dyDescent="0.5">
      <c r="A206" s="3"/>
      <c r="B206" s="3"/>
      <c r="C206" s="3"/>
      <c r="D206" s="3"/>
      <c r="E206" s="3"/>
      <c r="F206" s="3"/>
      <c r="G206" s="3"/>
      <c r="H206" s="3"/>
      <c r="I206" s="3"/>
      <c r="J206" s="4"/>
      <c r="K206" s="3"/>
      <c r="L206" s="3"/>
      <c r="M206" s="4"/>
      <c r="N206" s="3"/>
      <c r="O206" s="3"/>
      <c r="P206" s="4"/>
      <c r="Q206" s="3"/>
      <c r="R206" s="3"/>
      <c r="S206" s="4"/>
      <c r="T206" s="3"/>
      <c r="U206" s="3"/>
      <c r="V206" s="81"/>
      <c r="W206" s="81"/>
      <c r="X206" s="81"/>
      <c r="Y206" s="81"/>
      <c r="Z206" s="81"/>
    </row>
    <row r="207" spans="1:26" ht="24" customHeight="1" x14ac:dyDescent="0.5">
      <c r="A207" s="3"/>
      <c r="B207" s="3"/>
      <c r="C207" s="3"/>
      <c r="D207" s="3"/>
      <c r="E207" s="3"/>
      <c r="F207" s="3"/>
      <c r="G207" s="3"/>
      <c r="H207" s="3"/>
      <c r="I207" s="3"/>
      <c r="J207" s="4"/>
      <c r="K207" s="3"/>
      <c r="L207" s="3"/>
      <c r="M207" s="4"/>
      <c r="N207" s="3"/>
      <c r="O207" s="3"/>
      <c r="P207" s="4"/>
      <c r="Q207" s="3"/>
      <c r="R207" s="3"/>
      <c r="S207" s="4"/>
      <c r="T207" s="3"/>
      <c r="U207" s="3"/>
      <c r="V207" s="81"/>
      <c r="W207" s="81"/>
      <c r="X207" s="81"/>
      <c r="Y207" s="81"/>
      <c r="Z207" s="81"/>
    </row>
    <row r="208" spans="1:26" ht="24" customHeight="1" x14ac:dyDescent="0.5">
      <c r="A208" s="3"/>
      <c r="B208" s="3"/>
      <c r="C208" s="3"/>
      <c r="D208" s="3"/>
      <c r="E208" s="3"/>
      <c r="F208" s="3"/>
      <c r="G208" s="3"/>
      <c r="H208" s="3"/>
      <c r="I208" s="3"/>
      <c r="J208" s="4"/>
      <c r="K208" s="3"/>
      <c r="L208" s="3"/>
      <c r="M208" s="4"/>
      <c r="N208" s="3"/>
      <c r="O208" s="3"/>
      <c r="P208" s="4"/>
      <c r="Q208" s="3"/>
      <c r="R208" s="3"/>
      <c r="S208" s="4"/>
      <c r="T208" s="3"/>
      <c r="U208" s="3"/>
      <c r="V208" s="81"/>
      <c r="W208" s="81"/>
      <c r="X208" s="81"/>
      <c r="Y208" s="81"/>
      <c r="Z208" s="81"/>
    </row>
    <row r="209" spans="1:26" ht="24" customHeight="1" x14ac:dyDescent="0.5">
      <c r="A209" s="3"/>
      <c r="B209" s="3"/>
      <c r="C209" s="3"/>
      <c r="D209" s="3"/>
      <c r="E209" s="3"/>
      <c r="F209" s="3"/>
      <c r="G209" s="3"/>
      <c r="H209" s="3"/>
      <c r="I209" s="3"/>
      <c r="J209" s="4"/>
      <c r="K209" s="3"/>
      <c r="L209" s="3"/>
      <c r="M209" s="4"/>
      <c r="N209" s="3"/>
      <c r="O209" s="3"/>
      <c r="P209" s="4"/>
      <c r="Q209" s="3"/>
      <c r="R209" s="3"/>
      <c r="S209" s="4"/>
      <c r="T209" s="3"/>
      <c r="U209" s="3"/>
      <c r="V209" s="81"/>
      <c r="W209" s="81"/>
      <c r="X209" s="81"/>
      <c r="Y209" s="81"/>
      <c r="Z209" s="81"/>
    </row>
    <row r="210" spans="1:26" ht="24" customHeight="1" x14ac:dyDescent="0.5">
      <c r="A210" s="3"/>
      <c r="B210" s="3"/>
      <c r="C210" s="3"/>
      <c r="D210" s="3"/>
      <c r="E210" s="3"/>
      <c r="F210" s="3"/>
      <c r="G210" s="3"/>
      <c r="H210" s="3"/>
      <c r="I210" s="3"/>
      <c r="J210" s="4"/>
      <c r="K210" s="3"/>
      <c r="L210" s="3"/>
      <c r="M210" s="4"/>
      <c r="N210" s="3"/>
      <c r="O210" s="3"/>
      <c r="P210" s="4"/>
      <c r="Q210" s="3"/>
      <c r="R210" s="3"/>
      <c r="S210" s="4"/>
      <c r="T210" s="3"/>
      <c r="U210" s="3"/>
      <c r="V210" s="81"/>
      <c r="W210" s="81"/>
      <c r="X210" s="81"/>
      <c r="Y210" s="81"/>
      <c r="Z210" s="81"/>
    </row>
    <row r="211" spans="1:26" ht="24" customHeight="1" x14ac:dyDescent="0.5">
      <c r="A211" s="3"/>
      <c r="B211" s="3"/>
      <c r="C211" s="3"/>
      <c r="D211" s="3"/>
      <c r="E211" s="3"/>
      <c r="F211" s="3"/>
      <c r="G211" s="3"/>
      <c r="H211" s="3"/>
      <c r="I211" s="3"/>
      <c r="J211" s="4"/>
      <c r="K211" s="3"/>
      <c r="L211" s="3"/>
      <c r="M211" s="4"/>
      <c r="N211" s="3"/>
      <c r="O211" s="3"/>
      <c r="P211" s="4"/>
      <c r="Q211" s="3"/>
      <c r="R211" s="3"/>
      <c r="S211" s="4"/>
      <c r="T211" s="3"/>
      <c r="U211" s="3"/>
      <c r="V211" s="81"/>
      <c r="W211" s="81"/>
      <c r="X211" s="81"/>
      <c r="Y211" s="81"/>
      <c r="Z211" s="81"/>
    </row>
    <row r="212" spans="1:26" ht="24" customHeight="1" x14ac:dyDescent="0.5">
      <c r="A212" s="3"/>
      <c r="B212" s="3"/>
      <c r="C212" s="3"/>
      <c r="D212" s="3"/>
      <c r="E212" s="3"/>
      <c r="F212" s="3"/>
      <c r="G212" s="3"/>
      <c r="H212" s="3"/>
      <c r="I212" s="3"/>
      <c r="J212" s="4"/>
      <c r="K212" s="3"/>
      <c r="L212" s="3"/>
      <c r="M212" s="4"/>
      <c r="N212" s="3"/>
      <c r="O212" s="3"/>
      <c r="P212" s="4"/>
      <c r="Q212" s="3"/>
      <c r="R212" s="3"/>
      <c r="S212" s="4"/>
      <c r="T212" s="3"/>
      <c r="U212" s="3"/>
      <c r="V212" s="81"/>
      <c r="W212" s="81"/>
      <c r="X212" s="81"/>
      <c r="Y212" s="81"/>
      <c r="Z212" s="81"/>
    </row>
    <row r="213" spans="1:26" ht="24" customHeight="1" x14ac:dyDescent="0.5">
      <c r="A213" s="3"/>
      <c r="B213" s="3"/>
      <c r="C213" s="3"/>
      <c r="D213" s="3"/>
      <c r="E213" s="3"/>
      <c r="F213" s="3"/>
      <c r="G213" s="3"/>
      <c r="H213" s="3"/>
      <c r="I213" s="3"/>
      <c r="J213" s="4"/>
      <c r="K213" s="3"/>
      <c r="L213" s="3"/>
      <c r="M213" s="4"/>
      <c r="N213" s="3"/>
      <c r="O213" s="3"/>
      <c r="P213" s="4"/>
      <c r="Q213" s="3"/>
      <c r="R213" s="3"/>
      <c r="S213" s="4"/>
      <c r="T213" s="3"/>
      <c r="U213" s="3"/>
      <c r="V213" s="81"/>
      <c r="W213" s="81"/>
      <c r="X213" s="81"/>
      <c r="Y213" s="81"/>
      <c r="Z213" s="81"/>
    </row>
    <row r="214" spans="1:26" ht="24" customHeight="1" x14ac:dyDescent="0.5">
      <c r="A214" s="3"/>
      <c r="B214" s="3"/>
      <c r="C214" s="3"/>
      <c r="D214" s="3"/>
      <c r="E214" s="3"/>
      <c r="F214" s="3"/>
      <c r="G214" s="3"/>
      <c r="H214" s="3"/>
      <c r="I214" s="3"/>
      <c r="J214" s="4"/>
      <c r="K214" s="3"/>
      <c r="L214" s="3"/>
      <c r="M214" s="4"/>
      <c r="N214" s="3"/>
      <c r="O214" s="3"/>
      <c r="P214" s="4"/>
      <c r="Q214" s="3"/>
      <c r="R214" s="3"/>
      <c r="S214" s="4"/>
      <c r="T214" s="3"/>
      <c r="U214" s="3"/>
      <c r="V214" s="81"/>
      <c r="W214" s="81"/>
      <c r="X214" s="81"/>
      <c r="Y214" s="81"/>
      <c r="Z214" s="81"/>
    </row>
    <row r="215" spans="1:26" ht="24" customHeight="1" x14ac:dyDescent="0.5">
      <c r="A215" s="3"/>
      <c r="B215" s="3"/>
      <c r="C215" s="3"/>
      <c r="D215" s="3"/>
      <c r="E215" s="3"/>
      <c r="F215" s="3"/>
      <c r="G215" s="3"/>
      <c r="H215" s="3"/>
      <c r="I215" s="3"/>
      <c r="J215" s="4"/>
      <c r="K215" s="3"/>
      <c r="L215" s="3"/>
      <c r="M215" s="4"/>
      <c r="N215" s="3"/>
      <c r="O215" s="3"/>
      <c r="P215" s="4"/>
      <c r="Q215" s="3"/>
      <c r="R215" s="3"/>
      <c r="S215" s="4"/>
      <c r="T215" s="3"/>
      <c r="U215" s="3"/>
      <c r="V215" s="81"/>
      <c r="W215" s="81"/>
      <c r="X215" s="81"/>
      <c r="Y215" s="81"/>
      <c r="Z215" s="81"/>
    </row>
    <row r="216" spans="1:26" ht="24" customHeight="1" x14ac:dyDescent="0.5">
      <c r="A216" s="3"/>
      <c r="B216" s="3"/>
      <c r="C216" s="3"/>
      <c r="D216" s="3"/>
      <c r="E216" s="3"/>
      <c r="F216" s="3"/>
      <c r="G216" s="3"/>
      <c r="H216" s="3"/>
      <c r="I216" s="3"/>
      <c r="J216" s="4"/>
      <c r="K216" s="3"/>
      <c r="L216" s="3"/>
      <c r="M216" s="4"/>
      <c r="N216" s="3"/>
      <c r="O216" s="3"/>
      <c r="P216" s="4"/>
      <c r="Q216" s="3"/>
      <c r="R216" s="3"/>
      <c r="S216" s="4"/>
      <c r="T216" s="3"/>
      <c r="U216" s="3"/>
      <c r="V216" s="81"/>
      <c r="W216" s="81"/>
      <c r="X216" s="81"/>
      <c r="Y216" s="81"/>
      <c r="Z216" s="81"/>
    </row>
    <row r="217" spans="1:26" ht="24" customHeight="1" x14ac:dyDescent="0.5">
      <c r="A217" s="3"/>
      <c r="B217" s="3"/>
      <c r="C217" s="3"/>
      <c r="D217" s="3"/>
      <c r="E217" s="3"/>
      <c r="F217" s="3"/>
      <c r="G217" s="3"/>
      <c r="H217" s="3"/>
      <c r="I217" s="3"/>
      <c r="J217" s="4"/>
      <c r="K217" s="3"/>
      <c r="L217" s="3"/>
      <c r="M217" s="4"/>
      <c r="N217" s="3"/>
      <c r="O217" s="3"/>
      <c r="P217" s="4"/>
      <c r="Q217" s="3"/>
      <c r="R217" s="3"/>
      <c r="S217" s="4"/>
      <c r="T217" s="3"/>
      <c r="U217" s="3"/>
      <c r="V217" s="81"/>
      <c r="W217" s="81"/>
      <c r="X217" s="81"/>
      <c r="Y217" s="81"/>
      <c r="Z217" s="81"/>
    </row>
    <row r="218" spans="1:26" ht="24" customHeight="1" x14ac:dyDescent="0.5">
      <c r="A218" s="3"/>
      <c r="B218" s="3"/>
      <c r="C218" s="3"/>
      <c r="D218" s="3"/>
      <c r="E218" s="3"/>
      <c r="F218" s="3"/>
      <c r="G218" s="3"/>
      <c r="H218" s="3"/>
      <c r="I218" s="3"/>
      <c r="J218" s="4"/>
      <c r="K218" s="3"/>
      <c r="L218" s="3"/>
      <c r="M218" s="4"/>
      <c r="N218" s="3"/>
      <c r="O218" s="3"/>
      <c r="P218" s="4"/>
      <c r="Q218" s="3"/>
      <c r="R218" s="3"/>
      <c r="S218" s="4"/>
      <c r="T218" s="3"/>
      <c r="U218" s="3"/>
      <c r="V218" s="81"/>
      <c r="W218" s="81"/>
      <c r="X218" s="81"/>
      <c r="Y218" s="81"/>
      <c r="Z218" s="81"/>
    </row>
    <row r="219" spans="1:26" ht="24" customHeight="1" x14ac:dyDescent="0.5">
      <c r="A219" s="3"/>
      <c r="B219" s="3"/>
      <c r="C219" s="3"/>
      <c r="D219" s="3"/>
      <c r="E219" s="3"/>
      <c r="F219" s="3"/>
      <c r="G219" s="3"/>
      <c r="H219" s="3"/>
      <c r="I219" s="3"/>
      <c r="J219" s="4"/>
      <c r="K219" s="3"/>
      <c r="L219" s="3"/>
      <c r="M219" s="4"/>
      <c r="N219" s="3"/>
      <c r="O219" s="3"/>
      <c r="P219" s="4"/>
      <c r="Q219" s="3"/>
      <c r="R219" s="3"/>
      <c r="S219" s="4"/>
      <c r="T219" s="3"/>
      <c r="U219" s="3"/>
      <c r="V219" s="81"/>
      <c r="W219" s="81"/>
      <c r="X219" s="81"/>
      <c r="Y219" s="81"/>
      <c r="Z219" s="81"/>
    </row>
    <row r="220" spans="1:26" ht="24" customHeight="1" x14ac:dyDescent="0.5">
      <c r="A220" s="3"/>
      <c r="B220" s="3"/>
      <c r="C220" s="3"/>
      <c r="D220" s="3"/>
      <c r="E220" s="3"/>
      <c r="F220" s="3"/>
      <c r="G220" s="3"/>
      <c r="H220" s="3"/>
      <c r="I220" s="3"/>
      <c r="J220" s="4"/>
      <c r="K220" s="3"/>
      <c r="L220" s="3"/>
      <c r="M220" s="4"/>
      <c r="N220" s="3"/>
      <c r="O220" s="3"/>
      <c r="P220" s="4"/>
      <c r="Q220" s="3"/>
      <c r="R220" s="3"/>
      <c r="S220" s="4"/>
      <c r="T220" s="3"/>
      <c r="U220" s="3"/>
      <c r="V220" s="81"/>
      <c r="W220" s="81"/>
      <c r="X220" s="81"/>
      <c r="Y220" s="81"/>
      <c r="Z220" s="81"/>
    </row>
    <row r="221" spans="1:26" ht="24" customHeight="1" x14ac:dyDescent="0.5">
      <c r="A221" s="3"/>
      <c r="B221" s="3"/>
      <c r="C221" s="3"/>
      <c r="D221" s="3"/>
      <c r="E221" s="3"/>
      <c r="F221" s="3"/>
      <c r="G221" s="3"/>
      <c r="H221" s="3"/>
      <c r="I221" s="3"/>
      <c r="J221" s="4"/>
      <c r="K221" s="3"/>
      <c r="L221" s="3"/>
      <c r="M221" s="4"/>
      <c r="N221" s="3"/>
      <c r="O221" s="3"/>
      <c r="P221" s="4"/>
      <c r="Q221" s="3"/>
      <c r="R221" s="3"/>
      <c r="S221" s="4"/>
      <c r="T221" s="3"/>
      <c r="U221" s="3"/>
      <c r="V221" s="81"/>
      <c r="W221" s="81"/>
      <c r="X221" s="81"/>
      <c r="Y221" s="81"/>
      <c r="Z221" s="81"/>
    </row>
    <row r="222" spans="1:26" ht="24" customHeight="1" x14ac:dyDescent="0.5">
      <c r="A222" s="3"/>
      <c r="B222" s="3"/>
      <c r="C222" s="3"/>
      <c r="D222" s="3"/>
      <c r="E222" s="3"/>
      <c r="F222" s="3"/>
      <c r="G222" s="3"/>
      <c r="H222" s="3"/>
      <c r="I222" s="3"/>
      <c r="J222" s="4"/>
      <c r="K222" s="3"/>
      <c r="L222" s="3"/>
      <c r="M222" s="4"/>
      <c r="N222" s="3"/>
      <c r="O222" s="3"/>
      <c r="P222" s="4"/>
      <c r="Q222" s="3"/>
      <c r="R222" s="3"/>
      <c r="S222" s="4"/>
      <c r="T222" s="3"/>
      <c r="U222" s="3"/>
      <c r="V222" s="81"/>
      <c r="W222" s="81"/>
      <c r="X222" s="81"/>
      <c r="Y222" s="81"/>
      <c r="Z222" s="81"/>
    </row>
    <row r="223" spans="1:26" ht="24" customHeight="1" x14ac:dyDescent="0.5">
      <c r="A223" s="3"/>
      <c r="B223" s="3"/>
      <c r="C223" s="3"/>
      <c r="D223" s="3"/>
      <c r="E223" s="3"/>
      <c r="F223" s="3"/>
      <c r="G223" s="3"/>
      <c r="H223" s="3"/>
      <c r="I223" s="3"/>
      <c r="J223" s="4"/>
      <c r="K223" s="3"/>
      <c r="L223" s="3"/>
      <c r="M223" s="4"/>
      <c r="N223" s="3"/>
      <c r="O223" s="3"/>
      <c r="P223" s="4"/>
      <c r="Q223" s="3"/>
      <c r="R223" s="3"/>
      <c r="S223" s="4"/>
      <c r="T223" s="3"/>
      <c r="U223" s="3"/>
      <c r="V223" s="81"/>
      <c r="W223" s="81"/>
      <c r="X223" s="81"/>
      <c r="Y223" s="81"/>
      <c r="Z223" s="81"/>
    </row>
    <row r="224" spans="1:26" ht="24" customHeight="1" x14ac:dyDescent="0.5">
      <c r="A224" s="3"/>
      <c r="B224" s="3"/>
      <c r="C224" s="3"/>
      <c r="D224" s="3"/>
      <c r="E224" s="3"/>
      <c r="F224" s="3"/>
      <c r="G224" s="3"/>
      <c r="H224" s="3"/>
      <c r="I224" s="3"/>
      <c r="J224" s="4"/>
      <c r="K224" s="3"/>
      <c r="L224" s="3"/>
      <c r="M224" s="4"/>
      <c r="N224" s="3"/>
      <c r="O224" s="3"/>
      <c r="P224" s="4"/>
      <c r="Q224" s="3"/>
      <c r="R224" s="3"/>
      <c r="S224" s="4"/>
      <c r="T224" s="3"/>
      <c r="U224" s="3"/>
      <c r="V224" s="81"/>
      <c r="W224" s="81"/>
      <c r="X224" s="81"/>
      <c r="Y224" s="81"/>
      <c r="Z224" s="81"/>
    </row>
    <row r="225" spans="1:26" ht="24" customHeight="1" x14ac:dyDescent="0.5">
      <c r="A225" s="3"/>
      <c r="B225" s="3"/>
      <c r="C225" s="3"/>
      <c r="D225" s="3"/>
      <c r="E225" s="3"/>
      <c r="F225" s="3"/>
      <c r="G225" s="3"/>
      <c r="H225" s="3"/>
      <c r="I225" s="3"/>
      <c r="J225" s="4"/>
      <c r="K225" s="3"/>
      <c r="L225" s="3"/>
      <c r="M225" s="4"/>
      <c r="N225" s="3"/>
      <c r="O225" s="3"/>
      <c r="P225" s="4"/>
      <c r="Q225" s="3"/>
      <c r="R225" s="3"/>
      <c r="S225" s="4"/>
      <c r="T225" s="3"/>
      <c r="U225" s="3"/>
      <c r="V225" s="81"/>
      <c r="W225" s="81"/>
      <c r="X225" s="81"/>
      <c r="Y225" s="81"/>
      <c r="Z225" s="81"/>
    </row>
    <row r="226" spans="1:26" ht="24" customHeight="1" x14ac:dyDescent="0.5">
      <c r="A226" s="3"/>
      <c r="B226" s="3"/>
      <c r="C226" s="3"/>
      <c r="D226" s="3"/>
      <c r="E226" s="3"/>
      <c r="F226" s="3"/>
      <c r="G226" s="3"/>
      <c r="H226" s="3"/>
      <c r="I226" s="3"/>
      <c r="J226" s="4"/>
      <c r="K226" s="3"/>
      <c r="L226" s="3"/>
      <c r="M226" s="4"/>
      <c r="N226" s="3"/>
      <c r="O226" s="3"/>
      <c r="P226" s="4"/>
      <c r="Q226" s="3"/>
      <c r="R226" s="3"/>
      <c r="S226" s="4"/>
      <c r="T226" s="3"/>
      <c r="U226" s="3"/>
      <c r="V226" s="81"/>
      <c r="W226" s="81"/>
      <c r="X226" s="81"/>
      <c r="Y226" s="81"/>
      <c r="Z226" s="81"/>
    </row>
    <row r="227" spans="1:26" ht="24" customHeight="1" x14ac:dyDescent="0.5">
      <c r="A227" s="3"/>
      <c r="B227" s="3"/>
      <c r="C227" s="3"/>
      <c r="D227" s="3"/>
      <c r="E227" s="3"/>
      <c r="F227" s="3"/>
      <c r="G227" s="3"/>
      <c r="H227" s="3"/>
      <c r="I227" s="3"/>
      <c r="J227" s="4"/>
      <c r="K227" s="3"/>
      <c r="L227" s="3"/>
      <c r="M227" s="4"/>
      <c r="N227" s="3"/>
      <c r="O227" s="3"/>
      <c r="P227" s="4"/>
      <c r="Q227" s="3"/>
      <c r="R227" s="3"/>
      <c r="S227" s="4"/>
      <c r="T227" s="3"/>
      <c r="U227" s="3"/>
      <c r="V227" s="81"/>
      <c r="W227" s="81"/>
      <c r="X227" s="81"/>
      <c r="Y227" s="81"/>
      <c r="Z227" s="81"/>
    </row>
    <row r="228" spans="1:26" ht="24" customHeight="1" x14ac:dyDescent="0.5">
      <c r="A228" s="3"/>
      <c r="B228" s="3"/>
      <c r="C228" s="3"/>
      <c r="D228" s="3"/>
      <c r="E228" s="3"/>
      <c r="F228" s="3"/>
      <c r="G228" s="3"/>
      <c r="H228" s="3"/>
      <c r="I228" s="3"/>
      <c r="J228" s="4"/>
      <c r="K228" s="3"/>
      <c r="L228" s="3"/>
      <c r="M228" s="4"/>
      <c r="N228" s="3"/>
      <c r="O228" s="3"/>
      <c r="P228" s="4"/>
      <c r="Q228" s="3"/>
      <c r="R228" s="3"/>
      <c r="S228" s="4"/>
      <c r="T228" s="3"/>
      <c r="U228" s="3"/>
      <c r="V228" s="81"/>
      <c r="W228" s="81"/>
      <c r="X228" s="81"/>
      <c r="Y228" s="81"/>
      <c r="Z228" s="81"/>
    </row>
    <row r="229" spans="1:26" ht="24" customHeight="1" x14ac:dyDescent="0.5">
      <c r="A229" s="3"/>
      <c r="B229" s="3"/>
      <c r="C229" s="3"/>
      <c r="D229" s="3"/>
      <c r="E229" s="3"/>
      <c r="F229" s="3"/>
      <c r="G229" s="3"/>
      <c r="H229" s="3"/>
      <c r="I229" s="3"/>
      <c r="J229" s="4"/>
      <c r="K229" s="3"/>
      <c r="L229" s="3"/>
      <c r="M229" s="4"/>
      <c r="N229" s="3"/>
      <c r="O229" s="3"/>
      <c r="P229" s="4"/>
      <c r="Q229" s="3"/>
      <c r="R229" s="3"/>
      <c r="S229" s="4"/>
      <c r="T229" s="3"/>
      <c r="U229" s="3"/>
      <c r="V229" s="81"/>
      <c r="W229" s="81"/>
      <c r="X229" s="81"/>
      <c r="Y229" s="81"/>
      <c r="Z229" s="81"/>
    </row>
    <row r="230" spans="1:26" ht="24" customHeight="1" x14ac:dyDescent="0.5">
      <c r="A230" s="3"/>
      <c r="B230" s="3"/>
      <c r="C230" s="3"/>
      <c r="D230" s="3"/>
      <c r="E230" s="3"/>
      <c r="F230" s="3"/>
      <c r="G230" s="3"/>
      <c r="H230" s="3"/>
      <c r="I230" s="3"/>
      <c r="J230" s="4"/>
      <c r="K230" s="3"/>
      <c r="L230" s="3"/>
      <c r="M230" s="4"/>
      <c r="N230" s="3"/>
      <c r="O230" s="3"/>
      <c r="P230" s="4"/>
      <c r="Q230" s="3"/>
      <c r="R230" s="3"/>
      <c r="S230" s="4"/>
      <c r="T230" s="3"/>
      <c r="U230" s="3"/>
      <c r="V230" s="81"/>
      <c r="W230" s="81"/>
      <c r="X230" s="81"/>
      <c r="Y230" s="81"/>
      <c r="Z230" s="81"/>
    </row>
    <row r="231" spans="1:26" ht="24" customHeight="1" x14ac:dyDescent="0.5">
      <c r="A231" s="3"/>
      <c r="B231" s="3"/>
      <c r="C231" s="3"/>
      <c r="D231" s="3"/>
      <c r="E231" s="3"/>
      <c r="F231" s="3"/>
      <c r="G231" s="3"/>
      <c r="H231" s="3"/>
      <c r="I231" s="3"/>
      <c r="J231" s="4"/>
      <c r="K231" s="3"/>
      <c r="L231" s="3"/>
      <c r="M231" s="4"/>
      <c r="N231" s="3"/>
      <c r="O231" s="3"/>
      <c r="P231" s="4"/>
      <c r="Q231" s="3"/>
      <c r="R231" s="3"/>
      <c r="S231" s="4"/>
      <c r="T231" s="3"/>
      <c r="U231" s="3"/>
      <c r="V231" s="81"/>
      <c r="W231" s="81"/>
      <c r="X231" s="81"/>
      <c r="Y231" s="81"/>
      <c r="Z231" s="81"/>
    </row>
    <row r="232" spans="1:26" ht="24" customHeight="1" x14ac:dyDescent="0.5">
      <c r="A232" s="3"/>
      <c r="B232" s="3"/>
      <c r="C232" s="3"/>
      <c r="D232" s="3"/>
      <c r="E232" s="3"/>
      <c r="F232" s="3"/>
      <c r="G232" s="3"/>
      <c r="H232" s="3"/>
      <c r="I232" s="3"/>
      <c r="J232" s="4"/>
      <c r="K232" s="3"/>
      <c r="L232" s="3"/>
      <c r="M232" s="4"/>
      <c r="N232" s="3"/>
      <c r="O232" s="3"/>
      <c r="P232" s="4"/>
      <c r="Q232" s="3"/>
      <c r="R232" s="3"/>
      <c r="S232" s="4"/>
      <c r="T232" s="3"/>
      <c r="U232" s="3"/>
      <c r="V232" s="81"/>
      <c r="W232" s="81"/>
      <c r="X232" s="81"/>
      <c r="Y232" s="81"/>
      <c r="Z232" s="81"/>
    </row>
    <row r="233" spans="1:26" ht="24" customHeight="1" x14ac:dyDescent="0.5">
      <c r="A233" s="3"/>
      <c r="B233" s="3"/>
      <c r="C233" s="3"/>
      <c r="D233" s="3"/>
      <c r="E233" s="3"/>
      <c r="F233" s="3"/>
      <c r="G233" s="3"/>
      <c r="H233" s="3"/>
      <c r="I233" s="3"/>
      <c r="J233" s="4"/>
      <c r="K233" s="3"/>
      <c r="L233" s="3"/>
      <c r="M233" s="4"/>
      <c r="N233" s="3"/>
      <c r="O233" s="3"/>
      <c r="P233" s="4"/>
      <c r="Q233" s="3"/>
      <c r="R233" s="3"/>
      <c r="S233" s="4"/>
      <c r="T233" s="3"/>
      <c r="U233" s="3"/>
      <c r="V233" s="81"/>
      <c r="W233" s="81"/>
      <c r="X233" s="81"/>
      <c r="Y233" s="81"/>
      <c r="Z233" s="81"/>
    </row>
    <row r="234" spans="1:26" ht="24" customHeight="1" x14ac:dyDescent="0.5">
      <c r="A234" s="3"/>
      <c r="B234" s="3"/>
      <c r="C234" s="3"/>
      <c r="D234" s="3"/>
      <c r="E234" s="3"/>
      <c r="F234" s="3"/>
      <c r="G234" s="3"/>
      <c r="H234" s="3"/>
      <c r="I234" s="3"/>
      <c r="J234" s="4"/>
      <c r="K234" s="3"/>
      <c r="L234" s="3"/>
      <c r="M234" s="4"/>
      <c r="N234" s="3"/>
      <c r="O234" s="3"/>
      <c r="P234" s="4"/>
      <c r="Q234" s="3"/>
      <c r="R234" s="3"/>
      <c r="S234" s="4"/>
      <c r="T234" s="3"/>
      <c r="U234" s="3"/>
      <c r="V234" s="81"/>
      <c r="W234" s="81"/>
      <c r="X234" s="81"/>
      <c r="Y234" s="81"/>
      <c r="Z234" s="81"/>
    </row>
    <row r="235" spans="1:26" ht="24" customHeight="1" x14ac:dyDescent="0.5">
      <c r="A235" s="3"/>
      <c r="B235" s="3"/>
      <c r="C235" s="3"/>
      <c r="D235" s="3"/>
      <c r="E235" s="3"/>
      <c r="F235" s="3"/>
      <c r="G235" s="3"/>
      <c r="H235" s="3"/>
      <c r="I235" s="3"/>
      <c r="J235" s="4"/>
      <c r="K235" s="3"/>
      <c r="L235" s="3"/>
      <c r="M235" s="4"/>
      <c r="N235" s="3"/>
      <c r="O235" s="3"/>
      <c r="P235" s="4"/>
      <c r="Q235" s="3"/>
      <c r="R235" s="3"/>
      <c r="S235" s="4"/>
      <c r="T235" s="3"/>
      <c r="U235" s="3"/>
      <c r="V235" s="81"/>
      <c r="W235" s="81"/>
      <c r="X235" s="81"/>
      <c r="Y235" s="81"/>
      <c r="Z235" s="81"/>
    </row>
    <row r="236" spans="1:26" ht="24" customHeight="1" x14ac:dyDescent="0.5">
      <c r="A236" s="3"/>
      <c r="B236" s="3"/>
      <c r="C236" s="3"/>
      <c r="D236" s="3"/>
      <c r="E236" s="3"/>
      <c r="F236" s="3"/>
      <c r="G236" s="3"/>
      <c r="H236" s="3"/>
      <c r="I236" s="3"/>
      <c r="J236" s="4"/>
      <c r="K236" s="3"/>
      <c r="L236" s="3"/>
      <c r="M236" s="4"/>
      <c r="N236" s="3"/>
      <c r="O236" s="3"/>
      <c r="P236" s="4"/>
      <c r="Q236" s="3"/>
      <c r="R236" s="3"/>
      <c r="S236" s="4"/>
      <c r="T236" s="3"/>
      <c r="U236" s="3"/>
      <c r="V236" s="81"/>
      <c r="W236" s="81"/>
      <c r="X236" s="81"/>
      <c r="Y236" s="81"/>
      <c r="Z236" s="81"/>
    </row>
    <row r="237" spans="1:26" ht="24" customHeight="1" x14ac:dyDescent="0.5">
      <c r="A237" s="3"/>
      <c r="B237" s="3"/>
      <c r="C237" s="3"/>
      <c r="D237" s="3"/>
      <c r="E237" s="3"/>
      <c r="F237" s="3"/>
      <c r="G237" s="3"/>
      <c r="H237" s="3"/>
      <c r="I237" s="3"/>
      <c r="J237" s="4"/>
      <c r="K237" s="3"/>
      <c r="L237" s="3"/>
      <c r="M237" s="4"/>
      <c r="N237" s="3"/>
      <c r="O237" s="3"/>
      <c r="P237" s="4"/>
      <c r="Q237" s="3"/>
      <c r="R237" s="3"/>
      <c r="S237" s="4"/>
      <c r="T237" s="3"/>
      <c r="U237" s="3"/>
      <c r="V237" s="81"/>
      <c r="W237" s="81"/>
      <c r="X237" s="81"/>
      <c r="Y237" s="81"/>
      <c r="Z237" s="81"/>
    </row>
    <row r="238" spans="1:26" ht="24" customHeight="1" x14ac:dyDescent="0.5">
      <c r="A238" s="3"/>
      <c r="B238" s="3"/>
      <c r="C238" s="3"/>
      <c r="D238" s="3"/>
      <c r="E238" s="3"/>
      <c r="F238" s="3"/>
      <c r="G238" s="3"/>
      <c r="H238" s="3"/>
      <c r="I238" s="3"/>
      <c r="J238" s="4"/>
      <c r="K238" s="3"/>
      <c r="L238" s="3"/>
      <c r="M238" s="4"/>
      <c r="N238" s="3"/>
      <c r="O238" s="3"/>
      <c r="P238" s="4"/>
      <c r="Q238" s="3"/>
      <c r="R238" s="3"/>
      <c r="S238" s="4"/>
      <c r="T238" s="3"/>
      <c r="U238" s="3"/>
      <c r="V238" s="81"/>
      <c r="W238" s="81"/>
      <c r="X238" s="81"/>
      <c r="Y238" s="81"/>
      <c r="Z238" s="81"/>
    </row>
    <row r="239" spans="1:26" ht="24" customHeight="1" x14ac:dyDescent="0.5">
      <c r="A239" s="3"/>
      <c r="B239" s="3"/>
      <c r="C239" s="3"/>
      <c r="D239" s="3"/>
      <c r="E239" s="3"/>
      <c r="F239" s="3"/>
      <c r="G239" s="3"/>
      <c r="H239" s="3"/>
      <c r="I239" s="3"/>
      <c r="J239" s="4"/>
      <c r="K239" s="3"/>
      <c r="L239" s="3"/>
      <c r="M239" s="4"/>
      <c r="N239" s="3"/>
      <c r="O239" s="3"/>
      <c r="P239" s="4"/>
      <c r="Q239" s="3"/>
      <c r="R239" s="3"/>
      <c r="S239" s="4"/>
      <c r="T239" s="3"/>
      <c r="U239" s="3"/>
      <c r="V239" s="81"/>
      <c r="W239" s="81"/>
      <c r="X239" s="81"/>
      <c r="Y239" s="81"/>
      <c r="Z239" s="81"/>
    </row>
    <row r="240" spans="1:26" ht="24" customHeight="1" x14ac:dyDescent="0.5">
      <c r="A240" s="3"/>
      <c r="B240" s="3"/>
      <c r="C240" s="3"/>
      <c r="D240" s="3"/>
      <c r="E240" s="3"/>
      <c r="F240" s="3"/>
      <c r="G240" s="3"/>
      <c r="H240" s="3"/>
      <c r="I240" s="3"/>
      <c r="J240" s="4"/>
      <c r="K240" s="3"/>
      <c r="L240" s="3"/>
      <c r="M240" s="4"/>
      <c r="N240" s="3"/>
      <c r="O240" s="3"/>
      <c r="P240" s="4"/>
      <c r="Q240" s="3"/>
      <c r="R240" s="3"/>
      <c r="S240" s="4"/>
      <c r="T240" s="3"/>
      <c r="U240" s="3"/>
      <c r="V240" s="81"/>
      <c r="W240" s="81"/>
      <c r="X240" s="81"/>
      <c r="Y240" s="81"/>
      <c r="Z240" s="81"/>
    </row>
    <row r="241" spans="1:26" ht="24" customHeight="1" x14ac:dyDescent="0.5">
      <c r="A241" s="3"/>
      <c r="B241" s="3"/>
      <c r="C241" s="3"/>
      <c r="D241" s="3"/>
      <c r="E241" s="3"/>
      <c r="F241" s="3"/>
      <c r="G241" s="3"/>
      <c r="H241" s="3"/>
      <c r="I241" s="3"/>
      <c r="J241" s="4"/>
      <c r="K241" s="3"/>
      <c r="L241" s="3"/>
      <c r="M241" s="4"/>
      <c r="N241" s="3"/>
      <c r="O241" s="3"/>
      <c r="P241" s="4"/>
      <c r="Q241" s="3"/>
      <c r="R241" s="3"/>
      <c r="S241" s="4"/>
      <c r="T241" s="3"/>
      <c r="U241" s="3"/>
      <c r="V241" s="81"/>
      <c r="W241" s="81"/>
      <c r="X241" s="81"/>
      <c r="Y241" s="81"/>
      <c r="Z241" s="81"/>
    </row>
    <row r="242" spans="1:26" ht="24" customHeight="1" x14ac:dyDescent="0.5">
      <c r="A242" s="3"/>
      <c r="B242" s="3"/>
      <c r="C242" s="3"/>
      <c r="D242" s="3"/>
      <c r="E242" s="3"/>
      <c r="F242" s="3"/>
      <c r="G242" s="3"/>
      <c r="H242" s="3"/>
      <c r="I242" s="3"/>
      <c r="J242" s="4"/>
      <c r="K242" s="3"/>
      <c r="L242" s="3"/>
      <c r="M242" s="4"/>
      <c r="N242" s="3"/>
      <c r="O242" s="3"/>
      <c r="P242" s="4"/>
      <c r="Q242" s="3"/>
      <c r="R242" s="3"/>
      <c r="S242" s="4"/>
      <c r="T242" s="3"/>
      <c r="U242" s="3"/>
      <c r="V242" s="81"/>
      <c r="W242" s="81"/>
      <c r="X242" s="81"/>
      <c r="Y242" s="81"/>
      <c r="Z242" s="81"/>
    </row>
    <row r="243" spans="1:26" ht="24" customHeight="1" x14ac:dyDescent="0.5">
      <c r="A243" s="3"/>
      <c r="B243" s="3"/>
      <c r="C243" s="3"/>
      <c r="D243" s="3"/>
      <c r="E243" s="3"/>
      <c r="F243" s="3"/>
      <c r="G243" s="3"/>
      <c r="H243" s="3"/>
      <c r="I243" s="3"/>
      <c r="J243" s="4"/>
      <c r="K243" s="3"/>
      <c r="L243" s="3"/>
      <c r="M243" s="4"/>
      <c r="N243" s="3"/>
      <c r="O243" s="3"/>
      <c r="P243" s="4"/>
      <c r="Q243" s="3"/>
      <c r="R243" s="3"/>
      <c r="S243" s="4"/>
      <c r="T243" s="3"/>
      <c r="U243" s="3"/>
      <c r="V243" s="81"/>
      <c r="W243" s="81"/>
      <c r="X243" s="81"/>
      <c r="Y243" s="81"/>
      <c r="Z243" s="81"/>
    </row>
    <row r="244" spans="1:26" ht="24" customHeight="1" x14ac:dyDescent="0.5">
      <c r="A244" s="3"/>
      <c r="B244" s="3"/>
      <c r="C244" s="3"/>
      <c r="D244" s="3"/>
      <c r="E244" s="3"/>
      <c r="F244" s="3"/>
      <c r="G244" s="3"/>
      <c r="H244" s="3"/>
      <c r="I244" s="3"/>
      <c r="J244" s="4"/>
      <c r="K244" s="3"/>
      <c r="L244" s="3"/>
      <c r="M244" s="4"/>
      <c r="N244" s="3"/>
      <c r="O244" s="3"/>
      <c r="P244" s="4"/>
      <c r="Q244" s="3"/>
      <c r="R244" s="3"/>
      <c r="S244" s="4"/>
      <c r="T244" s="3"/>
      <c r="U244" s="3"/>
      <c r="V244" s="81"/>
      <c r="W244" s="81"/>
      <c r="X244" s="81"/>
      <c r="Y244" s="81"/>
      <c r="Z244" s="81"/>
    </row>
    <row r="245" spans="1:26" ht="24" customHeight="1" x14ac:dyDescent="0.5">
      <c r="A245" s="3"/>
      <c r="B245" s="3"/>
      <c r="C245" s="3"/>
      <c r="D245" s="3"/>
      <c r="E245" s="3"/>
      <c r="F245" s="3"/>
      <c r="G245" s="3"/>
      <c r="H245" s="3"/>
      <c r="I245" s="3"/>
      <c r="J245" s="4"/>
      <c r="K245" s="3"/>
      <c r="L245" s="3"/>
      <c r="M245" s="4"/>
      <c r="N245" s="3"/>
      <c r="O245" s="3"/>
      <c r="P245" s="4"/>
      <c r="Q245" s="3"/>
      <c r="R245" s="3"/>
      <c r="S245" s="4"/>
      <c r="T245" s="3"/>
      <c r="U245" s="3"/>
      <c r="V245" s="81"/>
      <c r="W245" s="81"/>
      <c r="X245" s="81"/>
      <c r="Y245" s="81"/>
      <c r="Z245" s="81"/>
    </row>
    <row r="246" spans="1:26" ht="24" customHeight="1" x14ac:dyDescent="0.5">
      <c r="A246" s="3"/>
      <c r="B246" s="3"/>
      <c r="C246" s="3"/>
      <c r="D246" s="3"/>
      <c r="E246" s="3"/>
      <c r="F246" s="3"/>
      <c r="G246" s="3"/>
      <c r="H246" s="3"/>
      <c r="I246" s="3"/>
      <c r="J246" s="4"/>
      <c r="K246" s="3"/>
      <c r="L246" s="3"/>
      <c r="M246" s="4"/>
      <c r="N246" s="3"/>
      <c r="O246" s="3"/>
      <c r="P246" s="4"/>
      <c r="Q246" s="3"/>
      <c r="R246" s="3"/>
      <c r="S246" s="4"/>
      <c r="T246" s="3"/>
      <c r="U246" s="3"/>
      <c r="V246" s="81"/>
      <c r="W246" s="81"/>
      <c r="X246" s="81"/>
      <c r="Y246" s="81"/>
      <c r="Z246" s="81"/>
    </row>
    <row r="247" spans="1:26" ht="24" customHeight="1" x14ac:dyDescent="0.5">
      <c r="A247" s="3"/>
      <c r="B247" s="3"/>
      <c r="C247" s="3"/>
      <c r="D247" s="3"/>
      <c r="E247" s="3"/>
      <c r="F247" s="3"/>
      <c r="G247" s="3"/>
      <c r="H247" s="3"/>
      <c r="I247" s="3"/>
      <c r="J247" s="4"/>
      <c r="K247" s="3"/>
      <c r="L247" s="3"/>
      <c r="M247" s="4"/>
      <c r="N247" s="3"/>
      <c r="O247" s="3"/>
      <c r="P247" s="4"/>
      <c r="Q247" s="3"/>
      <c r="R247" s="3"/>
      <c r="S247" s="4"/>
      <c r="T247" s="3"/>
      <c r="U247" s="3"/>
      <c r="V247" s="81"/>
      <c r="W247" s="81"/>
      <c r="X247" s="81"/>
      <c r="Y247" s="81"/>
      <c r="Z247" s="81"/>
    </row>
    <row r="248" spans="1:26" ht="24" customHeight="1" x14ac:dyDescent="0.5">
      <c r="A248" s="3"/>
      <c r="B248" s="3"/>
      <c r="C248" s="3"/>
      <c r="D248" s="3"/>
      <c r="E248" s="3"/>
      <c r="F248" s="3"/>
      <c r="G248" s="3"/>
      <c r="H248" s="3"/>
      <c r="I248" s="3"/>
      <c r="J248" s="4"/>
      <c r="K248" s="3"/>
      <c r="L248" s="3"/>
      <c r="M248" s="4"/>
      <c r="N248" s="3"/>
      <c r="O248" s="3"/>
      <c r="P248" s="4"/>
      <c r="Q248" s="3"/>
      <c r="R248" s="3"/>
      <c r="S248" s="4"/>
      <c r="T248" s="3"/>
      <c r="U248" s="3"/>
      <c r="V248" s="81"/>
      <c r="W248" s="81"/>
      <c r="X248" s="81"/>
      <c r="Y248" s="81"/>
      <c r="Z248" s="81"/>
    </row>
    <row r="249" spans="1:26" ht="24" customHeight="1" x14ac:dyDescent="0.5">
      <c r="A249" s="3"/>
      <c r="B249" s="3"/>
      <c r="C249" s="3"/>
      <c r="D249" s="3"/>
      <c r="E249" s="3"/>
      <c r="F249" s="3"/>
      <c r="G249" s="3"/>
      <c r="H249" s="3"/>
      <c r="I249" s="3"/>
      <c r="J249" s="4"/>
      <c r="K249" s="3"/>
      <c r="L249" s="3"/>
      <c r="M249" s="4"/>
      <c r="N249" s="3"/>
      <c r="O249" s="3"/>
      <c r="P249" s="4"/>
      <c r="Q249" s="3"/>
      <c r="R249" s="3"/>
      <c r="S249" s="4"/>
      <c r="T249" s="3"/>
      <c r="U249" s="3"/>
      <c r="V249" s="81"/>
      <c r="W249" s="81"/>
      <c r="X249" s="81"/>
      <c r="Y249" s="81"/>
      <c r="Z249" s="81"/>
    </row>
    <row r="250" spans="1:26" ht="24" customHeight="1" x14ac:dyDescent="0.5">
      <c r="A250" s="3"/>
      <c r="B250" s="3"/>
      <c r="C250" s="3"/>
      <c r="D250" s="3"/>
      <c r="E250" s="3"/>
      <c r="F250" s="3"/>
      <c r="G250" s="3"/>
      <c r="H250" s="3"/>
      <c r="I250" s="3"/>
      <c r="J250" s="4"/>
      <c r="K250" s="3"/>
      <c r="L250" s="3"/>
      <c r="M250" s="4"/>
      <c r="N250" s="3"/>
      <c r="O250" s="3"/>
      <c r="P250" s="4"/>
      <c r="Q250" s="3"/>
      <c r="R250" s="3"/>
      <c r="S250" s="4"/>
      <c r="T250" s="3"/>
      <c r="U250" s="3"/>
      <c r="V250" s="81"/>
      <c r="W250" s="81"/>
      <c r="X250" s="81"/>
      <c r="Y250" s="81"/>
      <c r="Z250" s="81"/>
    </row>
    <row r="251" spans="1:26" ht="24" customHeight="1" x14ac:dyDescent="0.5">
      <c r="A251" s="3"/>
      <c r="B251" s="3"/>
      <c r="C251" s="3"/>
      <c r="D251" s="3"/>
      <c r="E251" s="3"/>
      <c r="F251" s="3"/>
      <c r="G251" s="3"/>
      <c r="H251" s="3"/>
      <c r="I251" s="3"/>
      <c r="J251" s="4"/>
      <c r="K251" s="3"/>
      <c r="L251" s="3"/>
      <c r="M251" s="4"/>
      <c r="N251" s="3"/>
      <c r="O251" s="3"/>
      <c r="P251" s="4"/>
      <c r="Q251" s="3"/>
      <c r="R251" s="3"/>
      <c r="S251" s="4"/>
      <c r="T251" s="3"/>
      <c r="U251" s="3"/>
      <c r="V251" s="81"/>
      <c r="W251" s="81"/>
      <c r="X251" s="81"/>
      <c r="Y251" s="81"/>
      <c r="Z251" s="81"/>
    </row>
    <row r="252" spans="1:26" ht="24" customHeight="1" x14ac:dyDescent="0.5">
      <c r="A252" s="3"/>
      <c r="B252" s="3"/>
      <c r="C252" s="3"/>
      <c r="D252" s="3"/>
      <c r="E252" s="3"/>
      <c r="F252" s="3"/>
      <c r="G252" s="3"/>
      <c r="H252" s="3"/>
      <c r="I252" s="3"/>
      <c r="J252" s="4"/>
      <c r="K252" s="3"/>
      <c r="L252" s="3"/>
      <c r="M252" s="4"/>
      <c r="N252" s="3"/>
      <c r="O252" s="3"/>
      <c r="P252" s="4"/>
      <c r="Q252" s="3"/>
      <c r="R252" s="3"/>
      <c r="S252" s="4"/>
      <c r="T252" s="3"/>
      <c r="U252" s="3"/>
      <c r="V252" s="81"/>
      <c r="W252" s="81"/>
      <c r="X252" s="81"/>
      <c r="Y252" s="81"/>
      <c r="Z252" s="81"/>
    </row>
    <row r="253" spans="1:26" ht="24" customHeight="1" x14ac:dyDescent="0.5">
      <c r="A253" s="3"/>
      <c r="B253" s="3"/>
      <c r="C253" s="3"/>
      <c r="D253" s="3"/>
      <c r="E253" s="3"/>
      <c r="F253" s="3"/>
      <c r="G253" s="3"/>
      <c r="H253" s="3"/>
      <c r="I253" s="3"/>
      <c r="J253" s="4"/>
      <c r="K253" s="3"/>
      <c r="L253" s="3"/>
      <c r="M253" s="4"/>
      <c r="N253" s="3"/>
      <c r="O253" s="3"/>
      <c r="P253" s="4"/>
      <c r="Q253" s="3"/>
      <c r="R253" s="3"/>
      <c r="S253" s="4"/>
      <c r="T253" s="3"/>
      <c r="U253" s="3"/>
      <c r="V253" s="81"/>
      <c r="W253" s="81"/>
      <c r="X253" s="81"/>
      <c r="Y253" s="81"/>
      <c r="Z253" s="81"/>
    </row>
    <row r="254" spans="1:26" ht="24" customHeight="1" x14ac:dyDescent="0.5">
      <c r="A254" s="3"/>
      <c r="B254" s="3"/>
      <c r="C254" s="3"/>
      <c r="D254" s="3"/>
      <c r="E254" s="3"/>
      <c r="F254" s="3"/>
      <c r="G254" s="3"/>
      <c r="H254" s="3"/>
      <c r="I254" s="3"/>
      <c r="J254" s="4"/>
      <c r="K254" s="3"/>
      <c r="L254" s="3"/>
      <c r="M254" s="4"/>
      <c r="N254" s="3"/>
      <c r="O254" s="3"/>
      <c r="P254" s="4"/>
      <c r="Q254" s="3"/>
      <c r="R254" s="3"/>
      <c r="S254" s="4"/>
      <c r="T254" s="3"/>
      <c r="U254" s="3"/>
      <c r="V254" s="81"/>
      <c r="W254" s="81"/>
      <c r="X254" s="81"/>
      <c r="Y254" s="81"/>
      <c r="Z254" s="81"/>
    </row>
    <row r="255" spans="1:26" ht="24" customHeight="1" x14ac:dyDescent="0.5">
      <c r="A255" s="3"/>
      <c r="B255" s="3"/>
      <c r="C255" s="3"/>
      <c r="D255" s="3"/>
      <c r="E255" s="3"/>
      <c r="F255" s="3"/>
      <c r="G255" s="3"/>
      <c r="H255" s="3"/>
      <c r="I255" s="3"/>
      <c r="J255" s="4"/>
      <c r="K255" s="3"/>
      <c r="L255" s="3"/>
      <c r="M255" s="4"/>
      <c r="N255" s="3"/>
      <c r="O255" s="3"/>
      <c r="P255" s="4"/>
      <c r="Q255" s="3"/>
      <c r="R255" s="3"/>
      <c r="S255" s="4"/>
      <c r="T255" s="3"/>
      <c r="U255" s="3"/>
      <c r="V255" s="81"/>
      <c r="W255" s="81"/>
      <c r="X255" s="81"/>
      <c r="Y255" s="81"/>
      <c r="Z255" s="81"/>
    </row>
    <row r="256" spans="1:26" ht="24" customHeight="1" x14ac:dyDescent="0.5">
      <c r="A256" s="3"/>
      <c r="B256" s="3"/>
      <c r="C256" s="3"/>
      <c r="D256" s="3"/>
      <c r="E256" s="3"/>
      <c r="F256" s="3"/>
      <c r="G256" s="3"/>
      <c r="H256" s="3"/>
      <c r="I256" s="3"/>
      <c r="J256" s="4"/>
      <c r="K256" s="3"/>
      <c r="L256" s="3"/>
      <c r="M256" s="4"/>
      <c r="N256" s="3"/>
      <c r="O256" s="3"/>
      <c r="P256" s="4"/>
      <c r="Q256" s="3"/>
      <c r="R256" s="3"/>
      <c r="S256" s="4"/>
      <c r="T256" s="3"/>
      <c r="U256" s="3"/>
      <c r="V256" s="81"/>
      <c r="W256" s="81"/>
      <c r="X256" s="81"/>
      <c r="Y256" s="81"/>
      <c r="Z256" s="81"/>
    </row>
    <row r="257" spans="1:26" ht="24" customHeight="1" x14ac:dyDescent="0.5">
      <c r="A257" s="3"/>
      <c r="B257" s="3"/>
      <c r="C257" s="3"/>
      <c r="D257" s="3"/>
      <c r="E257" s="3"/>
      <c r="F257" s="3"/>
      <c r="G257" s="3"/>
      <c r="H257" s="3"/>
      <c r="I257" s="3"/>
      <c r="J257" s="4"/>
      <c r="K257" s="3"/>
      <c r="L257" s="3"/>
      <c r="M257" s="4"/>
      <c r="N257" s="3"/>
      <c r="O257" s="3"/>
      <c r="P257" s="4"/>
      <c r="Q257" s="3"/>
      <c r="R257" s="3"/>
      <c r="S257" s="4"/>
      <c r="T257" s="3"/>
      <c r="U257" s="3"/>
      <c r="V257" s="81"/>
      <c r="W257" s="81"/>
      <c r="X257" s="81"/>
      <c r="Y257" s="81"/>
      <c r="Z257" s="81"/>
    </row>
    <row r="258" spans="1:26" ht="24" customHeight="1" x14ac:dyDescent="0.5">
      <c r="A258" s="3"/>
      <c r="B258" s="3"/>
      <c r="C258" s="3"/>
      <c r="D258" s="3"/>
      <c r="E258" s="3"/>
      <c r="F258" s="3"/>
      <c r="G258" s="3"/>
      <c r="H258" s="3"/>
      <c r="I258" s="3"/>
      <c r="J258" s="4"/>
      <c r="K258" s="3"/>
      <c r="L258" s="3"/>
      <c r="M258" s="4"/>
      <c r="N258" s="3"/>
      <c r="O258" s="3"/>
      <c r="P258" s="4"/>
      <c r="Q258" s="3"/>
      <c r="R258" s="3"/>
      <c r="S258" s="4"/>
      <c r="T258" s="3"/>
      <c r="U258" s="3"/>
      <c r="V258" s="81"/>
      <c r="W258" s="81"/>
      <c r="X258" s="81"/>
      <c r="Y258" s="81"/>
      <c r="Z258" s="81"/>
    </row>
    <row r="259" spans="1:26" ht="24" customHeight="1" x14ac:dyDescent="0.5">
      <c r="A259" s="3"/>
      <c r="B259" s="3"/>
      <c r="C259" s="3"/>
      <c r="D259" s="3"/>
      <c r="E259" s="3"/>
      <c r="F259" s="3"/>
      <c r="G259" s="3"/>
      <c r="H259" s="3"/>
      <c r="I259" s="3"/>
      <c r="J259" s="4"/>
      <c r="K259" s="3"/>
      <c r="L259" s="3"/>
      <c r="M259" s="4"/>
      <c r="N259" s="3"/>
      <c r="O259" s="3"/>
      <c r="P259" s="4"/>
      <c r="Q259" s="3"/>
      <c r="R259" s="3"/>
      <c r="S259" s="4"/>
      <c r="T259" s="3"/>
      <c r="U259" s="3"/>
      <c r="V259" s="81"/>
      <c r="W259" s="81"/>
      <c r="X259" s="81"/>
      <c r="Y259" s="81"/>
      <c r="Z259" s="81"/>
    </row>
    <row r="260" spans="1:26" ht="24" customHeight="1" x14ac:dyDescent="0.5">
      <c r="A260" s="3"/>
      <c r="B260" s="3"/>
      <c r="C260" s="3"/>
      <c r="D260" s="3"/>
      <c r="E260" s="3"/>
      <c r="F260" s="3"/>
      <c r="G260" s="3"/>
      <c r="H260" s="3"/>
      <c r="I260" s="3"/>
      <c r="J260" s="4"/>
      <c r="K260" s="3"/>
      <c r="L260" s="3"/>
      <c r="M260" s="4"/>
      <c r="N260" s="3"/>
      <c r="O260" s="3"/>
      <c r="P260" s="4"/>
      <c r="Q260" s="3"/>
      <c r="R260" s="3"/>
      <c r="S260" s="4"/>
      <c r="T260" s="3"/>
      <c r="U260" s="3"/>
      <c r="V260" s="81"/>
      <c r="W260" s="81"/>
      <c r="X260" s="81"/>
      <c r="Y260" s="81"/>
      <c r="Z260" s="81"/>
    </row>
    <row r="261" spans="1:26" ht="24" customHeight="1" x14ac:dyDescent="0.5">
      <c r="A261" s="3"/>
      <c r="B261" s="3"/>
      <c r="C261" s="3"/>
      <c r="D261" s="3"/>
      <c r="E261" s="3"/>
      <c r="F261" s="3"/>
      <c r="G261" s="3"/>
      <c r="H261" s="3"/>
      <c r="I261" s="3"/>
      <c r="J261" s="4"/>
      <c r="K261" s="3"/>
      <c r="L261" s="3"/>
      <c r="M261" s="4"/>
      <c r="N261" s="3"/>
      <c r="O261" s="3"/>
      <c r="P261" s="4"/>
      <c r="Q261" s="3"/>
      <c r="R261" s="3"/>
      <c r="S261" s="4"/>
      <c r="T261" s="3"/>
      <c r="U261" s="3"/>
      <c r="V261" s="81"/>
      <c r="W261" s="81"/>
      <c r="X261" s="81"/>
      <c r="Y261" s="81"/>
      <c r="Z261" s="81"/>
    </row>
    <row r="262" spans="1:26" ht="24" customHeight="1" x14ac:dyDescent="0.5">
      <c r="A262" s="3"/>
      <c r="B262" s="3"/>
      <c r="C262" s="3"/>
      <c r="D262" s="3"/>
      <c r="E262" s="3"/>
      <c r="F262" s="3"/>
      <c r="G262" s="3"/>
      <c r="H262" s="3"/>
      <c r="I262" s="3"/>
      <c r="J262" s="4"/>
      <c r="K262" s="3"/>
      <c r="L262" s="3"/>
      <c r="M262" s="4"/>
      <c r="N262" s="3"/>
      <c r="O262" s="3"/>
      <c r="P262" s="4"/>
      <c r="Q262" s="3"/>
      <c r="R262" s="3"/>
      <c r="S262" s="4"/>
      <c r="T262" s="3"/>
      <c r="U262" s="3"/>
      <c r="V262" s="81"/>
      <c r="W262" s="81"/>
      <c r="X262" s="81"/>
      <c r="Y262" s="81"/>
      <c r="Z262" s="81"/>
    </row>
    <row r="263" spans="1:26" ht="24" customHeight="1" x14ac:dyDescent="0.5">
      <c r="A263" s="3"/>
      <c r="B263" s="3"/>
      <c r="C263" s="3"/>
      <c r="D263" s="3"/>
      <c r="E263" s="3"/>
      <c r="F263" s="3"/>
      <c r="G263" s="3"/>
      <c r="H263" s="3"/>
      <c r="I263" s="3"/>
      <c r="J263" s="4"/>
      <c r="K263" s="3"/>
      <c r="L263" s="3"/>
      <c r="M263" s="4"/>
      <c r="N263" s="3"/>
      <c r="O263" s="3"/>
      <c r="P263" s="4"/>
      <c r="Q263" s="3"/>
      <c r="R263" s="3"/>
      <c r="S263" s="4"/>
      <c r="T263" s="3"/>
      <c r="U263" s="3"/>
      <c r="V263" s="81"/>
      <c r="W263" s="81"/>
      <c r="X263" s="81"/>
      <c r="Y263" s="81"/>
      <c r="Z263" s="81"/>
    </row>
    <row r="264" spans="1:26" ht="24" customHeight="1" x14ac:dyDescent="0.5">
      <c r="A264" s="3"/>
      <c r="B264" s="3"/>
      <c r="C264" s="3"/>
      <c r="D264" s="3"/>
      <c r="E264" s="3"/>
      <c r="F264" s="3"/>
      <c r="G264" s="3"/>
      <c r="H264" s="3"/>
      <c r="I264" s="3"/>
      <c r="J264" s="4"/>
      <c r="K264" s="3"/>
      <c r="L264" s="3"/>
      <c r="M264" s="4"/>
      <c r="N264" s="3"/>
      <c r="O264" s="3"/>
      <c r="P264" s="4"/>
      <c r="Q264" s="3"/>
      <c r="R264" s="3"/>
      <c r="S264" s="4"/>
      <c r="T264" s="3"/>
      <c r="U264" s="3"/>
      <c r="V264" s="81"/>
      <c r="W264" s="81"/>
      <c r="X264" s="81"/>
      <c r="Y264" s="81"/>
      <c r="Z264" s="81"/>
    </row>
    <row r="265" spans="1:26" ht="24" customHeight="1" x14ac:dyDescent="0.5">
      <c r="A265" s="3"/>
      <c r="B265" s="3"/>
      <c r="C265" s="3"/>
      <c r="D265" s="3"/>
      <c r="E265" s="3"/>
      <c r="F265" s="3"/>
      <c r="G265" s="3"/>
      <c r="H265" s="3"/>
      <c r="I265" s="3"/>
      <c r="J265" s="4"/>
      <c r="K265" s="3"/>
      <c r="L265" s="3"/>
      <c r="M265" s="4"/>
      <c r="N265" s="3"/>
      <c r="O265" s="3"/>
      <c r="P265" s="4"/>
      <c r="Q265" s="3"/>
      <c r="R265" s="3"/>
      <c r="S265" s="4"/>
      <c r="T265" s="3"/>
      <c r="U265" s="3"/>
      <c r="V265" s="81"/>
      <c r="W265" s="81"/>
      <c r="X265" s="81"/>
      <c r="Y265" s="81"/>
      <c r="Z265" s="81"/>
    </row>
    <row r="266" spans="1:26" ht="24" customHeight="1" x14ac:dyDescent="0.5">
      <c r="A266" s="3"/>
      <c r="B266" s="3"/>
      <c r="C266" s="3"/>
      <c r="D266" s="3"/>
      <c r="E266" s="3"/>
      <c r="F266" s="3"/>
      <c r="G266" s="3"/>
      <c r="H266" s="3"/>
      <c r="I266" s="3"/>
      <c r="J266" s="4"/>
      <c r="K266" s="3"/>
      <c r="L266" s="3"/>
      <c r="M266" s="4"/>
      <c r="N266" s="3"/>
      <c r="O266" s="3"/>
      <c r="P266" s="4"/>
      <c r="Q266" s="3"/>
      <c r="R266" s="3"/>
      <c r="S266" s="4"/>
      <c r="T266" s="3"/>
      <c r="U266" s="3"/>
      <c r="V266" s="81"/>
      <c r="W266" s="81"/>
      <c r="X266" s="81"/>
      <c r="Y266" s="81"/>
      <c r="Z266" s="81"/>
    </row>
    <row r="267" spans="1:26" ht="24" customHeight="1" x14ac:dyDescent="0.5">
      <c r="A267" s="3"/>
      <c r="B267" s="3"/>
      <c r="C267" s="3"/>
      <c r="D267" s="3"/>
      <c r="E267" s="3"/>
      <c r="F267" s="3"/>
      <c r="G267" s="3"/>
      <c r="H267" s="3"/>
      <c r="I267" s="3"/>
      <c r="J267" s="4"/>
      <c r="K267" s="3"/>
      <c r="L267" s="3"/>
      <c r="M267" s="4"/>
      <c r="N267" s="3"/>
      <c r="O267" s="3"/>
      <c r="P267" s="4"/>
      <c r="Q267" s="3"/>
      <c r="R267" s="3"/>
      <c r="S267" s="4"/>
      <c r="T267" s="3"/>
      <c r="U267" s="3"/>
      <c r="V267" s="81"/>
      <c r="W267" s="81"/>
      <c r="X267" s="81"/>
      <c r="Y267" s="81"/>
      <c r="Z267" s="81"/>
    </row>
    <row r="268" spans="1:26" ht="24" customHeight="1" x14ac:dyDescent="0.5">
      <c r="A268" s="3"/>
      <c r="B268" s="3"/>
      <c r="C268" s="3"/>
      <c r="D268" s="3"/>
      <c r="E268" s="3"/>
      <c r="F268" s="3"/>
      <c r="G268" s="3"/>
      <c r="H268" s="3"/>
      <c r="I268" s="3"/>
      <c r="J268" s="4"/>
      <c r="K268" s="3"/>
      <c r="L268" s="3"/>
      <c r="M268" s="4"/>
      <c r="N268" s="3"/>
      <c r="O268" s="3"/>
      <c r="P268" s="4"/>
      <c r="Q268" s="3"/>
      <c r="R268" s="3"/>
      <c r="S268" s="4"/>
      <c r="T268" s="3"/>
      <c r="U268" s="3"/>
      <c r="V268" s="81"/>
      <c r="W268" s="81"/>
      <c r="X268" s="81"/>
      <c r="Y268" s="81"/>
      <c r="Z268" s="81"/>
    </row>
    <row r="269" spans="1:26" ht="24" customHeight="1" x14ac:dyDescent="0.5">
      <c r="A269" s="3"/>
      <c r="B269" s="3"/>
      <c r="C269" s="3"/>
      <c r="D269" s="3"/>
      <c r="E269" s="3"/>
      <c r="F269" s="3"/>
      <c r="G269" s="3"/>
      <c r="H269" s="3"/>
      <c r="I269" s="3"/>
      <c r="J269" s="4"/>
      <c r="K269" s="3"/>
      <c r="L269" s="3"/>
      <c r="M269" s="4"/>
      <c r="N269" s="3"/>
      <c r="O269" s="3"/>
      <c r="P269" s="4"/>
      <c r="Q269" s="3"/>
      <c r="R269" s="3"/>
      <c r="S269" s="4"/>
      <c r="T269" s="3"/>
      <c r="U269" s="3"/>
      <c r="V269" s="81"/>
      <c r="W269" s="81"/>
      <c r="X269" s="81"/>
      <c r="Y269" s="81"/>
      <c r="Z269" s="81"/>
    </row>
    <row r="270" spans="1:26" ht="24" customHeight="1" x14ac:dyDescent="0.5">
      <c r="A270" s="3"/>
      <c r="B270" s="3"/>
      <c r="C270" s="3"/>
      <c r="D270" s="3"/>
      <c r="E270" s="3"/>
      <c r="F270" s="3"/>
      <c r="G270" s="3"/>
      <c r="H270" s="3"/>
      <c r="I270" s="3"/>
      <c r="J270" s="4"/>
      <c r="K270" s="3"/>
      <c r="L270" s="3"/>
      <c r="M270" s="4"/>
      <c r="N270" s="3"/>
      <c r="O270" s="3"/>
      <c r="P270" s="4"/>
      <c r="Q270" s="3"/>
      <c r="R270" s="3"/>
      <c r="S270" s="4"/>
      <c r="T270" s="3"/>
      <c r="U270" s="3"/>
      <c r="V270" s="81"/>
      <c r="W270" s="81"/>
      <c r="X270" s="81"/>
      <c r="Y270" s="81"/>
      <c r="Z270" s="81"/>
    </row>
    <row r="271" spans="1:26" ht="24" customHeight="1" x14ac:dyDescent="0.5">
      <c r="A271" s="3"/>
      <c r="B271" s="3"/>
      <c r="C271" s="3"/>
      <c r="D271" s="3"/>
      <c r="E271" s="3"/>
      <c r="F271" s="3"/>
      <c r="G271" s="3"/>
      <c r="H271" s="3"/>
      <c r="I271" s="3"/>
      <c r="J271" s="4"/>
      <c r="K271" s="3"/>
      <c r="L271" s="3"/>
      <c r="M271" s="4"/>
      <c r="N271" s="3"/>
      <c r="O271" s="3"/>
      <c r="P271" s="4"/>
      <c r="Q271" s="3"/>
      <c r="R271" s="3"/>
      <c r="S271" s="4"/>
      <c r="T271" s="3"/>
      <c r="U271" s="3"/>
      <c r="V271" s="81"/>
      <c r="W271" s="81"/>
      <c r="X271" s="81"/>
      <c r="Y271" s="81"/>
      <c r="Z271" s="81"/>
    </row>
    <row r="272" spans="1:26" ht="24" customHeight="1" x14ac:dyDescent="0.5">
      <c r="A272" s="3"/>
      <c r="B272" s="3"/>
      <c r="C272" s="3"/>
      <c r="D272" s="3"/>
      <c r="E272" s="3"/>
      <c r="F272" s="3"/>
      <c r="G272" s="3"/>
      <c r="H272" s="3"/>
      <c r="I272" s="3"/>
      <c r="J272" s="4"/>
      <c r="K272" s="3"/>
      <c r="L272" s="3"/>
      <c r="M272" s="4"/>
      <c r="N272" s="3"/>
      <c r="O272" s="3"/>
      <c r="P272" s="4"/>
      <c r="Q272" s="3"/>
      <c r="R272" s="3"/>
      <c r="S272" s="4"/>
      <c r="T272" s="3"/>
      <c r="U272" s="3"/>
      <c r="V272" s="81"/>
      <c r="W272" s="81"/>
      <c r="X272" s="81"/>
      <c r="Y272" s="81"/>
      <c r="Z272" s="81"/>
    </row>
    <row r="273" spans="1:26" ht="24" customHeight="1" x14ac:dyDescent="0.5">
      <c r="A273" s="3"/>
      <c r="B273" s="3"/>
      <c r="C273" s="3"/>
      <c r="D273" s="3"/>
      <c r="E273" s="3"/>
      <c r="F273" s="3"/>
      <c r="G273" s="3"/>
      <c r="H273" s="3"/>
      <c r="I273" s="3"/>
      <c r="J273" s="4"/>
      <c r="K273" s="3"/>
      <c r="L273" s="3"/>
      <c r="M273" s="4"/>
      <c r="N273" s="3"/>
      <c r="O273" s="3"/>
      <c r="P273" s="4"/>
      <c r="Q273" s="3"/>
      <c r="R273" s="3"/>
      <c r="S273" s="4"/>
      <c r="T273" s="3"/>
      <c r="U273" s="3"/>
      <c r="V273" s="81"/>
      <c r="W273" s="81"/>
      <c r="X273" s="81"/>
      <c r="Y273" s="81"/>
      <c r="Z273" s="81"/>
    </row>
    <row r="274" spans="1:26" ht="24" customHeight="1" x14ac:dyDescent="0.5">
      <c r="A274" s="3"/>
      <c r="B274" s="3"/>
      <c r="C274" s="3"/>
      <c r="D274" s="3"/>
      <c r="E274" s="3"/>
      <c r="F274" s="3"/>
      <c r="G274" s="3"/>
      <c r="H274" s="3"/>
      <c r="I274" s="3"/>
      <c r="J274" s="4"/>
      <c r="K274" s="3"/>
      <c r="L274" s="3"/>
      <c r="M274" s="4"/>
      <c r="N274" s="3"/>
      <c r="O274" s="3"/>
      <c r="P274" s="4"/>
      <c r="Q274" s="3"/>
      <c r="R274" s="3"/>
      <c r="S274" s="4"/>
      <c r="T274" s="3"/>
      <c r="U274" s="3"/>
      <c r="V274" s="81"/>
      <c r="W274" s="81"/>
      <c r="X274" s="81"/>
      <c r="Y274" s="81"/>
      <c r="Z274" s="81"/>
    </row>
    <row r="275" spans="1:26" ht="24" customHeight="1" x14ac:dyDescent="0.5">
      <c r="A275" s="3"/>
      <c r="B275" s="3"/>
      <c r="C275" s="3"/>
      <c r="D275" s="3"/>
      <c r="E275" s="3"/>
      <c r="F275" s="3"/>
      <c r="G275" s="3"/>
      <c r="H275" s="3"/>
      <c r="I275" s="3"/>
      <c r="J275" s="4"/>
      <c r="K275" s="3"/>
      <c r="L275" s="3"/>
      <c r="M275" s="4"/>
      <c r="N275" s="3"/>
      <c r="O275" s="3"/>
      <c r="P275" s="4"/>
      <c r="Q275" s="3"/>
      <c r="R275" s="3"/>
      <c r="S275" s="4"/>
      <c r="T275" s="3"/>
      <c r="U275" s="3"/>
      <c r="V275" s="81"/>
      <c r="W275" s="81"/>
      <c r="X275" s="81"/>
      <c r="Y275" s="81"/>
      <c r="Z275" s="81"/>
    </row>
    <row r="276" spans="1:26" ht="24" customHeight="1" x14ac:dyDescent="0.5">
      <c r="A276" s="3"/>
      <c r="B276" s="3"/>
      <c r="C276" s="3"/>
      <c r="D276" s="3"/>
      <c r="E276" s="3"/>
      <c r="F276" s="3"/>
      <c r="G276" s="3"/>
      <c r="H276" s="3"/>
      <c r="I276" s="3"/>
      <c r="J276" s="4"/>
      <c r="K276" s="3"/>
      <c r="L276" s="3"/>
      <c r="M276" s="4"/>
      <c r="N276" s="3"/>
      <c r="O276" s="3"/>
      <c r="P276" s="4"/>
      <c r="Q276" s="3"/>
      <c r="R276" s="3"/>
      <c r="S276" s="4"/>
      <c r="T276" s="3"/>
      <c r="U276" s="3"/>
      <c r="V276" s="81"/>
      <c r="W276" s="81"/>
      <c r="X276" s="81"/>
      <c r="Y276" s="81"/>
      <c r="Z276" s="81"/>
    </row>
    <row r="277" spans="1:26" ht="24" customHeight="1" x14ac:dyDescent="0.5">
      <c r="A277" s="3"/>
      <c r="B277" s="3"/>
      <c r="C277" s="3"/>
      <c r="D277" s="3"/>
      <c r="E277" s="3"/>
      <c r="F277" s="3"/>
      <c r="G277" s="3"/>
      <c r="H277" s="3"/>
      <c r="I277" s="3"/>
      <c r="J277" s="4"/>
      <c r="K277" s="3"/>
      <c r="L277" s="3"/>
      <c r="M277" s="4"/>
      <c r="N277" s="3"/>
      <c r="O277" s="3"/>
      <c r="P277" s="4"/>
      <c r="Q277" s="3"/>
      <c r="R277" s="3"/>
      <c r="S277" s="4"/>
      <c r="T277" s="3"/>
      <c r="U277" s="3"/>
      <c r="V277" s="81"/>
      <c r="W277" s="81"/>
      <c r="X277" s="81"/>
      <c r="Y277" s="81"/>
      <c r="Z277" s="81"/>
    </row>
    <row r="278" spans="1:26" ht="24" customHeight="1" x14ac:dyDescent="0.5">
      <c r="A278" s="3"/>
      <c r="B278" s="3"/>
      <c r="C278" s="3"/>
      <c r="D278" s="3"/>
      <c r="E278" s="3"/>
      <c r="F278" s="3"/>
      <c r="G278" s="3"/>
      <c r="H278" s="3"/>
      <c r="I278" s="3"/>
      <c r="J278" s="4"/>
      <c r="K278" s="3"/>
      <c r="L278" s="3"/>
      <c r="M278" s="4"/>
      <c r="N278" s="3"/>
      <c r="O278" s="3"/>
      <c r="P278" s="4"/>
      <c r="Q278" s="3"/>
      <c r="R278" s="3"/>
      <c r="S278" s="4"/>
      <c r="T278" s="3"/>
      <c r="U278" s="3"/>
      <c r="V278" s="81"/>
      <c r="W278" s="81"/>
      <c r="X278" s="81"/>
      <c r="Y278" s="81"/>
      <c r="Z278" s="81"/>
    </row>
    <row r="279" spans="1:26" ht="24" customHeight="1" x14ac:dyDescent="0.5">
      <c r="A279" s="3"/>
      <c r="B279" s="3"/>
      <c r="C279" s="3"/>
      <c r="D279" s="3"/>
      <c r="E279" s="3"/>
      <c r="F279" s="3"/>
      <c r="G279" s="3"/>
      <c r="H279" s="3"/>
      <c r="I279" s="3"/>
      <c r="J279" s="4"/>
      <c r="K279" s="3"/>
      <c r="L279" s="3"/>
      <c r="M279" s="4"/>
      <c r="N279" s="3"/>
      <c r="O279" s="3"/>
      <c r="P279" s="4"/>
      <c r="Q279" s="3"/>
      <c r="R279" s="3"/>
      <c r="S279" s="4"/>
      <c r="T279" s="3"/>
      <c r="U279" s="3"/>
      <c r="V279" s="81"/>
      <c r="W279" s="81"/>
      <c r="X279" s="81"/>
      <c r="Y279" s="81"/>
      <c r="Z279" s="81"/>
    </row>
    <row r="280" spans="1:26" ht="24" customHeight="1" x14ac:dyDescent="0.5">
      <c r="A280" s="3"/>
      <c r="B280" s="3"/>
      <c r="C280" s="3"/>
      <c r="D280" s="3"/>
      <c r="E280" s="3"/>
      <c r="F280" s="3"/>
      <c r="G280" s="3"/>
      <c r="H280" s="3"/>
      <c r="I280" s="3"/>
      <c r="J280" s="4"/>
      <c r="K280" s="3"/>
      <c r="L280" s="3"/>
      <c r="M280" s="4"/>
      <c r="N280" s="3"/>
      <c r="O280" s="3"/>
      <c r="P280" s="4"/>
      <c r="Q280" s="3"/>
      <c r="R280" s="3"/>
      <c r="S280" s="4"/>
      <c r="T280" s="3"/>
      <c r="U280" s="3"/>
      <c r="V280" s="81"/>
      <c r="W280" s="81"/>
      <c r="X280" s="81"/>
      <c r="Y280" s="81"/>
      <c r="Z280" s="81"/>
    </row>
    <row r="281" spans="1:26" ht="24" customHeight="1" x14ac:dyDescent="0.5">
      <c r="A281" s="3"/>
      <c r="B281" s="3"/>
      <c r="C281" s="3"/>
      <c r="D281" s="3"/>
      <c r="E281" s="3"/>
      <c r="F281" s="3"/>
      <c r="G281" s="3"/>
      <c r="H281" s="3"/>
      <c r="I281" s="3"/>
      <c r="J281" s="4"/>
      <c r="K281" s="3"/>
      <c r="L281" s="3"/>
      <c r="M281" s="4"/>
      <c r="N281" s="3"/>
      <c r="O281" s="3"/>
      <c r="P281" s="4"/>
      <c r="Q281" s="3"/>
      <c r="R281" s="3"/>
      <c r="S281" s="4"/>
      <c r="T281" s="3"/>
      <c r="U281" s="3"/>
      <c r="V281" s="81"/>
      <c r="W281" s="81"/>
      <c r="X281" s="81"/>
      <c r="Y281" s="81"/>
      <c r="Z281" s="81"/>
    </row>
    <row r="282" spans="1:26" ht="24" customHeight="1" x14ac:dyDescent="0.5">
      <c r="A282" s="3"/>
      <c r="B282" s="3"/>
      <c r="C282" s="3"/>
      <c r="D282" s="3"/>
      <c r="E282" s="3"/>
      <c r="F282" s="3"/>
      <c r="G282" s="3"/>
      <c r="H282" s="3"/>
      <c r="I282" s="3"/>
      <c r="J282" s="4"/>
      <c r="K282" s="3"/>
      <c r="L282" s="3"/>
      <c r="M282" s="4"/>
      <c r="N282" s="3"/>
      <c r="O282" s="3"/>
      <c r="P282" s="4"/>
      <c r="Q282" s="3"/>
      <c r="R282" s="3"/>
      <c r="S282" s="4"/>
      <c r="T282" s="3"/>
      <c r="U282" s="3"/>
      <c r="V282" s="81"/>
      <c r="W282" s="81"/>
      <c r="X282" s="81"/>
      <c r="Y282" s="81"/>
      <c r="Z282" s="81"/>
    </row>
    <row r="283" spans="1:26" ht="24" customHeight="1" x14ac:dyDescent="0.5">
      <c r="A283" s="3"/>
      <c r="B283" s="3"/>
      <c r="C283" s="3"/>
      <c r="D283" s="3"/>
      <c r="E283" s="3"/>
      <c r="F283" s="3"/>
      <c r="G283" s="3"/>
      <c r="H283" s="3"/>
      <c r="I283" s="3"/>
      <c r="J283" s="4"/>
      <c r="K283" s="3"/>
      <c r="L283" s="3"/>
      <c r="M283" s="4"/>
      <c r="N283" s="3"/>
      <c r="O283" s="3"/>
      <c r="P283" s="4"/>
      <c r="Q283" s="3"/>
      <c r="R283" s="3"/>
      <c r="S283" s="4"/>
      <c r="T283" s="3"/>
      <c r="U283" s="3"/>
      <c r="V283" s="81"/>
      <c r="W283" s="81"/>
      <c r="X283" s="81"/>
      <c r="Y283" s="81"/>
      <c r="Z283" s="81"/>
    </row>
    <row r="284" spans="1:26" ht="24" customHeight="1" x14ac:dyDescent="0.5">
      <c r="A284" s="3"/>
      <c r="B284" s="3"/>
      <c r="C284" s="3"/>
      <c r="D284" s="3"/>
      <c r="E284" s="3"/>
      <c r="F284" s="3"/>
      <c r="G284" s="3"/>
      <c r="H284" s="3"/>
      <c r="I284" s="3"/>
      <c r="J284" s="4"/>
      <c r="K284" s="3"/>
      <c r="L284" s="3"/>
      <c r="M284" s="4"/>
      <c r="N284" s="3"/>
      <c r="O284" s="3"/>
      <c r="P284" s="4"/>
      <c r="Q284" s="3"/>
      <c r="R284" s="3"/>
      <c r="S284" s="4"/>
      <c r="T284" s="3"/>
      <c r="U284" s="3"/>
      <c r="V284" s="81"/>
      <c r="W284" s="81"/>
      <c r="X284" s="81"/>
      <c r="Y284" s="81"/>
      <c r="Z284" s="81"/>
    </row>
    <row r="285" spans="1:26" ht="24" customHeight="1" x14ac:dyDescent="0.5">
      <c r="A285" s="3"/>
      <c r="B285" s="3"/>
      <c r="C285" s="3"/>
      <c r="D285" s="3"/>
      <c r="E285" s="3"/>
      <c r="F285" s="3"/>
      <c r="G285" s="3"/>
      <c r="H285" s="3"/>
      <c r="I285" s="3"/>
      <c r="J285" s="4"/>
      <c r="K285" s="3"/>
      <c r="L285" s="3"/>
      <c r="M285" s="4"/>
      <c r="N285" s="3"/>
      <c r="O285" s="3"/>
      <c r="P285" s="4"/>
      <c r="Q285" s="3"/>
      <c r="R285" s="3"/>
      <c r="S285" s="4"/>
      <c r="T285" s="3"/>
      <c r="U285" s="3"/>
      <c r="V285" s="81"/>
      <c r="W285" s="81"/>
      <c r="X285" s="81"/>
      <c r="Y285" s="81"/>
      <c r="Z285" s="81"/>
    </row>
    <row r="286" spans="1:26" ht="24" customHeight="1" x14ac:dyDescent="0.5">
      <c r="A286" s="3"/>
      <c r="B286" s="3"/>
      <c r="C286" s="3"/>
      <c r="D286" s="3"/>
      <c r="E286" s="3"/>
      <c r="F286" s="3"/>
      <c r="G286" s="3"/>
      <c r="H286" s="3"/>
      <c r="I286" s="3"/>
      <c r="J286" s="4"/>
      <c r="K286" s="3"/>
      <c r="L286" s="3"/>
      <c r="M286" s="4"/>
      <c r="N286" s="3"/>
      <c r="O286" s="3"/>
      <c r="P286" s="4"/>
      <c r="Q286" s="3"/>
      <c r="R286" s="3"/>
      <c r="S286" s="4"/>
      <c r="T286" s="3"/>
      <c r="U286" s="3"/>
      <c r="V286" s="81"/>
      <c r="W286" s="81"/>
      <c r="X286" s="81"/>
      <c r="Y286" s="81"/>
      <c r="Z286" s="81"/>
    </row>
    <row r="287" spans="1:26" ht="24" customHeight="1" x14ac:dyDescent="0.5">
      <c r="A287" s="3"/>
      <c r="B287" s="3"/>
      <c r="C287" s="3"/>
      <c r="D287" s="3"/>
      <c r="E287" s="3"/>
      <c r="F287" s="3"/>
      <c r="G287" s="3"/>
      <c r="H287" s="3"/>
      <c r="I287" s="3"/>
      <c r="J287" s="4"/>
      <c r="K287" s="3"/>
      <c r="L287" s="3"/>
      <c r="M287" s="4"/>
      <c r="N287" s="3"/>
      <c r="O287" s="3"/>
      <c r="P287" s="4"/>
      <c r="Q287" s="3"/>
      <c r="R287" s="3"/>
      <c r="S287" s="4"/>
      <c r="T287" s="3"/>
      <c r="U287" s="3"/>
      <c r="V287" s="81"/>
      <c r="W287" s="81"/>
      <c r="X287" s="81"/>
      <c r="Y287" s="81"/>
      <c r="Z287" s="81"/>
    </row>
    <row r="288" spans="1:26" ht="24" customHeight="1" x14ac:dyDescent="0.5">
      <c r="A288" s="3"/>
      <c r="B288" s="3"/>
      <c r="C288" s="3"/>
      <c r="D288" s="3"/>
      <c r="E288" s="3"/>
      <c r="F288" s="3"/>
      <c r="G288" s="3"/>
      <c r="H288" s="3"/>
      <c r="I288" s="3"/>
      <c r="J288" s="4"/>
      <c r="K288" s="3"/>
      <c r="L288" s="3"/>
      <c r="M288" s="4"/>
      <c r="N288" s="3"/>
      <c r="O288" s="3"/>
      <c r="P288" s="4"/>
      <c r="Q288" s="3"/>
      <c r="R288" s="3"/>
      <c r="S288" s="4"/>
      <c r="T288" s="3"/>
      <c r="U288" s="3"/>
      <c r="V288" s="81"/>
      <c r="W288" s="81"/>
      <c r="X288" s="81"/>
      <c r="Y288" s="81"/>
      <c r="Z288" s="81"/>
    </row>
    <row r="289" spans="1:26" ht="24" customHeight="1" x14ac:dyDescent="0.5">
      <c r="A289" s="3"/>
      <c r="B289" s="3"/>
      <c r="C289" s="3"/>
      <c r="D289" s="3"/>
      <c r="E289" s="3"/>
      <c r="F289" s="3"/>
      <c r="G289" s="3"/>
      <c r="H289" s="3"/>
      <c r="I289" s="3"/>
      <c r="J289" s="4"/>
      <c r="K289" s="3"/>
      <c r="L289" s="3"/>
      <c r="M289" s="4"/>
      <c r="N289" s="3"/>
      <c r="O289" s="3"/>
      <c r="P289" s="4"/>
      <c r="Q289" s="3"/>
      <c r="R289" s="3"/>
      <c r="S289" s="4"/>
      <c r="T289" s="3"/>
      <c r="U289" s="3"/>
      <c r="V289" s="81"/>
      <c r="W289" s="81"/>
      <c r="X289" s="81"/>
      <c r="Y289" s="81"/>
      <c r="Z289" s="81"/>
    </row>
    <row r="290" spans="1:26" ht="24" customHeight="1" x14ac:dyDescent="0.5">
      <c r="A290" s="3"/>
      <c r="B290" s="3"/>
      <c r="C290" s="3"/>
      <c r="D290" s="3"/>
      <c r="E290" s="3"/>
      <c r="F290" s="3"/>
      <c r="G290" s="3"/>
      <c r="H290" s="3"/>
      <c r="I290" s="3"/>
      <c r="J290" s="4"/>
      <c r="K290" s="3"/>
      <c r="L290" s="3"/>
      <c r="M290" s="4"/>
      <c r="N290" s="3"/>
      <c r="O290" s="3"/>
      <c r="P290" s="4"/>
      <c r="Q290" s="3"/>
      <c r="R290" s="3"/>
      <c r="S290" s="4"/>
      <c r="T290" s="3"/>
      <c r="U290" s="3"/>
      <c r="V290" s="81"/>
      <c r="W290" s="81"/>
      <c r="X290" s="81"/>
      <c r="Y290" s="81"/>
      <c r="Z290" s="81"/>
    </row>
    <row r="291" spans="1:26" ht="24" customHeight="1" x14ac:dyDescent="0.5">
      <c r="A291" s="3"/>
      <c r="B291" s="3"/>
      <c r="C291" s="3"/>
      <c r="D291" s="3"/>
      <c r="E291" s="3"/>
      <c r="F291" s="3"/>
      <c r="G291" s="3"/>
      <c r="H291" s="3"/>
      <c r="I291" s="3"/>
      <c r="J291" s="4"/>
      <c r="K291" s="3"/>
      <c r="L291" s="3"/>
      <c r="M291" s="4"/>
      <c r="N291" s="3"/>
      <c r="O291" s="3"/>
      <c r="P291" s="4"/>
      <c r="Q291" s="3"/>
      <c r="R291" s="3"/>
      <c r="S291" s="4"/>
      <c r="T291" s="3"/>
      <c r="U291" s="3"/>
      <c r="V291" s="81"/>
      <c r="W291" s="81"/>
      <c r="X291" s="81"/>
      <c r="Y291" s="81"/>
      <c r="Z291" s="81"/>
    </row>
    <row r="292" spans="1:26" ht="24" customHeight="1" x14ac:dyDescent="0.5">
      <c r="A292" s="3"/>
      <c r="B292" s="3"/>
      <c r="C292" s="3"/>
      <c r="D292" s="3"/>
      <c r="E292" s="3"/>
      <c r="F292" s="3"/>
      <c r="G292" s="3"/>
      <c r="H292" s="3"/>
      <c r="I292" s="3"/>
      <c r="J292" s="4"/>
      <c r="K292" s="3"/>
      <c r="L292" s="3"/>
      <c r="M292" s="4"/>
      <c r="N292" s="3"/>
      <c r="O292" s="3"/>
      <c r="P292" s="4"/>
      <c r="Q292" s="3"/>
      <c r="R292" s="3"/>
      <c r="S292" s="4"/>
      <c r="T292" s="3"/>
      <c r="U292" s="3"/>
      <c r="V292" s="81"/>
      <c r="W292" s="81"/>
      <c r="X292" s="81"/>
      <c r="Y292" s="81"/>
      <c r="Z292" s="81"/>
    </row>
    <row r="293" spans="1:26" ht="24" customHeight="1" x14ac:dyDescent="0.5">
      <c r="A293" s="3"/>
      <c r="B293" s="3"/>
      <c r="C293" s="3"/>
      <c r="D293" s="3"/>
      <c r="E293" s="3"/>
      <c r="F293" s="3"/>
      <c r="G293" s="3"/>
      <c r="H293" s="3"/>
      <c r="I293" s="3"/>
      <c r="J293" s="4"/>
      <c r="K293" s="3"/>
      <c r="L293" s="3"/>
      <c r="M293" s="4"/>
      <c r="N293" s="3"/>
      <c r="O293" s="3"/>
      <c r="P293" s="4"/>
      <c r="Q293" s="3"/>
      <c r="R293" s="3"/>
      <c r="S293" s="4"/>
      <c r="T293" s="3"/>
      <c r="U293" s="3"/>
      <c r="V293" s="81"/>
      <c r="W293" s="81"/>
      <c r="X293" s="81"/>
      <c r="Y293" s="81"/>
      <c r="Z293" s="81"/>
    </row>
    <row r="294" spans="1:26" ht="24" customHeight="1" x14ac:dyDescent="0.5">
      <c r="A294" s="3"/>
      <c r="B294" s="3"/>
      <c r="C294" s="3"/>
      <c r="D294" s="3"/>
      <c r="E294" s="3"/>
      <c r="F294" s="3"/>
      <c r="G294" s="3"/>
      <c r="H294" s="3"/>
      <c r="I294" s="3"/>
      <c r="J294" s="4"/>
      <c r="K294" s="3"/>
      <c r="L294" s="3"/>
      <c r="M294" s="4"/>
      <c r="N294" s="3"/>
      <c r="O294" s="3"/>
      <c r="P294" s="4"/>
      <c r="Q294" s="3"/>
      <c r="R294" s="3"/>
      <c r="S294" s="4"/>
      <c r="T294" s="3"/>
      <c r="U294" s="3"/>
      <c r="V294" s="81"/>
      <c r="W294" s="81"/>
      <c r="X294" s="81"/>
      <c r="Y294" s="81"/>
      <c r="Z294" s="81"/>
    </row>
    <row r="295" spans="1:26" ht="24" customHeight="1" x14ac:dyDescent="0.5">
      <c r="A295" s="3"/>
      <c r="B295" s="3"/>
      <c r="C295" s="3"/>
      <c r="D295" s="3"/>
      <c r="E295" s="3"/>
      <c r="F295" s="3"/>
      <c r="G295" s="3"/>
      <c r="H295" s="3"/>
      <c r="I295" s="3"/>
      <c r="J295" s="4"/>
      <c r="K295" s="3"/>
      <c r="L295" s="3"/>
      <c r="M295" s="4"/>
      <c r="N295" s="3"/>
      <c r="O295" s="3"/>
      <c r="P295" s="4"/>
      <c r="Q295" s="3"/>
      <c r="R295" s="3"/>
      <c r="S295" s="4"/>
      <c r="T295" s="3"/>
      <c r="U295" s="3"/>
      <c r="V295" s="81"/>
      <c r="W295" s="81"/>
      <c r="X295" s="81"/>
      <c r="Y295" s="81"/>
      <c r="Z295" s="81"/>
    </row>
    <row r="296" spans="1:26" ht="24" customHeight="1" x14ac:dyDescent="0.5">
      <c r="A296" s="3"/>
      <c r="B296" s="3"/>
      <c r="C296" s="3"/>
      <c r="D296" s="3"/>
      <c r="E296" s="3"/>
      <c r="F296" s="3"/>
      <c r="G296" s="3"/>
      <c r="H296" s="3"/>
      <c r="I296" s="3"/>
      <c r="J296" s="4"/>
      <c r="K296" s="3"/>
      <c r="L296" s="3"/>
      <c r="M296" s="4"/>
      <c r="N296" s="3"/>
      <c r="O296" s="3"/>
      <c r="P296" s="4"/>
      <c r="Q296" s="3"/>
      <c r="R296" s="3"/>
      <c r="S296" s="4"/>
      <c r="T296" s="3"/>
      <c r="U296" s="3"/>
      <c r="V296" s="81"/>
      <c r="W296" s="81"/>
      <c r="X296" s="81"/>
      <c r="Y296" s="81"/>
      <c r="Z296" s="81"/>
    </row>
    <row r="297" spans="1:26" ht="24" customHeight="1" x14ac:dyDescent="0.5">
      <c r="A297" s="3"/>
      <c r="B297" s="3"/>
      <c r="C297" s="3"/>
      <c r="D297" s="3"/>
      <c r="E297" s="3"/>
      <c r="F297" s="3"/>
      <c r="G297" s="3"/>
      <c r="H297" s="3"/>
      <c r="I297" s="3"/>
      <c r="J297" s="4"/>
      <c r="K297" s="3"/>
      <c r="L297" s="3"/>
      <c r="M297" s="4"/>
      <c r="N297" s="3"/>
      <c r="O297" s="3"/>
      <c r="P297" s="4"/>
      <c r="Q297" s="3"/>
      <c r="R297" s="3"/>
      <c r="S297" s="4"/>
      <c r="T297" s="3"/>
      <c r="U297" s="3"/>
      <c r="V297" s="81"/>
      <c r="W297" s="81"/>
      <c r="X297" s="81"/>
      <c r="Y297" s="81"/>
      <c r="Z297" s="81"/>
    </row>
    <row r="298" spans="1:26" ht="24" customHeight="1" x14ac:dyDescent="0.5">
      <c r="A298" s="3"/>
      <c r="B298" s="3"/>
      <c r="C298" s="3"/>
      <c r="D298" s="3"/>
      <c r="E298" s="3"/>
      <c r="F298" s="3"/>
      <c r="G298" s="3"/>
      <c r="H298" s="3"/>
      <c r="I298" s="3"/>
      <c r="J298" s="4"/>
      <c r="K298" s="3"/>
      <c r="L298" s="3"/>
      <c r="M298" s="4"/>
      <c r="N298" s="3"/>
      <c r="O298" s="3"/>
      <c r="P298" s="4"/>
      <c r="Q298" s="3"/>
      <c r="R298" s="3"/>
      <c r="S298" s="4"/>
      <c r="T298" s="3"/>
      <c r="U298" s="3"/>
      <c r="V298" s="81"/>
      <c r="W298" s="81"/>
      <c r="X298" s="81"/>
      <c r="Y298" s="81"/>
      <c r="Z298" s="81"/>
    </row>
    <row r="299" spans="1:26" ht="24" customHeight="1" x14ac:dyDescent="0.5">
      <c r="A299" s="3"/>
      <c r="B299" s="3"/>
      <c r="C299" s="3"/>
      <c r="D299" s="3"/>
      <c r="E299" s="3"/>
      <c r="F299" s="3"/>
      <c r="G299" s="3"/>
      <c r="H299" s="3"/>
      <c r="I299" s="3"/>
      <c r="J299" s="4"/>
      <c r="K299" s="3"/>
      <c r="L299" s="3"/>
      <c r="M299" s="4"/>
      <c r="N299" s="3"/>
      <c r="O299" s="3"/>
      <c r="P299" s="4"/>
      <c r="Q299" s="3"/>
      <c r="R299" s="3"/>
      <c r="S299" s="4"/>
      <c r="T299" s="3"/>
      <c r="U299" s="3"/>
      <c r="V299" s="81"/>
      <c r="W299" s="81"/>
      <c r="X299" s="81"/>
      <c r="Y299" s="81"/>
      <c r="Z299" s="81"/>
    </row>
    <row r="300" spans="1:26" ht="24" customHeight="1" x14ac:dyDescent="0.5">
      <c r="A300" s="3"/>
      <c r="B300" s="3"/>
      <c r="C300" s="3"/>
      <c r="D300" s="3"/>
      <c r="E300" s="3"/>
      <c r="F300" s="3"/>
      <c r="G300" s="3"/>
      <c r="H300" s="3"/>
      <c r="I300" s="3"/>
      <c r="J300" s="4"/>
      <c r="K300" s="3"/>
      <c r="L300" s="3"/>
      <c r="M300" s="4"/>
      <c r="N300" s="3"/>
      <c r="O300" s="3"/>
      <c r="P300" s="4"/>
      <c r="Q300" s="3"/>
      <c r="R300" s="3"/>
      <c r="S300" s="4"/>
      <c r="T300" s="3"/>
      <c r="U300" s="3"/>
      <c r="V300" s="81"/>
      <c r="W300" s="81"/>
      <c r="X300" s="81"/>
      <c r="Y300" s="81"/>
      <c r="Z300" s="81"/>
    </row>
    <row r="301" spans="1:26" ht="24" customHeight="1" x14ac:dyDescent="0.5">
      <c r="A301" s="3"/>
      <c r="B301" s="3"/>
      <c r="C301" s="3"/>
      <c r="D301" s="3"/>
      <c r="E301" s="3"/>
      <c r="F301" s="3"/>
      <c r="G301" s="3"/>
      <c r="H301" s="3"/>
      <c r="I301" s="3"/>
      <c r="J301" s="4"/>
      <c r="K301" s="3"/>
      <c r="L301" s="3"/>
      <c r="M301" s="4"/>
      <c r="N301" s="3"/>
      <c r="O301" s="3"/>
      <c r="P301" s="4"/>
      <c r="Q301" s="3"/>
      <c r="R301" s="3"/>
      <c r="S301" s="4"/>
      <c r="T301" s="3"/>
      <c r="U301" s="3"/>
      <c r="V301" s="81"/>
      <c r="W301" s="81"/>
      <c r="X301" s="81"/>
      <c r="Y301" s="81"/>
      <c r="Z301" s="81"/>
    </row>
    <row r="302" spans="1:26" ht="24" customHeight="1" x14ac:dyDescent="0.5">
      <c r="A302" s="3"/>
      <c r="B302" s="3"/>
      <c r="C302" s="3"/>
      <c r="D302" s="3"/>
      <c r="E302" s="3"/>
      <c r="F302" s="3"/>
      <c r="G302" s="3"/>
      <c r="H302" s="3"/>
      <c r="I302" s="3"/>
      <c r="J302" s="4"/>
      <c r="K302" s="3"/>
      <c r="L302" s="3"/>
      <c r="M302" s="4"/>
      <c r="N302" s="3"/>
      <c r="O302" s="3"/>
      <c r="P302" s="4"/>
      <c r="Q302" s="3"/>
      <c r="R302" s="3"/>
      <c r="S302" s="4"/>
      <c r="T302" s="3"/>
      <c r="U302" s="3"/>
      <c r="V302" s="81"/>
      <c r="W302" s="81"/>
      <c r="X302" s="81"/>
      <c r="Y302" s="81"/>
      <c r="Z302" s="81"/>
    </row>
    <row r="303" spans="1:26" ht="24" customHeight="1" x14ac:dyDescent="0.5">
      <c r="A303" s="3"/>
      <c r="B303" s="3"/>
      <c r="C303" s="3"/>
      <c r="D303" s="3"/>
      <c r="E303" s="3"/>
      <c r="F303" s="3"/>
      <c r="G303" s="3"/>
      <c r="H303" s="3"/>
      <c r="I303" s="3"/>
      <c r="J303" s="4"/>
      <c r="K303" s="3"/>
      <c r="L303" s="3"/>
      <c r="M303" s="4"/>
      <c r="N303" s="3"/>
      <c r="O303" s="3"/>
      <c r="P303" s="4"/>
      <c r="Q303" s="3"/>
      <c r="R303" s="3"/>
      <c r="S303" s="4"/>
      <c r="T303" s="3"/>
      <c r="U303" s="3"/>
      <c r="V303" s="81"/>
      <c r="W303" s="81"/>
      <c r="X303" s="81"/>
      <c r="Y303" s="81"/>
      <c r="Z303" s="81"/>
    </row>
    <row r="304" spans="1:26" ht="24" customHeight="1" x14ac:dyDescent="0.5">
      <c r="A304" s="3"/>
      <c r="B304" s="3"/>
      <c r="C304" s="3"/>
      <c r="D304" s="3"/>
      <c r="E304" s="3"/>
      <c r="F304" s="3"/>
      <c r="G304" s="3"/>
      <c r="H304" s="3"/>
      <c r="I304" s="3"/>
      <c r="J304" s="4"/>
      <c r="K304" s="3"/>
      <c r="L304" s="3"/>
      <c r="M304" s="4"/>
      <c r="N304" s="3"/>
      <c r="O304" s="3"/>
      <c r="P304" s="4"/>
      <c r="Q304" s="3"/>
      <c r="R304" s="3"/>
      <c r="S304" s="4"/>
      <c r="T304" s="3"/>
      <c r="U304" s="3"/>
      <c r="V304" s="81"/>
      <c r="W304" s="81"/>
      <c r="X304" s="81"/>
      <c r="Y304" s="81"/>
      <c r="Z304" s="81"/>
    </row>
    <row r="305" spans="1:26" ht="24" customHeight="1" x14ac:dyDescent="0.5">
      <c r="A305" s="3"/>
      <c r="B305" s="3"/>
      <c r="C305" s="3"/>
      <c r="D305" s="3"/>
      <c r="E305" s="3"/>
      <c r="F305" s="3"/>
      <c r="G305" s="3"/>
      <c r="H305" s="3"/>
      <c r="I305" s="3"/>
      <c r="J305" s="4"/>
      <c r="K305" s="3"/>
      <c r="L305" s="3"/>
      <c r="M305" s="4"/>
      <c r="N305" s="3"/>
      <c r="O305" s="3"/>
      <c r="P305" s="4"/>
      <c r="Q305" s="3"/>
      <c r="R305" s="3"/>
      <c r="S305" s="4"/>
      <c r="T305" s="3"/>
      <c r="U305" s="3"/>
      <c r="V305" s="81"/>
      <c r="W305" s="81"/>
      <c r="X305" s="81"/>
      <c r="Y305" s="81"/>
      <c r="Z305" s="81"/>
    </row>
    <row r="306" spans="1:26" ht="24" customHeight="1" x14ac:dyDescent="0.5">
      <c r="A306" s="3"/>
      <c r="B306" s="3"/>
      <c r="C306" s="3"/>
      <c r="D306" s="3"/>
      <c r="E306" s="3"/>
      <c r="F306" s="3"/>
      <c r="G306" s="3"/>
      <c r="H306" s="3"/>
      <c r="I306" s="3"/>
      <c r="J306" s="4"/>
      <c r="K306" s="3"/>
      <c r="L306" s="3"/>
      <c r="M306" s="4"/>
      <c r="N306" s="3"/>
      <c r="O306" s="3"/>
      <c r="P306" s="4"/>
      <c r="Q306" s="3"/>
      <c r="R306" s="3"/>
      <c r="S306" s="4"/>
      <c r="T306" s="3"/>
      <c r="U306" s="3"/>
      <c r="V306" s="81"/>
      <c r="W306" s="81"/>
      <c r="X306" s="81"/>
      <c r="Y306" s="81"/>
      <c r="Z306" s="81"/>
    </row>
    <row r="307" spans="1:26" ht="24" customHeight="1" x14ac:dyDescent="0.5">
      <c r="A307" s="3"/>
      <c r="B307" s="3"/>
      <c r="C307" s="3"/>
      <c r="D307" s="3"/>
      <c r="E307" s="3"/>
      <c r="F307" s="3"/>
      <c r="G307" s="3"/>
      <c r="H307" s="3"/>
      <c r="I307" s="3"/>
      <c r="J307" s="4"/>
      <c r="K307" s="3"/>
      <c r="L307" s="3"/>
      <c r="M307" s="4"/>
      <c r="N307" s="3"/>
      <c r="O307" s="3"/>
      <c r="P307" s="4"/>
      <c r="Q307" s="3"/>
      <c r="R307" s="3"/>
      <c r="S307" s="4"/>
      <c r="T307" s="3"/>
      <c r="U307" s="3"/>
      <c r="V307" s="81"/>
      <c r="W307" s="81"/>
      <c r="X307" s="81"/>
      <c r="Y307" s="81"/>
      <c r="Z307" s="81"/>
    </row>
    <row r="308" spans="1:26" ht="24" customHeight="1" x14ac:dyDescent="0.5">
      <c r="A308" s="3"/>
      <c r="B308" s="3"/>
      <c r="C308" s="3"/>
      <c r="D308" s="3"/>
      <c r="E308" s="3"/>
      <c r="F308" s="3"/>
      <c r="G308" s="3"/>
      <c r="H308" s="3"/>
      <c r="I308" s="3"/>
      <c r="J308" s="4"/>
      <c r="K308" s="3"/>
      <c r="L308" s="3"/>
      <c r="M308" s="4"/>
      <c r="N308" s="3"/>
      <c r="O308" s="3"/>
      <c r="P308" s="4"/>
      <c r="Q308" s="3"/>
      <c r="R308" s="3"/>
      <c r="S308" s="4"/>
      <c r="T308" s="3"/>
      <c r="U308" s="3"/>
      <c r="V308" s="81"/>
      <c r="W308" s="81"/>
      <c r="X308" s="81"/>
      <c r="Y308" s="81"/>
      <c r="Z308" s="81"/>
    </row>
    <row r="309" spans="1:26" ht="24" customHeight="1" x14ac:dyDescent="0.5">
      <c r="A309" s="3"/>
      <c r="B309" s="3"/>
      <c r="C309" s="3"/>
      <c r="D309" s="3"/>
      <c r="E309" s="3"/>
      <c r="F309" s="3"/>
      <c r="G309" s="3"/>
      <c r="H309" s="3"/>
      <c r="I309" s="3"/>
      <c r="J309" s="4"/>
      <c r="K309" s="3"/>
      <c r="L309" s="3"/>
      <c r="M309" s="4"/>
      <c r="N309" s="3"/>
      <c r="O309" s="3"/>
      <c r="P309" s="4"/>
      <c r="Q309" s="3"/>
      <c r="R309" s="3"/>
      <c r="S309" s="4"/>
      <c r="T309" s="3"/>
      <c r="U309" s="3"/>
      <c r="V309" s="81"/>
      <c r="W309" s="81"/>
      <c r="X309" s="81"/>
      <c r="Y309" s="81"/>
      <c r="Z309" s="81"/>
    </row>
    <row r="310" spans="1:26" ht="24" customHeight="1" x14ac:dyDescent="0.5">
      <c r="A310" s="3"/>
      <c r="B310" s="3"/>
      <c r="C310" s="3"/>
      <c r="D310" s="3"/>
      <c r="E310" s="3"/>
      <c r="F310" s="3"/>
      <c r="G310" s="3"/>
      <c r="H310" s="3"/>
      <c r="I310" s="3"/>
      <c r="J310" s="4"/>
      <c r="K310" s="3"/>
      <c r="L310" s="3"/>
      <c r="M310" s="4"/>
      <c r="N310" s="3"/>
      <c r="O310" s="3"/>
      <c r="P310" s="4"/>
      <c r="Q310" s="3"/>
      <c r="R310" s="3"/>
      <c r="S310" s="4"/>
      <c r="T310" s="3"/>
      <c r="U310" s="3"/>
      <c r="V310" s="81"/>
      <c r="W310" s="81"/>
      <c r="X310" s="81"/>
      <c r="Y310" s="81"/>
      <c r="Z310" s="81"/>
    </row>
    <row r="311" spans="1:26" ht="24" customHeight="1" x14ac:dyDescent="0.5">
      <c r="A311" s="3"/>
      <c r="B311" s="3"/>
      <c r="C311" s="3"/>
      <c r="D311" s="3"/>
      <c r="E311" s="3"/>
      <c r="F311" s="3"/>
      <c r="G311" s="3"/>
      <c r="H311" s="3"/>
      <c r="I311" s="3"/>
      <c r="J311" s="4"/>
      <c r="K311" s="3"/>
      <c r="L311" s="3"/>
      <c r="M311" s="4"/>
      <c r="N311" s="3"/>
      <c r="O311" s="3"/>
      <c r="P311" s="4"/>
      <c r="Q311" s="3"/>
      <c r="R311" s="3"/>
      <c r="S311" s="4"/>
      <c r="T311" s="3"/>
      <c r="U311" s="3"/>
      <c r="V311" s="81"/>
      <c r="W311" s="81"/>
      <c r="X311" s="81"/>
      <c r="Y311" s="81"/>
      <c r="Z311" s="81"/>
    </row>
    <row r="312" spans="1:26" ht="24" customHeight="1" x14ac:dyDescent="0.5">
      <c r="A312" s="3"/>
      <c r="B312" s="3"/>
      <c r="C312" s="3"/>
      <c r="D312" s="3"/>
      <c r="E312" s="3"/>
      <c r="F312" s="3"/>
      <c r="G312" s="3"/>
      <c r="H312" s="3"/>
      <c r="I312" s="3"/>
      <c r="J312" s="4"/>
      <c r="K312" s="3"/>
      <c r="L312" s="3"/>
      <c r="M312" s="4"/>
      <c r="N312" s="3"/>
      <c r="O312" s="3"/>
      <c r="P312" s="4"/>
      <c r="Q312" s="3"/>
      <c r="R312" s="3"/>
      <c r="S312" s="4"/>
      <c r="T312" s="3"/>
      <c r="U312" s="3"/>
      <c r="V312" s="81"/>
      <c r="W312" s="81"/>
      <c r="X312" s="81"/>
      <c r="Y312" s="81"/>
      <c r="Z312" s="81"/>
    </row>
    <row r="313" spans="1:26" ht="24" customHeight="1" x14ac:dyDescent="0.5">
      <c r="A313" s="3"/>
      <c r="B313" s="3"/>
      <c r="C313" s="3"/>
      <c r="D313" s="3"/>
      <c r="E313" s="3"/>
      <c r="F313" s="3"/>
      <c r="G313" s="3"/>
      <c r="H313" s="3"/>
      <c r="I313" s="3"/>
      <c r="J313" s="4"/>
      <c r="K313" s="3"/>
      <c r="L313" s="3"/>
      <c r="M313" s="4"/>
      <c r="N313" s="3"/>
      <c r="O313" s="3"/>
      <c r="P313" s="4"/>
      <c r="Q313" s="3"/>
      <c r="R313" s="3"/>
      <c r="S313" s="4"/>
      <c r="T313" s="3"/>
      <c r="U313" s="3"/>
      <c r="V313" s="81"/>
      <c r="W313" s="81"/>
      <c r="X313" s="81"/>
      <c r="Y313" s="81"/>
      <c r="Z313" s="81"/>
    </row>
    <row r="314" spans="1:26" ht="24" customHeight="1" x14ac:dyDescent="0.5">
      <c r="A314" s="3"/>
      <c r="B314" s="3"/>
      <c r="C314" s="3"/>
      <c r="D314" s="3"/>
      <c r="E314" s="3"/>
      <c r="F314" s="3"/>
      <c r="G314" s="3"/>
      <c r="H314" s="3"/>
      <c r="I314" s="3"/>
      <c r="J314" s="4"/>
      <c r="K314" s="3"/>
      <c r="L314" s="3"/>
      <c r="M314" s="4"/>
      <c r="N314" s="3"/>
      <c r="O314" s="3"/>
      <c r="P314" s="4"/>
      <c r="Q314" s="3"/>
      <c r="R314" s="3"/>
      <c r="S314" s="4"/>
      <c r="T314" s="3"/>
      <c r="U314" s="3"/>
      <c r="V314" s="81"/>
      <c r="W314" s="81"/>
      <c r="X314" s="81"/>
      <c r="Y314" s="81"/>
      <c r="Z314" s="81"/>
    </row>
    <row r="315" spans="1:26" ht="24" customHeight="1" x14ac:dyDescent="0.5">
      <c r="A315" s="81"/>
      <c r="B315" s="81"/>
      <c r="C315" s="81"/>
      <c r="D315" s="81"/>
      <c r="E315" s="81"/>
      <c r="F315" s="81"/>
      <c r="G315" s="81"/>
      <c r="H315" s="81"/>
      <c r="I315" s="81"/>
      <c r="J315" s="289"/>
      <c r="K315" s="81"/>
      <c r="L315" s="81"/>
      <c r="M315" s="289"/>
      <c r="N315" s="81"/>
      <c r="O315" s="81"/>
      <c r="P315" s="289"/>
      <c r="Q315" s="81"/>
      <c r="R315" s="81"/>
      <c r="S315" s="289"/>
      <c r="T315" s="81"/>
      <c r="U315" s="81"/>
      <c r="V315" s="81"/>
      <c r="W315" s="81"/>
      <c r="X315" s="81"/>
      <c r="Y315" s="81"/>
      <c r="Z315" s="81"/>
    </row>
    <row r="316" spans="1:26" ht="24" customHeight="1" x14ac:dyDescent="0.5">
      <c r="A316" s="81"/>
      <c r="B316" s="81"/>
      <c r="C316" s="81"/>
      <c r="D316" s="81"/>
      <c r="E316" s="81"/>
      <c r="F316" s="81"/>
      <c r="G316" s="81"/>
      <c r="H316" s="81"/>
      <c r="I316" s="81"/>
      <c r="J316" s="289"/>
      <c r="K316" s="81"/>
      <c r="L316" s="81"/>
      <c r="M316" s="289"/>
      <c r="N316" s="81"/>
      <c r="O316" s="81"/>
      <c r="P316" s="289"/>
      <c r="Q316" s="81"/>
      <c r="R316" s="81"/>
      <c r="S316" s="289"/>
      <c r="T316" s="81"/>
      <c r="U316" s="81"/>
      <c r="V316" s="81"/>
      <c r="W316" s="81"/>
      <c r="X316" s="81"/>
      <c r="Y316" s="81"/>
      <c r="Z316" s="81"/>
    </row>
    <row r="317" spans="1:26" ht="24" customHeight="1" x14ac:dyDescent="0.5">
      <c r="A317" s="81"/>
      <c r="B317" s="81"/>
      <c r="C317" s="81"/>
      <c r="D317" s="81"/>
      <c r="E317" s="81"/>
      <c r="F317" s="81"/>
      <c r="G317" s="81"/>
      <c r="H317" s="81"/>
      <c r="I317" s="81"/>
      <c r="J317" s="289"/>
      <c r="K317" s="81"/>
      <c r="L317" s="81"/>
      <c r="M317" s="289"/>
      <c r="N317" s="81"/>
      <c r="O317" s="81"/>
      <c r="P317" s="289"/>
      <c r="Q317" s="81"/>
      <c r="R317" s="81"/>
      <c r="S317" s="289"/>
      <c r="T317" s="81"/>
      <c r="U317" s="81"/>
      <c r="V317" s="81"/>
      <c r="W317" s="81"/>
      <c r="X317" s="81"/>
      <c r="Y317" s="81"/>
      <c r="Z317" s="81"/>
    </row>
    <row r="318" spans="1:26" ht="24" customHeight="1" x14ac:dyDescent="0.5">
      <c r="A318" s="81"/>
      <c r="B318" s="81"/>
      <c r="C318" s="81"/>
      <c r="D318" s="81"/>
      <c r="E318" s="81"/>
      <c r="F318" s="81"/>
      <c r="G318" s="81"/>
      <c r="H318" s="81"/>
      <c r="I318" s="81"/>
      <c r="J318" s="289"/>
      <c r="K318" s="81"/>
      <c r="L318" s="81"/>
      <c r="M318" s="289"/>
      <c r="N318" s="81"/>
      <c r="O318" s="81"/>
      <c r="P318" s="289"/>
      <c r="Q318" s="81"/>
      <c r="R318" s="81"/>
      <c r="S318" s="289"/>
      <c r="T318" s="81"/>
      <c r="U318" s="81"/>
      <c r="V318" s="81"/>
      <c r="W318" s="81"/>
      <c r="X318" s="81"/>
      <c r="Y318" s="81"/>
      <c r="Z318" s="81"/>
    </row>
    <row r="319" spans="1:26" ht="24" customHeight="1" x14ac:dyDescent="0.5">
      <c r="A319" s="81"/>
      <c r="B319" s="81"/>
      <c r="C319" s="81"/>
      <c r="D319" s="81"/>
      <c r="E319" s="81"/>
      <c r="F319" s="81"/>
      <c r="G319" s="81"/>
      <c r="H319" s="81"/>
      <c r="I319" s="81"/>
      <c r="J319" s="289"/>
      <c r="K319" s="81"/>
      <c r="L319" s="81"/>
      <c r="M319" s="289"/>
      <c r="N319" s="81"/>
      <c r="O319" s="81"/>
      <c r="P319" s="289"/>
      <c r="Q319" s="81"/>
      <c r="R319" s="81"/>
      <c r="S319" s="289"/>
      <c r="T319" s="81"/>
      <c r="U319" s="81"/>
      <c r="V319" s="81"/>
      <c r="W319" s="81"/>
      <c r="X319" s="81"/>
      <c r="Y319" s="81"/>
      <c r="Z319" s="81"/>
    </row>
    <row r="320" spans="1:26" ht="24" customHeight="1" x14ac:dyDescent="0.5">
      <c r="A320" s="81"/>
      <c r="B320" s="81"/>
      <c r="C320" s="81"/>
      <c r="D320" s="81"/>
      <c r="E320" s="81"/>
      <c r="F320" s="81"/>
      <c r="G320" s="81"/>
      <c r="H320" s="81"/>
      <c r="I320" s="81"/>
      <c r="J320" s="289"/>
      <c r="K320" s="81"/>
      <c r="L320" s="81"/>
      <c r="M320" s="289"/>
      <c r="N320" s="81"/>
      <c r="O320" s="81"/>
      <c r="P320" s="289"/>
      <c r="Q320" s="81"/>
      <c r="R320" s="81"/>
      <c r="S320" s="289"/>
      <c r="T320" s="81"/>
      <c r="U320" s="81"/>
      <c r="V320" s="81"/>
      <c r="W320" s="81"/>
      <c r="X320" s="81"/>
      <c r="Y320" s="81"/>
      <c r="Z320" s="81"/>
    </row>
    <row r="321" spans="1:26" ht="24" customHeight="1" x14ac:dyDescent="0.5">
      <c r="A321" s="81"/>
      <c r="B321" s="81"/>
      <c r="C321" s="81"/>
      <c r="D321" s="81"/>
      <c r="E321" s="81"/>
      <c r="F321" s="81"/>
      <c r="G321" s="81"/>
      <c r="H321" s="81"/>
      <c r="I321" s="81"/>
      <c r="J321" s="289"/>
      <c r="K321" s="81"/>
      <c r="L321" s="81"/>
      <c r="M321" s="289"/>
      <c r="N321" s="81"/>
      <c r="O321" s="81"/>
      <c r="P321" s="289"/>
      <c r="Q321" s="81"/>
      <c r="R321" s="81"/>
      <c r="S321" s="289"/>
      <c r="T321" s="81"/>
      <c r="U321" s="81"/>
      <c r="V321" s="81"/>
      <c r="W321" s="81"/>
      <c r="X321" s="81"/>
      <c r="Y321" s="81"/>
      <c r="Z321" s="81"/>
    </row>
    <row r="322" spans="1:26" ht="24" customHeight="1" x14ac:dyDescent="0.5">
      <c r="A322" s="81"/>
      <c r="B322" s="81"/>
      <c r="C322" s="81"/>
      <c r="D322" s="81"/>
      <c r="E322" s="81"/>
      <c r="F322" s="81"/>
      <c r="G322" s="81"/>
      <c r="H322" s="81"/>
      <c r="I322" s="81"/>
      <c r="J322" s="289"/>
      <c r="K322" s="81"/>
      <c r="L322" s="81"/>
      <c r="M322" s="289"/>
      <c r="N322" s="81"/>
      <c r="O322" s="81"/>
      <c r="P322" s="289"/>
      <c r="Q322" s="81"/>
      <c r="R322" s="81"/>
      <c r="S322" s="289"/>
      <c r="T322" s="81"/>
      <c r="U322" s="81"/>
      <c r="V322" s="81"/>
      <c r="W322" s="81"/>
      <c r="X322" s="81"/>
      <c r="Y322" s="81"/>
      <c r="Z322" s="81"/>
    </row>
    <row r="323" spans="1:26" ht="24" customHeight="1" x14ac:dyDescent="0.5">
      <c r="A323" s="81"/>
      <c r="B323" s="81"/>
      <c r="C323" s="81"/>
      <c r="D323" s="81"/>
      <c r="E323" s="81"/>
      <c r="F323" s="81"/>
      <c r="G323" s="81"/>
      <c r="H323" s="81"/>
      <c r="I323" s="81"/>
      <c r="J323" s="289"/>
      <c r="K323" s="81"/>
      <c r="L323" s="81"/>
      <c r="M323" s="289"/>
      <c r="N323" s="81"/>
      <c r="O323" s="81"/>
      <c r="P323" s="289"/>
      <c r="Q323" s="81"/>
      <c r="R323" s="81"/>
      <c r="S323" s="289"/>
      <c r="T323" s="81"/>
      <c r="U323" s="81"/>
      <c r="V323" s="81"/>
      <c r="W323" s="81"/>
      <c r="X323" s="81"/>
      <c r="Y323" s="81"/>
      <c r="Z323" s="81"/>
    </row>
    <row r="324" spans="1:26" ht="24" customHeight="1" x14ac:dyDescent="0.5">
      <c r="A324" s="81"/>
      <c r="B324" s="81"/>
      <c r="C324" s="81"/>
      <c r="D324" s="81"/>
      <c r="E324" s="81"/>
      <c r="F324" s="81"/>
      <c r="G324" s="81"/>
      <c r="H324" s="81"/>
      <c r="I324" s="81"/>
      <c r="J324" s="289"/>
      <c r="K324" s="81"/>
      <c r="L324" s="81"/>
      <c r="M324" s="289"/>
      <c r="N324" s="81"/>
      <c r="O324" s="81"/>
      <c r="P324" s="289"/>
      <c r="Q324" s="81"/>
      <c r="R324" s="81"/>
      <c r="S324" s="289"/>
      <c r="T324" s="81"/>
      <c r="U324" s="81"/>
      <c r="V324" s="81"/>
      <c r="W324" s="81"/>
      <c r="X324" s="81"/>
      <c r="Y324" s="81"/>
      <c r="Z324" s="81"/>
    </row>
    <row r="325" spans="1:26" ht="24" customHeight="1" x14ac:dyDescent="0.5">
      <c r="A325" s="81"/>
      <c r="B325" s="81"/>
      <c r="C325" s="81"/>
      <c r="D325" s="81"/>
      <c r="E325" s="81"/>
      <c r="F325" s="81"/>
      <c r="G325" s="81"/>
      <c r="H325" s="81"/>
      <c r="I325" s="81"/>
      <c r="J325" s="289"/>
      <c r="K325" s="81"/>
      <c r="L325" s="81"/>
      <c r="M325" s="289"/>
      <c r="N325" s="81"/>
      <c r="O325" s="81"/>
      <c r="P325" s="289"/>
      <c r="Q325" s="81"/>
      <c r="R325" s="81"/>
      <c r="S325" s="289"/>
      <c r="T325" s="81"/>
      <c r="U325" s="81"/>
      <c r="V325" s="81"/>
      <c r="W325" s="81"/>
      <c r="X325" s="81"/>
      <c r="Y325" s="81"/>
      <c r="Z325" s="81"/>
    </row>
    <row r="326" spans="1:26" ht="24" customHeight="1" x14ac:dyDescent="0.5">
      <c r="A326" s="81"/>
      <c r="B326" s="81"/>
      <c r="C326" s="81"/>
      <c r="D326" s="81"/>
      <c r="E326" s="81"/>
      <c r="F326" s="81"/>
      <c r="G326" s="81"/>
      <c r="H326" s="81"/>
      <c r="I326" s="81"/>
      <c r="J326" s="289"/>
      <c r="K326" s="81"/>
      <c r="L326" s="81"/>
      <c r="M326" s="289"/>
      <c r="N326" s="81"/>
      <c r="O326" s="81"/>
      <c r="P326" s="289"/>
      <c r="Q326" s="81"/>
      <c r="R326" s="81"/>
      <c r="S326" s="289"/>
      <c r="T326" s="81"/>
      <c r="U326" s="81"/>
      <c r="V326" s="81"/>
      <c r="W326" s="81"/>
      <c r="X326" s="81"/>
      <c r="Y326" s="81"/>
      <c r="Z326" s="81"/>
    </row>
    <row r="327" spans="1:26" ht="24" customHeight="1" x14ac:dyDescent="0.5">
      <c r="A327" s="81"/>
      <c r="B327" s="81"/>
      <c r="C327" s="81"/>
      <c r="D327" s="81"/>
      <c r="E327" s="81"/>
      <c r="F327" s="81"/>
      <c r="G327" s="81"/>
      <c r="H327" s="81"/>
      <c r="I327" s="81"/>
      <c r="J327" s="289"/>
      <c r="K327" s="81"/>
      <c r="L327" s="81"/>
      <c r="M327" s="289"/>
      <c r="N327" s="81"/>
      <c r="O327" s="81"/>
      <c r="P327" s="289"/>
      <c r="Q327" s="81"/>
      <c r="R327" s="81"/>
      <c r="S327" s="289"/>
      <c r="T327" s="81"/>
      <c r="U327" s="81"/>
      <c r="V327" s="81"/>
      <c r="W327" s="81"/>
      <c r="X327" s="81"/>
      <c r="Y327" s="81"/>
      <c r="Z327" s="81"/>
    </row>
    <row r="328" spans="1:26" ht="24" customHeight="1" x14ac:dyDescent="0.5">
      <c r="A328" s="81"/>
      <c r="B328" s="81"/>
      <c r="C328" s="81"/>
      <c r="D328" s="81"/>
      <c r="E328" s="81"/>
      <c r="F328" s="81"/>
      <c r="G328" s="81"/>
      <c r="H328" s="81"/>
      <c r="I328" s="81"/>
      <c r="J328" s="289"/>
      <c r="K328" s="81"/>
      <c r="L328" s="81"/>
      <c r="M328" s="289"/>
      <c r="N328" s="81"/>
      <c r="O328" s="81"/>
      <c r="P328" s="289"/>
      <c r="Q328" s="81"/>
      <c r="R328" s="81"/>
      <c r="S328" s="289"/>
      <c r="T328" s="81"/>
      <c r="U328" s="81"/>
      <c r="V328" s="81"/>
      <c r="W328" s="81"/>
      <c r="X328" s="81"/>
      <c r="Y328" s="81"/>
      <c r="Z328" s="81"/>
    </row>
    <row r="329" spans="1:26" ht="24" customHeight="1" x14ac:dyDescent="0.5">
      <c r="A329" s="81"/>
      <c r="B329" s="81"/>
      <c r="C329" s="81"/>
      <c r="D329" s="81"/>
      <c r="E329" s="81"/>
      <c r="F329" s="81"/>
      <c r="G329" s="81"/>
      <c r="H329" s="81"/>
      <c r="I329" s="81"/>
      <c r="J329" s="289"/>
      <c r="K329" s="81"/>
      <c r="L329" s="81"/>
      <c r="M329" s="289"/>
      <c r="N329" s="81"/>
      <c r="O329" s="81"/>
      <c r="P329" s="289"/>
      <c r="Q329" s="81"/>
      <c r="R329" s="81"/>
      <c r="S329" s="289"/>
      <c r="T329" s="81"/>
      <c r="U329" s="81"/>
      <c r="V329" s="81"/>
      <c r="W329" s="81"/>
      <c r="X329" s="81"/>
      <c r="Y329" s="81"/>
      <c r="Z329" s="81"/>
    </row>
    <row r="330" spans="1:26" ht="24" customHeight="1" x14ac:dyDescent="0.5">
      <c r="A330" s="81"/>
      <c r="B330" s="81"/>
      <c r="C330" s="81"/>
      <c r="D330" s="81"/>
      <c r="E330" s="81"/>
      <c r="F330" s="81"/>
      <c r="G330" s="81"/>
      <c r="H330" s="81"/>
      <c r="I330" s="81"/>
      <c r="J330" s="289"/>
      <c r="K330" s="81"/>
      <c r="L330" s="81"/>
      <c r="M330" s="289"/>
      <c r="N330" s="81"/>
      <c r="O330" s="81"/>
      <c r="P330" s="289"/>
      <c r="Q330" s="81"/>
      <c r="R330" s="81"/>
      <c r="S330" s="289"/>
      <c r="T330" s="81"/>
      <c r="U330" s="81"/>
      <c r="V330" s="81"/>
      <c r="W330" s="81"/>
      <c r="X330" s="81"/>
      <c r="Y330" s="81"/>
      <c r="Z330" s="81"/>
    </row>
    <row r="331" spans="1:26" ht="24" customHeight="1" x14ac:dyDescent="0.5">
      <c r="A331" s="81"/>
      <c r="B331" s="81"/>
      <c r="C331" s="81"/>
      <c r="D331" s="81"/>
      <c r="E331" s="81"/>
      <c r="F331" s="81"/>
      <c r="G331" s="81"/>
      <c r="H331" s="81"/>
      <c r="I331" s="81"/>
      <c r="J331" s="289"/>
      <c r="K331" s="81"/>
      <c r="L331" s="81"/>
      <c r="M331" s="289"/>
      <c r="N331" s="81"/>
      <c r="O331" s="81"/>
      <c r="P331" s="289"/>
      <c r="Q331" s="81"/>
      <c r="R331" s="81"/>
      <c r="S331" s="289"/>
      <c r="T331" s="81"/>
      <c r="U331" s="81"/>
      <c r="V331" s="81"/>
      <c r="W331" s="81"/>
      <c r="X331" s="81"/>
      <c r="Y331" s="81"/>
      <c r="Z331" s="81"/>
    </row>
    <row r="332" spans="1:26" ht="24" customHeight="1" x14ac:dyDescent="0.5">
      <c r="A332" s="81"/>
      <c r="B332" s="81"/>
      <c r="C332" s="81"/>
      <c r="D332" s="81"/>
      <c r="E332" s="81"/>
      <c r="F332" s="81"/>
      <c r="G332" s="81"/>
      <c r="H332" s="81"/>
      <c r="I332" s="81"/>
      <c r="J332" s="289"/>
      <c r="K332" s="81"/>
      <c r="L332" s="81"/>
      <c r="M332" s="289"/>
      <c r="N332" s="81"/>
      <c r="O332" s="81"/>
      <c r="P332" s="289"/>
      <c r="Q332" s="81"/>
      <c r="R332" s="81"/>
      <c r="S332" s="289"/>
      <c r="T332" s="81"/>
      <c r="U332" s="81"/>
      <c r="V332" s="81"/>
      <c r="W332" s="81"/>
      <c r="X332" s="81"/>
      <c r="Y332" s="81"/>
      <c r="Z332" s="81"/>
    </row>
    <row r="333" spans="1:26" ht="24" customHeight="1" x14ac:dyDescent="0.5">
      <c r="A333" s="81"/>
      <c r="B333" s="81"/>
      <c r="C333" s="81"/>
      <c r="D333" s="81"/>
      <c r="E333" s="81"/>
      <c r="F333" s="81"/>
      <c r="G333" s="81"/>
      <c r="H333" s="81"/>
      <c r="I333" s="81"/>
      <c r="J333" s="289"/>
      <c r="K333" s="81"/>
      <c r="L333" s="81"/>
      <c r="M333" s="289"/>
      <c r="N333" s="81"/>
      <c r="O333" s="81"/>
      <c r="P333" s="289"/>
      <c r="Q333" s="81"/>
      <c r="R333" s="81"/>
      <c r="S333" s="289"/>
      <c r="T333" s="81"/>
      <c r="U333" s="81"/>
      <c r="V333" s="81"/>
      <c r="W333" s="81"/>
      <c r="X333" s="81"/>
      <c r="Y333" s="81"/>
      <c r="Z333" s="81"/>
    </row>
    <row r="334" spans="1:26" ht="24" customHeight="1" x14ac:dyDescent="0.5">
      <c r="A334" s="81"/>
      <c r="B334" s="81"/>
      <c r="C334" s="81"/>
      <c r="D334" s="81"/>
      <c r="E334" s="81"/>
      <c r="F334" s="81"/>
      <c r="G334" s="81"/>
      <c r="H334" s="81"/>
      <c r="I334" s="81"/>
      <c r="J334" s="289"/>
      <c r="K334" s="81"/>
      <c r="L334" s="81"/>
      <c r="M334" s="289"/>
      <c r="N334" s="81"/>
      <c r="O334" s="81"/>
      <c r="P334" s="289"/>
      <c r="Q334" s="81"/>
      <c r="R334" s="81"/>
      <c r="S334" s="289"/>
      <c r="T334" s="81"/>
      <c r="U334" s="81"/>
      <c r="V334" s="81"/>
      <c r="W334" s="81"/>
      <c r="X334" s="81"/>
      <c r="Y334" s="81"/>
      <c r="Z334" s="81"/>
    </row>
    <row r="335" spans="1:26" ht="24" customHeight="1" x14ac:dyDescent="0.5">
      <c r="A335" s="81"/>
      <c r="B335" s="81"/>
      <c r="C335" s="81"/>
      <c r="D335" s="81"/>
      <c r="E335" s="81"/>
      <c r="F335" s="81"/>
      <c r="G335" s="81"/>
      <c r="H335" s="81"/>
      <c r="I335" s="81"/>
      <c r="J335" s="289"/>
      <c r="K335" s="81"/>
      <c r="L335" s="81"/>
      <c r="M335" s="289"/>
      <c r="N335" s="81"/>
      <c r="O335" s="81"/>
      <c r="P335" s="289"/>
      <c r="Q335" s="81"/>
      <c r="R335" s="81"/>
      <c r="S335" s="289"/>
      <c r="T335" s="81"/>
      <c r="U335" s="81"/>
      <c r="V335" s="81"/>
      <c r="W335" s="81"/>
      <c r="X335" s="81"/>
      <c r="Y335" s="81"/>
      <c r="Z335" s="81"/>
    </row>
    <row r="336" spans="1:26" ht="24" customHeight="1" x14ac:dyDescent="0.5">
      <c r="A336" s="81"/>
      <c r="B336" s="81"/>
      <c r="C336" s="81"/>
      <c r="D336" s="81"/>
      <c r="E336" s="81"/>
      <c r="F336" s="81"/>
      <c r="G336" s="81"/>
      <c r="H336" s="81"/>
      <c r="I336" s="81"/>
      <c r="J336" s="289"/>
      <c r="K336" s="81"/>
      <c r="L336" s="81"/>
      <c r="M336" s="289"/>
      <c r="N336" s="81"/>
      <c r="O336" s="81"/>
      <c r="P336" s="289"/>
      <c r="Q336" s="81"/>
      <c r="R336" s="81"/>
      <c r="S336" s="289"/>
      <c r="T336" s="81"/>
      <c r="U336" s="81"/>
      <c r="V336" s="81"/>
      <c r="W336" s="81"/>
      <c r="X336" s="81"/>
      <c r="Y336" s="81"/>
      <c r="Z336" s="81"/>
    </row>
    <row r="337" spans="1:26" ht="24" customHeight="1" x14ac:dyDescent="0.5">
      <c r="A337" s="81"/>
      <c r="B337" s="81"/>
      <c r="C337" s="81"/>
      <c r="D337" s="81"/>
      <c r="E337" s="81"/>
      <c r="F337" s="81"/>
      <c r="G337" s="81"/>
      <c r="H337" s="81"/>
      <c r="I337" s="81"/>
      <c r="J337" s="289"/>
      <c r="K337" s="81"/>
      <c r="L337" s="81"/>
      <c r="M337" s="289"/>
      <c r="N337" s="81"/>
      <c r="O337" s="81"/>
      <c r="P337" s="289"/>
      <c r="Q337" s="81"/>
      <c r="R337" s="81"/>
      <c r="S337" s="289"/>
      <c r="T337" s="81"/>
      <c r="U337" s="81"/>
      <c r="V337" s="81"/>
      <c r="W337" s="81"/>
      <c r="X337" s="81"/>
      <c r="Y337" s="81"/>
      <c r="Z337" s="81"/>
    </row>
    <row r="338" spans="1:26" ht="24" customHeight="1" x14ac:dyDescent="0.5">
      <c r="A338" s="81"/>
      <c r="B338" s="81"/>
      <c r="C338" s="81"/>
      <c r="D338" s="81"/>
      <c r="E338" s="81"/>
      <c r="F338" s="81"/>
      <c r="G338" s="81"/>
      <c r="H338" s="81"/>
      <c r="I338" s="81"/>
      <c r="J338" s="289"/>
      <c r="K338" s="81"/>
      <c r="L338" s="81"/>
      <c r="M338" s="289"/>
      <c r="N338" s="81"/>
      <c r="O338" s="81"/>
      <c r="P338" s="289"/>
      <c r="Q338" s="81"/>
      <c r="R338" s="81"/>
      <c r="S338" s="289"/>
      <c r="T338" s="81"/>
      <c r="U338" s="81"/>
      <c r="V338" s="81"/>
      <c r="W338" s="81"/>
      <c r="X338" s="81"/>
      <c r="Y338" s="81"/>
      <c r="Z338" s="81"/>
    </row>
    <row r="339" spans="1:26" ht="24" customHeight="1" x14ac:dyDescent="0.5">
      <c r="A339" s="81"/>
      <c r="B339" s="81"/>
      <c r="C339" s="81"/>
      <c r="D339" s="81"/>
      <c r="E339" s="81"/>
      <c r="F339" s="81"/>
      <c r="G339" s="81"/>
      <c r="H339" s="81"/>
      <c r="I339" s="81"/>
      <c r="J339" s="289"/>
      <c r="K339" s="81"/>
      <c r="L339" s="81"/>
      <c r="M339" s="289"/>
      <c r="N339" s="81"/>
      <c r="O339" s="81"/>
      <c r="P339" s="289"/>
      <c r="Q339" s="81"/>
      <c r="R339" s="81"/>
      <c r="S339" s="289"/>
      <c r="T339" s="81"/>
      <c r="U339" s="81"/>
      <c r="V339" s="81"/>
      <c r="W339" s="81"/>
      <c r="X339" s="81"/>
      <c r="Y339" s="81"/>
      <c r="Z339" s="81"/>
    </row>
    <row r="340" spans="1:26" ht="24" customHeight="1" x14ac:dyDescent="0.5">
      <c r="A340" s="81"/>
      <c r="B340" s="81"/>
      <c r="C340" s="81"/>
      <c r="D340" s="81"/>
      <c r="E340" s="81"/>
      <c r="F340" s="81"/>
      <c r="G340" s="81"/>
      <c r="H340" s="81"/>
      <c r="I340" s="81"/>
      <c r="J340" s="289"/>
      <c r="K340" s="81"/>
      <c r="L340" s="81"/>
      <c r="M340" s="289"/>
      <c r="N340" s="81"/>
      <c r="O340" s="81"/>
      <c r="P340" s="289"/>
      <c r="Q340" s="81"/>
      <c r="R340" s="81"/>
      <c r="S340" s="289"/>
      <c r="T340" s="81"/>
      <c r="U340" s="81"/>
      <c r="V340" s="81"/>
      <c r="W340" s="81"/>
      <c r="X340" s="81"/>
      <c r="Y340" s="81"/>
      <c r="Z340" s="81"/>
    </row>
    <row r="341" spans="1:26" ht="24" customHeight="1" x14ac:dyDescent="0.5">
      <c r="A341" s="81"/>
      <c r="B341" s="81"/>
      <c r="C341" s="81"/>
      <c r="D341" s="81"/>
      <c r="E341" s="81"/>
      <c r="F341" s="81"/>
      <c r="G341" s="81"/>
      <c r="H341" s="81"/>
      <c r="I341" s="81"/>
      <c r="J341" s="289"/>
      <c r="K341" s="81"/>
      <c r="L341" s="81"/>
      <c r="M341" s="289"/>
      <c r="N341" s="81"/>
      <c r="O341" s="81"/>
      <c r="P341" s="289"/>
      <c r="Q341" s="81"/>
      <c r="R341" s="81"/>
      <c r="S341" s="289"/>
      <c r="T341" s="81"/>
      <c r="U341" s="81"/>
      <c r="V341" s="81"/>
      <c r="W341" s="81"/>
      <c r="X341" s="81"/>
      <c r="Y341" s="81"/>
      <c r="Z341" s="81"/>
    </row>
    <row r="342" spans="1:26" ht="24" customHeight="1" x14ac:dyDescent="0.5">
      <c r="A342" s="81"/>
      <c r="B342" s="81"/>
      <c r="C342" s="81"/>
      <c r="D342" s="81"/>
      <c r="E342" s="81"/>
      <c r="F342" s="81"/>
      <c r="G342" s="81"/>
      <c r="H342" s="81"/>
      <c r="I342" s="81"/>
      <c r="J342" s="289"/>
      <c r="K342" s="81"/>
      <c r="L342" s="81"/>
      <c r="M342" s="289"/>
      <c r="N342" s="81"/>
      <c r="O342" s="81"/>
      <c r="P342" s="289"/>
      <c r="Q342" s="81"/>
      <c r="R342" s="81"/>
      <c r="S342" s="289"/>
      <c r="T342" s="81"/>
      <c r="U342" s="81"/>
      <c r="V342" s="81"/>
      <c r="W342" s="81"/>
      <c r="X342" s="81"/>
      <c r="Y342" s="81"/>
      <c r="Z342" s="81"/>
    </row>
    <row r="343" spans="1:26" ht="24" customHeight="1" x14ac:dyDescent="0.5">
      <c r="A343" s="81"/>
      <c r="B343" s="81"/>
      <c r="C343" s="81"/>
      <c r="D343" s="81"/>
      <c r="E343" s="81"/>
      <c r="F343" s="81"/>
      <c r="G343" s="81"/>
      <c r="H343" s="81"/>
      <c r="I343" s="81"/>
      <c r="J343" s="289"/>
      <c r="K343" s="81"/>
      <c r="L343" s="81"/>
      <c r="M343" s="289"/>
      <c r="N343" s="81"/>
      <c r="O343" s="81"/>
      <c r="P343" s="289"/>
      <c r="Q343" s="81"/>
      <c r="R343" s="81"/>
      <c r="S343" s="289"/>
      <c r="T343" s="81"/>
      <c r="U343" s="81"/>
      <c r="V343" s="81"/>
      <c r="W343" s="81"/>
      <c r="X343" s="81"/>
      <c r="Y343" s="81"/>
      <c r="Z343" s="81"/>
    </row>
    <row r="344" spans="1:26" ht="24" customHeight="1" x14ac:dyDescent="0.5">
      <c r="A344" s="81"/>
      <c r="B344" s="81"/>
      <c r="C344" s="81"/>
      <c r="D344" s="81"/>
      <c r="E344" s="81"/>
      <c r="F344" s="81"/>
      <c r="G344" s="81"/>
      <c r="H344" s="81"/>
      <c r="I344" s="81"/>
      <c r="J344" s="289"/>
      <c r="K344" s="81"/>
      <c r="L344" s="81"/>
      <c r="M344" s="289"/>
      <c r="N344" s="81"/>
      <c r="O344" s="81"/>
      <c r="P344" s="289"/>
      <c r="Q344" s="81"/>
      <c r="R344" s="81"/>
      <c r="S344" s="289"/>
      <c r="T344" s="81"/>
      <c r="U344" s="81"/>
      <c r="V344" s="81"/>
      <c r="W344" s="81"/>
      <c r="X344" s="81"/>
      <c r="Y344" s="81"/>
      <c r="Z344" s="81"/>
    </row>
    <row r="345" spans="1:26" ht="24" customHeight="1" x14ac:dyDescent="0.5">
      <c r="A345" s="81"/>
      <c r="B345" s="81"/>
      <c r="C345" s="81"/>
      <c r="D345" s="81"/>
      <c r="E345" s="81"/>
      <c r="F345" s="81"/>
      <c r="G345" s="81"/>
      <c r="H345" s="81"/>
      <c r="I345" s="81"/>
      <c r="J345" s="289"/>
      <c r="K345" s="81"/>
      <c r="L345" s="81"/>
      <c r="M345" s="289"/>
      <c r="N345" s="81"/>
      <c r="O345" s="81"/>
      <c r="P345" s="289"/>
      <c r="Q345" s="81"/>
      <c r="R345" s="81"/>
      <c r="S345" s="289"/>
      <c r="T345" s="81"/>
      <c r="U345" s="81"/>
      <c r="V345" s="81"/>
      <c r="W345" s="81"/>
      <c r="X345" s="81"/>
      <c r="Y345" s="81"/>
      <c r="Z345" s="81"/>
    </row>
    <row r="346" spans="1:26" ht="24" customHeight="1" x14ac:dyDescent="0.5">
      <c r="A346" s="81"/>
      <c r="B346" s="81"/>
      <c r="C346" s="81"/>
      <c r="D346" s="81"/>
      <c r="E346" s="81"/>
      <c r="F346" s="81"/>
      <c r="G346" s="81"/>
      <c r="H346" s="81"/>
      <c r="I346" s="81"/>
      <c r="J346" s="289"/>
      <c r="K346" s="81"/>
      <c r="L346" s="81"/>
      <c r="M346" s="289"/>
      <c r="N346" s="81"/>
      <c r="O346" s="81"/>
      <c r="P346" s="289"/>
      <c r="Q346" s="81"/>
      <c r="R346" s="81"/>
      <c r="S346" s="289"/>
      <c r="T346" s="81"/>
      <c r="U346" s="81"/>
      <c r="V346" s="81"/>
      <c r="W346" s="81"/>
      <c r="X346" s="81"/>
      <c r="Y346" s="81"/>
      <c r="Z346" s="81"/>
    </row>
    <row r="347" spans="1:26" ht="24" customHeight="1" x14ac:dyDescent="0.5">
      <c r="A347" s="81"/>
      <c r="B347" s="81"/>
      <c r="C347" s="81"/>
      <c r="D347" s="81"/>
      <c r="E347" s="81"/>
      <c r="F347" s="81"/>
      <c r="G347" s="81"/>
      <c r="H347" s="81"/>
      <c r="I347" s="81"/>
      <c r="J347" s="289"/>
      <c r="K347" s="81"/>
      <c r="L347" s="81"/>
      <c r="M347" s="289"/>
      <c r="N347" s="81"/>
      <c r="O347" s="81"/>
      <c r="P347" s="289"/>
      <c r="Q347" s="81"/>
      <c r="R347" s="81"/>
      <c r="S347" s="289"/>
      <c r="T347" s="81"/>
      <c r="U347" s="81"/>
      <c r="V347" s="81"/>
      <c r="W347" s="81"/>
      <c r="X347" s="81"/>
      <c r="Y347" s="81"/>
      <c r="Z347" s="81"/>
    </row>
    <row r="348" spans="1:26" ht="24" customHeight="1" x14ac:dyDescent="0.5">
      <c r="A348" s="81"/>
      <c r="B348" s="81"/>
      <c r="C348" s="81"/>
      <c r="D348" s="81"/>
      <c r="E348" s="81"/>
      <c r="F348" s="81"/>
      <c r="G348" s="81"/>
      <c r="H348" s="81"/>
      <c r="I348" s="81"/>
      <c r="J348" s="289"/>
      <c r="K348" s="81"/>
      <c r="L348" s="81"/>
      <c r="M348" s="289"/>
      <c r="N348" s="81"/>
      <c r="O348" s="81"/>
      <c r="P348" s="289"/>
      <c r="Q348" s="81"/>
      <c r="R348" s="81"/>
      <c r="S348" s="289"/>
      <c r="T348" s="81"/>
      <c r="U348" s="81"/>
      <c r="V348" s="81"/>
      <c r="W348" s="81"/>
      <c r="X348" s="81"/>
      <c r="Y348" s="81"/>
      <c r="Z348" s="81"/>
    </row>
    <row r="349" spans="1:26" ht="24" customHeight="1" x14ac:dyDescent="0.5">
      <c r="A349" s="81"/>
      <c r="B349" s="81"/>
      <c r="C349" s="81"/>
      <c r="D349" s="81"/>
      <c r="E349" s="81"/>
      <c r="F349" s="81"/>
      <c r="G349" s="81"/>
      <c r="H349" s="81"/>
      <c r="I349" s="81"/>
      <c r="J349" s="289"/>
      <c r="K349" s="81"/>
      <c r="L349" s="81"/>
      <c r="M349" s="289"/>
      <c r="N349" s="81"/>
      <c r="O349" s="81"/>
      <c r="P349" s="289"/>
      <c r="Q349" s="81"/>
      <c r="R349" s="81"/>
      <c r="S349" s="289"/>
      <c r="T349" s="81"/>
      <c r="U349" s="81"/>
      <c r="V349" s="81"/>
      <c r="W349" s="81"/>
      <c r="X349" s="81"/>
      <c r="Y349" s="81"/>
      <c r="Z349" s="81"/>
    </row>
    <row r="350" spans="1:26" ht="24" customHeight="1" x14ac:dyDescent="0.5">
      <c r="A350" s="81"/>
      <c r="B350" s="81"/>
      <c r="C350" s="81"/>
      <c r="D350" s="81"/>
      <c r="E350" s="81"/>
      <c r="F350" s="81"/>
      <c r="G350" s="81"/>
      <c r="H350" s="81"/>
      <c r="I350" s="81"/>
      <c r="J350" s="289"/>
      <c r="K350" s="81"/>
      <c r="L350" s="81"/>
      <c r="M350" s="289"/>
      <c r="N350" s="81"/>
      <c r="O350" s="81"/>
      <c r="P350" s="289"/>
      <c r="Q350" s="81"/>
      <c r="R350" s="81"/>
      <c r="S350" s="289"/>
      <c r="T350" s="81"/>
      <c r="U350" s="81"/>
      <c r="V350" s="81"/>
      <c r="W350" s="81"/>
      <c r="X350" s="81"/>
      <c r="Y350" s="81"/>
      <c r="Z350" s="81"/>
    </row>
    <row r="351" spans="1:26" ht="24" customHeight="1" x14ac:dyDescent="0.5">
      <c r="A351" s="81"/>
      <c r="B351" s="81"/>
      <c r="C351" s="81"/>
      <c r="D351" s="81"/>
      <c r="E351" s="81"/>
      <c r="F351" s="81"/>
      <c r="G351" s="81"/>
      <c r="H351" s="81"/>
      <c r="I351" s="81"/>
      <c r="J351" s="289"/>
      <c r="K351" s="81"/>
      <c r="L351" s="81"/>
      <c r="M351" s="289"/>
      <c r="N351" s="81"/>
      <c r="O351" s="81"/>
      <c r="P351" s="289"/>
      <c r="Q351" s="81"/>
      <c r="R351" s="81"/>
      <c r="S351" s="289"/>
      <c r="T351" s="81"/>
      <c r="U351" s="81"/>
      <c r="V351" s="81"/>
      <c r="W351" s="81"/>
      <c r="X351" s="81"/>
      <c r="Y351" s="81"/>
      <c r="Z351" s="81"/>
    </row>
    <row r="352" spans="1:26" ht="24" customHeight="1" x14ac:dyDescent="0.5">
      <c r="A352" s="81"/>
      <c r="B352" s="81"/>
      <c r="C352" s="81"/>
      <c r="D352" s="81"/>
      <c r="E352" s="81"/>
      <c r="F352" s="81"/>
      <c r="G352" s="81"/>
      <c r="H352" s="81"/>
      <c r="I352" s="81"/>
      <c r="J352" s="289"/>
      <c r="K352" s="81"/>
      <c r="L352" s="81"/>
      <c r="M352" s="289"/>
      <c r="N352" s="81"/>
      <c r="O352" s="81"/>
      <c r="P352" s="289"/>
      <c r="Q352" s="81"/>
      <c r="R352" s="81"/>
      <c r="S352" s="289"/>
      <c r="T352" s="81"/>
      <c r="U352" s="81"/>
      <c r="V352" s="81"/>
      <c r="W352" s="81"/>
      <c r="X352" s="81"/>
      <c r="Y352" s="81"/>
      <c r="Z352" s="81"/>
    </row>
    <row r="353" spans="1:26" ht="24" customHeight="1" x14ac:dyDescent="0.5">
      <c r="A353" s="81"/>
      <c r="B353" s="81"/>
      <c r="C353" s="81"/>
      <c r="D353" s="81"/>
      <c r="E353" s="81"/>
      <c r="F353" s="81"/>
      <c r="G353" s="81"/>
      <c r="H353" s="81"/>
      <c r="I353" s="81"/>
      <c r="J353" s="289"/>
      <c r="K353" s="81"/>
      <c r="L353" s="81"/>
      <c r="M353" s="289"/>
      <c r="N353" s="81"/>
      <c r="O353" s="81"/>
      <c r="P353" s="289"/>
      <c r="Q353" s="81"/>
      <c r="R353" s="81"/>
      <c r="S353" s="289"/>
      <c r="T353" s="81"/>
      <c r="U353" s="81"/>
      <c r="V353" s="81"/>
      <c r="W353" s="81"/>
      <c r="X353" s="81"/>
      <c r="Y353" s="81"/>
      <c r="Z353" s="81"/>
    </row>
    <row r="354" spans="1:26" ht="24" customHeight="1" x14ac:dyDescent="0.5">
      <c r="A354" s="81"/>
      <c r="B354" s="81"/>
      <c r="C354" s="81"/>
      <c r="D354" s="81"/>
      <c r="E354" s="81"/>
      <c r="F354" s="81"/>
      <c r="G354" s="81"/>
      <c r="H354" s="81"/>
      <c r="I354" s="81"/>
      <c r="J354" s="289"/>
      <c r="K354" s="81"/>
      <c r="L354" s="81"/>
      <c r="M354" s="289"/>
      <c r="N354" s="81"/>
      <c r="O354" s="81"/>
      <c r="P354" s="289"/>
      <c r="Q354" s="81"/>
      <c r="R354" s="81"/>
      <c r="S354" s="289"/>
      <c r="T354" s="81"/>
      <c r="U354" s="81"/>
      <c r="V354" s="81"/>
      <c r="W354" s="81"/>
      <c r="X354" s="81"/>
      <c r="Y354" s="81"/>
      <c r="Z354" s="81"/>
    </row>
    <row r="355" spans="1:26" ht="24" customHeight="1" x14ac:dyDescent="0.5">
      <c r="A355" s="81"/>
      <c r="B355" s="81"/>
      <c r="C355" s="81"/>
      <c r="D355" s="81"/>
      <c r="E355" s="81"/>
      <c r="F355" s="81"/>
      <c r="G355" s="81"/>
      <c r="H355" s="81"/>
      <c r="I355" s="81"/>
      <c r="J355" s="289"/>
      <c r="K355" s="81"/>
      <c r="L355" s="81"/>
      <c r="M355" s="289"/>
      <c r="N355" s="81"/>
      <c r="O355" s="81"/>
      <c r="P355" s="289"/>
      <c r="Q355" s="81"/>
      <c r="R355" s="81"/>
      <c r="S355" s="289"/>
      <c r="T355" s="81"/>
      <c r="U355" s="81"/>
      <c r="V355" s="81"/>
      <c r="W355" s="81"/>
      <c r="X355" s="81"/>
      <c r="Y355" s="81"/>
      <c r="Z355" s="81"/>
    </row>
    <row r="356" spans="1:26" ht="24" customHeight="1" x14ac:dyDescent="0.5">
      <c r="A356" s="81"/>
      <c r="B356" s="81"/>
      <c r="C356" s="81"/>
      <c r="D356" s="81"/>
      <c r="E356" s="81"/>
      <c r="F356" s="81"/>
      <c r="G356" s="81"/>
      <c r="H356" s="81"/>
      <c r="I356" s="81"/>
      <c r="J356" s="289"/>
      <c r="K356" s="81"/>
      <c r="L356" s="81"/>
      <c r="M356" s="289"/>
      <c r="N356" s="81"/>
      <c r="O356" s="81"/>
      <c r="P356" s="289"/>
      <c r="Q356" s="81"/>
      <c r="R356" s="81"/>
      <c r="S356" s="289"/>
      <c r="T356" s="81"/>
      <c r="U356" s="81"/>
      <c r="V356" s="81"/>
      <c r="W356" s="81"/>
      <c r="X356" s="81"/>
      <c r="Y356" s="81"/>
      <c r="Z356" s="81"/>
    </row>
    <row r="357" spans="1:26" ht="24" customHeight="1" x14ac:dyDescent="0.5">
      <c r="A357" s="81"/>
      <c r="B357" s="81"/>
      <c r="C357" s="81"/>
      <c r="D357" s="81"/>
      <c r="E357" s="81"/>
      <c r="F357" s="81"/>
      <c r="G357" s="81"/>
      <c r="H357" s="81"/>
      <c r="I357" s="81"/>
      <c r="J357" s="289"/>
      <c r="K357" s="81"/>
      <c r="L357" s="81"/>
      <c r="M357" s="289"/>
      <c r="N357" s="81"/>
      <c r="O357" s="81"/>
      <c r="P357" s="289"/>
      <c r="Q357" s="81"/>
      <c r="R357" s="81"/>
      <c r="S357" s="289"/>
      <c r="T357" s="81"/>
      <c r="U357" s="81"/>
      <c r="V357" s="81"/>
      <c r="W357" s="81"/>
      <c r="X357" s="81"/>
      <c r="Y357" s="81"/>
      <c r="Z357" s="81"/>
    </row>
    <row r="358" spans="1:26" ht="24" customHeight="1" x14ac:dyDescent="0.5">
      <c r="A358" s="81"/>
      <c r="B358" s="81"/>
      <c r="C358" s="81"/>
      <c r="D358" s="81"/>
      <c r="E358" s="81"/>
      <c r="F358" s="81"/>
      <c r="G358" s="81"/>
      <c r="H358" s="81"/>
      <c r="I358" s="81"/>
      <c r="J358" s="289"/>
      <c r="K358" s="81"/>
      <c r="L358" s="81"/>
      <c r="M358" s="289"/>
      <c r="N358" s="81"/>
      <c r="O358" s="81"/>
      <c r="P358" s="289"/>
      <c r="Q358" s="81"/>
      <c r="R358" s="81"/>
      <c r="S358" s="289"/>
      <c r="T358" s="81"/>
      <c r="U358" s="81"/>
      <c r="V358" s="81"/>
      <c r="W358" s="81"/>
      <c r="X358" s="81"/>
      <c r="Y358" s="81"/>
      <c r="Z358" s="81"/>
    </row>
    <row r="359" spans="1:26" ht="24" customHeight="1" x14ac:dyDescent="0.5">
      <c r="A359" s="81"/>
      <c r="B359" s="81"/>
      <c r="C359" s="81"/>
      <c r="D359" s="81"/>
      <c r="E359" s="81"/>
      <c r="F359" s="81"/>
      <c r="G359" s="81"/>
      <c r="H359" s="81"/>
      <c r="I359" s="81"/>
      <c r="J359" s="289"/>
      <c r="K359" s="81"/>
      <c r="L359" s="81"/>
      <c r="M359" s="289"/>
      <c r="N359" s="81"/>
      <c r="O359" s="81"/>
      <c r="P359" s="289"/>
      <c r="Q359" s="81"/>
      <c r="R359" s="81"/>
      <c r="S359" s="289"/>
      <c r="T359" s="81"/>
      <c r="U359" s="81"/>
      <c r="V359" s="81"/>
      <c r="W359" s="81"/>
      <c r="X359" s="81"/>
      <c r="Y359" s="81"/>
      <c r="Z359" s="81"/>
    </row>
    <row r="360" spans="1:26" ht="24" customHeight="1" x14ac:dyDescent="0.5">
      <c r="A360" s="81"/>
      <c r="B360" s="81"/>
      <c r="C360" s="81"/>
      <c r="D360" s="81"/>
      <c r="E360" s="81"/>
      <c r="F360" s="81"/>
      <c r="G360" s="81"/>
      <c r="H360" s="81"/>
      <c r="I360" s="81"/>
      <c r="J360" s="289"/>
      <c r="K360" s="81"/>
      <c r="L360" s="81"/>
      <c r="M360" s="289"/>
      <c r="N360" s="81"/>
      <c r="O360" s="81"/>
      <c r="P360" s="289"/>
      <c r="Q360" s="81"/>
      <c r="R360" s="81"/>
      <c r="S360" s="289"/>
      <c r="T360" s="81"/>
      <c r="U360" s="81"/>
      <c r="V360" s="81"/>
      <c r="W360" s="81"/>
      <c r="X360" s="81"/>
      <c r="Y360" s="81"/>
      <c r="Z360" s="81"/>
    </row>
    <row r="361" spans="1:26" ht="24" customHeight="1" x14ac:dyDescent="0.5">
      <c r="A361" s="81"/>
      <c r="B361" s="81"/>
      <c r="C361" s="81"/>
      <c r="D361" s="81"/>
      <c r="E361" s="81"/>
      <c r="F361" s="81"/>
      <c r="G361" s="81"/>
      <c r="H361" s="81"/>
      <c r="I361" s="81"/>
      <c r="J361" s="289"/>
      <c r="K361" s="81"/>
      <c r="L361" s="81"/>
      <c r="M361" s="289"/>
      <c r="N361" s="81"/>
      <c r="O361" s="81"/>
      <c r="P361" s="289"/>
      <c r="Q361" s="81"/>
      <c r="R361" s="81"/>
      <c r="S361" s="289"/>
      <c r="T361" s="81"/>
      <c r="U361" s="81"/>
      <c r="V361" s="81"/>
      <c r="W361" s="81"/>
      <c r="X361" s="81"/>
      <c r="Y361" s="81"/>
      <c r="Z361" s="81"/>
    </row>
    <row r="362" spans="1:26" ht="24" customHeight="1" x14ac:dyDescent="0.5">
      <c r="A362" s="81"/>
      <c r="B362" s="81"/>
      <c r="C362" s="81"/>
      <c r="D362" s="81"/>
      <c r="E362" s="81"/>
      <c r="F362" s="81"/>
      <c r="G362" s="81"/>
      <c r="H362" s="81"/>
      <c r="I362" s="81"/>
      <c r="J362" s="289"/>
      <c r="K362" s="81"/>
      <c r="L362" s="81"/>
      <c r="M362" s="289"/>
      <c r="N362" s="81"/>
      <c r="O362" s="81"/>
      <c r="P362" s="289"/>
      <c r="Q362" s="81"/>
      <c r="R362" s="81"/>
      <c r="S362" s="289"/>
      <c r="T362" s="81"/>
      <c r="U362" s="81"/>
      <c r="V362" s="81"/>
      <c r="W362" s="81"/>
      <c r="X362" s="81"/>
      <c r="Y362" s="81"/>
      <c r="Z362" s="81"/>
    </row>
    <row r="363" spans="1:26" ht="24" customHeight="1" x14ac:dyDescent="0.5">
      <c r="A363" s="81"/>
      <c r="B363" s="81"/>
      <c r="C363" s="81"/>
      <c r="D363" s="81"/>
      <c r="E363" s="81"/>
      <c r="F363" s="81"/>
      <c r="G363" s="81"/>
      <c r="H363" s="81"/>
      <c r="I363" s="81"/>
      <c r="J363" s="289"/>
      <c r="K363" s="81"/>
      <c r="L363" s="81"/>
      <c r="M363" s="289"/>
      <c r="N363" s="81"/>
      <c r="O363" s="81"/>
      <c r="P363" s="289"/>
      <c r="Q363" s="81"/>
      <c r="R363" s="81"/>
      <c r="S363" s="289"/>
      <c r="T363" s="81"/>
      <c r="U363" s="81"/>
      <c r="V363" s="81"/>
      <c r="W363" s="81"/>
      <c r="X363" s="81"/>
      <c r="Y363" s="81"/>
      <c r="Z363" s="81"/>
    </row>
    <row r="364" spans="1:26" ht="24" customHeight="1" x14ac:dyDescent="0.5">
      <c r="A364" s="81"/>
      <c r="B364" s="81"/>
      <c r="C364" s="81"/>
      <c r="D364" s="81"/>
      <c r="E364" s="81"/>
      <c r="F364" s="81"/>
      <c r="G364" s="81"/>
      <c r="H364" s="81"/>
      <c r="I364" s="81"/>
      <c r="J364" s="289"/>
      <c r="K364" s="81"/>
      <c r="L364" s="81"/>
      <c r="M364" s="289"/>
      <c r="N364" s="81"/>
      <c r="O364" s="81"/>
      <c r="P364" s="289"/>
      <c r="Q364" s="81"/>
      <c r="R364" s="81"/>
      <c r="S364" s="289"/>
      <c r="T364" s="81"/>
      <c r="U364" s="81"/>
      <c r="V364" s="81"/>
      <c r="W364" s="81"/>
      <c r="X364" s="81"/>
      <c r="Y364" s="81"/>
      <c r="Z364" s="81"/>
    </row>
    <row r="365" spans="1:26" ht="24" customHeight="1" x14ac:dyDescent="0.5">
      <c r="A365" s="81"/>
      <c r="B365" s="81"/>
      <c r="C365" s="81"/>
      <c r="D365" s="81"/>
      <c r="E365" s="81"/>
      <c r="F365" s="81"/>
      <c r="G365" s="81"/>
      <c r="H365" s="81"/>
      <c r="I365" s="81"/>
      <c r="J365" s="289"/>
      <c r="K365" s="81"/>
      <c r="L365" s="81"/>
      <c r="M365" s="289"/>
      <c r="N365" s="81"/>
      <c r="O365" s="81"/>
      <c r="P365" s="289"/>
      <c r="Q365" s="81"/>
      <c r="R365" s="81"/>
      <c r="S365" s="289"/>
      <c r="T365" s="81"/>
      <c r="U365" s="81"/>
      <c r="V365" s="81"/>
      <c r="W365" s="81"/>
      <c r="X365" s="81"/>
      <c r="Y365" s="81"/>
      <c r="Z365" s="81"/>
    </row>
    <row r="366" spans="1:26" ht="24" customHeight="1" x14ac:dyDescent="0.5">
      <c r="A366" s="81"/>
      <c r="B366" s="81"/>
      <c r="C366" s="81"/>
      <c r="D366" s="81"/>
      <c r="E366" s="81"/>
      <c r="F366" s="81"/>
      <c r="G366" s="81"/>
      <c r="H366" s="81"/>
      <c r="I366" s="81"/>
      <c r="J366" s="289"/>
      <c r="K366" s="81"/>
      <c r="L366" s="81"/>
      <c r="M366" s="289"/>
      <c r="N366" s="81"/>
      <c r="O366" s="81"/>
      <c r="P366" s="289"/>
      <c r="Q366" s="81"/>
      <c r="R366" s="81"/>
      <c r="S366" s="289"/>
      <c r="T366" s="81"/>
      <c r="U366" s="81"/>
      <c r="V366" s="81"/>
      <c r="W366" s="81"/>
      <c r="X366" s="81"/>
      <c r="Y366" s="81"/>
      <c r="Z366" s="81"/>
    </row>
    <row r="367" spans="1:26" ht="24" customHeight="1" x14ac:dyDescent="0.5">
      <c r="A367" s="81"/>
      <c r="B367" s="81"/>
      <c r="C367" s="81"/>
      <c r="D367" s="81"/>
      <c r="E367" s="81"/>
      <c r="F367" s="81"/>
      <c r="G367" s="81"/>
      <c r="H367" s="81"/>
      <c r="I367" s="81"/>
      <c r="J367" s="289"/>
      <c r="K367" s="81"/>
      <c r="L367" s="81"/>
      <c r="M367" s="289"/>
      <c r="N367" s="81"/>
      <c r="O367" s="81"/>
      <c r="P367" s="289"/>
      <c r="Q367" s="81"/>
      <c r="R367" s="81"/>
      <c r="S367" s="289"/>
      <c r="T367" s="81"/>
      <c r="U367" s="81"/>
      <c r="V367" s="81"/>
      <c r="W367" s="81"/>
      <c r="X367" s="81"/>
      <c r="Y367" s="81"/>
      <c r="Z367" s="81"/>
    </row>
    <row r="368" spans="1:26" ht="24" customHeight="1" x14ac:dyDescent="0.5">
      <c r="A368" s="81"/>
      <c r="B368" s="81"/>
      <c r="C368" s="81"/>
      <c r="D368" s="81"/>
      <c r="E368" s="81"/>
      <c r="F368" s="81"/>
      <c r="G368" s="81"/>
      <c r="H368" s="81"/>
      <c r="I368" s="81"/>
      <c r="J368" s="289"/>
      <c r="K368" s="81"/>
      <c r="L368" s="81"/>
      <c r="M368" s="289"/>
      <c r="N368" s="81"/>
      <c r="O368" s="81"/>
      <c r="P368" s="289"/>
      <c r="Q368" s="81"/>
      <c r="R368" s="81"/>
      <c r="S368" s="289"/>
      <c r="T368" s="81"/>
      <c r="U368" s="81"/>
      <c r="V368" s="81"/>
      <c r="W368" s="81"/>
      <c r="X368" s="81"/>
      <c r="Y368" s="81"/>
      <c r="Z368" s="81"/>
    </row>
    <row r="369" spans="1:26" ht="24" customHeight="1" x14ac:dyDescent="0.5">
      <c r="A369" s="81"/>
      <c r="B369" s="81"/>
      <c r="C369" s="81"/>
      <c r="D369" s="81"/>
      <c r="E369" s="81"/>
      <c r="F369" s="81"/>
      <c r="G369" s="81"/>
      <c r="H369" s="81"/>
      <c r="I369" s="81"/>
      <c r="J369" s="289"/>
      <c r="K369" s="81"/>
      <c r="L369" s="81"/>
      <c r="M369" s="289"/>
      <c r="N369" s="81"/>
      <c r="O369" s="81"/>
      <c r="P369" s="289"/>
      <c r="Q369" s="81"/>
      <c r="R369" s="81"/>
      <c r="S369" s="289"/>
      <c r="T369" s="81"/>
      <c r="U369" s="81"/>
      <c r="V369" s="81"/>
      <c r="W369" s="81"/>
      <c r="X369" s="81"/>
      <c r="Y369" s="81"/>
      <c r="Z369" s="81"/>
    </row>
    <row r="370" spans="1:26" ht="24" customHeight="1" x14ac:dyDescent="0.5">
      <c r="A370" s="81"/>
      <c r="B370" s="81"/>
      <c r="C370" s="81"/>
      <c r="D370" s="81"/>
      <c r="E370" s="81"/>
      <c r="F370" s="81"/>
      <c r="G370" s="81"/>
      <c r="H370" s="81"/>
      <c r="I370" s="81"/>
      <c r="J370" s="289"/>
      <c r="K370" s="81"/>
      <c r="L370" s="81"/>
      <c r="M370" s="289"/>
      <c r="N370" s="81"/>
      <c r="O370" s="81"/>
      <c r="P370" s="289"/>
      <c r="Q370" s="81"/>
      <c r="R370" s="81"/>
      <c r="S370" s="289"/>
      <c r="T370" s="81"/>
      <c r="U370" s="81"/>
      <c r="V370" s="81"/>
      <c r="W370" s="81"/>
      <c r="X370" s="81"/>
      <c r="Y370" s="81"/>
      <c r="Z370" s="81"/>
    </row>
    <row r="371" spans="1:26" ht="24" customHeight="1" x14ac:dyDescent="0.5">
      <c r="A371" s="81"/>
      <c r="B371" s="81"/>
      <c r="C371" s="81"/>
      <c r="D371" s="81"/>
      <c r="E371" s="81"/>
      <c r="F371" s="81"/>
      <c r="G371" s="81"/>
      <c r="H371" s="81"/>
      <c r="I371" s="81"/>
      <c r="J371" s="289"/>
      <c r="K371" s="81"/>
      <c r="L371" s="81"/>
      <c r="M371" s="289"/>
      <c r="N371" s="81"/>
      <c r="O371" s="81"/>
      <c r="P371" s="289"/>
      <c r="Q371" s="81"/>
      <c r="R371" s="81"/>
      <c r="S371" s="289"/>
      <c r="T371" s="81"/>
      <c r="U371" s="81"/>
      <c r="V371" s="81"/>
      <c r="W371" s="81"/>
      <c r="X371" s="81"/>
      <c r="Y371" s="81"/>
      <c r="Z371" s="81"/>
    </row>
    <row r="372" spans="1:26" ht="24" customHeight="1" x14ac:dyDescent="0.5">
      <c r="A372" s="81"/>
      <c r="B372" s="81"/>
      <c r="C372" s="81"/>
      <c r="D372" s="81"/>
      <c r="E372" s="81"/>
      <c r="F372" s="81"/>
      <c r="G372" s="81"/>
      <c r="H372" s="81"/>
      <c r="I372" s="81"/>
      <c r="J372" s="289"/>
      <c r="K372" s="81"/>
      <c r="L372" s="81"/>
      <c r="M372" s="289"/>
      <c r="N372" s="81"/>
      <c r="O372" s="81"/>
      <c r="P372" s="289"/>
      <c r="Q372" s="81"/>
      <c r="R372" s="81"/>
      <c r="S372" s="289"/>
      <c r="T372" s="81"/>
      <c r="U372" s="81"/>
      <c r="V372" s="81"/>
      <c r="W372" s="81"/>
      <c r="X372" s="81"/>
      <c r="Y372" s="81"/>
      <c r="Z372" s="81"/>
    </row>
    <row r="373" spans="1:26" ht="24" customHeight="1" x14ac:dyDescent="0.5">
      <c r="A373" s="81"/>
      <c r="B373" s="81"/>
      <c r="C373" s="81"/>
      <c r="D373" s="81"/>
      <c r="E373" s="81"/>
      <c r="F373" s="81"/>
      <c r="G373" s="81"/>
      <c r="H373" s="81"/>
      <c r="I373" s="81"/>
      <c r="J373" s="289"/>
      <c r="K373" s="81"/>
      <c r="L373" s="81"/>
      <c r="M373" s="289"/>
      <c r="N373" s="81"/>
      <c r="O373" s="81"/>
      <c r="P373" s="289"/>
      <c r="Q373" s="81"/>
      <c r="R373" s="81"/>
      <c r="S373" s="289"/>
      <c r="T373" s="81"/>
      <c r="U373" s="81"/>
      <c r="V373" s="81"/>
      <c r="W373" s="81"/>
      <c r="X373" s="81"/>
      <c r="Y373" s="81"/>
      <c r="Z373" s="81"/>
    </row>
    <row r="374" spans="1:26" ht="24" customHeight="1" x14ac:dyDescent="0.5">
      <c r="A374" s="81"/>
      <c r="B374" s="81"/>
      <c r="C374" s="81"/>
      <c r="D374" s="81"/>
      <c r="E374" s="81"/>
      <c r="F374" s="81"/>
      <c r="G374" s="81"/>
      <c r="H374" s="81"/>
      <c r="I374" s="81"/>
      <c r="J374" s="289"/>
      <c r="K374" s="81"/>
      <c r="L374" s="81"/>
      <c r="M374" s="289"/>
      <c r="N374" s="81"/>
      <c r="O374" s="81"/>
      <c r="P374" s="289"/>
      <c r="Q374" s="81"/>
      <c r="R374" s="81"/>
      <c r="S374" s="289"/>
      <c r="T374" s="81"/>
      <c r="U374" s="81"/>
      <c r="V374" s="81"/>
      <c r="W374" s="81"/>
      <c r="X374" s="81"/>
      <c r="Y374" s="81"/>
      <c r="Z374" s="81"/>
    </row>
    <row r="375" spans="1:26" ht="24" customHeight="1" x14ac:dyDescent="0.5">
      <c r="A375" s="81"/>
      <c r="B375" s="81"/>
      <c r="C375" s="81"/>
      <c r="D375" s="81"/>
      <c r="E375" s="81"/>
      <c r="F375" s="81"/>
      <c r="G375" s="81"/>
      <c r="H375" s="81"/>
      <c r="I375" s="81"/>
      <c r="J375" s="289"/>
      <c r="K375" s="81"/>
      <c r="L375" s="81"/>
      <c r="M375" s="289"/>
      <c r="N375" s="81"/>
      <c r="O375" s="81"/>
      <c r="P375" s="289"/>
      <c r="Q375" s="81"/>
      <c r="R375" s="81"/>
      <c r="S375" s="289"/>
      <c r="T375" s="81"/>
      <c r="U375" s="81"/>
      <c r="V375" s="81"/>
      <c r="W375" s="81"/>
      <c r="X375" s="81"/>
      <c r="Y375" s="81"/>
      <c r="Z375" s="81"/>
    </row>
    <row r="376" spans="1:26" ht="24" customHeight="1" x14ac:dyDescent="0.5">
      <c r="A376" s="81"/>
      <c r="B376" s="81"/>
      <c r="C376" s="81"/>
      <c r="D376" s="81"/>
      <c r="E376" s="81"/>
      <c r="F376" s="81"/>
      <c r="G376" s="81"/>
      <c r="H376" s="81"/>
      <c r="I376" s="81"/>
      <c r="J376" s="289"/>
      <c r="K376" s="81"/>
      <c r="L376" s="81"/>
      <c r="M376" s="289"/>
      <c r="N376" s="81"/>
      <c r="O376" s="81"/>
      <c r="P376" s="289"/>
      <c r="Q376" s="81"/>
      <c r="R376" s="81"/>
      <c r="S376" s="289"/>
      <c r="T376" s="81"/>
      <c r="U376" s="81"/>
      <c r="V376" s="81"/>
      <c r="W376" s="81"/>
      <c r="X376" s="81"/>
      <c r="Y376" s="81"/>
      <c r="Z376" s="81"/>
    </row>
    <row r="377" spans="1:26" ht="24" customHeight="1" x14ac:dyDescent="0.5">
      <c r="A377" s="81"/>
      <c r="B377" s="81"/>
      <c r="C377" s="81"/>
      <c r="D377" s="81"/>
      <c r="E377" s="81"/>
      <c r="F377" s="81"/>
      <c r="G377" s="81"/>
      <c r="H377" s="81"/>
      <c r="I377" s="81"/>
      <c r="J377" s="289"/>
      <c r="K377" s="81"/>
      <c r="L377" s="81"/>
      <c r="M377" s="289"/>
      <c r="N377" s="81"/>
      <c r="O377" s="81"/>
      <c r="P377" s="289"/>
      <c r="Q377" s="81"/>
      <c r="R377" s="81"/>
      <c r="S377" s="289"/>
      <c r="T377" s="81"/>
      <c r="U377" s="81"/>
      <c r="V377" s="81"/>
      <c r="W377" s="81"/>
      <c r="X377" s="81"/>
      <c r="Y377" s="81"/>
      <c r="Z377" s="81"/>
    </row>
    <row r="378" spans="1:26" ht="24" customHeight="1" x14ac:dyDescent="0.5">
      <c r="A378" s="81"/>
      <c r="B378" s="81"/>
      <c r="C378" s="81"/>
      <c r="D378" s="81"/>
      <c r="E378" s="81"/>
      <c r="F378" s="81"/>
      <c r="G378" s="81"/>
      <c r="H378" s="81"/>
      <c r="I378" s="81"/>
      <c r="J378" s="289"/>
      <c r="K378" s="81"/>
      <c r="L378" s="81"/>
      <c r="M378" s="289"/>
      <c r="N378" s="81"/>
      <c r="O378" s="81"/>
      <c r="P378" s="289"/>
      <c r="Q378" s="81"/>
      <c r="R378" s="81"/>
      <c r="S378" s="289"/>
      <c r="T378" s="81"/>
      <c r="U378" s="81"/>
      <c r="V378" s="81"/>
      <c r="W378" s="81"/>
      <c r="X378" s="81"/>
      <c r="Y378" s="81"/>
      <c r="Z378" s="81"/>
    </row>
    <row r="379" spans="1:26" ht="24" customHeight="1" x14ac:dyDescent="0.5">
      <c r="A379" s="81"/>
      <c r="B379" s="81"/>
      <c r="C379" s="81"/>
      <c r="D379" s="81"/>
      <c r="E379" s="81"/>
      <c r="F379" s="81"/>
      <c r="G379" s="81"/>
      <c r="H379" s="81"/>
      <c r="I379" s="81"/>
      <c r="J379" s="289"/>
      <c r="K379" s="81"/>
      <c r="L379" s="81"/>
      <c r="M379" s="289"/>
      <c r="N379" s="81"/>
      <c r="O379" s="81"/>
      <c r="P379" s="289"/>
      <c r="Q379" s="81"/>
      <c r="R379" s="81"/>
      <c r="S379" s="289"/>
      <c r="T379" s="81"/>
      <c r="U379" s="81"/>
      <c r="V379" s="81"/>
      <c r="W379" s="81"/>
      <c r="X379" s="81"/>
      <c r="Y379" s="81"/>
      <c r="Z379" s="81"/>
    </row>
    <row r="380" spans="1:26" ht="24" customHeight="1" x14ac:dyDescent="0.5">
      <c r="A380" s="81"/>
      <c r="B380" s="81"/>
      <c r="C380" s="81"/>
      <c r="D380" s="81"/>
      <c r="E380" s="81"/>
      <c r="F380" s="81"/>
      <c r="G380" s="81"/>
      <c r="H380" s="81"/>
      <c r="I380" s="81"/>
      <c r="J380" s="289"/>
      <c r="K380" s="81"/>
      <c r="L380" s="81"/>
      <c r="M380" s="289"/>
      <c r="N380" s="81"/>
      <c r="O380" s="81"/>
      <c r="P380" s="289"/>
      <c r="Q380" s="81"/>
      <c r="R380" s="81"/>
      <c r="S380" s="289"/>
      <c r="T380" s="81"/>
      <c r="U380" s="81"/>
      <c r="V380" s="81"/>
      <c r="W380" s="81"/>
      <c r="X380" s="81"/>
      <c r="Y380" s="81"/>
      <c r="Z380" s="81"/>
    </row>
    <row r="381" spans="1:26" ht="24" customHeight="1" x14ac:dyDescent="0.5">
      <c r="A381" s="81"/>
      <c r="B381" s="81"/>
      <c r="C381" s="81"/>
      <c r="D381" s="81"/>
      <c r="E381" s="81"/>
      <c r="F381" s="81"/>
      <c r="G381" s="81"/>
      <c r="H381" s="81"/>
      <c r="I381" s="81"/>
      <c r="J381" s="289"/>
      <c r="K381" s="81"/>
      <c r="L381" s="81"/>
      <c r="M381" s="289"/>
      <c r="N381" s="81"/>
      <c r="O381" s="81"/>
      <c r="P381" s="289"/>
      <c r="Q381" s="81"/>
      <c r="R381" s="81"/>
      <c r="S381" s="289"/>
      <c r="T381" s="81"/>
      <c r="U381" s="81"/>
      <c r="V381" s="81"/>
      <c r="W381" s="81"/>
      <c r="X381" s="81"/>
      <c r="Y381" s="81"/>
      <c r="Z381" s="81"/>
    </row>
    <row r="382" spans="1:26" ht="24" customHeight="1" x14ac:dyDescent="0.5">
      <c r="A382" s="81"/>
      <c r="B382" s="81"/>
      <c r="C382" s="81"/>
      <c r="D382" s="81"/>
      <c r="E382" s="81"/>
      <c r="F382" s="81"/>
      <c r="G382" s="81"/>
      <c r="H382" s="81"/>
      <c r="I382" s="81"/>
      <c r="J382" s="289"/>
      <c r="K382" s="81"/>
      <c r="L382" s="81"/>
      <c r="M382" s="289"/>
      <c r="N382" s="81"/>
      <c r="O382" s="81"/>
      <c r="P382" s="289"/>
      <c r="Q382" s="81"/>
      <c r="R382" s="81"/>
      <c r="S382" s="289"/>
      <c r="T382" s="81"/>
      <c r="U382" s="81"/>
      <c r="V382" s="81"/>
      <c r="W382" s="81"/>
      <c r="X382" s="81"/>
      <c r="Y382" s="81"/>
      <c r="Z382" s="81"/>
    </row>
    <row r="383" spans="1:26" ht="24" customHeight="1" x14ac:dyDescent="0.5">
      <c r="A383" s="81"/>
      <c r="B383" s="81"/>
      <c r="C383" s="81"/>
      <c r="D383" s="81"/>
      <c r="E383" s="81"/>
      <c r="F383" s="81"/>
      <c r="G383" s="81"/>
      <c r="H383" s="81"/>
      <c r="I383" s="81"/>
      <c r="J383" s="289"/>
      <c r="K383" s="81"/>
      <c r="L383" s="81"/>
      <c r="M383" s="289"/>
      <c r="N383" s="81"/>
      <c r="O383" s="81"/>
      <c r="P383" s="289"/>
      <c r="Q383" s="81"/>
      <c r="R383" s="81"/>
      <c r="S383" s="289"/>
      <c r="T383" s="81"/>
      <c r="U383" s="81"/>
      <c r="V383" s="81"/>
      <c r="W383" s="81"/>
      <c r="X383" s="81"/>
      <c r="Y383" s="81"/>
      <c r="Z383" s="81"/>
    </row>
    <row r="384" spans="1:26" ht="24" customHeight="1" x14ac:dyDescent="0.5">
      <c r="A384" s="81"/>
      <c r="B384" s="81"/>
      <c r="C384" s="81"/>
      <c r="D384" s="81"/>
      <c r="E384" s="81"/>
      <c r="F384" s="81"/>
      <c r="G384" s="81"/>
      <c r="H384" s="81"/>
      <c r="I384" s="81"/>
      <c r="J384" s="289"/>
      <c r="K384" s="81"/>
      <c r="L384" s="81"/>
      <c r="M384" s="289"/>
      <c r="N384" s="81"/>
      <c r="O384" s="81"/>
      <c r="P384" s="289"/>
      <c r="Q384" s="81"/>
      <c r="R384" s="81"/>
      <c r="S384" s="289"/>
      <c r="T384" s="81"/>
      <c r="U384" s="81"/>
      <c r="V384" s="81"/>
      <c r="W384" s="81"/>
      <c r="X384" s="81"/>
      <c r="Y384" s="81"/>
      <c r="Z384" s="81"/>
    </row>
    <row r="385" spans="1:26" ht="24" customHeight="1" x14ac:dyDescent="0.5">
      <c r="A385" s="81"/>
      <c r="B385" s="81"/>
      <c r="C385" s="81"/>
      <c r="D385" s="81"/>
      <c r="E385" s="81"/>
      <c r="F385" s="81"/>
      <c r="G385" s="81"/>
      <c r="H385" s="81"/>
      <c r="I385" s="81"/>
      <c r="J385" s="289"/>
      <c r="K385" s="81"/>
      <c r="L385" s="81"/>
      <c r="M385" s="289"/>
      <c r="N385" s="81"/>
      <c r="O385" s="81"/>
      <c r="P385" s="289"/>
      <c r="Q385" s="81"/>
      <c r="R385" s="81"/>
      <c r="S385" s="289"/>
      <c r="T385" s="81"/>
      <c r="U385" s="81"/>
      <c r="V385" s="81"/>
      <c r="W385" s="81"/>
      <c r="X385" s="81"/>
      <c r="Y385" s="81"/>
      <c r="Z385" s="81"/>
    </row>
    <row r="386" spans="1:26" ht="24" customHeight="1" x14ac:dyDescent="0.5">
      <c r="A386" s="81"/>
      <c r="B386" s="81"/>
      <c r="C386" s="81"/>
      <c r="D386" s="81"/>
      <c r="E386" s="81"/>
      <c r="F386" s="81"/>
      <c r="G386" s="81"/>
      <c r="H386" s="81"/>
      <c r="I386" s="81"/>
      <c r="J386" s="289"/>
      <c r="K386" s="81"/>
      <c r="L386" s="81"/>
      <c r="M386" s="289"/>
      <c r="N386" s="81"/>
      <c r="O386" s="81"/>
      <c r="P386" s="289"/>
      <c r="Q386" s="81"/>
      <c r="R386" s="81"/>
      <c r="S386" s="289"/>
      <c r="T386" s="81"/>
      <c r="U386" s="81"/>
      <c r="V386" s="81"/>
      <c r="W386" s="81"/>
      <c r="X386" s="81"/>
      <c r="Y386" s="81"/>
      <c r="Z386" s="81"/>
    </row>
    <row r="387" spans="1:26" ht="24" customHeight="1" x14ac:dyDescent="0.5">
      <c r="A387" s="81"/>
      <c r="B387" s="81"/>
      <c r="C387" s="81"/>
      <c r="D387" s="81"/>
      <c r="E387" s="81"/>
      <c r="F387" s="81"/>
      <c r="G387" s="81"/>
      <c r="H387" s="81"/>
      <c r="I387" s="81"/>
      <c r="J387" s="289"/>
      <c r="K387" s="81"/>
      <c r="L387" s="81"/>
      <c r="M387" s="289"/>
      <c r="N387" s="81"/>
      <c r="O387" s="81"/>
      <c r="P387" s="289"/>
      <c r="Q387" s="81"/>
      <c r="R387" s="81"/>
      <c r="S387" s="289"/>
      <c r="T387" s="81"/>
      <c r="U387" s="81"/>
      <c r="V387" s="81"/>
      <c r="W387" s="81"/>
      <c r="X387" s="81"/>
      <c r="Y387" s="81"/>
      <c r="Z387" s="81"/>
    </row>
    <row r="388" spans="1:26" ht="24" customHeight="1" x14ac:dyDescent="0.5">
      <c r="A388" s="81"/>
      <c r="B388" s="81"/>
      <c r="C388" s="81"/>
      <c r="D388" s="81"/>
      <c r="E388" s="81"/>
      <c r="F388" s="81"/>
      <c r="G388" s="81"/>
      <c r="H388" s="81"/>
      <c r="I388" s="81"/>
      <c r="J388" s="289"/>
      <c r="K388" s="81"/>
      <c r="L388" s="81"/>
      <c r="M388" s="289"/>
      <c r="N388" s="81"/>
      <c r="O388" s="81"/>
      <c r="P388" s="289"/>
      <c r="Q388" s="81"/>
      <c r="R388" s="81"/>
      <c r="S388" s="289"/>
      <c r="T388" s="81"/>
      <c r="U388" s="81"/>
      <c r="V388" s="81"/>
      <c r="W388" s="81"/>
      <c r="X388" s="81"/>
      <c r="Y388" s="81"/>
      <c r="Z388" s="81"/>
    </row>
    <row r="389" spans="1:26" ht="24" customHeight="1" x14ac:dyDescent="0.5">
      <c r="A389" s="81"/>
      <c r="B389" s="81"/>
      <c r="C389" s="81"/>
      <c r="D389" s="81"/>
      <c r="E389" s="81"/>
      <c r="F389" s="81"/>
      <c r="G389" s="81"/>
      <c r="H389" s="81"/>
      <c r="I389" s="81"/>
      <c r="J389" s="289"/>
      <c r="K389" s="81"/>
      <c r="L389" s="81"/>
      <c r="M389" s="289"/>
      <c r="N389" s="81"/>
      <c r="O389" s="81"/>
      <c r="P389" s="289"/>
      <c r="Q389" s="81"/>
      <c r="R389" s="81"/>
      <c r="S389" s="289"/>
      <c r="T389" s="81"/>
      <c r="U389" s="81"/>
      <c r="V389" s="81"/>
      <c r="W389" s="81"/>
      <c r="X389" s="81"/>
      <c r="Y389" s="81"/>
      <c r="Z389" s="81"/>
    </row>
    <row r="390" spans="1:26" ht="24" customHeight="1" x14ac:dyDescent="0.5">
      <c r="A390" s="81"/>
      <c r="B390" s="81"/>
      <c r="C390" s="81"/>
      <c r="D390" s="81"/>
      <c r="E390" s="81"/>
      <c r="F390" s="81"/>
      <c r="G390" s="81"/>
      <c r="H390" s="81"/>
      <c r="I390" s="81"/>
      <c r="J390" s="289"/>
      <c r="K390" s="81"/>
      <c r="L390" s="81"/>
      <c r="M390" s="289"/>
      <c r="N390" s="81"/>
      <c r="O390" s="81"/>
      <c r="P390" s="289"/>
      <c r="Q390" s="81"/>
      <c r="R390" s="81"/>
      <c r="S390" s="289"/>
      <c r="T390" s="81"/>
      <c r="U390" s="81"/>
      <c r="V390" s="81"/>
      <c r="W390" s="81"/>
      <c r="X390" s="81"/>
      <c r="Y390" s="81"/>
      <c r="Z390" s="81"/>
    </row>
    <row r="391" spans="1:26" ht="24" customHeight="1" x14ac:dyDescent="0.5">
      <c r="A391" s="81"/>
      <c r="B391" s="81"/>
      <c r="C391" s="81"/>
      <c r="D391" s="81"/>
      <c r="E391" s="81"/>
      <c r="F391" s="81"/>
      <c r="G391" s="81"/>
      <c r="H391" s="81"/>
      <c r="I391" s="81"/>
      <c r="J391" s="289"/>
      <c r="K391" s="81"/>
      <c r="L391" s="81"/>
      <c r="M391" s="289"/>
      <c r="N391" s="81"/>
      <c r="O391" s="81"/>
      <c r="P391" s="289"/>
      <c r="Q391" s="81"/>
      <c r="R391" s="81"/>
      <c r="S391" s="289"/>
      <c r="T391" s="81"/>
      <c r="U391" s="81"/>
      <c r="V391" s="81"/>
      <c r="W391" s="81"/>
      <c r="X391" s="81"/>
      <c r="Y391" s="81"/>
      <c r="Z391" s="81"/>
    </row>
    <row r="392" spans="1:26" ht="24" customHeight="1" x14ac:dyDescent="0.5">
      <c r="A392" s="81"/>
      <c r="B392" s="81"/>
      <c r="C392" s="81"/>
      <c r="D392" s="81"/>
      <c r="E392" s="81"/>
      <c r="F392" s="81"/>
      <c r="G392" s="81"/>
      <c r="H392" s="81"/>
      <c r="I392" s="81"/>
      <c r="J392" s="289"/>
      <c r="K392" s="81"/>
      <c r="L392" s="81"/>
      <c r="M392" s="289"/>
      <c r="N392" s="81"/>
      <c r="O392" s="81"/>
      <c r="P392" s="289"/>
      <c r="Q392" s="81"/>
      <c r="R392" s="81"/>
      <c r="S392" s="289"/>
      <c r="T392" s="81"/>
      <c r="U392" s="81"/>
      <c r="V392" s="81"/>
      <c r="W392" s="81"/>
      <c r="X392" s="81"/>
      <c r="Y392" s="81"/>
      <c r="Z392" s="81"/>
    </row>
    <row r="393" spans="1:26" ht="24" customHeight="1" x14ac:dyDescent="0.5">
      <c r="A393" s="81"/>
      <c r="B393" s="81"/>
      <c r="C393" s="81"/>
      <c r="D393" s="81"/>
      <c r="E393" s="81"/>
      <c r="F393" s="81"/>
      <c r="G393" s="81"/>
      <c r="H393" s="81"/>
      <c r="I393" s="81"/>
      <c r="J393" s="289"/>
      <c r="K393" s="81"/>
      <c r="L393" s="81"/>
      <c r="M393" s="289"/>
      <c r="N393" s="81"/>
      <c r="O393" s="81"/>
      <c r="P393" s="289"/>
      <c r="Q393" s="81"/>
      <c r="R393" s="81"/>
      <c r="S393" s="289"/>
      <c r="T393" s="81"/>
      <c r="U393" s="81"/>
      <c r="V393" s="81"/>
      <c r="W393" s="81"/>
      <c r="X393" s="81"/>
      <c r="Y393" s="81"/>
      <c r="Z393" s="81"/>
    </row>
    <row r="394" spans="1:26" ht="24" customHeight="1" x14ac:dyDescent="0.5">
      <c r="A394" s="81"/>
      <c r="B394" s="81"/>
      <c r="C394" s="81"/>
      <c r="D394" s="81"/>
      <c r="E394" s="81"/>
      <c r="F394" s="81"/>
      <c r="G394" s="81"/>
      <c r="H394" s="81"/>
      <c r="I394" s="81"/>
      <c r="J394" s="289"/>
      <c r="K394" s="81"/>
      <c r="L394" s="81"/>
      <c r="M394" s="289"/>
      <c r="N394" s="81"/>
      <c r="O394" s="81"/>
      <c r="P394" s="289"/>
      <c r="Q394" s="81"/>
      <c r="R394" s="81"/>
      <c r="S394" s="289"/>
      <c r="T394" s="81"/>
      <c r="U394" s="81"/>
      <c r="V394" s="81"/>
      <c r="W394" s="81"/>
      <c r="X394" s="81"/>
      <c r="Y394" s="81"/>
      <c r="Z394" s="81"/>
    </row>
    <row r="395" spans="1:26" ht="24" customHeight="1" x14ac:dyDescent="0.5">
      <c r="A395" s="81"/>
      <c r="B395" s="81"/>
      <c r="C395" s="81"/>
      <c r="D395" s="81"/>
      <c r="E395" s="81"/>
      <c r="F395" s="81"/>
      <c r="G395" s="81"/>
      <c r="H395" s="81"/>
      <c r="I395" s="81"/>
      <c r="J395" s="289"/>
      <c r="K395" s="81"/>
      <c r="L395" s="81"/>
      <c r="M395" s="289"/>
      <c r="N395" s="81"/>
      <c r="O395" s="81"/>
      <c r="P395" s="289"/>
      <c r="Q395" s="81"/>
      <c r="R395" s="81"/>
      <c r="S395" s="289"/>
      <c r="T395" s="81"/>
      <c r="U395" s="81"/>
      <c r="V395" s="81"/>
      <c r="W395" s="81"/>
      <c r="X395" s="81"/>
      <c r="Y395" s="81"/>
      <c r="Z395" s="81"/>
    </row>
    <row r="396" spans="1:26" ht="24" customHeight="1" x14ac:dyDescent="0.5">
      <c r="A396" s="81"/>
      <c r="B396" s="81"/>
      <c r="C396" s="81"/>
      <c r="D396" s="81"/>
      <c r="E396" s="81"/>
      <c r="F396" s="81"/>
      <c r="G396" s="81"/>
      <c r="H396" s="81"/>
      <c r="I396" s="81"/>
      <c r="J396" s="289"/>
      <c r="K396" s="81"/>
      <c r="L396" s="81"/>
      <c r="M396" s="289"/>
      <c r="N396" s="81"/>
      <c r="O396" s="81"/>
      <c r="P396" s="289"/>
      <c r="Q396" s="81"/>
      <c r="R396" s="81"/>
      <c r="S396" s="289"/>
      <c r="T396" s="81"/>
      <c r="U396" s="81"/>
      <c r="V396" s="81"/>
      <c r="W396" s="81"/>
      <c r="X396" s="81"/>
      <c r="Y396" s="81"/>
      <c r="Z396" s="81"/>
    </row>
    <row r="397" spans="1:26" ht="24" customHeight="1" x14ac:dyDescent="0.5">
      <c r="A397" s="81"/>
      <c r="B397" s="81"/>
      <c r="C397" s="81"/>
      <c r="D397" s="81"/>
      <c r="E397" s="81"/>
      <c r="F397" s="81"/>
      <c r="G397" s="81"/>
      <c r="H397" s="81"/>
      <c r="I397" s="81"/>
      <c r="J397" s="289"/>
      <c r="K397" s="81"/>
      <c r="L397" s="81"/>
      <c r="M397" s="289"/>
      <c r="N397" s="81"/>
      <c r="O397" s="81"/>
      <c r="P397" s="289"/>
      <c r="Q397" s="81"/>
      <c r="R397" s="81"/>
      <c r="S397" s="289"/>
      <c r="T397" s="81"/>
      <c r="U397" s="81"/>
      <c r="V397" s="81"/>
      <c r="W397" s="81"/>
      <c r="X397" s="81"/>
      <c r="Y397" s="81"/>
      <c r="Z397" s="81"/>
    </row>
    <row r="398" spans="1:26" ht="24" customHeight="1" x14ac:dyDescent="0.5">
      <c r="A398" s="81"/>
      <c r="B398" s="81"/>
      <c r="C398" s="81"/>
      <c r="D398" s="81"/>
      <c r="E398" s="81"/>
      <c r="F398" s="81"/>
      <c r="G398" s="81"/>
      <c r="H398" s="81"/>
      <c r="I398" s="81"/>
      <c r="J398" s="289"/>
      <c r="K398" s="81"/>
      <c r="L398" s="81"/>
      <c r="M398" s="289"/>
      <c r="N398" s="81"/>
      <c r="O398" s="81"/>
      <c r="P398" s="289"/>
      <c r="Q398" s="81"/>
      <c r="R398" s="81"/>
      <c r="S398" s="289"/>
      <c r="T398" s="81"/>
      <c r="U398" s="81"/>
      <c r="V398" s="81"/>
      <c r="W398" s="81"/>
      <c r="X398" s="81"/>
      <c r="Y398" s="81"/>
      <c r="Z398" s="81"/>
    </row>
    <row r="399" spans="1:26" ht="24" customHeight="1" x14ac:dyDescent="0.5">
      <c r="A399" s="81"/>
      <c r="B399" s="81"/>
      <c r="C399" s="81"/>
      <c r="D399" s="81"/>
      <c r="E399" s="81"/>
      <c r="F399" s="81"/>
      <c r="G399" s="81"/>
      <c r="H399" s="81"/>
      <c r="I399" s="81"/>
      <c r="J399" s="289"/>
      <c r="K399" s="81"/>
      <c r="L399" s="81"/>
      <c r="M399" s="289"/>
      <c r="N399" s="81"/>
      <c r="O399" s="81"/>
      <c r="P399" s="289"/>
      <c r="Q399" s="81"/>
      <c r="R399" s="81"/>
      <c r="S399" s="289"/>
      <c r="T399" s="81"/>
      <c r="U399" s="81"/>
      <c r="V399" s="81"/>
      <c r="W399" s="81"/>
      <c r="X399" s="81"/>
      <c r="Y399" s="81"/>
      <c r="Z399" s="81"/>
    </row>
    <row r="400" spans="1:26" ht="24" customHeight="1" x14ac:dyDescent="0.5">
      <c r="A400" s="81"/>
      <c r="B400" s="81"/>
      <c r="C400" s="81"/>
      <c r="D400" s="81"/>
      <c r="E400" s="81"/>
      <c r="F400" s="81"/>
      <c r="G400" s="81"/>
      <c r="H400" s="81"/>
      <c r="I400" s="81"/>
      <c r="J400" s="289"/>
      <c r="K400" s="81"/>
      <c r="L400" s="81"/>
      <c r="M400" s="289"/>
      <c r="N400" s="81"/>
      <c r="O400" s="81"/>
      <c r="P400" s="289"/>
      <c r="Q400" s="81"/>
      <c r="R400" s="81"/>
      <c r="S400" s="289"/>
      <c r="T400" s="81"/>
      <c r="U400" s="81"/>
      <c r="V400" s="81"/>
      <c r="W400" s="81"/>
      <c r="X400" s="81"/>
      <c r="Y400" s="81"/>
      <c r="Z400" s="81"/>
    </row>
    <row r="401" spans="1:26" ht="24" customHeight="1" x14ac:dyDescent="0.5">
      <c r="A401" s="81"/>
      <c r="B401" s="81"/>
      <c r="C401" s="81"/>
      <c r="D401" s="81"/>
      <c r="E401" s="81"/>
      <c r="F401" s="81"/>
      <c r="G401" s="81"/>
      <c r="H401" s="81"/>
      <c r="I401" s="81"/>
      <c r="J401" s="289"/>
      <c r="K401" s="81"/>
      <c r="L401" s="81"/>
      <c r="M401" s="289"/>
      <c r="N401" s="81"/>
      <c r="O401" s="81"/>
      <c r="P401" s="289"/>
      <c r="Q401" s="81"/>
      <c r="R401" s="81"/>
      <c r="S401" s="289"/>
      <c r="T401" s="81"/>
      <c r="U401" s="81"/>
      <c r="V401" s="81"/>
      <c r="W401" s="81"/>
      <c r="X401" s="81"/>
      <c r="Y401" s="81"/>
      <c r="Z401" s="81"/>
    </row>
    <row r="402" spans="1:26" ht="24" customHeight="1" x14ac:dyDescent="0.5">
      <c r="A402" s="81"/>
      <c r="B402" s="81"/>
      <c r="C402" s="81"/>
      <c r="D402" s="81"/>
      <c r="E402" s="81"/>
      <c r="F402" s="81"/>
      <c r="G402" s="81"/>
      <c r="H402" s="81"/>
      <c r="I402" s="81"/>
      <c r="J402" s="289"/>
      <c r="K402" s="81"/>
      <c r="L402" s="81"/>
      <c r="M402" s="289"/>
      <c r="N402" s="81"/>
      <c r="O402" s="81"/>
      <c r="P402" s="289"/>
      <c r="Q402" s="81"/>
      <c r="R402" s="81"/>
      <c r="S402" s="289"/>
      <c r="T402" s="81"/>
      <c r="U402" s="81"/>
      <c r="V402" s="81"/>
      <c r="W402" s="81"/>
      <c r="X402" s="81"/>
      <c r="Y402" s="81"/>
      <c r="Z402" s="81"/>
    </row>
    <row r="403" spans="1:26" ht="24" customHeight="1" x14ac:dyDescent="0.5">
      <c r="A403" s="81"/>
      <c r="B403" s="81"/>
      <c r="C403" s="81"/>
      <c r="D403" s="81"/>
      <c r="E403" s="81"/>
      <c r="F403" s="81"/>
      <c r="G403" s="81"/>
      <c r="H403" s="81"/>
      <c r="I403" s="81"/>
      <c r="J403" s="289"/>
      <c r="K403" s="81"/>
      <c r="L403" s="81"/>
      <c r="M403" s="289"/>
      <c r="N403" s="81"/>
      <c r="O403" s="81"/>
      <c r="P403" s="289"/>
      <c r="Q403" s="81"/>
      <c r="R403" s="81"/>
      <c r="S403" s="289"/>
      <c r="T403" s="81"/>
      <c r="U403" s="81"/>
      <c r="V403" s="81"/>
      <c r="W403" s="81"/>
      <c r="X403" s="81"/>
      <c r="Y403" s="81"/>
      <c r="Z403" s="81"/>
    </row>
    <row r="404" spans="1:26" ht="24" customHeight="1" x14ac:dyDescent="0.5">
      <c r="A404" s="81"/>
      <c r="B404" s="81"/>
      <c r="C404" s="81"/>
      <c r="D404" s="81"/>
      <c r="E404" s="81"/>
      <c r="F404" s="81"/>
      <c r="G404" s="81"/>
      <c r="H404" s="81"/>
      <c r="I404" s="81"/>
      <c r="J404" s="289"/>
      <c r="K404" s="81"/>
      <c r="L404" s="81"/>
      <c r="M404" s="289"/>
      <c r="N404" s="81"/>
      <c r="O404" s="81"/>
      <c r="P404" s="289"/>
      <c r="Q404" s="81"/>
      <c r="R404" s="81"/>
      <c r="S404" s="289"/>
      <c r="T404" s="81"/>
      <c r="U404" s="81"/>
      <c r="V404" s="81"/>
      <c r="W404" s="81"/>
      <c r="X404" s="81"/>
      <c r="Y404" s="81"/>
      <c r="Z404" s="81"/>
    </row>
    <row r="405" spans="1:26" ht="24" customHeight="1" x14ac:dyDescent="0.5">
      <c r="A405" s="81"/>
      <c r="B405" s="81"/>
      <c r="C405" s="81"/>
      <c r="D405" s="81"/>
      <c r="E405" s="81"/>
      <c r="F405" s="81"/>
      <c r="G405" s="81"/>
      <c r="H405" s="81"/>
      <c r="I405" s="81"/>
      <c r="J405" s="289"/>
      <c r="K405" s="81"/>
      <c r="L405" s="81"/>
      <c r="M405" s="289"/>
      <c r="N405" s="81"/>
      <c r="O405" s="81"/>
      <c r="P405" s="289"/>
      <c r="Q405" s="81"/>
      <c r="R405" s="81"/>
      <c r="S405" s="289"/>
      <c r="T405" s="81"/>
      <c r="U405" s="81"/>
      <c r="V405" s="81"/>
      <c r="W405" s="81"/>
      <c r="X405" s="81"/>
      <c r="Y405" s="81"/>
      <c r="Z405" s="81"/>
    </row>
    <row r="406" spans="1:26" ht="24" customHeight="1" x14ac:dyDescent="0.5">
      <c r="A406" s="81"/>
      <c r="B406" s="81"/>
      <c r="C406" s="81"/>
      <c r="D406" s="81"/>
      <c r="E406" s="81"/>
      <c r="F406" s="81"/>
      <c r="G406" s="81"/>
      <c r="H406" s="81"/>
      <c r="I406" s="81"/>
      <c r="J406" s="289"/>
      <c r="K406" s="81"/>
      <c r="L406" s="81"/>
      <c r="M406" s="289"/>
      <c r="N406" s="81"/>
      <c r="O406" s="81"/>
      <c r="P406" s="289"/>
      <c r="Q406" s="81"/>
      <c r="R406" s="81"/>
      <c r="S406" s="289"/>
      <c r="T406" s="81"/>
      <c r="U406" s="81"/>
      <c r="V406" s="81"/>
      <c r="W406" s="81"/>
      <c r="X406" s="81"/>
      <c r="Y406" s="81"/>
      <c r="Z406" s="81"/>
    </row>
    <row r="407" spans="1:26" ht="24" customHeight="1" x14ac:dyDescent="0.5">
      <c r="A407" s="81"/>
      <c r="B407" s="81"/>
      <c r="C407" s="81"/>
      <c r="D407" s="81"/>
      <c r="E407" s="81"/>
      <c r="F407" s="81"/>
      <c r="G407" s="81"/>
      <c r="H407" s="81"/>
      <c r="I407" s="81"/>
      <c r="J407" s="289"/>
      <c r="K407" s="81"/>
      <c r="L407" s="81"/>
      <c r="M407" s="289"/>
      <c r="N407" s="81"/>
      <c r="O407" s="81"/>
      <c r="P407" s="289"/>
      <c r="Q407" s="81"/>
      <c r="R407" s="81"/>
      <c r="S407" s="289"/>
      <c r="T407" s="81"/>
      <c r="U407" s="81"/>
      <c r="V407" s="81"/>
      <c r="W407" s="81"/>
      <c r="X407" s="81"/>
      <c r="Y407" s="81"/>
      <c r="Z407" s="81"/>
    </row>
    <row r="408" spans="1:26" ht="24" customHeight="1" x14ac:dyDescent="0.5">
      <c r="A408" s="81"/>
      <c r="B408" s="81"/>
      <c r="C408" s="81"/>
      <c r="D408" s="81"/>
      <c r="E408" s="81"/>
      <c r="F408" s="81"/>
      <c r="G408" s="81"/>
      <c r="H408" s="81"/>
      <c r="I408" s="81"/>
      <c r="J408" s="289"/>
      <c r="K408" s="81"/>
      <c r="L408" s="81"/>
      <c r="M408" s="289"/>
      <c r="N408" s="81"/>
      <c r="O408" s="81"/>
      <c r="P408" s="289"/>
      <c r="Q408" s="81"/>
      <c r="R408" s="81"/>
      <c r="S408" s="289"/>
      <c r="T408" s="81"/>
      <c r="U408" s="81"/>
      <c r="V408" s="81"/>
      <c r="W408" s="81"/>
      <c r="X408" s="81"/>
      <c r="Y408" s="81"/>
      <c r="Z408" s="81"/>
    </row>
    <row r="409" spans="1:26" ht="24" customHeight="1" x14ac:dyDescent="0.5">
      <c r="A409" s="81"/>
      <c r="B409" s="81"/>
      <c r="C409" s="81"/>
      <c r="D409" s="81"/>
      <c r="E409" s="81"/>
      <c r="F409" s="81"/>
      <c r="G409" s="81"/>
      <c r="H409" s="81"/>
      <c r="I409" s="81"/>
      <c r="J409" s="289"/>
      <c r="K409" s="81"/>
      <c r="L409" s="81"/>
      <c r="M409" s="289"/>
      <c r="N409" s="81"/>
      <c r="O409" s="81"/>
      <c r="P409" s="289"/>
      <c r="Q409" s="81"/>
      <c r="R409" s="81"/>
      <c r="S409" s="289"/>
      <c r="T409" s="81"/>
      <c r="U409" s="81"/>
      <c r="V409" s="81"/>
      <c r="W409" s="81"/>
      <c r="X409" s="81"/>
      <c r="Y409" s="81"/>
      <c r="Z409" s="81"/>
    </row>
    <row r="410" spans="1:26" ht="24" customHeight="1" x14ac:dyDescent="0.5">
      <c r="A410" s="81"/>
      <c r="B410" s="81"/>
      <c r="C410" s="81"/>
      <c r="D410" s="81"/>
      <c r="E410" s="81"/>
      <c r="F410" s="81"/>
      <c r="G410" s="81"/>
      <c r="H410" s="81"/>
      <c r="I410" s="81"/>
      <c r="J410" s="289"/>
      <c r="K410" s="81"/>
      <c r="L410" s="81"/>
      <c r="M410" s="289"/>
      <c r="N410" s="81"/>
      <c r="O410" s="81"/>
      <c r="P410" s="289"/>
      <c r="Q410" s="81"/>
      <c r="R410" s="81"/>
      <c r="S410" s="289"/>
      <c r="T410" s="81"/>
      <c r="U410" s="81"/>
      <c r="V410" s="81"/>
      <c r="W410" s="81"/>
      <c r="X410" s="81"/>
      <c r="Y410" s="81"/>
      <c r="Z410" s="81"/>
    </row>
    <row r="411" spans="1:26" ht="24" customHeight="1" x14ac:dyDescent="0.5">
      <c r="A411" s="81"/>
      <c r="B411" s="81"/>
      <c r="C411" s="81"/>
      <c r="D411" s="81"/>
      <c r="E411" s="81"/>
      <c r="F411" s="81"/>
      <c r="G411" s="81"/>
      <c r="H411" s="81"/>
      <c r="I411" s="81"/>
      <c r="J411" s="289"/>
      <c r="K411" s="81"/>
      <c r="L411" s="81"/>
      <c r="M411" s="289"/>
      <c r="N411" s="81"/>
      <c r="O411" s="81"/>
      <c r="P411" s="289"/>
      <c r="Q411" s="81"/>
      <c r="R411" s="81"/>
      <c r="S411" s="289"/>
      <c r="T411" s="81"/>
      <c r="U411" s="81"/>
      <c r="V411" s="81"/>
      <c r="W411" s="81"/>
      <c r="X411" s="81"/>
      <c r="Y411" s="81"/>
      <c r="Z411" s="81"/>
    </row>
    <row r="412" spans="1:26" ht="24" customHeight="1" x14ac:dyDescent="0.5">
      <c r="A412" s="81"/>
      <c r="B412" s="81"/>
      <c r="C412" s="81"/>
      <c r="D412" s="81"/>
      <c r="E412" s="81"/>
      <c r="F412" s="81"/>
      <c r="G412" s="81"/>
      <c r="H412" s="81"/>
      <c r="I412" s="81"/>
      <c r="J412" s="289"/>
      <c r="K412" s="81"/>
      <c r="L412" s="81"/>
      <c r="M412" s="289"/>
      <c r="N412" s="81"/>
      <c r="O412" s="81"/>
      <c r="P412" s="289"/>
      <c r="Q412" s="81"/>
      <c r="R412" s="81"/>
      <c r="S412" s="289"/>
      <c r="T412" s="81"/>
      <c r="U412" s="81"/>
      <c r="V412" s="81"/>
      <c r="W412" s="81"/>
      <c r="X412" s="81"/>
      <c r="Y412" s="81"/>
      <c r="Z412" s="81"/>
    </row>
    <row r="413" spans="1:26" ht="24" customHeight="1" x14ac:dyDescent="0.5">
      <c r="A413" s="81"/>
      <c r="B413" s="81"/>
      <c r="C413" s="81"/>
      <c r="D413" s="81"/>
      <c r="E413" s="81"/>
      <c r="F413" s="81"/>
      <c r="G413" s="81"/>
      <c r="H413" s="81"/>
      <c r="I413" s="81"/>
      <c r="J413" s="289"/>
      <c r="K413" s="81"/>
      <c r="L413" s="81"/>
      <c r="M413" s="289"/>
      <c r="N413" s="81"/>
      <c r="O413" s="81"/>
      <c r="P413" s="289"/>
      <c r="Q413" s="81"/>
      <c r="R413" s="81"/>
      <c r="S413" s="289"/>
      <c r="T413" s="81"/>
      <c r="U413" s="81"/>
      <c r="V413" s="81"/>
      <c r="W413" s="81"/>
      <c r="X413" s="81"/>
      <c r="Y413" s="81"/>
      <c r="Z413" s="81"/>
    </row>
    <row r="414" spans="1:26" ht="24" customHeight="1" x14ac:dyDescent="0.5">
      <c r="A414" s="81"/>
      <c r="B414" s="81"/>
      <c r="C414" s="81"/>
      <c r="D414" s="81"/>
      <c r="E414" s="81"/>
      <c r="F414" s="81"/>
      <c r="G414" s="81"/>
      <c r="H414" s="81"/>
      <c r="I414" s="81"/>
      <c r="J414" s="289"/>
      <c r="K414" s="81"/>
      <c r="L414" s="81"/>
      <c r="M414" s="289"/>
      <c r="N414" s="81"/>
      <c r="O414" s="81"/>
      <c r="P414" s="289"/>
      <c r="Q414" s="81"/>
      <c r="R414" s="81"/>
      <c r="S414" s="289"/>
      <c r="T414" s="81"/>
      <c r="U414" s="81"/>
      <c r="V414" s="81"/>
      <c r="W414" s="81"/>
      <c r="X414" s="81"/>
      <c r="Y414" s="81"/>
      <c r="Z414" s="81"/>
    </row>
    <row r="415" spans="1:26" ht="24" customHeight="1" x14ac:dyDescent="0.5">
      <c r="A415" s="81"/>
      <c r="B415" s="81"/>
      <c r="C415" s="81"/>
      <c r="D415" s="81"/>
      <c r="E415" s="81"/>
      <c r="F415" s="81"/>
      <c r="G415" s="81"/>
      <c r="H415" s="81"/>
      <c r="I415" s="81"/>
      <c r="J415" s="289"/>
      <c r="K415" s="81"/>
      <c r="L415" s="81"/>
      <c r="M415" s="289"/>
      <c r="N415" s="81"/>
      <c r="O415" s="81"/>
      <c r="P415" s="289"/>
      <c r="Q415" s="81"/>
      <c r="R415" s="81"/>
      <c r="S415" s="289"/>
      <c r="T415" s="81"/>
      <c r="U415" s="81"/>
      <c r="V415" s="81"/>
      <c r="W415" s="81"/>
      <c r="X415" s="81"/>
      <c r="Y415" s="81"/>
      <c r="Z415" s="81"/>
    </row>
    <row r="416" spans="1:26" ht="24" customHeight="1" x14ac:dyDescent="0.5">
      <c r="A416" s="81"/>
      <c r="B416" s="81"/>
      <c r="C416" s="81"/>
      <c r="D416" s="81"/>
      <c r="E416" s="81"/>
      <c r="F416" s="81"/>
      <c r="G416" s="81"/>
      <c r="H416" s="81"/>
      <c r="I416" s="81"/>
      <c r="J416" s="289"/>
      <c r="K416" s="81"/>
      <c r="L416" s="81"/>
      <c r="M416" s="289"/>
      <c r="N416" s="81"/>
      <c r="O416" s="81"/>
      <c r="P416" s="289"/>
      <c r="Q416" s="81"/>
      <c r="R416" s="81"/>
      <c r="S416" s="289"/>
      <c r="T416" s="81"/>
      <c r="U416" s="81"/>
      <c r="V416" s="81"/>
      <c r="W416" s="81"/>
      <c r="X416" s="81"/>
      <c r="Y416" s="81"/>
      <c r="Z416" s="81"/>
    </row>
    <row r="417" spans="1:26" ht="24" customHeight="1" x14ac:dyDescent="0.5">
      <c r="A417" s="81"/>
      <c r="B417" s="81"/>
      <c r="C417" s="81"/>
      <c r="D417" s="81"/>
      <c r="E417" s="81"/>
      <c r="F417" s="81"/>
      <c r="G417" s="81"/>
      <c r="H417" s="81"/>
      <c r="I417" s="81"/>
      <c r="J417" s="289"/>
      <c r="K417" s="81"/>
      <c r="L417" s="81"/>
      <c r="M417" s="289"/>
      <c r="N417" s="81"/>
      <c r="O417" s="81"/>
      <c r="P417" s="289"/>
      <c r="Q417" s="81"/>
      <c r="R417" s="81"/>
      <c r="S417" s="289"/>
      <c r="T417" s="81"/>
      <c r="U417" s="81"/>
      <c r="V417" s="81"/>
      <c r="W417" s="81"/>
      <c r="X417" s="81"/>
      <c r="Y417" s="81"/>
      <c r="Z417" s="81"/>
    </row>
    <row r="418" spans="1:26" ht="24" customHeight="1" x14ac:dyDescent="0.5">
      <c r="A418" s="81"/>
      <c r="B418" s="81"/>
      <c r="C418" s="81"/>
      <c r="D418" s="81"/>
      <c r="E418" s="81"/>
      <c r="F418" s="81"/>
      <c r="G418" s="81"/>
      <c r="H418" s="81"/>
      <c r="I418" s="81"/>
      <c r="J418" s="289"/>
      <c r="K418" s="81"/>
      <c r="L418" s="81"/>
      <c r="M418" s="289"/>
      <c r="N418" s="81"/>
      <c r="O418" s="81"/>
      <c r="P418" s="289"/>
      <c r="Q418" s="81"/>
      <c r="R418" s="81"/>
      <c r="S418" s="289"/>
      <c r="T418" s="81"/>
      <c r="U418" s="81"/>
      <c r="V418" s="81"/>
      <c r="W418" s="81"/>
      <c r="X418" s="81"/>
      <c r="Y418" s="81"/>
      <c r="Z418" s="81"/>
    </row>
    <row r="419" spans="1:26" ht="24" customHeight="1" x14ac:dyDescent="0.5">
      <c r="A419" s="81"/>
      <c r="B419" s="81"/>
      <c r="C419" s="81"/>
      <c r="D419" s="81"/>
      <c r="E419" s="81"/>
      <c r="F419" s="81"/>
      <c r="G419" s="81"/>
      <c r="H419" s="81"/>
      <c r="I419" s="81"/>
      <c r="J419" s="289"/>
      <c r="K419" s="81"/>
      <c r="L419" s="81"/>
      <c r="M419" s="289"/>
      <c r="N419" s="81"/>
      <c r="O419" s="81"/>
      <c r="P419" s="289"/>
      <c r="Q419" s="81"/>
      <c r="R419" s="81"/>
      <c r="S419" s="289"/>
      <c r="T419" s="81"/>
      <c r="U419" s="81"/>
      <c r="V419" s="81"/>
      <c r="W419" s="81"/>
      <c r="X419" s="81"/>
      <c r="Y419" s="81"/>
      <c r="Z419" s="81"/>
    </row>
    <row r="420" spans="1:26" ht="24" customHeight="1" x14ac:dyDescent="0.5">
      <c r="A420" s="81"/>
      <c r="B420" s="81"/>
      <c r="C420" s="81"/>
      <c r="D420" s="81"/>
      <c r="E420" s="81"/>
      <c r="F420" s="81"/>
      <c r="G420" s="81"/>
      <c r="H420" s="81"/>
      <c r="I420" s="81"/>
      <c r="J420" s="289"/>
      <c r="K420" s="81"/>
      <c r="L420" s="81"/>
      <c r="M420" s="289"/>
      <c r="N420" s="81"/>
      <c r="O420" s="81"/>
      <c r="P420" s="289"/>
      <c r="Q420" s="81"/>
      <c r="R420" s="81"/>
      <c r="S420" s="289"/>
      <c r="T420" s="81"/>
      <c r="U420" s="81"/>
      <c r="V420" s="81"/>
      <c r="W420" s="81"/>
      <c r="X420" s="81"/>
      <c r="Y420" s="81"/>
      <c r="Z420" s="81"/>
    </row>
    <row r="421" spans="1:26" ht="24" customHeight="1" x14ac:dyDescent="0.5">
      <c r="A421" s="81"/>
      <c r="B421" s="81"/>
      <c r="C421" s="81"/>
      <c r="D421" s="81"/>
      <c r="E421" s="81"/>
      <c r="F421" s="81"/>
      <c r="G421" s="81"/>
      <c r="H421" s="81"/>
      <c r="I421" s="81"/>
      <c r="J421" s="289"/>
      <c r="K421" s="81"/>
      <c r="L421" s="81"/>
      <c r="M421" s="289"/>
      <c r="N421" s="81"/>
      <c r="O421" s="81"/>
      <c r="P421" s="289"/>
      <c r="Q421" s="81"/>
      <c r="R421" s="81"/>
      <c r="S421" s="289"/>
      <c r="T421" s="81"/>
      <c r="U421" s="81"/>
      <c r="V421" s="81"/>
      <c r="W421" s="81"/>
      <c r="X421" s="81"/>
      <c r="Y421" s="81"/>
      <c r="Z421" s="81"/>
    </row>
    <row r="422" spans="1:26" ht="24" customHeight="1" x14ac:dyDescent="0.5">
      <c r="A422" s="81"/>
      <c r="B422" s="81"/>
      <c r="C422" s="81"/>
      <c r="D422" s="81"/>
      <c r="E422" s="81"/>
      <c r="F422" s="81"/>
      <c r="G422" s="81"/>
      <c r="H422" s="81"/>
      <c r="I422" s="81"/>
      <c r="J422" s="289"/>
      <c r="K422" s="81"/>
      <c r="L422" s="81"/>
      <c r="M422" s="289"/>
      <c r="N422" s="81"/>
      <c r="O422" s="81"/>
      <c r="P422" s="289"/>
      <c r="Q422" s="81"/>
      <c r="R422" s="81"/>
      <c r="S422" s="289"/>
      <c r="T422" s="81"/>
      <c r="U422" s="81"/>
      <c r="V422" s="81"/>
      <c r="W422" s="81"/>
      <c r="X422" s="81"/>
      <c r="Y422" s="81"/>
      <c r="Z422" s="81"/>
    </row>
    <row r="423" spans="1:26" ht="24" customHeight="1" x14ac:dyDescent="0.5">
      <c r="A423" s="81"/>
      <c r="B423" s="81"/>
      <c r="C423" s="81"/>
      <c r="D423" s="81"/>
      <c r="E423" s="81"/>
      <c r="F423" s="81"/>
      <c r="G423" s="81"/>
      <c r="H423" s="81"/>
      <c r="I423" s="81"/>
      <c r="J423" s="289"/>
      <c r="K423" s="81"/>
      <c r="L423" s="81"/>
      <c r="M423" s="289"/>
      <c r="N423" s="81"/>
      <c r="O423" s="81"/>
      <c r="P423" s="289"/>
      <c r="Q423" s="81"/>
      <c r="R423" s="81"/>
      <c r="S423" s="289"/>
      <c r="T423" s="81"/>
      <c r="U423" s="81"/>
      <c r="V423" s="81"/>
      <c r="W423" s="81"/>
      <c r="X423" s="81"/>
      <c r="Y423" s="81"/>
      <c r="Z423" s="81"/>
    </row>
    <row r="424" spans="1:26" ht="24" customHeight="1" x14ac:dyDescent="0.5">
      <c r="A424" s="81"/>
      <c r="B424" s="81"/>
      <c r="C424" s="81"/>
      <c r="D424" s="81"/>
      <c r="E424" s="81"/>
      <c r="F424" s="81"/>
      <c r="G424" s="81"/>
      <c r="H424" s="81"/>
      <c r="I424" s="81"/>
      <c r="J424" s="289"/>
      <c r="K424" s="81"/>
      <c r="L424" s="81"/>
      <c r="M424" s="289"/>
      <c r="N424" s="81"/>
      <c r="O424" s="81"/>
      <c r="P424" s="289"/>
      <c r="Q424" s="81"/>
      <c r="R424" s="81"/>
      <c r="S424" s="289"/>
      <c r="T424" s="81"/>
      <c r="U424" s="81"/>
      <c r="V424" s="81"/>
      <c r="W424" s="81"/>
      <c r="X424" s="81"/>
      <c r="Y424" s="81"/>
      <c r="Z424" s="81"/>
    </row>
    <row r="425" spans="1:26" ht="24" customHeight="1" x14ac:dyDescent="0.5">
      <c r="A425" s="81"/>
      <c r="B425" s="81"/>
      <c r="C425" s="81"/>
      <c r="D425" s="81"/>
      <c r="E425" s="81"/>
      <c r="F425" s="81"/>
      <c r="G425" s="81"/>
      <c r="H425" s="81"/>
      <c r="I425" s="81"/>
      <c r="J425" s="289"/>
      <c r="K425" s="81"/>
      <c r="L425" s="81"/>
      <c r="M425" s="289"/>
      <c r="N425" s="81"/>
      <c r="O425" s="81"/>
      <c r="P425" s="289"/>
      <c r="Q425" s="81"/>
      <c r="R425" s="81"/>
      <c r="S425" s="289"/>
      <c r="T425" s="81"/>
      <c r="U425" s="81"/>
      <c r="V425" s="81"/>
      <c r="W425" s="81"/>
      <c r="X425" s="81"/>
      <c r="Y425" s="81"/>
      <c r="Z425" s="81"/>
    </row>
    <row r="426" spans="1:26" ht="24" customHeight="1" x14ac:dyDescent="0.5">
      <c r="A426" s="81"/>
      <c r="B426" s="81"/>
      <c r="C426" s="81"/>
      <c r="D426" s="81"/>
      <c r="E426" s="81"/>
      <c r="F426" s="81"/>
      <c r="G426" s="81"/>
      <c r="H426" s="81"/>
      <c r="I426" s="81"/>
      <c r="J426" s="289"/>
      <c r="K426" s="81"/>
      <c r="L426" s="81"/>
      <c r="M426" s="289"/>
      <c r="N426" s="81"/>
      <c r="O426" s="81"/>
      <c r="P426" s="289"/>
      <c r="Q426" s="81"/>
      <c r="R426" s="81"/>
      <c r="S426" s="289"/>
      <c r="T426" s="81"/>
      <c r="U426" s="81"/>
      <c r="V426" s="81"/>
      <c r="W426" s="81"/>
      <c r="X426" s="81"/>
      <c r="Y426" s="81"/>
      <c r="Z426" s="81"/>
    </row>
    <row r="427" spans="1:26" ht="24" customHeight="1" x14ac:dyDescent="0.5">
      <c r="A427" s="81"/>
      <c r="B427" s="81"/>
      <c r="C427" s="81"/>
      <c r="D427" s="81"/>
      <c r="E427" s="81"/>
      <c r="F427" s="81"/>
      <c r="G427" s="81"/>
      <c r="H427" s="81"/>
      <c r="I427" s="81"/>
      <c r="J427" s="289"/>
      <c r="K427" s="81"/>
      <c r="L427" s="81"/>
      <c r="M427" s="289"/>
      <c r="N427" s="81"/>
      <c r="O427" s="81"/>
      <c r="P427" s="289"/>
      <c r="Q427" s="81"/>
      <c r="R427" s="81"/>
      <c r="S427" s="289"/>
      <c r="T427" s="81"/>
      <c r="U427" s="81"/>
      <c r="V427" s="81"/>
      <c r="W427" s="81"/>
      <c r="X427" s="81"/>
      <c r="Y427" s="81"/>
      <c r="Z427" s="81"/>
    </row>
    <row r="428" spans="1:26" ht="24" customHeight="1" x14ac:dyDescent="0.5">
      <c r="A428" s="81"/>
      <c r="B428" s="81"/>
      <c r="C428" s="81"/>
      <c r="D428" s="81"/>
      <c r="E428" s="81"/>
      <c r="F428" s="81"/>
      <c r="G428" s="81"/>
      <c r="H428" s="81"/>
      <c r="I428" s="81"/>
      <c r="J428" s="289"/>
      <c r="K428" s="81"/>
      <c r="L428" s="81"/>
      <c r="M428" s="289"/>
      <c r="N428" s="81"/>
      <c r="O428" s="81"/>
      <c r="P428" s="289"/>
      <c r="Q428" s="81"/>
      <c r="R428" s="81"/>
      <c r="S428" s="289"/>
      <c r="T428" s="81"/>
      <c r="U428" s="81"/>
      <c r="V428" s="81"/>
      <c r="W428" s="81"/>
      <c r="X428" s="81"/>
      <c r="Y428" s="81"/>
      <c r="Z428" s="81"/>
    </row>
    <row r="429" spans="1:26" ht="24" customHeight="1" x14ac:dyDescent="0.5">
      <c r="A429" s="81"/>
      <c r="B429" s="81"/>
      <c r="C429" s="81"/>
      <c r="D429" s="81"/>
      <c r="E429" s="81"/>
      <c r="F429" s="81"/>
      <c r="G429" s="81"/>
      <c r="H429" s="81"/>
      <c r="I429" s="81"/>
      <c r="J429" s="289"/>
      <c r="K429" s="81"/>
      <c r="L429" s="81"/>
      <c r="M429" s="289"/>
      <c r="N429" s="81"/>
      <c r="O429" s="81"/>
      <c r="P429" s="289"/>
      <c r="Q429" s="81"/>
      <c r="R429" s="81"/>
      <c r="S429" s="289"/>
      <c r="T429" s="81"/>
      <c r="U429" s="81"/>
      <c r="V429" s="81"/>
      <c r="W429" s="81"/>
      <c r="X429" s="81"/>
      <c r="Y429" s="81"/>
      <c r="Z429" s="81"/>
    </row>
    <row r="430" spans="1:26" ht="24" customHeight="1" x14ac:dyDescent="0.5">
      <c r="A430" s="81"/>
      <c r="B430" s="81"/>
      <c r="C430" s="81"/>
      <c r="D430" s="81"/>
      <c r="E430" s="81"/>
      <c r="F430" s="81"/>
      <c r="G430" s="81"/>
      <c r="H430" s="81"/>
      <c r="I430" s="81"/>
      <c r="J430" s="289"/>
      <c r="K430" s="81"/>
      <c r="L430" s="81"/>
      <c r="M430" s="289"/>
      <c r="N430" s="81"/>
      <c r="O430" s="81"/>
      <c r="P430" s="289"/>
      <c r="Q430" s="81"/>
      <c r="R430" s="81"/>
      <c r="S430" s="289"/>
      <c r="T430" s="81"/>
      <c r="U430" s="81"/>
      <c r="V430" s="81"/>
      <c r="W430" s="81"/>
      <c r="X430" s="81"/>
      <c r="Y430" s="81"/>
      <c r="Z430" s="81"/>
    </row>
    <row r="431" spans="1:26" ht="24" customHeight="1" x14ac:dyDescent="0.5">
      <c r="A431" s="81"/>
      <c r="B431" s="81"/>
      <c r="C431" s="81"/>
      <c r="D431" s="81"/>
      <c r="E431" s="81"/>
      <c r="F431" s="81"/>
      <c r="G431" s="81"/>
      <c r="H431" s="81"/>
      <c r="I431" s="81"/>
      <c r="J431" s="289"/>
      <c r="K431" s="81"/>
      <c r="L431" s="81"/>
      <c r="M431" s="289"/>
      <c r="N431" s="81"/>
      <c r="O431" s="81"/>
      <c r="P431" s="289"/>
      <c r="Q431" s="81"/>
      <c r="R431" s="81"/>
      <c r="S431" s="289"/>
      <c r="T431" s="81"/>
      <c r="U431" s="81"/>
      <c r="V431" s="81"/>
      <c r="W431" s="81"/>
      <c r="X431" s="81"/>
      <c r="Y431" s="81"/>
      <c r="Z431" s="81"/>
    </row>
    <row r="432" spans="1:26" ht="24" customHeight="1" x14ac:dyDescent="0.5">
      <c r="A432" s="81"/>
      <c r="B432" s="81"/>
      <c r="C432" s="81"/>
      <c r="D432" s="81"/>
      <c r="E432" s="81"/>
      <c r="F432" s="81"/>
      <c r="G432" s="81"/>
      <c r="H432" s="81"/>
      <c r="I432" s="81"/>
      <c r="J432" s="289"/>
      <c r="K432" s="81"/>
      <c r="L432" s="81"/>
      <c r="M432" s="289"/>
      <c r="N432" s="81"/>
      <c r="O432" s="81"/>
      <c r="P432" s="289"/>
      <c r="Q432" s="81"/>
      <c r="R432" s="81"/>
      <c r="S432" s="289"/>
      <c r="T432" s="81"/>
      <c r="U432" s="81"/>
      <c r="V432" s="81"/>
      <c r="W432" s="81"/>
      <c r="X432" s="81"/>
      <c r="Y432" s="81"/>
      <c r="Z432" s="81"/>
    </row>
    <row r="433" spans="1:26" ht="24" customHeight="1" x14ac:dyDescent="0.5">
      <c r="A433" s="81"/>
      <c r="B433" s="81"/>
      <c r="C433" s="81"/>
      <c r="D433" s="81"/>
      <c r="E433" s="81"/>
      <c r="F433" s="81"/>
      <c r="G433" s="81"/>
      <c r="H433" s="81"/>
      <c r="I433" s="81"/>
      <c r="J433" s="289"/>
      <c r="K433" s="81"/>
      <c r="L433" s="81"/>
      <c r="M433" s="289"/>
      <c r="N433" s="81"/>
      <c r="O433" s="81"/>
      <c r="P433" s="289"/>
      <c r="Q433" s="81"/>
      <c r="R433" s="81"/>
      <c r="S433" s="289"/>
      <c r="T433" s="81"/>
      <c r="U433" s="81"/>
      <c r="V433" s="81"/>
      <c r="W433" s="81"/>
      <c r="X433" s="81"/>
      <c r="Y433" s="81"/>
      <c r="Z433" s="81"/>
    </row>
    <row r="434" spans="1:26" ht="24" customHeight="1" x14ac:dyDescent="0.5">
      <c r="A434" s="81"/>
      <c r="B434" s="81"/>
      <c r="C434" s="81"/>
      <c r="D434" s="81"/>
      <c r="E434" s="81"/>
      <c r="F434" s="81"/>
      <c r="G434" s="81"/>
      <c r="H434" s="81"/>
      <c r="I434" s="81"/>
      <c r="J434" s="289"/>
      <c r="K434" s="81"/>
      <c r="L434" s="81"/>
      <c r="M434" s="289"/>
      <c r="N434" s="81"/>
      <c r="O434" s="81"/>
      <c r="P434" s="289"/>
      <c r="Q434" s="81"/>
      <c r="R434" s="81"/>
      <c r="S434" s="289"/>
      <c r="T434" s="81"/>
      <c r="U434" s="81"/>
      <c r="V434" s="81"/>
      <c r="W434" s="81"/>
      <c r="X434" s="81"/>
      <c r="Y434" s="81"/>
      <c r="Z434" s="81"/>
    </row>
    <row r="435" spans="1:26" ht="24" customHeight="1" x14ac:dyDescent="0.5">
      <c r="A435" s="81"/>
      <c r="B435" s="81"/>
      <c r="C435" s="81"/>
      <c r="D435" s="81"/>
      <c r="E435" s="81"/>
      <c r="F435" s="81"/>
      <c r="G435" s="81"/>
      <c r="H435" s="81"/>
      <c r="I435" s="81"/>
      <c r="J435" s="289"/>
      <c r="K435" s="81"/>
      <c r="L435" s="81"/>
      <c r="M435" s="289"/>
      <c r="N435" s="81"/>
      <c r="O435" s="81"/>
      <c r="P435" s="289"/>
      <c r="Q435" s="81"/>
      <c r="R435" s="81"/>
      <c r="S435" s="289"/>
      <c r="T435" s="81"/>
      <c r="U435" s="81"/>
      <c r="V435" s="81"/>
      <c r="W435" s="81"/>
      <c r="X435" s="81"/>
      <c r="Y435" s="81"/>
      <c r="Z435" s="81"/>
    </row>
    <row r="436" spans="1:26" ht="24" customHeight="1" x14ac:dyDescent="0.5">
      <c r="A436" s="81"/>
      <c r="B436" s="81"/>
      <c r="C436" s="81"/>
      <c r="D436" s="81"/>
      <c r="E436" s="81"/>
      <c r="F436" s="81"/>
      <c r="G436" s="81"/>
      <c r="H436" s="81"/>
      <c r="I436" s="81"/>
      <c r="J436" s="289"/>
      <c r="K436" s="81"/>
      <c r="L436" s="81"/>
      <c r="M436" s="289"/>
      <c r="N436" s="81"/>
      <c r="O436" s="81"/>
      <c r="P436" s="289"/>
      <c r="Q436" s="81"/>
      <c r="R436" s="81"/>
      <c r="S436" s="289"/>
      <c r="T436" s="81"/>
      <c r="U436" s="81"/>
      <c r="V436" s="81"/>
      <c r="W436" s="81"/>
      <c r="X436" s="81"/>
      <c r="Y436" s="81"/>
      <c r="Z436" s="81"/>
    </row>
    <row r="437" spans="1:26" ht="24" customHeight="1" x14ac:dyDescent="0.5">
      <c r="A437" s="81"/>
      <c r="B437" s="81"/>
      <c r="C437" s="81"/>
      <c r="D437" s="81"/>
      <c r="E437" s="81"/>
      <c r="F437" s="81"/>
      <c r="G437" s="81"/>
      <c r="H437" s="81"/>
      <c r="I437" s="81"/>
      <c r="J437" s="289"/>
      <c r="K437" s="81"/>
      <c r="L437" s="81"/>
      <c r="M437" s="289"/>
      <c r="N437" s="81"/>
      <c r="O437" s="81"/>
      <c r="P437" s="289"/>
      <c r="Q437" s="81"/>
      <c r="R437" s="81"/>
      <c r="S437" s="289"/>
      <c r="T437" s="81"/>
      <c r="U437" s="81"/>
      <c r="V437" s="81"/>
      <c r="W437" s="81"/>
      <c r="X437" s="81"/>
      <c r="Y437" s="81"/>
      <c r="Z437" s="81"/>
    </row>
    <row r="438" spans="1:26" ht="24" customHeight="1" x14ac:dyDescent="0.5">
      <c r="A438" s="81"/>
      <c r="B438" s="81"/>
      <c r="C438" s="81"/>
      <c r="D438" s="81"/>
      <c r="E438" s="81"/>
      <c r="F438" s="81"/>
      <c r="G438" s="81"/>
      <c r="H438" s="81"/>
      <c r="I438" s="81"/>
      <c r="J438" s="289"/>
      <c r="K438" s="81"/>
      <c r="L438" s="81"/>
      <c r="M438" s="289"/>
      <c r="N438" s="81"/>
      <c r="O438" s="81"/>
      <c r="P438" s="289"/>
      <c r="Q438" s="81"/>
      <c r="R438" s="81"/>
      <c r="S438" s="289"/>
      <c r="T438" s="81"/>
      <c r="U438" s="81"/>
      <c r="V438" s="81"/>
      <c r="W438" s="81"/>
      <c r="X438" s="81"/>
      <c r="Y438" s="81"/>
      <c r="Z438" s="81"/>
    </row>
    <row r="439" spans="1:26" ht="24" customHeight="1" x14ac:dyDescent="0.5">
      <c r="A439" s="81"/>
      <c r="B439" s="81"/>
      <c r="C439" s="81"/>
      <c r="D439" s="81"/>
      <c r="E439" s="81"/>
      <c r="F439" s="81"/>
      <c r="G439" s="81"/>
      <c r="H439" s="81"/>
      <c r="I439" s="81"/>
      <c r="J439" s="289"/>
      <c r="K439" s="81"/>
      <c r="L439" s="81"/>
      <c r="M439" s="289"/>
      <c r="N439" s="81"/>
      <c r="O439" s="81"/>
      <c r="P439" s="289"/>
      <c r="Q439" s="81"/>
      <c r="R439" s="81"/>
      <c r="S439" s="289"/>
      <c r="T439" s="81"/>
      <c r="U439" s="81"/>
      <c r="V439" s="81"/>
      <c r="W439" s="81"/>
      <c r="X439" s="81"/>
      <c r="Y439" s="81"/>
      <c r="Z439" s="81"/>
    </row>
    <row r="440" spans="1:26" ht="24" customHeight="1" x14ac:dyDescent="0.5">
      <c r="A440" s="81"/>
      <c r="B440" s="81"/>
      <c r="C440" s="81"/>
      <c r="D440" s="81"/>
      <c r="E440" s="81"/>
      <c r="F440" s="81"/>
      <c r="G440" s="81"/>
      <c r="H440" s="81"/>
      <c r="I440" s="81"/>
      <c r="J440" s="289"/>
      <c r="K440" s="81"/>
      <c r="L440" s="81"/>
      <c r="M440" s="289"/>
      <c r="N440" s="81"/>
      <c r="O440" s="81"/>
      <c r="P440" s="289"/>
      <c r="Q440" s="81"/>
      <c r="R440" s="81"/>
      <c r="S440" s="289"/>
      <c r="T440" s="81"/>
      <c r="U440" s="81"/>
      <c r="V440" s="81"/>
      <c r="W440" s="81"/>
      <c r="X440" s="81"/>
      <c r="Y440" s="81"/>
      <c r="Z440" s="81"/>
    </row>
    <row r="441" spans="1:26" ht="24" customHeight="1" x14ac:dyDescent="0.5">
      <c r="A441" s="81"/>
      <c r="B441" s="81"/>
      <c r="C441" s="81"/>
      <c r="D441" s="81"/>
      <c r="E441" s="81"/>
      <c r="F441" s="81"/>
      <c r="G441" s="81"/>
      <c r="H441" s="81"/>
      <c r="I441" s="81"/>
      <c r="J441" s="289"/>
      <c r="K441" s="81"/>
      <c r="L441" s="81"/>
      <c r="M441" s="289"/>
      <c r="N441" s="81"/>
      <c r="O441" s="81"/>
      <c r="P441" s="289"/>
      <c r="Q441" s="81"/>
      <c r="R441" s="81"/>
      <c r="S441" s="289"/>
      <c r="T441" s="81"/>
      <c r="U441" s="81"/>
      <c r="V441" s="81"/>
      <c r="W441" s="81"/>
      <c r="X441" s="81"/>
      <c r="Y441" s="81"/>
      <c r="Z441" s="81"/>
    </row>
    <row r="442" spans="1:26" ht="24" customHeight="1" x14ac:dyDescent="0.5">
      <c r="A442" s="81"/>
      <c r="B442" s="81"/>
      <c r="C442" s="81"/>
      <c r="D442" s="81"/>
      <c r="E442" s="81"/>
      <c r="F442" s="81"/>
      <c r="G442" s="81"/>
      <c r="H442" s="81"/>
      <c r="I442" s="81"/>
      <c r="J442" s="289"/>
      <c r="K442" s="81"/>
      <c r="L442" s="81"/>
      <c r="M442" s="289"/>
      <c r="N442" s="81"/>
      <c r="O442" s="81"/>
      <c r="P442" s="289"/>
      <c r="Q442" s="81"/>
      <c r="R442" s="81"/>
      <c r="S442" s="289"/>
      <c r="T442" s="81"/>
      <c r="U442" s="81"/>
      <c r="V442" s="81"/>
      <c r="W442" s="81"/>
      <c r="X442" s="81"/>
      <c r="Y442" s="81"/>
      <c r="Z442" s="81"/>
    </row>
    <row r="443" spans="1:26" ht="24" customHeight="1" x14ac:dyDescent="0.5">
      <c r="A443" s="81"/>
      <c r="B443" s="81"/>
      <c r="C443" s="81"/>
      <c r="D443" s="81"/>
      <c r="E443" s="81"/>
      <c r="F443" s="81"/>
      <c r="G443" s="81"/>
      <c r="H443" s="81"/>
      <c r="I443" s="81"/>
      <c r="J443" s="289"/>
      <c r="K443" s="81"/>
      <c r="L443" s="81"/>
      <c r="M443" s="289"/>
      <c r="N443" s="81"/>
      <c r="O443" s="81"/>
      <c r="P443" s="289"/>
      <c r="Q443" s="81"/>
      <c r="R443" s="81"/>
      <c r="S443" s="289"/>
      <c r="T443" s="81"/>
      <c r="U443" s="81"/>
      <c r="V443" s="81"/>
      <c r="W443" s="81"/>
      <c r="X443" s="81"/>
      <c r="Y443" s="81"/>
      <c r="Z443" s="81"/>
    </row>
    <row r="444" spans="1:26" ht="24" customHeight="1" x14ac:dyDescent="0.5">
      <c r="A444" s="81"/>
      <c r="B444" s="81"/>
      <c r="C444" s="81"/>
      <c r="D444" s="81"/>
      <c r="E444" s="81"/>
      <c r="F444" s="81"/>
      <c r="G444" s="81"/>
      <c r="H444" s="81"/>
      <c r="I444" s="81"/>
      <c r="J444" s="289"/>
      <c r="K444" s="81"/>
      <c r="L444" s="81"/>
      <c r="M444" s="289"/>
      <c r="N444" s="81"/>
      <c r="O444" s="81"/>
      <c r="P444" s="289"/>
      <c r="Q444" s="81"/>
      <c r="R444" s="81"/>
      <c r="S444" s="289"/>
      <c r="T444" s="81"/>
      <c r="U444" s="81"/>
      <c r="V444" s="81"/>
      <c r="W444" s="81"/>
      <c r="X444" s="81"/>
      <c r="Y444" s="81"/>
      <c r="Z444" s="81"/>
    </row>
    <row r="445" spans="1:26" ht="24" customHeight="1" x14ac:dyDescent="0.5">
      <c r="A445" s="81"/>
      <c r="B445" s="81"/>
      <c r="C445" s="81"/>
      <c r="D445" s="81"/>
      <c r="E445" s="81"/>
      <c r="F445" s="81"/>
      <c r="G445" s="81"/>
      <c r="H445" s="81"/>
      <c r="I445" s="81"/>
      <c r="J445" s="289"/>
      <c r="K445" s="81"/>
      <c r="L445" s="81"/>
      <c r="M445" s="289"/>
      <c r="N445" s="81"/>
      <c r="O445" s="81"/>
      <c r="P445" s="289"/>
      <c r="Q445" s="81"/>
      <c r="R445" s="81"/>
      <c r="S445" s="289"/>
      <c r="T445" s="81"/>
      <c r="U445" s="81"/>
      <c r="V445" s="81"/>
      <c r="W445" s="81"/>
      <c r="X445" s="81"/>
      <c r="Y445" s="81"/>
      <c r="Z445" s="81"/>
    </row>
    <row r="446" spans="1:26" ht="24" customHeight="1" x14ac:dyDescent="0.5">
      <c r="A446" s="81"/>
      <c r="B446" s="81"/>
      <c r="C446" s="81"/>
      <c r="D446" s="81"/>
      <c r="E446" s="81"/>
      <c r="F446" s="81"/>
      <c r="G446" s="81"/>
      <c r="H446" s="81"/>
      <c r="I446" s="81"/>
      <c r="J446" s="289"/>
      <c r="K446" s="81"/>
      <c r="L446" s="81"/>
      <c r="M446" s="289"/>
      <c r="N446" s="81"/>
      <c r="O446" s="81"/>
      <c r="P446" s="289"/>
      <c r="Q446" s="81"/>
      <c r="R446" s="81"/>
      <c r="S446" s="289"/>
      <c r="T446" s="81"/>
      <c r="U446" s="81"/>
      <c r="V446" s="81"/>
      <c r="W446" s="81"/>
      <c r="X446" s="81"/>
      <c r="Y446" s="81"/>
      <c r="Z446" s="81"/>
    </row>
    <row r="447" spans="1:26" ht="24" customHeight="1" x14ac:dyDescent="0.5">
      <c r="A447" s="81"/>
      <c r="B447" s="81"/>
      <c r="C447" s="81"/>
      <c r="D447" s="81"/>
      <c r="E447" s="81"/>
      <c r="F447" s="81"/>
      <c r="G447" s="81"/>
      <c r="H447" s="81"/>
      <c r="I447" s="81"/>
      <c r="J447" s="289"/>
      <c r="K447" s="81"/>
      <c r="L447" s="81"/>
      <c r="M447" s="289"/>
      <c r="N447" s="81"/>
      <c r="O447" s="81"/>
      <c r="P447" s="289"/>
      <c r="Q447" s="81"/>
      <c r="R447" s="81"/>
      <c r="S447" s="289"/>
      <c r="T447" s="81"/>
      <c r="U447" s="81"/>
      <c r="V447" s="81"/>
      <c r="W447" s="81"/>
      <c r="X447" s="81"/>
      <c r="Y447" s="81"/>
      <c r="Z447" s="81"/>
    </row>
    <row r="448" spans="1:26" ht="24" customHeight="1" x14ac:dyDescent="0.5">
      <c r="A448" s="81"/>
      <c r="B448" s="81"/>
      <c r="C448" s="81"/>
      <c r="D448" s="81"/>
      <c r="E448" s="81"/>
      <c r="F448" s="81"/>
      <c r="G448" s="81"/>
      <c r="H448" s="81"/>
      <c r="I448" s="81"/>
      <c r="J448" s="289"/>
      <c r="K448" s="81"/>
      <c r="L448" s="81"/>
      <c r="M448" s="289"/>
      <c r="N448" s="81"/>
      <c r="O448" s="81"/>
      <c r="P448" s="289"/>
      <c r="Q448" s="81"/>
      <c r="R448" s="81"/>
      <c r="S448" s="289"/>
      <c r="T448" s="81"/>
      <c r="U448" s="81"/>
      <c r="V448" s="81"/>
      <c r="W448" s="81"/>
      <c r="X448" s="81"/>
      <c r="Y448" s="81"/>
      <c r="Z448" s="81"/>
    </row>
    <row r="449" spans="1:26" ht="24" customHeight="1" x14ac:dyDescent="0.5">
      <c r="A449" s="81"/>
      <c r="B449" s="81"/>
      <c r="C449" s="81"/>
      <c r="D449" s="81"/>
      <c r="E449" s="81"/>
      <c r="F449" s="81"/>
      <c r="G449" s="81"/>
      <c r="H449" s="81"/>
      <c r="I449" s="81"/>
      <c r="J449" s="289"/>
      <c r="K449" s="81"/>
      <c r="L449" s="81"/>
      <c r="M449" s="289"/>
      <c r="N449" s="81"/>
      <c r="O449" s="81"/>
      <c r="P449" s="289"/>
      <c r="Q449" s="81"/>
      <c r="R449" s="81"/>
      <c r="S449" s="289"/>
      <c r="T449" s="81"/>
      <c r="U449" s="81"/>
      <c r="V449" s="81"/>
      <c r="W449" s="81"/>
      <c r="X449" s="81"/>
      <c r="Y449" s="81"/>
      <c r="Z449" s="81"/>
    </row>
    <row r="450" spans="1:26" ht="24" customHeight="1" x14ac:dyDescent="0.5">
      <c r="A450" s="81"/>
      <c r="B450" s="81"/>
      <c r="C450" s="81"/>
      <c r="D450" s="81"/>
      <c r="E450" s="81"/>
      <c r="F450" s="81"/>
      <c r="G450" s="81"/>
      <c r="H450" s="81"/>
      <c r="I450" s="81"/>
      <c r="J450" s="289"/>
      <c r="K450" s="81"/>
      <c r="L450" s="81"/>
      <c r="M450" s="289"/>
      <c r="N450" s="81"/>
      <c r="O450" s="81"/>
      <c r="P450" s="289"/>
      <c r="Q450" s="81"/>
      <c r="R450" s="81"/>
      <c r="S450" s="289"/>
      <c r="T450" s="81"/>
      <c r="U450" s="81"/>
      <c r="V450" s="81"/>
      <c r="W450" s="81"/>
      <c r="X450" s="81"/>
      <c r="Y450" s="81"/>
      <c r="Z450" s="81"/>
    </row>
    <row r="451" spans="1:26" ht="24" customHeight="1" x14ac:dyDescent="0.5">
      <c r="A451" s="81"/>
      <c r="B451" s="81"/>
      <c r="C451" s="81"/>
      <c r="D451" s="81"/>
      <c r="E451" s="81"/>
      <c r="F451" s="81"/>
      <c r="G451" s="81"/>
      <c r="H451" s="81"/>
      <c r="I451" s="81"/>
      <c r="J451" s="289"/>
      <c r="K451" s="81"/>
      <c r="L451" s="81"/>
      <c r="M451" s="289"/>
      <c r="N451" s="81"/>
      <c r="O451" s="81"/>
      <c r="P451" s="289"/>
      <c r="Q451" s="81"/>
      <c r="R451" s="81"/>
      <c r="S451" s="289"/>
      <c r="T451" s="81"/>
      <c r="U451" s="81"/>
      <c r="V451" s="81"/>
      <c r="W451" s="81"/>
      <c r="X451" s="81"/>
      <c r="Y451" s="81"/>
      <c r="Z451" s="81"/>
    </row>
    <row r="452" spans="1:26" ht="24" customHeight="1" x14ac:dyDescent="0.5">
      <c r="A452" s="81"/>
      <c r="B452" s="81"/>
      <c r="C452" s="81"/>
      <c r="D452" s="81"/>
      <c r="E452" s="81"/>
      <c r="F452" s="81"/>
      <c r="G452" s="81"/>
      <c r="H452" s="81"/>
      <c r="I452" s="81"/>
      <c r="J452" s="289"/>
      <c r="K452" s="81"/>
      <c r="L452" s="81"/>
      <c r="M452" s="289"/>
      <c r="N452" s="81"/>
      <c r="O452" s="81"/>
      <c r="P452" s="289"/>
      <c r="Q452" s="81"/>
      <c r="R452" s="81"/>
      <c r="S452" s="289"/>
      <c r="T452" s="81"/>
      <c r="U452" s="81"/>
      <c r="V452" s="81"/>
      <c r="W452" s="81"/>
      <c r="X452" s="81"/>
      <c r="Y452" s="81"/>
      <c r="Z452" s="81"/>
    </row>
    <row r="453" spans="1:26" ht="24" customHeight="1" x14ac:dyDescent="0.5">
      <c r="A453" s="81"/>
      <c r="B453" s="81"/>
      <c r="C453" s="81"/>
      <c r="D453" s="81"/>
      <c r="E453" s="81"/>
      <c r="F453" s="81"/>
      <c r="G453" s="81"/>
      <c r="H453" s="81"/>
      <c r="I453" s="81"/>
      <c r="J453" s="289"/>
      <c r="K453" s="81"/>
      <c r="L453" s="81"/>
      <c r="M453" s="289"/>
      <c r="N453" s="81"/>
      <c r="O453" s="81"/>
      <c r="P453" s="289"/>
      <c r="Q453" s="81"/>
      <c r="R453" s="81"/>
      <c r="S453" s="289"/>
      <c r="T453" s="81"/>
      <c r="U453" s="81"/>
      <c r="V453" s="81"/>
      <c r="W453" s="81"/>
      <c r="X453" s="81"/>
      <c r="Y453" s="81"/>
      <c r="Z453" s="81"/>
    </row>
    <row r="454" spans="1:26" ht="24" customHeight="1" x14ac:dyDescent="0.5">
      <c r="A454" s="81"/>
      <c r="B454" s="81"/>
      <c r="C454" s="81"/>
      <c r="D454" s="81"/>
      <c r="E454" s="81"/>
      <c r="F454" s="81"/>
      <c r="G454" s="81"/>
      <c r="H454" s="81"/>
      <c r="I454" s="81"/>
      <c r="J454" s="289"/>
      <c r="K454" s="81"/>
      <c r="L454" s="81"/>
      <c r="M454" s="289"/>
      <c r="N454" s="81"/>
      <c r="O454" s="81"/>
      <c r="P454" s="289"/>
      <c r="Q454" s="81"/>
      <c r="R454" s="81"/>
      <c r="S454" s="289"/>
      <c r="T454" s="81"/>
      <c r="U454" s="81"/>
      <c r="V454" s="81"/>
      <c r="W454" s="81"/>
      <c r="X454" s="81"/>
      <c r="Y454" s="81"/>
      <c r="Z454" s="81"/>
    </row>
    <row r="455" spans="1:26" ht="24" customHeight="1" x14ac:dyDescent="0.5">
      <c r="A455" s="81"/>
      <c r="B455" s="81"/>
      <c r="C455" s="81"/>
      <c r="D455" s="81"/>
      <c r="E455" s="81"/>
      <c r="F455" s="81"/>
      <c r="G455" s="81"/>
      <c r="H455" s="81"/>
      <c r="I455" s="81"/>
      <c r="J455" s="289"/>
      <c r="K455" s="81"/>
      <c r="L455" s="81"/>
      <c r="M455" s="289"/>
      <c r="N455" s="81"/>
      <c r="O455" s="81"/>
      <c r="P455" s="289"/>
      <c r="Q455" s="81"/>
      <c r="R455" s="81"/>
      <c r="S455" s="289"/>
      <c r="T455" s="81"/>
      <c r="U455" s="81"/>
      <c r="V455" s="81"/>
      <c r="W455" s="81"/>
      <c r="X455" s="81"/>
      <c r="Y455" s="81"/>
      <c r="Z455" s="81"/>
    </row>
    <row r="456" spans="1:26" ht="24" customHeight="1" x14ac:dyDescent="0.5">
      <c r="A456" s="81"/>
      <c r="B456" s="81"/>
      <c r="C456" s="81"/>
      <c r="D456" s="81"/>
      <c r="E456" s="81"/>
      <c r="F456" s="81"/>
      <c r="G456" s="81"/>
      <c r="H456" s="81"/>
      <c r="I456" s="81"/>
      <c r="J456" s="289"/>
      <c r="K456" s="81"/>
      <c r="L456" s="81"/>
      <c r="M456" s="289"/>
      <c r="N456" s="81"/>
      <c r="O456" s="81"/>
      <c r="P456" s="289"/>
      <c r="Q456" s="81"/>
      <c r="R456" s="81"/>
      <c r="S456" s="289"/>
      <c r="T456" s="81"/>
      <c r="U456" s="81"/>
      <c r="V456" s="81"/>
      <c r="W456" s="81"/>
      <c r="X456" s="81"/>
      <c r="Y456" s="81"/>
      <c r="Z456" s="81"/>
    </row>
    <row r="457" spans="1:26" ht="24" customHeight="1" x14ac:dyDescent="0.5">
      <c r="A457" s="81"/>
      <c r="B457" s="81"/>
      <c r="C457" s="81"/>
      <c r="D457" s="81"/>
      <c r="E457" s="81"/>
      <c r="F457" s="81"/>
      <c r="G457" s="81"/>
      <c r="H457" s="81"/>
      <c r="I457" s="81"/>
      <c r="J457" s="289"/>
      <c r="K457" s="81"/>
      <c r="L457" s="81"/>
      <c r="M457" s="289"/>
      <c r="N457" s="81"/>
      <c r="O457" s="81"/>
      <c r="P457" s="289"/>
      <c r="Q457" s="81"/>
      <c r="R457" s="81"/>
      <c r="S457" s="289"/>
      <c r="T457" s="81"/>
      <c r="U457" s="81"/>
      <c r="V457" s="81"/>
      <c r="W457" s="81"/>
      <c r="X457" s="81"/>
      <c r="Y457" s="81"/>
      <c r="Z457" s="81"/>
    </row>
    <row r="458" spans="1:26" ht="24" customHeight="1" x14ac:dyDescent="0.5">
      <c r="A458" s="81"/>
      <c r="B458" s="81"/>
      <c r="C458" s="81"/>
      <c r="D458" s="81"/>
      <c r="E458" s="81"/>
      <c r="F458" s="81"/>
      <c r="G458" s="81"/>
      <c r="H458" s="81"/>
      <c r="I458" s="81"/>
      <c r="J458" s="289"/>
      <c r="K458" s="81"/>
      <c r="L458" s="81"/>
      <c r="M458" s="289"/>
      <c r="N458" s="81"/>
      <c r="O458" s="81"/>
      <c r="P458" s="289"/>
      <c r="Q458" s="81"/>
      <c r="R458" s="81"/>
      <c r="S458" s="289"/>
      <c r="T458" s="81"/>
      <c r="U458" s="81"/>
      <c r="V458" s="81"/>
      <c r="W458" s="81"/>
      <c r="X458" s="81"/>
      <c r="Y458" s="81"/>
      <c r="Z458" s="81"/>
    </row>
    <row r="459" spans="1:26" ht="24" customHeight="1" x14ac:dyDescent="0.5">
      <c r="A459" s="81"/>
      <c r="B459" s="81"/>
      <c r="C459" s="81"/>
      <c r="D459" s="81"/>
      <c r="E459" s="81"/>
      <c r="F459" s="81"/>
      <c r="G459" s="81"/>
      <c r="H459" s="81"/>
      <c r="I459" s="81"/>
      <c r="J459" s="289"/>
      <c r="K459" s="81"/>
      <c r="L459" s="81"/>
      <c r="M459" s="289"/>
      <c r="N459" s="81"/>
      <c r="O459" s="81"/>
      <c r="P459" s="289"/>
      <c r="Q459" s="81"/>
      <c r="R459" s="81"/>
      <c r="S459" s="289"/>
      <c r="T459" s="81"/>
      <c r="U459" s="81"/>
      <c r="V459" s="81"/>
      <c r="W459" s="81"/>
      <c r="X459" s="81"/>
      <c r="Y459" s="81"/>
      <c r="Z459" s="81"/>
    </row>
    <row r="460" spans="1:26" ht="24" customHeight="1" x14ac:dyDescent="0.5">
      <c r="A460" s="81"/>
      <c r="B460" s="81"/>
      <c r="C460" s="81"/>
      <c r="D460" s="81"/>
      <c r="E460" s="81"/>
      <c r="F460" s="81"/>
      <c r="G460" s="81"/>
      <c r="H460" s="81"/>
      <c r="I460" s="81"/>
      <c r="J460" s="289"/>
      <c r="K460" s="81"/>
      <c r="L460" s="81"/>
      <c r="M460" s="289"/>
      <c r="N460" s="81"/>
      <c r="O460" s="81"/>
      <c r="P460" s="289"/>
      <c r="Q460" s="81"/>
      <c r="R460" s="81"/>
      <c r="S460" s="289"/>
      <c r="T460" s="81"/>
      <c r="U460" s="81"/>
      <c r="V460" s="81"/>
      <c r="W460" s="81"/>
      <c r="X460" s="81"/>
      <c r="Y460" s="81"/>
      <c r="Z460" s="81"/>
    </row>
    <row r="461" spans="1:26" ht="24" customHeight="1" x14ac:dyDescent="0.5">
      <c r="A461" s="81"/>
      <c r="B461" s="81"/>
      <c r="C461" s="81"/>
      <c r="D461" s="81"/>
      <c r="E461" s="81"/>
      <c r="F461" s="81"/>
      <c r="G461" s="81"/>
      <c r="H461" s="81"/>
      <c r="I461" s="81"/>
      <c r="J461" s="289"/>
      <c r="K461" s="81"/>
      <c r="L461" s="81"/>
      <c r="M461" s="289"/>
      <c r="N461" s="81"/>
      <c r="O461" s="81"/>
      <c r="P461" s="289"/>
      <c r="Q461" s="81"/>
      <c r="R461" s="81"/>
      <c r="S461" s="289"/>
      <c r="T461" s="81"/>
      <c r="U461" s="81"/>
      <c r="V461" s="81"/>
      <c r="W461" s="81"/>
      <c r="X461" s="81"/>
      <c r="Y461" s="81"/>
      <c r="Z461" s="81"/>
    </row>
    <row r="462" spans="1:26" ht="24" customHeight="1" x14ac:dyDescent="0.5">
      <c r="A462" s="81"/>
      <c r="B462" s="81"/>
      <c r="C462" s="81"/>
      <c r="D462" s="81"/>
      <c r="E462" s="81"/>
      <c r="F462" s="81"/>
      <c r="G462" s="81"/>
      <c r="H462" s="81"/>
      <c r="I462" s="81"/>
      <c r="J462" s="289"/>
      <c r="K462" s="81"/>
      <c r="L462" s="81"/>
      <c r="M462" s="289"/>
      <c r="N462" s="81"/>
      <c r="O462" s="81"/>
      <c r="P462" s="289"/>
      <c r="Q462" s="81"/>
      <c r="R462" s="81"/>
      <c r="S462" s="289"/>
      <c r="T462" s="81"/>
      <c r="U462" s="81"/>
      <c r="V462" s="81"/>
      <c r="W462" s="81"/>
      <c r="X462" s="81"/>
      <c r="Y462" s="81"/>
      <c r="Z462" s="81"/>
    </row>
    <row r="463" spans="1:26" ht="24" customHeight="1" x14ac:dyDescent="0.5">
      <c r="A463" s="81"/>
      <c r="B463" s="81"/>
      <c r="C463" s="81"/>
      <c r="D463" s="81"/>
      <c r="E463" s="81"/>
      <c r="F463" s="81"/>
      <c r="G463" s="81"/>
      <c r="H463" s="81"/>
      <c r="I463" s="81"/>
      <c r="J463" s="289"/>
      <c r="K463" s="81"/>
      <c r="L463" s="81"/>
      <c r="M463" s="289"/>
      <c r="N463" s="81"/>
      <c r="O463" s="81"/>
      <c r="P463" s="289"/>
      <c r="Q463" s="81"/>
      <c r="R463" s="81"/>
      <c r="S463" s="289"/>
      <c r="T463" s="81"/>
      <c r="U463" s="81"/>
      <c r="V463" s="81"/>
      <c r="W463" s="81"/>
      <c r="X463" s="81"/>
      <c r="Y463" s="81"/>
      <c r="Z463" s="81"/>
    </row>
    <row r="464" spans="1:26" ht="24" customHeight="1" x14ac:dyDescent="0.5">
      <c r="A464" s="81"/>
      <c r="B464" s="81"/>
      <c r="C464" s="81"/>
      <c r="D464" s="81"/>
      <c r="E464" s="81"/>
      <c r="F464" s="81"/>
      <c r="G464" s="81"/>
      <c r="H464" s="81"/>
      <c r="I464" s="81"/>
      <c r="J464" s="289"/>
      <c r="K464" s="81"/>
      <c r="L464" s="81"/>
      <c r="M464" s="289"/>
      <c r="N464" s="81"/>
      <c r="O464" s="81"/>
      <c r="P464" s="289"/>
      <c r="Q464" s="81"/>
      <c r="R464" s="81"/>
      <c r="S464" s="289"/>
      <c r="T464" s="81"/>
      <c r="U464" s="81"/>
      <c r="V464" s="81"/>
      <c r="W464" s="81"/>
      <c r="X464" s="81"/>
      <c r="Y464" s="81"/>
      <c r="Z464" s="81"/>
    </row>
    <row r="465" spans="1:26" ht="24" customHeight="1" x14ac:dyDescent="0.5">
      <c r="A465" s="81"/>
      <c r="B465" s="81"/>
      <c r="C465" s="81"/>
      <c r="D465" s="81"/>
      <c r="E465" s="81"/>
      <c r="F465" s="81"/>
      <c r="G465" s="81"/>
      <c r="H465" s="81"/>
      <c r="I465" s="81"/>
      <c r="J465" s="289"/>
      <c r="K465" s="81"/>
      <c r="L465" s="81"/>
      <c r="M465" s="289"/>
      <c r="N465" s="81"/>
      <c r="O465" s="81"/>
      <c r="P465" s="289"/>
      <c r="Q465" s="81"/>
      <c r="R465" s="81"/>
      <c r="S465" s="289"/>
      <c r="T465" s="81"/>
      <c r="U465" s="81"/>
      <c r="V465" s="81"/>
      <c r="W465" s="81"/>
      <c r="X465" s="81"/>
      <c r="Y465" s="81"/>
      <c r="Z465" s="81"/>
    </row>
    <row r="466" spans="1:26" ht="24" customHeight="1" x14ac:dyDescent="0.5">
      <c r="A466" s="81"/>
      <c r="B466" s="81"/>
      <c r="C466" s="81"/>
      <c r="D466" s="81"/>
      <c r="E466" s="81"/>
      <c r="F466" s="81"/>
      <c r="G466" s="81"/>
      <c r="H466" s="81"/>
      <c r="I466" s="81"/>
      <c r="J466" s="289"/>
      <c r="K466" s="81"/>
      <c r="L466" s="81"/>
      <c r="M466" s="289"/>
      <c r="N466" s="81"/>
      <c r="O466" s="81"/>
      <c r="P466" s="289"/>
      <c r="Q466" s="81"/>
      <c r="R466" s="81"/>
      <c r="S466" s="289"/>
      <c r="T466" s="81"/>
      <c r="U466" s="81"/>
      <c r="V466" s="81"/>
      <c r="W466" s="81"/>
      <c r="X466" s="81"/>
      <c r="Y466" s="81"/>
      <c r="Z466" s="81"/>
    </row>
    <row r="467" spans="1:26" ht="24" customHeight="1" x14ac:dyDescent="0.5">
      <c r="A467" s="81"/>
      <c r="B467" s="81"/>
      <c r="C467" s="81"/>
      <c r="D467" s="81"/>
      <c r="E467" s="81"/>
      <c r="F467" s="81"/>
      <c r="G467" s="81"/>
      <c r="H467" s="81"/>
      <c r="I467" s="81"/>
      <c r="J467" s="289"/>
      <c r="K467" s="81"/>
      <c r="L467" s="81"/>
      <c r="M467" s="289"/>
      <c r="N467" s="81"/>
      <c r="O467" s="81"/>
      <c r="P467" s="289"/>
      <c r="Q467" s="81"/>
      <c r="R467" s="81"/>
      <c r="S467" s="289"/>
      <c r="T467" s="81"/>
      <c r="U467" s="81"/>
      <c r="V467" s="81"/>
      <c r="W467" s="81"/>
      <c r="X467" s="81"/>
      <c r="Y467" s="81"/>
      <c r="Z467" s="81"/>
    </row>
    <row r="468" spans="1:26" ht="24" customHeight="1" x14ac:dyDescent="0.5">
      <c r="A468" s="81"/>
      <c r="B468" s="81"/>
      <c r="C468" s="81"/>
      <c r="D468" s="81"/>
      <c r="E468" s="81"/>
      <c r="F468" s="81"/>
      <c r="G468" s="81"/>
      <c r="H468" s="81"/>
      <c r="I468" s="81"/>
      <c r="J468" s="289"/>
      <c r="K468" s="81"/>
      <c r="L468" s="81"/>
      <c r="M468" s="289"/>
      <c r="N468" s="81"/>
      <c r="O468" s="81"/>
      <c r="P468" s="289"/>
      <c r="Q468" s="81"/>
      <c r="R468" s="81"/>
      <c r="S468" s="289"/>
      <c r="T468" s="81"/>
      <c r="U468" s="81"/>
      <c r="V468" s="81"/>
      <c r="W468" s="81"/>
      <c r="X468" s="81"/>
      <c r="Y468" s="81"/>
      <c r="Z468" s="81"/>
    </row>
    <row r="469" spans="1:26" ht="24" customHeight="1" x14ac:dyDescent="0.5">
      <c r="A469" s="81"/>
      <c r="B469" s="81"/>
      <c r="C469" s="81"/>
      <c r="D469" s="81"/>
      <c r="E469" s="81"/>
      <c r="F469" s="81"/>
      <c r="G469" s="81"/>
      <c r="H469" s="81"/>
      <c r="I469" s="81"/>
      <c r="J469" s="289"/>
      <c r="K469" s="81"/>
      <c r="L469" s="81"/>
      <c r="M469" s="289"/>
      <c r="N469" s="81"/>
      <c r="O469" s="81"/>
      <c r="P469" s="289"/>
      <c r="Q469" s="81"/>
      <c r="R469" s="81"/>
      <c r="S469" s="289"/>
      <c r="T469" s="81"/>
      <c r="U469" s="81"/>
      <c r="V469" s="81"/>
      <c r="W469" s="81"/>
      <c r="X469" s="81"/>
      <c r="Y469" s="81"/>
      <c r="Z469" s="81"/>
    </row>
    <row r="470" spans="1:26" ht="24" customHeight="1" x14ac:dyDescent="0.5">
      <c r="A470" s="81"/>
      <c r="B470" s="81"/>
      <c r="C470" s="81"/>
      <c r="D470" s="81"/>
      <c r="E470" s="81"/>
      <c r="F470" s="81"/>
      <c r="G470" s="81"/>
      <c r="H470" s="81"/>
      <c r="I470" s="81"/>
      <c r="J470" s="289"/>
      <c r="K470" s="81"/>
      <c r="L470" s="81"/>
      <c r="M470" s="289"/>
      <c r="N470" s="81"/>
      <c r="O470" s="81"/>
      <c r="P470" s="289"/>
      <c r="Q470" s="81"/>
      <c r="R470" s="81"/>
      <c r="S470" s="289"/>
      <c r="T470" s="81"/>
      <c r="U470" s="81"/>
      <c r="V470" s="81"/>
      <c r="W470" s="81"/>
      <c r="X470" s="81"/>
      <c r="Y470" s="81"/>
      <c r="Z470" s="81"/>
    </row>
    <row r="471" spans="1:26" ht="24" customHeight="1" x14ac:dyDescent="0.5">
      <c r="A471" s="81"/>
      <c r="B471" s="81"/>
      <c r="C471" s="81"/>
      <c r="D471" s="81"/>
      <c r="E471" s="81"/>
      <c r="F471" s="81"/>
      <c r="G471" s="81"/>
      <c r="H471" s="81"/>
      <c r="I471" s="81"/>
      <c r="J471" s="289"/>
      <c r="K471" s="81"/>
      <c r="L471" s="81"/>
      <c r="M471" s="289"/>
      <c r="N471" s="81"/>
      <c r="O471" s="81"/>
      <c r="P471" s="289"/>
      <c r="Q471" s="81"/>
      <c r="R471" s="81"/>
      <c r="S471" s="289"/>
      <c r="T471" s="81"/>
      <c r="U471" s="81"/>
      <c r="V471" s="81"/>
      <c r="W471" s="81"/>
      <c r="X471" s="81"/>
      <c r="Y471" s="81"/>
      <c r="Z471" s="81"/>
    </row>
    <row r="472" spans="1:26" ht="24" customHeight="1" x14ac:dyDescent="0.5">
      <c r="A472" s="81"/>
      <c r="B472" s="81"/>
      <c r="C472" s="81"/>
      <c r="D472" s="81"/>
      <c r="E472" s="81"/>
      <c r="F472" s="81"/>
      <c r="G472" s="81"/>
      <c r="H472" s="81"/>
      <c r="I472" s="81"/>
      <c r="J472" s="289"/>
      <c r="K472" s="81"/>
      <c r="L472" s="81"/>
      <c r="M472" s="289"/>
      <c r="N472" s="81"/>
      <c r="O472" s="81"/>
      <c r="P472" s="289"/>
      <c r="Q472" s="81"/>
      <c r="R472" s="81"/>
      <c r="S472" s="289"/>
      <c r="T472" s="81"/>
      <c r="U472" s="81"/>
      <c r="V472" s="81"/>
      <c r="W472" s="81"/>
      <c r="X472" s="81"/>
      <c r="Y472" s="81"/>
      <c r="Z472" s="81"/>
    </row>
    <row r="473" spans="1:26" ht="24" customHeight="1" x14ac:dyDescent="0.5">
      <c r="A473" s="81"/>
      <c r="B473" s="81"/>
      <c r="C473" s="81"/>
      <c r="D473" s="81"/>
      <c r="E473" s="81"/>
      <c r="F473" s="81"/>
      <c r="G473" s="81"/>
      <c r="H473" s="81"/>
      <c r="I473" s="81"/>
      <c r="J473" s="289"/>
      <c r="K473" s="81"/>
      <c r="L473" s="81"/>
      <c r="M473" s="289"/>
      <c r="N473" s="81"/>
      <c r="O473" s="81"/>
      <c r="P473" s="289"/>
      <c r="Q473" s="81"/>
      <c r="R473" s="81"/>
      <c r="S473" s="289"/>
      <c r="T473" s="81"/>
      <c r="U473" s="81"/>
      <c r="V473" s="81"/>
      <c r="W473" s="81"/>
      <c r="X473" s="81"/>
      <c r="Y473" s="81"/>
      <c r="Z473" s="81"/>
    </row>
    <row r="474" spans="1:26" ht="24" customHeight="1" x14ac:dyDescent="0.5">
      <c r="A474" s="81"/>
      <c r="B474" s="81"/>
      <c r="C474" s="81"/>
      <c r="D474" s="81"/>
      <c r="E474" s="81"/>
      <c r="F474" s="81"/>
      <c r="G474" s="81"/>
      <c r="H474" s="81"/>
      <c r="I474" s="81"/>
      <c r="J474" s="289"/>
      <c r="K474" s="81"/>
      <c r="L474" s="81"/>
      <c r="M474" s="289"/>
      <c r="N474" s="81"/>
      <c r="O474" s="81"/>
      <c r="P474" s="289"/>
      <c r="Q474" s="81"/>
      <c r="R474" s="81"/>
      <c r="S474" s="289"/>
      <c r="T474" s="81"/>
      <c r="U474" s="81"/>
      <c r="V474" s="81"/>
      <c r="W474" s="81"/>
      <c r="X474" s="81"/>
      <c r="Y474" s="81"/>
      <c r="Z474" s="81"/>
    </row>
    <row r="475" spans="1:26" ht="24" customHeight="1" x14ac:dyDescent="0.5">
      <c r="A475" s="81"/>
      <c r="B475" s="81"/>
      <c r="C475" s="81"/>
      <c r="D475" s="81"/>
      <c r="E475" s="81"/>
      <c r="F475" s="81"/>
      <c r="G475" s="81"/>
      <c r="H475" s="81"/>
      <c r="I475" s="81"/>
      <c r="J475" s="289"/>
      <c r="K475" s="81"/>
      <c r="L475" s="81"/>
      <c r="M475" s="289"/>
      <c r="N475" s="81"/>
      <c r="O475" s="81"/>
      <c r="P475" s="289"/>
      <c r="Q475" s="81"/>
      <c r="R475" s="81"/>
      <c r="S475" s="289"/>
      <c r="T475" s="81"/>
      <c r="U475" s="81"/>
      <c r="V475" s="81"/>
      <c r="W475" s="81"/>
      <c r="X475" s="81"/>
      <c r="Y475" s="81"/>
      <c r="Z475" s="81"/>
    </row>
    <row r="476" spans="1:26" ht="24" customHeight="1" x14ac:dyDescent="0.5">
      <c r="A476" s="81"/>
      <c r="B476" s="81"/>
      <c r="C476" s="81"/>
      <c r="D476" s="81"/>
      <c r="E476" s="81"/>
      <c r="F476" s="81"/>
      <c r="G476" s="81"/>
      <c r="H476" s="81"/>
      <c r="I476" s="81"/>
      <c r="J476" s="289"/>
      <c r="K476" s="81"/>
      <c r="L476" s="81"/>
      <c r="M476" s="289"/>
      <c r="N476" s="81"/>
      <c r="O476" s="81"/>
      <c r="P476" s="289"/>
      <c r="Q476" s="81"/>
      <c r="R476" s="81"/>
      <c r="S476" s="289"/>
      <c r="T476" s="81"/>
      <c r="U476" s="81"/>
      <c r="V476" s="81"/>
      <c r="W476" s="81"/>
      <c r="X476" s="81"/>
      <c r="Y476" s="81"/>
      <c r="Z476" s="81"/>
    </row>
    <row r="477" spans="1:26" ht="24" customHeight="1" x14ac:dyDescent="0.5">
      <c r="A477" s="81"/>
      <c r="B477" s="81"/>
      <c r="C477" s="81"/>
      <c r="D477" s="81"/>
      <c r="E477" s="81"/>
      <c r="F477" s="81"/>
      <c r="G477" s="81"/>
      <c r="H477" s="81"/>
      <c r="I477" s="81"/>
      <c r="J477" s="289"/>
      <c r="K477" s="81"/>
      <c r="L477" s="81"/>
      <c r="M477" s="289"/>
      <c r="N477" s="81"/>
      <c r="O477" s="81"/>
      <c r="P477" s="289"/>
      <c r="Q477" s="81"/>
      <c r="R477" s="81"/>
      <c r="S477" s="289"/>
      <c r="T477" s="81"/>
      <c r="U477" s="81"/>
      <c r="V477" s="81"/>
      <c r="W477" s="81"/>
      <c r="X477" s="81"/>
      <c r="Y477" s="81"/>
      <c r="Z477" s="81"/>
    </row>
    <row r="478" spans="1:26" ht="24" customHeight="1" x14ac:dyDescent="0.5">
      <c r="A478" s="81"/>
      <c r="B478" s="81"/>
      <c r="C478" s="81"/>
      <c r="D478" s="81"/>
      <c r="E478" s="81"/>
      <c r="F478" s="81"/>
      <c r="G478" s="81"/>
      <c r="H478" s="81"/>
      <c r="I478" s="81"/>
      <c r="J478" s="289"/>
      <c r="K478" s="81"/>
      <c r="L478" s="81"/>
      <c r="M478" s="289"/>
      <c r="N478" s="81"/>
      <c r="O478" s="81"/>
      <c r="P478" s="289"/>
      <c r="Q478" s="81"/>
      <c r="R478" s="81"/>
      <c r="S478" s="289"/>
      <c r="T478" s="81"/>
      <c r="U478" s="81"/>
      <c r="V478" s="81"/>
      <c r="W478" s="81"/>
      <c r="X478" s="81"/>
      <c r="Y478" s="81"/>
      <c r="Z478" s="81"/>
    </row>
    <row r="479" spans="1:26" ht="24" customHeight="1" x14ac:dyDescent="0.5">
      <c r="A479" s="81"/>
      <c r="B479" s="81"/>
      <c r="C479" s="81"/>
      <c r="D479" s="81"/>
      <c r="E479" s="81"/>
      <c r="F479" s="81"/>
      <c r="G479" s="81"/>
      <c r="H479" s="81"/>
      <c r="I479" s="81"/>
      <c r="J479" s="289"/>
      <c r="K479" s="81"/>
      <c r="L479" s="81"/>
      <c r="M479" s="289"/>
      <c r="N479" s="81"/>
      <c r="O479" s="81"/>
      <c r="P479" s="289"/>
      <c r="Q479" s="81"/>
      <c r="R479" s="81"/>
      <c r="S479" s="289"/>
      <c r="T479" s="81"/>
      <c r="U479" s="81"/>
      <c r="V479" s="81"/>
      <c r="W479" s="81"/>
      <c r="X479" s="81"/>
      <c r="Y479" s="81"/>
      <c r="Z479" s="81"/>
    </row>
    <row r="480" spans="1:26" ht="24" customHeight="1" x14ac:dyDescent="0.5">
      <c r="A480" s="81"/>
      <c r="B480" s="81"/>
      <c r="C480" s="81"/>
      <c r="D480" s="81"/>
      <c r="E480" s="81"/>
      <c r="F480" s="81"/>
      <c r="G480" s="81"/>
      <c r="H480" s="81"/>
      <c r="I480" s="81"/>
      <c r="J480" s="289"/>
      <c r="K480" s="81"/>
      <c r="L480" s="81"/>
      <c r="M480" s="289"/>
      <c r="N480" s="81"/>
      <c r="O480" s="81"/>
      <c r="P480" s="289"/>
      <c r="Q480" s="81"/>
      <c r="R480" s="81"/>
      <c r="S480" s="289"/>
      <c r="T480" s="81"/>
      <c r="U480" s="81"/>
      <c r="V480" s="81"/>
      <c r="W480" s="81"/>
      <c r="X480" s="81"/>
      <c r="Y480" s="81"/>
      <c r="Z480" s="81"/>
    </row>
    <row r="481" spans="1:26" ht="24" customHeight="1" x14ac:dyDescent="0.5">
      <c r="A481" s="81"/>
      <c r="B481" s="81"/>
      <c r="C481" s="81"/>
      <c r="D481" s="81"/>
      <c r="E481" s="81"/>
      <c r="F481" s="81"/>
      <c r="G481" s="81"/>
      <c r="H481" s="81"/>
      <c r="I481" s="81"/>
      <c r="J481" s="289"/>
      <c r="K481" s="81"/>
      <c r="L481" s="81"/>
      <c r="M481" s="289"/>
      <c r="N481" s="81"/>
      <c r="O481" s="81"/>
      <c r="P481" s="289"/>
      <c r="Q481" s="81"/>
      <c r="R481" s="81"/>
      <c r="S481" s="289"/>
      <c r="T481" s="81"/>
      <c r="U481" s="81"/>
      <c r="V481" s="81"/>
      <c r="W481" s="81"/>
      <c r="X481" s="81"/>
      <c r="Y481" s="81"/>
      <c r="Z481" s="81"/>
    </row>
    <row r="482" spans="1:26" ht="24" customHeight="1" x14ac:dyDescent="0.5">
      <c r="A482" s="81"/>
      <c r="B482" s="81"/>
      <c r="C482" s="81"/>
      <c r="D482" s="81"/>
      <c r="E482" s="81"/>
      <c r="F482" s="81"/>
      <c r="G482" s="81"/>
      <c r="H482" s="81"/>
      <c r="I482" s="81"/>
      <c r="J482" s="289"/>
      <c r="K482" s="81"/>
      <c r="L482" s="81"/>
      <c r="M482" s="289"/>
      <c r="N482" s="81"/>
      <c r="O482" s="81"/>
      <c r="P482" s="289"/>
      <c r="Q482" s="81"/>
      <c r="R482" s="81"/>
      <c r="S482" s="289"/>
      <c r="T482" s="81"/>
      <c r="U482" s="81"/>
      <c r="V482" s="81"/>
      <c r="W482" s="81"/>
      <c r="X482" s="81"/>
      <c r="Y482" s="81"/>
      <c r="Z482" s="81"/>
    </row>
    <row r="483" spans="1:26" ht="24" customHeight="1" x14ac:dyDescent="0.5">
      <c r="A483" s="81"/>
      <c r="B483" s="81"/>
      <c r="C483" s="81"/>
      <c r="D483" s="81"/>
      <c r="E483" s="81"/>
      <c r="F483" s="81"/>
      <c r="G483" s="81"/>
      <c r="H483" s="81"/>
      <c r="I483" s="81"/>
      <c r="J483" s="289"/>
      <c r="K483" s="81"/>
      <c r="L483" s="81"/>
      <c r="M483" s="289"/>
      <c r="N483" s="81"/>
      <c r="O483" s="81"/>
      <c r="P483" s="289"/>
      <c r="Q483" s="81"/>
      <c r="R483" s="81"/>
      <c r="S483" s="289"/>
      <c r="T483" s="81"/>
      <c r="U483" s="81"/>
      <c r="V483" s="81"/>
      <c r="W483" s="81"/>
      <c r="X483" s="81"/>
      <c r="Y483" s="81"/>
      <c r="Z483" s="81"/>
    </row>
    <row r="484" spans="1:26" ht="24" customHeight="1" x14ac:dyDescent="0.5">
      <c r="A484" s="81"/>
      <c r="B484" s="81"/>
      <c r="C484" s="81"/>
      <c r="D484" s="81"/>
      <c r="E484" s="81"/>
      <c r="F484" s="81"/>
      <c r="G484" s="81"/>
      <c r="H484" s="81"/>
      <c r="I484" s="81"/>
      <c r="J484" s="289"/>
      <c r="K484" s="81"/>
      <c r="L484" s="81"/>
      <c r="M484" s="289"/>
      <c r="N484" s="81"/>
      <c r="O484" s="81"/>
      <c r="P484" s="289"/>
      <c r="Q484" s="81"/>
      <c r="R484" s="81"/>
      <c r="S484" s="289"/>
      <c r="T484" s="81"/>
      <c r="U484" s="81"/>
      <c r="V484" s="81"/>
      <c r="W484" s="81"/>
      <c r="X484" s="81"/>
      <c r="Y484" s="81"/>
      <c r="Z484" s="81"/>
    </row>
    <row r="485" spans="1:26" ht="24" customHeight="1" x14ac:dyDescent="0.5">
      <c r="A485" s="81"/>
      <c r="B485" s="81"/>
      <c r="C485" s="81"/>
      <c r="D485" s="81"/>
      <c r="E485" s="81"/>
      <c r="F485" s="81"/>
      <c r="G485" s="81"/>
      <c r="H485" s="81"/>
      <c r="I485" s="81"/>
      <c r="J485" s="289"/>
      <c r="K485" s="81"/>
      <c r="L485" s="81"/>
      <c r="M485" s="289"/>
      <c r="N485" s="81"/>
      <c r="O485" s="81"/>
      <c r="P485" s="289"/>
      <c r="Q485" s="81"/>
      <c r="R485" s="81"/>
      <c r="S485" s="289"/>
      <c r="T485" s="81"/>
      <c r="U485" s="81"/>
      <c r="V485" s="81"/>
      <c r="W485" s="81"/>
      <c r="X485" s="81"/>
      <c r="Y485" s="81"/>
      <c r="Z485" s="81"/>
    </row>
    <row r="486" spans="1:26" ht="24" customHeight="1" x14ac:dyDescent="0.5">
      <c r="A486" s="81"/>
      <c r="B486" s="81"/>
      <c r="C486" s="81"/>
      <c r="D486" s="81"/>
      <c r="E486" s="81"/>
      <c r="F486" s="81"/>
      <c r="G486" s="81"/>
      <c r="H486" s="81"/>
      <c r="I486" s="81"/>
      <c r="J486" s="289"/>
      <c r="K486" s="81"/>
      <c r="L486" s="81"/>
      <c r="M486" s="289"/>
      <c r="N486" s="81"/>
      <c r="O486" s="81"/>
      <c r="P486" s="289"/>
      <c r="Q486" s="81"/>
      <c r="R486" s="81"/>
      <c r="S486" s="289"/>
      <c r="T486" s="81"/>
      <c r="U486" s="81"/>
      <c r="V486" s="81"/>
      <c r="W486" s="81"/>
      <c r="X486" s="81"/>
      <c r="Y486" s="81"/>
      <c r="Z486" s="81"/>
    </row>
    <row r="487" spans="1:26" ht="24" customHeight="1" x14ac:dyDescent="0.5">
      <c r="A487" s="81"/>
      <c r="B487" s="81"/>
      <c r="C487" s="81"/>
      <c r="D487" s="81"/>
      <c r="E487" s="81"/>
      <c r="F487" s="81"/>
      <c r="G487" s="81"/>
      <c r="H487" s="81"/>
      <c r="I487" s="81"/>
      <c r="J487" s="289"/>
      <c r="K487" s="81"/>
      <c r="L487" s="81"/>
      <c r="M487" s="289"/>
      <c r="N487" s="81"/>
      <c r="O487" s="81"/>
      <c r="P487" s="289"/>
      <c r="Q487" s="81"/>
      <c r="R487" s="81"/>
      <c r="S487" s="289"/>
      <c r="T487" s="81"/>
      <c r="U487" s="81"/>
      <c r="V487" s="81"/>
      <c r="W487" s="81"/>
      <c r="X487" s="81"/>
      <c r="Y487" s="81"/>
      <c r="Z487" s="81"/>
    </row>
    <row r="488" spans="1:26" ht="24" customHeight="1" x14ac:dyDescent="0.5">
      <c r="A488" s="81"/>
      <c r="B488" s="81"/>
      <c r="C488" s="81"/>
      <c r="D488" s="81"/>
      <c r="E488" s="81"/>
      <c r="F488" s="81"/>
      <c r="G488" s="81"/>
      <c r="H488" s="81"/>
      <c r="I488" s="81"/>
      <c r="J488" s="289"/>
      <c r="K488" s="81"/>
      <c r="L488" s="81"/>
      <c r="M488" s="289"/>
      <c r="N488" s="81"/>
      <c r="O488" s="81"/>
      <c r="P488" s="289"/>
      <c r="Q488" s="81"/>
      <c r="R488" s="81"/>
      <c r="S488" s="289"/>
      <c r="T488" s="81"/>
      <c r="U488" s="81"/>
      <c r="V488" s="81"/>
      <c r="W488" s="81"/>
      <c r="X488" s="81"/>
      <c r="Y488" s="81"/>
      <c r="Z488" s="81"/>
    </row>
    <row r="489" spans="1:26" ht="24" customHeight="1" x14ac:dyDescent="0.5">
      <c r="A489" s="81"/>
      <c r="B489" s="81"/>
      <c r="C489" s="81"/>
      <c r="D489" s="81"/>
      <c r="E489" s="81"/>
      <c r="F489" s="81"/>
      <c r="G489" s="81"/>
      <c r="H489" s="81"/>
      <c r="I489" s="81"/>
      <c r="J489" s="289"/>
      <c r="K489" s="81"/>
      <c r="L489" s="81"/>
      <c r="M489" s="289"/>
      <c r="N489" s="81"/>
      <c r="O489" s="81"/>
      <c r="P489" s="289"/>
      <c r="Q489" s="81"/>
      <c r="R489" s="81"/>
      <c r="S489" s="289"/>
      <c r="T489" s="81"/>
      <c r="U489" s="81"/>
      <c r="V489" s="81"/>
      <c r="W489" s="81"/>
      <c r="X489" s="81"/>
      <c r="Y489" s="81"/>
      <c r="Z489" s="81"/>
    </row>
    <row r="490" spans="1:26" ht="24" customHeight="1" x14ac:dyDescent="0.5">
      <c r="A490" s="81"/>
      <c r="B490" s="81"/>
      <c r="C490" s="81"/>
      <c r="D490" s="81"/>
      <c r="E490" s="81"/>
      <c r="F490" s="81"/>
      <c r="G490" s="81"/>
      <c r="H490" s="81"/>
      <c r="I490" s="81"/>
      <c r="J490" s="289"/>
      <c r="K490" s="81"/>
      <c r="L490" s="81"/>
      <c r="M490" s="289"/>
      <c r="N490" s="81"/>
      <c r="O490" s="81"/>
      <c r="P490" s="289"/>
      <c r="Q490" s="81"/>
      <c r="R490" s="81"/>
      <c r="S490" s="289"/>
      <c r="T490" s="81"/>
      <c r="U490" s="81"/>
      <c r="V490" s="81"/>
      <c r="W490" s="81"/>
      <c r="X490" s="81"/>
      <c r="Y490" s="81"/>
      <c r="Z490" s="81"/>
    </row>
    <row r="491" spans="1:26" ht="24" customHeight="1" x14ac:dyDescent="0.5">
      <c r="A491" s="81"/>
      <c r="B491" s="81"/>
      <c r="C491" s="81"/>
      <c r="D491" s="81"/>
      <c r="E491" s="81"/>
      <c r="F491" s="81"/>
      <c r="G491" s="81"/>
      <c r="H491" s="81"/>
      <c r="I491" s="81"/>
      <c r="J491" s="289"/>
      <c r="K491" s="81"/>
      <c r="L491" s="81"/>
      <c r="M491" s="289"/>
      <c r="N491" s="81"/>
      <c r="O491" s="81"/>
      <c r="P491" s="289"/>
      <c r="Q491" s="81"/>
      <c r="R491" s="81"/>
      <c r="S491" s="289"/>
      <c r="T491" s="81"/>
      <c r="U491" s="81"/>
      <c r="V491" s="81"/>
      <c r="W491" s="81"/>
      <c r="X491" s="81"/>
      <c r="Y491" s="81"/>
      <c r="Z491" s="81"/>
    </row>
    <row r="492" spans="1:26" ht="24" customHeight="1" x14ac:dyDescent="0.5">
      <c r="A492" s="81"/>
      <c r="B492" s="81"/>
      <c r="C492" s="81"/>
      <c r="D492" s="81"/>
      <c r="E492" s="81"/>
      <c r="F492" s="81"/>
      <c r="G492" s="81"/>
      <c r="H492" s="81"/>
      <c r="I492" s="81"/>
      <c r="J492" s="289"/>
      <c r="K492" s="81"/>
      <c r="L492" s="81"/>
      <c r="M492" s="289"/>
      <c r="N492" s="81"/>
      <c r="O492" s="81"/>
      <c r="P492" s="289"/>
      <c r="Q492" s="81"/>
      <c r="R492" s="81"/>
      <c r="S492" s="289"/>
      <c r="T492" s="81"/>
      <c r="U492" s="81"/>
      <c r="V492" s="81"/>
      <c r="W492" s="81"/>
      <c r="X492" s="81"/>
      <c r="Y492" s="81"/>
      <c r="Z492" s="81"/>
    </row>
    <row r="493" spans="1:26" ht="24" customHeight="1" x14ac:dyDescent="0.5">
      <c r="A493" s="81"/>
      <c r="B493" s="81"/>
      <c r="C493" s="81"/>
      <c r="D493" s="81"/>
      <c r="E493" s="81"/>
      <c r="F493" s="81"/>
      <c r="G493" s="81"/>
      <c r="H493" s="81"/>
      <c r="I493" s="81"/>
      <c r="J493" s="289"/>
      <c r="K493" s="81"/>
      <c r="L493" s="81"/>
      <c r="M493" s="289"/>
      <c r="N493" s="81"/>
      <c r="O493" s="81"/>
      <c r="P493" s="289"/>
      <c r="Q493" s="81"/>
      <c r="R493" s="81"/>
      <c r="S493" s="289"/>
      <c r="T493" s="81"/>
      <c r="U493" s="81"/>
      <c r="V493" s="81"/>
      <c r="W493" s="81"/>
      <c r="X493" s="81"/>
      <c r="Y493" s="81"/>
      <c r="Z493" s="81"/>
    </row>
    <row r="494" spans="1:26" ht="24" customHeight="1" x14ac:dyDescent="0.5">
      <c r="A494" s="81"/>
      <c r="B494" s="81"/>
      <c r="C494" s="81"/>
      <c r="D494" s="81"/>
      <c r="E494" s="81"/>
      <c r="F494" s="81"/>
      <c r="G494" s="81"/>
      <c r="H494" s="81"/>
      <c r="I494" s="81"/>
      <c r="J494" s="289"/>
      <c r="K494" s="81"/>
      <c r="L494" s="81"/>
      <c r="M494" s="289"/>
      <c r="N494" s="81"/>
      <c r="O494" s="81"/>
      <c r="P494" s="289"/>
      <c r="Q494" s="81"/>
      <c r="R494" s="81"/>
      <c r="S494" s="289"/>
      <c r="T494" s="81"/>
      <c r="U494" s="81"/>
      <c r="V494" s="81"/>
      <c r="W494" s="81"/>
      <c r="X494" s="81"/>
      <c r="Y494" s="81"/>
      <c r="Z494" s="81"/>
    </row>
    <row r="495" spans="1:26" ht="24" customHeight="1" x14ac:dyDescent="0.5">
      <c r="A495" s="81"/>
      <c r="B495" s="81"/>
      <c r="C495" s="81"/>
      <c r="D495" s="81"/>
      <c r="E495" s="81"/>
      <c r="F495" s="81"/>
      <c r="G495" s="81"/>
      <c r="H495" s="81"/>
      <c r="I495" s="81"/>
      <c r="J495" s="289"/>
      <c r="K495" s="81"/>
      <c r="L495" s="81"/>
      <c r="M495" s="289"/>
      <c r="N495" s="81"/>
      <c r="O495" s="81"/>
      <c r="P495" s="289"/>
      <c r="Q495" s="81"/>
      <c r="R495" s="81"/>
      <c r="S495" s="289"/>
      <c r="T495" s="81"/>
      <c r="U495" s="81"/>
      <c r="V495" s="81"/>
      <c r="W495" s="81"/>
      <c r="X495" s="81"/>
      <c r="Y495" s="81"/>
      <c r="Z495" s="81"/>
    </row>
    <row r="496" spans="1:26" ht="24" customHeight="1" x14ac:dyDescent="0.5">
      <c r="A496" s="81"/>
      <c r="B496" s="81"/>
      <c r="C496" s="81"/>
      <c r="D496" s="81"/>
      <c r="E496" s="81"/>
      <c r="F496" s="81"/>
      <c r="G496" s="81"/>
      <c r="H496" s="81"/>
      <c r="I496" s="81"/>
      <c r="J496" s="289"/>
      <c r="K496" s="81"/>
      <c r="L496" s="81"/>
      <c r="M496" s="289"/>
      <c r="N496" s="81"/>
      <c r="O496" s="81"/>
      <c r="P496" s="289"/>
      <c r="Q496" s="81"/>
      <c r="R496" s="81"/>
      <c r="S496" s="289"/>
      <c r="T496" s="81"/>
      <c r="U496" s="81"/>
      <c r="V496" s="81"/>
      <c r="W496" s="81"/>
      <c r="X496" s="81"/>
      <c r="Y496" s="81"/>
      <c r="Z496" s="81"/>
    </row>
    <row r="497" spans="1:26" ht="24" customHeight="1" x14ac:dyDescent="0.5">
      <c r="A497" s="81"/>
      <c r="B497" s="81"/>
      <c r="C497" s="81"/>
      <c r="D497" s="81"/>
      <c r="E497" s="81"/>
      <c r="F497" s="81"/>
      <c r="G497" s="81"/>
      <c r="H497" s="81"/>
      <c r="I497" s="81"/>
      <c r="J497" s="289"/>
      <c r="K497" s="81"/>
      <c r="L497" s="81"/>
      <c r="M497" s="289"/>
      <c r="N497" s="81"/>
      <c r="O497" s="81"/>
      <c r="P497" s="289"/>
      <c r="Q497" s="81"/>
      <c r="R497" s="81"/>
      <c r="S497" s="289"/>
      <c r="T497" s="81"/>
      <c r="U497" s="81"/>
      <c r="V497" s="81"/>
      <c r="W497" s="81"/>
      <c r="X497" s="81"/>
      <c r="Y497" s="81"/>
      <c r="Z497" s="81"/>
    </row>
    <row r="498" spans="1:26" ht="24" customHeight="1" x14ac:dyDescent="0.5">
      <c r="A498" s="81"/>
      <c r="B498" s="81"/>
      <c r="C498" s="81"/>
      <c r="D498" s="81"/>
      <c r="E498" s="81"/>
      <c r="F498" s="81"/>
      <c r="G498" s="81"/>
      <c r="H498" s="81"/>
      <c r="I498" s="81"/>
      <c r="J498" s="289"/>
      <c r="K498" s="81"/>
      <c r="L498" s="81"/>
      <c r="M498" s="289"/>
      <c r="N498" s="81"/>
      <c r="O498" s="81"/>
      <c r="P498" s="289"/>
      <c r="Q498" s="81"/>
      <c r="R498" s="81"/>
      <c r="S498" s="289"/>
      <c r="T498" s="81"/>
      <c r="U498" s="81"/>
      <c r="V498" s="81"/>
      <c r="W498" s="81"/>
      <c r="X498" s="81"/>
      <c r="Y498" s="81"/>
      <c r="Z498" s="81"/>
    </row>
    <row r="499" spans="1:26" ht="24" customHeight="1" x14ac:dyDescent="0.5">
      <c r="A499" s="81"/>
      <c r="B499" s="81"/>
      <c r="C499" s="81"/>
      <c r="D499" s="81"/>
      <c r="E499" s="81"/>
      <c r="F499" s="81"/>
      <c r="G499" s="81"/>
      <c r="H499" s="81"/>
      <c r="I499" s="81"/>
      <c r="J499" s="289"/>
      <c r="K499" s="81"/>
      <c r="L499" s="81"/>
      <c r="M499" s="289"/>
      <c r="N499" s="81"/>
      <c r="O499" s="81"/>
      <c r="P499" s="289"/>
      <c r="Q499" s="81"/>
      <c r="R499" s="81"/>
      <c r="S499" s="289"/>
      <c r="T499" s="81"/>
      <c r="U499" s="81"/>
      <c r="V499" s="81"/>
      <c r="W499" s="81"/>
      <c r="X499" s="81"/>
      <c r="Y499" s="81"/>
      <c r="Z499" s="81"/>
    </row>
    <row r="500" spans="1:26" ht="24" customHeight="1" x14ac:dyDescent="0.5">
      <c r="A500" s="81"/>
      <c r="B500" s="81"/>
      <c r="C500" s="81"/>
      <c r="D500" s="81"/>
      <c r="E500" s="81"/>
      <c r="F500" s="81"/>
      <c r="G500" s="81"/>
      <c r="H500" s="81"/>
      <c r="I500" s="81"/>
      <c r="J500" s="289"/>
      <c r="K500" s="81"/>
      <c r="L500" s="81"/>
      <c r="M500" s="289"/>
      <c r="N500" s="81"/>
      <c r="O500" s="81"/>
      <c r="P500" s="289"/>
      <c r="Q500" s="81"/>
      <c r="R500" s="81"/>
      <c r="S500" s="289"/>
      <c r="T500" s="81"/>
      <c r="U500" s="81"/>
      <c r="V500" s="81"/>
      <c r="W500" s="81"/>
      <c r="X500" s="81"/>
      <c r="Y500" s="81"/>
      <c r="Z500" s="81"/>
    </row>
    <row r="501" spans="1:26" ht="24" customHeight="1" x14ac:dyDescent="0.5">
      <c r="A501" s="81"/>
      <c r="B501" s="81"/>
      <c r="C501" s="81"/>
      <c r="D501" s="81"/>
      <c r="E501" s="81"/>
      <c r="F501" s="81"/>
      <c r="G501" s="81"/>
      <c r="H501" s="81"/>
      <c r="I501" s="81"/>
      <c r="J501" s="289"/>
      <c r="K501" s="81"/>
      <c r="L501" s="81"/>
      <c r="M501" s="289"/>
      <c r="N501" s="81"/>
      <c r="O501" s="81"/>
      <c r="P501" s="289"/>
      <c r="Q501" s="81"/>
      <c r="R501" s="81"/>
      <c r="S501" s="289"/>
      <c r="T501" s="81"/>
      <c r="U501" s="81"/>
      <c r="V501" s="81"/>
      <c r="W501" s="81"/>
      <c r="X501" s="81"/>
      <c r="Y501" s="81"/>
      <c r="Z501" s="81"/>
    </row>
    <row r="502" spans="1:26" ht="24" customHeight="1" x14ac:dyDescent="0.5">
      <c r="A502" s="81"/>
      <c r="B502" s="81"/>
      <c r="C502" s="81"/>
      <c r="D502" s="81"/>
      <c r="E502" s="81"/>
      <c r="F502" s="81"/>
      <c r="G502" s="81"/>
      <c r="H502" s="81"/>
      <c r="I502" s="81"/>
      <c r="J502" s="289"/>
      <c r="K502" s="81"/>
      <c r="L502" s="81"/>
      <c r="M502" s="289"/>
      <c r="N502" s="81"/>
      <c r="O502" s="81"/>
      <c r="P502" s="289"/>
      <c r="Q502" s="81"/>
      <c r="R502" s="81"/>
      <c r="S502" s="289"/>
      <c r="T502" s="81"/>
      <c r="U502" s="81"/>
      <c r="V502" s="81"/>
      <c r="W502" s="81"/>
      <c r="X502" s="81"/>
      <c r="Y502" s="81"/>
      <c r="Z502" s="81"/>
    </row>
    <row r="503" spans="1:26" ht="24" customHeight="1" x14ac:dyDescent="0.5">
      <c r="A503" s="81"/>
      <c r="B503" s="81"/>
      <c r="C503" s="81"/>
      <c r="D503" s="81"/>
      <c r="E503" s="81"/>
      <c r="F503" s="81"/>
      <c r="G503" s="81"/>
      <c r="H503" s="81"/>
      <c r="I503" s="81"/>
      <c r="J503" s="289"/>
      <c r="K503" s="81"/>
      <c r="L503" s="81"/>
      <c r="M503" s="289"/>
      <c r="N503" s="81"/>
      <c r="O503" s="81"/>
      <c r="P503" s="289"/>
      <c r="Q503" s="81"/>
      <c r="R503" s="81"/>
      <c r="S503" s="289"/>
      <c r="T503" s="81"/>
      <c r="U503" s="81"/>
      <c r="V503" s="81"/>
      <c r="W503" s="81"/>
      <c r="X503" s="81"/>
      <c r="Y503" s="81"/>
      <c r="Z503" s="81"/>
    </row>
    <row r="504" spans="1:26" ht="24" customHeight="1" x14ac:dyDescent="0.5">
      <c r="A504" s="81"/>
      <c r="B504" s="81"/>
      <c r="C504" s="81"/>
      <c r="D504" s="81"/>
      <c r="E504" s="81"/>
      <c r="F504" s="81"/>
      <c r="G504" s="81"/>
      <c r="H504" s="81"/>
      <c r="I504" s="81"/>
      <c r="J504" s="289"/>
      <c r="K504" s="81"/>
      <c r="L504" s="81"/>
      <c r="M504" s="289"/>
      <c r="N504" s="81"/>
      <c r="O504" s="81"/>
      <c r="P504" s="289"/>
      <c r="Q504" s="81"/>
      <c r="R504" s="81"/>
      <c r="S504" s="289"/>
      <c r="T504" s="81"/>
      <c r="U504" s="81"/>
      <c r="V504" s="81"/>
      <c r="W504" s="81"/>
      <c r="X504" s="81"/>
      <c r="Y504" s="81"/>
      <c r="Z504" s="81"/>
    </row>
    <row r="505" spans="1:26" ht="24" customHeight="1" x14ac:dyDescent="0.5">
      <c r="A505" s="81"/>
      <c r="B505" s="81"/>
      <c r="C505" s="81"/>
      <c r="D505" s="81"/>
      <c r="E505" s="81"/>
      <c r="F505" s="81"/>
      <c r="G505" s="81"/>
      <c r="H505" s="81"/>
      <c r="I505" s="81"/>
      <c r="J505" s="289"/>
      <c r="K505" s="81"/>
      <c r="L505" s="81"/>
      <c r="M505" s="289"/>
      <c r="N505" s="81"/>
      <c r="O505" s="81"/>
      <c r="P505" s="289"/>
      <c r="Q505" s="81"/>
      <c r="R505" s="81"/>
      <c r="S505" s="289"/>
      <c r="T505" s="81"/>
      <c r="U505" s="81"/>
      <c r="V505" s="81"/>
      <c r="W505" s="81"/>
      <c r="X505" s="81"/>
      <c r="Y505" s="81"/>
      <c r="Z505" s="81"/>
    </row>
    <row r="506" spans="1:26" ht="24" customHeight="1" x14ac:dyDescent="0.5">
      <c r="A506" s="81"/>
      <c r="B506" s="81"/>
      <c r="C506" s="81"/>
      <c r="D506" s="81"/>
      <c r="E506" s="81"/>
      <c r="F506" s="81"/>
      <c r="G506" s="81"/>
      <c r="H506" s="81"/>
      <c r="I506" s="81"/>
      <c r="J506" s="289"/>
      <c r="K506" s="81"/>
      <c r="L506" s="81"/>
      <c r="M506" s="289"/>
      <c r="N506" s="81"/>
      <c r="O506" s="81"/>
      <c r="P506" s="289"/>
      <c r="Q506" s="81"/>
      <c r="R506" s="81"/>
      <c r="S506" s="289"/>
      <c r="T506" s="81"/>
      <c r="U506" s="81"/>
      <c r="V506" s="81"/>
      <c r="W506" s="81"/>
      <c r="X506" s="81"/>
      <c r="Y506" s="81"/>
      <c r="Z506" s="81"/>
    </row>
    <row r="507" spans="1:26" ht="24" customHeight="1" x14ac:dyDescent="0.5">
      <c r="A507" s="81"/>
      <c r="B507" s="81"/>
      <c r="C507" s="81"/>
      <c r="D507" s="81"/>
      <c r="E507" s="81"/>
      <c r="F507" s="81"/>
      <c r="G507" s="81"/>
      <c r="H507" s="81"/>
      <c r="I507" s="81"/>
      <c r="J507" s="289"/>
      <c r="K507" s="81"/>
      <c r="L507" s="81"/>
      <c r="M507" s="289"/>
      <c r="N507" s="81"/>
      <c r="O507" s="81"/>
      <c r="P507" s="289"/>
      <c r="Q507" s="81"/>
      <c r="R507" s="81"/>
      <c r="S507" s="289"/>
      <c r="T507" s="81"/>
      <c r="U507" s="81"/>
      <c r="V507" s="81"/>
      <c r="W507" s="81"/>
      <c r="X507" s="81"/>
      <c r="Y507" s="81"/>
      <c r="Z507" s="81"/>
    </row>
    <row r="508" spans="1:26" ht="24" customHeight="1" x14ac:dyDescent="0.5">
      <c r="A508" s="81"/>
      <c r="B508" s="81"/>
      <c r="C508" s="81"/>
      <c r="D508" s="81"/>
      <c r="E508" s="81"/>
      <c r="F508" s="81"/>
      <c r="G508" s="81"/>
      <c r="H508" s="81"/>
      <c r="I508" s="81"/>
      <c r="J508" s="289"/>
      <c r="K508" s="81"/>
      <c r="L508" s="81"/>
      <c r="M508" s="289"/>
      <c r="N508" s="81"/>
      <c r="O508" s="81"/>
      <c r="P508" s="289"/>
      <c r="Q508" s="81"/>
      <c r="R508" s="81"/>
      <c r="S508" s="289"/>
      <c r="T508" s="81"/>
      <c r="U508" s="81"/>
      <c r="V508" s="81"/>
      <c r="W508" s="81"/>
      <c r="X508" s="81"/>
      <c r="Y508" s="81"/>
      <c r="Z508" s="81"/>
    </row>
    <row r="509" spans="1:26" ht="24" customHeight="1" x14ac:dyDescent="0.5">
      <c r="A509" s="81"/>
      <c r="B509" s="81"/>
      <c r="C509" s="81"/>
      <c r="D509" s="81"/>
      <c r="E509" s="81"/>
      <c r="F509" s="81"/>
      <c r="G509" s="81"/>
      <c r="H509" s="81"/>
      <c r="I509" s="81"/>
      <c r="J509" s="289"/>
      <c r="K509" s="81"/>
      <c r="L509" s="81"/>
      <c r="M509" s="289"/>
      <c r="N509" s="81"/>
      <c r="O509" s="81"/>
      <c r="P509" s="289"/>
      <c r="Q509" s="81"/>
      <c r="R509" s="81"/>
      <c r="S509" s="289"/>
      <c r="T509" s="81"/>
      <c r="U509" s="81"/>
      <c r="V509" s="81"/>
      <c r="W509" s="81"/>
      <c r="X509" s="81"/>
      <c r="Y509" s="81"/>
      <c r="Z509" s="81"/>
    </row>
    <row r="510" spans="1:26" ht="24" customHeight="1" x14ac:dyDescent="0.5">
      <c r="A510" s="81"/>
      <c r="B510" s="81"/>
      <c r="C510" s="81"/>
      <c r="D510" s="81"/>
      <c r="E510" s="81"/>
      <c r="F510" s="81"/>
      <c r="G510" s="81"/>
      <c r="H510" s="81"/>
      <c r="I510" s="81"/>
      <c r="J510" s="289"/>
      <c r="K510" s="81"/>
      <c r="L510" s="81"/>
      <c r="M510" s="289"/>
      <c r="N510" s="81"/>
      <c r="O510" s="81"/>
      <c r="P510" s="289"/>
      <c r="Q510" s="81"/>
      <c r="R510" s="81"/>
      <c r="S510" s="289"/>
      <c r="T510" s="81"/>
      <c r="U510" s="81"/>
      <c r="V510" s="81"/>
      <c r="W510" s="81"/>
      <c r="X510" s="81"/>
      <c r="Y510" s="81"/>
      <c r="Z510" s="81"/>
    </row>
    <row r="511" spans="1:26" ht="24" customHeight="1" x14ac:dyDescent="0.5">
      <c r="A511" s="81"/>
      <c r="B511" s="81"/>
      <c r="C511" s="81"/>
      <c r="D511" s="81"/>
      <c r="E511" s="81"/>
      <c r="F511" s="81"/>
      <c r="G511" s="81"/>
      <c r="H511" s="81"/>
      <c r="I511" s="81"/>
      <c r="J511" s="289"/>
      <c r="K511" s="81"/>
      <c r="L511" s="81"/>
      <c r="M511" s="289"/>
      <c r="N511" s="81"/>
      <c r="O511" s="81"/>
      <c r="P511" s="289"/>
      <c r="Q511" s="81"/>
      <c r="R511" s="81"/>
      <c r="S511" s="289"/>
      <c r="T511" s="81"/>
      <c r="U511" s="81"/>
      <c r="V511" s="81"/>
      <c r="W511" s="81"/>
      <c r="X511" s="81"/>
      <c r="Y511" s="81"/>
      <c r="Z511" s="81"/>
    </row>
    <row r="512" spans="1:26" ht="24" customHeight="1" x14ac:dyDescent="0.5">
      <c r="A512" s="81"/>
      <c r="B512" s="81"/>
      <c r="C512" s="81"/>
      <c r="D512" s="81"/>
      <c r="E512" s="81"/>
      <c r="F512" s="81"/>
      <c r="G512" s="81"/>
      <c r="H512" s="81"/>
      <c r="I512" s="81"/>
      <c r="J512" s="289"/>
      <c r="K512" s="81"/>
      <c r="L512" s="81"/>
      <c r="M512" s="289"/>
      <c r="N512" s="81"/>
      <c r="O512" s="81"/>
      <c r="P512" s="289"/>
      <c r="Q512" s="81"/>
      <c r="R512" s="81"/>
      <c r="S512" s="289"/>
      <c r="T512" s="81"/>
      <c r="U512" s="81"/>
      <c r="V512" s="81"/>
      <c r="W512" s="81"/>
      <c r="X512" s="81"/>
      <c r="Y512" s="81"/>
      <c r="Z512" s="81"/>
    </row>
    <row r="513" spans="1:26" ht="24" customHeight="1" x14ac:dyDescent="0.5">
      <c r="A513" s="81"/>
      <c r="B513" s="81"/>
      <c r="C513" s="81"/>
      <c r="D513" s="81"/>
      <c r="E513" s="81"/>
      <c r="F513" s="81"/>
      <c r="G513" s="81"/>
      <c r="H513" s="81"/>
      <c r="I513" s="81"/>
      <c r="J513" s="289"/>
      <c r="K513" s="81"/>
      <c r="L513" s="81"/>
      <c r="M513" s="289"/>
      <c r="N513" s="81"/>
      <c r="O513" s="81"/>
      <c r="P513" s="289"/>
      <c r="Q513" s="81"/>
      <c r="R513" s="81"/>
      <c r="S513" s="289"/>
      <c r="T513" s="81"/>
      <c r="U513" s="81"/>
      <c r="V513" s="81"/>
      <c r="W513" s="81"/>
      <c r="X513" s="81"/>
      <c r="Y513" s="81"/>
      <c r="Z513" s="81"/>
    </row>
    <row r="514" spans="1:26" ht="24" customHeight="1" x14ac:dyDescent="0.5">
      <c r="A514" s="81"/>
      <c r="B514" s="81"/>
      <c r="C514" s="81"/>
      <c r="D514" s="81"/>
      <c r="E514" s="81"/>
      <c r="F514" s="81"/>
      <c r="G514" s="81"/>
      <c r="H514" s="81"/>
      <c r="I514" s="81"/>
      <c r="J514" s="289"/>
      <c r="K514" s="81"/>
      <c r="L514" s="81"/>
      <c r="M514" s="289"/>
      <c r="N514" s="81"/>
      <c r="O514" s="81"/>
      <c r="P514" s="289"/>
      <c r="Q514" s="81"/>
      <c r="R514" s="81"/>
      <c r="S514" s="289"/>
      <c r="T514" s="81"/>
      <c r="U514" s="81"/>
      <c r="V514" s="81"/>
      <c r="W514" s="81"/>
      <c r="X514" s="81"/>
      <c r="Y514" s="81"/>
      <c r="Z514" s="81"/>
    </row>
    <row r="515" spans="1:26" ht="24" customHeight="1" x14ac:dyDescent="0.5">
      <c r="A515" s="81"/>
      <c r="B515" s="81"/>
      <c r="C515" s="81"/>
      <c r="D515" s="81"/>
      <c r="E515" s="81"/>
      <c r="F515" s="81"/>
      <c r="G515" s="81"/>
      <c r="H515" s="81"/>
      <c r="I515" s="81"/>
      <c r="J515" s="289"/>
      <c r="K515" s="81"/>
      <c r="L515" s="81"/>
      <c r="M515" s="289"/>
      <c r="N515" s="81"/>
      <c r="O515" s="81"/>
      <c r="P515" s="289"/>
      <c r="Q515" s="81"/>
      <c r="R515" s="81"/>
      <c r="S515" s="289"/>
      <c r="T515" s="81"/>
      <c r="U515" s="81"/>
      <c r="V515" s="81"/>
      <c r="W515" s="81"/>
      <c r="X515" s="81"/>
      <c r="Y515" s="81"/>
      <c r="Z515" s="81"/>
    </row>
    <row r="516" spans="1:26" ht="24" customHeight="1" x14ac:dyDescent="0.5">
      <c r="A516" s="81"/>
      <c r="B516" s="81"/>
      <c r="C516" s="81"/>
      <c r="D516" s="81"/>
      <c r="E516" s="81"/>
      <c r="F516" s="81"/>
      <c r="G516" s="81"/>
      <c r="H516" s="81"/>
      <c r="I516" s="81"/>
      <c r="J516" s="289"/>
      <c r="K516" s="81"/>
      <c r="L516" s="81"/>
      <c r="M516" s="289"/>
      <c r="N516" s="81"/>
      <c r="O516" s="81"/>
      <c r="P516" s="289"/>
      <c r="Q516" s="81"/>
      <c r="R516" s="81"/>
      <c r="S516" s="289"/>
      <c r="T516" s="81"/>
      <c r="U516" s="81"/>
      <c r="V516" s="81"/>
      <c r="W516" s="81"/>
      <c r="X516" s="81"/>
      <c r="Y516" s="81"/>
      <c r="Z516" s="81"/>
    </row>
    <row r="517" spans="1:26" ht="24" customHeight="1" x14ac:dyDescent="0.5">
      <c r="A517" s="81"/>
      <c r="B517" s="81"/>
      <c r="C517" s="81"/>
      <c r="D517" s="81"/>
      <c r="E517" s="81"/>
      <c r="F517" s="81"/>
      <c r="G517" s="81"/>
      <c r="H517" s="81"/>
      <c r="I517" s="81"/>
      <c r="J517" s="289"/>
      <c r="K517" s="81"/>
      <c r="L517" s="81"/>
      <c r="M517" s="289"/>
      <c r="N517" s="81"/>
      <c r="O517" s="81"/>
      <c r="P517" s="289"/>
      <c r="Q517" s="81"/>
      <c r="R517" s="81"/>
      <c r="S517" s="289"/>
      <c r="T517" s="81"/>
      <c r="U517" s="81"/>
      <c r="V517" s="81"/>
      <c r="W517" s="81"/>
      <c r="X517" s="81"/>
      <c r="Y517" s="81"/>
      <c r="Z517" s="81"/>
    </row>
    <row r="518" spans="1:26" ht="24" customHeight="1" x14ac:dyDescent="0.5">
      <c r="A518" s="81"/>
      <c r="B518" s="81"/>
      <c r="C518" s="81"/>
      <c r="D518" s="81"/>
      <c r="E518" s="81"/>
      <c r="F518" s="81"/>
      <c r="G518" s="81"/>
      <c r="H518" s="81"/>
      <c r="I518" s="81"/>
      <c r="J518" s="289"/>
      <c r="K518" s="81"/>
      <c r="L518" s="81"/>
      <c r="M518" s="289"/>
      <c r="N518" s="81"/>
      <c r="O518" s="81"/>
      <c r="P518" s="289"/>
      <c r="Q518" s="81"/>
      <c r="R518" s="81"/>
      <c r="S518" s="289"/>
      <c r="T518" s="81"/>
      <c r="U518" s="81"/>
      <c r="V518" s="81"/>
      <c r="W518" s="81"/>
      <c r="X518" s="81"/>
      <c r="Y518" s="81"/>
      <c r="Z518" s="81"/>
    </row>
    <row r="519" spans="1:26" ht="24" customHeight="1" x14ac:dyDescent="0.5">
      <c r="A519" s="81"/>
      <c r="B519" s="81"/>
      <c r="C519" s="81"/>
      <c r="D519" s="81"/>
      <c r="E519" s="81"/>
      <c r="F519" s="81"/>
      <c r="G519" s="81"/>
      <c r="H519" s="81"/>
      <c r="I519" s="81"/>
      <c r="J519" s="289"/>
      <c r="K519" s="81"/>
      <c r="L519" s="81"/>
      <c r="M519" s="289"/>
      <c r="N519" s="81"/>
      <c r="O519" s="81"/>
      <c r="P519" s="289"/>
      <c r="Q519" s="81"/>
      <c r="R519" s="81"/>
      <c r="S519" s="289"/>
      <c r="T519" s="81"/>
      <c r="U519" s="81"/>
      <c r="V519" s="81"/>
      <c r="W519" s="81"/>
      <c r="X519" s="81"/>
      <c r="Y519" s="81"/>
      <c r="Z519" s="81"/>
    </row>
    <row r="520" spans="1:26" ht="24" customHeight="1" x14ac:dyDescent="0.5">
      <c r="A520" s="81"/>
      <c r="B520" s="81"/>
      <c r="C520" s="81"/>
      <c r="D520" s="81"/>
      <c r="E520" s="81"/>
      <c r="F520" s="81"/>
      <c r="G520" s="81"/>
      <c r="H520" s="81"/>
      <c r="I520" s="81"/>
      <c r="J520" s="289"/>
      <c r="K520" s="81"/>
      <c r="L520" s="81"/>
      <c r="M520" s="289"/>
      <c r="N520" s="81"/>
      <c r="O520" s="81"/>
      <c r="P520" s="289"/>
      <c r="Q520" s="81"/>
      <c r="R520" s="81"/>
      <c r="S520" s="289"/>
      <c r="T520" s="81"/>
      <c r="U520" s="81"/>
      <c r="V520" s="81"/>
      <c r="W520" s="81"/>
      <c r="X520" s="81"/>
      <c r="Y520" s="81"/>
      <c r="Z520" s="81"/>
    </row>
    <row r="521" spans="1:26" ht="24" customHeight="1" x14ac:dyDescent="0.5">
      <c r="A521" s="81"/>
      <c r="B521" s="81"/>
      <c r="C521" s="81"/>
      <c r="D521" s="81"/>
      <c r="E521" s="81"/>
      <c r="F521" s="81"/>
      <c r="G521" s="81"/>
      <c r="H521" s="81"/>
      <c r="I521" s="81"/>
      <c r="J521" s="289"/>
      <c r="K521" s="81"/>
      <c r="L521" s="81"/>
      <c r="M521" s="289"/>
      <c r="N521" s="81"/>
      <c r="O521" s="81"/>
      <c r="P521" s="289"/>
      <c r="Q521" s="81"/>
      <c r="R521" s="81"/>
      <c r="S521" s="289"/>
      <c r="T521" s="81"/>
      <c r="U521" s="81"/>
      <c r="V521" s="81"/>
      <c r="W521" s="81"/>
      <c r="X521" s="81"/>
      <c r="Y521" s="81"/>
      <c r="Z521" s="81"/>
    </row>
    <row r="522" spans="1:26" ht="24" customHeight="1" x14ac:dyDescent="0.5">
      <c r="A522" s="81"/>
      <c r="B522" s="81"/>
      <c r="C522" s="81"/>
      <c r="D522" s="81"/>
      <c r="E522" s="81"/>
      <c r="F522" s="81"/>
      <c r="G522" s="81"/>
      <c r="H522" s="81"/>
      <c r="I522" s="81"/>
      <c r="J522" s="289"/>
      <c r="K522" s="81"/>
      <c r="L522" s="81"/>
      <c r="M522" s="289"/>
      <c r="N522" s="81"/>
      <c r="O522" s="81"/>
      <c r="P522" s="289"/>
      <c r="Q522" s="81"/>
      <c r="R522" s="81"/>
      <c r="S522" s="289"/>
      <c r="T522" s="81"/>
      <c r="U522" s="81"/>
      <c r="V522" s="81"/>
      <c r="W522" s="81"/>
      <c r="X522" s="81"/>
      <c r="Y522" s="81"/>
      <c r="Z522" s="81"/>
    </row>
    <row r="523" spans="1:26" ht="24" customHeight="1" x14ac:dyDescent="0.5">
      <c r="A523" s="81"/>
      <c r="B523" s="81"/>
      <c r="C523" s="81"/>
      <c r="D523" s="81"/>
      <c r="E523" s="81"/>
      <c r="F523" s="81"/>
      <c r="G523" s="81"/>
      <c r="H523" s="81"/>
      <c r="I523" s="81"/>
      <c r="J523" s="289"/>
      <c r="K523" s="81"/>
      <c r="L523" s="81"/>
      <c r="M523" s="289"/>
      <c r="N523" s="81"/>
      <c r="O523" s="81"/>
      <c r="P523" s="289"/>
      <c r="Q523" s="81"/>
      <c r="R523" s="81"/>
      <c r="S523" s="289"/>
      <c r="T523" s="81"/>
      <c r="U523" s="81"/>
      <c r="V523" s="81"/>
      <c r="W523" s="81"/>
      <c r="X523" s="81"/>
      <c r="Y523" s="81"/>
      <c r="Z523" s="81"/>
    </row>
    <row r="524" spans="1:26" ht="24" customHeight="1" x14ac:dyDescent="0.5">
      <c r="A524" s="81"/>
      <c r="B524" s="81"/>
      <c r="C524" s="81"/>
      <c r="D524" s="81"/>
      <c r="E524" s="81"/>
      <c r="F524" s="81"/>
      <c r="G524" s="81"/>
      <c r="H524" s="81"/>
      <c r="I524" s="81"/>
      <c r="J524" s="289"/>
      <c r="K524" s="81"/>
      <c r="L524" s="81"/>
      <c r="M524" s="289"/>
      <c r="N524" s="81"/>
      <c r="O524" s="81"/>
      <c r="P524" s="289"/>
      <c r="Q524" s="81"/>
      <c r="R524" s="81"/>
      <c r="S524" s="289"/>
      <c r="T524" s="81"/>
      <c r="U524" s="81"/>
      <c r="V524" s="81"/>
      <c r="W524" s="81"/>
      <c r="X524" s="81"/>
      <c r="Y524" s="81"/>
      <c r="Z524" s="81"/>
    </row>
    <row r="525" spans="1:26" ht="24" customHeight="1" x14ac:dyDescent="0.5">
      <c r="A525" s="81"/>
      <c r="B525" s="81"/>
      <c r="C525" s="81"/>
      <c r="D525" s="81"/>
      <c r="E525" s="81"/>
      <c r="F525" s="81"/>
      <c r="G525" s="81"/>
      <c r="H525" s="81"/>
      <c r="I525" s="81"/>
      <c r="J525" s="289"/>
      <c r="K525" s="81"/>
      <c r="L525" s="81"/>
      <c r="M525" s="289"/>
      <c r="N525" s="81"/>
      <c r="O525" s="81"/>
      <c r="P525" s="289"/>
      <c r="Q525" s="81"/>
      <c r="R525" s="81"/>
      <c r="S525" s="289"/>
      <c r="T525" s="81"/>
      <c r="U525" s="81"/>
      <c r="V525" s="81"/>
      <c r="W525" s="81"/>
      <c r="X525" s="81"/>
      <c r="Y525" s="81"/>
      <c r="Z525" s="81"/>
    </row>
    <row r="526" spans="1:26" ht="24" customHeight="1" x14ac:dyDescent="0.5">
      <c r="A526" s="81"/>
      <c r="B526" s="81"/>
      <c r="C526" s="81"/>
      <c r="D526" s="81"/>
      <c r="E526" s="81"/>
      <c r="F526" s="81"/>
      <c r="G526" s="81"/>
      <c r="H526" s="81"/>
      <c r="I526" s="81"/>
      <c r="J526" s="289"/>
      <c r="K526" s="81"/>
      <c r="L526" s="81"/>
      <c r="M526" s="289"/>
      <c r="N526" s="81"/>
      <c r="O526" s="81"/>
      <c r="P526" s="289"/>
      <c r="Q526" s="81"/>
      <c r="R526" s="81"/>
      <c r="S526" s="289"/>
      <c r="T526" s="81"/>
      <c r="U526" s="81"/>
      <c r="V526" s="81"/>
      <c r="W526" s="81"/>
      <c r="X526" s="81"/>
      <c r="Y526" s="81"/>
      <c r="Z526" s="81"/>
    </row>
    <row r="527" spans="1:26" ht="24" customHeight="1" x14ac:dyDescent="0.5">
      <c r="A527" s="81"/>
      <c r="B527" s="81"/>
      <c r="C527" s="81"/>
      <c r="D527" s="81"/>
      <c r="E527" s="81"/>
      <c r="F527" s="81"/>
      <c r="G527" s="81"/>
      <c r="H527" s="81"/>
      <c r="I527" s="81"/>
      <c r="J527" s="289"/>
      <c r="K527" s="81"/>
      <c r="L527" s="81"/>
      <c r="M527" s="289"/>
      <c r="N527" s="81"/>
      <c r="O527" s="81"/>
      <c r="P527" s="289"/>
      <c r="Q527" s="81"/>
      <c r="R527" s="81"/>
      <c r="S527" s="289"/>
      <c r="T527" s="81"/>
      <c r="U527" s="81"/>
      <c r="V527" s="81"/>
      <c r="W527" s="81"/>
      <c r="X527" s="81"/>
      <c r="Y527" s="81"/>
      <c r="Z527" s="81"/>
    </row>
    <row r="528" spans="1:26" ht="24" customHeight="1" x14ac:dyDescent="0.5">
      <c r="A528" s="81"/>
      <c r="B528" s="81"/>
      <c r="C528" s="81"/>
      <c r="D528" s="81"/>
      <c r="E528" s="81"/>
      <c r="F528" s="81"/>
      <c r="G528" s="81"/>
      <c r="H528" s="81"/>
      <c r="I528" s="81"/>
      <c r="J528" s="289"/>
      <c r="K528" s="81"/>
      <c r="L528" s="81"/>
      <c r="M528" s="289"/>
      <c r="N528" s="81"/>
      <c r="O528" s="81"/>
      <c r="P528" s="289"/>
      <c r="Q528" s="81"/>
      <c r="R528" s="81"/>
      <c r="S528" s="289"/>
      <c r="T528" s="81"/>
      <c r="U528" s="81"/>
      <c r="V528" s="81"/>
      <c r="W528" s="81"/>
      <c r="X528" s="81"/>
      <c r="Y528" s="81"/>
      <c r="Z528" s="81"/>
    </row>
    <row r="529" spans="1:26" ht="24" customHeight="1" x14ac:dyDescent="0.5">
      <c r="A529" s="81"/>
      <c r="B529" s="81"/>
      <c r="C529" s="81"/>
      <c r="D529" s="81"/>
      <c r="E529" s="81"/>
      <c r="F529" s="81"/>
      <c r="G529" s="81"/>
      <c r="H529" s="81"/>
      <c r="I529" s="81"/>
      <c r="J529" s="289"/>
      <c r="K529" s="81"/>
      <c r="L529" s="81"/>
      <c r="M529" s="289"/>
      <c r="N529" s="81"/>
      <c r="O529" s="81"/>
      <c r="P529" s="289"/>
      <c r="Q529" s="81"/>
      <c r="R529" s="81"/>
      <c r="S529" s="289"/>
      <c r="T529" s="81"/>
      <c r="U529" s="81"/>
      <c r="V529" s="81"/>
      <c r="W529" s="81"/>
      <c r="X529" s="81"/>
      <c r="Y529" s="81"/>
      <c r="Z529" s="81"/>
    </row>
    <row r="530" spans="1:26" ht="24" customHeight="1" x14ac:dyDescent="0.5">
      <c r="A530" s="81"/>
      <c r="B530" s="81"/>
      <c r="C530" s="81"/>
      <c r="D530" s="81"/>
      <c r="E530" s="81"/>
      <c r="F530" s="81"/>
      <c r="G530" s="81"/>
      <c r="H530" s="81"/>
      <c r="I530" s="81"/>
      <c r="J530" s="289"/>
      <c r="K530" s="81"/>
      <c r="L530" s="81"/>
      <c r="M530" s="289"/>
      <c r="N530" s="81"/>
      <c r="O530" s="81"/>
      <c r="P530" s="289"/>
      <c r="Q530" s="81"/>
      <c r="R530" s="81"/>
      <c r="S530" s="289"/>
      <c r="T530" s="81"/>
      <c r="U530" s="81"/>
      <c r="V530" s="81"/>
      <c r="W530" s="81"/>
      <c r="X530" s="81"/>
      <c r="Y530" s="81"/>
      <c r="Z530" s="81"/>
    </row>
    <row r="531" spans="1:26" ht="24" customHeight="1" x14ac:dyDescent="0.5">
      <c r="A531" s="81"/>
      <c r="B531" s="81"/>
      <c r="C531" s="81"/>
      <c r="D531" s="81"/>
      <c r="E531" s="81"/>
      <c r="F531" s="81"/>
      <c r="G531" s="81"/>
      <c r="H531" s="81"/>
      <c r="I531" s="81"/>
      <c r="J531" s="289"/>
      <c r="K531" s="81"/>
      <c r="L531" s="81"/>
      <c r="M531" s="289"/>
      <c r="N531" s="81"/>
      <c r="O531" s="81"/>
      <c r="P531" s="289"/>
      <c r="Q531" s="81"/>
      <c r="R531" s="81"/>
      <c r="S531" s="289"/>
      <c r="T531" s="81"/>
      <c r="U531" s="81"/>
      <c r="V531" s="81"/>
      <c r="W531" s="81"/>
      <c r="X531" s="81"/>
      <c r="Y531" s="81"/>
      <c r="Z531" s="81"/>
    </row>
    <row r="532" spans="1:26" ht="24" customHeight="1" x14ac:dyDescent="0.5">
      <c r="A532" s="81"/>
      <c r="B532" s="81"/>
      <c r="C532" s="81"/>
      <c r="D532" s="81"/>
      <c r="E532" s="81"/>
      <c r="F532" s="81"/>
      <c r="G532" s="81"/>
      <c r="H532" s="81"/>
      <c r="I532" s="81"/>
      <c r="J532" s="289"/>
      <c r="K532" s="81"/>
      <c r="L532" s="81"/>
      <c r="M532" s="289"/>
      <c r="N532" s="81"/>
      <c r="O532" s="81"/>
      <c r="P532" s="289"/>
      <c r="Q532" s="81"/>
      <c r="R532" s="81"/>
      <c r="S532" s="289"/>
      <c r="T532" s="81"/>
      <c r="U532" s="81"/>
      <c r="V532" s="81"/>
      <c r="W532" s="81"/>
      <c r="X532" s="81"/>
      <c r="Y532" s="81"/>
      <c r="Z532" s="81"/>
    </row>
    <row r="533" spans="1:26" ht="24" customHeight="1" x14ac:dyDescent="0.5">
      <c r="A533" s="81"/>
      <c r="B533" s="81"/>
      <c r="C533" s="81"/>
      <c r="D533" s="81"/>
      <c r="E533" s="81"/>
      <c r="F533" s="81"/>
      <c r="G533" s="81"/>
      <c r="H533" s="81"/>
      <c r="I533" s="81"/>
      <c r="J533" s="289"/>
      <c r="K533" s="81"/>
      <c r="L533" s="81"/>
      <c r="M533" s="289"/>
      <c r="N533" s="81"/>
      <c r="O533" s="81"/>
      <c r="P533" s="289"/>
      <c r="Q533" s="81"/>
      <c r="R533" s="81"/>
      <c r="S533" s="289"/>
      <c r="T533" s="81"/>
      <c r="U533" s="81"/>
      <c r="V533" s="81"/>
      <c r="W533" s="81"/>
      <c r="X533" s="81"/>
      <c r="Y533" s="81"/>
      <c r="Z533" s="81"/>
    </row>
    <row r="534" spans="1:26" ht="24" customHeight="1" x14ac:dyDescent="0.5">
      <c r="A534" s="81"/>
      <c r="B534" s="81"/>
      <c r="C534" s="81"/>
      <c r="D534" s="81"/>
      <c r="E534" s="81"/>
      <c r="F534" s="81"/>
      <c r="G534" s="81"/>
      <c r="H534" s="81"/>
      <c r="I534" s="81"/>
      <c r="J534" s="289"/>
      <c r="K534" s="81"/>
      <c r="L534" s="81"/>
      <c r="M534" s="289"/>
      <c r="N534" s="81"/>
      <c r="O534" s="81"/>
      <c r="P534" s="289"/>
      <c r="Q534" s="81"/>
      <c r="R534" s="81"/>
      <c r="S534" s="289"/>
      <c r="T534" s="81"/>
      <c r="U534" s="81"/>
      <c r="V534" s="81"/>
      <c r="W534" s="81"/>
      <c r="X534" s="81"/>
      <c r="Y534" s="81"/>
      <c r="Z534" s="81"/>
    </row>
    <row r="535" spans="1:26" ht="24" customHeight="1" x14ac:dyDescent="0.5">
      <c r="A535" s="81"/>
      <c r="B535" s="81"/>
      <c r="C535" s="81"/>
      <c r="D535" s="81"/>
      <c r="E535" s="81"/>
      <c r="F535" s="81"/>
      <c r="G535" s="81"/>
      <c r="H535" s="81"/>
      <c r="I535" s="81"/>
      <c r="J535" s="289"/>
      <c r="K535" s="81"/>
      <c r="L535" s="81"/>
      <c r="M535" s="289"/>
      <c r="N535" s="81"/>
      <c r="O535" s="81"/>
      <c r="P535" s="289"/>
      <c r="Q535" s="81"/>
      <c r="R535" s="81"/>
      <c r="S535" s="289"/>
      <c r="T535" s="81"/>
      <c r="U535" s="81"/>
      <c r="V535" s="81"/>
      <c r="W535" s="81"/>
      <c r="X535" s="81"/>
      <c r="Y535" s="81"/>
      <c r="Z535" s="81"/>
    </row>
    <row r="536" spans="1:26" ht="24" customHeight="1" x14ac:dyDescent="0.5">
      <c r="A536" s="81"/>
      <c r="B536" s="81"/>
      <c r="C536" s="81"/>
      <c r="D536" s="81"/>
      <c r="E536" s="81"/>
      <c r="F536" s="81"/>
      <c r="G536" s="81"/>
      <c r="H536" s="81"/>
      <c r="I536" s="81"/>
      <c r="J536" s="289"/>
      <c r="K536" s="81"/>
      <c r="L536" s="81"/>
      <c r="M536" s="289"/>
      <c r="N536" s="81"/>
      <c r="O536" s="81"/>
      <c r="P536" s="289"/>
      <c r="Q536" s="81"/>
      <c r="R536" s="81"/>
      <c r="S536" s="289"/>
      <c r="T536" s="81"/>
      <c r="U536" s="81"/>
      <c r="V536" s="81"/>
      <c r="W536" s="81"/>
      <c r="X536" s="81"/>
      <c r="Y536" s="81"/>
      <c r="Z536" s="81"/>
    </row>
    <row r="537" spans="1:26" ht="24" customHeight="1" x14ac:dyDescent="0.5">
      <c r="A537" s="81"/>
      <c r="B537" s="81"/>
      <c r="C537" s="81"/>
      <c r="D537" s="81"/>
      <c r="E537" s="81"/>
      <c r="F537" s="81"/>
      <c r="G537" s="81"/>
      <c r="H537" s="81"/>
      <c r="I537" s="81"/>
      <c r="J537" s="289"/>
      <c r="K537" s="81"/>
      <c r="L537" s="81"/>
      <c r="M537" s="289"/>
      <c r="N537" s="81"/>
      <c r="O537" s="81"/>
      <c r="P537" s="289"/>
      <c r="Q537" s="81"/>
      <c r="R537" s="81"/>
      <c r="S537" s="289"/>
      <c r="T537" s="81"/>
      <c r="U537" s="81"/>
      <c r="V537" s="81"/>
      <c r="W537" s="81"/>
      <c r="X537" s="81"/>
      <c r="Y537" s="81"/>
      <c r="Z537" s="81"/>
    </row>
    <row r="538" spans="1:26" ht="24" customHeight="1" x14ac:dyDescent="0.5">
      <c r="A538" s="81"/>
      <c r="B538" s="81"/>
      <c r="C538" s="81"/>
      <c r="D538" s="81"/>
      <c r="E538" s="81"/>
      <c r="F538" s="81"/>
      <c r="G538" s="81"/>
      <c r="H538" s="81"/>
      <c r="I538" s="81"/>
      <c r="J538" s="289"/>
      <c r="K538" s="81"/>
      <c r="L538" s="81"/>
      <c r="M538" s="289"/>
      <c r="N538" s="81"/>
      <c r="O538" s="81"/>
      <c r="P538" s="289"/>
      <c r="Q538" s="81"/>
      <c r="R538" s="81"/>
      <c r="S538" s="289"/>
      <c r="T538" s="81"/>
      <c r="U538" s="81"/>
      <c r="V538" s="81"/>
      <c r="W538" s="81"/>
      <c r="X538" s="81"/>
      <c r="Y538" s="81"/>
      <c r="Z538" s="81"/>
    </row>
    <row r="539" spans="1:26" ht="24" customHeight="1" x14ac:dyDescent="0.5">
      <c r="A539" s="81"/>
      <c r="B539" s="81"/>
      <c r="C539" s="81"/>
      <c r="D539" s="81"/>
      <c r="E539" s="81"/>
      <c r="F539" s="81"/>
      <c r="G539" s="81"/>
      <c r="H539" s="81"/>
      <c r="I539" s="81"/>
      <c r="J539" s="289"/>
      <c r="K539" s="81"/>
      <c r="L539" s="81"/>
      <c r="M539" s="289"/>
      <c r="N539" s="81"/>
      <c r="O539" s="81"/>
      <c r="P539" s="289"/>
      <c r="Q539" s="81"/>
      <c r="R539" s="81"/>
      <c r="S539" s="289"/>
      <c r="T539" s="81"/>
      <c r="U539" s="81"/>
      <c r="V539" s="81"/>
      <c r="W539" s="81"/>
      <c r="X539" s="81"/>
      <c r="Y539" s="81"/>
      <c r="Z539" s="81"/>
    </row>
    <row r="540" spans="1:26" ht="24" customHeight="1" x14ac:dyDescent="0.5">
      <c r="A540" s="81"/>
      <c r="B540" s="81"/>
      <c r="C540" s="81"/>
      <c r="D540" s="81"/>
      <c r="E540" s="81"/>
      <c r="F540" s="81"/>
      <c r="G540" s="81"/>
      <c r="H540" s="81"/>
      <c r="I540" s="81"/>
      <c r="J540" s="289"/>
      <c r="K540" s="81"/>
      <c r="L540" s="81"/>
      <c r="M540" s="289"/>
      <c r="N540" s="81"/>
      <c r="O540" s="81"/>
      <c r="P540" s="289"/>
      <c r="Q540" s="81"/>
      <c r="R540" s="81"/>
      <c r="S540" s="289"/>
      <c r="T540" s="81"/>
      <c r="U540" s="81"/>
      <c r="V540" s="81"/>
      <c r="W540" s="81"/>
      <c r="X540" s="81"/>
      <c r="Y540" s="81"/>
      <c r="Z540" s="81"/>
    </row>
    <row r="541" spans="1:26" ht="24" customHeight="1" x14ac:dyDescent="0.5">
      <c r="A541" s="81"/>
      <c r="B541" s="81"/>
      <c r="C541" s="81"/>
      <c r="D541" s="81"/>
      <c r="E541" s="81"/>
      <c r="F541" s="81"/>
      <c r="G541" s="81"/>
      <c r="H541" s="81"/>
      <c r="I541" s="81"/>
      <c r="J541" s="289"/>
      <c r="K541" s="81"/>
      <c r="L541" s="81"/>
      <c r="M541" s="289"/>
      <c r="N541" s="81"/>
      <c r="O541" s="81"/>
      <c r="P541" s="289"/>
      <c r="Q541" s="81"/>
      <c r="R541" s="81"/>
      <c r="S541" s="289"/>
      <c r="T541" s="81"/>
      <c r="U541" s="81"/>
      <c r="V541" s="81"/>
      <c r="W541" s="81"/>
      <c r="X541" s="81"/>
      <c r="Y541" s="81"/>
      <c r="Z541" s="81"/>
    </row>
    <row r="542" spans="1:26" ht="24" customHeight="1" x14ac:dyDescent="0.5">
      <c r="A542" s="81"/>
      <c r="B542" s="81"/>
      <c r="C542" s="81"/>
      <c r="D542" s="81"/>
      <c r="E542" s="81"/>
      <c r="F542" s="81"/>
      <c r="G542" s="81"/>
      <c r="H542" s="81"/>
      <c r="I542" s="81"/>
      <c r="J542" s="289"/>
      <c r="K542" s="81"/>
      <c r="L542" s="81"/>
      <c r="M542" s="289"/>
      <c r="N542" s="81"/>
      <c r="O542" s="81"/>
      <c r="P542" s="289"/>
      <c r="Q542" s="81"/>
      <c r="R542" s="81"/>
      <c r="S542" s="289"/>
      <c r="T542" s="81"/>
      <c r="U542" s="81"/>
      <c r="V542" s="81"/>
      <c r="W542" s="81"/>
      <c r="X542" s="81"/>
      <c r="Y542" s="81"/>
      <c r="Z542" s="81"/>
    </row>
    <row r="543" spans="1:26" ht="24" customHeight="1" x14ac:dyDescent="0.5">
      <c r="A543" s="81"/>
      <c r="B543" s="81"/>
      <c r="C543" s="81"/>
      <c r="D543" s="81"/>
      <c r="E543" s="81"/>
      <c r="F543" s="81"/>
      <c r="G543" s="81"/>
      <c r="H543" s="81"/>
      <c r="I543" s="81"/>
      <c r="J543" s="289"/>
      <c r="K543" s="81"/>
      <c r="L543" s="81"/>
      <c r="M543" s="289"/>
      <c r="N543" s="81"/>
      <c r="O543" s="81"/>
      <c r="P543" s="289"/>
      <c r="Q543" s="81"/>
      <c r="R543" s="81"/>
      <c r="S543" s="289"/>
      <c r="T543" s="81"/>
      <c r="U543" s="81"/>
      <c r="V543" s="81"/>
      <c r="W543" s="81"/>
      <c r="X543" s="81"/>
      <c r="Y543" s="81"/>
      <c r="Z543" s="81"/>
    </row>
    <row r="544" spans="1:26" ht="24" customHeight="1" x14ac:dyDescent="0.5">
      <c r="A544" s="81"/>
      <c r="B544" s="81"/>
      <c r="C544" s="81"/>
      <c r="D544" s="81"/>
      <c r="E544" s="81"/>
      <c r="F544" s="81"/>
      <c r="G544" s="81"/>
      <c r="H544" s="81"/>
      <c r="I544" s="81"/>
      <c r="J544" s="289"/>
      <c r="K544" s="81"/>
      <c r="L544" s="81"/>
      <c r="M544" s="289"/>
      <c r="N544" s="81"/>
      <c r="O544" s="81"/>
      <c r="P544" s="289"/>
      <c r="Q544" s="81"/>
      <c r="R544" s="81"/>
      <c r="S544" s="289"/>
      <c r="T544" s="81"/>
      <c r="U544" s="81"/>
      <c r="V544" s="81"/>
      <c r="W544" s="81"/>
      <c r="X544" s="81"/>
      <c r="Y544" s="81"/>
      <c r="Z544" s="81"/>
    </row>
    <row r="545" spans="1:26" ht="24" customHeight="1" x14ac:dyDescent="0.5">
      <c r="A545" s="81"/>
      <c r="B545" s="81"/>
      <c r="C545" s="81"/>
      <c r="D545" s="81"/>
      <c r="E545" s="81"/>
      <c r="F545" s="81"/>
      <c r="G545" s="81"/>
      <c r="H545" s="81"/>
      <c r="I545" s="81"/>
      <c r="J545" s="289"/>
      <c r="K545" s="81"/>
      <c r="L545" s="81"/>
      <c r="M545" s="289"/>
      <c r="N545" s="81"/>
      <c r="O545" s="81"/>
      <c r="P545" s="289"/>
      <c r="Q545" s="81"/>
      <c r="R545" s="81"/>
      <c r="S545" s="289"/>
      <c r="T545" s="81"/>
      <c r="U545" s="81"/>
      <c r="V545" s="81"/>
      <c r="W545" s="81"/>
      <c r="X545" s="81"/>
      <c r="Y545" s="81"/>
      <c r="Z545" s="81"/>
    </row>
    <row r="546" spans="1:26" ht="24" customHeight="1" x14ac:dyDescent="0.5">
      <c r="A546" s="81"/>
      <c r="B546" s="81"/>
      <c r="C546" s="81"/>
      <c r="D546" s="81"/>
      <c r="E546" s="81"/>
      <c r="F546" s="81"/>
      <c r="G546" s="81"/>
      <c r="H546" s="81"/>
      <c r="I546" s="81"/>
      <c r="J546" s="289"/>
      <c r="K546" s="81"/>
      <c r="L546" s="81"/>
      <c r="M546" s="289"/>
      <c r="N546" s="81"/>
      <c r="O546" s="81"/>
      <c r="P546" s="289"/>
      <c r="Q546" s="81"/>
      <c r="R546" s="81"/>
      <c r="S546" s="289"/>
      <c r="T546" s="81"/>
      <c r="U546" s="81"/>
      <c r="V546" s="81"/>
      <c r="W546" s="81"/>
      <c r="X546" s="81"/>
      <c r="Y546" s="81"/>
      <c r="Z546" s="81"/>
    </row>
    <row r="547" spans="1:26" ht="24" customHeight="1" x14ac:dyDescent="0.5">
      <c r="A547" s="81"/>
      <c r="B547" s="81"/>
      <c r="C547" s="81"/>
      <c r="D547" s="81"/>
      <c r="E547" s="81"/>
      <c r="F547" s="81"/>
      <c r="G547" s="81"/>
      <c r="H547" s="81"/>
      <c r="I547" s="81"/>
      <c r="J547" s="289"/>
      <c r="K547" s="81"/>
      <c r="L547" s="81"/>
      <c r="M547" s="289"/>
      <c r="N547" s="81"/>
      <c r="O547" s="81"/>
      <c r="P547" s="289"/>
      <c r="Q547" s="81"/>
      <c r="R547" s="81"/>
      <c r="S547" s="289"/>
      <c r="T547" s="81"/>
      <c r="U547" s="81"/>
      <c r="V547" s="81"/>
      <c r="W547" s="81"/>
      <c r="X547" s="81"/>
      <c r="Y547" s="81"/>
      <c r="Z547" s="81"/>
    </row>
    <row r="548" spans="1:26" ht="24" customHeight="1" x14ac:dyDescent="0.5">
      <c r="A548" s="81"/>
      <c r="B548" s="81"/>
      <c r="C548" s="81"/>
      <c r="D548" s="81"/>
      <c r="E548" s="81"/>
      <c r="F548" s="81"/>
      <c r="G548" s="81"/>
      <c r="H548" s="81"/>
      <c r="I548" s="81"/>
      <c r="J548" s="289"/>
      <c r="K548" s="81"/>
      <c r="L548" s="81"/>
      <c r="M548" s="289"/>
      <c r="N548" s="81"/>
      <c r="O548" s="81"/>
      <c r="P548" s="289"/>
      <c r="Q548" s="81"/>
      <c r="R548" s="81"/>
      <c r="S548" s="289"/>
      <c r="T548" s="81"/>
      <c r="U548" s="81"/>
      <c r="V548" s="81"/>
      <c r="W548" s="81"/>
      <c r="X548" s="81"/>
      <c r="Y548" s="81"/>
      <c r="Z548" s="81"/>
    </row>
    <row r="549" spans="1:26" ht="24" customHeight="1" x14ac:dyDescent="0.5">
      <c r="A549" s="81"/>
      <c r="B549" s="81"/>
      <c r="C549" s="81"/>
      <c r="D549" s="81"/>
      <c r="E549" s="81"/>
      <c r="F549" s="81"/>
      <c r="G549" s="81"/>
      <c r="H549" s="81"/>
      <c r="I549" s="81"/>
      <c r="J549" s="289"/>
      <c r="K549" s="81"/>
      <c r="L549" s="81"/>
      <c r="M549" s="289"/>
      <c r="N549" s="81"/>
      <c r="O549" s="81"/>
      <c r="P549" s="289"/>
      <c r="Q549" s="81"/>
      <c r="R549" s="81"/>
      <c r="S549" s="289"/>
      <c r="T549" s="81"/>
      <c r="U549" s="81"/>
      <c r="V549" s="81"/>
      <c r="W549" s="81"/>
      <c r="X549" s="81"/>
      <c r="Y549" s="81"/>
      <c r="Z549" s="81"/>
    </row>
    <row r="550" spans="1:26" ht="24" customHeight="1" x14ac:dyDescent="0.5">
      <c r="A550" s="81"/>
      <c r="B550" s="81"/>
      <c r="C550" s="81"/>
      <c r="D550" s="81"/>
      <c r="E550" s="81"/>
      <c r="F550" s="81"/>
      <c r="G550" s="81"/>
      <c r="H550" s="81"/>
      <c r="I550" s="81"/>
      <c r="J550" s="289"/>
      <c r="K550" s="81"/>
      <c r="L550" s="81"/>
      <c r="M550" s="289"/>
      <c r="N550" s="81"/>
      <c r="O550" s="81"/>
      <c r="P550" s="289"/>
      <c r="Q550" s="81"/>
      <c r="R550" s="81"/>
      <c r="S550" s="289"/>
      <c r="T550" s="81"/>
      <c r="U550" s="81"/>
      <c r="V550" s="81"/>
      <c r="W550" s="81"/>
      <c r="X550" s="81"/>
      <c r="Y550" s="81"/>
      <c r="Z550" s="81"/>
    </row>
    <row r="551" spans="1:26" ht="24" customHeight="1" x14ac:dyDescent="0.5">
      <c r="A551" s="81"/>
      <c r="B551" s="81"/>
      <c r="C551" s="81"/>
      <c r="D551" s="81"/>
      <c r="E551" s="81"/>
      <c r="F551" s="81"/>
      <c r="G551" s="81"/>
      <c r="H551" s="81"/>
      <c r="I551" s="81"/>
      <c r="J551" s="289"/>
      <c r="K551" s="81"/>
      <c r="L551" s="81"/>
      <c r="M551" s="289"/>
      <c r="N551" s="81"/>
      <c r="O551" s="81"/>
      <c r="P551" s="289"/>
      <c r="Q551" s="81"/>
      <c r="R551" s="81"/>
      <c r="S551" s="289"/>
      <c r="T551" s="81"/>
      <c r="U551" s="81"/>
      <c r="V551" s="81"/>
      <c r="W551" s="81"/>
      <c r="X551" s="81"/>
      <c r="Y551" s="81"/>
      <c r="Z551" s="81"/>
    </row>
    <row r="552" spans="1:26" ht="24" customHeight="1" x14ac:dyDescent="0.5">
      <c r="A552" s="81"/>
      <c r="B552" s="81"/>
      <c r="C552" s="81"/>
      <c r="D552" s="81"/>
      <c r="E552" s="81"/>
      <c r="F552" s="81"/>
      <c r="G552" s="81"/>
      <c r="H552" s="81"/>
      <c r="I552" s="81"/>
      <c r="J552" s="289"/>
      <c r="K552" s="81"/>
      <c r="L552" s="81"/>
      <c r="M552" s="289"/>
      <c r="N552" s="81"/>
      <c r="O552" s="81"/>
      <c r="P552" s="289"/>
      <c r="Q552" s="81"/>
      <c r="R552" s="81"/>
      <c r="S552" s="289"/>
      <c r="T552" s="81"/>
      <c r="U552" s="81"/>
      <c r="V552" s="81"/>
      <c r="W552" s="81"/>
      <c r="X552" s="81"/>
      <c r="Y552" s="81"/>
      <c r="Z552" s="81"/>
    </row>
    <row r="553" spans="1:26" ht="24" customHeight="1" x14ac:dyDescent="0.5">
      <c r="A553" s="81"/>
      <c r="B553" s="81"/>
      <c r="C553" s="81"/>
      <c r="D553" s="81"/>
      <c r="E553" s="81"/>
      <c r="F553" s="81"/>
      <c r="G553" s="81"/>
      <c r="H553" s="81"/>
      <c r="I553" s="81"/>
      <c r="J553" s="289"/>
      <c r="K553" s="81"/>
      <c r="L553" s="81"/>
      <c r="M553" s="289"/>
      <c r="N553" s="81"/>
      <c r="O553" s="81"/>
      <c r="P553" s="289"/>
      <c r="Q553" s="81"/>
      <c r="R553" s="81"/>
      <c r="S553" s="289"/>
      <c r="T553" s="81"/>
      <c r="U553" s="81"/>
      <c r="V553" s="81"/>
      <c r="W553" s="81"/>
      <c r="X553" s="81"/>
      <c r="Y553" s="81"/>
      <c r="Z553" s="81"/>
    </row>
    <row r="554" spans="1:26" ht="24" customHeight="1" x14ac:dyDescent="0.5">
      <c r="A554" s="81"/>
      <c r="B554" s="81"/>
      <c r="C554" s="81"/>
      <c r="D554" s="81"/>
      <c r="E554" s="81"/>
      <c r="F554" s="81"/>
      <c r="G554" s="81"/>
      <c r="H554" s="81"/>
      <c r="I554" s="81"/>
      <c r="J554" s="289"/>
      <c r="K554" s="81"/>
      <c r="L554" s="81"/>
      <c r="M554" s="289"/>
      <c r="N554" s="81"/>
      <c r="O554" s="81"/>
      <c r="P554" s="289"/>
      <c r="Q554" s="81"/>
      <c r="R554" s="81"/>
      <c r="S554" s="289"/>
      <c r="T554" s="81"/>
      <c r="U554" s="81"/>
      <c r="V554" s="81"/>
      <c r="W554" s="81"/>
      <c r="X554" s="81"/>
      <c r="Y554" s="81"/>
      <c r="Z554" s="81"/>
    </row>
    <row r="555" spans="1:26" ht="24" customHeight="1" x14ac:dyDescent="0.5">
      <c r="A555" s="81"/>
      <c r="B555" s="81"/>
      <c r="C555" s="81"/>
      <c r="D555" s="81"/>
      <c r="E555" s="81"/>
      <c r="F555" s="81"/>
      <c r="G555" s="81"/>
      <c r="H555" s="81"/>
      <c r="I555" s="81"/>
      <c r="J555" s="289"/>
      <c r="K555" s="81"/>
      <c r="L555" s="81"/>
      <c r="M555" s="289"/>
      <c r="N555" s="81"/>
      <c r="O555" s="81"/>
      <c r="P555" s="289"/>
      <c r="Q555" s="81"/>
      <c r="R555" s="81"/>
      <c r="S555" s="289"/>
      <c r="T555" s="81"/>
      <c r="U555" s="81"/>
      <c r="V555" s="81"/>
      <c r="W555" s="81"/>
      <c r="X555" s="81"/>
      <c r="Y555" s="81"/>
      <c r="Z555" s="81"/>
    </row>
    <row r="556" spans="1:26" ht="24" customHeight="1" x14ac:dyDescent="0.5">
      <c r="A556" s="81"/>
      <c r="B556" s="81"/>
      <c r="C556" s="81"/>
      <c r="D556" s="81"/>
      <c r="E556" s="81"/>
      <c r="F556" s="81"/>
      <c r="G556" s="81"/>
      <c r="H556" s="81"/>
      <c r="I556" s="81"/>
      <c r="J556" s="289"/>
      <c r="K556" s="81"/>
      <c r="L556" s="81"/>
      <c r="M556" s="289"/>
      <c r="N556" s="81"/>
      <c r="O556" s="81"/>
      <c r="P556" s="289"/>
      <c r="Q556" s="81"/>
      <c r="R556" s="81"/>
      <c r="S556" s="289"/>
      <c r="T556" s="81"/>
      <c r="U556" s="81"/>
      <c r="V556" s="81"/>
      <c r="W556" s="81"/>
      <c r="X556" s="81"/>
      <c r="Y556" s="81"/>
      <c r="Z556" s="81"/>
    </row>
    <row r="557" spans="1:26" ht="24" customHeight="1" x14ac:dyDescent="0.5">
      <c r="A557" s="81"/>
      <c r="B557" s="81"/>
      <c r="C557" s="81"/>
      <c r="D557" s="81"/>
      <c r="E557" s="81"/>
      <c r="F557" s="81"/>
      <c r="G557" s="81"/>
      <c r="H557" s="81"/>
      <c r="I557" s="81"/>
      <c r="J557" s="289"/>
      <c r="K557" s="81"/>
      <c r="L557" s="81"/>
      <c r="M557" s="289"/>
      <c r="N557" s="81"/>
      <c r="O557" s="81"/>
      <c r="P557" s="289"/>
      <c r="Q557" s="81"/>
      <c r="R557" s="81"/>
      <c r="S557" s="289"/>
      <c r="T557" s="81"/>
      <c r="U557" s="81"/>
      <c r="V557" s="81"/>
      <c r="W557" s="81"/>
      <c r="X557" s="81"/>
      <c r="Y557" s="81"/>
      <c r="Z557" s="81"/>
    </row>
    <row r="558" spans="1:26" ht="24" customHeight="1" x14ac:dyDescent="0.5">
      <c r="A558" s="81"/>
      <c r="B558" s="81"/>
      <c r="C558" s="81"/>
      <c r="D558" s="81"/>
      <c r="E558" s="81"/>
      <c r="F558" s="81"/>
      <c r="G558" s="81"/>
      <c r="H558" s="81"/>
      <c r="I558" s="81"/>
      <c r="J558" s="289"/>
      <c r="K558" s="81"/>
      <c r="L558" s="81"/>
      <c r="M558" s="289"/>
      <c r="N558" s="81"/>
      <c r="O558" s="81"/>
      <c r="P558" s="289"/>
      <c r="Q558" s="81"/>
      <c r="R558" s="81"/>
      <c r="S558" s="289"/>
      <c r="T558" s="81"/>
      <c r="U558" s="81"/>
      <c r="V558" s="81"/>
      <c r="W558" s="81"/>
      <c r="X558" s="81"/>
      <c r="Y558" s="81"/>
      <c r="Z558" s="81"/>
    </row>
    <row r="559" spans="1:26" ht="24" customHeight="1" x14ac:dyDescent="0.5">
      <c r="A559" s="81"/>
      <c r="B559" s="81"/>
      <c r="C559" s="81"/>
      <c r="D559" s="81"/>
      <c r="E559" s="81"/>
      <c r="F559" s="81"/>
      <c r="G559" s="81"/>
      <c r="H559" s="81"/>
      <c r="I559" s="81"/>
      <c r="J559" s="289"/>
      <c r="K559" s="81"/>
      <c r="L559" s="81"/>
      <c r="M559" s="289"/>
      <c r="N559" s="81"/>
      <c r="O559" s="81"/>
      <c r="P559" s="289"/>
      <c r="Q559" s="81"/>
      <c r="R559" s="81"/>
      <c r="S559" s="289"/>
      <c r="T559" s="81"/>
      <c r="U559" s="81"/>
      <c r="V559" s="81"/>
      <c r="W559" s="81"/>
      <c r="X559" s="81"/>
      <c r="Y559" s="81"/>
      <c r="Z559" s="81"/>
    </row>
    <row r="560" spans="1:26" ht="24" customHeight="1" x14ac:dyDescent="0.5">
      <c r="A560" s="81"/>
      <c r="B560" s="81"/>
      <c r="C560" s="81"/>
      <c r="D560" s="81"/>
      <c r="E560" s="81"/>
      <c r="F560" s="81"/>
      <c r="G560" s="81"/>
      <c r="H560" s="81"/>
      <c r="I560" s="81"/>
      <c r="J560" s="289"/>
      <c r="K560" s="81"/>
      <c r="L560" s="81"/>
      <c r="M560" s="289"/>
      <c r="N560" s="81"/>
      <c r="O560" s="81"/>
      <c r="P560" s="289"/>
      <c r="Q560" s="81"/>
      <c r="R560" s="81"/>
      <c r="S560" s="289"/>
      <c r="T560" s="81"/>
      <c r="U560" s="81"/>
      <c r="V560" s="81"/>
      <c r="W560" s="81"/>
      <c r="X560" s="81"/>
      <c r="Y560" s="81"/>
      <c r="Z560" s="81"/>
    </row>
    <row r="561" spans="1:26" ht="24" customHeight="1" x14ac:dyDescent="0.5">
      <c r="A561" s="81"/>
      <c r="B561" s="81"/>
      <c r="C561" s="81"/>
      <c r="D561" s="81"/>
      <c r="E561" s="81"/>
      <c r="F561" s="81"/>
      <c r="G561" s="81"/>
      <c r="H561" s="81"/>
      <c r="I561" s="81"/>
      <c r="J561" s="289"/>
      <c r="K561" s="81"/>
      <c r="L561" s="81"/>
      <c r="M561" s="289"/>
      <c r="N561" s="81"/>
      <c r="O561" s="81"/>
      <c r="P561" s="289"/>
      <c r="Q561" s="81"/>
      <c r="R561" s="81"/>
      <c r="S561" s="289"/>
      <c r="T561" s="81"/>
      <c r="U561" s="81"/>
      <c r="V561" s="81"/>
      <c r="W561" s="81"/>
      <c r="X561" s="81"/>
      <c r="Y561" s="81"/>
      <c r="Z561" s="81"/>
    </row>
    <row r="562" spans="1:26" ht="24" customHeight="1" x14ac:dyDescent="0.5">
      <c r="A562" s="81"/>
      <c r="B562" s="81"/>
      <c r="C562" s="81"/>
      <c r="D562" s="81"/>
      <c r="E562" s="81"/>
      <c r="F562" s="81"/>
      <c r="G562" s="81"/>
      <c r="H562" s="81"/>
      <c r="I562" s="81"/>
      <c r="J562" s="289"/>
      <c r="K562" s="81"/>
      <c r="L562" s="81"/>
      <c r="M562" s="289"/>
      <c r="N562" s="81"/>
      <c r="O562" s="81"/>
      <c r="P562" s="289"/>
      <c r="Q562" s="81"/>
      <c r="R562" s="81"/>
      <c r="S562" s="289"/>
      <c r="T562" s="81"/>
      <c r="U562" s="81"/>
      <c r="V562" s="81"/>
      <c r="W562" s="81"/>
      <c r="X562" s="81"/>
      <c r="Y562" s="81"/>
      <c r="Z562" s="81"/>
    </row>
    <row r="563" spans="1:26" ht="24" customHeight="1" x14ac:dyDescent="0.5">
      <c r="A563" s="81"/>
      <c r="B563" s="81"/>
      <c r="C563" s="81"/>
      <c r="D563" s="81"/>
      <c r="E563" s="81"/>
      <c r="F563" s="81"/>
      <c r="G563" s="81"/>
      <c r="H563" s="81"/>
      <c r="I563" s="81"/>
      <c r="J563" s="289"/>
      <c r="K563" s="81"/>
      <c r="L563" s="81"/>
      <c r="M563" s="289"/>
      <c r="N563" s="81"/>
      <c r="O563" s="81"/>
      <c r="P563" s="289"/>
      <c r="Q563" s="81"/>
      <c r="R563" s="81"/>
      <c r="S563" s="289"/>
      <c r="T563" s="81"/>
      <c r="U563" s="81"/>
      <c r="V563" s="81"/>
      <c r="W563" s="81"/>
      <c r="X563" s="81"/>
      <c r="Y563" s="81"/>
      <c r="Z563" s="81"/>
    </row>
    <row r="564" spans="1:26" ht="24" customHeight="1" x14ac:dyDescent="0.5">
      <c r="A564" s="81"/>
      <c r="B564" s="81"/>
      <c r="C564" s="81"/>
      <c r="D564" s="81"/>
      <c r="E564" s="81"/>
      <c r="F564" s="81"/>
      <c r="G564" s="81"/>
      <c r="H564" s="81"/>
      <c r="I564" s="81"/>
      <c r="J564" s="289"/>
      <c r="K564" s="81"/>
      <c r="L564" s="81"/>
      <c r="M564" s="289"/>
      <c r="N564" s="81"/>
      <c r="O564" s="81"/>
      <c r="P564" s="289"/>
      <c r="Q564" s="81"/>
      <c r="R564" s="81"/>
      <c r="S564" s="289"/>
      <c r="T564" s="81"/>
      <c r="U564" s="81"/>
      <c r="V564" s="81"/>
      <c r="W564" s="81"/>
      <c r="X564" s="81"/>
      <c r="Y564" s="81"/>
      <c r="Z564" s="81"/>
    </row>
    <row r="565" spans="1:26" ht="24" customHeight="1" x14ac:dyDescent="0.5">
      <c r="A565" s="81"/>
      <c r="B565" s="81"/>
      <c r="C565" s="81"/>
      <c r="D565" s="81"/>
      <c r="E565" s="81"/>
      <c r="F565" s="81"/>
      <c r="G565" s="81"/>
      <c r="H565" s="81"/>
      <c r="I565" s="81"/>
      <c r="J565" s="289"/>
      <c r="K565" s="81"/>
      <c r="L565" s="81"/>
      <c r="M565" s="289"/>
      <c r="N565" s="81"/>
      <c r="O565" s="81"/>
      <c r="P565" s="289"/>
      <c r="Q565" s="81"/>
      <c r="R565" s="81"/>
      <c r="S565" s="289"/>
      <c r="T565" s="81"/>
      <c r="U565" s="81"/>
      <c r="V565" s="81"/>
      <c r="W565" s="81"/>
      <c r="X565" s="81"/>
      <c r="Y565" s="81"/>
      <c r="Z565" s="81"/>
    </row>
    <row r="566" spans="1:26" ht="24" customHeight="1" x14ac:dyDescent="0.5">
      <c r="A566" s="81"/>
      <c r="B566" s="81"/>
      <c r="C566" s="81"/>
      <c r="D566" s="81"/>
      <c r="E566" s="81"/>
      <c r="F566" s="81"/>
      <c r="G566" s="81"/>
      <c r="H566" s="81"/>
      <c r="I566" s="81"/>
      <c r="J566" s="289"/>
      <c r="K566" s="81"/>
      <c r="L566" s="81"/>
      <c r="M566" s="289"/>
      <c r="N566" s="81"/>
      <c r="O566" s="81"/>
      <c r="P566" s="289"/>
      <c r="Q566" s="81"/>
      <c r="R566" s="81"/>
      <c r="S566" s="289"/>
      <c r="T566" s="81"/>
      <c r="U566" s="81"/>
      <c r="V566" s="81"/>
      <c r="W566" s="81"/>
      <c r="X566" s="81"/>
      <c r="Y566" s="81"/>
      <c r="Z566" s="81"/>
    </row>
    <row r="567" spans="1:26" ht="24" customHeight="1" x14ac:dyDescent="0.5">
      <c r="A567" s="81"/>
      <c r="B567" s="81"/>
      <c r="C567" s="81"/>
      <c r="D567" s="81"/>
      <c r="E567" s="81"/>
      <c r="F567" s="81"/>
      <c r="G567" s="81"/>
      <c r="H567" s="81"/>
      <c r="I567" s="81"/>
      <c r="J567" s="289"/>
      <c r="K567" s="81"/>
      <c r="L567" s="81"/>
      <c r="M567" s="289"/>
      <c r="N567" s="81"/>
      <c r="O567" s="81"/>
      <c r="P567" s="289"/>
      <c r="Q567" s="81"/>
      <c r="R567" s="81"/>
      <c r="S567" s="289"/>
      <c r="T567" s="81"/>
      <c r="U567" s="81"/>
      <c r="V567" s="81"/>
      <c r="W567" s="81"/>
      <c r="X567" s="81"/>
      <c r="Y567" s="81"/>
      <c r="Z567" s="81"/>
    </row>
    <row r="568" spans="1:26" ht="24" customHeight="1" x14ac:dyDescent="0.5">
      <c r="A568" s="81"/>
      <c r="B568" s="81"/>
      <c r="C568" s="81"/>
      <c r="D568" s="81"/>
      <c r="E568" s="81"/>
      <c r="F568" s="81"/>
      <c r="G568" s="81"/>
      <c r="H568" s="81"/>
      <c r="I568" s="81"/>
      <c r="J568" s="289"/>
      <c r="K568" s="81"/>
      <c r="L568" s="81"/>
      <c r="M568" s="289"/>
      <c r="N568" s="81"/>
      <c r="O568" s="81"/>
      <c r="P568" s="289"/>
      <c r="Q568" s="81"/>
      <c r="R568" s="81"/>
      <c r="S568" s="289"/>
      <c r="T568" s="81"/>
      <c r="U568" s="81"/>
      <c r="V568" s="81"/>
      <c r="W568" s="81"/>
      <c r="X568" s="81"/>
      <c r="Y568" s="81"/>
      <c r="Z568" s="81"/>
    </row>
    <row r="569" spans="1:26" ht="24" customHeight="1" x14ac:dyDescent="0.5">
      <c r="A569" s="81"/>
      <c r="B569" s="81"/>
      <c r="C569" s="81"/>
      <c r="D569" s="81"/>
      <c r="E569" s="81"/>
      <c r="F569" s="81"/>
      <c r="G569" s="81"/>
      <c r="H569" s="81"/>
      <c r="I569" s="81"/>
      <c r="J569" s="289"/>
      <c r="K569" s="81"/>
      <c r="L569" s="81"/>
      <c r="M569" s="289"/>
      <c r="N569" s="81"/>
      <c r="O569" s="81"/>
      <c r="P569" s="289"/>
      <c r="Q569" s="81"/>
      <c r="R569" s="81"/>
      <c r="S569" s="289"/>
      <c r="T569" s="81"/>
      <c r="U569" s="81"/>
      <c r="V569" s="81"/>
      <c r="W569" s="81"/>
      <c r="X569" s="81"/>
      <c r="Y569" s="81"/>
      <c r="Z569" s="81"/>
    </row>
    <row r="570" spans="1:26" ht="24" customHeight="1" x14ac:dyDescent="0.5">
      <c r="A570" s="81"/>
      <c r="B570" s="81"/>
      <c r="C570" s="81"/>
      <c r="D570" s="81"/>
      <c r="E570" s="81"/>
      <c r="F570" s="81"/>
      <c r="G570" s="81"/>
      <c r="H570" s="81"/>
      <c r="I570" s="81"/>
      <c r="J570" s="289"/>
      <c r="K570" s="81"/>
      <c r="L570" s="81"/>
      <c r="M570" s="289"/>
      <c r="N570" s="81"/>
      <c r="O570" s="81"/>
      <c r="P570" s="289"/>
      <c r="Q570" s="81"/>
      <c r="R570" s="81"/>
      <c r="S570" s="289"/>
      <c r="T570" s="81"/>
      <c r="U570" s="81"/>
      <c r="V570" s="81"/>
      <c r="W570" s="81"/>
      <c r="X570" s="81"/>
      <c r="Y570" s="81"/>
      <c r="Z570" s="81"/>
    </row>
    <row r="571" spans="1:26" ht="24" customHeight="1" x14ac:dyDescent="0.5">
      <c r="A571" s="81"/>
      <c r="B571" s="81"/>
      <c r="C571" s="81"/>
      <c r="D571" s="81"/>
      <c r="E571" s="81"/>
      <c r="F571" s="81"/>
      <c r="G571" s="81"/>
      <c r="H571" s="81"/>
      <c r="I571" s="81"/>
      <c r="J571" s="289"/>
      <c r="K571" s="81"/>
      <c r="L571" s="81"/>
      <c r="M571" s="289"/>
      <c r="N571" s="81"/>
      <c r="O571" s="81"/>
      <c r="P571" s="289"/>
      <c r="Q571" s="81"/>
      <c r="R571" s="81"/>
      <c r="S571" s="289"/>
      <c r="T571" s="81"/>
      <c r="U571" s="81"/>
      <c r="V571" s="81"/>
      <c r="W571" s="81"/>
      <c r="X571" s="81"/>
      <c r="Y571" s="81"/>
      <c r="Z571" s="81"/>
    </row>
    <row r="572" spans="1:26" ht="24" customHeight="1" x14ac:dyDescent="0.5">
      <c r="A572" s="81"/>
      <c r="B572" s="81"/>
      <c r="C572" s="81"/>
      <c r="D572" s="81"/>
      <c r="E572" s="81"/>
      <c r="F572" s="81"/>
      <c r="G572" s="81"/>
      <c r="H572" s="81"/>
      <c r="I572" s="81"/>
      <c r="J572" s="289"/>
      <c r="K572" s="81"/>
      <c r="L572" s="81"/>
      <c r="M572" s="289"/>
      <c r="N572" s="81"/>
      <c r="O572" s="81"/>
      <c r="P572" s="289"/>
      <c r="Q572" s="81"/>
      <c r="R572" s="81"/>
      <c r="S572" s="289"/>
      <c r="T572" s="81"/>
      <c r="U572" s="81"/>
      <c r="V572" s="81"/>
      <c r="W572" s="81"/>
      <c r="X572" s="81"/>
      <c r="Y572" s="81"/>
      <c r="Z572" s="81"/>
    </row>
    <row r="573" spans="1:26" ht="24" customHeight="1" x14ac:dyDescent="0.5">
      <c r="A573" s="81"/>
      <c r="B573" s="81"/>
      <c r="C573" s="81"/>
      <c r="D573" s="81"/>
      <c r="E573" s="81"/>
      <c r="F573" s="81"/>
      <c r="G573" s="81"/>
      <c r="H573" s="81"/>
      <c r="I573" s="81"/>
      <c r="J573" s="289"/>
      <c r="K573" s="81"/>
      <c r="L573" s="81"/>
      <c r="M573" s="289"/>
      <c r="N573" s="81"/>
      <c r="O573" s="81"/>
      <c r="P573" s="289"/>
      <c r="Q573" s="81"/>
      <c r="R573" s="81"/>
      <c r="S573" s="289"/>
      <c r="T573" s="81"/>
      <c r="U573" s="81"/>
      <c r="V573" s="81"/>
      <c r="W573" s="81"/>
      <c r="X573" s="81"/>
      <c r="Y573" s="81"/>
      <c r="Z573" s="81"/>
    </row>
    <row r="574" spans="1:26" ht="24" customHeight="1" x14ac:dyDescent="0.5">
      <c r="A574" s="81"/>
      <c r="B574" s="81"/>
      <c r="C574" s="81"/>
      <c r="D574" s="81"/>
      <c r="E574" s="81"/>
      <c r="F574" s="81"/>
      <c r="G574" s="81"/>
      <c r="H574" s="81"/>
      <c r="I574" s="81"/>
      <c r="J574" s="289"/>
      <c r="K574" s="81"/>
      <c r="L574" s="81"/>
      <c r="M574" s="289"/>
      <c r="N574" s="81"/>
      <c r="O574" s="81"/>
      <c r="P574" s="289"/>
      <c r="Q574" s="81"/>
      <c r="R574" s="81"/>
      <c r="S574" s="289"/>
      <c r="T574" s="81"/>
      <c r="U574" s="81"/>
      <c r="V574" s="81"/>
      <c r="W574" s="81"/>
      <c r="X574" s="81"/>
      <c r="Y574" s="81"/>
      <c r="Z574" s="81"/>
    </row>
    <row r="575" spans="1:26" ht="24" customHeight="1" x14ac:dyDescent="0.5">
      <c r="A575" s="81"/>
      <c r="B575" s="81"/>
      <c r="C575" s="81"/>
      <c r="D575" s="81"/>
      <c r="E575" s="81"/>
      <c r="F575" s="81"/>
      <c r="G575" s="81"/>
      <c r="H575" s="81"/>
      <c r="I575" s="81"/>
      <c r="J575" s="289"/>
      <c r="K575" s="81"/>
      <c r="L575" s="81"/>
      <c r="M575" s="289"/>
      <c r="N575" s="81"/>
      <c r="O575" s="81"/>
      <c r="P575" s="289"/>
      <c r="Q575" s="81"/>
      <c r="R575" s="81"/>
      <c r="S575" s="289"/>
      <c r="T575" s="81"/>
      <c r="U575" s="81"/>
      <c r="V575" s="81"/>
      <c r="W575" s="81"/>
      <c r="X575" s="81"/>
      <c r="Y575" s="81"/>
      <c r="Z575" s="81"/>
    </row>
    <row r="576" spans="1:26" ht="24" customHeight="1" x14ac:dyDescent="0.5">
      <c r="A576" s="81"/>
      <c r="B576" s="81"/>
      <c r="C576" s="81"/>
      <c r="D576" s="81"/>
      <c r="E576" s="81"/>
      <c r="F576" s="81"/>
      <c r="G576" s="81"/>
      <c r="H576" s="81"/>
      <c r="I576" s="81"/>
      <c r="J576" s="289"/>
      <c r="K576" s="81"/>
      <c r="L576" s="81"/>
      <c r="M576" s="289"/>
      <c r="N576" s="81"/>
      <c r="O576" s="81"/>
      <c r="P576" s="289"/>
      <c r="Q576" s="81"/>
      <c r="R576" s="81"/>
      <c r="S576" s="289"/>
      <c r="T576" s="81"/>
      <c r="U576" s="81"/>
      <c r="V576" s="81"/>
      <c r="W576" s="81"/>
      <c r="X576" s="81"/>
      <c r="Y576" s="81"/>
      <c r="Z576" s="81"/>
    </row>
    <row r="577" spans="1:26" ht="24" customHeight="1" x14ac:dyDescent="0.5">
      <c r="A577" s="81"/>
      <c r="B577" s="81"/>
      <c r="C577" s="81"/>
      <c r="D577" s="81"/>
      <c r="E577" s="81"/>
      <c r="F577" s="81"/>
      <c r="G577" s="81"/>
      <c r="H577" s="81"/>
      <c r="I577" s="81"/>
      <c r="J577" s="289"/>
      <c r="K577" s="81"/>
      <c r="L577" s="81"/>
      <c r="M577" s="289"/>
      <c r="N577" s="81"/>
      <c r="O577" s="81"/>
      <c r="P577" s="289"/>
      <c r="Q577" s="81"/>
      <c r="R577" s="81"/>
      <c r="S577" s="289"/>
      <c r="T577" s="81"/>
      <c r="U577" s="81"/>
      <c r="V577" s="81"/>
      <c r="W577" s="81"/>
      <c r="X577" s="81"/>
      <c r="Y577" s="81"/>
      <c r="Z577" s="81"/>
    </row>
    <row r="578" spans="1:26" ht="24" customHeight="1" x14ac:dyDescent="0.5">
      <c r="A578" s="81"/>
      <c r="B578" s="81"/>
      <c r="C578" s="81"/>
      <c r="D578" s="81"/>
      <c r="E578" s="81"/>
      <c r="F578" s="81"/>
      <c r="G578" s="81"/>
      <c r="H578" s="81"/>
      <c r="I578" s="81"/>
      <c r="J578" s="289"/>
      <c r="K578" s="81"/>
      <c r="L578" s="81"/>
      <c r="M578" s="289"/>
      <c r="N578" s="81"/>
      <c r="O578" s="81"/>
      <c r="P578" s="289"/>
      <c r="Q578" s="81"/>
      <c r="R578" s="81"/>
      <c r="S578" s="289"/>
      <c r="T578" s="81"/>
      <c r="U578" s="81"/>
      <c r="V578" s="81"/>
      <c r="W578" s="81"/>
      <c r="X578" s="81"/>
      <c r="Y578" s="81"/>
      <c r="Z578" s="81"/>
    </row>
    <row r="579" spans="1:26" ht="24" customHeight="1" x14ac:dyDescent="0.5">
      <c r="A579" s="81"/>
      <c r="B579" s="81"/>
      <c r="C579" s="81"/>
      <c r="D579" s="81"/>
      <c r="E579" s="81"/>
      <c r="F579" s="81"/>
      <c r="G579" s="81"/>
      <c r="H579" s="81"/>
      <c r="I579" s="81"/>
      <c r="J579" s="289"/>
      <c r="K579" s="81"/>
      <c r="L579" s="81"/>
      <c r="M579" s="289"/>
      <c r="N579" s="81"/>
      <c r="O579" s="81"/>
      <c r="P579" s="289"/>
      <c r="Q579" s="81"/>
      <c r="R579" s="81"/>
      <c r="S579" s="289"/>
      <c r="T579" s="81"/>
      <c r="U579" s="81"/>
      <c r="V579" s="81"/>
      <c r="W579" s="81"/>
      <c r="X579" s="81"/>
      <c r="Y579" s="81"/>
      <c r="Z579" s="81"/>
    </row>
    <row r="580" spans="1:26" ht="24" customHeight="1" x14ac:dyDescent="0.5">
      <c r="A580" s="81"/>
      <c r="B580" s="81"/>
      <c r="C580" s="81"/>
      <c r="D580" s="81"/>
      <c r="E580" s="81"/>
      <c r="F580" s="81"/>
      <c r="G580" s="81"/>
      <c r="H580" s="81"/>
      <c r="I580" s="81"/>
      <c r="J580" s="289"/>
      <c r="K580" s="81"/>
      <c r="L580" s="81"/>
      <c r="M580" s="289"/>
      <c r="N580" s="81"/>
      <c r="O580" s="81"/>
      <c r="P580" s="289"/>
      <c r="Q580" s="81"/>
      <c r="R580" s="81"/>
      <c r="S580" s="289"/>
      <c r="T580" s="81"/>
      <c r="U580" s="81"/>
      <c r="V580" s="81"/>
      <c r="W580" s="81"/>
      <c r="X580" s="81"/>
      <c r="Y580" s="81"/>
      <c r="Z580" s="81"/>
    </row>
    <row r="581" spans="1:26" ht="24" customHeight="1" x14ac:dyDescent="0.5">
      <c r="A581" s="81"/>
      <c r="B581" s="81"/>
      <c r="C581" s="81"/>
      <c r="D581" s="81"/>
      <c r="E581" s="81"/>
      <c r="F581" s="81"/>
      <c r="G581" s="81"/>
      <c r="H581" s="81"/>
      <c r="I581" s="81"/>
      <c r="J581" s="289"/>
      <c r="K581" s="81"/>
      <c r="L581" s="81"/>
      <c r="M581" s="289"/>
      <c r="N581" s="81"/>
      <c r="O581" s="81"/>
      <c r="P581" s="289"/>
      <c r="Q581" s="81"/>
      <c r="R581" s="81"/>
      <c r="S581" s="289"/>
      <c r="T581" s="81"/>
      <c r="U581" s="81"/>
      <c r="V581" s="81"/>
      <c r="W581" s="81"/>
      <c r="X581" s="81"/>
      <c r="Y581" s="81"/>
      <c r="Z581" s="81"/>
    </row>
    <row r="582" spans="1:26" ht="24" customHeight="1" x14ac:dyDescent="0.5">
      <c r="A582" s="81"/>
      <c r="B582" s="81"/>
      <c r="C582" s="81"/>
      <c r="D582" s="81"/>
      <c r="E582" s="81"/>
      <c r="F582" s="81"/>
      <c r="G582" s="81"/>
      <c r="H582" s="81"/>
      <c r="I582" s="81"/>
      <c r="J582" s="289"/>
      <c r="K582" s="81"/>
      <c r="L582" s="81"/>
      <c r="M582" s="289"/>
      <c r="N582" s="81"/>
      <c r="O582" s="81"/>
      <c r="P582" s="289"/>
      <c r="Q582" s="81"/>
      <c r="R582" s="81"/>
      <c r="S582" s="289"/>
      <c r="T582" s="81"/>
      <c r="U582" s="81"/>
      <c r="V582" s="81"/>
      <c r="W582" s="81"/>
      <c r="X582" s="81"/>
      <c r="Y582" s="81"/>
      <c r="Z582" s="81"/>
    </row>
    <row r="583" spans="1:26" ht="24" customHeight="1" x14ac:dyDescent="0.5">
      <c r="A583" s="81"/>
      <c r="B583" s="81"/>
      <c r="C583" s="81"/>
      <c r="D583" s="81"/>
      <c r="E583" s="81"/>
      <c r="F583" s="81"/>
      <c r="G583" s="81"/>
      <c r="H583" s="81"/>
      <c r="I583" s="81"/>
      <c r="J583" s="289"/>
      <c r="K583" s="81"/>
      <c r="L583" s="81"/>
      <c r="M583" s="289"/>
      <c r="N583" s="81"/>
      <c r="O583" s="81"/>
      <c r="P583" s="289"/>
      <c r="Q583" s="81"/>
      <c r="R583" s="81"/>
      <c r="S583" s="289"/>
      <c r="T583" s="81"/>
      <c r="U583" s="81"/>
      <c r="V583" s="81"/>
      <c r="W583" s="81"/>
      <c r="X583" s="81"/>
      <c r="Y583" s="81"/>
      <c r="Z583" s="81"/>
    </row>
    <row r="584" spans="1:26" ht="24" customHeight="1" x14ac:dyDescent="0.5">
      <c r="A584" s="81"/>
      <c r="B584" s="81"/>
      <c r="C584" s="81"/>
      <c r="D584" s="81"/>
      <c r="E584" s="81"/>
      <c r="F584" s="81"/>
      <c r="G584" s="81"/>
      <c r="H584" s="81"/>
      <c r="I584" s="81"/>
      <c r="J584" s="289"/>
      <c r="K584" s="81"/>
      <c r="L584" s="81"/>
      <c r="M584" s="289"/>
      <c r="N584" s="81"/>
      <c r="O584" s="81"/>
      <c r="P584" s="289"/>
      <c r="Q584" s="81"/>
      <c r="R584" s="81"/>
      <c r="S584" s="289"/>
      <c r="T584" s="81"/>
      <c r="U584" s="81"/>
      <c r="V584" s="81"/>
      <c r="W584" s="81"/>
      <c r="X584" s="81"/>
      <c r="Y584" s="81"/>
      <c r="Z584" s="81"/>
    </row>
    <row r="585" spans="1:26" ht="24" customHeight="1" x14ac:dyDescent="0.5">
      <c r="A585" s="81"/>
      <c r="B585" s="81"/>
      <c r="C585" s="81"/>
      <c r="D585" s="81"/>
      <c r="E585" s="81"/>
      <c r="F585" s="81"/>
      <c r="G585" s="81"/>
      <c r="H585" s="81"/>
      <c r="I585" s="81"/>
      <c r="J585" s="289"/>
      <c r="K585" s="81"/>
      <c r="L585" s="81"/>
      <c r="M585" s="289"/>
      <c r="N585" s="81"/>
      <c r="O585" s="81"/>
      <c r="P585" s="289"/>
      <c r="Q585" s="81"/>
      <c r="R585" s="81"/>
      <c r="S585" s="289"/>
      <c r="T585" s="81"/>
      <c r="U585" s="81"/>
      <c r="V585" s="81"/>
      <c r="W585" s="81"/>
      <c r="X585" s="81"/>
      <c r="Y585" s="81"/>
      <c r="Z585" s="81"/>
    </row>
    <row r="586" spans="1:26" ht="24" customHeight="1" x14ac:dyDescent="0.5">
      <c r="A586" s="81"/>
      <c r="B586" s="81"/>
      <c r="C586" s="81"/>
      <c r="D586" s="81"/>
      <c r="E586" s="81"/>
      <c r="F586" s="81"/>
      <c r="G586" s="81"/>
      <c r="H586" s="81"/>
      <c r="I586" s="81"/>
      <c r="J586" s="289"/>
      <c r="K586" s="81"/>
      <c r="L586" s="81"/>
      <c r="M586" s="289"/>
      <c r="N586" s="81"/>
      <c r="O586" s="81"/>
      <c r="P586" s="289"/>
      <c r="Q586" s="81"/>
      <c r="R586" s="81"/>
      <c r="S586" s="289"/>
      <c r="T586" s="81"/>
      <c r="U586" s="81"/>
      <c r="V586" s="81"/>
      <c r="W586" s="81"/>
      <c r="X586" s="81"/>
      <c r="Y586" s="81"/>
      <c r="Z586" s="81"/>
    </row>
    <row r="587" spans="1:26" ht="24" customHeight="1" x14ac:dyDescent="0.5">
      <c r="A587" s="81"/>
      <c r="B587" s="81"/>
      <c r="C587" s="81"/>
      <c r="D587" s="81"/>
      <c r="E587" s="81"/>
      <c r="F587" s="81"/>
      <c r="G587" s="81"/>
      <c r="H587" s="81"/>
      <c r="I587" s="81"/>
      <c r="J587" s="289"/>
      <c r="K587" s="81"/>
      <c r="L587" s="81"/>
      <c r="M587" s="289"/>
      <c r="N587" s="81"/>
      <c r="O587" s="81"/>
      <c r="P587" s="289"/>
      <c r="Q587" s="81"/>
      <c r="R587" s="81"/>
      <c r="S587" s="289"/>
      <c r="T587" s="81"/>
      <c r="U587" s="81"/>
      <c r="V587" s="81"/>
      <c r="W587" s="81"/>
      <c r="X587" s="81"/>
      <c r="Y587" s="81"/>
      <c r="Z587" s="81"/>
    </row>
    <row r="588" spans="1:26" ht="24" customHeight="1" x14ac:dyDescent="0.5">
      <c r="A588" s="81"/>
      <c r="B588" s="81"/>
      <c r="C588" s="81"/>
      <c r="D588" s="81"/>
      <c r="E588" s="81"/>
      <c r="F588" s="81"/>
      <c r="G588" s="81"/>
      <c r="H588" s="81"/>
      <c r="I588" s="81"/>
      <c r="J588" s="289"/>
      <c r="K588" s="81"/>
      <c r="L588" s="81"/>
      <c r="M588" s="289"/>
      <c r="N588" s="81"/>
      <c r="O588" s="81"/>
      <c r="P588" s="289"/>
      <c r="Q588" s="81"/>
      <c r="R588" s="81"/>
      <c r="S588" s="289"/>
      <c r="T588" s="81"/>
      <c r="U588" s="81"/>
      <c r="V588" s="81"/>
      <c r="W588" s="81"/>
      <c r="X588" s="81"/>
      <c r="Y588" s="81"/>
      <c r="Z588" s="81"/>
    </row>
    <row r="589" spans="1:26" ht="24" customHeight="1" x14ac:dyDescent="0.5">
      <c r="A589" s="81"/>
      <c r="B589" s="81"/>
      <c r="C589" s="81"/>
      <c r="D589" s="81"/>
      <c r="E589" s="81"/>
      <c r="F589" s="81"/>
      <c r="G589" s="81"/>
      <c r="H589" s="81"/>
      <c r="I589" s="81"/>
      <c r="J589" s="289"/>
      <c r="K589" s="81"/>
      <c r="L589" s="81"/>
      <c r="M589" s="289"/>
      <c r="N589" s="81"/>
      <c r="O589" s="81"/>
      <c r="P589" s="289"/>
      <c r="Q589" s="81"/>
      <c r="R589" s="81"/>
      <c r="S589" s="289"/>
      <c r="T589" s="81"/>
      <c r="U589" s="81"/>
      <c r="V589" s="81"/>
      <c r="W589" s="81"/>
      <c r="X589" s="81"/>
      <c r="Y589" s="81"/>
      <c r="Z589" s="81"/>
    </row>
    <row r="590" spans="1:26" ht="24" customHeight="1" x14ac:dyDescent="0.5">
      <c r="A590" s="81"/>
      <c r="B590" s="81"/>
      <c r="C590" s="81"/>
      <c r="D590" s="81"/>
      <c r="E590" s="81"/>
      <c r="F590" s="81"/>
      <c r="G590" s="81"/>
      <c r="H590" s="81"/>
      <c r="I590" s="81"/>
      <c r="J590" s="289"/>
      <c r="K590" s="81"/>
      <c r="L590" s="81"/>
      <c r="M590" s="289"/>
      <c r="N590" s="81"/>
      <c r="O590" s="81"/>
      <c r="P590" s="289"/>
      <c r="Q590" s="81"/>
      <c r="R590" s="81"/>
      <c r="S590" s="289"/>
      <c r="T590" s="81"/>
      <c r="U590" s="81"/>
      <c r="V590" s="81"/>
      <c r="W590" s="81"/>
      <c r="X590" s="81"/>
      <c r="Y590" s="81"/>
      <c r="Z590" s="81"/>
    </row>
    <row r="591" spans="1:26" ht="24" customHeight="1" x14ac:dyDescent="0.5">
      <c r="A591" s="81"/>
      <c r="B591" s="81"/>
      <c r="C591" s="81"/>
      <c r="D591" s="81"/>
      <c r="E591" s="81"/>
      <c r="F591" s="81"/>
      <c r="G591" s="81"/>
      <c r="H591" s="81"/>
      <c r="I591" s="81"/>
      <c r="J591" s="289"/>
      <c r="K591" s="81"/>
      <c r="L591" s="81"/>
      <c r="M591" s="289"/>
      <c r="N591" s="81"/>
      <c r="O591" s="81"/>
      <c r="P591" s="289"/>
      <c r="Q591" s="81"/>
      <c r="R591" s="81"/>
      <c r="S591" s="289"/>
      <c r="T591" s="81"/>
      <c r="U591" s="81"/>
      <c r="V591" s="81"/>
      <c r="W591" s="81"/>
      <c r="X591" s="81"/>
      <c r="Y591" s="81"/>
      <c r="Z591" s="81"/>
    </row>
    <row r="592" spans="1:26" ht="24" customHeight="1" x14ac:dyDescent="0.5">
      <c r="A592" s="81"/>
      <c r="B592" s="81"/>
      <c r="C592" s="81"/>
      <c r="D592" s="81"/>
      <c r="E592" s="81"/>
      <c r="F592" s="81"/>
      <c r="G592" s="81"/>
      <c r="H592" s="81"/>
      <c r="I592" s="81"/>
      <c r="J592" s="289"/>
      <c r="K592" s="81"/>
      <c r="L592" s="81"/>
      <c r="M592" s="289"/>
      <c r="N592" s="81"/>
      <c r="O592" s="81"/>
      <c r="P592" s="289"/>
      <c r="Q592" s="81"/>
      <c r="R592" s="81"/>
      <c r="S592" s="289"/>
      <c r="T592" s="81"/>
      <c r="U592" s="81"/>
      <c r="V592" s="81"/>
      <c r="W592" s="81"/>
      <c r="X592" s="81"/>
      <c r="Y592" s="81"/>
      <c r="Z592" s="81"/>
    </row>
    <row r="593" spans="1:26" ht="24" customHeight="1" x14ac:dyDescent="0.5">
      <c r="A593" s="81"/>
      <c r="B593" s="81"/>
      <c r="C593" s="81"/>
      <c r="D593" s="81"/>
      <c r="E593" s="81"/>
      <c r="F593" s="81"/>
      <c r="G593" s="81"/>
      <c r="H593" s="81"/>
      <c r="I593" s="81"/>
      <c r="J593" s="289"/>
      <c r="K593" s="81"/>
      <c r="L593" s="81"/>
      <c r="M593" s="289"/>
      <c r="N593" s="81"/>
      <c r="O593" s="81"/>
      <c r="P593" s="289"/>
      <c r="Q593" s="81"/>
      <c r="R593" s="81"/>
      <c r="S593" s="289"/>
      <c r="T593" s="81"/>
      <c r="U593" s="81"/>
      <c r="V593" s="81"/>
      <c r="W593" s="81"/>
      <c r="X593" s="81"/>
      <c r="Y593" s="81"/>
      <c r="Z593" s="81"/>
    </row>
    <row r="594" spans="1:26" ht="24" customHeight="1" x14ac:dyDescent="0.5">
      <c r="A594" s="81"/>
      <c r="B594" s="81"/>
      <c r="C594" s="81"/>
      <c r="D594" s="81"/>
      <c r="E594" s="81"/>
      <c r="F594" s="81"/>
      <c r="G594" s="81"/>
      <c r="H594" s="81"/>
      <c r="I594" s="81"/>
      <c r="J594" s="289"/>
      <c r="K594" s="81"/>
      <c r="L594" s="81"/>
      <c r="M594" s="289"/>
      <c r="N594" s="81"/>
      <c r="O594" s="81"/>
      <c r="P594" s="289"/>
      <c r="Q594" s="81"/>
      <c r="R594" s="81"/>
      <c r="S594" s="289"/>
      <c r="T594" s="81"/>
      <c r="U594" s="81"/>
      <c r="V594" s="81"/>
      <c r="W594" s="81"/>
      <c r="X594" s="81"/>
      <c r="Y594" s="81"/>
      <c r="Z594" s="81"/>
    </row>
    <row r="595" spans="1:26" ht="24" customHeight="1" x14ac:dyDescent="0.5">
      <c r="A595" s="81"/>
      <c r="B595" s="81"/>
      <c r="C595" s="81"/>
      <c r="D595" s="81"/>
      <c r="E595" s="81"/>
      <c r="F595" s="81"/>
      <c r="G595" s="81"/>
      <c r="H595" s="81"/>
      <c r="I595" s="81"/>
      <c r="J595" s="289"/>
      <c r="K595" s="81"/>
      <c r="L595" s="81"/>
      <c r="M595" s="289"/>
      <c r="N595" s="81"/>
      <c r="O595" s="81"/>
      <c r="P595" s="289"/>
      <c r="Q595" s="81"/>
      <c r="R595" s="81"/>
      <c r="S595" s="289"/>
      <c r="T595" s="81"/>
      <c r="U595" s="81"/>
      <c r="V595" s="81"/>
      <c r="W595" s="81"/>
      <c r="X595" s="81"/>
      <c r="Y595" s="81"/>
      <c r="Z595" s="81"/>
    </row>
    <row r="596" spans="1:26" ht="24" customHeight="1" x14ac:dyDescent="0.5">
      <c r="A596" s="81"/>
      <c r="B596" s="81"/>
      <c r="C596" s="81"/>
      <c r="D596" s="81"/>
      <c r="E596" s="81"/>
      <c r="F596" s="81"/>
      <c r="G596" s="81"/>
      <c r="H596" s="81"/>
      <c r="I596" s="81"/>
      <c r="J596" s="289"/>
      <c r="K596" s="81"/>
      <c r="L596" s="81"/>
      <c r="M596" s="289"/>
      <c r="N596" s="81"/>
      <c r="O596" s="81"/>
      <c r="P596" s="289"/>
      <c r="Q596" s="81"/>
      <c r="R596" s="81"/>
      <c r="S596" s="289"/>
      <c r="T596" s="81"/>
      <c r="U596" s="81"/>
      <c r="V596" s="81"/>
      <c r="W596" s="81"/>
      <c r="X596" s="81"/>
      <c r="Y596" s="81"/>
      <c r="Z596" s="81"/>
    </row>
    <row r="597" spans="1:26" ht="24" customHeight="1" x14ac:dyDescent="0.5">
      <c r="A597" s="81"/>
      <c r="B597" s="81"/>
      <c r="C597" s="81"/>
      <c r="D597" s="81"/>
      <c r="E597" s="81"/>
      <c r="F597" s="81"/>
      <c r="G597" s="81"/>
      <c r="H597" s="81"/>
      <c r="I597" s="81"/>
      <c r="J597" s="289"/>
      <c r="K597" s="81"/>
      <c r="L597" s="81"/>
      <c r="M597" s="289"/>
      <c r="N597" s="81"/>
      <c r="O597" s="81"/>
      <c r="P597" s="289"/>
      <c r="Q597" s="81"/>
      <c r="R597" s="81"/>
      <c r="S597" s="289"/>
      <c r="T597" s="81"/>
      <c r="U597" s="81"/>
      <c r="V597" s="81"/>
      <c r="W597" s="81"/>
      <c r="X597" s="81"/>
      <c r="Y597" s="81"/>
      <c r="Z597" s="81"/>
    </row>
    <row r="598" spans="1:26" ht="24" customHeight="1" x14ac:dyDescent="0.5">
      <c r="A598" s="81"/>
      <c r="B598" s="81"/>
      <c r="C598" s="81"/>
      <c r="D598" s="81"/>
      <c r="E598" s="81"/>
      <c r="F598" s="81"/>
      <c r="G598" s="81"/>
      <c r="H598" s="81"/>
      <c r="I598" s="81"/>
      <c r="J598" s="289"/>
      <c r="K598" s="81"/>
      <c r="L598" s="81"/>
      <c r="M598" s="289"/>
      <c r="N598" s="81"/>
      <c r="O598" s="81"/>
      <c r="P598" s="289"/>
      <c r="Q598" s="81"/>
      <c r="R598" s="81"/>
      <c r="S598" s="289"/>
      <c r="T598" s="81"/>
      <c r="U598" s="81"/>
      <c r="V598" s="81"/>
      <c r="W598" s="81"/>
      <c r="X598" s="81"/>
      <c r="Y598" s="81"/>
      <c r="Z598" s="81"/>
    </row>
    <row r="599" spans="1:26" ht="24" customHeight="1" x14ac:dyDescent="0.5">
      <c r="A599" s="81"/>
      <c r="B599" s="81"/>
      <c r="C599" s="81"/>
      <c r="D599" s="81"/>
      <c r="E599" s="81"/>
      <c r="F599" s="81"/>
      <c r="G599" s="81"/>
      <c r="H599" s="81"/>
      <c r="I599" s="81"/>
      <c r="J599" s="289"/>
      <c r="K599" s="81"/>
      <c r="L599" s="81"/>
      <c r="M599" s="289"/>
      <c r="N599" s="81"/>
      <c r="O599" s="81"/>
      <c r="P599" s="289"/>
      <c r="Q599" s="81"/>
      <c r="R599" s="81"/>
      <c r="S599" s="289"/>
      <c r="T599" s="81"/>
      <c r="U599" s="81"/>
      <c r="V599" s="81"/>
      <c r="W599" s="81"/>
      <c r="X599" s="81"/>
      <c r="Y599" s="81"/>
      <c r="Z599" s="81"/>
    </row>
    <row r="600" spans="1:26" ht="24" customHeight="1" x14ac:dyDescent="0.5">
      <c r="A600" s="81"/>
      <c r="B600" s="81"/>
      <c r="C600" s="81"/>
      <c r="D600" s="81"/>
      <c r="E600" s="81"/>
      <c r="F600" s="81"/>
      <c r="G600" s="81"/>
      <c r="H600" s="81"/>
      <c r="I600" s="81"/>
      <c r="J600" s="289"/>
      <c r="K600" s="81"/>
      <c r="L600" s="81"/>
      <c r="M600" s="289"/>
      <c r="N600" s="81"/>
      <c r="O600" s="81"/>
      <c r="P600" s="289"/>
      <c r="Q600" s="81"/>
      <c r="R600" s="81"/>
      <c r="S600" s="289"/>
      <c r="T600" s="81"/>
      <c r="U600" s="81"/>
      <c r="V600" s="81"/>
      <c r="W600" s="81"/>
      <c r="X600" s="81"/>
      <c r="Y600" s="81"/>
      <c r="Z600" s="81"/>
    </row>
    <row r="601" spans="1:26" ht="24" customHeight="1" x14ac:dyDescent="0.5">
      <c r="A601" s="81"/>
      <c r="B601" s="81"/>
      <c r="C601" s="81"/>
      <c r="D601" s="81"/>
      <c r="E601" s="81"/>
      <c r="F601" s="81"/>
      <c r="G601" s="81"/>
      <c r="H601" s="81"/>
      <c r="I601" s="81"/>
      <c r="J601" s="289"/>
      <c r="K601" s="81"/>
      <c r="L601" s="81"/>
      <c r="M601" s="289"/>
      <c r="N601" s="81"/>
      <c r="O601" s="81"/>
      <c r="P601" s="289"/>
      <c r="Q601" s="81"/>
      <c r="R601" s="81"/>
      <c r="S601" s="289"/>
      <c r="T601" s="81"/>
      <c r="U601" s="81"/>
      <c r="V601" s="81"/>
      <c r="W601" s="81"/>
      <c r="X601" s="81"/>
      <c r="Y601" s="81"/>
      <c r="Z601" s="81"/>
    </row>
    <row r="602" spans="1:26" ht="24" customHeight="1" x14ac:dyDescent="0.5">
      <c r="A602" s="81"/>
      <c r="B602" s="81"/>
      <c r="C602" s="81"/>
      <c r="D602" s="81"/>
      <c r="E602" s="81"/>
      <c r="F602" s="81"/>
      <c r="G602" s="81"/>
      <c r="H602" s="81"/>
      <c r="I602" s="81"/>
      <c r="J602" s="289"/>
      <c r="K602" s="81"/>
      <c r="L602" s="81"/>
      <c r="M602" s="289"/>
      <c r="N602" s="81"/>
      <c r="O602" s="81"/>
      <c r="P602" s="289"/>
      <c r="Q602" s="81"/>
      <c r="R602" s="81"/>
      <c r="S602" s="289"/>
      <c r="T602" s="81"/>
      <c r="U602" s="81"/>
      <c r="V602" s="81"/>
      <c r="W602" s="81"/>
      <c r="X602" s="81"/>
      <c r="Y602" s="81"/>
      <c r="Z602" s="81"/>
    </row>
    <row r="603" spans="1:26" ht="24" customHeight="1" x14ac:dyDescent="0.5">
      <c r="A603" s="81"/>
      <c r="B603" s="81"/>
      <c r="C603" s="81"/>
      <c r="D603" s="81"/>
      <c r="E603" s="81"/>
      <c r="F603" s="81"/>
      <c r="G603" s="81"/>
      <c r="H603" s="81"/>
      <c r="I603" s="81"/>
      <c r="J603" s="289"/>
      <c r="K603" s="81"/>
      <c r="L603" s="81"/>
      <c r="M603" s="289"/>
      <c r="N603" s="81"/>
      <c r="O603" s="81"/>
      <c r="P603" s="289"/>
      <c r="Q603" s="81"/>
      <c r="R603" s="81"/>
      <c r="S603" s="289"/>
      <c r="T603" s="81"/>
      <c r="U603" s="81"/>
      <c r="V603" s="81"/>
      <c r="W603" s="81"/>
      <c r="X603" s="81"/>
      <c r="Y603" s="81"/>
      <c r="Z603" s="81"/>
    </row>
    <row r="604" spans="1:26" ht="24" customHeight="1" x14ac:dyDescent="0.5">
      <c r="A604" s="81"/>
      <c r="B604" s="81"/>
      <c r="C604" s="81"/>
      <c r="D604" s="81"/>
      <c r="E604" s="81"/>
      <c r="F604" s="81"/>
      <c r="G604" s="81"/>
      <c r="H604" s="81"/>
      <c r="I604" s="81"/>
      <c r="J604" s="289"/>
      <c r="K604" s="81"/>
      <c r="L604" s="81"/>
      <c r="M604" s="289"/>
      <c r="N604" s="81"/>
      <c r="O604" s="81"/>
      <c r="P604" s="289"/>
      <c r="Q604" s="81"/>
      <c r="R604" s="81"/>
      <c r="S604" s="289"/>
      <c r="T604" s="81"/>
      <c r="U604" s="81"/>
      <c r="V604" s="81"/>
      <c r="W604" s="81"/>
      <c r="X604" s="81"/>
      <c r="Y604" s="81"/>
      <c r="Z604" s="81"/>
    </row>
    <row r="605" spans="1:26" ht="24" customHeight="1" x14ac:dyDescent="0.5">
      <c r="A605" s="81"/>
      <c r="B605" s="81"/>
      <c r="C605" s="81"/>
      <c r="D605" s="81"/>
      <c r="E605" s="81"/>
      <c r="F605" s="81"/>
      <c r="G605" s="81"/>
      <c r="H605" s="81"/>
      <c r="I605" s="81"/>
      <c r="J605" s="289"/>
      <c r="K605" s="81"/>
      <c r="L605" s="81"/>
      <c r="M605" s="289"/>
      <c r="N605" s="81"/>
      <c r="O605" s="81"/>
      <c r="P605" s="289"/>
      <c r="Q605" s="81"/>
      <c r="R605" s="81"/>
      <c r="S605" s="289"/>
      <c r="T605" s="81"/>
      <c r="U605" s="81"/>
      <c r="V605" s="81"/>
      <c r="W605" s="81"/>
      <c r="X605" s="81"/>
      <c r="Y605" s="81"/>
      <c r="Z605" s="81"/>
    </row>
    <row r="606" spans="1:26" ht="24" customHeight="1" x14ac:dyDescent="0.5">
      <c r="A606" s="81"/>
      <c r="B606" s="81"/>
      <c r="C606" s="81"/>
      <c r="D606" s="81"/>
      <c r="E606" s="81"/>
      <c r="F606" s="81"/>
      <c r="G606" s="81"/>
      <c r="H606" s="81"/>
      <c r="I606" s="81"/>
      <c r="J606" s="289"/>
      <c r="K606" s="81"/>
      <c r="L606" s="81"/>
      <c r="M606" s="289"/>
      <c r="N606" s="81"/>
      <c r="O606" s="81"/>
      <c r="P606" s="289"/>
      <c r="Q606" s="81"/>
      <c r="R606" s="81"/>
      <c r="S606" s="289"/>
      <c r="T606" s="81"/>
      <c r="U606" s="81"/>
      <c r="V606" s="81"/>
      <c r="W606" s="81"/>
      <c r="X606" s="81"/>
      <c r="Y606" s="81"/>
      <c r="Z606" s="81"/>
    </row>
    <row r="607" spans="1:26" ht="24" customHeight="1" x14ac:dyDescent="0.5">
      <c r="A607" s="81"/>
      <c r="B607" s="81"/>
      <c r="C607" s="81"/>
      <c r="D607" s="81"/>
      <c r="E607" s="81"/>
      <c r="F607" s="81"/>
      <c r="G607" s="81"/>
      <c r="H607" s="81"/>
      <c r="I607" s="81"/>
      <c r="J607" s="289"/>
      <c r="K607" s="81"/>
      <c r="L607" s="81"/>
      <c r="M607" s="289"/>
      <c r="N607" s="81"/>
      <c r="O607" s="81"/>
      <c r="P607" s="289"/>
      <c r="Q607" s="81"/>
      <c r="R607" s="81"/>
      <c r="S607" s="289"/>
      <c r="T607" s="81"/>
      <c r="U607" s="81"/>
      <c r="V607" s="81"/>
      <c r="W607" s="81"/>
      <c r="X607" s="81"/>
      <c r="Y607" s="81"/>
      <c r="Z607" s="81"/>
    </row>
    <row r="608" spans="1:26" ht="24" customHeight="1" x14ac:dyDescent="0.5">
      <c r="A608" s="81"/>
      <c r="B608" s="81"/>
      <c r="C608" s="81"/>
      <c r="D608" s="81"/>
      <c r="E608" s="81"/>
      <c r="F608" s="81"/>
      <c r="G608" s="81"/>
      <c r="H608" s="81"/>
      <c r="I608" s="81"/>
      <c r="J608" s="289"/>
      <c r="K608" s="81"/>
      <c r="L608" s="81"/>
      <c r="M608" s="289"/>
      <c r="N608" s="81"/>
      <c r="O608" s="81"/>
      <c r="P608" s="289"/>
      <c r="Q608" s="81"/>
      <c r="R608" s="81"/>
      <c r="S608" s="289"/>
      <c r="T608" s="81"/>
      <c r="U608" s="81"/>
      <c r="V608" s="81"/>
      <c r="W608" s="81"/>
      <c r="X608" s="81"/>
      <c r="Y608" s="81"/>
      <c r="Z608" s="81"/>
    </row>
    <row r="609" spans="1:26" ht="24" customHeight="1" x14ac:dyDescent="0.5">
      <c r="A609" s="81"/>
      <c r="B609" s="81"/>
      <c r="C609" s="81"/>
      <c r="D609" s="81"/>
      <c r="E609" s="81"/>
      <c r="F609" s="81"/>
      <c r="G609" s="81"/>
      <c r="H609" s="81"/>
      <c r="I609" s="81"/>
      <c r="J609" s="289"/>
      <c r="K609" s="81"/>
      <c r="L609" s="81"/>
      <c r="M609" s="289"/>
      <c r="N609" s="81"/>
      <c r="O609" s="81"/>
      <c r="P609" s="289"/>
      <c r="Q609" s="81"/>
      <c r="R609" s="81"/>
      <c r="S609" s="289"/>
      <c r="T609" s="81"/>
      <c r="U609" s="81"/>
      <c r="V609" s="81"/>
      <c r="W609" s="81"/>
      <c r="X609" s="81"/>
      <c r="Y609" s="81"/>
      <c r="Z609" s="81"/>
    </row>
    <row r="610" spans="1:26" ht="24" customHeight="1" x14ac:dyDescent="0.5">
      <c r="A610" s="81"/>
      <c r="B610" s="81"/>
      <c r="C610" s="81"/>
      <c r="D610" s="81"/>
      <c r="E610" s="81"/>
      <c r="F610" s="81"/>
      <c r="G610" s="81"/>
      <c r="H610" s="81"/>
      <c r="I610" s="81"/>
      <c r="J610" s="289"/>
      <c r="K610" s="81"/>
      <c r="L610" s="81"/>
      <c r="M610" s="289"/>
      <c r="N610" s="81"/>
      <c r="O610" s="81"/>
      <c r="P610" s="289"/>
      <c r="Q610" s="81"/>
      <c r="R610" s="81"/>
      <c r="S610" s="289"/>
      <c r="T610" s="81"/>
      <c r="U610" s="81"/>
      <c r="V610" s="81"/>
      <c r="W610" s="81"/>
      <c r="X610" s="81"/>
      <c r="Y610" s="81"/>
      <c r="Z610" s="81"/>
    </row>
    <row r="611" spans="1:26" ht="24" customHeight="1" x14ac:dyDescent="0.5">
      <c r="A611" s="81"/>
      <c r="B611" s="81"/>
      <c r="C611" s="81"/>
      <c r="D611" s="81"/>
      <c r="E611" s="81"/>
      <c r="F611" s="81"/>
      <c r="G611" s="81"/>
      <c r="H611" s="81"/>
      <c r="I611" s="81"/>
      <c r="J611" s="289"/>
      <c r="K611" s="81"/>
      <c r="L611" s="81"/>
      <c r="M611" s="289"/>
      <c r="N611" s="81"/>
      <c r="O611" s="81"/>
      <c r="P611" s="289"/>
      <c r="Q611" s="81"/>
      <c r="R611" s="81"/>
      <c r="S611" s="289"/>
      <c r="T611" s="81"/>
      <c r="U611" s="81"/>
      <c r="V611" s="81"/>
      <c r="W611" s="81"/>
      <c r="X611" s="81"/>
      <c r="Y611" s="81"/>
      <c r="Z611" s="81"/>
    </row>
    <row r="612" spans="1:26" ht="24" customHeight="1" x14ac:dyDescent="0.5">
      <c r="A612" s="81"/>
      <c r="B612" s="81"/>
      <c r="C612" s="81"/>
      <c r="D612" s="81"/>
      <c r="E612" s="81"/>
      <c r="F612" s="81"/>
      <c r="G612" s="81"/>
      <c r="H612" s="81"/>
      <c r="I612" s="81"/>
      <c r="J612" s="289"/>
      <c r="K612" s="81"/>
      <c r="L612" s="81"/>
      <c r="M612" s="289"/>
      <c r="N612" s="81"/>
      <c r="O612" s="81"/>
      <c r="P612" s="289"/>
      <c r="Q612" s="81"/>
      <c r="R612" s="81"/>
      <c r="S612" s="289"/>
      <c r="T612" s="81"/>
      <c r="U612" s="81"/>
      <c r="V612" s="81"/>
      <c r="W612" s="81"/>
      <c r="X612" s="81"/>
      <c r="Y612" s="81"/>
      <c r="Z612" s="81"/>
    </row>
    <row r="613" spans="1:26" ht="24" customHeight="1" x14ac:dyDescent="0.5">
      <c r="A613" s="81"/>
      <c r="B613" s="81"/>
      <c r="C613" s="81"/>
      <c r="D613" s="81"/>
      <c r="E613" s="81"/>
      <c r="F613" s="81"/>
      <c r="G613" s="81"/>
      <c r="H613" s="81"/>
      <c r="I613" s="81"/>
      <c r="J613" s="289"/>
      <c r="K613" s="81"/>
      <c r="L613" s="81"/>
      <c r="M613" s="289"/>
      <c r="N613" s="81"/>
      <c r="O613" s="81"/>
      <c r="P613" s="289"/>
      <c r="Q613" s="81"/>
      <c r="R613" s="81"/>
      <c r="S613" s="289"/>
      <c r="T613" s="81"/>
      <c r="U613" s="81"/>
      <c r="V613" s="81"/>
      <c r="W613" s="81"/>
      <c r="X613" s="81"/>
      <c r="Y613" s="81"/>
      <c r="Z613" s="81"/>
    </row>
    <row r="614" spans="1:26" ht="24" customHeight="1" x14ac:dyDescent="0.5">
      <c r="A614" s="81"/>
      <c r="B614" s="81"/>
      <c r="C614" s="81"/>
      <c r="D614" s="81"/>
      <c r="E614" s="81"/>
      <c r="F614" s="81"/>
      <c r="G614" s="81"/>
      <c r="H614" s="81"/>
      <c r="I614" s="81"/>
      <c r="J614" s="289"/>
      <c r="K614" s="81"/>
      <c r="L614" s="81"/>
      <c r="M614" s="289"/>
      <c r="N614" s="81"/>
      <c r="O614" s="81"/>
      <c r="P614" s="289"/>
      <c r="Q614" s="81"/>
      <c r="R614" s="81"/>
      <c r="S614" s="289"/>
      <c r="T614" s="81"/>
      <c r="U614" s="81"/>
      <c r="V614" s="81"/>
      <c r="W614" s="81"/>
      <c r="X614" s="81"/>
      <c r="Y614" s="81"/>
      <c r="Z614" s="81"/>
    </row>
    <row r="615" spans="1:26" ht="24" customHeight="1" x14ac:dyDescent="0.5">
      <c r="A615" s="81"/>
      <c r="B615" s="81"/>
      <c r="C615" s="81"/>
      <c r="D615" s="81"/>
      <c r="E615" s="81"/>
      <c r="F615" s="81"/>
      <c r="G615" s="81"/>
      <c r="H615" s="81"/>
      <c r="I615" s="81"/>
      <c r="J615" s="289"/>
      <c r="K615" s="81"/>
      <c r="L615" s="81"/>
      <c r="M615" s="289"/>
      <c r="N615" s="81"/>
      <c r="O615" s="81"/>
      <c r="P615" s="289"/>
      <c r="Q615" s="81"/>
      <c r="R615" s="81"/>
      <c r="S615" s="289"/>
      <c r="T615" s="81"/>
      <c r="U615" s="81"/>
      <c r="V615" s="81"/>
      <c r="W615" s="81"/>
      <c r="X615" s="81"/>
      <c r="Y615" s="81"/>
      <c r="Z615" s="81"/>
    </row>
    <row r="616" spans="1:26" ht="24" customHeight="1" x14ac:dyDescent="0.5">
      <c r="A616" s="81"/>
      <c r="B616" s="81"/>
      <c r="C616" s="81"/>
      <c r="D616" s="81"/>
      <c r="E616" s="81"/>
      <c r="F616" s="81"/>
      <c r="G616" s="81"/>
      <c r="H616" s="81"/>
      <c r="I616" s="81"/>
      <c r="J616" s="289"/>
      <c r="K616" s="81"/>
      <c r="L616" s="81"/>
      <c r="M616" s="289"/>
      <c r="N616" s="81"/>
      <c r="O616" s="81"/>
      <c r="P616" s="289"/>
      <c r="Q616" s="81"/>
      <c r="R616" s="81"/>
      <c r="S616" s="289"/>
      <c r="T616" s="81"/>
      <c r="U616" s="81"/>
      <c r="V616" s="81"/>
      <c r="W616" s="81"/>
      <c r="X616" s="81"/>
      <c r="Y616" s="81"/>
      <c r="Z616" s="81"/>
    </row>
    <row r="617" spans="1:26" ht="24" customHeight="1" x14ac:dyDescent="0.5">
      <c r="A617" s="81"/>
      <c r="B617" s="81"/>
      <c r="C617" s="81"/>
      <c r="D617" s="81"/>
      <c r="E617" s="81"/>
      <c r="F617" s="81"/>
      <c r="G617" s="81"/>
      <c r="H617" s="81"/>
      <c r="I617" s="81"/>
      <c r="J617" s="289"/>
      <c r="K617" s="81"/>
      <c r="L617" s="81"/>
      <c r="M617" s="289"/>
      <c r="N617" s="81"/>
      <c r="O617" s="81"/>
      <c r="P617" s="289"/>
      <c r="Q617" s="81"/>
      <c r="R617" s="81"/>
      <c r="S617" s="289"/>
      <c r="T617" s="81"/>
      <c r="U617" s="81"/>
      <c r="V617" s="81"/>
      <c r="W617" s="81"/>
      <c r="X617" s="81"/>
      <c r="Y617" s="81"/>
      <c r="Z617" s="81"/>
    </row>
    <row r="618" spans="1:26" ht="24" customHeight="1" x14ac:dyDescent="0.5">
      <c r="A618" s="81"/>
      <c r="B618" s="81"/>
      <c r="C618" s="81"/>
      <c r="D618" s="81"/>
      <c r="E618" s="81"/>
      <c r="F618" s="81"/>
      <c r="G618" s="81"/>
      <c r="H618" s="81"/>
      <c r="I618" s="81"/>
      <c r="J618" s="289"/>
      <c r="K618" s="81"/>
      <c r="L618" s="81"/>
      <c r="M618" s="289"/>
      <c r="N618" s="81"/>
      <c r="O618" s="81"/>
      <c r="P618" s="289"/>
      <c r="Q618" s="81"/>
      <c r="R618" s="81"/>
      <c r="S618" s="289"/>
      <c r="T618" s="81"/>
      <c r="U618" s="81"/>
      <c r="V618" s="81"/>
      <c r="W618" s="81"/>
      <c r="X618" s="81"/>
      <c r="Y618" s="81"/>
      <c r="Z618" s="81"/>
    </row>
    <row r="619" spans="1:26" ht="24" customHeight="1" x14ac:dyDescent="0.5">
      <c r="A619" s="81"/>
      <c r="B619" s="81"/>
      <c r="C619" s="81"/>
      <c r="D619" s="81"/>
      <c r="E619" s="81"/>
      <c r="F619" s="81"/>
      <c r="G619" s="81"/>
      <c r="H619" s="81"/>
      <c r="I619" s="81"/>
      <c r="J619" s="289"/>
      <c r="K619" s="81"/>
      <c r="L619" s="81"/>
      <c r="M619" s="289"/>
      <c r="N619" s="81"/>
      <c r="O619" s="81"/>
      <c r="P619" s="289"/>
      <c r="Q619" s="81"/>
      <c r="R619" s="81"/>
      <c r="S619" s="289"/>
      <c r="T619" s="81"/>
      <c r="U619" s="81"/>
      <c r="V619" s="81"/>
      <c r="W619" s="81"/>
      <c r="X619" s="81"/>
      <c r="Y619" s="81"/>
      <c r="Z619" s="81"/>
    </row>
    <row r="620" spans="1:26" ht="24" customHeight="1" x14ac:dyDescent="0.5">
      <c r="A620" s="81"/>
      <c r="B620" s="81"/>
      <c r="C620" s="81"/>
      <c r="D620" s="81"/>
      <c r="E620" s="81"/>
      <c r="F620" s="81"/>
      <c r="G620" s="81"/>
      <c r="H620" s="81"/>
      <c r="I620" s="81"/>
      <c r="J620" s="289"/>
      <c r="K620" s="81"/>
      <c r="L620" s="81"/>
      <c r="M620" s="289"/>
      <c r="N620" s="81"/>
      <c r="O620" s="81"/>
      <c r="P620" s="289"/>
      <c r="Q620" s="81"/>
      <c r="R620" s="81"/>
      <c r="S620" s="289"/>
      <c r="T620" s="81"/>
      <c r="U620" s="81"/>
      <c r="V620" s="81"/>
      <c r="W620" s="81"/>
      <c r="X620" s="81"/>
      <c r="Y620" s="81"/>
      <c r="Z620" s="81"/>
    </row>
    <row r="621" spans="1:26" ht="24" customHeight="1" x14ac:dyDescent="0.5">
      <c r="A621" s="81"/>
      <c r="B621" s="81"/>
      <c r="C621" s="81"/>
      <c r="D621" s="81"/>
      <c r="E621" s="81"/>
      <c r="F621" s="81"/>
      <c r="G621" s="81"/>
      <c r="H621" s="81"/>
      <c r="I621" s="81"/>
      <c r="J621" s="289"/>
      <c r="K621" s="81"/>
      <c r="L621" s="81"/>
      <c r="M621" s="289"/>
      <c r="N621" s="81"/>
      <c r="O621" s="81"/>
      <c r="P621" s="289"/>
      <c r="Q621" s="81"/>
      <c r="R621" s="81"/>
      <c r="S621" s="289"/>
      <c r="T621" s="81"/>
      <c r="U621" s="81"/>
      <c r="V621" s="81"/>
      <c r="W621" s="81"/>
      <c r="X621" s="81"/>
      <c r="Y621" s="81"/>
      <c r="Z621" s="81"/>
    </row>
    <row r="622" spans="1:26" ht="24" customHeight="1" x14ac:dyDescent="0.5">
      <c r="A622" s="81"/>
      <c r="B622" s="81"/>
      <c r="C622" s="81"/>
      <c r="D622" s="81"/>
      <c r="E622" s="81"/>
      <c r="F622" s="81"/>
      <c r="G622" s="81"/>
      <c r="H622" s="81"/>
      <c r="I622" s="81"/>
      <c r="J622" s="289"/>
      <c r="K622" s="81"/>
      <c r="L622" s="81"/>
      <c r="M622" s="289"/>
      <c r="N622" s="81"/>
      <c r="O622" s="81"/>
      <c r="P622" s="289"/>
      <c r="Q622" s="81"/>
      <c r="R622" s="81"/>
      <c r="S622" s="289"/>
      <c r="T622" s="81"/>
      <c r="U622" s="81"/>
      <c r="V622" s="81"/>
      <c r="W622" s="81"/>
      <c r="X622" s="81"/>
      <c r="Y622" s="81"/>
      <c r="Z622" s="81"/>
    </row>
    <row r="623" spans="1:26" ht="24" customHeight="1" x14ac:dyDescent="0.5">
      <c r="A623" s="81"/>
      <c r="B623" s="81"/>
      <c r="C623" s="81"/>
      <c r="D623" s="81"/>
      <c r="E623" s="81"/>
      <c r="F623" s="81"/>
      <c r="G623" s="81"/>
      <c r="H623" s="81"/>
      <c r="I623" s="81"/>
      <c r="J623" s="289"/>
      <c r="K623" s="81"/>
      <c r="L623" s="81"/>
      <c r="M623" s="289"/>
      <c r="N623" s="81"/>
      <c r="O623" s="81"/>
      <c r="P623" s="289"/>
      <c r="Q623" s="81"/>
      <c r="R623" s="81"/>
      <c r="S623" s="289"/>
      <c r="T623" s="81"/>
      <c r="U623" s="81"/>
      <c r="V623" s="81"/>
      <c r="W623" s="81"/>
      <c r="X623" s="81"/>
      <c r="Y623" s="81"/>
      <c r="Z623" s="81"/>
    </row>
    <row r="624" spans="1:26" ht="24" customHeight="1" x14ac:dyDescent="0.5">
      <c r="A624" s="81"/>
      <c r="B624" s="81"/>
      <c r="C624" s="81"/>
      <c r="D624" s="81"/>
      <c r="E624" s="81"/>
      <c r="F624" s="81"/>
      <c r="G624" s="81"/>
      <c r="H624" s="81"/>
      <c r="I624" s="81"/>
      <c r="J624" s="289"/>
      <c r="K624" s="81"/>
      <c r="L624" s="81"/>
      <c r="M624" s="289"/>
      <c r="N624" s="81"/>
      <c r="O624" s="81"/>
      <c r="P624" s="289"/>
      <c r="Q624" s="81"/>
      <c r="R624" s="81"/>
      <c r="S624" s="289"/>
      <c r="T624" s="81"/>
      <c r="U624" s="81"/>
      <c r="V624" s="81"/>
      <c r="W624" s="81"/>
      <c r="X624" s="81"/>
      <c r="Y624" s="81"/>
      <c r="Z624" s="81"/>
    </row>
    <row r="625" spans="1:26" ht="24" customHeight="1" x14ac:dyDescent="0.5">
      <c r="A625" s="81"/>
      <c r="B625" s="81"/>
      <c r="C625" s="81"/>
      <c r="D625" s="81"/>
      <c r="E625" s="81"/>
      <c r="F625" s="81"/>
      <c r="G625" s="81"/>
      <c r="H625" s="81"/>
      <c r="I625" s="81"/>
      <c r="J625" s="289"/>
      <c r="K625" s="81"/>
      <c r="L625" s="81"/>
      <c r="M625" s="289"/>
      <c r="N625" s="81"/>
      <c r="O625" s="81"/>
      <c r="P625" s="289"/>
      <c r="Q625" s="81"/>
      <c r="R625" s="81"/>
      <c r="S625" s="289"/>
      <c r="T625" s="81"/>
      <c r="U625" s="81"/>
      <c r="V625" s="81"/>
      <c r="W625" s="81"/>
      <c r="X625" s="81"/>
      <c r="Y625" s="81"/>
      <c r="Z625" s="81"/>
    </row>
    <row r="626" spans="1:26" ht="24" customHeight="1" x14ac:dyDescent="0.5">
      <c r="A626" s="81"/>
      <c r="B626" s="81"/>
      <c r="C626" s="81"/>
      <c r="D626" s="81"/>
      <c r="E626" s="81"/>
      <c r="F626" s="81"/>
      <c r="G626" s="81"/>
      <c r="H626" s="81"/>
      <c r="I626" s="81"/>
      <c r="J626" s="289"/>
      <c r="K626" s="81"/>
      <c r="L626" s="81"/>
      <c r="M626" s="289"/>
      <c r="N626" s="81"/>
      <c r="O626" s="81"/>
      <c r="P626" s="289"/>
      <c r="Q626" s="81"/>
      <c r="R626" s="81"/>
      <c r="S626" s="289"/>
      <c r="T626" s="81"/>
      <c r="U626" s="81"/>
      <c r="V626" s="81"/>
      <c r="W626" s="81"/>
      <c r="X626" s="81"/>
      <c r="Y626" s="81"/>
      <c r="Z626" s="81"/>
    </row>
    <row r="627" spans="1:26" ht="24" customHeight="1" x14ac:dyDescent="0.5">
      <c r="A627" s="81"/>
      <c r="B627" s="81"/>
      <c r="C627" s="81"/>
      <c r="D627" s="81"/>
      <c r="E627" s="81"/>
      <c r="F627" s="81"/>
      <c r="G627" s="81"/>
      <c r="H627" s="81"/>
      <c r="I627" s="81"/>
      <c r="J627" s="289"/>
      <c r="K627" s="81"/>
      <c r="L627" s="81"/>
      <c r="M627" s="289"/>
      <c r="N627" s="81"/>
      <c r="O627" s="81"/>
      <c r="P627" s="289"/>
      <c r="Q627" s="81"/>
      <c r="R627" s="81"/>
      <c r="S627" s="289"/>
      <c r="T627" s="81"/>
      <c r="U627" s="81"/>
      <c r="V627" s="81"/>
      <c r="W627" s="81"/>
      <c r="X627" s="81"/>
      <c r="Y627" s="81"/>
      <c r="Z627" s="81"/>
    </row>
    <row r="628" spans="1:26" ht="24" customHeight="1" x14ac:dyDescent="0.5">
      <c r="A628" s="81"/>
      <c r="B628" s="81"/>
      <c r="C628" s="81"/>
      <c r="D628" s="81"/>
      <c r="E628" s="81"/>
      <c r="F628" s="81"/>
      <c r="G628" s="81"/>
      <c r="H628" s="81"/>
      <c r="I628" s="81"/>
      <c r="J628" s="289"/>
      <c r="K628" s="81"/>
      <c r="L628" s="81"/>
      <c r="M628" s="289"/>
      <c r="N628" s="81"/>
      <c r="O628" s="81"/>
      <c r="P628" s="289"/>
      <c r="Q628" s="81"/>
      <c r="R628" s="81"/>
      <c r="S628" s="289"/>
      <c r="T628" s="81"/>
      <c r="U628" s="81"/>
      <c r="V628" s="81"/>
      <c r="W628" s="81"/>
      <c r="X628" s="81"/>
      <c r="Y628" s="81"/>
      <c r="Z628" s="81"/>
    </row>
    <row r="629" spans="1:26" ht="24" customHeight="1" x14ac:dyDescent="0.5">
      <c r="A629" s="81"/>
      <c r="B629" s="81"/>
      <c r="C629" s="81"/>
      <c r="D629" s="81"/>
      <c r="E629" s="81"/>
      <c r="F629" s="81"/>
      <c r="G629" s="81"/>
      <c r="H629" s="81"/>
      <c r="I629" s="81"/>
      <c r="J629" s="289"/>
      <c r="K629" s="81"/>
      <c r="L629" s="81"/>
      <c r="M629" s="289"/>
      <c r="N629" s="81"/>
      <c r="O629" s="81"/>
      <c r="P629" s="289"/>
      <c r="Q629" s="81"/>
      <c r="R629" s="81"/>
      <c r="S629" s="289"/>
      <c r="T629" s="81"/>
      <c r="U629" s="81"/>
      <c r="V629" s="81"/>
      <c r="W629" s="81"/>
      <c r="X629" s="81"/>
      <c r="Y629" s="81"/>
      <c r="Z629" s="81"/>
    </row>
    <row r="630" spans="1:26" ht="24" customHeight="1" x14ac:dyDescent="0.5">
      <c r="A630" s="81"/>
      <c r="B630" s="81"/>
      <c r="C630" s="81"/>
      <c r="D630" s="81"/>
      <c r="E630" s="81"/>
      <c r="F630" s="81"/>
      <c r="G630" s="81"/>
      <c r="H630" s="81"/>
      <c r="I630" s="81"/>
      <c r="J630" s="289"/>
      <c r="K630" s="81"/>
      <c r="L630" s="81"/>
      <c r="M630" s="289"/>
      <c r="N630" s="81"/>
      <c r="O630" s="81"/>
      <c r="P630" s="289"/>
      <c r="Q630" s="81"/>
      <c r="R630" s="81"/>
      <c r="S630" s="289"/>
      <c r="T630" s="81"/>
      <c r="U630" s="81"/>
      <c r="V630" s="81"/>
      <c r="W630" s="81"/>
      <c r="X630" s="81"/>
      <c r="Y630" s="81"/>
      <c r="Z630" s="81"/>
    </row>
    <row r="631" spans="1:26" ht="24" customHeight="1" x14ac:dyDescent="0.5">
      <c r="A631" s="81"/>
      <c r="B631" s="81"/>
      <c r="C631" s="81"/>
      <c r="D631" s="81"/>
      <c r="E631" s="81"/>
      <c r="F631" s="81"/>
      <c r="G631" s="81"/>
      <c r="H631" s="81"/>
      <c r="I631" s="81"/>
      <c r="J631" s="289"/>
      <c r="K631" s="81"/>
      <c r="L631" s="81"/>
      <c r="M631" s="289"/>
      <c r="N631" s="81"/>
      <c r="O631" s="81"/>
      <c r="P631" s="289"/>
      <c r="Q631" s="81"/>
      <c r="R631" s="81"/>
      <c r="S631" s="289"/>
      <c r="T631" s="81"/>
      <c r="U631" s="81"/>
      <c r="V631" s="81"/>
      <c r="W631" s="81"/>
      <c r="X631" s="81"/>
      <c r="Y631" s="81"/>
      <c r="Z631" s="81"/>
    </row>
    <row r="632" spans="1:26" ht="24" customHeight="1" x14ac:dyDescent="0.5">
      <c r="A632" s="81"/>
      <c r="B632" s="81"/>
      <c r="C632" s="81"/>
      <c r="D632" s="81"/>
      <c r="E632" s="81"/>
      <c r="F632" s="81"/>
      <c r="G632" s="81"/>
      <c r="H632" s="81"/>
      <c r="I632" s="81"/>
      <c r="J632" s="289"/>
      <c r="K632" s="81"/>
      <c r="L632" s="81"/>
      <c r="M632" s="289"/>
      <c r="N632" s="81"/>
      <c r="O632" s="81"/>
      <c r="P632" s="289"/>
      <c r="Q632" s="81"/>
      <c r="R632" s="81"/>
      <c r="S632" s="289"/>
      <c r="T632" s="81"/>
      <c r="U632" s="81"/>
      <c r="V632" s="81"/>
      <c r="W632" s="81"/>
      <c r="X632" s="81"/>
      <c r="Y632" s="81"/>
      <c r="Z632" s="81"/>
    </row>
    <row r="633" spans="1:26" ht="24" customHeight="1" x14ac:dyDescent="0.5">
      <c r="A633" s="81"/>
      <c r="B633" s="81"/>
      <c r="C633" s="81"/>
      <c r="D633" s="81"/>
      <c r="E633" s="81"/>
      <c r="F633" s="81"/>
      <c r="G633" s="81"/>
      <c r="H633" s="81"/>
      <c r="I633" s="81"/>
      <c r="J633" s="289"/>
      <c r="K633" s="81"/>
      <c r="L633" s="81"/>
      <c r="M633" s="289"/>
      <c r="N633" s="81"/>
      <c r="O633" s="81"/>
      <c r="P633" s="289"/>
      <c r="Q633" s="81"/>
      <c r="R633" s="81"/>
      <c r="S633" s="289"/>
      <c r="T633" s="81"/>
      <c r="U633" s="81"/>
      <c r="V633" s="81"/>
      <c r="W633" s="81"/>
      <c r="X633" s="81"/>
      <c r="Y633" s="81"/>
      <c r="Z633" s="81"/>
    </row>
    <row r="634" spans="1:26" ht="24" customHeight="1" x14ac:dyDescent="0.5">
      <c r="A634" s="81"/>
      <c r="B634" s="81"/>
      <c r="C634" s="81"/>
      <c r="D634" s="81"/>
      <c r="E634" s="81"/>
      <c r="F634" s="81"/>
      <c r="G634" s="81"/>
      <c r="H634" s="81"/>
      <c r="I634" s="81"/>
      <c r="J634" s="289"/>
      <c r="K634" s="81"/>
      <c r="L634" s="81"/>
      <c r="M634" s="289"/>
      <c r="N634" s="81"/>
      <c r="O634" s="81"/>
      <c r="P634" s="289"/>
      <c r="Q634" s="81"/>
      <c r="R634" s="81"/>
      <c r="S634" s="289"/>
      <c r="T634" s="81"/>
      <c r="U634" s="81"/>
      <c r="V634" s="81"/>
      <c r="W634" s="81"/>
      <c r="X634" s="81"/>
      <c r="Y634" s="81"/>
      <c r="Z634" s="81"/>
    </row>
    <row r="635" spans="1:26" ht="24" customHeight="1" x14ac:dyDescent="0.5">
      <c r="A635" s="81"/>
      <c r="B635" s="81"/>
      <c r="C635" s="81"/>
      <c r="D635" s="81"/>
      <c r="E635" s="81"/>
      <c r="F635" s="81"/>
      <c r="G635" s="81"/>
      <c r="H635" s="81"/>
      <c r="I635" s="81"/>
      <c r="J635" s="289"/>
      <c r="K635" s="81"/>
      <c r="L635" s="81"/>
      <c r="M635" s="289"/>
      <c r="N635" s="81"/>
      <c r="O635" s="81"/>
      <c r="P635" s="289"/>
      <c r="Q635" s="81"/>
      <c r="R635" s="81"/>
      <c r="S635" s="289"/>
      <c r="T635" s="81"/>
      <c r="U635" s="81"/>
      <c r="V635" s="81"/>
      <c r="W635" s="81"/>
      <c r="X635" s="81"/>
      <c r="Y635" s="81"/>
      <c r="Z635" s="81"/>
    </row>
    <row r="636" spans="1:26" ht="24" customHeight="1" x14ac:dyDescent="0.5">
      <c r="A636" s="81"/>
      <c r="B636" s="81"/>
      <c r="C636" s="81"/>
      <c r="D636" s="81"/>
      <c r="E636" s="81"/>
      <c r="F636" s="81"/>
      <c r="G636" s="81"/>
      <c r="H636" s="81"/>
      <c r="I636" s="81"/>
      <c r="J636" s="289"/>
      <c r="K636" s="81"/>
      <c r="L636" s="81"/>
      <c r="M636" s="289"/>
      <c r="N636" s="81"/>
      <c r="O636" s="81"/>
      <c r="P636" s="289"/>
      <c r="Q636" s="81"/>
      <c r="R636" s="81"/>
      <c r="S636" s="289"/>
      <c r="T636" s="81"/>
      <c r="U636" s="81"/>
      <c r="V636" s="81"/>
      <c r="W636" s="81"/>
      <c r="X636" s="81"/>
      <c r="Y636" s="81"/>
      <c r="Z636" s="81"/>
    </row>
    <row r="637" spans="1:26" ht="24" customHeight="1" x14ac:dyDescent="0.5">
      <c r="A637" s="81"/>
      <c r="B637" s="81"/>
      <c r="C637" s="81"/>
      <c r="D637" s="81"/>
      <c r="E637" s="81"/>
      <c r="F637" s="81"/>
      <c r="G637" s="81"/>
      <c r="H637" s="81"/>
      <c r="I637" s="81"/>
      <c r="J637" s="289"/>
      <c r="K637" s="81"/>
      <c r="L637" s="81"/>
      <c r="M637" s="289"/>
      <c r="N637" s="81"/>
      <c r="O637" s="81"/>
      <c r="P637" s="289"/>
      <c r="Q637" s="81"/>
      <c r="R637" s="81"/>
      <c r="S637" s="289"/>
      <c r="T637" s="81"/>
      <c r="U637" s="81"/>
      <c r="V637" s="81"/>
      <c r="W637" s="81"/>
      <c r="X637" s="81"/>
      <c r="Y637" s="81"/>
      <c r="Z637" s="81"/>
    </row>
    <row r="638" spans="1:26" ht="24" customHeight="1" x14ac:dyDescent="0.5">
      <c r="A638" s="81"/>
      <c r="B638" s="81"/>
      <c r="C638" s="81"/>
      <c r="D638" s="81"/>
      <c r="E638" s="81"/>
      <c r="F638" s="81"/>
      <c r="G638" s="81"/>
      <c r="H638" s="81"/>
      <c r="I638" s="81"/>
      <c r="J638" s="289"/>
      <c r="K638" s="81"/>
      <c r="L638" s="81"/>
      <c r="M638" s="289"/>
      <c r="N638" s="81"/>
      <c r="O638" s="81"/>
      <c r="P638" s="289"/>
      <c r="Q638" s="81"/>
      <c r="R638" s="81"/>
      <c r="S638" s="289"/>
      <c r="T638" s="81"/>
      <c r="U638" s="81"/>
      <c r="V638" s="81"/>
      <c r="W638" s="81"/>
      <c r="X638" s="81"/>
      <c r="Y638" s="81"/>
      <c r="Z638" s="81"/>
    </row>
    <row r="639" spans="1:26" ht="24" customHeight="1" x14ac:dyDescent="0.5">
      <c r="A639" s="81"/>
      <c r="B639" s="81"/>
      <c r="C639" s="81"/>
      <c r="D639" s="81"/>
      <c r="E639" s="81"/>
      <c r="F639" s="81"/>
      <c r="G639" s="81"/>
      <c r="H639" s="81"/>
      <c r="I639" s="81"/>
      <c r="J639" s="289"/>
      <c r="K639" s="81"/>
      <c r="L639" s="81"/>
      <c r="M639" s="289"/>
      <c r="N639" s="81"/>
      <c r="O639" s="81"/>
      <c r="P639" s="289"/>
      <c r="Q639" s="81"/>
      <c r="R639" s="81"/>
      <c r="S639" s="289"/>
      <c r="T639" s="81"/>
      <c r="U639" s="81"/>
      <c r="V639" s="81"/>
      <c r="W639" s="81"/>
      <c r="X639" s="81"/>
      <c r="Y639" s="81"/>
      <c r="Z639" s="81"/>
    </row>
    <row r="640" spans="1:26" ht="24" customHeight="1" x14ac:dyDescent="0.5">
      <c r="A640" s="81"/>
      <c r="B640" s="81"/>
      <c r="C640" s="81"/>
      <c r="D640" s="81"/>
      <c r="E640" s="81"/>
      <c r="F640" s="81"/>
      <c r="G640" s="81"/>
      <c r="H640" s="81"/>
      <c r="I640" s="81"/>
      <c r="J640" s="289"/>
      <c r="K640" s="81"/>
      <c r="L640" s="81"/>
      <c r="M640" s="289"/>
      <c r="N640" s="81"/>
      <c r="O640" s="81"/>
      <c r="P640" s="289"/>
      <c r="Q640" s="81"/>
      <c r="R640" s="81"/>
      <c r="S640" s="289"/>
      <c r="T640" s="81"/>
      <c r="U640" s="81"/>
      <c r="V640" s="81"/>
      <c r="W640" s="81"/>
      <c r="X640" s="81"/>
      <c r="Y640" s="81"/>
      <c r="Z640" s="81"/>
    </row>
    <row r="641" spans="1:26" ht="24" customHeight="1" x14ac:dyDescent="0.5">
      <c r="A641" s="81"/>
      <c r="B641" s="81"/>
      <c r="C641" s="81"/>
      <c r="D641" s="81"/>
      <c r="E641" s="81"/>
      <c r="F641" s="81"/>
      <c r="G641" s="81"/>
      <c r="H641" s="81"/>
      <c r="I641" s="81"/>
      <c r="J641" s="289"/>
      <c r="K641" s="81"/>
      <c r="L641" s="81"/>
      <c r="M641" s="289"/>
      <c r="N641" s="81"/>
      <c r="O641" s="81"/>
      <c r="P641" s="289"/>
      <c r="Q641" s="81"/>
      <c r="R641" s="81"/>
      <c r="S641" s="289"/>
      <c r="T641" s="81"/>
      <c r="U641" s="81"/>
      <c r="V641" s="81"/>
      <c r="W641" s="81"/>
      <c r="X641" s="81"/>
      <c r="Y641" s="81"/>
      <c r="Z641" s="81"/>
    </row>
    <row r="642" spans="1:26" ht="24" customHeight="1" x14ac:dyDescent="0.5">
      <c r="A642" s="81"/>
      <c r="B642" s="81"/>
      <c r="C642" s="81"/>
      <c r="D642" s="81"/>
      <c r="E642" s="81"/>
      <c r="F642" s="81"/>
      <c r="G642" s="81"/>
      <c r="H642" s="81"/>
      <c r="I642" s="81"/>
      <c r="J642" s="289"/>
      <c r="K642" s="81"/>
      <c r="L642" s="81"/>
      <c r="M642" s="289"/>
      <c r="N642" s="81"/>
      <c r="O642" s="81"/>
      <c r="P642" s="289"/>
      <c r="Q642" s="81"/>
      <c r="R642" s="81"/>
      <c r="S642" s="289"/>
      <c r="T642" s="81"/>
      <c r="U642" s="81"/>
      <c r="V642" s="81"/>
      <c r="W642" s="81"/>
      <c r="X642" s="81"/>
      <c r="Y642" s="81"/>
      <c r="Z642" s="81"/>
    </row>
    <row r="643" spans="1:26" ht="24" customHeight="1" x14ac:dyDescent="0.5">
      <c r="A643" s="81"/>
      <c r="B643" s="81"/>
      <c r="C643" s="81"/>
      <c r="D643" s="81"/>
      <c r="E643" s="81"/>
      <c r="F643" s="81"/>
      <c r="G643" s="81"/>
      <c r="H643" s="81"/>
      <c r="I643" s="81"/>
      <c r="J643" s="289"/>
      <c r="K643" s="81"/>
      <c r="L643" s="81"/>
      <c r="M643" s="289"/>
      <c r="N643" s="81"/>
      <c r="O643" s="81"/>
      <c r="P643" s="289"/>
      <c r="Q643" s="81"/>
      <c r="R643" s="81"/>
      <c r="S643" s="289"/>
      <c r="T643" s="81"/>
      <c r="U643" s="81"/>
      <c r="V643" s="81"/>
      <c r="W643" s="81"/>
      <c r="X643" s="81"/>
      <c r="Y643" s="81"/>
      <c r="Z643" s="81"/>
    </row>
    <row r="644" spans="1:26" ht="24" customHeight="1" x14ac:dyDescent="0.5">
      <c r="A644" s="81"/>
      <c r="B644" s="81"/>
      <c r="C644" s="81"/>
      <c r="D644" s="81"/>
      <c r="E644" s="81"/>
      <c r="F644" s="81"/>
      <c r="G644" s="81"/>
      <c r="H644" s="81"/>
      <c r="I644" s="81"/>
      <c r="J644" s="289"/>
      <c r="K644" s="81"/>
      <c r="L644" s="81"/>
      <c r="M644" s="289"/>
      <c r="N644" s="81"/>
      <c r="O644" s="81"/>
      <c r="P644" s="289"/>
      <c r="Q644" s="81"/>
      <c r="R644" s="81"/>
      <c r="S644" s="289"/>
      <c r="T644" s="81"/>
      <c r="U644" s="81"/>
      <c r="V644" s="81"/>
      <c r="W644" s="81"/>
      <c r="X644" s="81"/>
      <c r="Y644" s="81"/>
      <c r="Z644" s="81"/>
    </row>
    <row r="645" spans="1:26" ht="24" customHeight="1" x14ac:dyDescent="0.5">
      <c r="A645" s="81"/>
      <c r="B645" s="81"/>
      <c r="C645" s="81"/>
      <c r="D645" s="81"/>
      <c r="E645" s="81"/>
      <c r="F645" s="81"/>
      <c r="G645" s="81"/>
      <c r="H645" s="81"/>
      <c r="I645" s="81"/>
      <c r="J645" s="289"/>
      <c r="K645" s="81"/>
      <c r="L645" s="81"/>
      <c r="M645" s="289"/>
      <c r="N645" s="81"/>
      <c r="O645" s="81"/>
      <c r="P645" s="289"/>
      <c r="Q645" s="81"/>
      <c r="R645" s="81"/>
      <c r="S645" s="289"/>
      <c r="T645" s="81"/>
      <c r="U645" s="81"/>
      <c r="V645" s="81"/>
      <c r="W645" s="81"/>
      <c r="X645" s="81"/>
      <c r="Y645" s="81"/>
      <c r="Z645" s="81"/>
    </row>
    <row r="646" spans="1:26" ht="24" customHeight="1" x14ac:dyDescent="0.5">
      <c r="A646" s="81"/>
      <c r="B646" s="81"/>
      <c r="C646" s="81"/>
      <c r="D646" s="81"/>
      <c r="E646" s="81"/>
      <c r="F646" s="81"/>
      <c r="G646" s="81"/>
      <c r="H646" s="81"/>
      <c r="I646" s="81"/>
      <c r="J646" s="289"/>
      <c r="K646" s="81"/>
      <c r="L646" s="81"/>
      <c r="M646" s="289"/>
      <c r="N646" s="81"/>
      <c r="O646" s="81"/>
      <c r="P646" s="289"/>
      <c r="Q646" s="81"/>
      <c r="R646" s="81"/>
      <c r="S646" s="289"/>
      <c r="T646" s="81"/>
      <c r="U646" s="81"/>
      <c r="V646" s="81"/>
      <c r="W646" s="81"/>
      <c r="X646" s="81"/>
      <c r="Y646" s="81"/>
      <c r="Z646" s="81"/>
    </row>
    <row r="647" spans="1:26" ht="24" customHeight="1" x14ac:dyDescent="0.5">
      <c r="A647" s="81"/>
      <c r="B647" s="81"/>
      <c r="C647" s="81"/>
      <c r="D647" s="81"/>
      <c r="E647" s="81"/>
      <c r="F647" s="81"/>
      <c r="G647" s="81"/>
      <c r="H647" s="81"/>
      <c r="I647" s="81"/>
      <c r="J647" s="289"/>
      <c r="K647" s="81"/>
      <c r="L647" s="81"/>
      <c r="M647" s="289"/>
      <c r="N647" s="81"/>
      <c r="O647" s="81"/>
      <c r="P647" s="289"/>
      <c r="Q647" s="81"/>
      <c r="R647" s="81"/>
      <c r="S647" s="289"/>
      <c r="T647" s="81"/>
      <c r="U647" s="81"/>
      <c r="V647" s="81"/>
      <c r="W647" s="81"/>
      <c r="X647" s="81"/>
      <c r="Y647" s="81"/>
      <c r="Z647" s="81"/>
    </row>
    <row r="648" spans="1:26" ht="24" customHeight="1" x14ac:dyDescent="0.5">
      <c r="A648" s="81"/>
      <c r="B648" s="81"/>
      <c r="C648" s="81"/>
      <c r="D648" s="81"/>
      <c r="E648" s="81"/>
      <c r="F648" s="81"/>
      <c r="G648" s="81"/>
      <c r="H648" s="81"/>
      <c r="I648" s="81"/>
      <c r="J648" s="289"/>
      <c r="K648" s="81"/>
      <c r="L648" s="81"/>
      <c r="M648" s="289"/>
      <c r="N648" s="81"/>
      <c r="O648" s="81"/>
      <c r="P648" s="289"/>
      <c r="Q648" s="81"/>
      <c r="R648" s="81"/>
      <c r="S648" s="289"/>
      <c r="T648" s="81"/>
      <c r="U648" s="81"/>
      <c r="V648" s="81"/>
      <c r="W648" s="81"/>
      <c r="X648" s="81"/>
      <c r="Y648" s="81"/>
      <c r="Z648" s="81"/>
    </row>
    <row r="649" spans="1:26" ht="24" customHeight="1" x14ac:dyDescent="0.5">
      <c r="A649" s="81"/>
      <c r="B649" s="81"/>
      <c r="C649" s="81"/>
      <c r="D649" s="81"/>
      <c r="E649" s="81"/>
      <c r="F649" s="81"/>
      <c r="G649" s="81"/>
      <c r="H649" s="81"/>
      <c r="I649" s="81"/>
      <c r="J649" s="289"/>
      <c r="K649" s="81"/>
      <c r="L649" s="81"/>
      <c r="M649" s="289"/>
      <c r="N649" s="81"/>
      <c r="O649" s="81"/>
      <c r="P649" s="289"/>
      <c r="Q649" s="81"/>
      <c r="R649" s="81"/>
      <c r="S649" s="289"/>
      <c r="T649" s="81"/>
      <c r="U649" s="81"/>
      <c r="V649" s="81"/>
      <c r="W649" s="81"/>
      <c r="X649" s="81"/>
      <c r="Y649" s="81"/>
      <c r="Z649" s="81"/>
    </row>
    <row r="650" spans="1:26" ht="24" customHeight="1" x14ac:dyDescent="0.5">
      <c r="A650" s="81"/>
      <c r="B650" s="81"/>
      <c r="C650" s="81"/>
      <c r="D650" s="81"/>
      <c r="E650" s="81"/>
      <c r="F650" s="81"/>
      <c r="G650" s="81"/>
      <c r="H650" s="81"/>
      <c r="I650" s="81"/>
      <c r="J650" s="289"/>
      <c r="K650" s="81"/>
      <c r="L650" s="81"/>
      <c r="M650" s="289"/>
      <c r="N650" s="81"/>
      <c r="O650" s="81"/>
      <c r="P650" s="289"/>
      <c r="Q650" s="81"/>
      <c r="R650" s="81"/>
      <c r="S650" s="289"/>
      <c r="T650" s="81"/>
      <c r="U650" s="81"/>
      <c r="V650" s="81"/>
      <c r="W650" s="81"/>
      <c r="X650" s="81"/>
      <c r="Y650" s="81"/>
      <c r="Z650" s="81"/>
    </row>
    <row r="651" spans="1:26" ht="24" customHeight="1" x14ac:dyDescent="0.5">
      <c r="A651" s="81"/>
      <c r="B651" s="81"/>
      <c r="C651" s="81"/>
      <c r="D651" s="81"/>
      <c r="E651" s="81"/>
      <c r="F651" s="81"/>
      <c r="G651" s="81"/>
      <c r="H651" s="81"/>
      <c r="I651" s="81"/>
      <c r="J651" s="289"/>
      <c r="K651" s="81"/>
      <c r="L651" s="81"/>
      <c r="M651" s="289"/>
      <c r="N651" s="81"/>
      <c r="O651" s="81"/>
      <c r="P651" s="289"/>
      <c r="Q651" s="81"/>
      <c r="R651" s="81"/>
      <c r="S651" s="289"/>
      <c r="T651" s="81"/>
      <c r="U651" s="81"/>
      <c r="V651" s="81"/>
      <c r="W651" s="81"/>
      <c r="X651" s="81"/>
      <c r="Y651" s="81"/>
      <c r="Z651" s="81"/>
    </row>
    <row r="652" spans="1:26" ht="24" customHeight="1" x14ac:dyDescent="0.5">
      <c r="A652" s="81"/>
      <c r="B652" s="81"/>
      <c r="C652" s="81"/>
      <c r="D652" s="81"/>
      <c r="E652" s="81"/>
      <c r="F652" s="81"/>
      <c r="G652" s="81"/>
      <c r="H652" s="81"/>
      <c r="I652" s="81"/>
      <c r="J652" s="289"/>
      <c r="K652" s="81"/>
      <c r="L652" s="81"/>
      <c r="M652" s="289"/>
      <c r="N652" s="81"/>
      <c r="O652" s="81"/>
      <c r="P652" s="289"/>
      <c r="Q652" s="81"/>
      <c r="R652" s="81"/>
      <c r="S652" s="289"/>
      <c r="T652" s="81"/>
      <c r="U652" s="81"/>
      <c r="V652" s="81"/>
      <c r="W652" s="81"/>
      <c r="X652" s="81"/>
      <c r="Y652" s="81"/>
      <c r="Z652" s="81"/>
    </row>
    <row r="653" spans="1:26" ht="24" customHeight="1" x14ac:dyDescent="0.5">
      <c r="A653" s="81"/>
      <c r="B653" s="81"/>
      <c r="C653" s="81"/>
      <c r="D653" s="81"/>
      <c r="E653" s="81"/>
      <c r="F653" s="81"/>
      <c r="G653" s="81"/>
      <c r="H653" s="81"/>
      <c r="I653" s="81"/>
      <c r="J653" s="289"/>
      <c r="K653" s="81"/>
      <c r="L653" s="81"/>
      <c r="M653" s="289"/>
      <c r="N653" s="81"/>
      <c r="O653" s="81"/>
      <c r="P653" s="289"/>
      <c r="Q653" s="81"/>
      <c r="R653" s="81"/>
      <c r="S653" s="289"/>
      <c r="T653" s="81"/>
      <c r="U653" s="81"/>
      <c r="V653" s="81"/>
      <c r="W653" s="81"/>
      <c r="X653" s="81"/>
      <c r="Y653" s="81"/>
      <c r="Z653" s="81"/>
    </row>
    <row r="654" spans="1:26" ht="24" customHeight="1" x14ac:dyDescent="0.5">
      <c r="A654" s="81"/>
      <c r="B654" s="81"/>
      <c r="C654" s="81"/>
      <c r="D654" s="81"/>
      <c r="E654" s="81"/>
      <c r="F654" s="81"/>
      <c r="G654" s="81"/>
      <c r="H654" s="81"/>
      <c r="I654" s="81"/>
      <c r="J654" s="289"/>
      <c r="K654" s="81"/>
      <c r="L654" s="81"/>
      <c r="M654" s="289"/>
      <c r="N654" s="81"/>
      <c r="O654" s="81"/>
      <c r="P654" s="289"/>
      <c r="Q654" s="81"/>
      <c r="R654" s="81"/>
      <c r="S654" s="289"/>
      <c r="T654" s="81"/>
      <c r="U654" s="81"/>
      <c r="V654" s="81"/>
      <c r="W654" s="81"/>
      <c r="X654" s="81"/>
      <c r="Y654" s="81"/>
      <c r="Z654" s="81"/>
    </row>
    <row r="655" spans="1:26" ht="24" customHeight="1" x14ac:dyDescent="0.5">
      <c r="A655" s="81"/>
      <c r="B655" s="81"/>
      <c r="C655" s="81"/>
      <c r="D655" s="81"/>
      <c r="E655" s="81"/>
      <c r="F655" s="81"/>
      <c r="G655" s="81"/>
      <c r="H655" s="81"/>
      <c r="I655" s="81"/>
      <c r="J655" s="289"/>
      <c r="K655" s="81"/>
      <c r="L655" s="81"/>
      <c r="M655" s="289"/>
      <c r="N655" s="81"/>
      <c r="O655" s="81"/>
      <c r="P655" s="289"/>
      <c r="Q655" s="81"/>
      <c r="R655" s="81"/>
      <c r="S655" s="289"/>
      <c r="T655" s="81"/>
      <c r="U655" s="81"/>
      <c r="V655" s="81"/>
      <c r="W655" s="81"/>
      <c r="X655" s="81"/>
      <c r="Y655" s="81"/>
      <c r="Z655" s="81"/>
    </row>
    <row r="656" spans="1:26" ht="24" customHeight="1" x14ac:dyDescent="0.5">
      <c r="A656" s="81"/>
      <c r="B656" s="81"/>
      <c r="C656" s="81"/>
      <c r="D656" s="81"/>
      <c r="E656" s="81"/>
      <c r="F656" s="81"/>
      <c r="G656" s="81"/>
      <c r="H656" s="81"/>
      <c r="I656" s="81"/>
      <c r="J656" s="289"/>
      <c r="K656" s="81"/>
      <c r="L656" s="81"/>
      <c r="M656" s="289"/>
      <c r="N656" s="81"/>
      <c r="O656" s="81"/>
      <c r="P656" s="289"/>
      <c r="Q656" s="81"/>
      <c r="R656" s="81"/>
      <c r="S656" s="289"/>
      <c r="T656" s="81"/>
      <c r="U656" s="81"/>
      <c r="V656" s="81"/>
      <c r="W656" s="81"/>
      <c r="X656" s="81"/>
      <c r="Y656" s="81"/>
      <c r="Z656" s="81"/>
    </row>
    <row r="657" spans="1:26" ht="24" customHeight="1" x14ac:dyDescent="0.5">
      <c r="A657" s="81"/>
      <c r="B657" s="81"/>
      <c r="C657" s="81"/>
      <c r="D657" s="81"/>
      <c r="E657" s="81"/>
      <c r="F657" s="81"/>
      <c r="G657" s="81"/>
      <c r="H657" s="81"/>
      <c r="I657" s="81"/>
      <c r="J657" s="289"/>
      <c r="K657" s="81"/>
      <c r="L657" s="81"/>
      <c r="M657" s="289"/>
      <c r="N657" s="81"/>
      <c r="O657" s="81"/>
      <c r="P657" s="289"/>
      <c r="Q657" s="81"/>
      <c r="R657" s="81"/>
      <c r="S657" s="289"/>
      <c r="T657" s="81"/>
      <c r="U657" s="81"/>
      <c r="V657" s="81"/>
      <c r="W657" s="81"/>
      <c r="X657" s="81"/>
      <c r="Y657" s="81"/>
      <c r="Z657" s="81"/>
    </row>
    <row r="658" spans="1:26" ht="24" customHeight="1" x14ac:dyDescent="0.5">
      <c r="A658" s="81"/>
      <c r="B658" s="81"/>
      <c r="C658" s="81"/>
      <c r="D658" s="81"/>
      <c r="E658" s="81"/>
      <c r="F658" s="81"/>
      <c r="G658" s="81"/>
      <c r="H658" s="81"/>
      <c r="I658" s="81"/>
      <c r="J658" s="289"/>
      <c r="K658" s="81"/>
      <c r="L658" s="81"/>
      <c r="M658" s="289"/>
      <c r="N658" s="81"/>
      <c r="O658" s="81"/>
      <c r="P658" s="289"/>
      <c r="Q658" s="81"/>
      <c r="R658" s="81"/>
      <c r="S658" s="289"/>
      <c r="T658" s="81"/>
      <c r="U658" s="81"/>
      <c r="V658" s="81"/>
      <c r="W658" s="81"/>
      <c r="X658" s="81"/>
      <c r="Y658" s="81"/>
      <c r="Z658" s="81"/>
    </row>
    <row r="659" spans="1:26" ht="24" customHeight="1" x14ac:dyDescent="0.5">
      <c r="A659" s="81"/>
      <c r="B659" s="81"/>
      <c r="C659" s="81"/>
      <c r="D659" s="81"/>
      <c r="E659" s="81"/>
      <c r="F659" s="81"/>
      <c r="G659" s="81"/>
      <c r="H659" s="81"/>
      <c r="I659" s="81"/>
      <c r="J659" s="289"/>
      <c r="K659" s="81"/>
      <c r="L659" s="81"/>
      <c r="M659" s="289"/>
      <c r="N659" s="81"/>
      <c r="O659" s="81"/>
      <c r="P659" s="289"/>
      <c r="Q659" s="81"/>
      <c r="R659" s="81"/>
      <c r="S659" s="289"/>
      <c r="T659" s="81"/>
      <c r="U659" s="81"/>
      <c r="V659" s="81"/>
      <c r="W659" s="81"/>
      <c r="X659" s="81"/>
      <c r="Y659" s="81"/>
      <c r="Z659" s="81"/>
    </row>
    <row r="660" spans="1:26" ht="24" customHeight="1" x14ac:dyDescent="0.5">
      <c r="A660" s="81"/>
      <c r="B660" s="81"/>
      <c r="C660" s="81"/>
      <c r="D660" s="81"/>
      <c r="E660" s="81"/>
      <c r="F660" s="81"/>
      <c r="G660" s="81"/>
      <c r="H660" s="81"/>
      <c r="I660" s="81"/>
      <c r="J660" s="289"/>
      <c r="K660" s="81"/>
      <c r="L660" s="81"/>
      <c r="M660" s="289"/>
      <c r="N660" s="81"/>
      <c r="O660" s="81"/>
      <c r="P660" s="289"/>
      <c r="Q660" s="81"/>
      <c r="R660" s="81"/>
      <c r="S660" s="289"/>
      <c r="T660" s="81"/>
      <c r="U660" s="81"/>
      <c r="V660" s="81"/>
      <c r="W660" s="81"/>
      <c r="X660" s="81"/>
      <c r="Y660" s="81"/>
      <c r="Z660" s="81"/>
    </row>
    <row r="661" spans="1:26" ht="24" customHeight="1" x14ac:dyDescent="0.5">
      <c r="A661" s="81"/>
      <c r="B661" s="81"/>
      <c r="C661" s="81"/>
      <c r="D661" s="81"/>
      <c r="E661" s="81"/>
      <c r="F661" s="81"/>
      <c r="G661" s="81"/>
      <c r="H661" s="81"/>
      <c r="I661" s="81"/>
      <c r="J661" s="289"/>
      <c r="K661" s="81"/>
      <c r="L661" s="81"/>
      <c r="M661" s="289"/>
      <c r="N661" s="81"/>
      <c r="O661" s="81"/>
      <c r="P661" s="289"/>
      <c r="Q661" s="81"/>
      <c r="R661" s="81"/>
      <c r="S661" s="289"/>
      <c r="T661" s="81"/>
      <c r="U661" s="81"/>
      <c r="V661" s="81"/>
      <c r="W661" s="81"/>
      <c r="X661" s="81"/>
      <c r="Y661" s="81"/>
      <c r="Z661" s="81"/>
    </row>
    <row r="662" spans="1:26" ht="24" customHeight="1" x14ac:dyDescent="0.5">
      <c r="A662" s="81"/>
      <c r="B662" s="81"/>
      <c r="C662" s="81"/>
      <c r="D662" s="81"/>
      <c r="E662" s="81"/>
      <c r="F662" s="81"/>
      <c r="G662" s="81"/>
      <c r="H662" s="81"/>
      <c r="I662" s="81"/>
      <c r="J662" s="289"/>
      <c r="K662" s="81"/>
      <c r="L662" s="81"/>
      <c r="M662" s="289"/>
      <c r="N662" s="81"/>
      <c r="O662" s="81"/>
      <c r="P662" s="289"/>
      <c r="Q662" s="81"/>
      <c r="R662" s="81"/>
      <c r="S662" s="289"/>
      <c r="T662" s="81"/>
      <c r="U662" s="81"/>
      <c r="V662" s="81"/>
      <c r="W662" s="81"/>
      <c r="X662" s="81"/>
      <c r="Y662" s="81"/>
      <c r="Z662" s="81"/>
    </row>
    <row r="663" spans="1:26" ht="24" customHeight="1" x14ac:dyDescent="0.5">
      <c r="A663" s="81"/>
      <c r="B663" s="81"/>
      <c r="C663" s="81"/>
      <c r="D663" s="81"/>
      <c r="E663" s="81"/>
      <c r="F663" s="81"/>
      <c r="G663" s="81"/>
      <c r="H663" s="81"/>
      <c r="I663" s="81"/>
      <c r="J663" s="289"/>
      <c r="K663" s="81"/>
      <c r="L663" s="81"/>
      <c r="M663" s="289"/>
      <c r="N663" s="81"/>
      <c r="O663" s="81"/>
      <c r="P663" s="289"/>
      <c r="Q663" s="81"/>
      <c r="R663" s="81"/>
      <c r="S663" s="289"/>
      <c r="T663" s="81"/>
      <c r="U663" s="81"/>
      <c r="V663" s="81"/>
      <c r="W663" s="81"/>
      <c r="X663" s="81"/>
      <c r="Y663" s="81"/>
      <c r="Z663" s="81"/>
    </row>
    <row r="664" spans="1:26" ht="24" customHeight="1" x14ac:dyDescent="0.5">
      <c r="A664" s="81"/>
      <c r="B664" s="81"/>
      <c r="C664" s="81"/>
      <c r="D664" s="81"/>
      <c r="E664" s="81"/>
      <c r="F664" s="81"/>
      <c r="G664" s="81"/>
      <c r="H664" s="81"/>
      <c r="I664" s="81"/>
      <c r="J664" s="289"/>
      <c r="K664" s="81"/>
      <c r="L664" s="81"/>
      <c r="M664" s="289"/>
      <c r="N664" s="81"/>
      <c r="O664" s="81"/>
      <c r="P664" s="289"/>
      <c r="Q664" s="81"/>
      <c r="R664" s="81"/>
      <c r="S664" s="289"/>
      <c r="T664" s="81"/>
      <c r="U664" s="81"/>
      <c r="V664" s="81"/>
      <c r="W664" s="81"/>
      <c r="X664" s="81"/>
      <c r="Y664" s="81"/>
      <c r="Z664" s="81"/>
    </row>
    <row r="665" spans="1:26" ht="24" customHeight="1" x14ac:dyDescent="0.5">
      <c r="A665" s="81"/>
      <c r="B665" s="81"/>
      <c r="C665" s="81"/>
      <c r="D665" s="81"/>
      <c r="E665" s="81"/>
      <c r="F665" s="81"/>
      <c r="G665" s="81"/>
      <c r="H665" s="81"/>
      <c r="I665" s="81"/>
      <c r="J665" s="289"/>
      <c r="K665" s="81"/>
      <c r="L665" s="81"/>
      <c r="M665" s="289"/>
      <c r="N665" s="81"/>
      <c r="O665" s="81"/>
      <c r="P665" s="289"/>
      <c r="Q665" s="81"/>
      <c r="R665" s="81"/>
      <c r="S665" s="289"/>
      <c r="T665" s="81"/>
      <c r="U665" s="81"/>
      <c r="V665" s="81"/>
      <c r="W665" s="81"/>
      <c r="X665" s="81"/>
      <c r="Y665" s="81"/>
      <c r="Z665" s="81"/>
    </row>
    <row r="666" spans="1:26" ht="24" customHeight="1" x14ac:dyDescent="0.5">
      <c r="A666" s="81"/>
      <c r="B666" s="81"/>
      <c r="C666" s="81"/>
      <c r="D666" s="81"/>
      <c r="E666" s="81"/>
      <c r="F666" s="81"/>
      <c r="G666" s="81"/>
      <c r="H666" s="81"/>
      <c r="I666" s="81"/>
      <c r="J666" s="289"/>
      <c r="K666" s="81"/>
      <c r="L666" s="81"/>
      <c r="M666" s="289"/>
      <c r="N666" s="81"/>
      <c r="O666" s="81"/>
      <c r="P666" s="289"/>
      <c r="Q666" s="81"/>
      <c r="R666" s="81"/>
      <c r="S666" s="289"/>
      <c r="T666" s="81"/>
      <c r="U666" s="81"/>
      <c r="V666" s="81"/>
      <c r="W666" s="81"/>
      <c r="X666" s="81"/>
      <c r="Y666" s="81"/>
      <c r="Z666" s="81"/>
    </row>
    <row r="667" spans="1:26" ht="24" customHeight="1" x14ac:dyDescent="0.5">
      <c r="A667" s="81"/>
      <c r="B667" s="81"/>
      <c r="C667" s="81"/>
      <c r="D667" s="81"/>
      <c r="E667" s="81"/>
      <c r="F667" s="81"/>
      <c r="G667" s="81"/>
      <c r="H667" s="81"/>
      <c r="I667" s="81"/>
      <c r="J667" s="289"/>
      <c r="K667" s="81"/>
      <c r="L667" s="81"/>
      <c r="M667" s="289"/>
      <c r="N667" s="81"/>
      <c r="O667" s="81"/>
      <c r="P667" s="289"/>
      <c r="Q667" s="81"/>
      <c r="R667" s="81"/>
      <c r="S667" s="289"/>
      <c r="T667" s="81"/>
      <c r="U667" s="81"/>
      <c r="V667" s="81"/>
      <c r="W667" s="81"/>
      <c r="X667" s="81"/>
      <c r="Y667" s="81"/>
      <c r="Z667" s="81"/>
    </row>
    <row r="668" spans="1:26" ht="24" customHeight="1" x14ac:dyDescent="0.5">
      <c r="A668" s="81"/>
      <c r="B668" s="81"/>
      <c r="C668" s="81"/>
      <c r="D668" s="81"/>
      <c r="E668" s="81"/>
      <c r="F668" s="81"/>
      <c r="G668" s="81"/>
      <c r="H668" s="81"/>
      <c r="I668" s="81"/>
      <c r="J668" s="289"/>
      <c r="K668" s="81"/>
      <c r="L668" s="81"/>
      <c r="M668" s="289"/>
      <c r="N668" s="81"/>
      <c r="O668" s="81"/>
      <c r="P668" s="289"/>
      <c r="Q668" s="81"/>
      <c r="R668" s="81"/>
      <c r="S668" s="289"/>
      <c r="T668" s="81"/>
      <c r="U668" s="81"/>
      <c r="V668" s="81"/>
      <c r="W668" s="81"/>
      <c r="X668" s="81"/>
      <c r="Y668" s="81"/>
      <c r="Z668" s="81"/>
    </row>
    <row r="669" spans="1:26" ht="24" customHeight="1" x14ac:dyDescent="0.5">
      <c r="A669" s="81"/>
      <c r="B669" s="81"/>
      <c r="C669" s="81"/>
      <c r="D669" s="81"/>
      <c r="E669" s="81"/>
      <c r="F669" s="81"/>
      <c r="G669" s="81"/>
      <c r="H669" s="81"/>
      <c r="I669" s="81"/>
      <c r="J669" s="289"/>
      <c r="K669" s="81"/>
      <c r="L669" s="81"/>
      <c r="M669" s="289"/>
      <c r="N669" s="81"/>
      <c r="O669" s="81"/>
      <c r="P669" s="289"/>
      <c r="Q669" s="81"/>
      <c r="R669" s="81"/>
      <c r="S669" s="289"/>
      <c r="T669" s="81"/>
      <c r="U669" s="81"/>
      <c r="V669" s="81"/>
      <c r="W669" s="81"/>
      <c r="X669" s="81"/>
      <c r="Y669" s="81"/>
      <c r="Z669" s="81"/>
    </row>
    <row r="670" spans="1:26" ht="24" customHeight="1" x14ac:dyDescent="0.5">
      <c r="A670" s="81"/>
      <c r="B670" s="81"/>
      <c r="C670" s="81"/>
      <c r="D670" s="81"/>
      <c r="E670" s="81"/>
      <c r="F670" s="81"/>
      <c r="G670" s="81"/>
      <c r="H670" s="81"/>
      <c r="I670" s="81"/>
      <c r="J670" s="289"/>
      <c r="K670" s="81"/>
      <c r="L670" s="81"/>
      <c r="M670" s="289"/>
      <c r="N670" s="81"/>
      <c r="O670" s="81"/>
      <c r="P670" s="289"/>
      <c r="Q670" s="81"/>
      <c r="R670" s="81"/>
      <c r="S670" s="289"/>
      <c r="T670" s="81"/>
      <c r="U670" s="81"/>
      <c r="V670" s="81"/>
      <c r="W670" s="81"/>
      <c r="X670" s="81"/>
      <c r="Y670" s="81"/>
      <c r="Z670" s="81"/>
    </row>
    <row r="671" spans="1:26" ht="24" customHeight="1" x14ac:dyDescent="0.5">
      <c r="A671" s="81"/>
      <c r="B671" s="81"/>
      <c r="C671" s="81"/>
      <c r="D671" s="81"/>
      <c r="E671" s="81"/>
      <c r="F671" s="81"/>
      <c r="G671" s="81"/>
      <c r="H671" s="81"/>
      <c r="I671" s="81"/>
      <c r="J671" s="289"/>
      <c r="K671" s="81"/>
      <c r="L671" s="81"/>
      <c r="M671" s="289"/>
      <c r="N671" s="81"/>
      <c r="O671" s="81"/>
      <c r="P671" s="289"/>
      <c r="Q671" s="81"/>
      <c r="R671" s="81"/>
      <c r="S671" s="289"/>
      <c r="T671" s="81"/>
      <c r="U671" s="81"/>
      <c r="V671" s="81"/>
      <c r="W671" s="81"/>
      <c r="X671" s="81"/>
      <c r="Y671" s="81"/>
      <c r="Z671" s="81"/>
    </row>
    <row r="672" spans="1:26" ht="24" customHeight="1" x14ac:dyDescent="0.5">
      <c r="A672" s="81"/>
      <c r="B672" s="81"/>
      <c r="C672" s="81"/>
      <c r="D672" s="81"/>
      <c r="E672" s="81"/>
      <c r="F672" s="81"/>
      <c r="G672" s="81"/>
      <c r="H672" s="81"/>
      <c r="I672" s="81"/>
      <c r="J672" s="289"/>
      <c r="K672" s="81"/>
      <c r="L672" s="81"/>
      <c r="M672" s="289"/>
      <c r="N672" s="81"/>
      <c r="O672" s="81"/>
      <c r="P672" s="289"/>
      <c r="Q672" s="81"/>
      <c r="R672" s="81"/>
      <c r="S672" s="289"/>
      <c r="T672" s="81"/>
      <c r="U672" s="81"/>
      <c r="V672" s="81"/>
      <c r="W672" s="81"/>
      <c r="X672" s="81"/>
      <c r="Y672" s="81"/>
      <c r="Z672" s="81"/>
    </row>
    <row r="673" spans="1:26" ht="24" customHeight="1" x14ac:dyDescent="0.5">
      <c r="A673" s="81"/>
      <c r="B673" s="81"/>
      <c r="C673" s="81"/>
      <c r="D673" s="81"/>
      <c r="E673" s="81"/>
      <c r="F673" s="81"/>
      <c r="G673" s="81"/>
      <c r="H673" s="81"/>
      <c r="I673" s="81"/>
      <c r="J673" s="289"/>
      <c r="K673" s="81"/>
      <c r="L673" s="81"/>
      <c r="M673" s="289"/>
      <c r="N673" s="81"/>
      <c r="O673" s="81"/>
      <c r="P673" s="289"/>
      <c r="Q673" s="81"/>
      <c r="R673" s="81"/>
      <c r="S673" s="289"/>
      <c r="T673" s="81"/>
      <c r="U673" s="81"/>
      <c r="V673" s="81"/>
      <c r="W673" s="81"/>
      <c r="X673" s="81"/>
      <c r="Y673" s="81"/>
      <c r="Z673" s="81"/>
    </row>
    <row r="674" spans="1:26" ht="24" customHeight="1" x14ac:dyDescent="0.5">
      <c r="A674" s="81"/>
      <c r="B674" s="81"/>
      <c r="C674" s="81"/>
      <c r="D674" s="81"/>
      <c r="E674" s="81"/>
      <c r="F674" s="81"/>
      <c r="G674" s="81"/>
      <c r="H674" s="81"/>
      <c r="I674" s="81"/>
      <c r="J674" s="289"/>
      <c r="K674" s="81"/>
      <c r="L674" s="81"/>
      <c r="M674" s="289"/>
      <c r="N674" s="81"/>
      <c r="O674" s="81"/>
      <c r="P674" s="289"/>
      <c r="Q674" s="81"/>
      <c r="R674" s="81"/>
      <c r="S674" s="289"/>
      <c r="T674" s="81"/>
      <c r="U674" s="81"/>
      <c r="V674" s="81"/>
      <c r="W674" s="81"/>
      <c r="X674" s="81"/>
      <c r="Y674" s="81"/>
      <c r="Z674" s="81"/>
    </row>
    <row r="675" spans="1:26" ht="24" customHeight="1" x14ac:dyDescent="0.5">
      <c r="A675" s="81"/>
      <c r="B675" s="81"/>
      <c r="C675" s="81"/>
      <c r="D675" s="81"/>
      <c r="E675" s="81"/>
      <c r="F675" s="81"/>
      <c r="G675" s="81"/>
      <c r="H675" s="81"/>
      <c r="I675" s="81"/>
      <c r="J675" s="289"/>
      <c r="K675" s="81"/>
      <c r="L675" s="81"/>
      <c r="M675" s="289"/>
      <c r="N675" s="81"/>
      <c r="O675" s="81"/>
      <c r="P675" s="289"/>
      <c r="Q675" s="81"/>
      <c r="R675" s="81"/>
      <c r="S675" s="289"/>
      <c r="T675" s="81"/>
      <c r="U675" s="81"/>
      <c r="V675" s="81"/>
      <c r="W675" s="81"/>
      <c r="X675" s="81"/>
      <c r="Y675" s="81"/>
      <c r="Z675" s="81"/>
    </row>
    <row r="676" spans="1:26" ht="24" customHeight="1" x14ac:dyDescent="0.5">
      <c r="A676" s="81"/>
      <c r="B676" s="81"/>
      <c r="C676" s="81"/>
      <c r="D676" s="81"/>
      <c r="E676" s="81"/>
      <c r="F676" s="81"/>
      <c r="G676" s="81"/>
      <c r="H676" s="81"/>
      <c r="I676" s="81"/>
      <c r="J676" s="289"/>
      <c r="K676" s="81"/>
      <c r="L676" s="81"/>
      <c r="M676" s="289"/>
      <c r="N676" s="81"/>
      <c r="O676" s="81"/>
      <c r="P676" s="289"/>
      <c r="Q676" s="81"/>
      <c r="R676" s="81"/>
      <c r="S676" s="289"/>
      <c r="T676" s="81"/>
      <c r="U676" s="81"/>
      <c r="V676" s="81"/>
      <c r="W676" s="81"/>
      <c r="X676" s="81"/>
      <c r="Y676" s="81"/>
      <c r="Z676" s="81"/>
    </row>
    <row r="677" spans="1:26" ht="24" customHeight="1" x14ac:dyDescent="0.5">
      <c r="A677" s="81"/>
      <c r="B677" s="81"/>
      <c r="C677" s="81"/>
      <c r="D677" s="81"/>
      <c r="E677" s="81"/>
      <c r="F677" s="81"/>
      <c r="G677" s="81"/>
      <c r="H677" s="81"/>
      <c r="I677" s="81"/>
      <c r="J677" s="289"/>
      <c r="K677" s="81"/>
      <c r="L677" s="81"/>
      <c r="M677" s="289"/>
      <c r="N677" s="81"/>
      <c r="O677" s="81"/>
      <c r="P677" s="289"/>
      <c r="Q677" s="81"/>
      <c r="R677" s="81"/>
      <c r="S677" s="289"/>
      <c r="T677" s="81"/>
      <c r="U677" s="81"/>
      <c r="V677" s="81"/>
      <c r="W677" s="81"/>
      <c r="X677" s="81"/>
      <c r="Y677" s="81"/>
      <c r="Z677" s="81"/>
    </row>
    <row r="678" spans="1:26" ht="24" customHeight="1" x14ac:dyDescent="0.5">
      <c r="A678" s="81"/>
      <c r="B678" s="81"/>
      <c r="C678" s="81"/>
      <c r="D678" s="81"/>
      <c r="E678" s="81"/>
      <c r="F678" s="81"/>
      <c r="G678" s="81"/>
      <c r="H678" s="81"/>
      <c r="I678" s="81"/>
      <c r="J678" s="289"/>
      <c r="K678" s="81"/>
      <c r="L678" s="81"/>
      <c r="M678" s="289"/>
      <c r="N678" s="81"/>
      <c r="O678" s="81"/>
      <c r="P678" s="289"/>
      <c r="Q678" s="81"/>
      <c r="R678" s="81"/>
      <c r="S678" s="289"/>
      <c r="T678" s="81"/>
      <c r="U678" s="81"/>
      <c r="V678" s="81"/>
      <c r="W678" s="81"/>
      <c r="X678" s="81"/>
      <c r="Y678" s="81"/>
      <c r="Z678" s="81"/>
    </row>
    <row r="679" spans="1:26" ht="24" customHeight="1" x14ac:dyDescent="0.5">
      <c r="A679" s="81"/>
      <c r="B679" s="81"/>
      <c r="C679" s="81"/>
      <c r="D679" s="81"/>
      <c r="E679" s="81"/>
      <c r="F679" s="81"/>
      <c r="G679" s="81"/>
      <c r="H679" s="81"/>
      <c r="I679" s="81"/>
      <c r="J679" s="289"/>
      <c r="K679" s="81"/>
      <c r="L679" s="81"/>
      <c r="M679" s="289"/>
      <c r="N679" s="81"/>
      <c r="O679" s="81"/>
      <c r="P679" s="289"/>
      <c r="Q679" s="81"/>
      <c r="R679" s="81"/>
      <c r="S679" s="289"/>
      <c r="T679" s="81"/>
      <c r="U679" s="81"/>
      <c r="V679" s="81"/>
      <c r="W679" s="81"/>
      <c r="X679" s="81"/>
      <c r="Y679" s="81"/>
      <c r="Z679" s="81"/>
    </row>
    <row r="680" spans="1:26" ht="24" customHeight="1" x14ac:dyDescent="0.5">
      <c r="A680" s="81"/>
      <c r="B680" s="81"/>
      <c r="C680" s="81"/>
      <c r="D680" s="81"/>
      <c r="E680" s="81"/>
      <c r="F680" s="81"/>
      <c r="G680" s="81"/>
      <c r="H680" s="81"/>
      <c r="I680" s="81"/>
      <c r="J680" s="289"/>
      <c r="K680" s="81"/>
      <c r="L680" s="81"/>
      <c r="M680" s="289"/>
      <c r="N680" s="81"/>
      <c r="O680" s="81"/>
      <c r="P680" s="289"/>
      <c r="Q680" s="81"/>
      <c r="R680" s="81"/>
      <c r="S680" s="289"/>
      <c r="T680" s="81"/>
      <c r="U680" s="81"/>
      <c r="V680" s="81"/>
      <c r="W680" s="81"/>
      <c r="X680" s="81"/>
      <c r="Y680" s="81"/>
      <c r="Z680" s="81"/>
    </row>
    <row r="681" spans="1:26" ht="24" customHeight="1" x14ac:dyDescent="0.5">
      <c r="A681" s="81"/>
      <c r="B681" s="81"/>
      <c r="C681" s="81"/>
      <c r="D681" s="81"/>
      <c r="E681" s="81"/>
      <c r="F681" s="81"/>
      <c r="G681" s="81"/>
      <c r="H681" s="81"/>
      <c r="I681" s="81"/>
      <c r="J681" s="289"/>
      <c r="K681" s="81"/>
      <c r="L681" s="81"/>
      <c r="M681" s="289"/>
      <c r="N681" s="81"/>
      <c r="O681" s="81"/>
      <c r="P681" s="289"/>
      <c r="Q681" s="81"/>
      <c r="R681" s="81"/>
      <c r="S681" s="289"/>
      <c r="T681" s="81"/>
      <c r="U681" s="81"/>
      <c r="V681" s="81"/>
      <c r="W681" s="81"/>
      <c r="X681" s="81"/>
      <c r="Y681" s="81"/>
      <c r="Z681" s="81"/>
    </row>
    <row r="682" spans="1:26" ht="24" customHeight="1" x14ac:dyDescent="0.5">
      <c r="A682" s="81"/>
      <c r="B682" s="81"/>
      <c r="C682" s="81"/>
      <c r="D682" s="81"/>
      <c r="E682" s="81"/>
      <c r="F682" s="81"/>
      <c r="G682" s="81"/>
      <c r="H682" s="81"/>
      <c r="I682" s="81"/>
      <c r="J682" s="289"/>
      <c r="K682" s="81"/>
      <c r="L682" s="81"/>
      <c r="M682" s="289"/>
      <c r="N682" s="81"/>
      <c r="O682" s="81"/>
      <c r="P682" s="289"/>
      <c r="Q682" s="81"/>
      <c r="R682" s="81"/>
      <c r="S682" s="289"/>
      <c r="T682" s="81"/>
      <c r="U682" s="81"/>
      <c r="V682" s="81"/>
      <c r="W682" s="81"/>
      <c r="X682" s="81"/>
      <c r="Y682" s="81"/>
      <c r="Z682" s="81"/>
    </row>
    <row r="683" spans="1:26" ht="24" customHeight="1" x14ac:dyDescent="0.5">
      <c r="A683" s="81"/>
      <c r="B683" s="81"/>
      <c r="C683" s="81"/>
      <c r="D683" s="81"/>
      <c r="E683" s="81"/>
      <c r="F683" s="81"/>
      <c r="G683" s="81"/>
      <c r="H683" s="81"/>
      <c r="I683" s="81"/>
      <c r="J683" s="289"/>
      <c r="K683" s="81"/>
      <c r="L683" s="81"/>
      <c r="M683" s="289"/>
      <c r="N683" s="81"/>
      <c r="O683" s="81"/>
      <c r="P683" s="289"/>
      <c r="Q683" s="81"/>
      <c r="R683" s="81"/>
      <c r="S683" s="289"/>
      <c r="T683" s="81"/>
      <c r="U683" s="81"/>
      <c r="V683" s="81"/>
      <c r="W683" s="81"/>
      <c r="X683" s="81"/>
      <c r="Y683" s="81"/>
      <c r="Z683" s="81"/>
    </row>
    <row r="684" spans="1:26" ht="24" customHeight="1" x14ac:dyDescent="0.5">
      <c r="A684" s="81"/>
      <c r="B684" s="81"/>
      <c r="C684" s="81"/>
      <c r="D684" s="81"/>
      <c r="E684" s="81"/>
      <c r="F684" s="81"/>
      <c r="G684" s="81"/>
      <c r="H684" s="81"/>
      <c r="I684" s="81"/>
      <c r="J684" s="289"/>
      <c r="K684" s="81"/>
      <c r="L684" s="81"/>
      <c r="M684" s="289"/>
      <c r="N684" s="81"/>
      <c r="O684" s="81"/>
      <c r="P684" s="289"/>
      <c r="Q684" s="81"/>
      <c r="R684" s="81"/>
      <c r="S684" s="289"/>
      <c r="T684" s="81"/>
      <c r="U684" s="81"/>
      <c r="V684" s="81"/>
      <c r="W684" s="81"/>
      <c r="X684" s="81"/>
      <c r="Y684" s="81"/>
      <c r="Z684" s="81"/>
    </row>
    <row r="685" spans="1:26" ht="24" customHeight="1" x14ac:dyDescent="0.5">
      <c r="A685" s="81"/>
      <c r="B685" s="81"/>
      <c r="C685" s="81"/>
      <c r="D685" s="81"/>
      <c r="E685" s="81"/>
      <c r="F685" s="81"/>
      <c r="G685" s="81"/>
      <c r="H685" s="81"/>
      <c r="I685" s="81"/>
      <c r="J685" s="289"/>
      <c r="K685" s="81"/>
      <c r="L685" s="81"/>
      <c r="M685" s="289"/>
      <c r="N685" s="81"/>
      <c r="O685" s="81"/>
      <c r="P685" s="289"/>
      <c r="Q685" s="81"/>
      <c r="R685" s="81"/>
      <c r="S685" s="289"/>
      <c r="T685" s="81"/>
      <c r="U685" s="81"/>
      <c r="V685" s="81"/>
      <c r="W685" s="81"/>
      <c r="X685" s="81"/>
      <c r="Y685" s="81"/>
      <c r="Z685" s="81"/>
    </row>
    <row r="686" spans="1:26" ht="24" customHeight="1" x14ac:dyDescent="0.5">
      <c r="A686" s="81"/>
      <c r="B686" s="81"/>
      <c r="C686" s="81"/>
      <c r="D686" s="81"/>
      <c r="E686" s="81"/>
      <c r="F686" s="81"/>
      <c r="G686" s="81"/>
      <c r="H686" s="81"/>
      <c r="I686" s="81"/>
      <c r="J686" s="289"/>
      <c r="K686" s="81"/>
      <c r="L686" s="81"/>
      <c r="M686" s="289"/>
      <c r="N686" s="81"/>
      <c r="O686" s="81"/>
      <c r="P686" s="289"/>
      <c r="Q686" s="81"/>
      <c r="R686" s="81"/>
      <c r="S686" s="289"/>
      <c r="T686" s="81"/>
      <c r="U686" s="81"/>
      <c r="V686" s="81"/>
      <c r="W686" s="81"/>
      <c r="X686" s="81"/>
      <c r="Y686" s="81"/>
      <c r="Z686" s="81"/>
    </row>
    <row r="687" spans="1:26" ht="24" customHeight="1" x14ac:dyDescent="0.5">
      <c r="A687" s="81"/>
      <c r="B687" s="81"/>
      <c r="C687" s="81"/>
      <c r="D687" s="81"/>
      <c r="E687" s="81"/>
      <c r="F687" s="81"/>
      <c r="G687" s="81"/>
      <c r="H687" s="81"/>
      <c r="I687" s="81"/>
      <c r="J687" s="289"/>
      <c r="K687" s="81"/>
      <c r="L687" s="81"/>
      <c r="M687" s="289"/>
      <c r="N687" s="81"/>
      <c r="O687" s="81"/>
      <c r="P687" s="289"/>
      <c r="Q687" s="81"/>
      <c r="R687" s="81"/>
      <c r="S687" s="289"/>
      <c r="T687" s="81"/>
      <c r="U687" s="81"/>
      <c r="V687" s="81"/>
      <c r="W687" s="81"/>
      <c r="X687" s="81"/>
      <c r="Y687" s="81"/>
      <c r="Z687" s="81"/>
    </row>
    <row r="688" spans="1:26" ht="24" customHeight="1" x14ac:dyDescent="0.5">
      <c r="A688" s="81"/>
      <c r="B688" s="81"/>
      <c r="C688" s="81"/>
      <c r="D688" s="81"/>
      <c r="E688" s="81"/>
      <c r="F688" s="81"/>
      <c r="G688" s="81"/>
      <c r="H688" s="81"/>
      <c r="I688" s="81"/>
      <c r="J688" s="289"/>
      <c r="K688" s="81"/>
      <c r="L688" s="81"/>
      <c r="M688" s="289"/>
      <c r="N688" s="81"/>
      <c r="O688" s="81"/>
      <c r="P688" s="289"/>
      <c r="Q688" s="81"/>
      <c r="R688" s="81"/>
      <c r="S688" s="289"/>
      <c r="T688" s="81"/>
      <c r="U688" s="81"/>
      <c r="V688" s="81"/>
      <c r="W688" s="81"/>
      <c r="X688" s="81"/>
      <c r="Y688" s="81"/>
      <c r="Z688" s="81"/>
    </row>
    <row r="689" spans="1:26" ht="24" customHeight="1" x14ac:dyDescent="0.5">
      <c r="A689" s="81"/>
      <c r="B689" s="81"/>
      <c r="C689" s="81"/>
      <c r="D689" s="81"/>
      <c r="E689" s="81"/>
      <c r="F689" s="81"/>
      <c r="G689" s="81"/>
      <c r="H689" s="81"/>
      <c r="I689" s="81"/>
      <c r="J689" s="289"/>
      <c r="K689" s="81"/>
      <c r="L689" s="81"/>
      <c r="M689" s="289"/>
      <c r="N689" s="81"/>
      <c r="O689" s="81"/>
      <c r="P689" s="289"/>
      <c r="Q689" s="81"/>
      <c r="R689" s="81"/>
      <c r="S689" s="289"/>
      <c r="T689" s="81"/>
      <c r="U689" s="81"/>
      <c r="V689" s="81"/>
      <c r="W689" s="81"/>
      <c r="X689" s="81"/>
      <c r="Y689" s="81"/>
      <c r="Z689" s="81"/>
    </row>
    <row r="690" spans="1:26" ht="24" customHeight="1" x14ac:dyDescent="0.5">
      <c r="A690" s="81"/>
      <c r="B690" s="81"/>
      <c r="C690" s="81"/>
      <c r="D690" s="81"/>
      <c r="E690" s="81"/>
      <c r="F690" s="81"/>
      <c r="G690" s="81"/>
      <c r="H690" s="81"/>
      <c r="I690" s="81"/>
      <c r="J690" s="289"/>
      <c r="K690" s="81"/>
      <c r="L690" s="81"/>
      <c r="M690" s="289"/>
      <c r="N690" s="81"/>
      <c r="O690" s="81"/>
      <c r="P690" s="289"/>
      <c r="Q690" s="81"/>
      <c r="R690" s="81"/>
      <c r="S690" s="289"/>
      <c r="T690" s="81"/>
      <c r="U690" s="81"/>
      <c r="V690" s="81"/>
      <c r="W690" s="81"/>
      <c r="X690" s="81"/>
      <c r="Y690" s="81"/>
      <c r="Z690" s="81"/>
    </row>
    <row r="691" spans="1:26" ht="24" customHeight="1" x14ac:dyDescent="0.5">
      <c r="A691" s="81"/>
      <c r="B691" s="81"/>
      <c r="C691" s="81"/>
      <c r="D691" s="81"/>
      <c r="E691" s="81"/>
      <c r="F691" s="81"/>
      <c r="G691" s="81"/>
      <c r="H691" s="81"/>
      <c r="I691" s="81"/>
      <c r="J691" s="289"/>
      <c r="K691" s="81"/>
      <c r="L691" s="81"/>
      <c r="M691" s="289"/>
      <c r="N691" s="81"/>
      <c r="O691" s="81"/>
      <c r="P691" s="289"/>
      <c r="Q691" s="81"/>
      <c r="R691" s="81"/>
      <c r="S691" s="289"/>
      <c r="T691" s="81"/>
      <c r="U691" s="81"/>
      <c r="V691" s="81"/>
      <c r="W691" s="81"/>
      <c r="X691" s="81"/>
      <c r="Y691" s="81"/>
      <c r="Z691" s="81"/>
    </row>
    <row r="692" spans="1:26" ht="24" customHeight="1" x14ac:dyDescent="0.5">
      <c r="A692" s="81"/>
      <c r="B692" s="81"/>
      <c r="C692" s="81"/>
      <c r="D692" s="81"/>
      <c r="E692" s="81"/>
      <c r="F692" s="81"/>
      <c r="G692" s="81"/>
      <c r="H692" s="81"/>
      <c r="I692" s="81"/>
      <c r="J692" s="289"/>
      <c r="K692" s="81"/>
      <c r="L692" s="81"/>
      <c r="M692" s="289"/>
      <c r="N692" s="81"/>
      <c r="O692" s="81"/>
      <c r="P692" s="289"/>
      <c r="Q692" s="81"/>
      <c r="R692" s="81"/>
      <c r="S692" s="289"/>
      <c r="T692" s="81"/>
      <c r="U692" s="81"/>
      <c r="V692" s="81"/>
      <c r="W692" s="81"/>
      <c r="X692" s="81"/>
      <c r="Y692" s="81"/>
      <c r="Z692" s="81"/>
    </row>
    <row r="693" spans="1:26" ht="24" customHeight="1" x14ac:dyDescent="0.5">
      <c r="A693" s="81"/>
      <c r="B693" s="81"/>
      <c r="C693" s="81"/>
      <c r="D693" s="81"/>
      <c r="E693" s="81"/>
      <c r="F693" s="81"/>
      <c r="G693" s="81"/>
      <c r="H693" s="81"/>
      <c r="I693" s="81"/>
      <c r="J693" s="289"/>
      <c r="K693" s="81"/>
      <c r="L693" s="81"/>
      <c r="M693" s="289"/>
      <c r="N693" s="81"/>
      <c r="O693" s="81"/>
      <c r="P693" s="289"/>
      <c r="Q693" s="81"/>
      <c r="R693" s="81"/>
      <c r="S693" s="289"/>
      <c r="T693" s="81"/>
      <c r="U693" s="81"/>
      <c r="V693" s="81"/>
      <c r="W693" s="81"/>
      <c r="X693" s="81"/>
      <c r="Y693" s="81"/>
      <c r="Z693" s="81"/>
    </row>
    <row r="694" spans="1:26" ht="24" customHeight="1" x14ac:dyDescent="0.5">
      <c r="A694" s="81"/>
      <c r="B694" s="81"/>
      <c r="C694" s="81"/>
      <c r="D694" s="81"/>
      <c r="E694" s="81"/>
      <c r="F694" s="81"/>
      <c r="G694" s="81"/>
      <c r="H694" s="81"/>
      <c r="I694" s="81"/>
      <c r="J694" s="289"/>
      <c r="K694" s="81"/>
      <c r="L694" s="81"/>
      <c r="M694" s="289"/>
      <c r="N694" s="81"/>
      <c r="O694" s="81"/>
      <c r="P694" s="289"/>
      <c r="Q694" s="81"/>
      <c r="R694" s="81"/>
      <c r="S694" s="289"/>
      <c r="T694" s="81"/>
      <c r="U694" s="81"/>
      <c r="V694" s="81"/>
      <c r="W694" s="81"/>
      <c r="X694" s="81"/>
      <c r="Y694" s="81"/>
      <c r="Z694" s="81"/>
    </row>
    <row r="695" spans="1:26" ht="24" customHeight="1" x14ac:dyDescent="0.5">
      <c r="A695" s="81"/>
      <c r="B695" s="81"/>
      <c r="C695" s="81"/>
      <c r="D695" s="81"/>
      <c r="E695" s="81"/>
      <c r="F695" s="81"/>
      <c r="G695" s="81"/>
      <c r="H695" s="81"/>
      <c r="I695" s="81"/>
      <c r="J695" s="289"/>
      <c r="K695" s="81"/>
      <c r="L695" s="81"/>
      <c r="M695" s="289"/>
      <c r="N695" s="81"/>
      <c r="O695" s="81"/>
      <c r="P695" s="289"/>
      <c r="Q695" s="81"/>
      <c r="R695" s="81"/>
      <c r="S695" s="289"/>
      <c r="T695" s="81"/>
      <c r="U695" s="81"/>
      <c r="V695" s="81"/>
      <c r="W695" s="81"/>
      <c r="X695" s="81"/>
      <c r="Y695" s="81"/>
      <c r="Z695" s="81"/>
    </row>
    <row r="696" spans="1:26" ht="24" customHeight="1" x14ac:dyDescent="0.5">
      <c r="A696" s="81"/>
      <c r="B696" s="81"/>
      <c r="C696" s="81"/>
      <c r="D696" s="81"/>
      <c r="E696" s="81"/>
      <c r="F696" s="81"/>
      <c r="G696" s="81"/>
      <c r="H696" s="81"/>
      <c r="I696" s="81"/>
      <c r="J696" s="289"/>
      <c r="K696" s="81"/>
      <c r="L696" s="81"/>
      <c r="M696" s="289"/>
      <c r="N696" s="81"/>
      <c r="O696" s="81"/>
      <c r="P696" s="289"/>
      <c r="Q696" s="81"/>
      <c r="R696" s="81"/>
      <c r="S696" s="289"/>
      <c r="T696" s="81"/>
      <c r="U696" s="81"/>
      <c r="V696" s="81"/>
      <c r="W696" s="81"/>
      <c r="X696" s="81"/>
      <c r="Y696" s="81"/>
      <c r="Z696" s="81"/>
    </row>
    <row r="697" spans="1:26" ht="24" customHeight="1" x14ac:dyDescent="0.5">
      <c r="A697" s="81"/>
      <c r="B697" s="81"/>
      <c r="C697" s="81"/>
      <c r="D697" s="81"/>
      <c r="E697" s="81"/>
      <c r="F697" s="81"/>
      <c r="G697" s="81"/>
      <c r="H697" s="81"/>
      <c r="I697" s="81"/>
      <c r="J697" s="289"/>
      <c r="K697" s="81"/>
      <c r="L697" s="81"/>
      <c r="M697" s="289"/>
      <c r="N697" s="81"/>
      <c r="O697" s="81"/>
      <c r="P697" s="289"/>
      <c r="Q697" s="81"/>
      <c r="R697" s="81"/>
      <c r="S697" s="289"/>
      <c r="T697" s="81"/>
      <c r="U697" s="81"/>
      <c r="V697" s="81"/>
      <c r="W697" s="81"/>
      <c r="X697" s="81"/>
      <c r="Y697" s="81"/>
      <c r="Z697" s="81"/>
    </row>
    <row r="698" spans="1:26" ht="24" customHeight="1" x14ac:dyDescent="0.5">
      <c r="A698" s="81"/>
      <c r="B698" s="81"/>
      <c r="C698" s="81"/>
      <c r="D698" s="81"/>
      <c r="E698" s="81"/>
      <c r="F698" s="81"/>
      <c r="G698" s="81"/>
      <c r="H698" s="81"/>
      <c r="I698" s="81"/>
      <c r="J698" s="289"/>
      <c r="K698" s="81"/>
      <c r="L698" s="81"/>
      <c r="M698" s="289"/>
      <c r="N698" s="81"/>
      <c r="O698" s="81"/>
      <c r="P698" s="289"/>
      <c r="Q698" s="81"/>
      <c r="R698" s="81"/>
      <c r="S698" s="289"/>
      <c r="T698" s="81"/>
      <c r="U698" s="81"/>
      <c r="V698" s="81"/>
      <c r="W698" s="81"/>
      <c r="X698" s="81"/>
      <c r="Y698" s="81"/>
      <c r="Z698" s="81"/>
    </row>
    <row r="699" spans="1:26" ht="24" customHeight="1" x14ac:dyDescent="0.5">
      <c r="A699" s="81"/>
      <c r="B699" s="81"/>
      <c r="C699" s="81"/>
      <c r="D699" s="81"/>
      <c r="E699" s="81"/>
      <c r="F699" s="81"/>
      <c r="G699" s="81"/>
      <c r="H699" s="81"/>
      <c r="I699" s="81"/>
      <c r="J699" s="289"/>
      <c r="K699" s="81"/>
      <c r="L699" s="81"/>
      <c r="M699" s="289"/>
      <c r="N699" s="81"/>
      <c r="O699" s="81"/>
      <c r="P699" s="289"/>
      <c r="Q699" s="81"/>
      <c r="R699" s="81"/>
      <c r="S699" s="289"/>
      <c r="T699" s="81"/>
      <c r="U699" s="81"/>
      <c r="V699" s="81"/>
      <c r="W699" s="81"/>
      <c r="X699" s="81"/>
      <c r="Y699" s="81"/>
      <c r="Z699" s="81"/>
    </row>
    <row r="700" spans="1:26" ht="24" customHeight="1" x14ac:dyDescent="0.5">
      <c r="A700" s="81"/>
      <c r="B700" s="81"/>
      <c r="C700" s="81"/>
      <c r="D700" s="81"/>
      <c r="E700" s="81"/>
      <c r="F700" s="81"/>
      <c r="G700" s="81"/>
      <c r="H700" s="81"/>
      <c r="I700" s="81"/>
      <c r="J700" s="289"/>
      <c r="K700" s="81"/>
      <c r="L700" s="81"/>
      <c r="M700" s="289"/>
      <c r="N700" s="81"/>
      <c r="O700" s="81"/>
      <c r="P700" s="289"/>
      <c r="Q700" s="81"/>
      <c r="R700" s="81"/>
      <c r="S700" s="289"/>
      <c r="T700" s="81"/>
      <c r="U700" s="81"/>
      <c r="V700" s="81"/>
      <c r="W700" s="81"/>
      <c r="X700" s="81"/>
      <c r="Y700" s="81"/>
      <c r="Z700" s="81"/>
    </row>
    <row r="701" spans="1:26" ht="24" customHeight="1" x14ac:dyDescent="0.5">
      <c r="A701" s="81"/>
      <c r="B701" s="81"/>
      <c r="C701" s="81"/>
      <c r="D701" s="81"/>
      <c r="E701" s="81"/>
      <c r="F701" s="81"/>
      <c r="G701" s="81"/>
      <c r="H701" s="81"/>
      <c r="I701" s="81"/>
      <c r="J701" s="289"/>
      <c r="K701" s="81"/>
      <c r="L701" s="81"/>
      <c r="M701" s="289"/>
      <c r="N701" s="81"/>
      <c r="O701" s="81"/>
      <c r="P701" s="289"/>
      <c r="Q701" s="81"/>
      <c r="R701" s="81"/>
      <c r="S701" s="289"/>
      <c r="T701" s="81"/>
      <c r="U701" s="81"/>
      <c r="V701" s="81"/>
      <c r="W701" s="81"/>
      <c r="X701" s="81"/>
      <c r="Y701" s="81"/>
      <c r="Z701" s="81"/>
    </row>
    <row r="702" spans="1:26" ht="24" customHeight="1" x14ac:dyDescent="0.5">
      <c r="A702" s="81"/>
      <c r="B702" s="81"/>
      <c r="C702" s="81"/>
      <c r="D702" s="81"/>
      <c r="E702" s="81"/>
      <c r="F702" s="81"/>
      <c r="G702" s="81"/>
      <c r="H702" s="81"/>
      <c r="I702" s="81"/>
      <c r="J702" s="289"/>
      <c r="K702" s="81"/>
      <c r="L702" s="81"/>
      <c r="M702" s="289"/>
      <c r="N702" s="81"/>
      <c r="O702" s="81"/>
      <c r="P702" s="289"/>
      <c r="Q702" s="81"/>
      <c r="R702" s="81"/>
      <c r="S702" s="289"/>
      <c r="T702" s="81"/>
      <c r="U702" s="81"/>
      <c r="V702" s="81"/>
      <c r="W702" s="81"/>
      <c r="X702" s="81"/>
      <c r="Y702" s="81"/>
      <c r="Z702" s="81"/>
    </row>
    <row r="703" spans="1:26" ht="24" customHeight="1" x14ac:dyDescent="0.5">
      <c r="A703" s="81"/>
      <c r="B703" s="81"/>
      <c r="C703" s="81"/>
      <c r="D703" s="81"/>
      <c r="E703" s="81"/>
      <c r="F703" s="81"/>
      <c r="G703" s="81"/>
      <c r="H703" s="81"/>
      <c r="I703" s="81"/>
      <c r="J703" s="289"/>
      <c r="K703" s="81"/>
      <c r="L703" s="81"/>
      <c r="M703" s="289"/>
      <c r="N703" s="81"/>
      <c r="O703" s="81"/>
      <c r="P703" s="289"/>
      <c r="Q703" s="81"/>
      <c r="R703" s="81"/>
      <c r="S703" s="289"/>
      <c r="T703" s="81"/>
      <c r="U703" s="81"/>
      <c r="V703" s="81"/>
      <c r="W703" s="81"/>
      <c r="X703" s="81"/>
      <c r="Y703" s="81"/>
      <c r="Z703" s="81"/>
    </row>
    <row r="704" spans="1:26" ht="24" customHeight="1" x14ac:dyDescent="0.5">
      <c r="A704" s="81"/>
      <c r="B704" s="81"/>
      <c r="C704" s="81"/>
      <c r="D704" s="81"/>
      <c r="E704" s="81"/>
      <c r="F704" s="81"/>
      <c r="G704" s="81"/>
      <c r="H704" s="81"/>
      <c r="I704" s="81"/>
      <c r="J704" s="289"/>
      <c r="K704" s="81"/>
      <c r="L704" s="81"/>
      <c r="M704" s="289"/>
      <c r="N704" s="81"/>
      <c r="O704" s="81"/>
      <c r="P704" s="289"/>
      <c r="Q704" s="81"/>
      <c r="R704" s="81"/>
      <c r="S704" s="289"/>
      <c r="T704" s="81"/>
      <c r="U704" s="81"/>
      <c r="V704" s="81"/>
      <c r="W704" s="81"/>
      <c r="X704" s="81"/>
      <c r="Y704" s="81"/>
      <c r="Z704" s="81"/>
    </row>
    <row r="705" spans="1:26" ht="24" customHeight="1" x14ac:dyDescent="0.5">
      <c r="A705" s="81"/>
      <c r="B705" s="81"/>
      <c r="C705" s="81"/>
      <c r="D705" s="81"/>
      <c r="E705" s="81"/>
      <c r="F705" s="81"/>
      <c r="G705" s="81"/>
      <c r="H705" s="81"/>
      <c r="I705" s="81"/>
      <c r="J705" s="289"/>
      <c r="K705" s="81"/>
      <c r="L705" s="81"/>
      <c r="M705" s="289"/>
      <c r="N705" s="81"/>
      <c r="O705" s="81"/>
      <c r="P705" s="289"/>
      <c r="Q705" s="81"/>
      <c r="R705" s="81"/>
      <c r="S705" s="289"/>
      <c r="T705" s="81"/>
      <c r="U705" s="81"/>
      <c r="V705" s="81"/>
      <c r="W705" s="81"/>
      <c r="X705" s="81"/>
      <c r="Y705" s="81"/>
      <c r="Z705" s="81"/>
    </row>
    <row r="706" spans="1:26" ht="24" customHeight="1" x14ac:dyDescent="0.5">
      <c r="A706" s="81"/>
      <c r="B706" s="81"/>
      <c r="C706" s="81"/>
      <c r="D706" s="81"/>
      <c r="E706" s="81"/>
      <c r="F706" s="81"/>
      <c r="G706" s="81"/>
      <c r="H706" s="81"/>
      <c r="I706" s="81"/>
      <c r="J706" s="289"/>
      <c r="K706" s="81"/>
      <c r="L706" s="81"/>
      <c r="M706" s="289"/>
      <c r="N706" s="81"/>
      <c r="O706" s="81"/>
      <c r="P706" s="289"/>
      <c r="Q706" s="81"/>
      <c r="R706" s="81"/>
      <c r="S706" s="289"/>
      <c r="T706" s="81"/>
      <c r="U706" s="81"/>
      <c r="V706" s="81"/>
      <c r="W706" s="81"/>
      <c r="X706" s="81"/>
      <c r="Y706" s="81"/>
      <c r="Z706" s="81"/>
    </row>
    <row r="707" spans="1:26" ht="24" customHeight="1" x14ac:dyDescent="0.5">
      <c r="A707" s="81"/>
      <c r="B707" s="81"/>
      <c r="C707" s="81"/>
      <c r="D707" s="81"/>
      <c r="E707" s="81"/>
      <c r="F707" s="81"/>
      <c r="G707" s="81"/>
      <c r="H707" s="81"/>
      <c r="I707" s="81"/>
      <c r="J707" s="289"/>
      <c r="K707" s="81"/>
      <c r="L707" s="81"/>
      <c r="M707" s="289"/>
      <c r="N707" s="81"/>
      <c r="O707" s="81"/>
      <c r="P707" s="289"/>
      <c r="Q707" s="81"/>
      <c r="R707" s="81"/>
      <c r="S707" s="289"/>
      <c r="T707" s="81"/>
      <c r="U707" s="81"/>
      <c r="V707" s="81"/>
      <c r="W707" s="81"/>
      <c r="X707" s="81"/>
      <c r="Y707" s="81"/>
      <c r="Z707" s="81"/>
    </row>
    <row r="708" spans="1:26" ht="24" customHeight="1" x14ac:dyDescent="0.5">
      <c r="A708" s="81"/>
      <c r="B708" s="81"/>
      <c r="C708" s="81"/>
      <c r="D708" s="81"/>
      <c r="E708" s="81"/>
      <c r="F708" s="81"/>
      <c r="G708" s="81"/>
      <c r="H708" s="81"/>
      <c r="I708" s="81"/>
      <c r="J708" s="289"/>
      <c r="K708" s="81"/>
      <c r="L708" s="81"/>
      <c r="M708" s="289"/>
      <c r="N708" s="81"/>
      <c r="O708" s="81"/>
      <c r="P708" s="289"/>
      <c r="Q708" s="81"/>
      <c r="R708" s="81"/>
      <c r="S708" s="289"/>
      <c r="T708" s="81"/>
      <c r="U708" s="81"/>
      <c r="V708" s="81"/>
      <c r="W708" s="81"/>
      <c r="X708" s="81"/>
      <c r="Y708" s="81"/>
      <c r="Z708" s="81"/>
    </row>
    <row r="709" spans="1:26" ht="24" customHeight="1" x14ac:dyDescent="0.5">
      <c r="A709" s="81"/>
      <c r="B709" s="81"/>
      <c r="C709" s="81"/>
      <c r="D709" s="81"/>
      <c r="E709" s="81"/>
      <c r="F709" s="81"/>
      <c r="G709" s="81"/>
      <c r="H709" s="81"/>
      <c r="I709" s="81"/>
      <c r="J709" s="289"/>
      <c r="K709" s="81"/>
      <c r="L709" s="81"/>
      <c r="M709" s="289"/>
      <c r="N709" s="81"/>
      <c r="O709" s="81"/>
      <c r="P709" s="289"/>
      <c r="Q709" s="81"/>
      <c r="R709" s="81"/>
      <c r="S709" s="289"/>
      <c r="T709" s="81"/>
      <c r="U709" s="81"/>
      <c r="V709" s="81"/>
      <c r="W709" s="81"/>
      <c r="X709" s="81"/>
      <c r="Y709" s="81"/>
      <c r="Z709" s="81"/>
    </row>
    <row r="710" spans="1:26" ht="24" customHeight="1" x14ac:dyDescent="0.5">
      <c r="A710" s="81"/>
      <c r="B710" s="81"/>
      <c r="C710" s="81"/>
      <c r="D710" s="81"/>
      <c r="E710" s="81"/>
      <c r="F710" s="81"/>
      <c r="G710" s="81"/>
      <c r="H710" s="81"/>
      <c r="I710" s="81"/>
      <c r="J710" s="289"/>
      <c r="K710" s="81"/>
      <c r="L710" s="81"/>
      <c r="M710" s="289"/>
      <c r="N710" s="81"/>
      <c r="O710" s="81"/>
      <c r="P710" s="289"/>
      <c r="Q710" s="81"/>
      <c r="R710" s="81"/>
      <c r="S710" s="289"/>
      <c r="T710" s="81"/>
      <c r="U710" s="81"/>
      <c r="V710" s="81"/>
      <c r="W710" s="81"/>
      <c r="X710" s="81"/>
      <c r="Y710" s="81"/>
      <c r="Z710" s="81"/>
    </row>
    <row r="711" spans="1:26" ht="24" customHeight="1" x14ac:dyDescent="0.5">
      <c r="A711" s="81"/>
      <c r="B711" s="81"/>
      <c r="C711" s="81"/>
      <c r="D711" s="81"/>
      <c r="E711" s="81"/>
      <c r="F711" s="81"/>
      <c r="G711" s="81"/>
      <c r="H711" s="81"/>
      <c r="I711" s="81"/>
      <c r="J711" s="289"/>
      <c r="K711" s="81"/>
      <c r="L711" s="81"/>
      <c r="M711" s="289"/>
      <c r="N711" s="81"/>
      <c r="O711" s="81"/>
      <c r="P711" s="289"/>
      <c r="Q711" s="81"/>
      <c r="R711" s="81"/>
      <c r="S711" s="289"/>
      <c r="T711" s="81"/>
      <c r="U711" s="81"/>
      <c r="V711" s="81"/>
      <c r="W711" s="81"/>
      <c r="X711" s="81"/>
      <c r="Y711" s="81"/>
      <c r="Z711" s="81"/>
    </row>
    <row r="712" spans="1:26" ht="24" customHeight="1" x14ac:dyDescent="0.5">
      <c r="A712" s="81"/>
      <c r="B712" s="81"/>
      <c r="C712" s="81"/>
      <c r="D712" s="81"/>
      <c r="E712" s="81"/>
      <c r="F712" s="81"/>
      <c r="G712" s="81"/>
      <c r="H712" s="81"/>
      <c r="I712" s="81"/>
      <c r="J712" s="289"/>
      <c r="K712" s="81"/>
      <c r="L712" s="81"/>
      <c r="M712" s="289"/>
      <c r="N712" s="81"/>
      <c r="O712" s="81"/>
      <c r="P712" s="289"/>
      <c r="Q712" s="81"/>
      <c r="R712" s="81"/>
      <c r="S712" s="289"/>
      <c r="T712" s="81"/>
      <c r="U712" s="81"/>
      <c r="V712" s="81"/>
      <c r="W712" s="81"/>
      <c r="X712" s="81"/>
      <c r="Y712" s="81"/>
      <c r="Z712" s="81"/>
    </row>
    <row r="713" spans="1:26" ht="24" customHeight="1" x14ac:dyDescent="0.5">
      <c r="A713" s="81"/>
      <c r="B713" s="81"/>
      <c r="C713" s="81"/>
      <c r="D713" s="81"/>
      <c r="E713" s="81"/>
      <c r="F713" s="81"/>
      <c r="G713" s="81"/>
      <c r="H713" s="81"/>
      <c r="I713" s="81"/>
      <c r="J713" s="289"/>
      <c r="K713" s="81"/>
      <c r="L713" s="81"/>
      <c r="M713" s="289"/>
      <c r="N713" s="81"/>
      <c r="O713" s="81"/>
      <c r="P713" s="289"/>
      <c r="Q713" s="81"/>
      <c r="R713" s="81"/>
      <c r="S713" s="289"/>
      <c r="T713" s="81"/>
      <c r="U713" s="81"/>
      <c r="V713" s="81"/>
      <c r="W713" s="81"/>
      <c r="X713" s="81"/>
      <c r="Y713" s="81"/>
      <c r="Z713" s="81"/>
    </row>
    <row r="714" spans="1:26" ht="24" customHeight="1" x14ac:dyDescent="0.5">
      <c r="A714" s="81"/>
      <c r="B714" s="81"/>
      <c r="C714" s="81"/>
      <c r="D714" s="81"/>
      <c r="E714" s="81"/>
      <c r="F714" s="81"/>
      <c r="G714" s="81"/>
      <c r="H714" s="81"/>
      <c r="I714" s="81"/>
      <c r="J714" s="289"/>
      <c r="K714" s="81"/>
      <c r="L714" s="81"/>
      <c r="M714" s="289"/>
      <c r="N714" s="81"/>
      <c r="O714" s="81"/>
      <c r="P714" s="289"/>
      <c r="Q714" s="81"/>
      <c r="R714" s="81"/>
      <c r="S714" s="289"/>
      <c r="T714" s="81"/>
      <c r="U714" s="81"/>
      <c r="V714" s="81"/>
      <c r="W714" s="81"/>
      <c r="X714" s="81"/>
      <c r="Y714" s="81"/>
      <c r="Z714" s="81"/>
    </row>
    <row r="715" spans="1:26" ht="24" customHeight="1" x14ac:dyDescent="0.5">
      <c r="A715" s="81"/>
      <c r="B715" s="81"/>
      <c r="C715" s="81"/>
      <c r="D715" s="81"/>
      <c r="E715" s="81"/>
      <c r="F715" s="81"/>
      <c r="G715" s="81"/>
      <c r="H715" s="81"/>
      <c r="I715" s="81"/>
      <c r="J715" s="289"/>
      <c r="K715" s="81"/>
      <c r="L715" s="81"/>
      <c r="M715" s="289"/>
      <c r="N715" s="81"/>
      <c r="O715" s="81"/>
      <c r="P715" s="289"/>
      <c r="Q715" s="81"/>
      <c r="R715" s="81"/>
      <c r="S715" s="289"/>
      <c r="T715" s="81"/>
      <c r="U715" s="81"/>
      <c r="V715" s="81"/>
      <c r="W715" s="81"/>
      <c r="X715" s="81"/>
      <c r="Y715" s="81"/>
      <c r="Z715" s="81"/>
    </row>
    <row r="716" spans="1:26" ht="24" customHeight="1" x14ac:dyDescent="0.5">
      <c r="A716" s="81"/>
      <c r="B716" s="81"/>
      <c r="C716" s="81"/>
      <c r="D716" s="81"/>
      <c r="E716" s="81"/>
      <c r="F716" s="81"/>
      <c r="G716" s="81"/>
      <c r="H716" s="81"/>
      <c r="I716" s="81"/>
      <c r="J716" s="289"/>
      <c r="K716" s="81"/>
      <c r="L716" s="81"/>
      <c r="M716" s="289"/>
      <c r="N716" s="81"/>
      <c r="O716" s="81"/>
      <c r="P716" s="289"/>
      <c r="Q716" s="81"/>
      <c r="R716" s="81"/>
      <c r="S716" s="289"/>
      <c r="T716" s="81"/>
      <c r="U716" s="81"/>
      <c r="V716" s="81"/>
      <c r="W716" s="81"/>
      <c r="X716" s="81"/>
      <c r="Y716" s="81"/>
      <c r="Z716" s="81"/>
    </row>
    <row r="717" spans="1:26" ht="24" customHeight="1" x14ac:dyDescent="0.5">
      <c r="A717" s="81"/>
      <c r="B717" s="81"/>
      <c r="C717" s="81"/>
      <c r="D717" s="81"/>
      <c r="E717" s="81"/>
      <c r="F717" s="81"/>
      <c r="G717" s="81"/>
      <c r="H717" s="81"/>
      <c r="I717" s="81"/>
      <c r="J717" s="289"/>
      <c r="K717" s="81"/>
      <c r="L717" s="81"/>
      <c r="M717" s="289"/>
      <c r="N717" s="81"/>
      <c r="O717" s="81"/>
      <c r="P717" s="289"/>
      <c r="Q717" s="81"/>
      <c r="R717" s="81"/>
      <c r="S717" s="289"/>
      <c r="T717" s="81"/>
      <c r="U717" s="81"/>
      <c r="V717" s="81"/>
      <c r="W717" s="81"/>
      <c r="X717" s="81"/>
      <c r="Y717" s="81"/>
      <c r="Z717" s="81"/>
    </row>
    <row r="718" spans="1:26" ht="24" customHeight="1" x14ac:dyDescent="0.5">
      <c r="A718" s="81"/>
      <c r="B718" s="81"/>
      <c r="C718" s="81"/>
      <c r="D718" s="81"/>
      <c r="E718" s="81"/>
      <c r="F718" s="81"/>
      <c r="G718" s="81"/>
      <c r="H718" s="81"/>
      <c r="I718" s="81"/>
      <c r="J718" s="289"/>
      <c r="K718" s="81"/>
      <c r="L718" s="81"/>
      <c r="M718" s="289"/>
      <c r="N718" s="81"/>
      <c r="O718" s="81"/>
      <c r="P718" s="289"/>
      <c r="Q718" s="81"/>
      <c r="R718" s="81"/>
      <c r="S718" s="289"/>
      <c r="T718" s="81"/>
      <c r="U718" s="81"/>
      <c r="V718" s="81"/>
      <c r="W718" s="81"/>
      <c r="X718" s="81"/>
      <c r="Y718" s="81"/>
      <c r="Z718" s="81"/>
    </row>
    <row r="719" spans="1:26" ht="24" customHeight="1" x14ac:dyDescent="0.5">
      <c r="A719" s="81"/>
      <c r="B719" s="81"/>
      <c r="C719" s="81"/>
      <c r="D719" s="81"/>
      <c r="E719" s="81"/>
      <c r="F719" s="81"/>
      <c r="G719" s="81"/>
      <c r="H719" s="81"/>
      <c r="I719" s="81"/>
      <c r="J719" s="289"/>
      <c r="K719" s="81"/>
      <c r="L719" s="81"/>
      <c r="M719" s="289"/>
      <c r="N719" s="81"/>
      <c r="O719" s="81"/>
      <c r="P719" s="289"/>
      <c r="Q719" s="81"/>
      <c r="R719" s="81"/>
      <c r="S719" s="289"/>
      <c r="T719" s="81"/>
      <c r="U719" s="81"/>
      <c r="V719" s="81"/>
      <c r="W719" s="81"/>
      <c r="X719" s="81"/>
      <c r="Y719" s="81"/>
      <c r="Z719" s="81"/>
    </row>
    <row r="720" spans="1:26" ht="24" customHeight="1" x14ac:dyDescent="0.5">
      <c r="A720" s="81"/>
      <c r="B720" s="81"/>
      <c r="C720" s="81"/>
      <c r="D720" s="81"/>
      <c r="E720" s="81"/>
      <c r="F720" s="81"/>
      <c r="G720" s="81"/>
      <c r="H720" s="81"/>
      <c r="I720" s="81"/>
      <c r="J720" s="289"/>
      <c r="K720" s="81"/>
      <c r="L720" s="81"/>
      <c r="M720" s="289"/>
      <c r="N720" s="81"/>
      <c r="O720" s="81"/>
      <c r="P720" s="289"/>
      <c r="Q720" s="81"/>
      <c r="R720" s="81"/>
      <c r="S720" s="289"/>
      <c r="T720" s="81"/>
      <c r="U720" s="81"/>
      <c r="V720" s="81"/>
      <c r="W720" s="81"/>
      <c r="X720" s="81"/>
      <c r="Y720" s="81"/>
      <c r="Z720" s="81"/>
    </row>
    <row r="721" spans="1:26" ht="24" customHeight="1" x14ac:dyDescent="0.5">
      <c r="A721" s="81"/>
      <c r="B721" s="81"/>
      <c r="C721" s="81"/>
      <c r="D721" s="81"/>
      <c r="E721" s="81"/>
      <c r="F721" s="81"/>
      <c r="G721" s="81"/>
      <c r="H721" s="81"/>
      <c r="I721" s="81"/>
      <c r="J721" s="289"/>
      <c r="K721" s="81"/>
      <c r="L721" s="81"/>
      <c r="M721" s="289"/>
      <c r="N721" s="81"/>
      <c r="O721" s="81"/>
      <c r="P721" s="289"/>
      <c r="Q721" s="81"/>
      <c r="R721" s="81"/>
      <c r="S721" s="289"/>
      <c r="T721" s="81"/>
      <c r="U721" s="81"/>
      <c r="V721" s="81"/>
      <c r="W721" s="81"/>
      <c r="X721" s="81"/>
      <c r="Y721" s="81"/>
      <c r="Z721" s="81"/>
    </row>
    <row r="722" spans="1:26" ht="24" customHeight="1" x14ac:dyDescent="0.5">
      <c r="A722" s="81"/>
      <c r="B722" s="81"/>
      <c r="C722" s="81"/>
      <c r="D722" s="81"/>
      <c r="E722" s="81"/>
      <c r="F722" s="81"/>
      <c r="G722" s="81"/>
      <c r="H722" s="81"/>
      <c r="I722" s="81"/>
      <c r="J722" s="289"/>
      <c r="K722" s="81"/>
      <c r="L722" s="81"/>
      <c r="M722" s="289"/>
      <c r="N722" s="81"/>
      <c r="O722" s="81"/>
      <c r="P722" s="289"/>
      <c r="Q722" s="81"/>
      <c r="R722" s="81"/>
      <c r="S722" s="289"/>
      <c r="T722" s="81"/>
      <c r="U722" s="81"/>
      <c r="V722" s="81"/>
      <c r="W722" s="81"/>
      <c r="X722" s="81"/>
      <c r="Y722" s="81"/>
      <c r="Z722" s="81"/>
    </row>
    <row r="723" spans="1:26" ht="24" customHeight="1" x14ac:dyDescent="0.5">
      <c r="A723" s="81"/>
      <c r="B723" s="81"/>
      <c r="C723" s="81"/>
      <c r="D723" s="81"/>
      <c r="E723" s="81"/>
      <c r="F723" s="81"/>
      <c r="G723" s="81"/>
      <c r="H723" s="81"/>
      <c r="I723" s="81"/>
      <c r="J723" s="289"/>
      <c r="K723" s="81"/>
      <c r="L723" s="81"/>
      <c r="M723" s="289"/>
      <c r="N723" s="81"/>
      <c r="O723" s="81"/>
      <c r="P723" s="289"/>
      <c r="Q723" s="81"/>
      <c r="R723" s="81"/>
      <c r="S723" s="289"/>
      <c r="T723" s="81"/>
      <c r="U723" s="81"/>
      <c r="V723" s="81"/>
      <c r="W723" s="81"/>
      <c r="X723" s="81"/>
      <c r="Y723" s="81"/>
      <c r="Z723" s="81"/>
    </row>
    <row r="724" spans="1:26" ht="24" customHeight="1" x14ac:dyDescent="0.5">
      <c r="A724" s="81"/>
      <c r="B724" s="81"/>
      <c r="C724" s="81"/>
      <c r="D724" s="81"/>
      <c r="E724" s="81"/>
      <c r="F724" s="81"/>
      <c r="G724" s="81"/>
      <c r="H724" s="81"/>
      <c r="I724" s="81"/>
      <c r="J724" s="289"/>
      <c r="K724" s="81"/>
      <c r="L724" s="81"/>
      <c r="M724" s="289"/>
      <c r="N724" s="81"/>
      <c r="O724" s="81"/>
      <c r="P724" s="289"/>
      <c r="Q724" s="81"/>
      <c r="R724" s="81"/>
      <c r="S724" s="289"/>
      <c r="T724" s="81"/>
      <c r="U724" s="81"/>
      <c r="V724" s="81"/>
      <c r="W724" s="81"/>
      <c r="X724" s="81"/>
      <c r="Y724" s="81"/>
      <c r="Z724" s="81"/>
    </row>
    <row r="725" spans="1:26" ht="24" customHeight="1" x14ac:dyDescent="0.5">
      <c r="A725" s="81"/>
      <c r="B725" s="81"/>
      <c r="C725" s="81"/>
      <c r="D725" s="81"/>
      <c r="E725" s="81"/>
      <c r="F725" s="81"/>
      <c r="G725" s="81"/>
      <c r="H725" s="81"/>
      <c r="I725" s="81"/>
      <c r="J725" s="289"/>
      <c r="K725" s="81"/>
      <c r="L725" s="81"/>
      <c r="M725" s="289"/>
      <c r="N725" s="81"/>
      <c r="O725" s="81"/>
      <c r="P725" s="289"/>
      <c r="Q725" s="81"/>
      <c r="R725" s="81"/>
      <c r="S725" s="289"/>
      <c r="T725" s="81"/>
      <c r="U725" s="81"/>
      <c r="V725" s="81"/>
      <c r="W725" s="81"/>
      <c r="X725" s="81"/>
      <c r="Y725" s="81"/>
      <c r="Z725" s="81"/>
    </row>
    <row r="726" spans="1:26" ht="24" customHeight="1" x14ac:dyDescent="0.5">
      <c r="A726" s="81"/>
      <c r="B726" s="81"/>
      <c r="C726" s="81"/>
      <c r="D726" s="81"/>
      <c r="E726" s="81"/>
      <c r="F726" s="81"/>
      <c r="G726" s="81"/>
      <c r="H726" s="81"/>
      <c r="I726" s="81"/>
      <c r="J726" s="289"/>
      <c r="K726" s="81"/>
      <c r="L726" s="81"/>
      <c r="M726" s="289"/>
      <c r="N726" s="81"/>
      <c r="O726" s="81"/>
      <c r="P726" s="289"/>
      <c r="Q726" s="81"/>
      <c r="R726" s="81"/>
      <c r="S726" s="289"/>
      <c r="T726" s="81"/>
      <c r="U726" s="81"/>
      <c r="V726" s="81"/>
      <c r="W726" s="81"/>
      <c r="X726" s="81"/>
      <c r="Y726" s="81"/>
      <c r="Z726" s="81"/>
    </row>
    <row r="727" spans="1:26" ht="24" customHeight="1" x14ac:dyDescent="0.5">
      <c r="A727" s="81"/>
      <c r="B727" s="81"/>
      <c r="C727" s="81"/>
      <c r="D727" s="81"/>
      <c r="E727" s="81"/>
      <c r="F727" s="81"/>
      <c r="G727" s="81"/>
      <c r="H727" s="81"/>
      <c r="I727" s="81"/>
      <c r="J727" s="289"/>
      <c r="K727" s="81"/>
      <c r="L727" s="81"/>
      <c r="M727" s="289"/>
      <c r="N727" s="81"/>
      <c r="O727" s="81"/>
      <c r="P727" s="289"/>
      <c r="Q727" s="81"/>
      <c r="R727" s="81"/>
      <c r="S727" s="289"/>
      <c r="T727" s="81"/>
      <c r="U727" s="81"/>
      <c r="V727" s="81"/>
      <c r="W727" s="81"/>
      <c r="X727" s="81"/>
      <c r="Y727" s="81"/>
      <c r="Z727" s="81"/>
    </row>
    <row r="728" spans="1:26" ht="24" customHeight="1" x14ac:dyDescent="0.5">
      <c r="A728" s="81"/>
      <c r="B728" s="81"/>
      <c r="C728" s="81"/>
      <c r="D728" s="81"/>
      <c r="E728" s="81"/>
      <c r="F728" s="81"/>
      <c r="G728" s="81"/>
      <c r="H728" s="81"/>
      <c r="I728" s="81"/>
      <c r="J728" s="289"/>
      <c r="K728" s="81"/>
      <c r="L728" s="81"/>
      <c r="M728" s="289"/>
      <c r="N728" s="81"/>
      <c r="O728" s="81"/>
      <c r="P728" s="289"/>
      <c r="Q728" s="81"/>
      <c r="R728" s="81"/>
      <c r="S728" s="289"/>
      <c r="T728" s="81"/>
      <c r="U728" s="81"/>
      <c r="V728" s="81"/>
      <c r="W728" s="81"/>
      <c r="X728" s="81"/>
      <c r="Y728" s="81"/>
      <c r="Z728" s="81"/>
    </row>
    <row r="729" spans="1:26" ht="24" customHeight="1" x14ac:dyDescent="0.5">
      <c r="A729" s="81"/>
      <c r="B729" s="81"/>
      <c r="C729" s="81"/>
      <c r="D729" s="81"/>
      <c r="E729" s="81"/>
      <c r="F729" s="81"/>
      <c r="G729" s="81"/>
      <c r="H729" s="81"/>
      <c r="I729" s="81"/>
      <c r="J729" s="289"/>
      <c r="K729" s="81"/>
      <c r="L729" s="81"/>
      <c r="M729" s="289"/>
      <c r="N729" s="81"/>
      <c r="O729" s="81"/>
      <c r="P729" s="289"/>
      <c r="Q729" s="81"/>
      <c r="R729" s="81"/>
      <c r="S729" s="289"/>
      <c r="T729" s="81"/>
      <c r="U729" s="81"/>
      <c r="V729" s="81"/>
      <c r="W729" s="81"/>
      <c r="X729" s="81"/>
      <c r="Y729" s="81"/>
      <c r="Z729" s="81"/>
    </row>
    <row r="730" spans="1:26" ht="24" customHeight="1" x14ac:dyDescent="0.5">
      <c r="A730" s="81"/>
      <c r="B730" s="81"/>
      <c r="C730" s="81"/>
      <c r="D730" s="81"/>
      <c r="E730" s="81"/>
      <c r="F730" s="81"/>
      <c r="G730" s="81"/>
      <c r="H730" s="81"/>
      <c r="I730" s="81"/>
      <c r="J730" s="289"/>
      <c r="K730" s="81"/>
      <c r="L730" s="81"/>
      <c r="M730" s="289"/>
      <c r="N730" s="81"/>
      <c r="O730" s="81"/>
      <c r="P730" s="289"/>
      <c r="Q730" s="81"/>
      <c r="R730" s="81"/>
      <c r="S730" s="289"/>
      <c r="T730" s="81"/>
      <c r="U730" s="81"/>
      <c r="V730" s="81"/>
      <c r="W730" s="81"/>
      <c r="X730" s="81"/>
      <c r="Y730" s="81"/>
      <c r="Z730" s="81"/>
    </row>
    <row r="731" spans="1:26" ht="24" customHeight="1" x14ac:dyDescent="0.5">
      <c r="A731" s="81"/>
      <c r="B731" s="81"/>
      <c r="C731" s="81"/>
      <c r="D731" s="81"/>
      <c r="E731" s="81"/>
      <c r="F731" s="81"/>
      <c r="G731" s="81"/>
      <c r="H731" s="81"/>
      <c r="I731" s="81"/>
      <c r="J731" s="289"/>
      <c r="K731" s="81"/>
      <c r="L731" s="81"/>
      <c r="M731" s="289"/>
      <c r="N731" s="81"/>
      <c r="O731" s="81"/>
      <c r="P731" s="289"/>
      <c r="Q731" s="81"/>
      <c r="R731" s="81"/>
      <c r="S731" s="289"/>
      <c r="T731" s="81"/>
      <c r="U731" s="81"/>
      <c r="V731" s="81"/>
      <c r="W731" s="81"/>
      <c r="X731" s="81"/>
      <c r="Y731" s="81"/>
      <c r="Z731" s="81"/>
    </row>
    <row r="732" spans="1:26" ht="24" customHeight="1" x14ac:dyDescent="0.5">
      <c r="A732" s="81"/>
      <c r="B732" s="81"/>
      <c r="C732" s="81"/>
      <c r="D732" s="81"/>
      <c r="E732" s="81"/>
      <c r="F732" s="81"/>
      <c r="G732" s="81"/>
      <c r="H732" s="81"/>
      <c r="I732" s="81"/>
      <c r="J732" s="289"/>
      <c r="K732" s="81"/>
      <c r="L732" s="81"/>
      <c r="M732" s="289"/>
      <c r="N732" s="81"/>
      <c r="O732" s="81"/>
      <c r="P732" s="289"/>
      <c r="Q732" s="81"/>
      <c r="R732" s="81"/>
      <c r="S732" s="289"/>
      <c r="T732" s="81"/>
      <c r="U732" s="81"/>
      <c r="V732" s="81"/>
      <c r="W732" s="81"/>
      <c r="X732" s="81"/>
      <c r="Y732" s="81"/>
      <c r="Z732" s="81"/>
    </row>
    <row r="733" spans="1:26" ht="24" customHeight="1" x14ac:dyDescent="0.5">
      <c r="A733" s="81"/>
      <c r="B733" s="81"/>
      <c r="C733" s="81"/>
      <c r="D733" s="81"/>
      <c r="E733" s="81"/>
      <c r="F733" s="81"/>
      <c r="G733" s="81"/>
      <c r="H733" s="81"/>
      <c r="I733" s="81"/>
      <c r="J733" s="289"/>
      <c r="K733" s="81"/>
      <c r="L733" s="81"/>
      <c r="M733" s="289"/>
      <c r="N733" s="81"/>
      <c r="O733" s="81"/>
      <c r="P733" s="289"/>
      <c r="Q733" s="81"/>
      <c r="R733" s="81"/>
      <c r="S733" s="289"/>
      <c r="T733" s="81"/>
      <c r="U733" s="81"/>
      <c r="V733" s="81"/>
      <c r="W733" s="81"/>
      <c r="X733" s="81"/>
      <c r="Y733" s="81"/>
      <c r="Z733" s="81"/>
    </row>
    <row r="734" spans="1:26" ht="24" customHeight="1" x14ac:dyDescent="0.5">
      <c r="A734" s="81"/>
      <c r="B734" s="81"/>
      <c r="C734" s="81"/>
      <c r="D734" s="81"/>
      <c r="E734" s="81"/>
      <c r="F734" s="81"/>
      <c r="G734" s="81"/>
      <c r="H734" s="81"/>
      <c r="I734" s="81"/>
      <c r="J734" s="289"/>
      <c r="K734" s="81"/>
      <c r="L734" s="81"/>
      <c r="M734" s="289"/>
      <c r="N734" s="81"/>
      <c r="O734" s="81"/>
      <c r="P734" s="289"/>
      <c r="Q734" s="81"/>
      <c r="R734" s="81"/>
      <c r="S734" s="289"/>
      <c r="T734" s="81"/>
      <c r="U734" s="81"/>
      <c r="V734" s="81"/>
      <c r="W734" s="81"/>
      <c r="X734" s="81"/>
      <c r="Y734" s="81"/>
      <c r="Z734" s="81"/>
    </row>
    <row r="735" spans="1:26" ht="24" customHeight="1" x14ac:dyDescent="0.5">
      <c r="A735" s="81"/>
      <c r="B735" s="81"/>
      <c r="C735" s="81"/>
      <c r="D735" s="81"/>
      <c r="E735" s="81"/>
      <c r="F735" s="81"/>
      <c r="G735" s="81"/>
      <c r="H735" s="81"/>
      <c r="I735" s="81"/>
      <c r="J735" s="289"/>
      <c r="K735" s="81"/>
      <c r="L735" s="81"/>
      <c r="M735" s="289"/>
      <c r="N735" s="81"/>
      <c r="O735" s="81"/>
      <c r="P735" s="289"/>
      <c r="Q735" s="81"/>
      <c r="R735" s="81"/>
      <c r="S735" s="289"/>
      <c r="T735" s="81"/>
      <c r="U735" s="81"/>
      <c r="V735" s="81"/>
      <c r="W735" s="81"/>
      <c r="X735" s="81"/>
      <c r="Y735" s="81"/>
      <c r="Z735" s="81"/>
    </row>
    <row r="736" spans="1:26" ht="24" customHeight="1" x14ac:dyDescent="0.5">
      <c r="A736" s="81"/>
      <c r="B736" s="81"/>
      <c r="C736" s="81"/>
      <c r="D736" s="81"/>
      <c r="E736" s="81"/>
      <c r="F736" s="81"/>
      <c r="G736" s="81"/>
      <c r="H736" s="81"/>
      <c r="I736" s="81"/>
      <c r="J736" s="289"/>
      <c r="K736" s="81"/>
      <c r="L736" s="81"/>
      <c r="M736" s="289"/>
      <c r="N736" s="81"/>
      <c r="O736" s="81"/>
      <c r="P736" s="289"/>
      <c r="Q736" s="81"/>
      <c r="R736" s="81"/>
      <c r="S736" s="289"/>
      <c r="T736" s="81"/>
      <c r="U736" s="81"/>
      <c r="V736" s="81"/>
      <c r="W736" s="81"/>
      <c r="X736" s="81"/>
      <c r="Y736" s="81"/>
      <c r="Z736" s="81"/>
    </row>
    <row r="737" spans="1:26" ht="24" customHeight="1" x14ac:dyDescent="0.5">
      <c r="A737" s="81"/>
      <c r="B737" s="81"/>
      <c r="C737" s="81"/>
      <c r="D737" s="81"/>
      <c r="E737" s="81"/>
      <c r="F737" s="81"/>
      <c r="G737" s="81"/>
      <c r="H737" s="81"/>
      <c r="I737" s="81"/>
      <c r="J737" s="289"/>
      <c r="K737" s="81"/>
      <c r="L737" s="81"/>
      <c r="M737" s="289"/>
      <c r="N737" s="81"/>
      <c r="O737" s="81"/>
      <c r="P737" s="289"/>
      <c r="Q737" s="81"/>
      <c r="R737" s="81"/>
      <c r="S737" s="289"/>
      <c r="T737" s="81"/>
      <c r="U737" s="81"/>
      <c r="V737" s="81"/>
      <c r="W737" s="81"/>
      <c r="X737" s="81"/>
      <c r="Y737" s="81"/>
      <c r="Z737" s="81"/>
    </row>
    <row r="738" spans="1:26" ht="24" customHeight="1" x14ac:dyDescent="0.5">
      <c r="A738" s="81"/>
      <c r="B738" s="81"/>
      <c r="C738" s="81"/>
      <c r="D738" s="81"/>
      <c r="E738" s="81"/>
      <c r="F738" s="81"/>
      <c r="G738" s="81"/>
      <c r="H738" s="81"/>
      <c r="I738" s="81"/>
      <c r="J738" s="289"/>
      <c r="K738" s="81"/>
      <c r="L738" s="81"/>
      <c r="M738" s="289"/>
      <c r="N738" s="81"/>
      <c r="O738" s="81"/>
      <c r="P738" s="289"/>
      <c r="Q738" s="81"/>
      <c r="R738" s="81"/>
      <c r="S738" s="289"/>
      <c r="T738" s="81"/>
      <c r="U738" s="81"/>
      <c r="V738" s="81"/>
      <c r="W738" s="81"/>
      <c r="X738" s="81"/>
      <c r="Y738" s="81"/>
      <c r="Z738" s="81"/>
    </row>
    <row r="739" spans="1:26" ht="24" customHeight="1" x14ac:dyDescent="0.5">
      <c r="A739" s="81"/>
      <c r="B739" s="81"/>
      <c r="C739" s="81"/>
      <c r="D739" s="81"/>
      <c r="E739" s="81"/>
      <c r="F739" s="81"/>
      <c r="G739" s="81"/>
      <c r="H739" s="81"/>
      <c r="I739" s="81"/>
      <c r="J739" s="289"/>
      <c r="K739" s="81"/>
      <c r="L739" s="81"/>
      <c r="M739" s="289"/>
      <c r="N739" s="81"/>
      <c r="O739" s="81"/>
      <c r="P739" s="289"/>
      <c r="Q739" s="81"/>
      <c r="R739" s="81"/>
      <c r="S739" s="289"/>
      <c r="T739" s="81"/>
      <c r="U739" s="81"/>
      <c r="V739" s="81"/>
      <c r="W739" s="81"/>
      <c r="X739" s="81"/>
      <c r="Y739" s="81"/>
      <c r="Z739" s="81"/>
    </row>
    <row r="740" spans="1:26" ht="24" customHeight="1" x14ac:dyDescent="0.5">
      <c r="A740" s="81"/>
      <c r="B740" s="81"/>
      <c r="C740" s="81"/>
      <c r="D740" s="81"/>
      <c r="E740" s="81"/>
      <c r="F740" s="81"/>
      <c r="G740" s="81"/>
      <c r="H740" s="81"/>
      <c r="I740" s="81"/>
      <c r="J740" s="289"/>
      <c r="K740" s="81"/>
      <c r="L740" s="81"/>
      <c r="M740" s="289"/>
      <c r="N740" s="81"/>
      <c r="O740" s="81"/>
      <c r="P740" s="289"/>
      <c r="Q740" s="81"/>
      <c r="R740" s="81"/>
      <c r="S740" s="289"/>
      <c r="T740" s="81"/>
      <c r="U740" s="81"/>
      <c r="V740" s="81"/>
      <c r="W740" s="81"/>
      <c r="X740" s="81"/>
      <c r="Y740" s="81"/>
      <c r="Z740" s="81"/>
    </row>
    <row r="741" spans="1:26" ht="24" customHeight="1" x14ac:dyDescent="0.5">
      <c r="A741" s="81"/>
      <c r="B741" s="81"/>
      <c r="C741" s="81"/>
      <c r="D741" s="81"/>
      <c r="E741" s="81"/>
      <c r="F741" s="81"/>
      <c r="G741" s="81"/>
      <c r="H741" s="81"/>
      <c r="I741" s="81"/>
      <c r="J741" s="289"/>
      <c r="K741" s="81"/>
      <c r="L741" s="81"/>
      <c r="M741" s="289"/>
      <c r="N741" s="81"/>
      <c r="O741" s="81"/>
      <c r="P741" s="289"/>
      <c r="Q741" s="81"/>
      <c r="R741" s="81"/>
      <c r="S741" s="289"/>
      <c r="T741" s="81"/>
      <c r="U741" s="81"/>
      <c r="V741" s="81"/>
      <c r="W741" s="81"/>
      <c r="X741" s="81"/>
      <c r="Y741" s="81"/>
      <c r="Z741" s="81"/>
    </row>
    <row r="742" spans="1:26" ht="24" customHeight="1" x14ac:dyDescent="0.5">
      <c r="A742" s="81"/>
      <c r="B742" s="81"/>
      <c r="C742" s="81"/>
      <c r="D742" s="81"/>
      <c r="E742" s="81"/>
      <c r="F742" s="81"/>
      <c r="G742" s="81"/>
      <c r="H742" s="81"/>
      <c r="I742" s="81"/>
      <c r="J742" s="289"/>
      <c r="K742" s="81"/>
      <c r="L742" s="81"/>
      <c r="M742" s="289"/>
      <c r="N742" s="81"/>
      <c r="O742" s="81"/>
      <c r="P742" s="289"/>
      <c r="Q742" s="81"/>
      <c r="R742" s="81"/>
      <c r="S742" s="289"/>
      <c r="T742" s="81"/>
      <c r="U742" s="81"/>
      <c r="V742" s="81"/>
      <c r="W742" s="81"/>
      <c r="X742" s="81"/>
      <c r="Y742" s="81"/>
      <c r="Z742" s="81"/>
    </row>
    <row r="743" spans="1:26" ht="24" customHeight="1" x14ac:dyDescent="0.5">
      <c r="A743" s="81"/>
      <c r="B743" s="81"/>
      <c r="C743" s="81"/>
      <c r="D743" s="81"/>
      <c r="E743" s="81"/>
      <c r="F743" s="81"/>
      <c r="G743" s="81"/>
      <c r="H743" s="81"/>
      <c r="I743" s="81"/>
      <c r="J743" s="289"/>
      <c r="K743" s="81"/>
      <c r="L743" s="81"/>
      <c r="M743" s="289"/>
      <c r="N743" s="81"/>
      <c r="O743" s="81"/>
      <c r="P743" s="289"/>
      <c r="Q743" s="81"/>
      <c r="R743" s="81"/>
      <c r="S743" s="289"/>
      <c r="T743" s="81"/>
      <c r="U743" s="81"/>
      <c r="V743" s="81"/>
      <c r="W743" s="81"/>
      <c r="X743" s="81"/>
      <c r="Y743" s="81"/>
      <c r="Z743" s="81"/>
    </row>
    <row r="744" spans="1:26" ht="24" customHeight="1" x14ac:dyDescent="0.5">
      <c r="A744" s="81"/>
      <c r="B744" s="81"/>
      <c r="C744" s="81"/>
      <c r="D744" s="81"/>
      <c r="E744" s="81"/>
      <c r="F744" s="81"/>
      <c r="G744" s="81"/>
      <c r="H744" s="81"/>
      <c r="I744" s="81"/>
      <c r="J744" s="289"/>
      <c r="K744" s="81"/>
      <c r="L744" s="81"/>
      <c r="M744" s="289"/>
      <c r="N744" s="81"/>
      <c r="O744" s="81"/>
      <c r="P744" s="289"/>
      <c r="Q744" s="81"/>
      <c r="R744" s="81"/>
      <c r="S744" s="289"/>
      <c r="T744" s="81"/>
      <c r="U744" s="81"/>
      <c r="V744" s="81"/>
      <c r="W744" s="81"/>
      <c r="X744" s="81"/>
      <c r="Y744" s="81"/>
      <c r="Z744" s="81"/>
    </row>
    <row r="745" spans="1:26" ht="24" customHeight="1" x14ac:dyDescent="0.5">
      <c r="A745" s="81"/>
      <c r="B745" s="81"/>
      <c r="C745" s="81"/>
      <c r="D745" s="81"/>
      <c r="E745" s="81"/>
      <c r="F745" s="81"/>
      <c r="G745" s="81"/>
      <c r="H745" s="81"/>
      <c r="I745" s="81"/>
      <c r="J745" s="289"/>
      <c r="K745" s="81"/>
      <c r="L745" s="81"/>
      <c r="M745" s="289"/>
      <c r="N745" s="81"/>
      <c r="O745" s="81"/>
      <c r="P745" s="289"/>
      <c r="Q745" s="81"/>
      <c r="R745" s="81"/>
      <c r="S745" s="289"/>
      <c r="T745" s="81"/>
      <c r="U745" s="81"/>
      <c r="V745" s="81"/>
      <c r="W745" s="81"/>
      <c r="X745" s="81"/>
      <c r="Y745" s="81"/>
      <c r="Z745" s="81"/>
    </row>
    <row r="746" spans="1:26" ht="24" customHeight="1" x14ac:dyDescent="0.5">
      <c r="A746" s="81"/>
      <c r="B746" s="81"/>
      <c r="C746" s="81"/>
      <c r="D746" s="81"/>
      <c r="E746" s="81"/>
      <c r="F746" s="81"/>
      <c r="G746" s="81"/>
      <c r="H746" s="81"/>
      <c r="I746" s="81"/>
      <c r="J746" s="289"/>
      <c r="K746" s="81"/>
      <c r="L746" s="81"/>
      <c r="M746" s="289"/>
      <c r="N746" s="81"/>
      <c r="O746" s="81"/>
      <c r="P746" s="289"/>
      <c r="Q746" s="81"/>
      <c r="R746" s="81"/>
      <c r="S746" s="289"/>
      <c r="T746" s="81"/>
      <c r="U746" s="81"/>
      <c r="V746" s="81"/>
      <c r="W746" s="81"/>
      <c r="X746" s="81"/>
      <c r="Y746" s="81"/>
      <c r="Z746" s="81"/>
    </row>
    <row r="747" spans="1:26" ht="24" customHeight="1" x14ac:dyDescent="0.5">
      <c r="A747" s="81"/>
      <c r="B747" s="81"/>
      <c r="C747" s="81"/>
      <c r="D747" s="81"/>
      <c r="E747" s="81"/>
      <c r="F747" s="81"/>
      <c r="G747" s="81"/>
      <c r="H747" s="81"/>
      <c r="I747" s="81"/>
      <c r="J747" s="289"/>
      <c r="K747" s="81"/>
      <c r="L747" s="81"/>
      <c r="M747" s="289"/>
      <c r="N747" s="81"/>
      <c r="O747" s="81"/>
      <c r="P747" s="289"/>
      <c r="Q747" s="81"/>
      <c r="R747" s="81"/>
      <c r="S747" s="289"/>
      <c r="T747" s="81"/>
      <c r="U747" s="81"/>
      <c r="V747" s="81"/>
      <c r="W747" s="81"/>
      <c r="X747" s="81"/>
      <c r="Y747" s="81"/>
      <c r="Z747" s="81"/>
    </row>
    <row r="748" spans="1:26" ht="24" customHeight="1" x14ac:dyDescent="0.5">
      <c r="A748" s="81"/>
      <c r="B748" s="81"/>
      <c r="C748" s="81"/>
      <c r="D748" s="81"/>
      <c r="E748" s="81"/>
      <c r="F748" s="81"/>
      <c r="G748" s="81"/>
      <c r="H748" s="81"/>
      <c r="I748" s="81"/>
      <c r="J748" s="289"/>
      <c r="K748" s="81"/>
      <c r="L748" s="81"/>
      <c r="M748" s="289"/>
      <c r="N748" s="81"/>
      <c r="O748" s="81"/>
      <c r="P748" s="289"/>
      <c r="Q748" s="81"/>
      <c r="R748" s="81"/>
      <c r="S748" s="289"/>
      <c r="T748" s="81"/>
      <c r="U748" s="81"/>
      <c r="V748" s="81"/>
      <c r="W748" s="81"/>
      <c r="X748" s="81"/>
      <c r="Y748" s="81"/>
      <c r="Z748" s="81"/>
    </row>
    <row r="749" spans="1:26" ht="24" customHeight="1" x14ac:dyDescent="0.5">
      <c r="A749" s="81"/>
      <c r="B749" s="81"/>
      <c r="C749" s="81"/>
      <c r="D749" s="81"/>
      <c r="E749" s="81"/>
      <c r="F749" s="81"/>
      <c r="G749" s="81"/>
      <c r="H749" s="81"/>
      <c r="I749" s="81"/>
      <c r="J749" s="289"/>
      <c r="K749" s="81"/>
      <c r="L749" s="81"/>
      <c r="M749" s="289"/>
      <c r="N749" s="81"/>
      <c r="O749" s="81"/>
      <c r="P749" s="289"/>
      <c r="Q749" s="81"/>
      <c r="R749" s="81"/>
      <c r="S749" s="289"/>
      <c r="T749" s="81"/>
      <c r="U749" s="81"/>
      <c r="V749" s="81"/>
      <c r="W749" s="81"/>
      <c r="X749" s="81"/>
      <c r="Y749" s="81"/>
      <c r="Z749" s="81"/>
    </row>
    <row r="750" spans="1:26" ht="24" customHeight="1" x14ac:dyDescent="0.5">
      <c r="A750" s="81"/>
      <c r="B750" s="81"/>
      <c r="C750" s="81"/>
      <c r="D750" s="81"/>
      <c r="E750" s="81"/>
      <c r="F750" s="81"/>
      <c r="G750" s="81"/>
      <c r="H750" s="81"/>
      <c r="I750" s="81"/>
      <c r="J750" s="289"/>
      <c r="K750" s="81"/>
      <c r="L750" s="81"/>
      <c r="M750" s="289"/>
      <c r="N750" s="81"/>
      <c r="O750" s="81"/>
      <c r="P750" s="289"/>
      <c r="Q750" s="81"/>
      <c r="R750" s="81"/>
      <c r="S750" s="289"/>
      <c r="T750" s="81"/>
      <c r="U750" s="81"/>
      <c r="V750" s="81"/>
      <c r="W750" s="81"/>
      <c r="X750" s="81"/>
      <c r="Y750" s="81"/>
      <c r="Z750" s="81"/>
    </row>
    <row r="751" spans="1:26" ht="24" customHeight="1" x14ac:dyDescent="0.5">
      <c r="A751" s="81"/>
      <c r="B751" s="81"/>
      <c r="C751" s="81"/>
      <c r="D751" s="81"/>
      <c r="E751" s="81"/>
      <c r="F751" s="81"/>
      <c r="G751" s="81"/>
      <c r="H751" s="81"/>
      <c r="I751" s="81"/>
      <c r="J751" s="289"/>
      <c r="K751" s="81"/>
      <c r="L751" s="81"/>
      <c r="M751" s="289"/>
      <c r="N751" s="81"/>
      <c r="O751" s="81"/>
      <c r="P751" s="289"/>
      <c r="Q751" s="81"/>
      <c r="R751" s="81"/>
      <c r="S751" s="289"/>
      <c r="T751" s="81"/>
      <c r="U751" s="81"/>
      <c r="V751" s="81"/>
      <c r="W751" s="81"/>
      <c r="X751" s="81"/>
      <c r="Y751" s="81"/>
      <c r="Z751" s="81"/>
    </row>
    <row r="752" spans="1:26" ht="24" customHeight="1" x14ac:dyDescent="0.5">
      <c r="A752" s="81"/>
      <c r="B752" s="81"/>
      <c r="C752" s="81"/>
      <c r="D752" s="81"/>
      <c r="E752" s="81"/>
      <c r="F752" s="81"/>
      <c r="G752" s="81"/>
      <c r="H752" s="81"/>
      <c r="I752" s="81"/>
      <c r="J752" s="289"/>
      <c r="K752" s="81"/>
      <c r="L752" s="81"/>
      <c r="M752" s="289"/>
      <c r="N752" s="81"/>
      <c r="O752" s="81"/>
      <c r="P752" s="289"/>
      <c r="Q752" s="81"/>
      <c r="R752" s="81"/>
      <c r="S752" s="289"/>
      <c r="T752" s="81"/>
      <c r="U752" s="81"/>
      <c r="V752" s="81"/>
      <c r="W752" s="81"/>
      <c r="X752" s="81"/>
      <c r="Y752" s="81"/>
      <c r="Z752" s="81"/>
    </row>
    <row r="753" spans="1:26" ht="24" customHeight="1" x14ac:dyDescent="0.5">
      <c r="A753" s="81"/>
      <c r="B753" s="81"/>
      <c r="C753" s="81"/>
      <c r="D753" s="81"/>
      <c r="E753" s="81"/>
      <c r="F753" s="81"/>
      <c r="G753" s="81"/>
      <c r="H753" s="81"/>
      <c r="I753" s="81"/>
      <c r="J753" s="289"/>
      <c r="K753" s="81"/>
      <c r="L753" s="81"/>
      <c r="M753" s="289"/>
      <c r="N753" s="81"/>
      <c r="O753" s="81"/>
      <c r="P753" s="289"/>
      <c r="Q753" s="81"/>
      <c r="R753" s="81"/>
      <c r="S753" s="289"/>
      <c r="T753" s="81"/>
      <c r="U753" s="81"/>
      <c r="V753" s="81"/>
      <c r="W753" s="81"/>
      <c r="X753" s="81"/>
      <c r="Y753" s="81"/>
      <c r="Z753" s="81"/>
    </row>
    <row r="754" spans="1:26" ht="24" customHeight="1" x14ac:dyDescent="0.5">
      <c r="A754" s="81"/>
      <c r="B754" s="81"/>
      <c r="C754" s="81"/>
      <c r="D754" s="81"/>
      <c r="E754" s="81"/>
      <c r="F754" s="81"/>
      <c r="G754" s="81"/>
      <c r="H754" s="81"/>
      <c r="I754" s="81"/>
      <c r="J754" s="289"/>
      <c r="K754" s="81"/>
      <c r="L754" s="81"/>
      <c r="M754" s="289"/>
      <c r="N754" s="81"/>
      <c r="O754" s="81"/>
      <c r="P754" s="289"/>
      <c r="Q754" s="81"/>
      <c r="R754" s="81"/>
      <c r="S754" s="289"/>
      <c r="T754" s="81"/>
      <c r="U754" s="81"/>
      <c r="V754" s="81"/>
      <c r="W754" s="81"/>
      <c r="X754" s="81"/>
      <c r="Y754" s="81"/>
      <c r="Z754" s="81"/>
    </row>
    <row r="755" spans="1:26" ht="24" customHeight="1" x14ac:dyDescent="0.5">
      <c r="A755" s="81"/>
      <c r="B755" s="81"/>
      <c r="C755" s="81"/>
      <c r="D755" s="81"/>
      <c r="E755" s="81"/>
      <c r="F755" s="81"/>
      <c r="G755" s="81"/>
      <c r="H755" s="81"/>
      <c r="I755" s="81"/>
      <c r="J755" s="289"/>
      <c r="K755" s="81"/>
      <c r="L755" s="81"/>
      <c r="M755" s="289"/>
      <c r="N755" s="81"/>
      <c r="O755" s="81"/>
      <c r="P755" s="289"/>
      <c r="Q755" s="81"/>
      <c r="R755" s="81"/>
      <c r="S755" s="289"/>
      <c r="T755" s="81"/>
      <c r="U755" s="81"/>
      <c r="V755" s="81"/>
      <c r="W755" s="81"/>
      <c r="X755" s="81"/>
      <c r="Y755" s="81"/>
      <c r="Z755" s="81"/>
    </row>
    <row r="756" spans="1:26" ht="24" customHeight="1" x14ac:dyDescent="0.5">
      <c r="A756" s="81"/>
      <c r="B756" s="81"/>
      <c r="C756" s="81"/>
      <c r="D756" s="81"/>
      <c r="E756" s="81"/>
      <c r="F756" s="81"/>
      <c r="G756" s="81"/>
      <c r="H756" s="81"/>
      <c r="I756" s="81"/>
      <c r="J756" s="289"/>
      <c r="K756" s="81"/>
      <c r="L756" s="81"/>
      <c r="M756" s="289"/>
      <c r="N756" s="81"/>
      <c r="O756" s="81"/>
      <c r="P756" s="289"/>
      <c r="Q756" s="81"/>
      <c r="R756" s="81"/>
      <c r="S756" s="289"/>
      <c r="T756" s="81"/>
      <c r="U756" s="81"/>
      <c r="V756" s="81"/>
      <c r="W756" s="81"/>
      <c r="X756" s="81"/>
      <c r="Y756" s="81"/>
      <c r="Z756" s="81"/>
    </row>
    <row r="757" spans="1:26" ht="24" customHeight="1" x14ac:dyDescent="0.5">
      <c r="A757" s="81"/>
      <c r="B757" s="81"/>
      <c r="C757" s="81"/>
      <c r="D757" s="81"/>
      <c r="E757" s="81"/>
      <c r="F757" s="81"/>
      <c r="G757" s="81"/>
      <c r="H757" s="81"/>
      <c r="I757" s="81"/>
      <c r="J757" s="289"/>
      <c r="K757" s="81"/>
      <c r="L757" s="81"/>
      <c r="M757" s="289"/>
      <c r="N757" s="81"/>
      <c r="O757" s="81"/>
      <c r="P757" s="289"/>
      <c r="Q757" s="81"/>
      <c r="R757" s="81"/>
      <c r="S757" s="289"/>
      <c r="T757" s="81"/>
      <c r="U757" s="81"/>
      <c r="V757" s="81"/>
      <c r="W757" s="81"/>
      <c r="X757" s="81"/>
      <c r="Y757" s="81"/>
      <c r="Z757" s="81"/>
    </row>
    <row r="758" spans="1:26" ht="24" customHeight="1" x14ac:dyDescent="0.5">
      <c r="A758" s="81"/>
      <c r="B758" s="81"/>
      <c r="C758" s="81"/>
      <c r="D758" s="81"/>
      <c r="E758" s="81"/>
      <c r="F758" s="81"/>
      <c r="G758" s="81"/>
      <c r="H758" s="81"/>
      <c r="I758" s="81"/>
      <c r="J758" s="289"/>
      <c r="K758" s="81"/>
      <c r="L758" s="81"/>
      <c r="M758" s="289"/>
      <c r="N758" s="81"/>
      <c r="O758" s="81"/>
      <c r="P758" s="289"/>
      <c r="Q758" s="81"/>
      <c r="R758" s="81"/>
      <c r="S758" s="289"/>
      <c r="T758" s="81"/>
      <c r="U758" s="81"/>
      <c r="V758" s="81"/>
      <c r="W758" s="81"/>
      <c r="X758" s="81"/>
      <c r="Y758" s="81"/>
      <c r="Z758" s="81"/>
    </row>
    <row r="759" spans="1:26" ht="24" customHeight="1" x14ac:dyDescent="0.5">
      <c r="A759" s="81"/>
      <c r="B759" s="81"/>
      <c r="C759" s="81"/>
      <c r="D759" s="81"/>
      <c r="E759" s="81"/>
      <c r="F759" s="81"/>
      <c r="G759" s="81"/>
      <c r="H759" s="81"/>
      <c r="I759" s="81"/>
      <c r="J759" s="289"/>
      <c r="K759" s="81"/>
      <c r="L759" s="81"/>
      <c r="M759" s="289"/>
      <c r="N759" s="81"/>
      <c r="O759" s="81"/>
      <c r="P759" s="289"/>
      <c r="Q759" s="81"/>
      <c r="R759" s="81"/>
      <c r="S759" s="289"/>
      <c r="T759" s="81"/>
      <c r="U759" s="81"/>
      <c r="V759" s="81"/>
      <c r="W759" s="81"/>
      <c r="X759" s="81"/>
      <c r="Y759" s="81"/>
      <c r="Z759" s="81"/>
    </row>
    <row r="760" spans="1:26" ht="24" customHeight="1" x14ac:dyDescent="0.5">
      <c r="A760" s="81"/>
      <c r="B760" s="81"/>
      <c r="C760" s="81"/>
      <c r="D760" s="81"/>
      <c r="E760" s="81"/>
      <c r="F760" s="81"/>
      <c r="G760" s="81"/>
      <c r="H760" s="81"/>
      <c r="I760" s="81"/>
      <c r="J760" s="289"/>
      <c r="K760" s="81"/>
      <c r="L760" s="81"/>
      <c r="M760" s="289"/>
      <c r="N760" s="81"/>
      <c r="O760" s="81"/>
      <c r="P760" s="289"/>
      <c r="Q760" s="81"/>
      <c r="R760" s="81"/>
      <c r="S760" s="289"/>
      <c r="T760" s="81"/>
      <c r="U760" s="81"/>
      <c r="V760" s="81"/>
      <c r="W760" s="81"/>
      <c r="X760" s="81"/>
      <c r="Y760" s="81"/>
      <c r="Z760" s="81"/>
    </row>
    <row r="761" spans="1:26" ht="24" customHeight="1" x14ac:dyDescent="0.5">
      <c r="A761" s="81"/>
      <c r="B761" s="81"/>
      <c r="C761" s="81"/>
      <c r="D761" s="81"/>
      <c r="E761" s="81"/>
      <c r="F761" s="81"/>
      <c r="G761" s="81"/>
      <c r="H761" s="81"/>
      <c r="I761" s="81"/>
      <c r="J761" s="289"/>
      <c r="K761" s="81"/>
      <c r="L761" s="81"/>
      <c r="M761" s="289"/>
      <c r="N761" s="81"/>
      <c r="O761" s="81"/>
      <c r="P761" s="289"/>
      <c r="Q761" s="81"/>
      <c r="R761" s="81"/>
      <c r="S761" s="289"/>
      <c r="T761" s="81"/>
      <c r="U761" s="81"/>
      <c r="V761" s="81"/>
      <c r="W761" s="81"/>
      <c r="X761" s="81"/>
      <c r="Y761" s="81"/>
      <c r="Z761" s="81"/>
    </row>
    <row r="762" spans="1:26" ht="24" customHeight="1" x14ac:dyDescent="0.5">
      <c r="A762" s="81"/>
      <c r="B762" s="81"/>
      <c r="C762" s="81"/>
      <c r="D762" s="81"/>
      <c r="E762" s="81"/>
      <c r="F762" s="81"/>
      <c r="G762" s="81"/>
      <c r="H762" s="81"/>
      <c r="I762" s="81"/>
      <c r="J762" s="289"/>
      <c r="K762" s="81"/>
      <c r="L762" s="81"/>
      <c r="M762" s="289"/>
      <c r="N762" s="81"/>
      <c r="O762" s="81"/>
      <c r="P762" s="289"/>
      <c r="Q762" s="81"/>
      <c r="R762" s="81"/>
      <c r="S762" s="289"/>
      <c r="T762" s="81"/>
      <c r="U762" s="81"/>
      <c r="V762" s="81"/>
      <c r="W762" s="81"/>
      <c r="X762" s="81"/>
      <c r="Y762" s="81"/>
      <c r="Z762" s="81"/>
    </row>
    <row r="763" spans="1:26" ht="24" customHeight="1" x14ac:dyDescent="0.5">
      <c r="A763" s="81"/>
      <c r="B763" s="81"/>
      <c r="C763" s="81"/>
      <c r="D763" s="81"/>
      <c r="E763" s="81"/>
      <c r="F763" s="81"/>
      <c r="G763" s="81"/>
      <c r="H763" s="81"/>
      <c r="I763" s="81"/>
      <c r="J763" s="289"/>
      <c r="K763" s="81"/>
      <c r="L763" s="81"/>
      <c r="M763" s="289"/>
      <c r="N763" s="81"/>
      <c r="O763" s="81"/>
      <c r="P763" s="289"/>
      <c r="Q763" s="81"/>
      <c r="R763" s="81"/>
      <c r="S763" s="289"/>
      <c r="T763" s="81"/>
      <c r="U763" s="81"/>
      <c r="V763" s="81"/>
      <c r="W763" s="81"/>
      <c r="X763" s="81"/>
      <c r="Y763" s="81"/>
      <c r="Z763" s="81"/>
    </row>
    <row r="764" spans="1:26" ht="24" customHeight="1" x14ac:dyDescent="0.5">
      <c r="A764" s="81"/>
      <c r="B764" s="81"/>
      <c r="C764" s="81"/>
      <c r="D764" s="81"/>
      <c r="E764" s="81"/>
      <c r="F764" s="81"/>
      <c r="G764" s="81"/>
      <c r="H764" s="81"/>
      <c r="I764" s="81"/>
      <c r="J764" s="289"/>
      <c r="K764" s="81"/>
      <c r="L764" s="81"/>
      <c r="M764" s="289"/>
      <c r="N764" s="81"/>
      <c r="O764" s="81"/>
      <c r="P764" s="289"/>
      <c r="Q764" s="81"/>
      <c r="R764" s="81"/>
      <c r="S764" s="289"/>
      <c r="T764" s="81"/>
      <c r="U764" s="81"/>
      <c r="V764" s="81"/>
      <c r="W764" s="81"/>
      <c r="X764" s="81"/>
      <c r="Y764" s="81"/>
      <c r="Z764" s="81"/>
    </row>
    <row r="765" spans="1:26" ht="24" customHeight="1" x14ac:dyDescent="0.5">
      <c r="A765" s="81"/>
      <c r="B765" s="81"/>
      <c r="C765" s="81"/>
      <c r="D765" s="81"/>
      <c r="E765" s="81"/>
      <c r="F765" s="81"/>
      <c r="G765" s="81"/>
      <c r="H765" s="81"/>
      <c r="I765" s="81"/>
      <c r="J765" s="289"/>
      <c r="K765" s="81"/>
      <c r="L765" s="81"/>
      <c r="M765" s="289"/>
      <c r="N765" s="81"/>
      <c r="O765" s="81"/>
      <c r="P765" s="289"/>
      <c r="Q765" s="81"/>
      <c r="R765" s="81"/>
      <c r="S765" s="289"/>
      <c r="T765" s="81"/>
      <c r="U765" s="81"/>
      <c r="V765" s="81"/>
      <c r="W765" s="81"/>
      <c r="X765" s="81"/>
      <c r="Y765" s="81"/>
      <c r="Z765" s="81"/>
    </row>
    <row r="766" spans="1:26" ht="24" customHeight="1" x14ac:dyDescent="0.5">
      <c r="A766" s="81"/>
      <c r="B766" s="81"/>
      <c r="C766" s="81"/>
      <c r="D766" s="81"/>
      <c r="E766" s="81"/>
      <c r="F766" s="81"/>
      <c r="G766" s="81"/>
      <c r="H766" s="81"/>
      <c r="I766" s="81"/>
      <c r="J766" s="289"/>
      <c r="K766" s="81"/>
      <c r="L766" s="81"/>
      <c r="M766" s="289"/>
      <c r="N766" s="81"/>
      <c r="O766" s="81"/>
      <c r="P766" s="289"/>
      <c r="Q766" s="81"/>
      <c r="R766" s="81"/>
      <c r="S766" s="289"/>
      <c r="T766" s="81"/>
      <c r="U766" s="81"/>
      <c r="V766" s="81"/>
      <c r="W766" s="81"/>
      <c r="X766" s="81"/>
      <c r="Y766" s="81"/>
      <c r="Z766" s="81"/>
    </row>
    <row r="767" spans="1:26" ht="24" customHeight="1" x14ac:dyDescent="0.5">
      <c r="A767" s="81"/>
      <c r="B767" s="81"/>
      <c r="C767" s="81"/>
      <c r="D767" s="81"/>
      <c r="E767" s="81"/>
      <c r="F767" s="81"/>
      <c r="G767" s="81"/>
      <c r="H767" s="81"/>
      <c r="I767" s="81"/>
      <c r="J767" s="289"/>
      <c r="K767" s="81"/>
      <c r="L767" s="81"/>
      <c r="M767" s="289"/>
      <c r="N767" s="81"/>
      <c r="O767" s="81"/>
      <c r="P767" s="289"/>
      <c r="Q767" s="81"/>
      <c r="R767" s="81"/>
      <c r="S767" s="289"/>
      <c r="T767" s="81"/>
      <c r="U767" s="81"/>
      <c r="V767" s="81"/>
      <c r="W767" s="81"/>
      <c r="X767" s="81"/>
      <c r="Y767" s="81"/>
      <c r="Z767" s="81"/>
    </row>
    <row r="768" spans="1:26" ht="24" customHeight="1" x14ac:dyDescent="0.5">
      <c r="A768" s="81"/>
      <c r="B768" s="81"/>
      <c r="C768" s="81"/>
      <c r="D768" s="81"/>
      <c r="E768" s="81"/>
      <c r="F768" s="81"/>
      <c r="G768" s="81"/>
      <c r="H768" s="81"/>
      <c r="I768" s="81"/>
      <c r="J768" s="289"/>
      <c r="K768" s="81"/>
      <c r="L768" s="81"/>
      <c r="M768" s="289"/>
      <c r="N768" s="81"/>
      <c r="O768" s="81"/>
      <c r="P768" s="289"/>
      <c r="Q768" s="81"/>
      <c r="R768" s="81"/>
      <c r="S768" s="289"/>
      <c r="T768" s="81"/>
      <c r="U768" s="81"/>
      <c r="V768" s="81"/>
      <c r="W768" s="81"/>
      <c r="X768" s="81"/>
      <c r="Y768" s="81"/>
      <c r="Z768" s="81"/>
    </row>
    <row r="769" spans="1:26" ht="24" customHeight="1" x14ac:dyDescent="0.5">
      <c r="A769" s="81"/>
      <c r="B769" s="81"/>
      <c r="C769" s="81"/>
      <c r="D769" s="81"/>
      <c r="E769" s="81"/>
      <c r="F769" s="81"/>
      <c r="G769" s="81"/>
      <c r="H769" s="81"/>
      <c r="I769" s="81"/>
      <c r="J769" s="289"/>
      <c r="K769" s="81"/>
      <c r="L769" s="81"/>
      <c r="M769" s="289"/>
      <c r="N769" s="81"/>
      <c r="O769" s="81"/>
      <c r="P769" s="289"/>
      <c r="Q769" s="81"/>
      <c r="R769" s="81"/>
      <c r="S769" s="289"/>
      <c r="T769" s="81"/>
      <c r="U769" s="81"/>
      <c r="V769" s="81"/>
      <c r="W769" s="81"/>
      <c r="X769" s="81"/>
      <c r="Y769" s="81"/>
      <c r="Z769" s="81"/>
    </row>
    <row r="770" spans="1:26" ht="24" customHeight="1" x14ac:dyDescent="0.5">
      <c r="A770" s="81"/>
      <c r="B770" s="81"/>
      <c r="C770" s="81"/>
      <c r="D770" s="81"/>
      <c r="E770" s="81"/>
      <c r="F770" s="81"/>
      <c r="G770" s="81"/>
      <c r="H770" s="81"/>
      <c r="I770" s="81"/>
      <c r="J770" s="289"/>
      <c r="K770" s="81"/>
      <c r="L770" s="81"/>
      <c r="M770" s="289"/>
      <c r="N770" s="81"/>
      <c r="O770" s="81"/>
      <c r="P770" s="289"/>
      <c r="Q770" s="81"/>
      <c r="R770" s="81"/>
      <c r="S770" s="289"/>
      <c r="T770" s="81"/>
      <c r="U770" s="81"/>
      <c r="V770" s="81"/>
      <c r="W770" s="81"/>
      <c r="X770" s="81"/>
      <c r="Y770" s="81"/>
      <c r="Z770" s="81"/>
    </row>
    <row r="771" spans="1:26" ht="24" customHeight="1" x14ac:dyDescent="0.5">
      <c r="A771" s="81"/>
      <c r="B771" s="81"/>
      <c r="C771" s="81"/>
      <c r="D771" s="81"/>
      <c r="E771" s="81"/>
      <c r="F771" s="81"/>
      <c r="G771" s="81"/>
      <c r="H771" s="81"/>
      <c r="I771" s="81"/>
      <c r="J771" s="289"/>
      <c r="K771" s="81"/>
      <c r="L771" s="81"/>
      <c r="M771" s="289"/>
      <c r="N771" s="81"/>
      <c r="O771" s="81"/>
      <c r="P771" s="289"/>
      <c r="Q771" s="81"/>
      <c r="R771" s="81"/>
      <c r="S771" s="289"/>
      <c r="T771" s="81"/>
      <c r="U771" s="81"/>
      <c r="V771" s="81"/>
      <c r="W771" s="81"/>
      <c r="X771" s="81"/>
      <c r="Y771" s="81"/>
      <c r="Z771" s="81"/>
    </row>
    <row r="772" spans="1:26" ht="24" customHeight="1" x14ac:dyDescent="0.5">
      <c r="A772" s="81"/>
      <c r="B772" s="81"/>
      <c r="C772" s="81"/>
      <c r="D772" s="81"/>
      <c r="E772" s="81"/>
      <c r="F772" s="81"/>
      <c r="G772" s="81"/>
      <c r="H772" s="81"/>
      <c r="I772" s="81"/>
      <c r="J772" s="289"/>
      <c r="K772" s="81"/>
      <c r="L772" s="81"/>
      <c r="M772" s="289"/>
      <c r="N772" s="81"/>
      <c r="O772" s="81"/>
      <c r="P772" s="289"/>
      <c r="Q772" s="81"/>
      <c r="R772" s="81"/>
      <c r="S772" s="289"/>
      <c r="T772" s="81"/>
      <c r="U772" s="81"/>
      <c r="V772" s="81"/>
      <c r="W772" s="81"/>
      <c r="X772" s="81"/>
      <c r="Y772" s="81"/>
      <c r="Z772" s="81"/>
    </row>
    <row r="773" spans="1:26" ht="24" customHeight="1" x14ac:dyDescent="0.5">
      <c r="A773" s="81"/>
      <c r="B773" s="81"/>
      <c r="C773" s="81"/>
      <c r="D773" s="81"/>
      <c r="E773" s="81"/>
      <c r="F773" s="81"/>
      <c r="G773" s="81"/>
      <c r="H773" s="81"/>
      <c r="I773" s="81"/>
      <c r="J773" s="289"/>
      <c r="K773" s="81"/>
      <c r="L773" s="81"/>
      <c r="M773" s="289"/>
      <c r="N773" s="81"/>
      <c r="O773" s="81"/>
      <c r="P773" s="289"/>
      <c r="Q773" s="81"/>
      <c r="R773" s="81"/>
      <c r="S773" s="289"/>
      <c r="T773" s="81"/>
      <c r="U773" s="81"/>
      <c r="V773" s="81"/>
      <c r="W773" s="81"/>
      <c r="X773" s="81"/>
      <c r="Y773" s="81"/>
      <c r="Z773" s="81"/>
    </row>
    <row r="774" spans="1:26" ht="24" customHeight="1" x14ac:dyDescent="0.5">
      <c r="A774" s="81"/>
      <c r="B774" s="81"/>
      <c r="C774" s="81"/>
      <c r="D774" s="81"/>
      <c r="E774" s="81"/>
      <c r="F774" s="81"/>
      <c r="G774" s="81"/>
      <c r="H774" s="81"/>
      <c r="I774" s="81"/>
      <c r="J774" s="289"/>
      <c r="K774" s="81"/>
      <c r="L774" s="81"/>
      <c r="M774" s="289"/>
      <c r="N774" s="81"/>
      <c r="O774" s="81"/>
      <c r="P774" s="289"/>
      <c r="Q774" s="81"/>
      <c r="R774" s="81"/>
      <c r="S774" s="289"/>
      <c r="T774" s="81"/>
      <c r="U774" s="81"/>
      <c r="V774" s="81"/>
      <c r="W774" s="81"/>
      <c r="X774" s="81"/>
      <c r="Y774" s="81"/>
      <c r="Z774" s="81"/>
    </row>
    <row r="775" spans="1:26" ht="24" customHeight="1" x14ac:dyDescent="0.5">
      <c r="A775" s="81"/>
      <c r="B775" s="81"/>
      <c r="C775" s="81"/>
      <c r="D775" s="81"/>
      <c r="E775" s="81"/>
      <c r="F775" s="81"/>
      <c r="G775" s="81"/>
      <c r="H775" s="81"/>
      <c r="I775" s="81"/>
      <c r="J775" s="289"/>
      <c r="K775" s="81"/>
      <c r="L775" s="81"/>
      <c r="M775" s="289"/>
      <c r="N775" s="81"/>
      <c r="O775" s="81"/>
      <c r="P775" s="289"/>
      <c r="Q775" s="81"/>
      <c r="R775" s="81"/>
      <c r="S775" s="289"/>
      <c r="T775" s="81"/>
      <c r="U775" s="81"/>
      <c r="V775" s="81"/>
      <c r="W775" s="81"/>
      <c r="X775" s="81"/>
      <c r="Y775" s="81"/>
      <c r="Z775" s="81"/>
    </row>
    <row r="776" spans="1:26" ht="24" customHeight="1" x14ac:dyDescent="0.5">
      <c r="A776" s="81"/>
      <c r="B776" s="81"/>
      <c r="C776" s="81"/>
      <c r="D776" s="81"/>
      <c r="E776" s="81"/>
      <c r="F776" s="81"/>
      <c r="G776" s="81"/>
      <c r="H776" s="81"/>
      <c r="I776" s="81"/>
      <c r="J776" s="289"/>
      <c r="K776" s="81"/>
      <c r="L776" s="81"/>
      <c r="M776" s="289"/>
      <c r="N776" s="81"/>
      <c r="O776" s="81"/>
      <c r="P776" s="289"/>
      <c r="Q776" s="81"/>
      <c r="R776" s="81"/>
      <c r="S776" s="289"/>
      <c r="T776" s="81"/>
      <c r="U776" s="81"/>
      <c r="V776" s="81"/>
      <c r="W776" s="81"/>
      <c r="X776" s="81"/>
      <c r="Y776" s="81"/>
      <c r="Z776" s="81"/>
    </row>
    <row r="777" spans="1:26" ht="24" customHeight="1" x14ac:dyDescent="0.5">
      <c r="A777" s="81"/>
      <c r="B777" s="81"/>
      <c r="C777" s="81"/>
      <c r="D777" s="81"/>
      <c r="E777" s="81"/>
      <c r="F777" s="81"/>
      <c r="G777" s="81"/>
      <c r="H777" s="81"/>
      <c r="I777" s="81"/>
      <c r="J777" s="289"/>
      <c r="K777" s="81"/>
      <c r="L777" s="81"/>
      <c r="M777" s="289"/>
      <c r="N777" s="81"/>
      <c r="O777" s="81"/>
      <c r="P777" s="289"/>
      <c r="Q777" s="81"/>
      <c r="R777" s="81"/>
      <c r="S777" s="289"/>
      <c r="T777" s="81"/>
      <c r="U777" s="81"/>
      <c r="V777" s="81"/>
      <c r="W777" s="81"/>
      <c r="X777" s="81"/>
      <c r="Y777" s="81"/>
      <c r="Z777" s="81"/>
    </row>
    <row r="778" spans="1:26" ht="24" customHeight="1" x14ac:dyDescent="0.5">
      <c r="A778" s="81"/>
      <c r="B778" s="81"/>
      <c r="C778" s="81"/>
      <c r="D778" s="81"/>
      <c r="E778" s="81"/>
      <c r="F778" s="81"/>
      <c r="G778" s="81"/>
      <c r="H778" s="81"/>
      <c r="I778" s="81"/>
      <c r="J778" s="289"/>
      <c r="K778" s="81"/>
      <c r="L778" s="81"/>
      <c r="M778" s="289"/>
      <c r="N778" s="81"/>
      <c r="O778" s="81"/>
      <c r="P778" s="289"/>
      <c r="Q778" s="81"/>
      <c r="R778" s="81"/>
      <c r="S778" s="289"/>
      <c r="T778" s="81"/>
      <c r="U778" s="81"/>
      <c r="V778" s="81"/>
      <c r="W778" s="81"/>
      <c r="X778" s="81"/>
      <c r="Y778" s="81"/>
      <c r="Z778" s="81"/>
    </row>
    <row r="779" spans="1:26" ht="24" customHeight="1" x14ac:dyDescent="0.5">
      <c r="A779" s="81"/>
      <c r="B779" s="81"/>
      <c r="C779" s="81"/>
      <c r="D779" s="81"/>
      <c r="E779" s="81"/>
      <c r="F779" s="81"/>
      <c r="G779" s="81"/>
      <c r="H779" s="81"/>
      <c r="I779" s="81"/>
      <c r="J779" s="289"/>
      <c r="K779" s="81"/>
      <c r="L779" s="81"/>
      <c r="M779" s="289"/>
      <c r="N779" s="81"/>
      <c r="O779" s="81"/>
      <c r="P779" s="289"/>
      <c r="Q779" s="81"/>
      <c r="R779" s="81"/>
      <c r="S779" s="289"/>
      <c r="T779" s="81"/>
      <c r="U779" s="81"/>
      <c r="V779" s="81"/>
      <c r="W779" s="81"/>
      <c r="X779" s="81"/>
      <c r="Y779" s="81"/>
      <c r="Z779" s="81"/>
    </row>
    <row r="780" spans="1:26" ht="24" customHeight="1" x14ac:dyDescent="0.5">
      <c r="A780" s="81"/>
      <c r="B780" s="81"/>
      <c r="C780" s="81"/>
      <c r="D780" s="81"/>
      <c r="E780" s="81"/>
      <c r="F780" s="81"/>
      <c r="G780" s="81"/>
      <c r="H780" s="81"/>
      <c r="I780" s="81"/>
      <c r="J780" s="289"/>
      <c r="K780" s="81"/>
      <c r="L780" s="81"/>
      <c r="M780" s="289"/>
      <c r="N780" s="81"/>
      <c r="O780" s="81"/>
      <c r="P780" s="289"/>
      <c r="Q780" s="81"/>
      <c r="R780" s="81"/>
      <c r="S780" s="289"/>
      <c r="T780" s="81"/>
      <c r="U780" s="81"/>
      <c r="V780" s="81"/>
      <c r="W780" s="81"/>
      <c r="X780" s="81"/>
      <c r="Y780" s="81"/>
      <c r="Z780" s="81"/>
    </row>
    <row r="781" spans="1:26" ht="24" customHeight="1" x14ac:dyDescent="0.5">
      <c r="A781" s="81"/>
      <c r="B781" s="81"/>
      <c r="C781" s="81"/>
      <c r="D781" s="81"/>
      <c r="E781" s="81"/>
      <c r="F781" s="81"/>
      <c r="G781" s="81"/>
      <c r="H781" s="81"/>
      <c r="I781" s="81"/>
      <c r="J781" s="289"/>
      <c r="K781" s="81"/>
      <c r="L781" s="81"/>
      <c r="M781" s="289"/>
      <c r="N781" s="81"/>
      <c r="O781" s="81"/>
      <c r="P781" s="289"/>
      <c r="Q781" s="81"/>
      <c r="R781" s="81"/>
      <c r="S781" s="289"/>
      <c r="T781" s="81"/>
      <c r="U781" s="81"/>
      <c r="V781" s="81"/>
      <c r="W781" s="81"/>
      <c r="X781" s="81"/>
      <c r="Y781" s="81"/>
      <c r="Z781" s="81"/>
    </row>
    <row r="782" spans="1:26" ht="24" customHeight="1" x14ac:dyDescent="0.5">
      <c r="A782" s="81"/>
      <c r="B782" s="81"/>
      <c r="C782" s="81"/>
      <c r="D782" s="81"/>
      <c r="E782" s="81"/>
      <c r="F782" s="81"/>
      <c r="G782" s="81"/>
      <c r="H782" s="81"/>
      <c r="I782" s="81"/>
      <c r="J782" s="289"/>
      <c r="K782" s="81"/>
      <c r="L782" s="81"/>
      <c r="M782" s="289"/>
      <c r="N782" s="81"/>
      <c r="O782" s="81"/>
      <c r="P782" s="289"/>
      <c r="Q782" s="81"/>
      <c r="R782" s="81"/>
      <c r="S782" s="289"/>
      <c r="T782" s="81"/>
      <c r="U782" s="81"/>
      <c r="V782" s="81"/>
      <c r="W782" s="81"/>
      <c r="X782" s="81"/>
      <c r="Y782" s="81"/>
      <c r="Z782" s="81"/>
    </row>
    <row r="783" spans="1:26" ht="24" customHeight="1" x14ac:dyDescent="0.5">
      <c r="A783" s="81"/>
      <c r="B783" s="81"/>
      <c r="C783" s="81"/>
      <c r="D783" s="81"/>
      <c r="E783" s="81"/>
      <c r="F783" s="81"/>
      <c r="G783" s="81"/>
      <c r="H783" s="81"/>
      <c r="I783" s="81"/>
      <c r="J783" s="289"/>
      <c r="K783" s="81"/>
      <c r="L783" s="81"/>
      <c r="M783" s="289"/>
      <c r="N783" s="81"/>
      <c r="O783" s="81"/>
      <c r="P783" s="289"/>
      <c r="Q783" s="81"/>
      <c r="R783" s="81"/>
      <c r="S783" s="289"/>
      <c r="T783" s="81"/>
      <c r="U783" s="81"/>
      <c r="V783" s="81"/>
      <c r="W783" s="81"/>
      <c r="X783" s="81"/>
      <c r="Y783" s="81"/>
      <c r="Z783" s="81"/>
    </row>
    <row r="784" spans="1:26" ht="24" customHeight="1" x14ac:dyDescent="0.5">
      <c r="A784" s="81"/>
      <c r="B784" s="81"/>
      <c r="C784" s="81"/>
      <c r="D784" s="81"/>
      <c r="E784" s="81"/>
      <c r="F784" s="81"/>
      <c r="G784" s="81"/>
      <c r="H784" s="81"/>
      <c r="I784" s="81"/>
      <c r="J784" s="289"/>
      <c r="K784" s="81"/>
      <c r="L784" s="81"/>
      <c r="M784" s="289"/>
      <c r="N784" s="81"/>
      <c r="O784" s="81"/>
      <c r="P784" s="289"/>
      <c r="Q784" s="81"/>
      <c r="R784" s="81"/>
      <c r="S784" s="289"/>
      <c r="T784" s="81"/>
      <c r="U784" s="81"/>
      <c r="V784" s="81"/>
      <c r="W784" s="81"/>
      <c r="X784" s="81"/>
      <c r="Y784" s="81"/>
      <c r="Z784" s="81"/>
    </row>
    <row r="785" spans="1:26" ht="24" customHeight="1" x14ac:dyDescent="0.5">
      <c r="A785" s="81"/>
      <c r="B785" s="81"/>
      <c r="C785" s="81"/>
      <c r="D785" s="81"/>
      <c r="E785" s="81"/>
      <c r="F785" s="81"/>
      <c r="G785" s="81"/>
      <c r="H785" s="81"/>
      <c r="I785" s="81"/>
      <c r="J785" s="289"/>
      <c r="K785" s="81"/>
      <c r="L785" s="81"/>
      <c r="M785" s="289"/>
      <c r="N785" s="81"/>
      <c r="O785" s="81"/>
      <c r="P785" s="289"/>
      <c r="Q785" s="81"/>
      <c r="R785" s="81"/>
      <c r="S785" s="289"/>
      <c r="T785" s="81"/>
      <c r="U785" s="81"/>
      <c r="V785" s="81"/>
      <c r="W785" s="81"/>
      <c r="X785" s="81"/>
      <c r="Y785" s="81"/>
      <c r="Z785" s="81"/>
    </row>
    <row r="786" spans="1:26" ht="24" customHeight="1" x14ac:dyDescent="0.5">
      <c r="A786" s="81"/>
      <c r="B786" s="81"/>
      <c r="C786" s="81"/>
      <c r="D786" s="81"/>
      <c r="E786" s="81"/>
      <c r="F786" s="81"/>
      <c r="G786" s="81"/>
      <c r="H786" s="81"/>
      <c r="I786" s="81"/>
      <c r="J786" s="289"/>
      <c r="K786" s="81"/>
      <c r="L786" s="81"/>
      <c r="M786" s="289"/>
      <c r="N786" s="81"/>
      <c r="O786" s="81"/>
      <c r="P786" s="289"/>
      <c r="Q786" s="81"/>
      <c r="R786" s="81"/>
      <c r="S786" s="289"/>
      <c r="T786" s="81"/>
      <c r="U786" s="81"/>
      <c r="V786" s="81"/>
      <c r="W786" s="81"/>
      <c r="X786" s="81"/>
      <c r="Y786" s="81"/>
      <c r="Z786" s="81"/>
    </row>
    <row r="787" spans="1:26" ht="24" customHeight="1" x14ac:dyDescent="0.5">
      <c r="A787" s="81"/>
      <c r="B787" s="81"/>
      <c r="C787" s="81"/>
      <c r="D787" s="81"/>
      <c r="E787" s="81"/>
      <c r="F787" s="81"/>
      <c r="G787" s="81"/>
      <c r="H787" s="81"/>
      <c r="I787" s="81"/>
      <c r="J787" s="289"/>
      <c r="K787" s="81"/>
      <c r="L787" s="81"/>
      <c r="M787" s="289"/>
      <c r="N787" s="81"/>
      <c r="O787" s="81"/>
      <c r="P787" s="289"/>
      <c r="Q787" s="81"/>
      <c r="R787" s="81"/>
      <c r="S787" s="289"/>
      <c r="T787" s="81"/>
      <c r="U787" s="81"/>
      <c r="V787" s="81"/>
      <c r="W787" s="81"/>
      <c r="X787" s="81"/>
      <c r="Y787" s="81"/>
      <c r="Z787" s="81"/>
    </row>
    <row r="788" spans="1:26" ht="24" customHeight="1" x14ac:dyDescent="0.5">
      <c r="A788" s="81"/>
      <c r="B788" s="81"/>
      <c r="C788" s="81"/>
      <c r="D788" s="81"/>
      <c r="E788" s="81"/>
      <c r="F788" s="81"/>
      <c r="G788" s="81"/>
      <c r="H788" s="81"/>
      <c r="I788" s="81"/>
      <c r="J788" s="289"/>
      <c r="K788" s="81"/>
      <c r="L788" s="81"/>
      <c r="M788" s="289"/>
      <c r="N788" s="81"/>
      <c r="O788" s="81"/>
      <c r="P788" s="289"/>
      <c r="Q788" s="81"/>
      <c r="R788" s="81"/>
      <c r="S788" s="289"/>
      <c r="T788" s="81"/>
      <c r="U788" s="81"/>
      <c r="V788" s="81"/>
      <c r="W788" s="81"/>
      <c r="X788" s="81"/>
      <c r="Y788" s="81"/>
      <c r="Z788" s="81"/>
    </row>
    <row r="789" spans="1:26" ht="24" customHeight="1" x14ac:dyDescent="0.5">
      <c r="A789" s="81"/>
      <c r="B789" s="81"/>
      <c r="C789" s="81"/>
      <c r="D789" s="81"/>
      <c r="E789" s="81"/>
      <c r="F789" s="81"/>
      <c r="G789" s="81"/>
      <c r="H789" s="81"/>
      <c r="I789" s="81"/>
      <c r="J789" s="289"/>
      <c r="K789" s="81"/>
      <c r="L789" s="81"/>
      <c r="M789" s="289"/>
      <c r="N789" s="81"/>
      <c r="O789" s="81"/>
      <c r="P789" s="289"/>
      <c r="Q789" s="81"/>
      <c r="R789" s="81"/>
      <c r="S789" s="289"/>
      <c r="T789" s="81"/>
      <c r="U789" s="81"/>
      <c r="V789" s="81"/>
      <c r="W789" s="81"/>
      <c r="X789" s="81"/>
      <c r="Y789" s="81"/>
      <c r="Z789" s="81"/>
    </row>
    <row r="790" spans="1:26" ht="24" customHeight="1" x14ac:dyDescent="0.5">
      <c r="A790" s="81"/>
      <c r="B790" s="81"/>
      <c r="C790" s="81"/>
      <c r="D790" s="81"/>
      <c r="E790" s="81"/>
      <c r="F790" s="81"/>
      <c r="G790" s="81"/>
      <c r="H790" s="81"/>
      <c r="I790" s="81"/>
      <c r="J790" s="289"/>
      <c r="K790" s="81"/>
      <c r="L790" s="81"/>
      <c r="M790" s="289"/>
      <c r="N790" s="81"/>
      <c r="O790" s="81"/>
      <c r="P790" s="289"/>
      <c r="Q790" s="81"/>
      <c r="R790" s="81"/>
      <c r="S790" s="289"/>
      <c r="T790" s="81"/>
      <c r="U790" s="81"/>
      <c r="V790" s="81"/>
      <c r="W790" s="81"/>
      <c r="X790" s="81"/>
      <c r="Y790" s="81"/>
      <c r="Z790" s="81"/>
    </row>
    <row r="791" spans="1:26" ht="24" customHeight="1" x14ac:dyDescent="0.5">
      <c r="A791" s="81"/>
      <c r="B791" s="81"/>
      <c r="C791" s="81"/>
      <c r="D791" s="81"/>
      <c r="E791" s="81"/>
      <c r="F791" s="81"/>
      <c r="G791" s="81"/>
      <c r="H791" s="81"/>
      <c r="I791" s="81"/>
      <c r="J791" s="289"/>
      <c r="K791" s="81"/>
      <c r="L791" s="81"/>
      <c r="M791" s="289"/>
      <c r="N791" s="81"/>
      <c r="O791" s="81"/>
      <c r="P791" s="289"/>
      <c r="Q791" s="81"/>
      <c r="R791" s="81"/>
      <c r="S791" s="289"/>
      <c r="T791" s="81"/>
      <c r="U791" s="81"/>
      <c r="V791" s="81"/>
      <c r="W791" s="81"/>
      <c r="X791" s="81"/>
      <c r="Y791" s="81"/>
      <c r="Z791" s="81"/>
    </row>
    <row r="792" spans="1:26" ht="24" customHeight="1" x14ac:dyDescent="0.5">
      <c r="A792" s="81"/>
      <c r="B792" s="81"/>
      <c r="C792" s="81"/>
      <c r="D792" s="81"/>
      <c r="E792" s="81"/>
      <c r="F792" s="81"/>
      <c r="G792" s="81"/>
      <c r="H792" s="81"/>
      <c r="I792" s="81"/>
      <c r="J792" s="289"/>
      <c r="K792" s="81"/>
      <c r="L792" s="81"/>
      <c r="M792" s="289"/>
      <c r="N792" s="81"/>
      <c r="O792" s="81"/>
      <c r="P792" s="289"/>
      <c r="Q792" s="81"/>
      <c r="R792" s="81"/>
      <c r="S792" s="289"/>
      <c r="T792" s="81"/>
      <c r="U792" s="81"/>
      <c r="V792" s="81"/>
      <c r="W792" s="81"/>
      <c r="X792" s="81"/>
      <c r="Y792" s="81"/>
      <c r="Z792" s="81"/>
    </row>
    <row r="793" spans="1:26" ht="24" customHeight="1" x14ac:dyDescent="0.5">
      <c r="A793" s="81"/>
      <c r="B793" s="81"/>
      <c r="C793" s="81"/>
      <c r="D793" s="81"/>
      <c r="E793" s="81"/>
      <c r="F793" s="81"/>
      <c r="G793" s="81"/>
      <c r="H793" s="81"/>
      <c r="I793" s="81"/>
      <c r="J793" s="289"/>
      <c r="K793" s="81"/>
      <c r="L793" s="81"/>
      <c r="M793" s="289"/>
      <c r="N793" s="81"/>
      <c r="O793" s="81"/>
      <c r="P793" s="289"/>
      <c r="Q793" s="81"/>
      <c r="R793" s="81"/>
      <c r="S793" s="289"/>
      <c r="T793" s="81"/>
      <c r="U793" s="81"/>
      <c r="V793" s="81"/>
      <c r="W793" s="81"/>
      <c r="X793" s="81"/>
      <c r="Y793" s="81"/>
      <c r="Z793" s="81"/>
    </row>
    <row r="794" spans="1:26" ht="24" customHeight="1" x14ac:dyDescent="0.5">
      <c r="A794" s="81"/>
      <c r="B794" s="81"/>
      <c r="C794" s="81"/>
      <c r="D794" s="81"/>
      <c r="E794" s="81"/>
      <c r="F794" s="81"/>
      <c r="G794" s="81"/>
      <c r="H794" s="81"/>
      <c r="I794" s="81"/>
      <c r="J794" s="289"/>
      <c r="K794" s="81"/>
      <c r="L794" s="81"/>
      <c r="M794" s="289"/>
      <c r="N794" s="81"/>
      <c r="O794" s="81"/>
      <c r="P794" s="289"/>
      <c r="Q794" s="81"/>
      <c r="R794" s="81"/>
      <c r="S794" s="289"/>
      <c r="T794" s="81"/>
      <c r="U794" s="81"/>
      <c r="V794" s="81"/>
      <c r="W794" s="81"/>
      <c r="X794" s="81"/>
      <c r="Y794" s="81"/>
      <c r="Z794" s="81"/>
    </row>
    <row r="795" spans="1:26" ht="24" customHeight="1" x14ac:dyDescent="0.5">
      <c r="A795" s="81"/>
      <c r="B795" s="81"/>
      <c r="C795" s="81"/>
      <c r="D795" s="81"/>
      <c r="E795" s="81"/>
      <c r="F795" s="81"/>
      <c r="G795" s="81"/>
      <c r="H795" s="81"/>
      <c r="I795" s="81"/>
      <c r="J795" s="289"/>
      <c r="K795" s="81"/>
      <c r="L795" s="81"/>
      <c r="M795" s="289"/>
      <c r="N795" s="81"/>
      <c r="O795" s="81"/>
      <c r="P795" s="289"/>
      <c r="Q795" s="81"/>
      <c r="R795" s="81"/>
      <c r="S795" s="289"/>
      <c r="T795" s="81"/>
      <c r="U795" s="81"/>
      <c r="V795" s="81"/>
      <c r="W795" s="81"/>
      <c r="X795" s="81"/>
      <c r="Y795" s="81"/>
      <c r="Z795" s="81"/>
    </row>
    <row r="796" spans="1:26" ht="24" customHeight="1" x14ac:dyDescent="0.5">
      <c r="A796" s="81"/>
      <c r="B796" s="81"/>
      <c r="C796" s="81"/>
      <c r="D796" s="81"/>
      <c r="E796" s="81"/>
      <c r="F796" s="81"/>
      <c r="G796" s="81"/>
      <c r="H796" s="81"/>
      <c r="I796" s="81"/>
      <c r="J796" s="289"/>
      <c r="K796" s="81"/>
      <c r="L796" s="81"/>
      <c r="M796" s="289"/>
      <c r="N796" s="81"/>
      <c r="O796" s="81"/>
      <c r="P796" s="289"/>
      <c r="Q796" s="81"/>
      <c r="R796" s="81"/>
      <c r="S796" s="289"/>
      <c r="T796" s="81"/>
      <c r="U796" s="81"/>
      <c r="V796" s="81"/>
      <c r="W796" s="81"/>
      <c r="X796" s="81"/>
      <c r="Y796" s="81"/>
      <c r="Z796" s="81"/>
    </row>
    <row r="797" spans="1:26" ht="24" customHeight="1" x14ac:dyDescent="0.5">
      <c r="A797" s="81"/>
      <c r="B797" s="81"/>
      <c r="C797" s="81"/>
      <c r="D797" s="81"/>
      <c r="E797" s="81"/>
      <c r="F797" s="81"/>
      <c r="G797" s="81"/>
      <c r="H797" s="81"/>
      <c r="I797" s="81"/>
      <c r="J797" s="289"/>
      <c r="K797" s="81"/>
      <c r="L797" s="81"/>
      <c r="M797" s="289"/>
      <c r="N797" s="81"/>
      <c r="O797" s="81"/>
      <c r="P797" s="289"/>
      <c r="Q797" s="81"/>
      <c r="R797" s="81"/>
      <c r="S797" s="289"/>
      <c r="T797" s="81"/>
      <c r="U797" s="81"/>
      <c r="V797" s="81"/>
      <c r="W797" s="81"/>
      <c r="X797" s="81"/>
      <c r="Y797" s="81"/>
      <c r="Z797" s="81"/>
    </row>
    <row r="798" spans="1:26" ht="24" customHeight="1" x14ac:dyDescent="0.5">
      <c r="A798" s="81"/>
      <c r="B798" s="81"/>
      <c r="C798" s="81"/>
      <c r="D798" s="81"/>
      <c r="E798" s="81"/>
      <c r="F798" s="81"/>
      <c r="G798" s="81"/>
      <c r="H798" s="81"/>
      <c r="I798" s="81"/>
      <c r="J798" s="289"/>
      <c r="K798" s="81"/>
      <c r="L798" s="81"/>
      <c r="M798" s="289"/>
      <c r="N798" s="81"/>
      <c r="O798" s="81"/>
      <c r="P798" s="289"/>
      <c r="Q798" s="81"/>
      <c r="R798" s="81"/>
      <c r="S798" s="289"/>
      <c r="T798" s="81"/>
      <c r="U798" s="81"/>
      <c r="V798" s="81"/>
      <c r="W798" s="81"/>
      <c r="X798" s="81"/>
      <c r="Y798" s="81"/>
      <c r="Z798" s="81"/>
    </row>
    <row r="799" spans="1:26" ht="24" customHeight="1" x14ac:dyDescent="0.5">
      <c r="A799" s="81"/>
      <c r="B799" s="81"/>
      <c r="C799" s="81"/>
      <c r="D799" s="81"/>
      <c r="E799" s="81"/>
      <c r="F799" s="81"/>
      <c r="G799" s="81"/>
      <c r="H799" s="81"/>
      <c r="I799" s="81"/>
      <c r="J799" s="289"/>
      <c r="K799" s="81"/>
      <c r="L799" s="81"/>
      <c r="M799" s="289"/>
      <c r="N799" s="81"/>
      <c r="O799" s="81"/>
      <c r="P799" s="289"/>
      <c r="Q799" s="81"/>
      <c r="R799" s="81"/>
      <c r="S799" s="289"/>
      <c r="T799" s="81"/>
      <c r="U799" s="81"/>
      <c r="V799" s="81"/>
      <c r="W799" s="81"/>
      <c r="X799" s="81"/>
      <c r="Y799" s="81"/>
      <c r="Z799" s="81"/>
    </row>
    <row r="800" spans="1:26" ht="24" customHeight="1" x14ac:dyDescent="0.5">
      <c r="A800" s="81"/>
      <c r="B800" s="81"/>
      <c r="C800" s="81"/>
      <c r="D800" s="81"/>
      <c r="E800" s="81"/>
      <c r="F800" s="81"/>
      <c r="G800" s="81"/>
      <c r="H800" s="81"/>
      <c r="I800" s="81"/>
      <c r="J800" s="289"/>
      <c r="K800" s="81"/>
      <c r="L800" s="81"/>
      <c r="M800" s="289"/>
      <c r="N800" s="81"/>
      <c r="O800" s="81"/>
      <c r="P800" s="289"/>
      <c r="Q800" s="81"/>
      <c r="R800" s="81"/>
      <c r="S800" s="289"/>
      <c r="T800" s="81"/>
      <c r="U800" s="81"/>
      <c r="V800" s="81"/>
      <c r="W800" s="81"/>
      <c r="X800" s="81"/>
      <c r="Y800" s="81"/>
      <c r="Z800" s="81"/>
    </row>
    <row r="801" spans="1:26" ht="24" customHeight="1" x14ac:dyDescent="0.5">
      <c r="A801" s="81"/>
      <c r="B801" s="81"/>
      <c r="C801" s="81"/>
      <c r="D801" s="81"/>
      <c r="E801" s="81"/>
      <c r="F801" s="81"/>
      <c r="G801" s="81"/>
      <c r="H801" s="81"/>
      <c r="I801" s="81"/>
      <c r="J801" s="289"/>
      <c r="K801" s="81"/>
      <c r="L801" s="81"/>
      <c r="M801" s="289"/>
      <c r="N801" s="81"/>
      <c r="O801" s="81"/>
      <c r="P801" s="289"/>
      <c r="Q801" s="81"/>
      <c r="R801" s="81"/>
      <c r="S801" s="289"/>
      <c r="T801" s="81"/>
      <c r="U801" s="81"/>
      <c r="V801" s="81"/>
      <c r="W801" s="81"/>
      <c r="X801" s="81"/>
      <c r="Y801" s="81"/>
      <c r="Z801" s="81"/>
    </row>
    <row r="802" spans="1:26" ht="24" customHeight="1" x14ac:dyDescent="0.5">
      <c r="A802" s="81"/>
      <c r="B802" s="81"/>
      <c r="C802" s="81"/>
      <c r="D802" s="81"/>
      <c r="E802" s="81"/>
      <c r="F802" s="81"/>
      <c r="G802" s="81"/>
      <c r="H802" s="81"/>
      <c r="I802" s="81"/>
      <c r="J802" s="289"/>
      <c r="K802" s="81"/>
      <c r="L802" s="81"/>
      <c r="M802" s="289"/>
      <c r="N802" s="81"/>
      <c r="O802" s="81"/>
      <c r="P802" s="289"/>
      <c r="Q802" s="81"/>
      <c r="R802" s="81"/>
      <c r="S802" s="289"/>
      <c r="T802" s="81"/>
      <c r="U802" s="81"/>
      <c r="V802" s="81"/>
      <c r="W802" s="81"/>
      <c r="X802" s="81"/>
      <c r="Y802" s="81"/>
      <c r="Z802" s="81"/>
    </row>
    <row r="803" spans="1:26" ht="24" customHeight="1" x14ac:dyDescent="0.5">
      <c r="A803" s="81"/>
      <c r="B803" s="81"/>
      <c r="C803" s="81"/>
      <c r="D803" s="81"/>
      <c r="E803" s="81"/>
      <c r="F803" s="81"/>
      <c r="G803" s="81"/>
      <c r="H803" s="81"/>
      <c r="I803" s="81"/>
      <c r="J803" s="289"/>
      <c r="K803" s="81"/>
      <c r="L803" s="81"/>
      <c r="M803" s="289"/>
      <c r="N803" s="81"/>
      <c r="O803" s="81"/>
      <c r="P803" s="289"/>
      <c r="Q803" s="81"/>
      <c r="R803" s="81"/>
      <c r="S803" s="289"/>
      <c r="T803" s="81"/>
      <c r="U803" s="81"/>
      <c r="V803" s="81"/>
      <c r="W803" s="81"/>
      <c r="X803" s="81"/>
      <c r="Y803" s="81"/>
      <c r="Z803" s="81"/>
    </row>
    <row r="804" spans="1:26" ht="24" customHeight="1" x14ac:dyDescent="0.5">
      <c r="A804" s="81"/>
      <c r="B804" s="81"/>
      <c r="C804" s="81"/>
      <c r="D804" s="81"/>
      <c r="E804" s="81"/>
      <c r="F804" s="81"/>
      <c r="G804" s="81"/>
      <c r="H804" s="81"/>
      <c r="I804" s="81"/>
      <c r="J804" s="289"/>
      <c r="K804" s="81"/>
      <c r="L804" s="81"/>
      <c r="M804" s="289"/>
      <c r="N804" s="81"/>
      <c r="O804" s="81"/>
      <c r="P804" s="289"/>
      <c r="Q804" s="81"/>
      <c r="R804" s="81"/>
      <c r="S804" s="289"/>
      <c r="T804" s="81"/>
      <c r="U804" s="81"/>
      <c r="V804" s="81"/>
      <c r="W804" s="81"/>
      <c r="X804" s="81"/>
      <c r="Y804" s="81"/>
      <c r="Z804" s="81"/>
    </row>
    <row r="805" spans="1:26" ht="24" customHeight="1" x14ac:dyDescent="0.5">
      <c r="A805" s="81"/>
      <c r="B805" s="81"/>
      <c r="C805" s="81"/>
      <c r="D805" s="81"/>
      <c r="E805" s="81"/>
      <c r="F805" s="81"/>
      <c r="G805" s="81"/>
      <c r="H805" s="81"/>
      <c r="I805" s="81"/>
      <c r="J805" s="289"/>
      <c r="K805" s="81"/>
      <c r="L805" s="81"/>
      <c r="M805" s="289"/>
      <c r="N805" s="81"/>
      <c r="O805" s="81"/>
      <c r="P805" s="289"/>
      <c r="Q805" s="81"/>
      <c r="R805" s="81"/>
      <c r="S805" s="289"/>
      <c r="T805" s="81"/>
      <c r="U805" s="81"/>
      <c r="V805" s="81"/>
      <c r="W805" s="81"/>
      <c r="X805" s="81"/>
      <c r="Y805" s="81"/>
      <c r="Z805" s="81"/>
    </row>
    <row r="806" spans="1:26" ht="24" customHeight="1" x14ac:dyDescent="0.5">
      <c r="A806" s="81"/>
      <c r="B806" s="81"/>
      <c r="C806" s="81"/>
      <c r="D806" s="81"/>
      <c r="E806" s="81"/>
      <c r="F806" s="81"/>
      <c r="G806" s="81"/>
      <c r="H806" s="81"/>
      <c r="I806" s="81"/>
      <c r="J806" s="289"/>
      <c r="K806" s="81"/>
      <c r="L806" s="81"/>
      <c r="M806" s="289"/>
      <c r="N806" s="81"/>
      <c r="O806" s="81"/>
      <c r="P806" s="289"/>
      <c r="Q806" s="81"/>
      <c r="R806" s="81"/>
      <c r="S806" s="289"/>
      <c r="T806" s="81"/>
      <c r="U806" s="81"/>
      <c r="V806" s="81"/>
      <c r="W806" s="81"/>
      <c r="X806" s="81"/>
      <c r="Y806" s="81"/>
      <c r="Z806" s="81"/>
    </row>
    <row r="807" spans="1:26" ht="24" customHeight="1" x14ac:dyDescent="0.5">
      <c r="A807" s="81"/>
      <c r="B807" s="81"/>
      <c r="C807" s="81"/>
      <c r="D807" s="81"/>
      <c r="E807" s="81"/>
      <c r="F807" s="81"/>
      <c r="G807" s="81"/>
      <c r="H807" s="81"/>
      <c r="I807" s="81"/>
      <c r="J807" s="289"/>
      <c r="K807" s="81"/>
      <c r="L807" s="81"/>
      <c r="M807" s="289"/>
      <c r="N807" s="81"/>
      <c r="O807" s="81"/>
      <c r="P807" s="289"/>
      <c r="Q807" s="81"/>
      <c r="R807" s="81"/>
      <c r="S807" s="289"/>
      <c r="T807" s="81"/>
      <c r="U807" s="81"/>
      <c r="V807" s="81"/>
      <c r="W807" s="81"/>
      <c r="X807" s="81"/>
      <c r="Y807" s="81"/>
      <c r="Z807" s="81"/>
    </row>
    <row r="808" spans="1:26" ht="24" customHeight="1" x14ac:dyDescent="0.5">
      <c r="A808" s="81"/>
      <c r="B808" s="81"/>
      <c r="C808" s="81"/>
      <c r="D808" s="81"/>
      <c r="E808" s="81"/>
      <c r="F808" s="81"/>
      <c r="G808" s="81"/>
      <c r="H808" s="81"/>
      <c r="I808" s="81"/>
      <c r="J808" s="289"/>
      <c r="K808" s="81"/>
      <c r="L808" s="81"/>
      <c r="M808" s="289"/>
      <c r="N808" s="81"/>
      <c r="O808" s="81"/>
      <c r="P808" s="289"/>
      <c r="Q808" s="81"/>
      <c r="R808" s="81"/>
      <c r="S808" s="289"/>
      <c r="T808" s="81"/>
      <c r="U808" s="81"/>
      <c r="V808" s="81"/>
      <c r="W808" s="81"/>
      <c r="X808" s="81"/>
      <c r="Y808" s="81"/>
      <c r="Z808" s="81"/>
    </row>
    <row r="809" spans="1:26" ht="24" customHeight="1" x14ac:dyDescent="0.5">
      <c r="A809" s="81"/>
      <c r="B809" s="81"/>
      <c r="C809" s="81"/>
      <c r="D809" s="81"/>
      <c r="E809" s="81"/>
      <c r="F809" s="81"/>
      <c r="G809" s="81"/>
      <c r="H809" s="81"/>
      <c r="I809" s="81"/>
      <c r="J809" s="289"/>
      <c r="K809" s="81"/>
      <c r="L809" s="81"/>
      <c r="M809" s="289"/>
      <c r="N809" s="81"/>
      <c r="O809" s="81"/>
      <c r="P809" s="289"/>
      <c r="Q809" s="81"/>
      <c r="R809" s="81"/>
      <c r="S809" s="289"/>
      <c r="T809" s="81"/>
      <c r="U809" s="81"/>
      <c r="V809" s="81"/>
      <c r="W809" s="81"/>
      <c r="X809" s="81"/>
      <c r="Y809" s="81"/>
      <c r="Z809" s="81"/>
    </row>
    <row r="810" spans="1:26" ht="24" customHeight="1" x14ac:dyDescent="0.5">
      <c r="A810" s="81"/>
      <c r="B810" s="81"/>
      <c r="C810" s="81"/>
      <c r="D810" s="81"/>
      <c r="E810" s="81"/>
      <c r="F810" s="81"/>
      <c r="G810" s="81"/>
      <c r="H810" s="81"/>
      <c r="I810" s="81"/>
      <c r="J810" s="289"/>
      <c r="K810" s="81"/>
      <c r="L810" s="81"/>
      <c r="M810" s="289"/>
      <c r="N810" s="81"/>
      <c r="O810" s="81"/>
      <c r="P810" s="289"/>
      <c r="Q810" s="81"/>
      <c r="R810" s="81"/>
      <c r="S810" s="289"/>
      <c r="T810" s="81"/>
      <c r="U810" s="81"/>
      <c r="V810" s="81"/>
      <c r="W810" s="81"/>
      <c r="X810" s="81"/>
      <c r="Y810" s="81"/>
      <c r="Z810" s="81"/>
    </row>
    <row r="811" spans="1:26" ht="24" customHeight="1" x14ac:dyDescent="0.5">
      <c r="A811" s="81"/>
      <c r="B811" s="81"/>
      <c r="C811" s="81"/>
      <c r="D811" s="81"/>
      <c r="E811" s="81"/>
      <c r="F811" s="81"/>
      <c r="G811" s="81"/>
      <c r="H811" s="81"/>
      <c r="I811" s="81"/>
      <c r="J811" s="289"/>
      <c r="K811" s="81"/>
      <c r="L811" s="81"/>
      <c r="M811" s="289"/>
      <c r="N811" s="81"/>
      <c r="O811" s="81"/>
      <c r="P811" s="289"/>
      <c r="Q811" s="81"/>
      <c r="R811" s="81"/>
      <c r="S811" s="289"/>
      <c r="T811" s="81"/>
      <c r="U811" s="81"/>
      <c r="V811" s="81"/>
      <c r="W811" s="81"/>
      <c r="X811" s="81"/>
      <c r="Y811" s="81"/>
      <c r="Z811" s="81"/>
    </row>
    <row r="812" spans="1:26" ht="24" customHeight="1" x14ac:dyDescent="0.5">
      <c r="A812" s="81"/>
      <c r="B812" s="81"/>
      <c r="C812" s="81"/>
      <c r="D812" s="81"/>
      <c r="E812" s="81"/>
      <c r="F812" s="81"/>
      <c r="G812" s="81"/>
      <c r="H812" s="81"/>
      <c r="I812" s="81"/>
      <c r="J812" s="289"/>
      <c r="K812" s="81"/>
      <c r="L812" s="81"/>
      <c r="M812" s="289"/>
      <c r="N812" s="81"/>
      <c r="O812" s="81"/>
      <c r="P812" s="289"/>
      <c r="Q812" s="81"/>
      <c r="R812" s="81"/>
      <c r="S812" s="289"/>
      <c r="T812" s="81"/>
      <c r="U812" s="81"/>
      <c r="V812" s="81"/>
      <c r="W812" s="81"/>
      <c r="X812" s="81"/>
      <c r="Y812" s="81"/>
      <c r="Z812" s="81"/>
    </row>
    <row r="813" spans="1:26" ht="24" customHeight="1" x14ac:dyDescent="0.5">
      <c r="A813" s="81"/>
      <c r="B813" s="81"/>
      <c r="C813" s="81"/>
      <c r="D813" s="81"/>
      <c r="E813" s="81"/>
      <c r="F813" s="81"/>
      <c r="G813" s="81"/>
      <c r="H813" s="81"/>
      <c r="I813" s="81"/>
      <c r="J813" s="289"/>
      <c r="K813" s="81"/>
      <c r="L813" s="81"/>
      <c r="M813" s="289"/>
      <c r="N813" s="81"/>
      <c r="O813" s="81"/>
      <c r="P813" s="289"/>
      <c r="Q813" s="81"/>
      <c r="R813" s="81"/>
      <c r="S813" s="289"/>
      <c r="T813" s="81"/>
      <c r="U813" s="81"/>
      <c r="V813" s="81"/>
      <c r="W813" s="81"/>
      <c r="X813" s="81"/>
      <c r="Y813" s="81"/>
      <c r="Z813" s="81"/>
    </row>
    <row r="814" spans="1:26" ht="24" customHeight="1" x14ac:dyDescent="0.5">
      <c r="A814" s="81"/>
      <c r="B814" s="81"/>
      <c r="C814" s="81"/>
      <c r="D814" s="81"/>
      <c r="E814" s="81"/>
      <c r="F814" s="81"/>
      <c r="G814" s="81"/>
      <c r="H814" s="81"/>
      <c r="I814" s="81"/>
      <c r="J814" s="289"/>
      <c r="K814" s="81"/>
      <c r="L814" s="81"/>
      <c r="M814" s="289"/>
      <c r="N814" s="81"/>
      <c r="O814" s="81"/>
      <c r="P814" s="289"/>
      <c r="Q814" s="81"/>
      <c r="R814" s="81"/>
      <c r="S814" s="289"/>
      <c r="T814" s="81"/>
      <c r="U814" s="81"/>
      <c r="V814" s="81"/>
      <c r="W814" s="81"/>
      <c r="X814" s="81"/>
      <c r="Y814" s="81"/>
      <c r="Z814" s="81"/>
    </row>
    <row r="815" spans="1:26" ht="24" customHeight="1" x14ac:dyDescent="0.5">
      <c r="A815" s="81"/>
      <c r="B815" s="81"/>
      <c r="C815" s="81"/>
      <c r="D815" s="81"/>
      <c r="E815" s="81"/>
      <c r="F815" s="81"/>
      <c r="G815" s="81"/>
      <c r="H815" s="81"/>
      <c r="I815" s="81"/>
      <c r="J815" s="289"/>
      <c r="K815" s="81"/>
      <c r="L815" s="81"/>
      <c r="M815" s="289"/>
      <c r="N815" s="81"/>
      <c r="O815" s="81"/>
      <c r="P815" s="289"/>
      <c r="Q815" s="81"/>
      <c r="R815" s="81"/>
      <c r="S815" s="289"/>
      <c r="T815" s="81"/>
      <c r="U815" s="81"/>
      <c r="V815" s="81"/>
      <c r="W815" s="81"/>
      <c r="X815" s="81"/>
      <c r="Y815" s="81"/>
      <c r="Z815" s="81"/>
    </row>
    <row r="816" spans="1:26" ht="24" customHeight="1" x14ac:dyDescent="0.5">
      <c r="A816" s="81"/>
      <c r="B816" s="81"/>
      <c r="C816" s="81"/>
      <c r="D816" s="81"/>
      <c r="E816" s="81"/>
      <c r="F816" s="81"/>
      <c r="G816" s="81"/>
      <c r="H816" s="81"/>
      <c r="I816" s="81"/>
      <c r="J816" s="289"/>
      <c r="K816" s="81"/>
      <c r="L816" s="81"/>
      <c r="M816" s="289"/>
      <c r="N816" s="81"/>
      <c r="O816" s="81"/>
      <c r="P816" s="289"/>
      <c r="Q816" s="81"/>
      <c r="R816" s="81"/>
      <c r="S816" s="289"/>
      <c r="T816" s="81"/>
      <c r="U816" s="81"/>
      <c r="V816" s="81"/>
      <c r="W816" s="81"/>
      <c r="X816" s="81"/>
      <c r="Y816" s="81"/>
      <c r="Z816" s="81"/>
    </row>
    <row r="817" spans="1:26" ht="24" customHeight="1" x14ac:dyDescent="0.5">
      <c r="A817" s="81"/>
      <c r="B817" s="81"/>
      <c r="C817" s="81"/>
      <c r="D817" s="81"/>
      <c r="E817" s="81"/>
      <c r="F817" s="81"/>
      <c r="G817" s="81"/>
      <c r="H817" s="81"/>
      <c r="I817" s="81"/>
      <c r="J817" s="289"/>
      <c r="K817" s="81"/>
      <c r="L817" s="81"/>
      <c r="M817" s="289"/>
      <c r="N817" s="81"/>
      <c r="O817" s="81"/>
      <c r="P817" s="289"/>
      <c r="Q817" s="81"/>
      <c r="R817" s="81"/>
      <c r="S817" s="289"/>
      <c r="T817" s="81"/>
      <c r="U817" s="81"/>
      <c r="V817" s="81"/>
      <c r="W817" s="81"/>
      <c r="X817" s="81"/>
      <c r="Y817" s="81"/>
      <c r="Z817" s="81"/>
    </row>
    <row r="818" spans="1:26" ht="24" customHeight="1" x14ac:dyDescent="0.5">
      <c r="A818" s="81"/>
      <c r="B818" s="81"/>
      <c r="C818" s="81"/>
      <c r="D818" s="81"/>
      <c r="E818" s="81"/>
      <c r="F818" s="81"/>
      <c r="G818" s="81"/>
      <c r="H818" s="81"/>
      <c r="I818" s="81"/>
      <c r="J818" s="289"/>
      <c r="K818" s="81"/>
      <c r="L818" s="81"/>
      <c r="M818" s="289"/>
      <c r="N818" s="81"/>
      <c r="O818" s="81"/>
      <c r="P818" s="289"/>
      <c r="Q818" s="81"/>
      <c r="R818" s="81"/>
      <c r="S818" s="289"/>
      <c r="T818" s="81"/>
      <c r="U818" s="81"/>
      <c r="V818" s="81"/>
      <c r="W818" s="81"/>
      <c r="X818" s="81"/>
      <c r="Y818" s="81"/>
      <c r="Z818" s="81"/>
    </row>
    <row r="819" spans="1:26" ht="24" customHeight="1" x14ac:dyDescent="0.5">
      <c r="A819" s="81"/>
      <c r="B819" s="81"/>
      <c r="C819" s="81"/>
      <c r="D819" s="81"/>
      <c r="E819" s="81"/>
      <c r="F819" s="81"/>
      <c r="G819" s="81"/>
      <c r="H819" s="81"/>
      <c r="I819" s="81"/>
      <c r="J819" s="289"/>
      <c r="K819" s="81"/>
      <c r="L819" s="81"/>
      <c r="M819" s="289"/>
      <c r="N819" s="81"/>
      <c r="O819" s="81"/>
      <c r="P819" s="289"/>
      <c r="Q819" s="81"/>
      <c r="R819" s="81"/>
      <c r="S819" s="289"/>
      <c r="T819" s="81"/>
      <c r="U819" s="81"/>
      <c r="V819" s="81"/>
      <c r="W819" s="81"/>
      <c r="X819" s="81"/>
      <c r="Y819" s="81"/>
      <c r="Z819" s="81"/>
    </row>
    <row r="820" spans="1:26" ht="24" customHeight="1" x14ac:dyDescent="0.5">
      <c r="A820" s="81"/>
      <c r="B820" s="81"/>
      <c r="C820" s="81"/>
      <c r="D820" s="81"/>
      <c r="E820" s="81"/>
      <c r="F820" s="81"/>
      <c r="G820" s="81"/>
      <c r="H820" s="81"/>
      <c r="I820" s="81"/>
      <c r="J820" s="289"/>
      <c r="K820" s="81"/>
      <c r="L820" s="81"/>
      <c r="M820" s="289"/>
      <c r="N820" s="81"/>
      <c r="O820" s="81"/>
      <c r="P820" s="289"/>
      <c r="Q820" s="81"/>
      <c r="R820" s="81"/>
      <c r="S820" s="289"/>
      <c r="T820" s="81"/>
      <c r="U820" s="81"/>
      <c r="V820" s="81"/>
      <c r="W820" s="81"/>
      <c r="X820" s="81"/>
      <c r="Y820" s="81"/>
      <c r="Z820" s="81"/>
    </row>
    <row r="821" spans="1:26" ht="24" customHeight="1" x14ac:dyDescent="0.5">
      <c r="A821" s="81"/>
      <c r="B821" s="81"/>
      <c r="C821" s="81"/>
      <c r="D821" s="81"/>
      <c r="E821" s="81"/>
      <c r="F821" s="81"/>
      <c r="G821" s="81"/>
      <c r="H821" s="81"/>
      <c r="I821" s="81"/>
      <c r="J821" s="289"/>
      <c r="K821" s="81"/>
      <c r="L821" s="81"/>
      <c r="M821" s="289"/>
      <c r="N821" s="81"/>
      <c r="O821" s="81"/>
      <c r="P821" s="289"/>
      <c r="Q821" s="81"/>
      <c r="R821" s="81"/>
      <c r="S821" s="289"/>
      <c r="T821" s="81"/>
      <c r="U821" s="81"/>
      <c r="V821" s="81"/>
      <c r="W821" s="81"/>
      <c r="X821" s="81"/>
      <c r="Y821" s="81"/>
      <c r="Z821" s="81"/>
    </row>
    <row r="822" spans="1:26" ht="24" customHeight="1" x14ac:dyDescent="0.5">
      <c r="A822" s="81"/>
      <c r="B822" s="81"/>
      <c r="C822" s="81"/>
      <c r="D822" s="81"/>
      <c r="E822" s="81"/>
      <c r="F822" s="81"/>
      <c r="G822" s="81"/>
      <c r="H822" s="81"/>
      <c r="I822" s="81"/>
      <c r="J822" s="289"/>
      <c r="K822" s="81"/>
      <c r="L822" s="81"/>
      <c r="M822" s="289"/>
      <c r="N822" s="81"/>
      <c r="O822" s="81"/>
      <c r="P822" s="289"/>
      <c r="Q822" s="81"/>
      <c r="R822" s="81"/>
      <c r="S822" s="289"/>
      <c r="T822" s="81"/>
      <c r="U822" s="81"/>
      <c r="V822" s="81"/>
      <c r="W822" s="81"/>
      <c r="X822" s="81"/>
      <c r="Y822" s="81"/>
      <c r="Z822" s="81"/>
    </row>
    <row r="823" spans="1:26" ht="24" customHeight="1" x14ac:dyDescent="0.5">
      <c r="A823" s="81"/>
      <c r="B823" s="81"/>
      <c r="C823" s="81"/>
      <c r="D823" s="81"/>
      <c r="E823" s="81"/>
      <c r="F823" s="81"/>
      <c r="G823" s="81"/>
      <c r="H823" s="81"/>
      <c r="I823" s="81"/>
      <c r="J823" s="289"/>
      <c r="K823" s="81"/>
      <c r="L823" s="81"/>
      <c r="M823" s="289"/>
      <c r="N823" s="81"/>
      <c r="O823" s="81"/>
      <c r="P823" s="289"/>
      <c r="Q823" s="81"/>
      <c r="R823" s="81"/>
      <c r="S823" s="289"/>
      <c r="T823" s="81"/>
      <c r="U823" s="81"/>
      <c r="V823" s="81"/>
      <c r="W823" s="81"/>
      <c r="X823" s="81"/>
      <c r="Y823" s="81"/>
      <c r="Z823" s="81"/>
    </row>
    <row r="824" spans="1:26" ht="24" customHeight="1" x14ac:dyDescent="0.5">
      <c r="A824" s="81"/>
      <c r="B824" s="81"/>
      <c r="C824" s="81"/>
      <c r="D824" s="81"/>
      <c r="E824" s="81"/>
      <c r="F824" s="81"/>
      <c r="G824" s="81"/>
      <c r="H824" s="81"/>
      <c r="I824" s="81"/>
      <c r="J824" s="289"/>
      <c r="K824" s="81"/>
      <c r="L824" s="81"/>
      <c r="M824" s="289"/>
      <c r="N824" s="81"/>
      <c r="O824" s="81"/>
      <c r="P824" s="289"/>
      <c r="Q824" s="81"/>
      <c r="R824" s="81"/>
      <c r="S824" s="289"/>
      <c r="T824" s="81"/>
      <c r="U824" s="81"/>
      <c r="V824" s="81"/>
      <c r="W824" s="81"/>
      <c r="X824" s="81"/>
      <c r="Y824" s="81"/>
      <c r="Z824" s="81"/>
    </row>
    <row r="825" spans="1:26" ht="24" customHeight="1" x14ac:dyDescent="0.5">
      <c r="A825" s="81"/>
      <c r="B825" s="81"/>
      <c r="C825" s="81"/>
      <c r="D825" s="81"/>
      <c r="E825" s="81"/>
      <c r="F825" s="81"/>
      <c r="G825" s="81"/>
      <c r="H825" s="81"/>
      <c r="I825" s="81"/>
      <c r="J825" s="289"/>
      <c r="K825" s="81"/>
      <c r="L825" s="81"/>
      <c r="M825" s="289"/>
      <c r="N825" s="81"/>
      <c r="O825" s="81"/>
      <c r="P825" s="289"/>
      <c r="Q825" s="81"/>
      <c r="R825" s="81"/>
      <c r="S825" s="289"/>
      <c r="T825" s="81"/>
      <c r="U825" s="81"/>
      <c r="V825" s="81"/>
      <c r="W825" s="81"/>
      <c r="X825" s="81"/>
      <c r="Y825" s="81"/>
      <c r="Z825" s="81"/>
    </row>
    <row r="826" spans="1:26" ht="24" customHeight="1" x14ac:dyDescent="0.5">
      <c r="A826" s="81"/>
      <c r="B826" s="81"/>
      <c r="C826" s="81"/>
      <c r="D826" s="81"/>
      <c r="E826" s="81"/>
      <c r="F826" s="81"/>
      <c r="G826" s="81"/>
      <c r="H826" s="81"/>
      <c r="I826" s="81"/>
      <c r="J826" s="289"/>
      <c r="K826" s="81"/>
      <c r="L826" s="81"/>
      <c r="M826" s="289"/>
      <c r="N826" s="81"/>
      <c r="O826" s="81"/>
      <c r="P826" s="289"/>
      <c r="Q826" s="81"/>
      <c r="R826" s="81"/>
      <c r="S826" s="289"/>
      <c r="T826" s="81"/>
      <c r="U826" s="81"/>
      <c r="V826" s="81"/>
      <c r="W826" s="81"/>
      <c r="X826" s="81"/>
      <c r="Y826" s="81"/>
      <c r="Z826" s="81"/>
    </row>
    <row r="827" spans="1:26" ht="24" customHeight="1" x14ac:dyDescent="0.5">
      <c r="A827" s="81"/>
      <c r="B827" s="81"/>
      <c r="C827" s="81"/>
      <c r="D827" s="81"/>
      <c r="E827" s="81"/>
      <c r="F827" s="81"/>
      <c r="G827" s="81"/>
      <c r="H827" s="81"/>
      <c r="I827" s="81"/>
      <c r="J827" s="289"/>
      <c r="K827" s="81"/>
      <c r="L827" s="81"/>
      <c r="M827" s="289"/>
      <c r="N827" s="81"/>
      <c r="O827" s="81"/>
      <c r="P827" s="289"/>
      <c r="Q827" s="81"/>
      <c r="R827" s="81"/>
      <c r="S827" s="289"/>
      <c r="T827" s="81"/>
      <c r="U827" s="81"/>
      <c r="V827" s="81"/>
      <c r="W827" s="81"/>
      <c r="X827" s="81"/>
      <c r="Y827" s="81"/>
      <c r="Z827" s="81"/>
    </row>
    <row r="828" spans="1:26" ht="24" customHeight="1" x14ac:dyDescent="0.5">
      <c r="A828" s="81"/>
      <c r="B828" s="81"/>
      <c r="C828" s="81"/>
      <c r="D828" s="81"/>
      <c r="E828" s="81"/>
      <c r="F828" s="81"/>
      <c r="G828" s="81"/>
      <c r="H828" s="81"/>
      <c r="I828" s="81"/>
      <c r="J828" s="289"/>
      <c r="K828" s="81"/>
      <c r="L828" s="81"/>
      <c r="M828" s="289"/>
      <c r="N828" s="81"/>
      <c r="O828" s="81"/>
      <c r="P828" s="289"/>
      <c r="Q828" s="81"/>
      <c r="R828" s="81"/>
      <c r="S828" s="289"/>
      <c r="T828" s="81"/>
      <c r="U828" s="81"/>
      <c r="V828" s="81"/>
      <c r="W828" s="81"/>
      <c r="X828" s="81"/>
      <c r="Y828" s="81"/>
      <c r="Z828" s="81"/>
    </row>
    <row r="829" spans="1:26" ht="24" customHeight="1" x14ac:dyDescent="0.5">
      <c r="A829" s="81"/>
      <c r="B829" s="81"/>
      <c r="C829" s="81"/>
      <c r="D829" s="81"/>
      <c r="E829" s="81"/>
      <c r="F829" s="81"/>
      <c r="G829" s="81"/>
      <c r="H829" s="81"/>
      <c r="I829" s="81"/>
      <c r="J829" s="289"/>
      <c r="K829" s="81"/>
      <c r="L829" s="81"/>
      <c r="M829" s="289"/>
      <c r="N829" s="81"/>
      <c r="O829" s="81"/>
      <c r="P829" s="289"/>
      <c r="Q829" s="81"/>
      <c r="R829" s="81"/>
      <c r="S829" s="289"/>
      <c r="T829" s="81"/>
      <c r="U829" s="81"/>
      <c r="V829" s="81"/>
      <c r="W829" s="81"/>
      <c r="X829" s="81"/>
      <c r="Y829" s="81"/>
      <c r="Z829" s="81"/>
    </row>
    <row r="830" spans="1:26" ht="24" customHeight="1" x14ac:dyDescent="0.5">
      <c r="A830" s="81"/>
      <c r="B830" s="81"/>
      <c r="C830" s="81"/>
      <c r="D830" s="81"/>
      <c r="E830" s="81"/>
      <c r="F830" s="81"/>
      <c r="G830" s="81"/>
      <c r="H830" s="81"/>
      <c r="I830" s="81"/>
      <c r="J830" s="289"/>
      <c r="K830" s="81"/>
      <c r="L830" s="81"/>
      <c r="M830" s="289"/>
      <c r="N830" s="81"/>
      <c r="O830" s="81"/>
      <c r="P830" s="289"/>
      <c r="Q830" s="81"/>
      <c r="R830" s="81"/>
      <c r="S830" s="289"/>
      <c r="T830" s="81"/>
      <c r="U830" s="81"/>
      <c r="V830" s="81"/>
      <c r="W830" s="81"/>
      <c r="X830" s="81"/>
      <c r="Y830" s="81"/>
      <c r="Z830" s="81"/>
    </row>
    <row r="831" spans="1:26" ht="24" customHeight="1" x14ac:dyDescent="0.5">
      <c r="A831" s="81"/>
      <c r="B831" s="81"/>
      <c r="C831" s="81"/>
      <c r="D831" s="81"/>
      <c r="E831" s="81"/>
      <c r="F831" s="81"/>
      <c r="G831" s="81"/>
      <c r="H831" s="81"/>
      <c r="I831" s="81"/>
      <c r="J831" s="289"/>
      <c r="K831" s="81"/>
      <c r="L831" s="81"/>
      <c r="M831" s="289"/>
      <c r="N831" s="81"/>
      <c r="O831" s="81"/>
      <c r="P831" s="289"/>
      <c r="Q831" s="81"/>
      <c r="R831" s="81"/>
      <c r="S831" s="289"/>
      <c r="T831" s="81"/>
      <c r="U831" s="81"/>
      <c r="V831" s="81"/>
      <c r="W831" s="81"/>
      <c r="X831" s="81"/>
      <c r="Y831" s="81"/>
      <c r="Z831" s="81"/>
    </row>
    <row r="832" spans="1:26" ht="24" customHeight="1" x14ac:dyDescent="0.5">
      <c r="A832" s="81"/>
      <c r="B832" s="81"/>
      <c r="C832" s="81"/>
      <c r="D832" s="81"/>
      <c r="E832" s="81"/>
      <c r="F832" s="81"/>
      <c r="G832" s="81"/>
      <c r="H832" s="81"/>
      <c r="I832" s="81"/>
      <c r="J832" s="289"/>
      <c r="K832" s="81"/>
      <c r="L832" s="81"/>
      <c r="M832" s="289"/>
      <c r="N832" s="81"/>
      <c r="O832" s="81"/>
      <c r="P832" s="289"/>
      <c r="Q832" s="81"/>
      <c r="R832" s="81"/>
      <c r="S832" s="289"/>
      <c r="T832" s="81"/>
      <c r="U832" s="81"/>
      <c r="V832" s="81"/>
      <c r="W832" s="81"/>
      <c r="X832" s="81"/>
      <c r="Y832" s="81"/>
      <c r="Z832" s="81"/>
    </row>
    <row r="833" spans="1:26" ht="24" customHeight="1" x14ac:dyDescent="0.5">
      <c r="A833" s="81"/>
      <c r="B833" s="81"/>
      <c r="C833" s="81"/>
      <c r="D833" s="81"/>
      <c r="E833" s="81"/>
      <c r="F833" s="81"/>
      <c r="G833" s="81"/>
      <c r="H833" s="81"/>
      <c r="I833" s="81"/>
      <c r="J833" s="289"/>
      <c r="K833" s="81"/>
      <c r="L833" s="81"/>
      <c r="M833" s="289"/>
      <c r="N833" s="81"/>
      <c r="O833" s="81"/>
      <c r="P833" s="289"/>
      <c r="Q833" s="81"/>
      <c r="R833" s="81"/>
      <c r="S833" s="289"/>
      <c r="T833" s="81"/>
      <c r="U833" s="81"/>
      <c r="V833" s="81"/>
      <c r="W833" s="81"/>
      <c r="X833" s="81"/>
      <c r="Y833" s="81"/>
      <c r="Z833" s="81"/>
    </row>
    <row r="834" spans="1:26" ht="24" customHeight="1" x14ac:dyDescent="0.5">
      <c r="A834" s="81"/>
      <c r="B834" s="81"/>
      <c r="C834" s="81"/>
      <c r="D834" s="81"/>
      <c r="E834" s="81"/>
      <c r="F834" s="81"/>
      <c r="G834" s="81"/>
      <c r="H834" s="81"/>
      <c r="I834" s="81"/>
      <c r="J834" s="289"/>
      <c r="K834" s="81"/>
      <c r="L834" s="81"/>
      <c r="M834" s="289"/>
      <c r="N834" s="81"/>
      <c r="O834" s="81"/>
      <c r="P834" s="289"/>
      <c r="Q834" s="81"/>
      <c r="R834" s="81"/>
      <c r="S834" s="289"/>
      <c r="T834" s="81"/>
      <c r="U834" s="81"/>
      <c r="V834" s="81"/>
      <c r="W834" s="81"/>
      <c r="X834" s="81"/>
      <c r="Y834" s="81"/>
      <c r="Z834" s="81"/>
    </row>
    <row r="835" spans="1:26" ht="24" customHeight="1" x14ac:dyDescent="0.5">
      <c r="A835" s="81"/>
      <c r="B835" s="81"/>
      <c r="C835" s="81"/>
      <c r="D835" s="81"/>
      <c r="E835" s="81"/>
      <c r="F835" s="81"/>
      <c r="G835" s="81"/>
      <c r="H835" s="81"/>
      <c r="I835" s="81"/>
      <c r="J835" s="289"/>
      <c r="K835" s="81"/>
      <c r="L835" s="81"/>
      <c r="M835" s="289"/>
      <c r="N835" s="81"/>
      <c r="O835" s="81"/>
      <c r="P835" s="289"/>
      <c r="Q835" s="81"/>
      <c r="R835" s="81"/>
      <c r="S835" s="289"/>
      <c r="T835" s="81"/>
      <c r="U835" s="81"/>
      <c r="V835" s="81"/>
      <c r="W835" s="81"/>
      <c r="X835" s="81"/>
      <c r="Y835" s="81"/>
      <c r="Z835" s="81"/>
    </row>
    <row r="836" spans="1:26" ht="24" customHeight="1" x14ac:dyDescent="0.5">
      <c r="A836" s="81"/>
      <c r="B836" s="81"/>
      <c r="C836" s="81"/>
      <c r="D836" s="81"/>
      <c r="E836" s="81"/>
      <c r="F836" s="81"/>
      <c r="G836" s="81"/>
      <c r="H836" s="81"/>
      <c r="I836" s="81"/>
      <c r="J836" s="289"/>
      <c r="K836" s="81"/>
      <c r="L836" s="81"/>
      <c r="M836" s="289"/>
      <c r="N836" s="81"/>
      <c r="O836" s="81"/>
      <c r="P836" s="289"/>
      <c r="Q836" s="81"/>
      <c r="R836" s="81"/>
      <c r="S836" s="289"/>
      <c r="T836" s="81"/>
      <c r="U836" s="81"/>
      <c r="V836" s="81"/>
      <c r="W836" s="81"/>
      <c r="X836" s="81"/>
      <c r="Y836" s="81"/>
      <c r="Z836" s="81"/>
    </row>
    <row r="837" spans="1:26" ht="24" customHeight="1" x14ac:dyDescent="0.5">
      <c r="A837" s="81"/>
      <c r="B837" s="81"/>
      <c r="C837" s="81"/>
      <c r="D837" s="81"/>
      <c r="E837" s="81"/>
      <c r="F837" s="81"/>
      <c r="G837" s="81"/>
      <c r="H837" s="81"/>
      <c r="I837" s="81"/>
      <c r="J837" s="289"/>
      <c r="K837" s="81"/>
      <c r="L837" s="81"/>
      <c r="M837" s="289"/>
      <c r="N837" s="81"/>
      <c r="O837" s="81"/>
      <c r="P837" s="289"/>
      <c r="Q837" s="81"/>
      <c r="R837" s="81"/>
      <c r="S837" s="289"/>
      <c r="T837" s="81"/>
      <c r="U837" s="81"/>
      <c r="V837" s="81"/>
      <c r="W837" s="81"/>
      <c r="X837" s="81"/>
      <c r="Y837" s="81"/>
      <c r="Z837" s="81"/>
    </row>
    <row r="838" spans="1:26" ht="24" customHeight="1" x14ac:dyDescent="0.5">
      <c r="A838" s="81"/>
      <c r="B838" s="81"/>
      <c r="C838" s="81"/>
      <c r="D838" s="81"/>
      <c r="E838" s="81"/>
      <c r="F838" s="81"/>
      <c r="G838" s="81"/>
      <c r="H838" s="81"/>
      <c r="I838" s="81"/>
      <c r="J838" s="289"/>
      <c r="K838" s="81"/>
      <c r="L838" s="81"/>
      <c r="M838" s="289"/>
      <c r="N838" s="81"/>
      <c r="O838" s="81"/>
      <c r="P838" s="289"/>
      <c r="Q838" s="81"/>
      <c r="R838" s="81"/>
      <c r="S838" s="289"/>
      <c r="T838" s="81"/>
      <c r="U838" s="81"/>
      <c r="V838" s="81"/>
      <c r="W838" s="81"/>
      <c r="X838" s="81"/>
      <c r="Y838" s="81"/>
      <c r="Z838" s="81"/>
    </row>
    <row r="839" spans="1:26" ht="24" customHeight="1" x14ac:dyDescent="0.5">
      <c r="A839" s="81"/>
      <c r="B839" s="81"/>
      <c r="C839" s="81"/>
      <c r="D839" s="81"/>
      <c r="E839" s="81"/>
      <c r="F839" s="81"/>
      <c r="G839" s="81"/>
      <c r="H839" s="81"/>
      <c r="I839" s="81"/>
      <c r="J839" s="289"/>
      <c r="K839" s="81"/>
      <c r="L839" s="81"/>
      <c r="M839" s="289"/>
      <c r="N839" s="81"/>
      <c r="O839" s="81"/>
      <c r="P839" s="289"/>
      <c r="Q839" s="81"/>
      <c r="R839" s="81"/>
      <c r="S839" s="289"/>
      <c r="T839" s="81"/>
      <c r="U839" s="81"/>
      <c r="V839" s="81"/>
      <c r="W839" s="81"/>
      <c r="X839" s="81"/>
      <c r="Y839" s="81"/>
      <c r="Z839" s="81"/>
    </row>
    <row r="840" spans="1:26" ht="24" customHeight="1" x14ac:dyDescent="0.5">
      <c r="A840" s="81"/>
      <c r="B840" s="81"/>
      <c r="C840" s="81"/>
      <c r="D840" s="81"/>
      <c r="E840" s="81"/>
      <c r="F840" s="81"/>
      <c r="G840" s="81"/>
      <c r="H840" s="81"/>
      <c r="I840" s="81"/>
      <c r="J840" s="289"/>
      <c r="K840" s="81"/>
      <c r="L840" s="81"/>
      <c r="M840" s="289"/>
      <c r="N840" s="81"/>
      <c r="O840" s="81"/>
      <c r="P840" s="289"/>
      <c r="Q840" s="81"/>
      <c r="R840" s="81"/>
      <c r="S840" s="289"/>
      <c r="T840" s="81"/>
      <c r="U840" s="81"/>
      <c r="V840" s="81"/>
      <c r="W840" s="81"/>
      <c r="X840" s="81"/>
      <c r="Y840" s="81"/>
      <c r="Z840" s="81"/>
    </row>
    <row r="841" spans="1:26" ht="24" customHeight="1" x14ac:dyDescent="0.5">
      <c r="A841" s="81"/>
      <c r="B841" s="81"/>
      <c r="C841" s="81"/>
      <c r="D841" s="81"/>
      <c r="E841" s="81"/>
      <c r="F841" s="81"/>
      <c r="G841" s="81"/>
      <c r="H841" s="81"/>
      <c r="I841" s="81"/>
      <c r="J841" s="289"/>
      <c r="K841" s="81"/>
      <c r="L841" s="81"/>
      <c r="M841" s="289"/>
      <c r="N841" s="81"/>
      <c r="O841" s="81"/>
      <c r="P841" s="289"/>
      <c r="Q841" s="81"/>
      <c r="R841" s="81"/>
      <c r="S841" s="289"/>
      <c r="T841" s="81"/>
      <c r="U841" s="81"/>
      <c r="V841" s="81"/>
      <c r="W841" s="81"/>
      <c r="X841" s="81"/>
      <c r="Y841" s="81"/>
      <c r="Z841" s="81"/>
    </row>
    <row r="842" spans="1:26" ht="24" customHeight="1" x14ac:dyDescent="0.5">
      <c r="A842" s="81"/>
      <c r="B842" s="81"/>
      <c r="C842" s="81"/>
      <c r="D842" s="81"/>
      <c r="E842" s="81"/>
      <c r="F842" s="81"/>
      <c r="G842" s="81"/>
      <c r="H842" s="81"/>
      <c r="I842" s="81"/>
      <c r="J842" s="289"/>
      <c r="K842" s="81"/>
      <c r="L842" s="81"/>
      <c r="M842" s="289"/>
      <c r="N842" s="81"/>
      <c r="O842" s="81"/>
      <c r="P842" s="289"/>
      <c r="Q842" s="81"/>
      <c r="R842" s="81"/>
      <c r="S842" s="289"/>
      <c r="T842" s="81"/>
      <c r="U842" s="81"/>
      <c r="V842" s="81"/>
      <c r="W842" s="81"/>
      <c r="X842" s="81"/>
      <c r="Y842" s="81"/>
      <c r="Z842" s="81"/>
    </row>
    <row r="843" spans="1:26" ht="24" customHeight="1" x14ac:dyDescent="0.5">
      <c r="A843" s="81"/>
      <c r="B843" s="81"/>
      <c r="C843" s="81"/>
      <c r="D843" s="81"/>
      <c r="E843" s="81"/>
      <c r="F843" s="81"/>
      <c r="G843" s="81"/>
      <c r="H843" s="81"/>
      <c r="I843" s="81"/>
      <c r="J843" s="289"/>
      <c r="K843" s="81"/>
      <c r="L843" s="81"/>
      <c r="M843" s="289"/>
      <c r="N843" s="81"/>
      <c r="O843" s="81"/>
      <c r="P843" s="289"/>
      <c r="Q843" s="81"/>
      <c r="R843" s="81"/>
      <c r="S843" s="289"/>
      <c r="T843" s="81"/>
      <c r="U843" s="81"/>
      <c r="V843" s="81"/>
      <c r="W843" s="81"/>
      <c r="X843" s="81"/>
      <c r="Y843" s="81"/>
      <c r="Z843" s="81"/>
    </row>
    <row r="844" spans="1:26" ht="24" customHeight="1" x14ac:dyDescent="0.5">
      <c r="A844" s="81"/>
      <c r="B844" s="81"/>
      <c r="C844" s="81"/>
      <c r="D844" s="81"/>
      <c r="E844" s="81"/>
      <c r="F844" s="81"/>
      <c r="G844" s="81"/>
      <c r="H844" s="81"/>
      <c r="I844" s="81"/>
      <c r="J844" s="289"/>
      <c r="K844" s="81"/>
      <c r="L844" s="81"/>
      <c r="M844" s="289"/>
      <c r="N844" s="81"/>
      <c r="O844" s="81"/>
      <c r="P844" s="289"/>
      <c r="Q844" s="81"/>
      <c r="R844" s="81"/>
      <c r="S844" s="289"/>
      <c r="T844" s="81"/>
      <c r="U844" s="81"/>
      <c r="V844" s="81"/>
      <c r="W844" s="81"/>
      <c r="X844" s="81"/>
      <c r="Y844" s="81"/>
      <c r="Z844" s="81"/>
    </row>
    <row r="845" spans="1:26" ht="24" customHeight="1" x14ac:dyDescent="0.5">
      <c r="A845" s="81"/>
      <c r="B845" s="81"/>
      <c r="C845" s="81"/>
      <c r="D845" s="81"/>
      <c r="E845" s="81"/>
      <c r="F845" s="81"/>
      <c r="G845" s="81"/>
      <c r="H845" s="81"/>
      <c r="I845" s="81"/>
      <c r="J845" s="289"/>
      <c r="K845" s="81"/>
      <c r="L845" s="81"/>
      <c r="M845" s="289"/>
      <c r="N845" s="81"/>
      <c r="O845" s="81"/>
      <c r="P845" s="289"/>
      <c r="Q845" s="81"/>
      <c r="R845" s="81"/>
      <c r="S845" s="289"/>
      <c r="T845" s="81"/>
      <c r="U845" s="81"/>
      <c r="V845" s="81"/>
      <c r="W845" s="81"/>
      <c r="X845" s="81"/>
      <c r="Y845" s="81"/>
      <c r="Z845" s="81"/>
    </row>
    <row r="846" spans="1:26" ht="24" customHeight="1" x14ac:dyDescent="0.5">
      <c r="A846" s="81"/>
      <c r="B846" s="81"/>
      <c r="C846" s="81"/>
      <c r="D846" s="81"/>
      <c r="E846" s="81"/>
      <c r="F846" s="81"/>
      <c r="G846" s="81"/>
      <c r="H846" s="81"/>
      <c r="I846" s="81"/>
      <c r="J846" s="289"/>
      <c r="K846" s="81"/>
      <c r="L846" s="81"/>
      <c r="M846" s="289"/>
      <c r="N846" s="81"/>
      <c r="O846" s="81"/>
      <c r="P846" s="289"/>
      <c r="Q846" s="81"/>
      <c r="R846" s="81"/>
      <c r="S846" s="289"/>
      <c r="T846" s="81"/>
      <c r="U846" s="81"/>
      <c r="V846" s="81"/>
      <c r="W846" s="81"/>
      <c r="X846" s="81"/>
      <c r="Y846" s="81"/>
      <c r="Z846" s="81"/>
    </row>
    <row r="847" spans="1:26" ht="24" customHeight="1" x14ac:dyDescent="0.5">
      <c r="A847" s="81"/>
      <c r="B847" s="81"/>
      <c r="C847" s="81"/>
      <c r="D847" s="81"/>
      <c r="E847" s="81"/>
      <c r="F847" s="81"/>
      <c r="G847" s="81"/>
      <c r="H847" s="81"/>
      <c r="I847" s="81"/>
      <c r="J847" s="289"/>
      <c r="K847" s="81"/>
      <c r="L847" s="81"/>
      <c r="M847" s="289"/>
      <c r="N847" s="81"/>
      <c r="O847" s="81"/>
      <c r="P847" s="289"/>
      <c r="Q847" s="81"/>
      <c r="R847" s="81"/>
      <c r="S847" s="289"/>
      <c r="T847" s="81"/>
      <c r="U847" s="81"/>
      <c r="V847" s="81"/>
      <c r="W847" s="81"/>
      <c r="X847" s="81"/>
      <c r="Y847" s="81"/>
      <c r="Z847" s="81"/>
    </row>
    <row r="848" spans="1:26" ht="24" customHeight="1" x14ac:dyDescent="0.5">
      <c r="A848" s="81"/>
      <c r="B848" s="81"/>
      <c r="C848" s="81"/>
      <c r="D848" s="81"/>
      <c r="E848" s="81"/>
      <c r="F848" s="81"/>
      <c r="G848" s="81"/>
      <c r="H848" s="81"/>
      <c r="I848" s="81"/>
      <c r="J848" s="289"/>
      <c r="K848" s="81"/>
      <c r="L848" s="81"/>
      <c r="M848" s="289"/>
      <c r="N848" s="81"/>
      <c r="O848" s="81"/>
      <c r="P848" s="289"/>
      <c r="Q848" s="81"/>
      <c r="R848" s="81"/>
      <c r="S848" s="289"/>
      <c r="T848" s="81"/>
      <c r="U848" s="81"/>
      <c r="V848" s="81"/>
      <c r="W848" s="81"/>
      <c r="X848" s="81"/>
      <c r="Y848" s="81"/>
      <c r="Z848" s="81"/>
    </row>
    <row r="849" spans="1:26" ht="24" customHeight="1" x14ac:dyDescent="0.5">
      <c r="A849" s="81"/>
      <c r="B849" s="81"/>
      <c r="C849" s="81"/>
      <c r="D849" s="81"/>
      <c r="E849" s="81"/>
      <c r="F849" s="81"/>
      <c r="G849" s="81"/>
      <c r="H849" s="81"/>
      <c r="I849" s="81"/>
      <c r="J849" s="289"/>
      <c r="K849" s="81"/>
      <c r="L849" s="81"/>
      <c r="M849" s="289"/>
      <c r="N849" s="81"/>
      <c r="O849" s="81"/>
      <c r="P849" s="289"/>
      <c r="Q849" s="81"/>
      <c r="R849" s="81"/>
      <c r="S849" s="289"/>
      <c r="T849" s="81"/>
      <c r="U849" s="81"/>
      <c r="V849" s="81"/>
      <c r="W849" s="81"/>
      <c r="X849" s="81"/>
      <c r="Y849" s="81"/>
      <c r="Z849" s="81"/>
    </row>
    <row r="850" spans="1:26" ht="24" customHeight="1" x14ac:dyDescent="0.5">
      <c r="A850" s="81"/>
      <c r="B850" s="81"/>
      <c r="C850" s="81"/>
      <c r="D850" s="81"/>
      <c r="E850" s="81"/>
      <c r="F850" s="81"/>
      <c r="G850" s="81"/>
      <c r="H850" s="81"/>
      <c r="I850" s="81"/>
      <c r="J850" s="289"/>
      <c r="K850" s="81"/>
      <c r="L850" s="81"/>
      <c r="M850" s="289"/>
      <c r="N850" s="81"/>
      <c r="O850" s="81"/>
      <c r="P850" s="289"/>
      <c r="Q850" s="81"/>
      <c r="R850" s="81"/>
      <c r="S850" s="289"/>
      <c r="T850" s="81"/>
      <c r="U850" s="81"/>
      <c r="V850" s="81"/>
      <c r="W850" s="81"/>
      <c r="X850" s="81"/>
      <c r="Y850" s="81"/>
      <c r="Z850" s="81"/>
    </row>
    <row r="851" spans="1:26" ht="24" customHeight="1" x14ac:dyDescent="0.5">
      <c r="A851" s="81"/>
      <c r="B851" s="81"/>
      <c r="C851" s="81"/>
      <c r="D851" s="81"/>
      <c r="E851" s="81"/>
      <c r="F851" s="81"/>
      <c r="G851" s="81"/>
      <c r="H851" s="81"/>
      <c r="I851" s="81"/>
      <c r="J851" s="289"/>
      <c r="K851" s="81"/>
      <c r="L851" s="81"/>
      <c r="M851" s="289"/>
      <c r="N851" s="81"/>
      <c r="O851" s="81"/>
      <c r="P851" s="289"/>
      <c r="Q851" s="81"/>
      <c r="R851" s="81"/>
      <c r="S851" s="289"/>
      <c r="T851" s="81"/>
      <c r="U851" s="81"/>
      <c r="V851" s="81"/>
      <c r="W851" s="81"/>
      <c r="X851" s="81"/>
      <c r="Y851" s="81"/>
      <c r="Z851" s="81"/>
    </row>
    <row r="852" spans="1:26" ht="24" customHeight="1" x14ac:dyDescent="0.5">
      <c r="A852" s="81"/>
      <c r="B852" s="81"/>
      <c r="C852" s="81"/>
      <c r="D852" s="81"/>
      <c r="E852" s="81"/>
      <c r="F852" s="81"/>
      <c r="G852" s="81"/>
      <c r="H852" s="81"/>
      <c r="I852" s="81"/>
      <c r="J852" s="289"/>
      <c r="K852" s="81"/>
      <c r="L852" s="81"/>
      <c r="M852" s="289"/>
      <c r="N852" s="81"/>
      <c r="O852" s="81"/>
      <c r="P852" s="289"/>
      <c r="Q852" s="81"/>
      <c r="R852" s="81"/>
      <c r="S852" s="289"/>
      <c r="T852" s="81"/>
      <c r="U852" s="81"/>
      <c r="V852" s="81"/>
      <c r="W852" s="81"/>
      <c r="X852" s="81"/>
      <c r="Y852" s="81"/>
      <c r="Z852" s="81"/>
    </row>
    <row r="853" spans="1:26" ht="24" customHeight="1" x14ac:dyDescent="0.5">
      <c r="A853" s="81"/>
      <c r="B853" s="81"/>
      <c r="C853" s="81"/>
      <c r="D853" s="81"/>
      <c r="E853" s="81"/>
      <c r="F853" s="81"/>
      <c r="G853" s="81"/>
      <c r="H853" s="81"/>
      <c r="I853" s="81"/>
      <c r="J853" s="289"/>
      <c r="K853" s="81"/>
      <c r="L853" s="81"/>
      <c r="M853" s="289"/>
      <c r="N853" s="81"/>
      <c r="O853" s="81"/>
      <c r="P853" s="289"/>
      <c r="Q853" s="81"/>
      <c r="R853" s="81"/>
      <c r="S853" s="289"/>
      <c r="T853" s="81"/>
      <c r="U853" s="81"/>
      <c r="V853" s="81"/>
      <c r="W853" s="81"/>
      <c r="X853" s="81"/>
      <c r="Y853" s="81"/>
      <c r="Z853" s="81"/>
    </row>
    <row r="854" spans="1:26" ht="24" customHeight="1" x14ac:dyDescent="0.5">
      <c r="A854" s="81"/>
      <c r="B854" s="81"/>
      <c r="C854" s="81"/>
      <c r="D854" s="81"/>
      <c r="E854" s="81"/>
      <c r="F854" s="81"/>
      <c r="G854" s="81"/>
      <c r="H854" s="81"/>
      <c r="I854" s="81"/>
      <c r="J854" s="289"/>
      <c r="K854" s="81"/>
      <c r="L854" s="81"/>
      <c r="M854" s="289"/>
      <c r="N854" s="81"/>
      <c r="O854" s="81"/>
      <c r="P854" s="289"/>
      <c r="Q854" s="81"/>
      <c r="R854" s="81"/>
      <c r="S854" s="289"/>
      <c r="T854" s="81"/>
      <c r="U854" s="81"/>
      <c r="V854" s="81"/>
      <c r="W854" s="81"/>
      <c r="X854" s="81"/>
      <c r="Y854" s="81"/>
      <c r="Z854" s="81"/>
    </row>
    <row r="855" spans="1:26" ht="24" customHeight="1" x14ac:dyDescent="0.5">
      <c r="A855" s="81"/>
      <c r="B855" s="81"/>
      <c r="C855" s="81"/>
      <c r="D855" s="81"/>
      <c r="E855" s="81"/>
      <c r="F855" s="81"/>
      <c r="G855" s="81"/>
      <c r="H855" s="81"/>
      <c r="I855" s="81"/>
      <c r="J855" s="289"/>
      <c r="K855" s="81"/>
      <c r="L855" s="81"/>
      <c r="M855" s="289"/>
      <c r="N855" s="81"/>
      <c r="O855" s="81"/>
      <c r="P855" s="289"/>
      <c r="Q855" s="81"/>
      <c r="R855" s="81"/>
      <c r="S855" s="289"/>
      <c r="T855" s="81"/>
      <c r="U855" s="81"/>
      <c r="V855" s="81"/>
      <c r="W855" s="81"/>
      <c r="X855" s="81"/>
      <c r="Y855" s="81"/>
      <c r="Z855" s="81"/>
    </row>
    <row r="856" spans="1:26" ht="24" customHeight="1" x14ac:dyDescent="0.5">
      <c r="A856" s="81"/>
      <c r="B856" s="81"/>
      <c r="C856" s="81"/>
      <c r="D856" s="81"/>
      <c r="E856" s="81"/>
      <c r="F856" s="81"/>
      <c r="G856" s="81"/>
      <c r="H856" s="81"/>
      <c r="I856" s="81"/>
      <c r="J856" s="289"/>
      <c r="K856" s="81"/>
      <c r="L856" s="81"/>
      <c r="M856" s="289"/>
      <c r="N856" s="81"/>
      <c r="O856" s="81"/>
      <c r="P856" s="289"/>
      <c r="Q856" s="81"/>
      <c r="R856" s="81"/>
      <c r="S856" s="289"/>
      <c r="T856" s="81"/>
      <c r="U856" s="81"/>
      <c r="V856" s="81"/>
      <c r="W856" s="81"/>
      <c r="X856" s="81"/>
      <c r="Y856" s="81"/>
      <c r="Z856" s="81"/>
    </row>
    <row r="857" spans="1:26" ht="24" customHeight="1" x14ac:dyDescent="0.5">
      <c r="A857" s="81"/>
      <c r="B857" s="81"/>
      <c r="C857" s="81"/>
      <c r="D857" s="81"/>
      <c r="E857" s="81"/>
      <c r="F857" s="81"/>
      <c r="G857" s="81"/>
      <c r="H857" s="81"/>
      <c r="I857" s="81"/>
      <c r="J857" s="289"/>
      <c r="K857" s="81"/>
      <c r="L857" s="81"/>
      <c r="M857" s="289"/>
      <c r="N857" s="81"/>
      <c r="O857" s="81"/>
      <c r="P857" s="289"/>
      <c r="Q857" s="81"/>
      <c r="R857" s="81"/>
      <c r="S857" s="289"/>
      <c r="T857" s="81"/>
      <c r="U857" s="81"/>
      <c r="V857" s="81"/>
      <c r="W857" s="81"/>
      <c r="X857" s="81"/>
      <c r="Y857" s="81"/>
      <c r="Z857" s="81"/>
    </row>
    <row r="858" spans="1:26" ht="24" customHeight="1" x14ac:dyDescent="0.5">
      <c r="A858" s="81"/>
      <c r="B858" s="81"/>
      <c r="C858" s="81"/>
      <c r="D858" s="81"/>
      <c r="E858" s="81"/>
      <c r="F858" s="81"/>
      <c r="G858" s="81"/>
      <c r="H858" s="81"/>
      <c r="I858" s="81"/>
      <c r="J858" s="289"/>
      <c r="K858" s="81"/>
      <c r="L858" s="81"/>
      <c r="M858" s="289"/>
      <c r="N858" s="81"/>
      <c r="O858" s="81"/>
      <c r="P858" s="289"/>
      <c r="Q858" s="81"/>
      <c r="R858" s="81"/>
      <c r="S858" s="289"/>
      <c r="T858" s="81"/>
      <c r="U858" s="81"/>
      <c r="V858" s="81"/>
      <c r="W858" s="81"/>
      <c r="X858" s="81"/>
      <c r="Y858" s="81"/>
      <c r="Z858" s="81"/>
    </row>
    <row r="859" spans="1:26" ht="24" customHeight="1" x14ac:dyDescent="0.5">
      <c r="A859" s="81"/>
      <c r="B859" s="81"/>
      <c r="C859" s="81"/>
      <c r="D859" s="81"/>
      <c r="E859" s="81"/>
      <c r="F859" s="81"/>
      <c r="G859" s="81"/>
      <c r="H859" s="81"/>
      <c r="I859" s="81"/>
      <c r="J859" s="289"/>
      <c r="K859" s="81"/>
      <c r="L859" s="81"/>
      <c r="M859" s="289"/>
      <c r="N859" s="81"/>
      <c r="O859" s="81"/>
      <c r="P859" s="289"/>
      <c r="Q859" s="81"/>
      <c r="R859" s="81"/>
      <c r="S859" s="289"/>
      <c r="T859" s="81"/>
      <c r="U859" s="81"/>
      <c r="V859" s="81"/>
      <c r="W859" s="81"/>
      <c r="X859" s="81"/>
      <c r="Y859" s="81"/>
      <c r="Z859" s="81"/>
    </row>
    <row r="860" spans="1:26" ht="24" customHeight="1" x14ac:dyDescent="0.5">
      <c r="A860" s="81"/>
      <c r="B860" s="81"/>
      <c r="C860" s="81"/>
      <c r="D860" s="81"/>
      <c r="E860" s="81"/>
      <c r="F860" s="81"/>
      <c r="G860" s="81"/>
      <c r="H860" s="81"/>
      <c r="I860" s="81"/>
      <c r="J860" s="289"/>
      <c r="K860" s="81"/>
      <c r="L860" s="81"/>
      <c r="M860" s="289"/>
      <c r="N860" s="81"/>
      <c r="O860" s="81"/>
      <c r="P860" s="289"/>
      <c r="Q860" s="81"/>
      <c r="R860" s="81"/>
      <c r="S860" s="289"/>
      <c r="T860" s="81"/>
      <c r="U860" s="81"/>
      <c r="V860" s="81"/>
      <c r="W860" s="81"/>
      <c r="X860" s="81"/>
      <c r="Y860" s="81"/>
      <c r="Z860" s="81"/>
    </row>
    <row r="861" spans="1:26" ht="24" customHeight="1" x14ac:dyDescent="0.5">
      <c r="A861" s="81"/>
      <c r="B861" s="81"/>
      <c r="C861" s="81"/>
      <c r="D861" s="81"/>
      <c r="E861" s="81"/>
      <c r="F861" s="81"/>
      <c r="G861" s="81"/>
      <c r="H861" s="81"/>
      <c r="I861" s="81"/>
      <c r="J861" s="289"/>
      <c r="K861" s="81"/>
      <c r="L861" s="81"/>
      <c r="M861" s="289"/>
      <c r="N861" s="81"/>
      <c r="O861" s="81"/>
      <c r="P861" s="289"/>
      <c r="Q861" s="81"/>
      <c r="R861" s="81"/>
      <c r="S861" s="289"/>
      <c r="T861" s="81"/>
      <c r="U861" s="81"/>
      <c r="V861" s="81"/>
      <c r="W861" s="81"/>
      <c r="X861" s="81"/>
      <c r="Y861" s="81"/>
      <c r="Z861" s="81"/>
    </row>
    <row r="862" spans="1:26" ht="24" customHeight="1" x14ac:dyDescent="0.5">
      <c r="A862" s="81"/>
      <c r="B862" s="81"/>
      <c r="C862" s="81"/>
      <c r="D862" s="81"/>
      <c r="E862" s="81"/>
      <c r="F862" s="81"/>
      <c r="G862" s="81"/>
      <c r="H862" s="81"/>
      <c r="I862" s="81"/>
      <c r="J862" s="289"/>
      <c r="K862" s="81"/>
      <c r="L862" s="81"/>
      <c r="M862" s="289"/>
      <c r="N862" s="81"/>
      <c r="O862" s="81"/>
      <c r="P862" s="289"/>
      <c r="Q862" s="81"/>
      <c r="R862" s="81"/>
      <c r="S862" s="289"/>
      <c r="T862" s="81"/>
      <c r="U862" s="81"/>
      <c r="V862" s="81"/>
      <c r="W862" s="81"/>
      <c r="X862" s="81"/>
      <c r="Y862" s="81"/>
      <c r="Z862" s="81"/>
    </row>
    <row r="863" spans="1:26" ht="24" customHeight="1" x14ac:dyDescent="0.5">
      <c r="A863" s="81"/>
      <c r="B863" s="81"/>
      <c r="C863" s="81"/>
      <c r="D863" s="81"/>
      <c r="E863" s="81"/>
      <c r="F863" s="81"/>
      <c r="G863" s="81"/>
      <c r="H863" s="81"/>
      <c r="I863" s="81"/>
      <c r="J863" s="289"/>
      <c r="K863" s="81"/>
      <c r="L863" s="81"/>
      <c r="M863" s="289"/>
      <c r="N863" s="81"/>
      <c r="O863" s="81"/>
      <c r="P863" s="289"/>
      <c r="Q863" s="81"/>
      <c r="R863" s="81"/>
      <c r="S863" s="289"/>
      <c r="T863" s="81"/>
      <c r="U863" s="81"/>
      <c r="V863" s="81"/>
      <c r="W863" s="81"/>
      <c r="X863" s="81"/>
      <c r="Y863" s="81"/>
      <c r="Z863" s="81"/>
    </row>
    <row r="864" spans="1:26" ht="24" customHeight="1" x14ac:dyDescent="0.5">
      <c r="A864" s="81"/>
      <c r="B864" s="81"/>
      <c r="C864" s="81"/>
      <c r="D864" s="81"/>
      <c r="E864" s="81"/>
      <c r="F864" s="81"/>
      <c r="G864" s="81"/>
      <c r="H864" s="81"/>
      <c r="I864" s="81"/>
      <c r="J864" s="289"/>
      <c r="K864" s="81"/>
      <c r="L864" s="81"/>
      <c r="M864" s="289"/>
      <c r="N864" s="81"/>
      <c r="O864" s="81"/>
      <c r="P864" s="289"/>
      <c r="Q864" s="81"/>
      <c r="R864" s="81"/>
      <c r="S864" s="289"/>
      <c r="T864" s="81"/>
      <c r="U864" s="81"/>
      <c r="V864" s="81"/>
      <c r="W864" s="81"/>
      <c r="X864" s="81"/>
      <c r="Y864" s="81"/>
      <c r="Z864" s="81"/>
    </row>
    <row r="865" spans="1:26" ht="24" customHeight="1" x14ac:dyDescent="0.5">
      <c r="A865" s="81"/>
      <c r="B865" s="81"/>
      <c r="C865" s="81"/>
      <c r="D865" s="81"/>
      <c r="E865" s="81"/>
      <c r="F865" s="81"/>
      <c r="G865" s="81"/>
      <c r="H865" s="81"/>
      <c r="I865" s="81"/>
      <c r="J865" s="289"/>
      <c r="K865" s="81"/>
      <c r="L865" s="81"/>
      <c r="M865" s="289"/>
      <c r="N865" s="81"/>
      <c r="O865" s="81"/>
      <c r="P865" s="289"/>
      <c r="Q865" s="81"/>
      <c r="R865" s="81"/>
      <c r="S865" s="289"/>
      <c r="T865" s="81"/>
      <c r="U865" s="81"/>
      <c r="V865" s="81"/>
      <c r="W865" s="81"/>
      <c r="X865" s="81"/>
      <c r="Y865" s="81"/>
      <c r="Z865" s="81"/>
    </row>
    <row r="866" spans="1:26" ht="24" customHeight="1" x14ac:dyDescent="0.5">
      <c r="A866" s="81"/>
      <c r="B866" s="81"/>
      <c r="C866" s="81"/>
      <c r="D866" s="81"/>
      <c r="E866" s="81"/>
      <c r="F866" s="81"/>
      <c r="G866" s="81"/>
      <c r="H866" s="81"/>
      <c r="I866" s="81"/>
      <c r="J866" s="289"/>
      <c r="K866" s="81"/>
      <c r="L866" s="81"/>
      <c r="M866" s="289"/>
      <c r="N866" s="81"/>
      <c r="O866" s="81"/>
      <c r="P866" s="289"/>
      <c r="Q866" s="81"/>
      <c r="R866" s="81"/>
      <c r="S866" s="289"/>
      <c r="T866" s="81"/>
      <c r="U866" s="81"/>
      <c r="V866" s="81"/>
      <c r="W866" s="81"/>
      <c r="X866" s="81"/>
      <c r="Y866" s="81"/>
      <c r="Z866" s="81"/>
    </row>
    <row r="867" spans="1:26" ht="24" customHeight="1" x14ac:dyDescent="0.5">
      <c r="A867" s="81"/>
      <c r="B867" s="81"/>
      <c r="C867" s="81"/>
      <c r="D867" s="81"/>
      <c r="E867" s="81"/>
      <c r="F867" s="81"/>
      <c r="G867" s="81"/>
      <c r="H867" s="81"/>
      <c r="I867" s="81"/>
      <c r="J867" s="289"/>
      <c r="K867" s="81"/>
      <c r="L867" s="81"/>
      <c r="M867" s="289"/>
      <c r="N867" s="81"/>
      <c r="O867" s="81"/>
      <c r="P867" s="289"/>
      <c r="Q867" s="81"/>
      <c r="R867" s="81"/>
      <c r="S867" s="289"/>
      <c r="T867" s="81"/>
      <c r="U867" s="81"/>
      <c r="V867" s="81"/>
      <c r="W867" s="81"/>
      <c r="X867" s="81"/>
      <c r="Y867" s="81"/>
      <c r="Z867" s="81"/>
    </row>
    <row r="868" spans="1:26" ht="24" customHeight="1" x14ac:dyDescent="0.5">
      <c r="A868" s="81"/>
      <c r="B868" s="81"/>
      <c r="C868" s="81"/>
      <c r="D868" s="81"/>
      <c r="E868" s="81"/>
      <c r="F868" s="81"/>
      <c r="G868" s="81"/>
      <c r="H868" s="81"/>
      <c r="I868" s="81"/>
      <c r="J868" s="289"/>
      <c r="K868" s="81"/>
      <c r="L868" s="81"/>
      <c r="M868" s="289"/>
      <c r="N868" s="81"/>
      <c r="O868" s="81"/>
      <c r="P868" s="289"/>
      <c r="Q868" s="81"/>
      <c r="R868" s="81"/>
      <c r="S868" s="289"/>
      <c r="T868" s="81"/>
      <c r="U868" s="81"/>
      <c r="V868" s="81"/>
      <c r="W868" s="81"/>
      <c r="X868" s="81"/>
      <c r="Y868" s="81"/>
      <c r="Z868" s="81"/>
    </row>
    <row r="869" spans="1:26" ht="24" customHeight="1" x14ac:dyDescent="0.5">
      <c r="A869" s="81"/>
      <c r="B869" s="81"/>
      <c r="C869" s="81"/>
      <c r="D869" s="81"/>
      <c r="E869" s="81"/>
      <c r="F869" s="81"/>
      <c r="G869" s="81"/>
      <c r="H869" s="81"/>
      <c r="I869" s="81"/>
      <c r="J869" s="289"/>
      <c r="K869" s="81"/>
      <c r="L869" s="81"/>
      <c r="M869" s="289"/>
      <c r="N869" s="81"/>
      <c r="O869" s="81"/>
      <c r="P869" s="289"/>
      <c r="Q869" s="81"/>
      <c r="R869" s="81"/>
      <c r="S869" s="289"/>
      <c r="T869" s="81"/>
      <c r="U869" s="81"/>
      <c r="V869" s="81"/>
      <c r="W869" s="81"/>
      <c r="X869" s="81"/>
      <c r="Y869" s="81"/>
      <c r="Z869" s="81"/>
    </row>
    <row r="870" spans="1:26" ht="24" customHeight="1" x14ac:dyDescent="0.5">
      <c r="A870" s="81"/>
      <c r="B870" s="81"/>
      <c r="C870" s="81"/>
      <c r="D870" s="81"/>
      <c r="E870" s="81"/>
      <c r="F870" s="81"/>
      <c r="G870" s="81"/>
      <c r="H870" s="81"/>
      <c r="I870" s="81"/>
      <c r="J870" s="289"/>
      <c r="K870" s="81"/>
      <c r="L870" s="81"/>
      <c r="M870" s="289"/>
      <c r="N870" s="81"/>
      <c r="O870" s="81"/>
      <c r="P870" s="289"/>
      <c r="Q870" s="81"/>
      <c r="R870" s="81"/>
      <c r="S870" s="289"/>
      <c r="T870" s="81"/>
      <c r="U870" s="81"/>
      <c r="V870" s="81"/>
      <c r="W870" s="81"/>
      <c r="X870" s="81"/>
      <c r="Y870" s="81"/>
      <c r="Z870" s="81"/>
    </row>
    <row r="871" spans="1:26" ht="24" customHeight="1" x14ac:dyDescent="0.5">
      <c r="A871" s="81"/>
      <c r="B871" s="81"/>
      <c r="C871" s="81"/>
      <c r="D871" s="81"/>
      <c r="E871" s="81"/>
      <c r="F871" s="81"/>
      <c r="G871" s="81"/>
      <c r="H871" s="81"/>
      <c r="I871" s="81"/>
      <c r="J871" s="289"/>
      <c r="K871" s="81"/>
      <c r="L871" s="81"/>
      <c r="M871" s="289"/>
      <c r="N871" s="81"/>
      <c r="O871" s="81"/>
      <c r="P871" s="289"/>
      <c r="Q871" s="81"/>
      <c r="R871" s="81"/>
      <c r="S871" s="289"/>
      <c r="T871" s="81"/>
      <c r="U871" s="81"/>
      <c r="V871" s="81"/>
      <c r="W871" s="81"/>
      <c r="X871" s="81"/>
      <c r="Y871" s="81"/>
      <c r="Z871" s="81"/>
    </row>
    <row r="872" spans="1:26" ht="24" customHeight="1" x14ac:dyDescent="0.5">
      <c r="A872" s="81"/>
      <c r="B872" s="81"/>
      <c r="C872" s="81"/>
      <c r="D872" s="81"/>
      <c r="E872" s="81"/>
      <c r="F872" s="81"/>
      <c r="G872" s="81"/>
      <c r="H872" s="81"/>
      <c r="I872" s="81"/>
      <c r="J872" s="289"/>
      <c r="K872" s="81"/>
      <c r="L872" s="81"/>
      <c r="M872" s="289"/>
      <c r="N872" s="81"/>
      <c r="O872" s="81"/>
      <c r="P872" s="289"/>
      <c r="Q872" s="81"/>
      <c r="R872" s="81"/>
      <c r="S872" s="289"/>
      <c r="T872" s="81"/>
      <c r="U872" s="81"/>
      <c r="V872" s="81"/>
      <c r="W872" s="81"/>
      <c r="X872" s="81"/>
      <c r="Y872" s="81"/>
      <c r="Z872" s="81"/>
    </row>
    <row r="873" spans="1:26" ht="24" customHeight="1" x14ac:dyDescent="0.5">
      <c r="A873" s="81"/>
      <c r="B873" s="81"/>
      <c r="C873" s="81"/>
      <c r="D873" s="81"/>
      <c r="E873" s="81"/>
      <c r="F873" s="81"/>
      <c r="G873" s="81"/>
      <c r="H873" s="81"/>
      <c r="I873" s="81"/>
      <c r="J873" s="289"/>
      <c r="K873" s="81"/>
      <c r="L873" s="81"/>
      <c r="M873" s="289"/>
      <c r="N873" s="81"/>
      <c r="O873" s="81"/>
      <c r="P873" s="289"/>
      <c r="Q873" s="81"/>
      <c r="R873" s="81"/>
      <c r="S873" s="289"/>
      <c r="T873" s="81"/>
      <c r="U873" s="81"/>
      <c r="V873" s="81"/>
      <c r="W873" s="81"/>
      <c r="X873" s="81"/>
      <c r="Y873" s="81"/>
      <c r="Z873" s="81"/>
    </row>
    <row r="874" spans="1:26" ht="24" customHeight="1" x14ac:dyDescent="0.5">
      <c r="A874" s="81"/>
      <c r="B874" s="81"/>
      <c r="C874" s="81"/>
      <c r="D874" s="81"/>
      <c r="E874" s="81"/>
      <c r="F874" s="81"/>
      <c r="G874" s="81"/>
      <c r="H874" s="81"/>
      <c r="I874" s="81"/>
      <c r="J874" s="289"/>
      <c r="K874" s="81"/>
      <c r="L874" s="81"/>
      <c r="M874" s="289"/>
      <c r="N874" s="81"/>
      <c r="O874" s="81"/>
      <c r="P874" s="289"/>
      <c r="Q874" s="81"/>
      <c r="R874" s="81"/>
      <c r="S874" s="289"/>
      <c r="T874" s="81"/>
      <c r="U874" s="81"/>
      <c r="V874" s="81"/>
      <c r="W874" s="81"/>
      <c r="X874" s="81"/>
      <c r="Y874" s="81"/>
      <c r="Z874" s="81"/>
    </row>
    <row r="875" spans="1:26" ht="24" customHeight="1" x14ac:dyDescent="0.5">
      <c r="A875" s="81"/>
      <c r="B875" s="81"/>
      <c r="C875" s="81"/>
      <c r="D875" s="81"/>
      <c r="E875" s="81"/>
      <c r="F875" s="81"/>
      <c r="G875" s="81"/>
      <c r="H875" s="81"/>
      <c r="I875" s="81"/>
      <c r="J875" s="289"/>
      <c r="K875" s="81"/>
      <c r="L875" s="81"/>
      <c r="M875" s="289"/>
      <c r="N875" s="81"/>
      <c r="O875" s="81"/>
      <c r="P875" s="289"/>
      <c r="Q875" s="81"/>
      <c r="R875" s="81"/>
      <c r="S875" s="289"/>
      <c r="T875" s="81"/>
      <c r="U875" s="81"/>
      <c r="V875" s="81"/>
      <c r="W875" s="81"/>
      <c r="X875" s="81"/>
      <c r="Y875" s="81"/>
      <c r="Z875" s="81"/>
    </row>
    <row r="876" spans="1:26" ht="24" customHeight="1" x14ac:dyDescent="0.5">
      <c r="A876" s="81"/>
      <c r="B876" s="81"/>
      <c r="C876" s="81"/>
      <c r="D876" s="81"/>
      <c r="E876" s="81"/>
      <c r="F876" s="81"/>
      <c r="G876" s="81"/>
      <c r="H876" s="81"/>
      <c r="I876" s="81"/>
      <c r="J876" s="289"/>
      <c r="K876" s="81"/>
      <c r="L876" s="81"/>
      <c r="M876" s="289"/>
      <c r="N876" s="81"/>
      <c r="O876" s="81"/>
      <c r="P876" s="289"/>
      <c r="Q876" s="81"/>
      <c r="R876" s="81"/>
      <c r="S876" s="289"/>
      <c r="T876" s="81"/>
      <c r="U876" s="81"/>
      <c r="V876" s="81"/>
      <c r="W876" s="81"/>
      <c r="X876" s="81"/>
      <c r="Y876" s="81"/>
      <c r="Z876" s="81"/>
    </row>
    <row r="877" spans="1:26" ht="24" customHeight="1" x14ac:dyDescent="0.5">
      <c r="A877" s="81"/>
      <c r="B877" s="81"/>
      <c r="C877" s="81"/>
      <c r="D877" s="81"/>
      <c r="E877" s="81"/>
      <c r="F877" s="81"/>
      <c r="G877" s="81"/>
      <c r="H877" s="81"/>
      <c r="I877" s="81"/>
      <c r="J877" s="289"/>
      <c r="K877" s="81"/>
      <c r="L877" s="81"/>
      <c r="M877" s="289"/>
      <c r="N877" s="81"/>
      <c r="O877" s="81"/>
      <c r="P877" s="289"/>
      <c r="Q877" s="81"/>
      <c r="R877" s="81"/>
      <c r="S877" s="289"/>
      <c r="T877" s="81"/>
      <c r="U877" s="81"/>
      <c r="V877" s="81"/>
      <c r="W877" s="81"/>
      <c r="X877" s="81"/>
      <c r="Y877" s="81"/>
      <c r="Z877" s="81"/>
    </row>
    <row r="878" spans="1:26" ht="24" customHeight="1" x14ac:dyDescent="0.5">
      <c r="A878" s="81"/>
      <c r="B878" s="81"/>
      <c r="C878" s="81"/>
      <c r="D878" s="81"/>
      <c r="E878" s="81"/>
      <c r="F878" s="81"/>
      <c r="G878" s="81"/>
      <c r="H878" s="81"/>
      <c r="I878" s="81"/>
      <c r="J878" s="289"/>
      <c r="K878" s="81"/>
      <c r="L878" s="81"/>
      <c r="M878" s="289"/>
      <c r="N878" s="81"/>
      <c r="O878" s="81"/>
      <c r="P878" s="289"/>
      <c r="Q878" s="81"/>
      <c r="R878" s="81"/>
      <c r="S878" s="289"/>
      <c r="T878" s="81"/>
      <c r="U878" s="81"/>
      <c r="V878" s="81"/>
      <c r="W878" s="81"/>
      <c r="X878" s="81"/>
      <c r="Y878" s="81"/>
      <c r="Z878" s="81"/>
    </row>
    <row r="879" spans="1:26" ht="24" customHeight="1" x14ac:dyDescent="0.5">
      <c r="A879" s="81"/>
      <c r="B879" s="81"/>
      <c r="C879" s="81"/>
      <c r="D879" s="81"/>
      <c r="E879" s="81"/>
      <c r="F879" s="81"/>
      <c r="G879" s="81"/>
      <c r="H879" s="81"/>
      <c r="I879" s="81"/>
      <c r="J879" s="289"/>
      <c r="K879" s="81"/>
      <c r="L879" s="81"/>
      <c r="M879" s="289"/>
      <c r="N879" s="81"/>
      <c r="O879" s="81"/>
      <c r="P879" s="289"/>
      <c r="Q879" s="81"/>
      <c r="R879" s="81"/>
      <c r="S879" s="289"/>
      <c r="T879" s="81"/>
      <c r="U879" s="81"/>
      <c r="V879" s="81"/>
      <c r="W879" s="81"/>
      <c r="X879" s="81"/>
      <c r="Y879" s="81"/>
      <c r="Z879" s="81"/>
    </row>
    <row r="880" spans="1:26" ht="24" customHeight="1" x14ac:dyDescent="0.5">
      <c r="A880" s="81"/>
      <c r="B880" s="81"/>
      <c r="C880" s="81"/>
      <c r="D880" s="81"/>
      <c r="E880" s="81"/>
      <c r="F880" s="81"/>
      <c r="G880" s="81"/>
      <c r="H880" s="81"/>
      <c r="I880" s="81"/>
      <c r="J880" s="289"/>
      <c r="K880" s="81"/>
      <c r="L880" s="81"/>
      <c r="M880" s="289"/>
      <c r="N880" s="81"/>
      <c r="O880" s="81"/>
      <c r="P880" s="289"/>
      <c r="Q880" s="81"/>
      <c r="R880" s="81"/>
      <c r="S880" s="289"/>
      <c r="T880" s="81"/>
      <c r="U880" s="81"/>
      <c r="V880" s="81"/>
      <c r="W880" s="81"/>
      <c r="X880" s="81"/>
      <c r="Y880" s="81"/>
      <c r="Z880" s="81"/>
    </row>
    <row r="881" spans="1:26" ht="24" customHeight="1" x14ac:dyDescent="0.5">
      <c r="A881" s="81"/>
      <c r="B881" s="81"/>
      <c r="C881" s="81"/>
      <c r="D881" s="81"/>
      <c r="E881" s="81"/>
      <c r="F881" s="81"/>
      <c r="G881" s="81"/>
      <c r="H881" s="81"/>
      <c r="I881" s="81"/>
      <c r="J881" s="289"/>
      <c r="K881" s="81"/>
      <c r="L881" s="81"/>
      <c r="M881" s="289"/>
      <c r="N881" s="81"/>
      <c r="O881" s="81"/>
      <c r="P881" s="289"/>
      <c r="Q881" s="81"/>
      <c r="R881" s="81"/>
      <c r="S881" s="289"/>
      <c r="T881" s="81"/>
      <c r="U881" s="81"/>
      <c r="V881" s="81"/>
      <c r="W881" s="81"/>
      <c r="X881" s="81"/>
      <c r="Y881" s="81"/>
      <c r="Z881" s="81"/>
    </row>
    <row r="882" spans="1:26" ht="24" customHeight="1" x14ac:dyDescent="0.5">
      <c r="A882" s="81"/>
      <c r="B882" s="81"/>
      <c r="C882" s="81"/>
      <c r="D882" s="81"/>
      <c r="E882" s="81"/>
      <c r="F882" s="81"/>
      <c r="G882" s="81"/>
      <c r="H882" s="81"/>
      <c r="I882" s="81"/>
      <c r="J882" s="289"/>
      <c r="K882" s="81"/>
      <c r="L882" s="81"/>
      <c r="M882" s="289"/>
      <c r="N882" s="81"/>
      <c r="O882" s="81"/>
      <c r="P882" s="289"/>
      <c r="Q882" s="81"/>
      <c r="R882" s="81"/>
      <c r="S882" s="289"/>
      <c r="T882" s="81"/>
      <c r="U882" s="81"/>
      <c r="V882" s="81"/>
      <c r="W882" s="81"/>
      <c r="X882" s="81"/>
      <c r="Y882" s="81"/>
      <c r="Z882" s="81"/>
    </row>
    <row r="883" spans="1:26" ht="24" customHeight="1" x14ac:dyDescent="0.5">
      <c r="A883" s="81"/>
      <c r="B883" s="81"/>
      <c r="C883" s="81"/>
      <c r="D883" s="81"/>
      <c r="E883" s="81"/>
      <c r="F883" s="81"/>
      <c r="G883" s="81"/>
      <c r="H883" s="81"/>
      <c r="I883" s="81"/>
      <c r="J883" s="289"/>
      <c r="K883" s="81"/>
      <c r="L883" s="81"/>
      <c r="M883" s="289"/>
      <c r="N883" s="81"/>
      <c r="O883" s="81"/>
      <c r="P883" s="289"/>
      <c r="Q883" s="81"/>
      <c r="R883" s="81"/>
      <c r="S883" s="289"/>
      <c r="T883" s="81"/>
      <c r="U883" s="81"/>
      <c r="V883" s="81"/>
      <c r="W883" s="81"/>
      <c r="X883" s="81"/>
      <c r="Y883" s="81"/>
      <c r="Z883" s="81"/>
    </row>
    <row r="884" spans="1:26" ht="24" customHeight="1" x14ac:dyDescent="0.5">
      <c r="A884" s="81"/>
      <c r="B884" s="81"/>
      <c r="C884" s="81"/>
      <c r="D884" s="81"/>
      <c r="E884" s="81"/>
      <c r="F884" s="81"/>
      <c r="G884" s="81"/>
      <c r="H884" s="81"/>
      <c r="I884" s="81"/>
      <c r="J884" s="289"/>
      <c r="K884" s="81"/>
      <c r="L884" s="81"/>
      <c r="M884" s="289"/>
      <c r="N884" s="81"/>
      <c r="O884" s="81"/>
      <c r="P884" s="289"/>
      <c r="Q884" s="81"/>
      <c r="R884" s="81"/>
      <c r="S884" s="289"/>
      <c r="T884" s="81"/>
      <c r="U884" s="81"/>
      <c r="V884" s="81"/>
      <c r="W884" s="81"/>
      <c r="X884" s="81"/>
      <c r="Y884" s="81"/>
      <c r="Z884" s="81"/>
    </row>
    <row r="885" spans="1:26" ht="24" customHeight="1" x14ac:dyDescent="0.5">
      <c r="A885" s="81"/>
      <c r="B885" s="81"/>
      <c r="C885" s="81"/>
      <c r="D885" s="81"/>
      <c r="E885" s="81"/>
      <c r="F885" s="81"/>
      <c r="G885" s="81"/>
      <c r="H885" s="81"/>
      <c r="I885" s="81"/>
      <c r="J885" s="289"/>
      <c r="K885" s="81"/>
      <c r="L885" s="81"/>
      <c r="M885" s="289"/>
      <c r="N885" s="81"/>
      <c r="O885" s="81"/>
      <c r="P885" s="289"/>
      <c r="Q885" s="81"/>
      <c r="R885" s="81"/>
      <c r="S885" s="289"/>
      <c r="T885" s="81"/>
      <c r="U885" s="81"/>
      <c r="V885" s="81"/>
      <c r="W885" s="81"/>
      <c r="X885" s="81"/>
      <c r="Y885" s="81"/>
      <c r="Z885" s="81"/>
    </row>
    <row r="886" spans="1:26" ht="24" customHeight="1" x14ac:dyDescent="0.5">
      <c r="A886" s="81"/>
      <c r="B886" s="81"/>
      <c r="C886" s="81"/>
      <c r="D886" s="81"/>
      <c r="E886" s="81"/>
      <c r="F886" s="81"/>
      <c r="G886" s="81"/>
      <c r="H886" s="81"/>
      <c r="I886" s="81"/>
      <c r="J886" s="289"/>
      <c r="K886" s="81"/>
      <c r="L886" s="81"/>
      <c r="M886" s="289"/>
      <c r="N886" s="81"/>
      <c r="O886" s="81"/>
      <c r="P886" s="289"/>
      <c r="Q886" s="81"/>
      <c r="R886" s="81"/>
      <c r="S886" s="289"/>
      <c r="T886" s="81"/>
      <c r="U886" s="81"/>
      <c r="V886" s="81"/>
      <c r="W886" s="81"/>
      <c r="X886" s="81"/>
      <c r="Y886" s="81"/>
      <c r="Z886" s="81"/>
    </row>
    <row r="887" spans="1:26" ht="24" customHeight="1" x14ac:dyDescent="0.5">
      <c r="A887" s="81"/>
      <c r="B887" s="81"/>
      <c r="C887" s="81"/>
      <c r="D887" s="81"/>
      <c r="E887" s="81"/>
      <c r="F887" s="81"/>
      <c r="G887" s="81"/>
      <c r="H887" s="81"/>
      <c r="I887" s="81"/>
      <c r="J887" s="289"/>
      <c r="K887" s="81"/>
      <c r="L887" s="81"/>
      <c r="M887" s="289"/>
      <c r="N887" s="81"/>
      <c r="O887" s="81"/>
      <c r="P887" s="289"/>
      <c r="Q887" s="81"/>
      <c r="R887" s="81"/>
      <c r="S887" s="289"/>
      <c r="T887" s="81"/>
      <c r="U887" s="81"/>
      <c r="V887" s="81"/>
      <c r="W887" s="81"/>
      <c r="X887" s="81"/>
      <c r="Y887" s="81"/>
      <c r="Z887" s="81"/>
    </row>
    <row r="888" spans="1:26" ht="24" customHeight="1" x14ac:dyDescent="0.5">
      <c r="A888" s="81"/>
      <c r="B888" s="81"/>
      <c r="C888" s="81"/>
      <c r="D888" s="81"/>
      <c r="E888" s="81"/>
      <c r="F888" s="81"/>
      <c r="G888" s="81"/>
      <c r="H888" s="81"/>
      <c r="I888" s="81"/>
      <c r="J888" s="289"/>
      <c r="K888" s="81"/>
      <c r="L888" s="81"/>
      <c r="M888" s="289"/>
      <c r="N888" s="81"/>
      <c r="O888" s="81"/>
      <c r="P888" s="289"/>
      <c r="Q888" s="81"/>
      <c r="R888" s="81"/>
      <c r="S888" s="289"/>
      <c r="T888" s="81"/>
      <c r="U888" s="81"/>
      <c r="V888" s="81"/>
      <c r="W888" s="81"/>
      <c r="X888" s="81"/>
      <c r="Y888" s="81"/>
      <c r="Z888" s="81"/>
    </row>
    <row r="889" spans="1:26" ht="24" customHeight="1" x14ac:dyDescent="0.5">
      <c r="A889" s="81"/>
      <c r="B889" s="81"/>
      <c r="C889" s="81"/>
      <c r="D889" s="81"/>
      <c r="E889" s="81"/>
      <c r="F889" s="81"/>
      <c r="G889" s="81"/>
      <c r="H889" s="81"/>
      <c r="I889" s="81"/>
      <c r="J889" s="289"/>
      <c r="K889" s="81"/>
      <c r="L889" s="81"/>
      <c r="M889" s="289"/>
      <c r="N889" s="81"/>
      <c r="O889" s="81"/>
      <c r="P889" s="289"/>
      <c r="Q889" s="81"/>
      <c r="R889" s="81"/>
      <c r="S889" s="289"/>
      <c r="T889" s="81"/>
      <c r="U889" s="81"/>
      <c r="V889" s="81"/>
      <c r="W889" s="81"/>
      <c r="X889" s="81"/>
      <c r="Y889" s="81"/>
      <c r="Z889" s="81"/>
    </row>
    <row r="890" spans="1:26" ht="24" customHeight="1" x14ac:dyDescent="0.5">
      <c r="A890" s="81"/>
      <c r="B890" s="81"/>
      <c r="C890" s="81"/>
      <c r="D890" s="81"/>
      <c r="E890" s="81"/>
      <c r="F890" s="81"/>
      <c r="G890" s="81"/>
      <c r="H890" s="81"/>
      <c r="I890" s="81"/>
      <c r="J890" s="289"/>
      <c r="K890" s="81"/>
      <c r="L890" s="81"/>
      <c r="M890" s="289"/>
      <c r="N890" s="81"/>
      <c r="O890" s="81"/>
      <c r="P890" s="289"/>
      <c r="Q890" s="81"/>
      <c r="R890" s="81"/>
      <c r="S890" s="289"/>
      <c r="T890" s="81"/>
      <c r="U890" s="81"/>
      <c r="V890" s="81"/>
      <c r="W890" s="81"/>
      <c r="X890" s="81"/>
      <c r="Y890" s="81"/>
      <c r="Z890" s="81"/>
    </row>
    <row r="891" spans="1:26" ht="24" customHeight="1" x14ac:dyDescent="0.5">
      <c r="A891" s="81"/>
      <c r="B891" s="81"/>
      <c r="C891" s="81"/>
      <c r="D891" s="81"/>
      <c r="E891" s="81"/>
      <c r="F891" s="81"/>
      <c r="G891" s="81"/>
      <c r="H891" s="81"/>
      <c r="I891" s="81"/>
      <c r="J891" s="289"/>
      <c r="K891" s="81"/>
      <c r="L891" s="81"/>
      <c r="M891" s="289"/>
      <c r="N891" s="81"/>
      <c r="O891" s="81"/>
      <c r="P891" s="289"/>
      <c r="Q891" s="81"/>
      <c r="R891" s="81"/>
      <c r="S891" s="289"/>
      <c r="T891" s="81"/>
      <c r="U891" s="81"/>
      <c r="V891" s="81"/>
      <c r="W891" s="81"/>
      <c r="X891" s="81"/>
      <c r="Y891" s="81"/>
      <c r="Z891" s="81"/>
    </row>
    <row r="892" spans="1:26" ht="24" customHeight="1" x14ac:dyDescent="0.5">
      <c r="A892" s="81"/>
      <c r="B892" s="81"/>
      <c r="C892" s="81"/>
      <c r="D892" s="81"/>
      <c r="E892" s="81"/>
      <c r="F892" s="81"/>
      <c r="G892" s="81"/>
      <c r="H892" s="81"/>
      <c r="I892" s="81"/>
      <c r="J892" s="289"/>
      <c r="K892" s="81"/>
      <c r="L892" s="81"/>
      <c r="M892" s="289"/>
      <c r="N892" s="81"/>
      <c r="O892" s="81"/>
      <c r="P892" s="289"/>
      <c r="Q892" s="81"/>
      <c r="R892" s="81"/>
      <c r="S892" s="289"/>
      <c r="T892" s="81"/>
      <c r="U892" s="81"/>
      <c r="V892" s="81"/>
      <c r="W892" s="81"/>
      <c r="X892" s="81"/>
      <c r="Y892" s="81"/>
      <c r="Z892" s="81"/>
    </row>
    <row r="893" spans="1:26" ht="24" customHeight="1" x14ac:dyDescent="0.5">
      <c r="A893" s="81"/>
      <c r="B893" s="81"/>
      <c r="C893" s="81"/>
      <c r="D893" s="81"/>
      <c r="E893" s="81"/>
      <c r="F893" s="81"/>
      <c r="G893" s="81"/>
      <c r="H893" s="81"/>
      <c r="I893" s="81"/>
      <c r="J893" s="289"/>
      <c r="K893" s="81"/>
      <c r="L893" s="81"/>
      <c r="M893" s="289"/>
      <c r="N893" s="81"/>
      <c r="O893" s="81"/>
      <c r="P893" s="289"/>
      <c r="Q893" s="81"/>
      <c r="R893" s="81"/>
      <c r="S893" s="289"/>
      <c r="T893" s="81"/>
      <c r="U893" s="81"/>
      <c r="V893" s="81"/>
      <c r="W893" s="81"/>
      <c r="X893" s="81"/>
      <c r="Y893" s="81"/>
      <c r="Z893" s="81"/>
    </row>
    <row r="894" spans="1:26" ht="24" customHeight="1" x14ac:dyDescent="0.5">
      <c r="A894" s="81"/>
      <c r="B894" s="81"/>
      <c r="C894" s="81"/>
      <c r="D894" s="81"/>
      <c r="E894" s="81"/>
      <c r="F894" s="81"/>
      <c r="G894" s="81"/>
      <c r="H894" s="81"/>
      <c r="I894" s="81"/>
      <c r="J894" s="289"/>
      <c r="K894" s="81"/>
      <c r="L894" s="81"/>
      <c r="M894" s="289"/>
      <c r="N894" s="81"/>
      <c r="O894" s="81"/>
      <c r="P894" s="289"/>
      <c r="Q894" s="81"/>
      <c r="R894" s="81"/>
      <c r="S894" s="289"/>
      <c r="T894" s="81"/>
      <c r="U894" s="81"/>
      <c r="V894" s="81"/>
      <c r="W894" s="81"/>
      <c r="X894" s="81"/>
      <c r="Y894" s="81"/>
      <c r="Z894" s="81"/>
    </row>
    <row r="895" spans="1:26" ht="24" customHeight="1" x14ac:dyDescent="0.5">
      <c r="A895" s="81"/>
      <c r="B895" s="81"/>
      <c r="C895" s="81"/>
      <c r="D895" s="81"/>
      <c r="E895" s="81"/>
      <c r="F895" s="81"/>
      <c r="G895" s="81"/>
      <c r="H895" s="81"/>
      <c r="I895" s="81"/>
      <c r="J895" s="289"/>
      <c r="K895" s="81"/>
      <c r="L895" s="81"/>
      <c r="M895" s="289"/>
      <c r="N895" s="81"/>
      <c r="O895" s="81"/>
      <c r="P895" s="289"/>
      <c r="Q895" s="81"/>
      <c r="R895" s="81"/>
      <c r="S895" s="289"/>
      <c r="T895" s="81"/>
      <c r="U895" s="81"/>
      <c r="V895" s="81"/>
      <c r="W895" s="81"/>
      <c r="X895" s="81"/>
      <c r="Y895" s="81"/>
      <c r="Z895" s="81"/>
    </row>
    <row r="896" spans="1:26" ht="24" customHeight="1" x14ac:dyDescent="0.5">
      <c r="A896" s="81"/>
      <c r="B896" s="81"/>
      <c r="C896" s="81"/>
      <c r="D896" s="81"/>
      <c r="E896" s="81"/>
      <c r="F896" s="81"/>
      <c r="G896" s="81"/>
      <c r="H896" s="81"/>
      <c r="I896" s="81"/>
      <c r="J896" s="289"/>
      <c r="K896" s="81"/>
      <c r="L896" s="81"/>
      <c r="M896" s="289"/>
      <c r="N896" s="81"/>
      <c r="O896" s="81"/>
      <c r="P896" s="289"/>
      <c r="Q896" s="81"/>
      <c r="R896" s="81"/>
      <c r="S896" s="289"/>
      <c r="T896" s="81"/>
      <c r="U896" s="81"/>
      <c r="V896" s="81"/>
      <c r="W896" s="81"/>
      <c r="X896" s="81"/>
      <c r="Y896" s="81"/>
      <c r="Z896" s="81"/>
    </row>
    <row r="897" spans="1:26" ht="24" customHeight="1" x14ac:dyDescent="0.5">
      <c r="A897" s="81"/>
      <c r="B897" s="81"/>
      <c r="C897" s="81"/>
      <c r="D897" s="81"/>
      <c r="E897" s="81"/>
      <c r="F897" s="81"/>
      <c r="G897" s="81"/>
      <c r="H897" s="81"/>
      <c r="I897" s="81"/>
      <c r="J897" s="289"/>
      <c r="K897" s="81"/>
      <c r="L897" s="81"/>
      <c r="M897" s="289"/>
      <c r="N897" s="81"/>
      <c r="O897" s="81"/>
      <c r="P897" s="289"/>
      <c r="Q897" s="81"/>
      <c r="R897" s="81"/>
      <c r="S897" s="289"/>
      <c r="T897" s="81"/>
      <c r="U897" s="81"/>
      <c r="V897" s="81"/>
      <c r="W897" s="81"/>
      <c r="X897" s="81"/>
      <c r="Y897" s="81"/>
      <c r="Z897" s="81"/>
    </row>
    <row r="898" spans="1:26" ht="24" customHeight="1" x14ac:dyDescent="0.5">
      <c r="A898" s="81"/>
      <c r="B898" s="81"/>
      <c r="C898" s="81"/>
      <c r="D898" s="81"/>
      <c r="E898" s="81"/>
      <c r="F898" s="81"/>
      <c r="G898" s="81"/>
      <c r="H898" s="81"/>
      <c r="I898" s="81"/>
      <c r="J898" s="289"/>
      <c r="K898" s="81"/>
      <c r="L898" s="81"/>
      <c r="M898" s="289"/>
      <c r="N898" s="81"/>
      <c r="O898" s="81"/>
      <c r="P898" s="289"/>
      <c r="Q898" s="81"/>
      <c r="R898" s="81"/>
      <c r="S898" s="289"/>
      <c r="T898" s="81"/>
      <c r="U898" s="81"/>
      <c r="V898" s="81"/>
      <c r="W898" s="81"/>
      <c r="X898" s="81"/>
      <c r="Y898" s="81"/>
      <c r="Z898" s="81"/>
    </row>
    <row r="899" spans="1:26" ht="24" customHeight="1" x14ac:dyDescent="0.5">
      <c r="A899" s="81"/>
      <c r="B899" s="81"/>
      <c r="C899" s="81"/>
      <c r="D899" s="81"/>
      <c r="E899" s="81"/>
      <c r="F899" s="81"/>
      <c r="G899" s="81"/>
      <c r="H899" s="81"/>
      <c r="I899" s="81"/>
      <c r="J899" s="289"/>
      <c r="K899" s="81"/>
      <c r="L899" s="81"/>
      <c r="M899" s="289"/>
      <c r="N899" s="81"/>
      <c r="O899" s="81"/>
      <c r="P899" s="289"/>
      <c r="Q899" s="81"/>
      <c r="R899" s="81"/>
      <c r="S899" s="289"/>
      <c r="T899" s="81"/>
      <c r="U899" s="81"/>
      <c r="V899" s="81"/>
      <c r="W899" s="81"/>
      <c r="X899" s="81"/>
      <c r="Y899" s="81"/>
      <c r="Z899" s="81"/>
    </row>
    <row r="900" spans="1:26" ht="24" customHeight="1" x14ac:dyDescent="0.5">
      <c r="A900" s="81"/>
      <c r="B900" s="81"/>
      <c r="C900" s="81"/>
      <c r="D900" s="81"/>
      <c r="E900" s="81"/>
      <c r="F900" s="81"/>
      <c r="G900" s="81"/>
      <c r="H900" s="81"/>
      <c r="I900" s="81"/>
      <c r="J900" s="289"/>
      <c r="K900" s="81"/>
      <c r="L900" s="81"/>
      <c r="M900" s="289"/>
      <c r="N900" s="81"/>
      <c r="O900" s="81"/>
      <c r="P900" s="289"/>
      <c r="Q900" s="81"/>
      <c r="R900" s="81"/>
      <c r="S900" s="289"/>
      <c r="T900" s="81"/>
      <c r="U900" s="81"/>
      <c r="V900" s="81"/>
      <c r="W900" s="81"/>
      <c r="X900" s="81"/>
      <c r="Y900" s="81"/>
      <c r="Z900" s="81"/>
    </row>
    <row r="901" spans="1:26" ht="24" customHeight="1" x14ac:dyDescent="0.5">
      <c r="A901" s="81"/>
      <c r="B901" s="81"/>
      <c r="C901" s="81"/>
      <c r="D901" s="81"/>
      <c r="E901" s="81"/>
      <c r="F901" s="81"/>
      <c r="G901" s="81"/>
      <c r="H901" s="81"/>
      <c r="I901" s="81"/>
      <c r="J901" s="289"/>
      <c r="K901" s="81"/>
      <c r="L901" s="81"/>
      <c r="M901" s="289"/>
      <c r="N901" s="81"/>
      <c r="O901" s="81"/>
      <c r="P901" s="289"/>
      <c r="Q901" s="81"/>
      <c r="R901" s="81"/>
      <c r="S901" s="289"/>
      <c r="T901" s="81"/>
      <c r="U901" s="81"/>
      <c r="V901" s="81"/>
      <c r="W901" s="81"/>
      <c r="X901" s="81"/>
      <c r="Y901" s="81"/>
      <c r="Z901" s="81"/>
    </row>
    <row r="902" spans="1:26" ht="24" customHeight="1" x14ac:dyDescent="0.5">
      <c r="A902" s="81"/>
      <c r="B902" s="81"/>
      <c r="C902" s="81"/>
      <c r="D902" s="81"/>
      <c r="E902" s="81"/>
      <c r="F902" s="81"/>
      <c r="G902" s="81"/>
      <c r="H902" s="81"/>
      <c r="I902" s="81"/>
      <c r="J902" s="289"/>
      <c r="K902" s="81"/>
      <c r="L902" s="81"/>
      <c r="M902" s="289"/>
      <c r="N902" s="81"/>
      <c r="O902" s="81"/>
      <c r="P902" s="289"/>
      <c r="Q902" s="81"/>
      <c r="R902" s="81"/>
      <c r="S902" s="289"/>
      <c r="T902" s="81"/>
      <c r="U902" s="81"/>
      <c r="V902" s="81"/>
      <c r="W902" s="81"/>
      <c r="X902" s="81"/>
      <c r="Y902" s="81"/>
      <c r="Z902" s="81"/>
    </row>
    <row r="903" spans="1:26" ht="24" customHeight="1" x14ac:dyDescent="0.5">
      <c r="A903" s="81"/>
      <c r="B903" s="81"/>
      <c r="C903" s="81"/>
      <c r="D903" s="81"/>
      <c r="E903" s="81"/>
      <c r="F903" s="81"/>
      <c r="G903" s="81"/>
      <c r="H903" s="81"/>
      <c r="I903" s="81"/>
      <c r="J903" s="289"/>
      <c r="K903" s="81"/>
      <c r="L903" s="81"/>
      <c r="M903" s="289"/>
      <c r="N903" s="81"/>
      <c r="O903" s="81"/>
      <c r="P903" s="289"/>
      <c r="Q903" s="81"/>
      <c r="R903" s="81"/>
      <c r="S903" s="289"/>
      <c r="T903" s="81"/>
      <c r="U903" s="81"/>
      <c r="V903" s="81"/>
      <c r="W903" s="81"/>
      <c r="X903" s="81"/>
      <c r="Y903" s="81"/>
      <c r="Z903" s="81"/>
    </row>
    <row r="904" spans="1:26" ht="24" customHeight="1" x14ac:dyDescent="0.5">
      <c r="A904" s="81"/>
      <c r="B904" s="81"/>
      <c r="C904" s="81"/>
      <c r="D904" s="81"/>
      <c r="E904" s="81"/>
      <c r="F904" s="81"/>
      <c r="G904" s="81"/>
      <c r="H904" s="81"/>
      <c r="I904" s="81"/>
      <c r="J904" s="289"/>
      <c r="K904" s="81"/>
      <c r="L904" s="81"/>
      <c r="M904" s="289"/>
      <c r="N904" s="81"/>
      <c r="O904" s="81"/>
      <c r="P904" s="289"/>
      <c r="Q904" s="81"/>
      <c r="R904" s="81"/>
      <c r="S904" s="289"/>
      <c r="T904" s="81"/>
      <c r="U904" s="81"/>
      <c r="V904" s="81"/>
      <c r="W904" s="81"/>
      <c r="X904" s="81"/>
      <c r="Y904" s="81"/>
      <c r="Z904" s="81"/>
    </row>
    <row r="905" spans="1:26" ht="24" customHeight="1" x14ac:dyDescent="0.5">
      <c r="A905" s="81"/>
      <c r="B905" s="81"/>
      <c r="C905" s="81"/>
      <c r="D905" s="81"/>
      <c r="E905" s="81"/>
      <c r="F905" s="81"/>
      <c r="G905" s="81"/>
      <c r="H905" s="81"/>
      <c r="I905" s="81"/>
      <c r="J905" s="289"/>
      <c r="K905" s="81"/>
      <c r="L905" s="81"/>
      <c r="M905" s="289"/>
      <c r="N905" s="81"/>
      <c r="O905" s="81"/>
      <c r="P905" s="289"/>
      <c r="Q905" s="81"/>
      <c r="R905" s="81"/>
      <c r="S905" s="289"/>
      <c r="T905" s="81"/>
      <c r="U905" s="81"/>
      <c r="V905" s="81"/>
      <c r="W905" s="81"/>
      <c r="X905" s="81"/>
      <c r="Y905" s="81"/>
      <c r="Z905" s="81"/>
    </row>
    <row r="906" spans="1:26" ht="24" customHeight="1" x14ac:dyDescent="0.5">
      <c r="A906" s="81"/>
      <c r="B906" s="81"/>
      <c r="C906" s="81"/>
      <c r="D906" s="81"/>
      <c r="E906" s="81"/>
      <c r="F906" s="81"/>
      <c r="G906" s="81"/>
      <c r="H906" s="81"/>
      <c r="I906" s="81"/>
      <c r="J906" s="289"/>
      <c r="K906" s="81"/>
      <c r="L906" s="81"/>
      <c r="M906" s="289"/>
      <c r="N906" s="81"/>
      <c r="O906" s="81"/>
      <c r="P906" s="289"/>
      <c r="Q906" s="81"/>
      <c r="R906" s="81"/>
      <c r="S906" s="289"/>
      <c r="T906" s="81"/>
      <c r="U906" s="81"/>
      <c r="V906" s="81"/>
      <c r="W906" s="81"/>
      <c r="X906" s="81"/>
      <c r="Y906" s="81"/>
      <c r="Z906" s="81"/>
    </row>
    <row r="907" spans="1:26" ht="24" customHeight="1" x14ac:dyDescent="0.5">
      <c r="A907" s="81"/>
      <c r="B907" s="81"/>
      <c r="C907" s="81"/>
      <c r="D907" s="81"/>
      <c r="E907" s="81"/>
      <c r="F907" s="81"/>
      <c r="G907" s="81"/>
      <c r="H907" s="81"/>
      <c r="I907" s="81"/>
      <c r="J907" s="289"/>
      <c r="K907" s="81"/>
      <c r="L907" s="81"/>
      <c r="M907" s="289"/>
      <c r="N907" s="81"/>
      <c r="O907" s="81"/>
      <c r="P907" s="289"/>
      <c r="Q907" s="81"/>
      <c r="R907" s="81"/>
      <c r="S907" s="289"/>
      <c r="T907" s="81"/>
      <c r="U907" s="81"/>
      <c r="V907" s="81"/>
      <c r="W907" s="81"/>
      <c r="X907" s="81"/>
      <c r="Y907" s="81"/>
      <c r="Z907" s="81"/>
    </row>
    <row r="908" spans="1:26" ht="24" customHeight="1" x14ac:dyDescent="0.5">
      <c r="A908" s="81"/>
      <c r="B908" s="81"/>
      <c r="C908" s="81"/>
      <c r="D908" s="81"/>
      <c r="E908" s="81"/>
      <c r="F908" s="81"/>
      <c r="G908" s="81"/>
      <c r="H908" s="81"/>
      <c r="I908" s="81"/>
      <c r="J908" s="289"/>
      <c r="K908" s="81"/>
      <c r="L908" s="81"/>
      <c r="M908" s="289"/>
      <c r="N908" s="81"/>
      <c r="O908" s="81"/>
      <c r="P908" s="289"/>
      <c r="Q908" s="81"/>
      <c r="R908" s="81"/>
      <c r="S908" s="289"/>
      <c r="T908" s="81"/>
      <c r="U908" s="81"/>
      <c r="V908" s="81"/>
      <c r="W908" s="81"/>
      <c r="X908" s="81"/>
      <c r="Y908" s="81"/>
      <c r="Z908" s="81"/>
    </row>
    <row r="909" spans="1:26" ht="24" customHeight="1" x14ac:dyDescent="0.5">
      <c r="A909" s="81"/>
      <c r="B909" s="81"/>
      <c r="C909" s="81"/>
      <c r="D909" s="81"/>
      <c r="E909" s="81"/>
      <c r="F909" s="81"/>
      <c r="G909" s="81"/>
      <c r="H909" s="81"/>
      <c r="I909" s="81"/>
      <c r="J909" s="289"/>
      <c r="K909" s="81"/>
      <c r="L909" s="81"/>
      <c r="M909" s="289"/>
      <c r="N909" s="81"/>
      <c r="O909" s="81"/>
      <c r="P909" s="289"/>
      <c r="Q909" s="81"/>
      <c r="R909" s="81"/>
      <c r="S909" s="289"/>
      <c r="T909" s="81"/>
      <c r="U909" s="81"/>
      <c r="V909" s="81"/>
      <c r="W909" s="81"/>
      <c r="X909" s="81"/>
      <c r="Y909" s="81"/>
      <c r="Z909" s="81"/>
    </row>
    <row r="910" spans="1:26" ht="24" customHeight="1" x14ac:dyDescent="0.5">
      <c r="A910" s="81"/>
      <c r="B910" s="81"/>
      <c r="C910" s="81"/>
      <c r="D910" s="81"/>
      <c r="E910" s="81"/>
      <c r="F910" s="81"/>
      <c r="G910" s="81"/>
      <c r="H910" s="81"/>
      <c r="I910" s="81"/>
      <c r="J910" s="289"/>
      <c r="K910" s="81"/>
      <c r="L910" s="81"/>
      <c r="M910" s="289"/>
      <c r="N910" s="81"/>
      <c r="O910" s="81"/>
      <c r="P910" s="289"/>
      <c r="Q910" s="81"/>
      <c r="R910" s="81"/>
      <c r="S910" s="289"/>
      <c r="T910" s="81"/>
      <c r="U910" s="81"/>
      <c r="V910" s="81"/>
      <c r="W910" s="81"/>
      <c r="X910" s="81"/>
      <c r="Y910" s="81"/>
      <c r="Z910" s="81"/>
    </row>
    <row r="911" spans="1:26" ht="24" customHeight="1" x14ac:dyDescent="0.5">
      <c r="A911" s="81"/>
      <c r="B911" s="81"/>
      <c r="C911" s="81"/>
      <c r="D911" s="81"/>
      <c r="E911" s="81"/>
      <c r="F911" s="81"/>
      <c r="G911" s="81"/>
      <c r="H911" s="81"/>
      <c r="I911" s="81"/>
      <c r="J911" s="289"/>
      <c r="K911" s="81"/>
      <c r="L911" s="81"/>
      <c r="M911" s="289"/>
      <c r="N911" s="81"/>
      <c r="O911" s="81"/>
      <c r="P911" s="289"/>
      <c r="Q911" s="81"/>
      <c r="R911" s="81"/>
      <c r="S911" s="289"/>
      <c r="T911" s="81"/>
      <c r="U911" s="81"/>
      <c r="V911" s="81"/>
      <c r="W911" s="81"/>
      <c r="X911" s="81"/>
      <c r="Y911" s="81"/>
      <c r="Z911" s="81"/>
    </row>
    <row r="912" spans="1:26" ht="24" customHeight="1" x14ac:dyDescent="0.5">
      <c r="A912" s="81"/>
      <c r="B912" s="81"/>
      <c r="C912" s="81"/>
      <c r="D912" s="81"/>
      <c r="E912" s="81"/>
      <c r="F912" s="81"/>
      <c r="G912" s="81"/>
      <c r="H912" s="81"/>
      <c r="I912" s="81"/>
      <c r="J912" s="289"/>
      <c r="K912" s="81"/>
      <c r="L912" s="81"/>
      <c r="M912" s="289"/>
      <c r="N912" s="81"/>
      <c r="O912" s="81"/>
      <c r="P912" s="289"/>
      <c r="Q912" s="81"/>
      <c r="R912" s="81"/>
      <c r="S912" s="289"/>
      <c r="T912" s="81"/>
      <c r="U912" s="81"/>
      <c r="V912" s="81"/>
      <c r="W912" s="81"/>
      <c r="X912" s="81"/>
      <c r="Y912" s="81"/>
      <c r="Z912" s="81"/>
    </row>
    <row r="913" spans="1:26" ht="24" customHeight="1" x14ac:dyDescent="0.5">
      <c r="A913" s="81"/>
      <c r="B913" s="81"/>
      <c r="C913" s="81"/>
      <c r="D913" s="81"/>
      <c r="E913" s="81"/>
      <c r="F913" s="81"/>
      <c r="G913" s="81"/>
      <c r="H913" s="81"/>
      <c r="I913" s="81"/>
      <c r="J913" s="289"/>
      <c r="K913" s="81"/>
      <c r="L913" s="81"/>
      <c r="M913" s="289"/>
      <c r="N913" s="81"/>
      <c r="O913" s="81"/>
      <c r="P913" s="289"/>
      <c r="Q913" s="81"/>
      <c r="R913" s="81"/>
      <c r="S913" s="289"/>
      <c r="T913" s="81"/>
      <c r="U913" s="81"/>
      <c r="V913" s="81"/>
      <c r="W913" s="81"/>
      <c r="X913" s="81"/>
      <c r="Y913" s="81"/>
      <c r="Z913" s="81"/>
    </row>
    <row r="914" spans="1:26" ht="24" customHeight="1" x14ac:dyDescent="0.5">
      <c r="A914" s="81"/>
      <c r="B914" s="81"/>
      <c r="C914" s="81"/>
      <c r="D914" s="81"/>
      <c r="E914" s="81"/>
      <c r="F914" s="81"/>
      <c r="G914" s="81"/>
      <c r="H914" s="81"/>
      <c r="I914" s="81"/>
      <c r="J914" s="289"/>
      <c r="K914" s="81"/>
      <c r="L914" s="81"/>
      <c r="M914" s="289"/>
      <c r="N914" s="81"/>
      <c r="O914" s="81"/>
      <c r="P914" s="289"/>
      <c r="Q914" s="81"/>
      <c r="R914" s="81"/>
      <c r="S914" s="289"/>
      <c r="T914" s="81"/>
      <c r="U914" s="81"/>
      <c r="V914" s="81"/>
      <c r="W914" s="81"/>
      <c r="X914" s="81"/>
      <c r="Y914" s="81"/>
      <c r="Z914" s="81"/>
    </row>
    <row r="915" spans="1:26" ht="24" customHeight="1" x14ac:dyDescent="0.5">
      <c r="A915" s="81"/>
      <c r="B915" s="81"/>
      <c r="C915" s="81"/>
      <c r="D915" s="81"/>
      <c r="E915" s="81"/>
      <c r="F915" s="81"/>
      <c r="G915" s="81"/>
      <c r="H915" s="81"/>
      <c r="I915" s="81"/>
      <c r="J915" s="289"/>
      <c r="K915" s="81"/>
      <c r="L915" s="81"/>
      <c r="M915" s="289"/>
      <c r="N915" s="81"/>
      <c r="O915" s="81"/>
      <c r="P915" s="289"/>
      <c r="Q915" s="81"/>
      <c r="R915" s="81"/>
      <c r="S915" s="289"/>
      <c r="T915" s="81"/>
      <c r="U915" s="81"/>
      <c r="V915" s="81"/>
      <c r="W915" s="81"/>
      <c r="X915" s="81"/>
      <c r="Y915" s="81"/>
      <c r="Z915" s="81"/>
    </row>
    <row r="916" spans="1:26" ht="24" customHeight="1" x14ac:dyDescent="0.5">
      <c r="A916" s="81"/>
      <c r="B916" s="81"/>
      <c r="C916" s="81"/>
      <c r="D916" s="81"/>
      <c r="E916" s="81"/>
      <c r="F916" s="81"/>
      <c r="G916" s="81"/>
      <c r="H916" s="81"/>
      <c r="I916" s="81"/>
      <c r="J916" s="289"/>
      <c r="K916" s="81"/>
      <c r="L916" s="81"/>
      <c r="M916" s="289"/>
      <c r="N916" s="81"/>
      <c r="O916" s="81"/>
      <c r="P916" s="289"/>
      <c r="Q916" s="81"/>
      <c r="R916" s="81"/>
      <c r="S916" s="289"/>
      <c r="T916" s="81"/>
      <c r="U916" s="81"/>
      <c r="V916" s="81"/>
      <c r="W916" s="81"/>
      <c r="X916" s="81"/>
      <c r="Y916" s="81"/>
      <c r="Z916" s="81"/>
    </row>
    <row r="917" spans="1:26" ht="24" customHeight="1" x14ac:dyDescent="0.5">
      <c r="A917" s="81"/>
      <c r="B917" s="81"/>
      <c r="C917" s="81"/>
      <c r="D917" s="81"/>
      <c r="E917" s="81"/>
      <c r="F917" s="81"/>
      <c r="G917" s="81"/>
      <c r="H917" s="81"/>
      <c r="I917" s="81"/>
      <c r="J917" s="289"/>
      <c r="K917" s="81"/>
      <c r="L917" s="81"/>
      <c r="M917" s="289"/>
      <c r="N917" s="81"/>
      <c r="O917" s="81"/>
      <c r="P917" s="289"/>
      <c r="Q917" s="81"/>
      <c r="R917" s="81"/>
      <c r="S917" s="289"/>
      <c r="T917" s="81"/>
      <c r="U917" s="81"/>
      <c r="V917" s="81"/>
      <c r="W917" s="81"/>
      <c r="X917" s="81"/>
      <c r="Y917" s="81"/>
      <c r="Z917" s="81"/>
    </row>
    <row r="918" spans="1:26" ht="24" customHeight="1" x14ac:dyDescent="0.5">
      <c r="A918" s="81"/>
      <c r="B918" s="81"/>
      <c r="C918" s="81"/>
      <c r="D918" s="81"/>
      <c r="E918" s="81"/>
      <c r="F918" s="81"/>
      <c r="G918" s="81"/>
      <c r="H918" s="81"/>
      <c r="I918" s="81"/>
      <c r="J918" s="289"/>
      <c r="K918" s="81"/>
      <c r="L918" s="81"/>
      <c r="M918" s="289"/>
      <c r="N918" s="81"/>
      <c r="O918" s="81"/>
      <c r="P918" s="289"/>
      <c r="Q918" s="81"/>
      <c r="R918" s="81"/>
      <c r="S918" s="289"/>
      <c r="T918" s="81"/>
      <c r="U918" s="81"/>
      <c r="V918" s="81"/>
      <c r="W918" s="81"/>
      <c r="X918" s="81"/>
      <c r="Y918" s="81"/>
      <c r="Z918" s="81"/>
    </row>
    <row r="919" spans="1:26" ht="24" customHeight="1" x14ac:dyDescent="0.5">
      <c r="A919" s="81"/>
      <c r="B919" s="81"/>
      <c r="C919" s="81"/>
      <c r="D919" s="81"/>
      <c r="E919" s="81"/>
      <c r="F919" s="81"/>
      <c r="G919" s="81"/>
      <c r="H919" s="81"/>
      <c r="I919" s="81"/>
      <c r="J919" s="289"/>
      <c r="K919" s="81"/>
      <c r="L919" s="81"/>
      <c r="M919" s="289"/>
      <c r="N919" s="81"/>
      <c r="O919" s="81"/>
      <c r="P919" s="289"/>
      <c r="Q919" s="81"/>
      <c r="R919" s="81"/>
      <c r="S919" s="289"/>
      <c r="T919" s="81"/>
      <c r="U919" s="81"/>
      <c r="V919" s="81"/>
      <c r="W919" s="81"/>
      <c r="X919" s="81"/>
      <c r="Y919" s="81"/>
      <c r="Z919" s="81"/>
    </row>
    <row r="920" spans="1:26" ht="24" customHeight="1" x14ac:dyDescent="0.5">
      <c r="A920" s="81"/>
      <c r="B920" s="81"/>
      <c r="C920" s="81"/>
      <c r="D920" s="81"/>
      <c r="E920" s="81"/>
      <c r="F920" s="81"/>
      <c r="G920" s="81"/>
      <c r="H920" s="81"/>
      <c r="I920" s="81"/>
      <c r="J920" s="289"/>
      <c r="K920" s="81"/>
      <c r="L920" s="81"/>
      <c r="M920" s="289"/>
      <c r="N920" s="81"/>
      <c r="O920" s="81"/>
      <c r="P920" s="289"/>
      <c r="Q920" s="81"/>
      <c r="R920" s="81"/>
      <c r="S920" s="289"/>
      <c r="T920" s="81"/>
      <c r="U920" s="81"/>
      <c r="V920" s="81"/>
      <c r="W920" s="81"/>
      <c r="X920" s="81"/>
      <c r="Y920" s="81"/>
      <c r="Z920" s="81"/>
    </row>
    <row r="921" spans="1:26" ht="24" customHeight="1" x14ac:dyDescent="0.5">
      <c r="A921" s="81"/>
      <c r="B921" s="81"/>
      <c r="C921" s="81"/>
      <c r="D921" s="81"/>
      <c r="E921" s="81"/>
      <c r="F921" s="81"/>
      <c r="G921" s="81"/>
      <c r="H921" s="81"/>
      <c r="I921" s="81"/>
      <c r="J921" s="289"/>
      <c r="K921" s="81"/>
      <c r="L921" s="81"/>
      <c r="M921" s="289"/>
      <c r="N921" s="81"/>
      <c r="O921" s="81"/>
      <c r="P921" s="289"/>
      <c r="Q921" s="81"/>
      <c r="R921" s="81"/>
      <c r="S921" s="289"/>
      <c r="T921" s="81"/>
      <c r="U921" s="81"/>
      <c r="V921" s="81"/>
      <c r="W921" s="81"/>
      <c r="X921" s="81"/>
      <c r="Y921" s="81"/>
      <c r="Z921" s="81"/>
    </row>
    <row r="922" spans="1:26" ht="24" customHeight="1" x14ac:dyDescent="0.5">
      <c r="A922" s="81"/>
      <c r="B922" s="81"/>
      <c r="C922" s="81"/>
      <c r="D922" s="81"/>
      <c r="E922" s="81"/>
      <c r="F922" s="81"/>
      <c r="G922" s="81"/>
      <c r="H922" s="81"/>
      <c r="I922" s="81"/>
      <c r="J922" s="289"/>
      <c r="K922" s="81"/>
      <c r="L922" s="81"/>
      <c r="M922" s="289"/>
      <c r="N922" s="81"/>
      <c r="O922" s="81"/>
      <c r="P922" s="289"/>
      <c r="Q922" s="81"/>
      <c r="R922" s="81"/>
      <c r="S922" s="289"/>
      <c r="T922" s="81"/>
      <c r="U922" s="81"/>
      <c r="V922" s="81"/>
      <c r="W922" s="81"/>
      <c r="X922" s="81"/>
      <c r="Y922" s="81"/>
      <c r="Z922" s="81"/>
    </row>
    <row r="923" spans="1:26" ht="24" customHeight="1" x14ac:dyDescent="0.5">
      <c r="A923" s="81"/>
      <c r="B923" s="81"/>
      <c r="C923" s="81"/>
      <c r="D923" s="81"/>
      <c r="E923" s="81"/>
      <c r="F923" s="81"/>
      <c r="G923" s="81"/>
      <c r="H923" s="81"/>
      <c r="I923" s="81"/>
      <c r="J923" s="289"/>
      <c r="K923" s="81"/>
      <c r="L923" s="81"/>
      <c r="M923" s="289"/>
      <c r="N923" s="81"/>
      <c r="O923" s="81"/>
      <c r="P923" s="289"/>
      <c r="Q923" s="81"/>
      <c r="R923" s="81"/>
      <c r="S923" s="289"/>
      <c r="T923" s="81"/>
      <c r="U923" s="81"/>
      <c r="V923" s="81"/>
      <c r="W923" s="81"/>
      <c r="X923" s="81"/>
      <c r="Y923" s="81"/>
      <c r="Z923" s="81"/>
    </row>
    <row r="924" spans="1:26" ht="24" customHeight="1" x14ac:dyDescent="0.5">
      <c r="A924" s="81"/>
      <c r="B924" s="81"/>
      <c r="C924" s="81"/>
      <c r="D924" s="81"/>
      <c r="E924" s="81"/>
      <c r="F924" s="81"/>
      <c r="G924" s="81"/>
      <c r="H924" s="81"/>
      <c r="I924" s="81"/>
      <c r="J924" s="289"/>
      <c r="K924" s="81"/>
      <c r="L924" s="81"/>
      <c r="M924" s="289"/>
      <c r="N924" s="81"/>
      <c r="O924" s="81"/>
      <c r="P924" s="289"/>
      <c r="Q924" s="81"/>
      <c r="R924" s="81"/>
      <c r="S924" s="289"/>
      <c r="T924" s="81"/>
      <c r="U924" s="81"/>
      <c r="V924" s="81"/>
      <c r="W924" s="81"/>
      <c r="X924" s="81"/>
      <c r="Y924" s="81"/>
      <c r="Z924" s="81"/>
    </row>
    <row r="925" spans="1:26" ht="24" customHeight="1" x14ac:dyDescent="0.5">
      <c r="A925" s="81"/>
      <c r="B925" s="81"/>
      <c r="C925" s="81"/>
      <c r="D925" s="81"/>
      <c r="E925" s="81"/>
      <c r="F925" s="81"/>
      <c r="G925" s="81"/>
      <c r="H925" s="81"/>
      <c r="I925" s="81"/>
      <c r="J925" s="289"/>
      <c r="K925" s="81"/>
      <c r="L925" s="81"/>
      <c r="M925" s="289"/>
      <c r="N925" s="81"/>
      <c r="O925" s="81"/>
      <c r="P925" s="289"/>
      <c r="Q925" s="81"/>
      <c r="R925" s="81"/>
      <c r="S925" s="289"/>
      <c r="T925" s="81"/>
      <c r="U925" s="81"/>
      <c r="V925" s="81"/>
      <c r="W925" s="81"/>
      <c r="X925" s="81"/>
      <c r="Y925" s="81"/>
      <c r="Z925" s="81"/>
    </row>
    <row r="926" spans="1:26" ht="24" customHeight="1" x14ac:dyDescent="0.5">
      <c r="A926" s="81"/>
      <c r="B926" s="81"/>
      <c r="C926" s="81"/>
      <c r="D926" s="81"/>
      <c r="E926" s="81"/>
      <c r="F926" s="81"/>
      <c r="G926" s="81"/>
      <c r="H926" s="81"/>
      <c r="I926" s="81"/>
      <c r="J926" s="289"/>
      <c r="K926" s="81"/>
      <c r="L926" s="81"/>
      <c r="M926" s="289"/>
      <c r="N926" s="81"/>
      <c r="O926" s="81"/>
      <c r="P926" s="289"/>
      <c r="Q926" s="81"/>
      <c r="R926" s="81"/>
      <c r="S926" s="289"/>
      <c r="T926" s="81"/>
      <c r="U926" s="81"/>
      <c r="V926" s="81"/>
      <c r="W926" s="81"/>
      <c r="X926" s="81"/>
      <c r="Y926" s="81"/>
      <c r="Z926" s="81"/>
    </row>
    <row r="927" spans="1:26" ht="24" customHeight="1" x14ac:dyDescent="0.5">
      <c r="A927" s="81"/>
      <c r="B927" s="81"/>
      <c r="C927" s="81"/>
      <c r="D927" s="81"/>
      <c r="E927" s="81"/>
      <c r="F927" s="81"/>
      <c r="G927" s="81"/>
      <c r="H927" s="81"/>
      <c r="I927" s="81"/>
      <c r="J927" s="289"/>
      <c r="K927" s="81"/>
      <c r="L927" s="81"/>
      <c r="M927" s="289"/>
      <c r="N927" s="81"/>
      <c r="O927" s="81"/>
      <c r="P927" s="289"/>
      <c r="Q927" s="81"/>
      <c r="R927" s="81"/>
      <c r="S927" s="289"/>
      <c r="T927" s="81"/>
      <c r="U927" s="81"/>
      <c r="V927" s="81"/>
      <c r="W927" s="81"/>
      <c r="X927" s="81"/>
      <c r="Y927" s="81"/>
      <c r="Z927" s="81"/>
    </row>
    <row r="928" spans="1:26" ht="24" customHeight="1" x14ac:dyDescent="0.5">
      <c r="A928" s="81"/>
      <c r="B928" s="81"/>
      <c r="C928" s="81"/>
      <c r="D928" s="81"/>
      <c r="E928" s="81"/>
      <c r="F928" s="81"/>
      <c r="G928" s="81"/>
      <c r="H928" s="81"/>
      <c r="I928" s="81"/>
      <c r="J928" s="289"/>
      <c r="K928" s="81"/>
      <c r="L928" s="81"/>
      <c r="M928" s="289"/>
      <c r="N928" s="81"/>
      <c r="O928" s="81"/>
      <c r="P928" s="289"/>
      <c r="Q928" s="81"/>
      <c r="R928" s="81"/>
      <c r="S928" s="289"/>
      <c r="T928" s="81"/>
      <c r="U928" s="81"/>
      <c r="V928" s="81"/>
      <c r="W928" s="81"/>
      <c r="X928" s="81"/>
      <c r="Y928" s="81"/>
      <c r="Z928" s="81"/>
    </row>
    <row r="929" spans="1:26" ht="24" customHeight="1" x14ac:dyDescent="0.5">
      <c r="A929" s="81"/>
      <c r="B929" s="81"/>
      <c r="C929" s="81"/>
      <c r="D929" s="81"/>
      <c r="E929" s="81"/>
      <c r="F929" s="81"/>
      <c r="G929" s="81"/>
      <c r="H929" s="81"/>
      <c r="I929" s="81"/>
      <c r="J929" s="289"/>
      <c r="K929" s="81"/>
      <c r="L929" s="81"/>
      <c r="M929" s="289"/>
      <c r="N929" s="81"/>
      <c r="O929" s="81"/>
      <c r="P929" s="289"/>
      <c r="Q929" s="81"/>
      <c r="R929" s="81"/>
      <c r="S929" s="289"/>
      <c r="T929" s="81"/>
      <c r="U929" s="81"/>
      <c r="V929" s="81"/>
      <c r="W929" s="81"/>
      <c r="X929" s="81"/>
      <c r="Y929" s="81"/>
      <c r="Z929" s="81"/>
    </row>
    <row r="930" spans="1:26" ht="24" customHeight="1" x14ac:dyDescent="0.5">
      <c r="A930" s="81"/>
      <c r="B930" s="81"/>
      <c r="C930" s="81"/>
      <c r="D930" s="81"/>
      <c r="E930" s="81"/>
      <c r="F930" s="81"/>
      <c r="G930" s="81"/>
      <c r="H930" s="81"/>
      <c r="I930" s="81"/>
      <c r="J930" s="289"/>
      <c r="K930" s="81"/>
      <c r="L930" s="81"/>
      <c r="M930" s="289"/>
      <c r="N930" s="81"/>
      <c r="O930" s="81"/>
      <c r="P930" s="289"/>
      <c r="Q930" s="81"/>
      <c r="R930" s="81"/>
      <c r="S930" s="289"/>
      <c r="T930" s="81"/>
      <c r="U930" s="81"/>
      <c r="V930" s="81"/>
      <c r="W930" s="81"/>
      <c r="X930" s="81"/>
      <c r="Y930" s="81"/>
      <c r="Z930" s="81"/>
    </row>
    <row r="931" spans="1:26" ht="24" customHeight="1" x14ac:dyDescent="0.5">
      <c r="A931" s="81"/>
      <c r="B931" s="81"/>
      <c r="C931" s="81"/>
      <c r="D931" s="81"/>
      <c r="E931" s="81"/>
      <c r="F931" s="81"/>
      <c r="G931" s="81"/>
      <c r="H931" s="81"/>
      <c r="I931" s="81"/>
      <c r="J931" s="289"/>
      <c r="K931" s="81"/>
      <c r="L931" s="81"/>
      <c r="M931" s="289"/>
      <c r="N931" s="81"/>
      <c r="O931" s="81"/>
      <c r="P931" s="289"/>
      <c r="Q931" s="81"/>
      <c r="R931" s="81"/>
      <c r="S931" s="289"/>
      <c r="T931" s="81"/>
      <c r="U931" s="81"/>
      <c r="V931" s="81"/>
      <c r="W931" s="81"/>
      <c r="X931" s="81"/>
      <c r="Y931" s="81"/>
      <c r="Z931" s="81"/>
    </row>
    <row r="932" spans="1:26" ht="24" customHeight="1" x14ac:dyDescent="0.5">
      <c r="A932" s="81"/>
      <c r="B932" s="81"/>
      <c r="C932" s="81"/>
      <c r="D932" s="81"/>
      <c r="E932" s="81"/>
      <c r="F932" s="81"/>
      <c r="G932" s="81"/>
      <c r="H932" s="81"/>
      <c r="I932" s="81"/>
      <c r="J932" s="289"/>
      <c r="K932" s="81"/>
      <c r="L932" s="81"/>
      <c r="M932" s="289"/>
      <c r="N932" s="81"/>
      <c r="O932" s="81"/>
      <c r="P932" s="289"/>
      <c r="Q932" s="81"/>
      <c r="R932" s="81"/>
      <c r="S932" s="289"/>
      <c r="T932" s="81"/>
      <c r="U932" s="81"/>
      <c r="V932" s="81"/>
      <c r="W932" s="81"/>
      <c r="X932" s="81"/>
      <c r="Y932" s="81"/>
      <c r="Z932" s="81"/>
    </row>
    <row r="933" spans="1:26" ht="24" customHeight="1" x14ac:dyDescent="0.5">
      <c r="A933" s="81"/>
      <c r="B933" s="81"/>
      <c r="C933" s="81"/>
      <c r="D933" s="81"/>
      <c r="E933" s="81"/>
      <c r="F933" s="81"/>
      <c r="G933" s="81"/>
      <c r="H933" s="81"/>
      <c r="I933" s="81"/>
      <c r="J933" s="289"/>
      <c r="K933" s="81"/>
      <c r="L933" s="81"/>
      <c r="M933" s="289"/>
      <c r="N933" s="81"/>
      <c r="O933" s="81"/>
      <c r="P933" s="289"/>
      <c r="Q933" s="81"/>
      <c r="R933" s="81"/>
      <c r="S933" s="289"/>
      <c r="T933" s="81"/>
      <c r="U933" s="81"/>
      <c r="V933" s="81"/>
      <c r="W933" s="81"/>
      <c r="X933" s="81"/>
      <c r="Y933" s="81"/>
      <c r="Z933" s="81"/>
    </row>
    <row r="934" spans="1:26" ht="24" customHeight="1" x14ac:dyDescent="0.5">
      <c r="A934" s="81"/>
      <c r="B934" s="81"/>
      <c r="C934" s="81"/>
      <c r="D934" s="81"/>
      <c r="E934" s="81"/>
      <c r="F934" s="81"/>
      <c r="G934" s="81"/>
      <c r="H934" s="81"/>
      <c r="I934" s="81"/>
      <c r="J934" s="289"/>
      <c r="K934" s="81"/>
      <c r="L934" s="81"/>
      <c r="M934" s="289"/>
      <c r="N934" s="81"/>
      <c r="O934" s="81"/>
      <c r="P934" s="289"/>
      <c r="Q934" s="81"/>
      <c r="R934" s="81"/>
      <c r="S934" s="289"/>
      <c r="T934" s="81"/>
      <c r="U934" s="81"/>
      <c r="V934" s="81"/>
      <c r="W934" s="81"/>
      <c r="X934" s="81"/>
      <c r="Y934" s="81"/>
      <c r="Z934" s="81"/>
    </row>
    <row r="935" spans="1:26" ht="24" customHeight="1" x14ac:dyDescent="0.5">
      <c r="A935" s="81"/>
      <c r="B935" s="81"/>
      <c r="C935" s="81"/>
      <c r="D935" s="81"/>
      <c r="E935" s="81"/>
      <c r="F935" s="81"/>
      <c r="G935" s="81"/>
      <c r="H935" s="81"/>
      <c r="I935" s="81"/>
      <c r="J935" s="289"/>
      <c r="K935" s="81"/>
      <c r="L935" s="81"/>
      <c r="M935" s="289"/>
      <c r="N935" s="81"/>
      <c r="O935" s="81"/>
      <c r="P935" s="289"/>
      <c r="Q935" s="81"/>
      <c r="R935" s="81"/>
      <c r="S935" s="289"/>
      <c r="T935" s="81"/>
      <c r="U935" s="81"/>
      <c r="V935" s="81"/>
      <c r="W935" s="81"/>
      <c r="X935" s="81"/>
      <c r="Y935" s="81"/>
      <c r="Z935" s="81"/>
    </row>
    <row r="936" spans="1:26" ht="24" customHeight="1" x14ac:dyDescent="0.5">
      <c r="A936" s="81"/>
      <c r="B936" s="81"/>
      <c r="C936" s="81"/>
      <c r="D936" s="81"/>
      <c r="E936" s="81"/>
      <c r="F936" s="81"/>
      <c r="G936" s="81"/>
      <c r="H936" s="81"/>
      <c r="I936" s="81"/>
      <c r="J936" s="289"/>
      <c r="K936" s="81"/>
      <c r="L936" s="81"/>
      <c r="M936" s="289"/>
      <c r="N936" s="81"/>
      <c r="O936" s="81"/>
      <c r="P936" s="289"/>
      <c r="Q936" s="81"/>
      <c r="R936" s="81"/>
      <c r="S936" s="289"/>
      <c r="T936" s="81"/>
      <c r="U936" s="81"/>
      <c r="V936" s="81"/>
      <c r="W936" s="81"/>
      <c r="X936" s="81"/>
      <c r="Y936" s="81"/>
      <c r="Z936" s="81"/>
    </row>
    <row r="937" spans="1:26" ht="24" customHeight="1" x14ac:dyDescent="0.5">
      <c r="A937" s="81"/>
      <c r="B937" s="81"/>
      <c r="C937" s="81"/>
      <c r="D937" s="81"/>
      <c r="E937" s="81"/>
      <c r="F937" s="81"/>
      <c r="G937" s="81"/>
      <c r="H937" s="81"/>
      <c r="I937" s="81"/>
      <c r="J937" s="289"/>
      <c r="K937" s="81"/>
      <c r="L937" s="81"/>
      <c r="M937" s="289"/>
      <c r="N937" s="81"/>
      <c r="O937" s="81"/>
      <c r="P937" s="289"/>
      <c r="Q937" s="81"/>
      <c r="R937" s="81"/>
      <c r="S937" s="289"/>
      <c r="T937" s="81"/>
      <c r="U937" s="81"/>
      <c r="V937" s="81"/>
      <c r="W937" s="81"/>
      <c r="X937" s="81"/>
      <c r="Y937" s="81"/>
      <c r="Z937" s="81"/>
    </row>
    <row r="938" spans="1:26" ht="24" customHeight="1" x14ac:dyDescent="0.5">
      <c r="A938" s="81"/>
      <c r="B938" s="81"/>
      <c r="C938" s="81"/>
      <c r="D938" s="81"/>
      <c r="E938" s="81"/>
      <c r="F938" s="81"/>
      <c r="G938" s="81"/>
      <c r="H938" s="81"/>
      <c r="I938" s="81"/>
      <c r="J938" s="289"/>
      <c r="K938" s="81"/>
      <c r="L938" s="81"/>
      <c r="M938" s="289"/>
      <c r="N938" s="81"/>
      <c r="O938" s="81"/>
      <c r="P938" s="289"/>
      <c r="Q938" s="81"/>
      <c r="R938" s="81"/>
      <c r="S938" s="289"/>
      <c r="T938" s="81"/>
      <c r="U938" s="81"/>
      <c r="V938" s="81"/>
      <c r="W938" s="81"/>
      <c r="X938" s="81"/>
      <c r="Y938" s="81"/>
      <c r="Z938" s="81"/>
    </row>
    <row r="939" spans="1:26" ht="24" customHeight="1" x14ac:dyDescent="0.5">
      <c r="A939" s="81"/>
      <c r="B939" s="81"/>
      <c r="C939" s="81"/>
      <c r="D939" s="81"/>
      <c r="E939" s="81"/>
      <c r="F939" s="81"/>
      <c r="G939" s="81"/>
      <c r="H939" s="81"/>
      <c r="I939" s="81"/>
      <c r="J939" s="289"/>
      <c r="K939" s="81"/>
      <c r="L939" s="81"/>
      <c r="M939" s="289"/>
      <c r="N939" s="81"/>
      <c r="O939" s="81"/>
      <c r="P939" s="289"/>
      <c r="Q939" s="81"/>
      <c r="R939" s="81"/>
      <c r="S939" s="289"/>
      <c r="T939" s="81"/>
      <c r="U939" s="81"/>
      <c r="V939" s="81"/>
      <c r="W939" s="81"/>
      <c r="X939" s="81"/>
      <c r="Y939" s="81"/>
      <c r="Z939" s="81"/>
    </row>
    <row r="940" spans="1:26" ht="24" customHeight="1" x14ac:dyDescent="0.5">
      <c r="A940" s="81"/>
      <c r="B940" s="81"/>
      <c r="C940" s="81"/>
      <c r="D940" s="81"/>
      <c r="E940" s="81"/>
      <c r="F940" s="81"/>
      <c r="G940" s="81"/>
      <c r="H940" s="81"/>
      <c r="I940" s="81"/>
      <c r="J940" s="289"/>
      <c r="K940" s="81"/>
      <c r="L940" s="81"/>
      <c r="M940" s="289"/>
      <c r="N940" s="81"/>
      <c r="O940" s="81"/>
      <c r="P940" s="289"/>
      <c r="Q940" s="81"/>
      <c r="R940" s="81"/>
      <c r="S940" s="289"/>
      <c r="T940" s="81"/>
      <c r="U940" s="81"/>
      <c r="V940" s="81"/>
      <c r="W940" s="81"/>
      <c r="X940" s="81"/>
      <c r="Y940" s="81"/>
      <c r="Z940" s="81"/>
    </row>
    <row r="941" spans="1:26" ht="24" customHeight="1" x14ac:dyDescent="0.5">
      <c r="A941" s="81"/>
      <c r="B941" s="81"/>
      <c r="C941" s="81"/>
      <c r="D941" s="81"/>
      <c r="E941" s="81"/>
      <c r="F941" s="81"/>
      <c r="G941" s="81"/>
      <c r="H941" s="81"/>
      <c r="I941" s="81"/>
      <c r="J941" s="289"/>
      <c r="K941" s="81"/>
      <c r="L941" s="81"/>
      <c r="M941" s="289"/>
      <c r="N941" s="81"/>
      <c r="O941" s="81"/>
      <c r="P941" s="289"/>
      <c r="Q941" s="81"/>
      <c r="R941" s="81"/>
      <c r="S941" s="289"/>
      <c r="T941" s="81"/>
      <c r="U941" s="81"/>
      <c r="V941" s="81"/>
      <c r="W941" s="81"/>
      <c r="X941" s="81"/>
      <c r="Y941" s="81"/>
      <c r="Z941" s="81"/>
    </row>
    <row r="942" spans="1:26" ht="24" customHeight="1" x14ac:dyDescent="0.5">
      <c r="A942" s="81"/>
      <c r="B942" s="81"/>
      <c r="C942" s="81"/>
      <c r="D942" s="81"/>
      <c r="E942" s="81"/>
      <c r="F942" s="81"/>
      <c r="G942" s="81"/>
      <c r="H942" s="81"/>
      <c r="I942" s="81"/>
      <c r="J942" s="289"/>
      <c r="K942" s="81"/>
      <c r="L942" s="81"/>
      <c r="M942" s="289"/>
      <c r="N942" s="81"/>
      <c r="O942" s="81"/>
      <c r="P942" s="289"/>
      <c r="Q942" s="81"/>
      <c r="R942" s="81"/>
      <c r="S942" s="289"/>
      <c r="T942" s="81"/>
      <c r="U942" s="81"/>
      <c r="V942" s="81"/>
      <c r="W942" s="81"/>
      <c r="X942" s="81"/>
      <c r="Y942" s="81"/>
      <c r="Z942" s="81"/>
    </row>
    <row r="943" spans="1:26" ht="24" customHeight="1" x14ac:dyDescent="0.5">
      <c r="A943" s="81"/>
      <c r="B943" s="81"/>
      <c r="C943" s="81"/>
      <c r="D943" s="81"/>
      <c r="E943" s="81"/>
      <c r="F943" s="81"/>
      <c r="G943" s="81"/>
      <c r="H943" s="81"/>
      <c r="I943" s="81"/>
      <c r="J943" s="289"/>
      <c r="K943" s="81"/>
      <c r="L943" s="81"/>
      <c r="M943" s="289"/>
      <c r="N943" s="81"/>
      <c r="O943" s="81"/>
      <c r="P943" s="289"/>
      <c r="Q943" s="81"/>
      <c r="R943" s="81"/>
      <c r="S943" s="289"/>
      <c r="T943" s="81"/>
      <c r="U943" s="81"/>
      <c r="V943" s="81"/>
      <c r="W943" s="81"/>
      <c r="X943" s="81"/>
      <c r="Y943" s="81"/>
      <c r="Z943" s="81"/>
    </row>
    <row r="944" spans="1:26" ht="24" customHeight="1" x14ac:dyDescent="0.5">
      <c r="A944" s="81"/>
      <c r="B944" s="81"/>
      <c r="C944" s="81"/>
      <c r="D944" s="81"/>
      <c r="E944" s="81"/>
      <c r="F944" s="81"/>
      <c r="G944" s="81"/>
      <c r="H944" s="81"/>
      <c r="I944" s="81"/>
      <c r="J944" s="289"/>
      <c r="K944" s="81"/>
      <c r="L944" s="81"/>
      <c r="M944" s="289"/>
      <c r="N944" s="81"/>
      <c r="O944" s="81"/>
      <c r="P944" s="289"/>
      <c r="Q944" s="81"/>
      <c r="R944" s="81"/>
      <c r="S944" s="289"/>
      <c r="T944" s="81"/>
      <c r="U944" s="81"/>
      <c r="V944" s="81"/>
      <c r="W944" s="81"/>
      <c r="X944" s="81"/>
      <c r="Y944" s="81"/>
      <c r="Z944" s="81"/>
    </row>
    <row r="945" spans="1:26" ht="24" customHeight="1" x14ac:dyDescent="0.5">
      <c r="A945" s="81"/>
      <c r="B945" s="81"/>
      <c r="C945" s="81"/>
      <c r="D945" s="81"/>
      <c r="E945" s="81"/>
      <c r="F945" s="81"/>
      <c r="G945" s="81"/>
      <c r="H945" s="81"/>
      <c r="I945" s="81"/>
      <c r="J945" s="289"/>
      <c r="K945" s="81"/>
      <c r="L945" s="81"/>
      <c r="M945" s="289"/>
      <c r="N945" s="81"/>
      <c r="O945" s="81"/>
      <c r="P945" s="289"/>
      <c r="Q945" s="81"/>
      <c r="R945" s="81"/>
      <c r="S945" s="289"/>
      <c r="T945" s="81"/>
      <c r="U945" s="81"/>
      <c r="V945" s="81"/>
      <c r="W945" s="81"/>
      <c r="X945" s="81"/>
      <c r="Y945" s="81"/>
      <c r="Z945" s="81"/>
    </row>
    <row r="946" spans="1:26" ht="24" customHeight="1" x14ac:dyDescent="0.5">
      <c r="A946" s="81"/>
      <c r="B946" s="81"/>
      <c r="C946" s="81"/>
      <c r="D946" s="81"/>
      <c r="E946" s="81"/>
      <c r="F946" s="81"/>
      <c r="G946" s="81"/>
      <c r="H946" s="81"/>
      <c r="I946" s="81"/>
      <c r="J946" s="289"/>
      <c r="K946" s="81"/>
      <c r="L946" s="81"/>
      <c r="M946" s="289"/>
      <c r="N946" s="81"/>
      <c r="O946" s="81"/>
      <c r="P946" s="289"/>
      <c r="Q946" s="81"/>
      <c r="R946" s="81"/>
      <c r="S946" s="289"/>
      <c r="T946" s="81"/>
      <c r="U946" s="81"/>
      <c r="V946" s="81"/>
      <c r="W946" s="81"/>
      <c r="X946" s="81"/>
      <c r="Y946" s="81"/>
      <c r="Z946" s="81"/>
    </row>
    <row r="947" spans="1:26" ht="24" customHeight="1" x14ac:dyDescent="0.5">
      <c r="A947" s="81"/>
      <c r="B947" s="81"/>
      <c r="C947" s="81"/>
      <c r="D947" s="81"/>
      <c r="E947" s="81"/>
      <c r="F947" s="81"/>
      <c r="G947" s="81"/>
      <c r="H947" s="81"/>
      <c r="I947" s="81"/>
      <c r="J947" s="289"/>
      <c r="K947" s="81"/>
      <c r="L947" s="81"/>
      <c r="M947" s="289"/>
      <c r="N947" s="81"/>
      <c r="O947" s="81"/>
      <c r="P947" s="289"/>
      <c r="Q947" s="81"/>
      <c r="R947" s="81"/>
      <c r="S947" s="289"/>
      <c r="T947" s="81"/>
      <c r="U947" s="81"/>
      <c r="V947" s="81"/>
      <c r="W947" s="81"/>
      <c r="X947" s="81"/>
      <c r="Y947" s="81"/>
      <c r="Z947" s="81"/>
    </row>
    <row r="948" spans="1:26" ht="24" customHeight="1" x14ac:dyDescent="0.5">
      <c r="A948" s="81"/>
      <c r="B948" s="81"/>
      <c r="C948" s="81"/>
      <c r="D948" s="81"/>
      <c r="E948" s="81"/>
      <c r="F948" s="81"/>
      <c r="G948" s="81"/>
      <c r="H948" s="81"/>
      <c r="I948" s="81"/>
      <c r="J948" s="289"/>
      <c r="K948" s="81"/>
      <c r="L948" s="81"/>
      <c r="M948" s="289"/>
      <c r="N948" s="81"/>
      <c r="O948" s="81"/>
      <c r="P948" s="289"/>
      <c r="Q948" s="81"/>
      <c r="R948" s="81"/>
      <c r="S948" s="289"/>
      <c r="T948" s="81"/>
      <c r="U948" s="81"/>
      <c r="V948" s="81"/>
      <c r="W948" s="81"/>
      <c r="X948" s="81"/>
      <c r="Y948" s="81"/>
      <c r="Z948" s="81"/>
    </row>
    <row r="949" spans="1:26" ht="24" customHeight="1" x14ac:dyDescent="0.5">
      <c r="A949" s="81"/>
      <c r="B949" s="81"/>
      <c r="C949" s="81"/>
      <c r="D949" s="81"/>
      <c r="E949" s="81"/>
      <c r="F949" s="81"/>
      <c r="G949" s="81"/>
      <c r="H949" s="81"/>
      <c r="I949" s="81"/>
      <c r="J949" s="289"/>
      <c r="K949" s="81"/>
      <c r="L949" s="81"/>
      <c r="M949" s="289"/>
      <c r="N949" s="81"/>
      <c r="O949" s="81"/>
      <c r="P949" s="289"/>
      <c r="Q949" s="81"/>
      <c r="R949" s="81"/>
      <c r="S949" s="289"/>
      <c r="T949" s="81"/>
      <c r="U949" s="81"/>
      <c r="V949" s="81"/>
      <c r="W949" s="81"/>
      <c r="X949" s="81"/>
      <c r="Y949" s="81"/>
      <c r="Z949" s="81"/>
    </row>
    <row r="950" spans="1:26" ht="24" customHeight="1" x14ac:dyDescent="0.5">
      <c r="A950" s="81"/>
      <c r="B950" s="81"/>
      <c r="C950" s="81"/>
      <c r="D950" s="81"/>
      <c r="E950" s="81"/>
      <c r="F950" s="81"/>
      <c r="G950" s="81"/>
      <c r="H950" s="81"/>
      <c r="I950" s="81"/>
      <c r="J950" s="289"/>
      <c r="K950" s="81"/>
      <c r="L950" s="81"/>
      <c r="M950" s="289"/>
      <c r="N950" s="81"/>
      <c r="O950" s="81"/>
      <c r="P950" s="289"/>
      <c r="Q950" s="81"/>
      <c r="R950" s="81"/>
      <c r="S950" s="289"/>
      <c r="T950" s="81"/>
      <c r="U950" s="81"/>
      <c r="V950" s="81"/>
      <c r="W950" s="81"/>
      <c r="X950" s="81"/>
      <c r="Y950" s="81"/>
      <c r="Z950" s="81"/>
    </row>
    <row r="951" spans="1:26" ht="24" customHeight="1" x14ac:dyDescent="0.5">
      <c r="A951" s="81"/>
      <c r="B951" s="81"/>
      <c r="C951" s="81"/>
      <c r="D951" s="81"/>
      <c r="E951" s="81"/>
      <c r="F951" s="81"/>
      <c r="G951" s="81"/>
      <c r="H951" s="81"/>
      <c r="I951" s="81"/>
      <c r="J951" s="289"/>
      <c r="K951" s="81"/>
      <c r="L951" s="81"/>
      <c r="M951" s="289"/>
      <c r="N951" s="81"/>
      <c r="O951" s="81"/>
      <c r="P951" s="289"/>
      <c r="Q951" s="81"/>
      <c r="R951" s="81"/>
      <c r="S951" s="289"/>
      <c r="T951" s="81"/>
      <c r="U951" s="81"/>
      <c r="V951" s="81"/>
      <c r="W951" s="81"/>
      <c r="X951" s="81"/>
      <c r="Y951" s="81"/>
      <c r="Z951" s="81"/>
    </row>
    <row r="952" spans="1:26" ht="24" customHeight="1" x14ac:dyDescent="0.5">
      <c r="A952" s="81"/>
      <c r="B952" s="81"/>
      <c r="C952" s="81"/>
      <c r="D952" s="81"/>
      <c r="E952" s="81"/>
      <c r="F952" s="81"/>
      <c r="G952" s="81"/>
      <c r="H952" s="81"/>
      <c r="I952" s="81"/>
      <c r="J952" s="289"/>
      <c r="K952" s="81"/>
      <c r="L952" s="81"/>
      <c r="M952" s="289"/>
      <c r="N952" s="81"/>
      <c r="O952" s="81"/>
      <c r="P952" s="289"/>
      <c r="Q952" s="81"/>
      <c r="R952" s="81"/>
      <c r="S952" s="289"/>
      <c r="T952" s="81"/>
      <c r="U952" s="81"/>
      <c r="V952" s="81"/>
      <c r="W952" s="81"/>
      <c r="X952" s="81"/>
      <c r="Y952" s="81"/>
      <c r="Z952" s="81"/>
    </row>
    <row r="953" spans="1:26" ht="24" customHeight="1" x14ac:dyDescent="0.5">
      <c r="A953" s="81"/>
      <c r="B953" s="81"/>
      <c r="C953" s="81"/>
      <c r="D953" s="81"/>
      <c r="E953" s="81"/>
      <c r="F953" s="81"/>
      <c r="G953" s="81"/>
      <c r="H953" s="81"/>
      <c r="I953" s="81"/>
      <c r="J953" s="289"/>
      <c r="K953" s="81"/>
      <c r="L953" s="81"/>
      <c r="M953" s="289"/>
      <c r="N953" s="81"/>
      <c r="O953" s="81"/>
      <c r="P953" s="289"/>
      <c r="Q953" s="81"/>
      <c r="R953" s="81"/>
      <c r="S953" s="289"/>
      <c r="T953" s="81"/>
      <c r="U953" s="81"/>
      <c r="V953" s="81"/>
      <c r="W953" s="81"/>
      <c r="X953" s="81"/>
      <c r="Y953" s="81"/>
      <c r="Z953" s="81"/>
    </row>
    <row r="954" spans="1:26" ht="24" customHeight="1" x14ac:dyDescent="0.5">
      <c r="A954" s="81"/>
      <c r="B954" s="81"/>
      <c r="C954" s="81"/>
      <c r="D954" s="81"/>
      <c r="E954" s="81"/>
      <c r="F954" s="81"/>
      <c r="G954" s="81"/>
      <c r="H954" s="81"/>
      <c r="I954" s="81"/>
      <c r="J954" s="289"/>
      <c r="K954" s="81"/>
      <c r="L954" s="81"/>
      <c r="M954" s="289"/>
      <c r="N954" s="81"/>
      <c r="O954" s="81"/>
      <c r="P954" s="289"/>
      <c r="Q954" s="81"/>
      <c r="R954" s="81"/>
      <c r="S954" s="289"/>
      <c r="T954" s="81"/>
      <c r="U954" s="81"/>
      <c r="V954" s="81"/>
      <c r="W954" s="81"/>
      <c r="X954" s="81"/>
      <c r="Y954" s="81"/>
      <c r="Z954" s="81"/>
    </row>
    <row r="955" spans="1:26" ht="24" customHeight="1" x14ac:dyDescent="0.5">
      <c r="A955" s="81"/>
      <c r="B955" s="81"/>
      <c r="C955" s="81"/>
      <c r="D955" s="81"/>
      <c r="E955" s="81"/>
      <c r="F955" s="81"/>
      <c r="G955" s="81"/>
      <c r="H955" s="81"/>
      <c r="I955" s="81"/>
      <c r="J955" s="289"/>
      <c r="K955" s="81"/>
      <c r="L955" s="81"/>
      <c r="M955" s="289"/>
      <c r="N955" s="81"/>
      <c r="O955" s="81"/>
      <c r="P955" s="289"/>
      <c r="Q955" s="81"/>
      <c r="R955" s="81"/>
      <c r="S955" s="289"/>
      <c r="T955" s="81"/>
      <c r="U955" s="81"/>
      <c r="V955" s="81"/>
      <c r="W955" s="81"/>
      <c r="X955" s="81"/>
      <c r="Y955" s="81"/>
      <c r="Z955" s="81"/>
    </row>
    <row r="956" spans="1:26" ht="24" customHeight="1" x14ac:dyDescent="0.5">
      <c r="A956" s="81"/>
      <c r="B956" s="81"/>
      <c r="C956" s="81"/>
      <c r="D956" s="81"/>
      <c r="E956" s="81"/>
      <c r="F956" s="81"/>
      <c r="G956" s="81"/>
      <c r="H956" s="81"/>
      <c r="I956" s="81"/>
      <c r="J956" s="289"/>
      <c r="K956" s="81"/>
      <c r="L956" s="81"/>
      <c r="M956" s="289"/>
      <c r="N956" s="81"/>
      <c r="O956" s="81"/>
      <c r="P956" s="289"/>
      <c r="Q956" s="81"/>
      <c r="R956" s="81"/>
      <c r="S956" s="289"/>
      <c r="T956" s="81"/>
      <c r="U956" s="81"/>
      <c r="V956" s="81"/>
      <c r="W956" s="81"/>
      <c r="X956" s="81"/>
      <c r="Y956" s="81"/>
      <c r="Z956" s="81"/>
    </row>
    <row r="957" spans="1:26" ht="24" customHeight="1" x14ac:dyDescent="0.5">
      <c r="A957" s="81"/>
      <c r="B957" s="81"/>
      <c r="C957" s="81"/>
      <c r="D957" s="81"/>
      <c r="E957" s="81"/>
      <c r="F957" s="81"/>
      <c r="G957" s="81"/>
      <c r="H957" s="81"/>
      <c r="I957" s="81"/>
      <c r="J957" s="289"/>
      <c r="K957" s="81"/>
      <c r="L957" s="81"/>
      <c r="M957" s="289"/>
      <c r="N957" s="81"/>
      <c r="O957" s="81"/>
      <c r="P957" s="289"/>
      <c r="Q957" s="81"/>
      <c r="R957" s="81"/>
      <c r="S957" s="289"/>
      <c r="T957" s="81"/>
      <c r="U957" s="81"/>
      <c r="V957" s="81"/>
      <c r="W957" s="81"/>
      <c r="X957" s="81"/>
      <c r="Y957" s="81"/>
      <c r="Z957" s="81"/>
    </row>
    <row r="958" spans="1:26" ht="24" customHeight="1" x14ac:dyDescent="0.5">
      <c r="A958" s="81"/>
      <c r="B958" s="81"/>
      <c r="C958" s="81"/>
      <c r="D958" s="81"/>
      <c r="E958" s="81"/>
      <c r="F958" s="81"/>
      <c r="G958" s="81"/>
      <c r="H958" s="81"/>
      <c r="I958" s="81"/>
      <c r="J958" s="289"/>
      <c r="K958" s="81"/>
      <c r="L958" s="81"/>
      <c r="M958" s="289"/>
      <c r="N958" s="81"/>
      <c r="O958" s="81"/>
      <c r="P958" s="289"/>
      <c r="Q958" s="81"/>
      <c r="R958" s="81"/>
      <c r="S958" s="289"/>
      <c r="T958" s="81"/>
      <c r="U958" s="81"/>
      <c r="V958" s="81"/>
      <c r="W958" s="81"/>
      <c r="X958" s="81"/>
      <c r="Y958" s="81"/>
      <c r="Z958" s="81"/>
    </row>
    <row r="959" spans="1:26" ht="24" customHeight="1" x14ac:dyDescent="0.5">
      <c r="A959" s="81"/>
      <c r="B959" s="81"/>
      <c r="C959" s="81"/>
      <c r="D959" s="81"/>
      <c r="E959" s="81"/>
      <c r="F959" s="81"/>
      <c r="G959" s="81"/>
      <c r="H959" s="81"/>
      <c r="I959" s="81"/>
      <c r="J959" s="289"/>
      <c r="K959" s="81"/>
      <c r="L959" s="81"/>
      <c r="M959" s="289"/>
      <c r="N959" s="81"/>
      <c r="O959" s="81"/>
      <c r="P959" s="289"/>
      <c r="Q959" s="81"/>
      <c r="R959" s="81"/>
      <c r="S959" s="289"/>
      <c r="T959" s="81"/>
      <c r="U959" s="81"/>
      <c r="V959" s="81"/>
      <c r="W959" s="81"/>
      <c r="X959" s="81"/>
      <c r="Y959" s="81"/>
      <c r="Z959" s="81"/>
    </row>
    <row r="960" spans="1:26" ht="24" customHeight="1" x14ac:dyDescent="0.5">
      <c r="A960" s="81"/>
      <c r="B960" s="81"/>
      <c r="C960" s="81"/>
      <c r="D960" s="81"/>
      <c r="E960" s="81"/>
      <c r="F960" s="81"/>
      <c r="G960" s="81"/>
      <c r="H960" s="81"/>
      <c r="I960" s="81"/>
      <c r="J960" s="289"/>
      <c r="K960" s="81"/>
      <c r="L960" s="81"/>
      <c r="M960" s="289"/>
      <c r="N960" s="81"/>
      <c r="O960" s="81"/>
      <c r="P960" s="289"/>
      <c r="Q960" s="81"/>
      <c r="R960" s="81"/>
      <c r="S960" s="289"/>
      <c r="T960" s="81"/>
      <c r="U960" s="81"/>
      <c r="V960" s="81"/>
      <c r="W960" s="81"/>
      <c r="X960" s="81"/>
      <c r="Y960" s="81"/>
      <c r="Z960" s="81"/>
    </row>
    <row r="961" spans="1:26" ht="24" customHeight="1" x14ac:dyDescent="0.5">
      <c r="A961" s="81"/>
      <c r="B961" s="81"/>
      <c r="C961" s="81"/>
      <c r="D961" s="81"/>
      <c r="E961" s="81"/>
      <c r="F961" s="81"/>
      <c r="G961" s="81"/>
      <c r="H961" s="81"/>
      <c r="I961" s="81"/>
      <c r="J961" s="289"/>
      <c r="K961" s="81"/>
      <c r="L961" s="81"/>
      <c r="M961" s="289"/>
      <c r="N961" s="81"/>
      <c r="O961" s="81"/>
      <c r="P961" s="289"/>
      <c r="Q961" s="81"/>
      <c r="R961" s="81"/>
      <c r="S961" s="289"/>
      <c r="T961" s="81"/>
      <c r="U961" s="81"/>
      <c r="V961" s="81"/>
      <c r="W961" s="81"/>
      <c r="X961" s="81"/>
      <c r="Y961" s="81"/>
      <c r="Z961" s="81"/>
    </row>
    <row r="962" spans="1:26" ht="24" customHeight="1" x14ac:dyDescent="0.5">
      <c r="A962" s="81"/>
      <c r="B962" s="81"/>
      <c r="C962" s="81"/>
      <c r="D962" s="81"/>
      <c r="E962" s="81"/>
      <c r="F962" s="81"/>
      <c r="G962" s="81"/>
      <c r="H962" s="81"/>
      <c r="I962" s="81"/>
      <c r="J962" s="289"/>
      <c r="K962" s="81"/>
      <c r="L962" s="81"/>
      <c r="M962" s="289"/>
      <c r="N962" s="81"/>
      <c r="O962" s="81"/>
      <c r="P962" s="289"/>
      <c r="Q962" s="81"/>
      <c r="R962" s="81"/>
      <c r="S962" s="289"/>
      <c r="T962" s="81"/>
      <c r="U962" s="81"/>
      <c r="V962" s="81"/>
      <c r="W962" s="81"/>
      <c r="X962" s="81"/>
      <c r="Y962" s="81"/>
      <c r="Z962" s="81"/>
    </row>
    <row r="963" spans="1:26" ht="24" customHeight="1" x14ac:dyDescent="0.5">
      <c r="A963" s="81"/>
      <c r="B963" s="81"/>
      <c r="C963" s="81"/>
      <c r="D963" s="81"/>
      <c r="E963" s="81"/>
      <c r="F963" s="81"/>
      <c r="G963" s="81"/>
      <c r="H963" s="81"/>
      <c r="I963" s="81"/>
      <c r="J963" s="289"/>
      <c r="K963" s="81"/>
      <c r="L963" s="81"/>
      <c r="M963" s="289"/>
      <c r="N963" s="81"/>
      <c r="O963" s="81"/>
      <c r="P963" s="289"/>
      <c r="Q963" s="81"/>
      <c r="R963" s="81"/>
      <c r="S963" s="289"/>
      <c r="T963" s="81"/>
      <c r="U963" s="81"/>
      <c r="V963" s="81"/>
      <c r="W963" s="81"/>
      <c r="X963" s="81"/>
      <c r="Y963" s="81"/>
      <c r="Z963" s="81"/>
    </row>
    <row r="964" spans="1:26" ht="24" customHeight="1" x14ac:dyDescent="0.5">
      <c r="A964" s="81"/>
      <c r="B964" s="81"/>
      <c r="C964" s="81"/>
      <c r="D964" s="81"/>
      <c r="E964" s="81"/>
      <c r="F964" s="81"/>
      <c r="G964" s="81"/>
      <c r="H964" s="81"/>
      <c r="I964" s="81"/>
      <c r="J964" s="289"/>
      <c r="K964" s="81"/>
      <c r="L964" s="81"/>
      <c r="M964" s="289"/>
      <c r="N964" s="81"/>
      <c r="O964" s="81"/>
      <c r="P964" s="289"/>
      <c r="Q964" s="81"/>
      <c r="R964" s="81"/>
      <c r="S964" s="289"/>
      <c r="T964" s="81"/>
      <c r="U964" s="81"/>
      <c r="V964" s="81"/>
      <c r="W964" s="81"/>
      <c r="X964" s="81"/>
      <c r="Y964" s="81"/>
      <c r="Z964" s="81"/>
    </row>
    <row r="965" spans="1:26" ht="24" customHeight="1" x14ac:dyDescent="0.5">
      <c r="A965" s="81"/>
      <c r="B965" s="81"/>
      <c r="C965" s="81"/>
      <c r="D965" s="81"/>
      <c r="E965" s="81"/>
      <c r="F965" s="81"/>
      <c r="G965" s="81"/>
      <c r="H965" s="81"/>
      <c r="I965" s="81"/>
      <c r="J965" s="289"/>
      <c r="K965" s="81"/>
      <c r="L965" s="81"/>
      <c r="M965" s="289"/>
      <c r="N965" s="81"/>
      <c r="O965" s="81"/>
      <c r="P965" s="289"/>
      <c r="Q965" s="81"/>
      <c r="R965" s="81"/>
      <c r="S965" s="289"/>
      <c r="T965" s="81"/>
      <c r="U965" s="81"/>
      <c r="V965" s="81"/>
      <c r="W965" s="81"/>
      <c r="X965" s="81"/>
      <c r="Y965" s="81"/>
      <c r="Z965" s="81"/>
    </row>
    <row r="966" spans="1:26" ht="24" customHeight="1" x14ac:dyDescent="0.5">
      <c r="A966" s="81"/>
      <c r="B966" s="81"/>
      <c r="C966" s="81"/>
      <c r="D966" s="81"/>
      <c r="E966" s="81"/>
      <c r="F966" s="81"/>
      <c r="G966" s="81"/>
      <c r="H966" s="81"/>
      <c r="I966" s="81"/>
      <c r="J966" s="289"/>
      <c r="K966" s="81"/>
      <c r="L966" s="81"/>
      <c r="M966" s="289"/>
      <c r="N966" s="81"/>
      <c r="O966" s="81"/>
      <c r="P966" s="289"/>
      <c r="Q966" s="81"/>
      <c r="R966" s="81"/>
      <c r="S966" s="289"/>
      <c r="T966" s="81"/>
      <c r="U966" s="81"/>
      <c r="V966" s="81"/>
      <c r="W966" s="81"/>
      <c r="X966" s="81"/>
      <c r="Y966" s="81"/>
      <c r="Z966" s="81"/>
    </row>
    <row r="967" spans="1:26" ht="24" customHeight="1" x14ac:dyDescent="0.5">
      <c r="A967" s="81"/>
      <c r="B967" s="81"/>
      <c r="C967" s="81"/>
      <c r="D967" s="81"/>
      <c r="E967" s="81"/>
      <c r="F967" s="81"/>
      <c r="G967" s="81"/>
      <c r="H967" s="81"/>
      <c r="I967" s="81"/>
      <c r="J967" s="289"/>
      <c r="K967" s="81"/>
      <c r="L967" s="81"/>
      <c r="M967" s="289"/>
      <c r="N967" s="81"/>
      <c r="O967" s="81"/>
      <c r="P967" s="289"/>
      <c r="Q967" s="81"/>
      <c r="R967" s="81"/>
      <c r="S967" s="289"/>
      <c r="T967" s="81"/>
      <c r="U967" s="81"/>
      <c r="V967" s="81"/>
      <c r="W967" s="81"/>
      <c r="X967" s="81"/>
      <c r="Y967" s="81"/>
      <c r="Z967" s="81"/>
    </row>
    <row r="968" spans="1:26" ht="24" customHeight="1" x14ac:dyDescent="0.5">
      <c r="A968" s="81"/>
      <c r="B968" s="81"/>
      <c r="C968" s="81"/>
      <c r="D968" s="81"/>
      <c r="E968" s="81"/>
      <c r="F968" s="81"/>
      <c r="G968" s="81"/>
      <c r="H968" s="81"/>
      <c r="I968" s="81"/>
      <c r="J968" s="289"/>
      <c r="K968" s="81"/>
      <c r="L968" s="81"/>
      <c r="M968" s="289"/>
      <c r="N968" s="81"/>
      <c r="O968" s="81"/>
      <c r="P968" s="289"/>
      <c r="Q968" s="81"/>
      <c r="R968" s="81"/>
      <c r="S968" s="289"/>
      <c r="T968" s="81"/>
      <c r="U968" s="81"/>
      <c r="V968" s="81"/>
      <c r="W968" s="81"/>
      <c r="X968" s="81"/>
      <c r="Y968" s="81"/>
      <c r="Z968" s="81"/>
    </row>
    <row r="969" spans="1:26" ht="24" customHeight="1" x14ac:dyDescent="0.5">
      <c r="A969" s="81"/>
      <c r="B969" s="81"/>
      <c r="C969" s="81"/>
      <c r="D969" s="81"/>
      <c r="E969" s="81"/>
      <c r="F969" s="81"/>
      <c r="G969" s="81"/>
      <c r="H969" s="81"/>
      <c r="I969" s="81"/>
      <c r="J969" s="289"/>
      <c r="K969" s="81"/>
      <c r="L969" s="81"/>
      <c r="M969" s="289"/>
      <c r="N969" s="81"/>
      <c r="O969" s="81"/>
      <c r="P969" s="289"/>
      <c r="Q969" s="81"/>
      <c r="R969" s="81"/>
      <c r="S969" s="289"/>
      <c r="T969" s="81"/>
      <c r="U969" s="81"/>
      <c r="V969" s="81"/>
      <c r="W969" s="81"/>
      <c r="X969" s="81"/>
      <c r="Y969" s="81"/>
      <c r="Z969" s="81"/>
    </row>
    <row r="970" spans="1:26" ht="24" customHeight="1" x14ac:dyDescent="0.5">
      <c r="A970" s="81"/>
      <c r="B970" s="81"/>
      <c r="C970" s="81"/>
      <c r="D970" s="81"/>
      <c r="E970" s="81"/>
      <c r="F970" s="81"/>
      <c r="G970" s="81"/>
      <c r="H970" s="81"/>
      <c r="I970" s="81"/>
      <c r="J970" s="289"/>
      <c r="K970" s="81"/>
      <c r="L970" s="81"/>
      <c r="M970" s="289"/>
      <c r="N970" s="81"/>
      <c r="O970" s="81"/>
      <c r="P970" s="289"/>
      <c r="Q970" s="81"/>
      <c r="R970" s="81"/>
      <c r="S970" s="289"/>
      <c r="T970" s="81"/>
      <c r="U970" s="81"/>
      <c r="V970" s="81"/>
      <c r="W970" s="81"/>
      <c r="X970" s="81"/>
      <c r="Y970" s="81"/>
      <c r="Z970" s="81"/>
    </row>
    <row r="971" spans="1:26" ht="24" customHeight="1" x14ac:dyDescent="0.5">
      <c r="A971" s="81"/>
      <c r="B971" s="81"/>
      <c r="C971" s="81"/>
      <c r="D971" s="81"/>
      <c r="E971" s="81"/>
      <c r="F971" s="81"/>
      <c r="G971" s="81"/>
      <c r="H971" s="81"/>
      <c r="I971" s="81"/>
      <c r="J971" s="289"/>
      <c r="K971" s="81"/>
      <c r="L971" s="81"/>
      <c r="M971" s="289"/>
      <c r="N971" s="81"/>
      <c r="O971" s="81"/>
      <c r="P971" s="289"/>
      <c r="Q971" s="81"/>
      <c r="R971" s="81"/>
      <c r="S971" s="289"/>
      <c r="T971" s="81"/>
      <c r="U971" s="81"/>
      <c r="V971" s="81"/>
      <c r="W971" s="81"/>
      <c r="X971" s="81"/>
      <c r="Y971" s="81"/>
      <c r="Z971" s="81"/>
    </row>
    <row r="972" spans="1:26" ht="24" customHeight="1" x14ac:dyDescent="0.5">
      <c r="A972" s="81"/>
      <c r="B972" s="81"/>
      <c r="C972" s="81"/>
      <c r="D972" s="81"/>
      <c r="E972" s="81"/>
      <c r="F972" s="81"/>
      <c r="G972" s="81"/>
      <c r="H972" s="81"/>
      <c r="I972" s="81"/>
      <c r="J972" s="289"/>
      <c r="K972" s="81"/>
      <c r="L972" s="81"/>
      <c r="M972" s="289"/>
      <c r="N972" s="81"/>
      <c r="O972" s="81"/>
      <c r="P972" s="289"/>
      <c r="Q972" s="81"/>
      <c r="R972" s="81"/>
      <c r="S972" s="289"/>
      <c r="T972" s="81"/>
      <c r="U972" s="81"/>
      <c r="V972" s="81"/>
      <c r="W972" s="81"/>
      <c r="X972" s="81"/>
      <c r="Y972" s="81"/>
      <c r="Z972" s="81"/>
    </row>
    <row r="973" spans="1:26" ht="24" customHeight="1" x14ac:dyDescent="0.5">
      <c r="A973" s="81"/>
      <c r="B973" s="81"/>
      <c r="C973" s="81"/>
      <c r="D973" s="81"/>
      <c r="E973" s="81"/>
      <c r="F973" s="81"/>
      <c r="G973" s="81"/>
      <c r="H973" s="81"/>
      <c r="I973" s="81"/>
      <c r="J973" s="289"/>
      <c r="K973" s="81"/>
      <c r="L973" s="81"/>
      <c r="M973" s="289"/>
      <c r="N973" s="81"/>
      <c r="O973" s="81"/>
      <c r="P973" s="289"/>
      <c r="Q973" s="81"/>
      <c r="R973" s="81"/>
      <c r="S973" s="289"/>
      <c r="T973" s="81"/>
      <c r="U973" s="81"/>
      <c r="V973" s="81"/>
      <c r="W973" s="81"/>
      <c r="X973" s="81"/>
      <c r="Y973" s="81"/>
      <c r="Z973" s="81"/>
    </row>
    <row r="974" spans="1:26" ht="24" customHeight="1" x14ac:dyDescent="0.5">
      <c r="A974" s="81"/>
      <c r="B974" s="81"/>
      <c r="C974" s="81"/>
      <c r="D974" s="81"/>
      <c r="E974" s="81"/>
      <c r="F974" s="81"/>
      <c r="G974" s="81"/>
      <c r="H974" s="81"/>
      <c r="I974" s="81"/>
      <c r="J974" s="289"/>
      <c r="K974" s="81"/>
      <c r="L974" s="81"/>
      <c r="M974" s="289"/>
      <c r="N974" s="81"/>
      <c r="O974" s="81"/>
      <c r="P974" s="289"/>
      <c r="Q974" s="81"/>
      <c r="R974" s="81"/>
      <c r="S974" s="289"/>
      <c r="T974" s="81"/>
      <c r="U974" s="81"/>
      <c r="V974" s="81"/>
      <c r="W974" s="81"/>
      <c r="X974" s="81"/>
      <c r="Y974" s="81"/>
      <c r="Z974" s="81"/>
    </row>
    <row r="975" spans="1:26" ht="24" customHeight="1" x14ac:dyDescent="0.5">
      <c r="A975" s="81"/>
      <c r="B975" s="81"/>
      <c r="C975" s="81"/>
      <c r="D975" s="81"/>
      <c r="E975" s="81"/>
      <c r="F975" s="81"/>
      <c r="G975" s="81"/>
      <c r="H975" s="81"/>
      <c r="I975" s="81"/>
      <c r="J975" s="289"/>
      <c r="K975" s="81"/>
      <c r="L975" s="81"/>
      <c r="M975" s="289"/>
      <c r="N975" s="81"/>
      <c r="O975" s="81"/>
      <c r="P975" s="289"/>
      <c r="Q975" s="81"/>
      <c r="R975" s="81"/>
      <c r="S975" s="289"/>
      <c r="T975" s="81"/>
      <c r="U975" s="81"/>
      <c r="V975" s="81"/>
      <c r="W975" s="81"/>
      <c r="X975" s="81"/>
      <c r="Y975" s="81"/>
      <c r="Z975" s="81"/>
    </row>
    <row r="976" spans="1:26" ht="24" customHeight="1" x14ac:dyDescent="0.5">
      <c r="A976" s="81"/>
      <c r="B976" s="81"/>
      <c r="C976" s="81"/>
      <c r="D976" s="81"/>
      <c r="E976" s="81"/>
      <c r="F976" s="81"/>
      <c r="G976" s="81"/>
      <c r="H976" s="81"/>
      <c r="I976" s="81"/>
      <c r="J976" s="289"/>
      <c r="K976" s="81"/>
      <c r="L976" s="81"/>
      <c r="M976" s="289"/>
      <c r="N976" s="81"/>
      <c r="O976" s="81"/>
      <c r="P976" s="289"/>
      <c r="Q976" s="81"/>
      <c r="R976" s="81"/>
      <c r="S976" s="289"/>
      <c r="T976" s="81"/>
      <c r="U976" s="81"/>
      <c r="V976" s="81"/>
      <c r="W976" s="81"/>
      <c r="X976" s="81"/>
      <c r="Y976" s="81"/>
      <c r="Z976" s="81"/>
    </row>
    <row r="977" spans="1:26" ht="24" customHeight="1" x14ac:dyDescent="0.5">
      <c r="A977" s="81"/>
      <c r="B977" s="81"/>
      <c r="C977" s="81"/>
      <c r="D977" s="81"/>
      <c r="E977" s="81"/>
      <c r="F977" s="81"/>
      <c r="G977" s="81"/>
      <c r="H977" s="81"/>
      <c r="I977" s="81"/>
      <c r="J977" s="289"/>
      <c r="K977" s="81"/>
      <c r="L977" s="81"/>
      <c r="M977" s="289"/>
      <c r="N977" s="81"/>
      <c r="O977" s="81"/>
      <c r="P977" s="289"/>
      <c r="Q977" s="81"/>
      <c r="R977" s="81"/>
      <c r="S977" s="289"/>
      <c r="T977" s="81"/>
      <c r="U977" s="81"/>
      <c r="V977" s="81"/>
      <c r="W977" s="81"/>
      <c r="X977" s="81"/>
      <c r="Y977" s="81"/>
      <c r="Z977" s="81"/>
    </row>
    <row r="978" spans="1:26" ht="24" customHeight="1" x14ac:dyDescent="0.5">
      <c r="A978" s="81"/>
      <c r="B978" s="81"/>
      <c r="C978" s="81"/>
      <c r="D978" s="81"/>
      <c r="E978" s="81"/>
      <c r="F978" s="81"/>
      <c r="G978" s="81"/>
      <c r="H978" s="81"/>
      <c r="I978" s="81"/>
      <c r="J978" s="289"/>
      <c r="K978" s="81"/>
      <c r="L978" s="81"/>
      <c r="M978" s="289"/>
      <c r="N978" s="81"/>
      <c r="O978" s="81"/>
      <c r="P978" s="289"/>
      <c r="Q978" s="81"/>
      <c r="R978" s="81"/>
      <c r="S978" s="289"/>
      <c r="T978" s="81"/>
      <c r="U978" s="81"/>
      <c r="V978" s="81"/>
      <c r="W978" s="81"/>
      <c r="X978" s="81"/>
      <c r="Y978" s="81"/>
      <c r="Z978" s="81"/>
    </row>
    <row r="979" spans="1:26" ht="24" customHeight="1" x14ac:dyDescent="0.5">
      <c r="A979" s="81"/>
      <c r="B979" s="81"/>
      <c r="C979" s="81"/>
      <c r="D979" s="81"/>
      <c r="E979" s="81"/>
      <c r="F979" s="81"/>
      <c r="G979" s="81"/>
      <c r="H979" s="81"/>
      <c r="I979" s="81"/>
      <c r="J979" s="289"/>
      <c r="K979" s="81"/>
      <c r="L979" s="81"/>
      <c r="M979" s="289"/>
      <c r="N979" s="81"/>
      <c r="O979" s="81"/>
      <c r="P979" s="289"/>
      <c r="Q979" s="81"/>
      <c r="R979" s="81"/>
      <c r="S979" s="289"/>
      <c r="T979" s="81"/>
      <c r="U979" s="81"/>
      <c r="V979" s="81"/>
      <c r="W979" s="81"/>
      <c r="X979" s="81"/>
      <c r="Y979" s="81"/>
      <c r="Z979" s="81"/>
    </row>
    <row r="980" spans="1:26" ht="24" customHeight="1" x14ac:dyDescent="0.5">
      <c r="A980" s="81"/>
      <c r="B980" s="81"/>
      <c r="C980" s="81"/>
      <c r="D980" s="81"/>
      <c r="E980" s="81"/>
      <c r="F980" s="81"/>
      <c r="G980" s="81"/>
      <c r="H980" s="81"/>
      <c r="I980" s="81"/>
      <c r="J980" s="289"/>
      <c r="K980" s="81"/>
      <c r="L980" s="81"/>
      <c r="M980" s="289"/>
      <c r="N980" s="81"/>
      <c r="O980" s="81"/>
      <c r="P980" s="289"/>
      <c r="Q980" s="81"/>
      <c r="R980" s="81"/>
      <c r="S980" s="289"/>
      <c r="T980" s="81"/>
      <c r="U980" s="81"/>
      <c r="V980" s="81"/>
      <c r="W980" s="81"/>
      <c r="X980" s="81"/>
      <c r="Y980" s="81"/>
      <c r="Z980" s="81"/>
    </row>
    <row r="981" spans="1:26" ht="24" customHeight="1" x14ac:dyDescent="0.5">
      <c r="A981" s="81"/>
      <c r="B981" s="81"/>
      <c r="C981" s="81"/>
      <c r="D981" s="81"/>
      <c r="E981" s="81"/>
      <c r="F981" s="81"/>
      <c r="G981" s="81"/>
      <c r="H981" s="81"/>
      <c r="I981" s="81"/>
      <c r="J981" s="289"/>
      <c r="K981" s="81"/>
      <c r="L981" s="81"/>
      <c r="M981" s="289"/>
      <c r="N981" s="81"/>
      <c r="O981" s="81"/>
      <c r="P981" s="289"/>
      <c r="Q981" s="81"/>
      <c r="R981" s="81"/>
      <c r="S981" s="289"/>
      <c r="T981" s="81"/>
      <c r="U981" s="81"/>
      <c r="V981" s="81"/>
      <c r="W981" s="81"/>
      <c r="X981" s="81"/>
      <c r="Y981" s="81"/>
      <c r="Z981" s="81"/>
    </row>
    <row r="982" spans="1:26" ht="24" customHeight="1" x14ac:dyDescent="0.5">
      <c r="A982" s="81"/>
      <c r="B982" s="81"/>
      <c r="C982" s="81"/>
      <c r="D982" s="81"/>
      <c r="E982" s="81"/>
      <c r="F982" s="81"/>
      <c r="G982" s="81"/>
      <c r="H982" s="81"/>
      <c r="I982" s="81"/>
      <c r="J982" s="289"/>
      <c r="K982" s="81"/>
      <c r="L982" s="81"/>
      <c r="M982" s="289"/>
      <c r="N982" s="81"/>
      <c r="O982" s="81"/>
      <c r="P982" s="289"/>
      <c r="Q982" s="81"/>
      <c r="R982" s="81"/>
      <c r="S982" s="289"/>
      <c r="T982" s="81"/>
      <c r="U982" s="81"/>
      <c r="V982" s="81"/>
      <c r="W982" s="81"/>
      <c r="X982" s="81"/>
      <c r="Y982" s="81"/>
      <c r="Z982" s="81"/>
    </row>
    <row r="983" spans="1:26" ht="24" customHeight="1" x14ac:dyDescent="0.5">
      <c r="A983" s="81"/>
      <c r="B983" s="81"/>
      <c r="C983" s="81"/>
      <c r="D983" s="81"/>
      <c r="E983" s="81"/>
      <c r="F983" s="81"/>
      <c r="G983" s="81"/>
      <c r="H983" s="81"/>
      <c r="I983" s="81"/>
      <c r="J983" s="289"/>
      <c r="K983" s="81"/>
      <c r="L983" s="81"/>
      <c r="M983" s="289"/>
      <c r="N983" s="81"/>
      <c r="O983" s="81"/>
      <c r="P983" s="289"/>
      <c r="Q983" s="81"/>
      <c r="R983" s="81"/>
      <c r="S983" s="289"/>
      <c r="T983" s="81"/>
      <c r="U983" s="81"/>
      <c r="V983" s="81"/>
      <c r="W983" s="81"/>
      <c r="X983" s="81"/>
      <c r="Y983" s="81"/>
      <c r="Z983" s="81"/>
    </row>
    <row r="984" spans="1:26" ht="24" customHeight="1" x14ac:dyDescent="0.5">
      <c r="A984" s="81"/>
      <c r="B984" s="81"/>
      <c r="C984" s="81"/>
      <c r="D984" s="81"/>
      <c r="E984" s="81"/>
      <c r="F984" s="81"/>
      <c r="G984" s="81"/>
      <c r="H984" s="81"/>
      <c r="I984" s="81"/>
      <c r="J984" s="289"/>
      <c r="K984" s="81"/>
      <c r="L984" s="81"/>
      <c r="M984" s="289"/>
      <c r="N984" s="81"/>
      <c r="O984" s="81"/>
      <c r="P984" s="289"/>
      <c r="Q984" s="81"/>
      <c r="R984" s="81"/>
      <c r="S984" s="289"/>
      <c r="T984" s="81"/>
      <c r="U984" s="81"/>
      <c r="V984" s="81"/>
      <c r="W984" s="81"/>
      <c r="X984" s="81"/>
      <c r="Y984" s="81"/>
      <c r="Z984" s="81"/>
    </row>
    <row r="985" spans="1:26" ht="24" customHeight="1" x14ac:dyDescent="0.5">
      <c r="A985" s="81"/>
      <c r="B985" s="81"/>
      <c r="C985" s="81"/>
      <c r="D985" s="81"/>
      <c r="E985" s="81"/>
      <c r="F985" s="81"/>
      <c r="G985" s="81"/>
      <c r="H985" s="81"/>
      <c r="I985" s="81"/>
      <c r="J985" s="289"/>
      <c r="K985" s="81"/>
      <c r="L985" s="81"/>
      <c r="M985" s="289"/>
      <c r="N985" s="81"/>
      <c r="O985" s="81"/>
      <c r="P985" s="289"/>
      <c r="Q985" s="81"/>
      <c r="R985" s="81"/>
      <c r="S985" s="289"/>
      <c r="T985" s="81"/>
      <c r="U985" s="81"/>
      <c r="V985" s="81"/>
      <c r="W985" s="81"/>
      <c r="X985" s="81"/>
      <c r="Y985" s="81"/>
      <c r="Z985" s="81"/>
    </row>
    <row r="986" spans="1:26" ht="24" customHeight="1" x14ac:dyDescent="0.5">
      <c r="A986" s="81"/>
      <c r="B986" s="81"/>
      <c r="C986" s="81"/>
      <c r="D986" s="81"/>
      <c r="E986" s="81"/>
      <c r="F986" s="81"/>
      <c r="G986" s="81"/>
      <c r="H986" s="81"/>
      <c r="I986" s="81"/>
      <c r="J986" s="289"/>
      <c r="K986" s="81"/>
      <c r="L986" s="81"/>
      <c r="M986" s="289"/>
      <c r="N986" s="81"/>
      <c r="O986" s="81"/>
      <c r="P986" s="289"/>
      <c r="Q986" s="81"/>
      <c r="R986" s="81"/>
      <c r="S986" s="289"/>
      <c r="T986" s="81"/>
      <c r="U986" s="81"/>
      <c r="V986" s="81"/>
      <c r="W986" s="81"/>
      <c r="X986" s="81"/>
      <c r="Y986" s="81"/>
      <c r="Z986" s="81"/>
    </row>
    <row r="987" spans="1:26" ht="24" customHeight="1" x14ac:dyDescent="0.5">
      <c r="A987" s="81"/>
      <c r="B987" s="81"/>
      <c r="C987" s="81"/>
      <c r="D987" s="81"/>
      <c r="E987" s="81"/>
      <c r="F987" s="81"/>
      <c r="G987" s="81"/>
      <c r="H987" s="81"/>
      <c r="I987" s="81"/>
      <c r="J987" s="289"/>
      <c r="K987" s="81"/>
      <c r="L987" s="81"/>
      <c r="M987" s="289"/>
      <c r="N987" s="81"/>
      <c r="O987" s="81"/>
      <c r="P987" s="289"/>
      <c r="Q987" s="81"/>
      <c r="R987" s="81"/>
      <c r="S987" s="289"/>
      <c r="T987" s="81"/>
      <c r="U987" s="81"/>
      <c r="V987" s="81"/>
      <c r="W987" s="81"/>
      <c r="X987" s="81"/>
      <c r="Y987" s="81"/>
      <c r="Z987" s="81"/>
    </row>
    <row r="988" spans="1:26" ht="24" customHeight="1" x14ac:dyDescent="0.5">
      <c r="A988" s="81"/>
      <c r="B988" s="81"/>
      <c r="C988" s="81"/>
      <c r="D988" s="81"/>
      <c r="E988" s="81"/>
      <c r="F988" s="81"/>
      <c r="G988" s="81"/>
      <c r="H988" s="81"/>
      <c r="I988" s="81"/>
      <c r="J988" s="289"/>
      <c r="K988" s="81"/>
      <c r="L988" s="81"/>
      <c r="M988" s="289"/>
      <c r="N988" s="81"/>
      <c r="O988" s="81"/>
      <c r="P988" s="289"/>
      <c r="Q988" s="81"/>
      <c r="R988" s="81"/>
      <c r="S988" s="289"/>
      <c r="T988" s="81"/>
      <c r="U988" s="81"/>
      <c r="V988" s="81"/>
      <c r="W988" s="81"/>
      <c r="X988" s="81"/>
      <c r="Y988" s="81"/>
      <c r="Z988" s="81"/>
    </row>
    <row r="989" spans="1:26" ht="24" customHeight="1" x14ac:dyDescent="0.5">
      <c r="A989" s="81"/>
      <c r="B989" s="81"/>
      <c r="C989" s="81"/>
      <c r="D989" s="81"/>
      <c r="E989" s="81"/>
      <c r="F989" s="81"/>
      <c r="G989" s="81"/>
      <c r="H989" s="81"/>
      <c r="I989" s="81"/>
      <c r="J989" s="289"/>
      <c r="K989" s="81"/>
      <c r="L989" s="81"/>
      <c r="M989" s="289"/>
      <c r="N989" s="81"/>
      <c r="O989" s="81"/>
      <c r="P989" s="289"/>
      <c r="Q989" s="81"/>
      <c r="R989" s="81"/>
      <c r="S989" s="289"/>
      <c r="T989" s="81"/>
      <c r="U989" s="81"/>
      <c r="V989" s="81"/>
      <c r="W989" s="81"/>
      <c r="X989" s="81"/>
      <c r="Y989" s="81"/>
      <c r="Z989" s="81"/>
    </row>
    <row r="990" spans="1:26" ht="24" customHeight="1" x14ac:dyDescent="0.5">
      <c r="A990" s="81"/>
      <c r="B990" s="81"/>
      <c r="C990" s="81"/>
      <c r="D990" s="81"/>
      <c r="E990" s="81"/>
      <c r="F990" s="81"/>
      <c r="G990" s="81"/>
      <c r="H990" s="81"/>
      <c r="I990" s="81"/>
      <c r="J990" s="289"/>
      <c r="K990" s="81"/>
      <c r="L990" s="81"/>
      <c r="M990" s="289"/>
      <c r="N990" s="81"/>
      <c r="O990" s="81"/>
      <c r="P990" s="289"/>
      <c r="Q990" s="81"/>
      <c r="R990" s="81"/>
      <c r="S990" s="289"/>
      <c r="T990" s="81"/>
      <c r="U990" s="81"/>
      <c r="V990" s="81"/>
      <c r="W990" s="81"/>
      <c r="X990" s="81"/>
      <c r="Y990" s="81"/>
      <c r="Z990" s="81"/>
    </row>
    <row r="991" spans="1:26" ht="24" customHeight="1" x14ac:dyDescent="0.5">
      <c r="A991" s="81"/>
      <c r="B991" s="81"/>
      <c r="C991" s="81"/>
      <c r="D991" s="81"/>
      <c r="E991" s="81"/>
      <c r="F991" s="81"/>
      <c r="G991" s="81"/>
      <c r="H991" s="81"/>
      <c r="I991" s="81"/>
      <c r="J991" s="289"/>
      <c r="K991" s="81"/>
      <c r="L991" s="81"/>
      <c r="M991" s="289"/>
      <c r="N991" s="81"/>
      <c r="O991" s="81"/>
      <c r="P991" s="289"/>
      <c r="Q991" s="81"/>
      <c r="R991" s="81"/>
      <c r="S991" s="289"/>
      <c r="T991" s="81"/>
      <c r="U991" s="81"/>
      <c r="V991" s="81"/>
      <c r="W991" s="81"/>
      <c r="X991" s="81"/>
      <c r="Y991" s="81"/>
      <c r="Z991" s="81"/>
    </row>
    <row r="992" spans="1:26" ht="24" customHeight="1" x14ac:dyDescent="0.5">
      <c r="A992" s="81"/>
      <c r="B992" s="81"/>
      <c r="C992" s="81"/>
      <c r="D992" s="81"/>
      <c r="E992" s="81"/>
      <c r="F992" s="81"/>
      <c r="G992" s="81"/>
      <c r="H992" s="81"/>
      <c r="I992" s="81"/>
      <c r="J992" s="289"/>
      <c r="K992" s="81"/>
      <c r="L992" s="81"/>
      <c r="M992" s="289"/>
      <c r="N992" s="81"/>
      <c r="O992" s="81"/>
      <c r="P992" s="289"/>
      <c r="Q992" s="81"/>
      <c r="R992" s="81"/>
      <c r="S992" s="289"/>
      <c r="T992" s="81"/>
      <c r="U992" s="81"/>
      <c r="V992" s="81"/>
      <c r="W992" s="81"/>
      <c r="X992" s="81"/>
      <c r="Y992" s="81"/>
      <c r="Z992" s="81"/>
    </row>
    <row r="993" spans="1:26" ht="24" customHeight="1" x14ac:dyDescent="0.5">
      <c r="A993" s="81"/>
      <c r="B993" s="81"/>
      <c r="C993" s="81"/>
      <c r="D993" s="81"/>
      <c r="E993" s="81"/>
      <c r="F993" s="81"/>
      <c r="G993" s="81"/>
      <c r="H993" s="81"/>
      <c r="I993" s="81"/>
      <c r="J993" s="289"/>
      <c r="K993" s="81"/>
      <c r="L993" s="81"/>
      <c r="M993" s="289"/>
      <c r="N993" s="81"/>
      <c r="O993" s="81"/>
      <c r="P993" s="289"/>
      <c r="Q993" s="81"/>
      <c r="R993" s="81"/>
      <c r="S993" s="289"/>
      <c r="T993" s="81"/>
      <c r="U993" s="81"/>
      <c r="V993" s="81"/>
      <c r="W993" s="81"/>
      <c r="X993" s="81"/>
      <c r="Y993" s="81"/>
      <c r="Z993" s="81"/>
    </row>
    <row r="994" spans="1:26" ht="24" customHeight="1" x14ac:dyDescent="0.5">
      <c r="A994" s="81"/>
      <c r="B994" s="81"/>
      <c r="C994" s="81"/>
      <c r="D994" s="81"/>
      <c r="E994" s="81"/>
      <c r="F994" s="81"/>
      <c r="G994" s="81"/>
      <c r="H994" s="81"/>
      <c r="I994" s="81"/>
      <c r="J994" s="289"/>
      <c r="K994" s="81"/>
      <c r="L994" s="81"/>
      <c r="M994" s="289"/>
      <c r="N994" s="81"/>
      <c r="O994" s="81"/>
      <c r="P994" s="289"/>
      <c r="Q994" s="81"/>
      <c r="R994" s="81"/>
      <c r="S994" s="289"/>
      <c r="T994" s="81"/>
      <c r="U994" s="81"/>
      <c r="V994" s="81"/>
      <c r="W994" s="81"/>
      <c r="X994" s="81"/>
      <c r="Y994" s="81"/>
      <c r="Z994" s="81"/>
    </row>
    <row r="995" spans="1:26" ht="24" customHeight="1" x14ac:dyDescent="0.5">
      <c r="A995" s="81"/>
      <c r="B995" s="81"/>
      <c r="C995" s="81"/>
      <c r="D995" s="81"/>
      <c r="E995" s="81"/>
      <c r="F995" s="81"/>
      <c r="G995" s="81"/>
      <c r="H995" s="81"/>
      <c r="I995" s="81"/>
      <c r="J995" s="289"/>
      <c r="K995" s="81"/>
      <c r="L995" s="81"/>
      <c r="M995" s="289"/>
      <c r="N995" s="81"/>
      <c r="O995" s="81"/>
      <c r="P995" s="289"/>
      <c r="Q995" s="81"/>
      <c r="R995" s="81"/>
      <c r="S995" s="289"/>
      <c r="T995" s="81"/>
      <c r="U995" s="81"/>
      <c r="V995" s="81"/>
      <c r="W995" s="81"/>
      <c r="X995" s="81"/>
      <c r="Y995" s="81"/>
      <c r="Z995" s="81"/>
    </row>
    <row r="996" spans="1:26" ht="24" customHeight="1" x14ac:dyDescent="0.5">
      <c r="A996" s="81"/>
      <c r="B996" s="81"/>
      <c r="C996" s="81"/>
      <c r="D996" s="81"/>
      <c r="E996" s="81"/>
      <c r="F996" s="81"/>
      <c r="G996" s="81"/>
      <c r="H996" s="81"/>
      <c r="I996" s="81"/>
      <c r="J996" s="289"/>
      <c r="K996" s="81"/>
      <c r="L996" s="81"/>
      <c r="M996" s="289"/>
      <c r="N996" s="81"/>
      <c r="O996" s="81"/>
      <c r="P996" s="289"/>
      <c r="Q996" s="81"/>
      <c r="R996" s="81"/>
      <c r="S996" s="289"/>
      <c r="T996" s="81"/>
      <c r="U996" s="81"/>
      <c r="V996" s="81"/>
      <c r="W996" s="81"/>
      <c r="X996" s="81"/>
      <c r="Y996" s="81"/>
      <c r="Z996" s="81"/>
    </row>
    <row r="997" spans="1:26" ht="24" customHeight="1" x14ac:dyDescent="0.5">
      <c r="A997" s="81"/>
      <c r="B997" s="81"/>
      <c r="C997" s="81"/>
      <c r="D997" s="81"/>
      <c r="E997" s="81"/>
      <c r="F997" s="81"/>
      <c r="G997" s="81"/>
      <c r="H997" s="81"/>
      <c r="I997" s="81"/>
      <c r="J997" s="289"/>
      <c r="K997" s="81"/>
      <c r="L997" s="81"/>
      <c r="M997" s="289"/>
      <c r="N997" s="81"/>
      <c r="O997" s="81"/>
      <c r="P997" s="289"/>
      <c r="Q997" s="81"/>
      <c r="R997" s="81"/>
      <c r="S997" s="289"/>
      <c r="T997" s="81"/>
      <c r="U997" s="81"/>
      <c r="V997" s="81"/>
      <c r="W997" s="81"/>
      <c r="X997" s="81"/>
      <c r="Y997" s="81"/>
      <c r="Z997" s="81"/>
    </row>
    <row r="998" spans="1:26" ht="24" customHeight="1" x14ac:dyDescent="0.5">
      <c r="A998" s="81"/>
      <c r="B998" s="81"/>
      <c r="C998" s="81"/>
      <c r="D998" s="81"/>
      <c r="E998" s="81"/>
      <c r="F998" s="81"/>
      <c r="G998" s="81"/>
      <c r="H998" s="81"/>
      <c r="I998" s="81"/>
      <c r="J998" s="289"/>
      <c r="K998" s="81"/>
      <c r="L998" s="81"/>
      <c r="M998" s="289"/>
      <c r="N998" s="81"/>
      <c r="O998" s="81"/>
      <c r="P998" s="289"/>
      <c r="Q998" s="81"/>
      <c r="R998" s="81"/>
      <c r="S998" s="289"/>
      <c r="T998" s="81"/>
      <c r="U998" s="81"/>
      <c r="V998" s="81"/>
      <c r="W998" s="81"/>
      <c r="X998" s="81"/>
      <c r="Y998" s="81"/>
      <c r="Z998" s="81"/>
    </row>
    <row r="999" spans="1:26" ht="24" customHeight="1" x14ac:dyDescent="0.5">
      <c r="A999" s="81"/>
      <c r="B999" s="81"/>
      <c r="C999" s="81"/>
      <c r="D999" s="81"/>
      <c r="E999" s="81"/>
      <c r="F999" s="81"/>
      <c r="G999" s="81"/>
      <c r="H999" s="81"/>
      <c r="I999" s="81"/>
      <c r="J999" s="289"/>
      <c r="K999" s="81"/>
      <c r="L999" s="81"/>
      <c r="M999" s="289"/>
      <c r="N999" s="81"/>
      <c r="O999" s="81"/>
      <c r="P999" s="289"/>
      <c r="Q999" s="81"/>
      <c r="R999" s="81"/>
      <c r="S999" s="289"/>
      <c r="T999" s="81"/>
      <c r="U999" s="81"/>
      <c r="V999" s="81"/>
      <c r="W999" s="81"/>
      <c r="X999" s="81"/>
      <c r="Y999" s="81"/>
      <c r="Z999" s="81"/>
    </row>
    <row r="1000" spans="1:26" ht="24" customHeight="1" x14ac:dyDescent="0.5">
      <c r="A1000" s="81"/>
      <c r="B1000" s="81"/>
      <c r="C1000" s="81"/>
      <c r="D1000" s="81"/>
      <c r="E1000" s="81"/>
      <c r="F1000" s="81"/>
      <c r="G1000" s="81"/>
      <c r="H1000" s="81"/>
      <c r="I1000" s="81"/>
      <c r="J1000" s="289"/>
      <c r="K1000" s="81"/>
      <c r="L1000" s="81"/>
      <c r="M1000" s="289"/>
      <c r="N1000" s="81"/>
      <c r="O1000" s="81"/>
      <c r="P1000" s="289"/>
      <c r="Q1000" s="81"/>
      <c r="R1000" s="81"/>
      <c r="S1000" s="289"/>
      <c r="T1000" s="81"/>
      <c r="U1000" s="81"/>
      <c r="V1000" s="81"/>
      <c r="W1000" s="81"/>
      <c r="X1000" s="81"/>
      <c r="Y1000" s="81"/>
      <c r="Z1000" s="81"/>
    </row>
  </sheetData>
  <mergeCells count="22">
    <mergeCell ref="D7:D8"/>
    <mergeCell ref="A9:B9"/>
    <mergeCell ref="A15:B15"/>
    <mergeCell ref="A33:B33"/>
    <mergeCell ref="A54:B54"/>
    <mergeCell ref="A76:B76"/>
    <mergeCell ref="A91:B91"/>
    <mergeCell ref="A106:B106"/>
    <mergeCell ref="A2:B6"/>
    <mergeCell ref="A7:B8"/>
    <mergeCell ref="C2:U3"/>
    <mergeCell ref="C4:G5"/>
    <mergeCell ref="H4:U5"/>
    <mergeCell ref="C6:E6"/>
    <mergeCell ref="F6:G6"/>
    <mergeCell ref="H6:I6"/>
    <mergeCell ref="J6:U6"/>
    <mergeCell ref="F7:G7"/>
    <mergeCell ref="J7:L7"/>
    <mergeCell ref="M7:O7"/>
    <mergeCell ref="P7:R7"/>
    <mergeCell ref="S7:U7"/>
  </mergeCells>
  <printOptions horizontalCentered="1"/>
  <pageMargins left="0.20866141699999999" right="0.20866141699999999" top="0.74803149606299202" bottom="0.24803149599999999" header="0" footer="0"/>
  <pageSetup paperSize="9" scale="67" orientation="landscape" r:id="rId1"/>
  <rowBreaks count="4" manualBreakCount="4">
    <brk id="32" max="20" man="1"/>
    <brk id="53" max="20" man="1"/>
    <brk id="75" max="20" man="1"/>
    <brk id="90" max="20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D965"/>
  </sheetPr>
  <dimension ref="A1:AD1000"/>
  <sheetViews>
    <sheetView tabSelected="1" view="pageBreakPreview" zoomScale="85" zoomScaleNormal="55" zoomScaleSheetLayoutView="85" workbookViewId="0">
      <pane xSplit="2" ySplit="9" topLeftCell="C10" activePane="bottomRight" state="frozen"/>
      <selection activeCell="Z5" sqref="Z5:AB6"/>
      <selection pane="topRight" activeCell="Z5" sqref="Z5:AB6"/>
      <selection pane="bottomLeft" activeCell="Z5" sqref="Z5:AB6"/>
      <selection pane="bottomRight" activeCell="A14" sqref="A14:XFD14"/>
    </sheetView>
  </sheetViews>
  <sheetFormatPr defaultColWidth="12.625" defaultRowHeight="24" customHeight="1" x14ac:dyDescent="0.5"/>
  <cols>
    <col min="1" max="1" width="4.375" style="6" customWidth="1"/>
    <col min="2" max="2" width="27.75" style="6" customWidth="1"/>
    <col min="3" max="6" width="8.75" style="6" customWidth="1"/>
    <col min="7" max="7" width="5.75" style="6" customWidth="1"/>
    <col min="8" max="8" width="8.75" style="6" customWidth="1"/>
    <col min="9" max="9" width="9.125" style="6" customWidth="1"/>
    <col min="10" max="10" width="8.75" style="6" customWidth="1"/>
    <col min="11" max="11" width="7.75" style="6" customWidth="1"/>
    <col min="12" max="12" width="5.75" style="6" customWidth="1"/>
    <col min="13" max="13" width="7.75" style="6" customWidth="1"/>
    <col min="14" max="14" width="5.75" style="6" customWidth="1"/>
    <col min="15" max="15" width="7.75" style="6" customWidth="1"/>
    <col min="16" max="16" width="5.75" style="6" customWidth="1"/>
    <col min="17" max="17" width="7.75" style="6" customWidth="1"/>
    <col min="18" max="18" width="5.75" style="6" customWidth="1"/>
    <col min="19" max="19" width="7.75" style="6" customWidth="1"/>
    <col min="20" max="20" width="5.75" style="6" customWidth="1"/>
    <col min="21" max="21" width="7.75" style="6" customWidth="1"/>
    <col min="22" max="22" width="5.75" style="6" customWidth="1"/>
    <col min="23" max="25" width="7.75" style="6" customWidth="1"/>
    <col min="26" max="26" width="5.75" style="6" customWidth="1"/>
    <col min="27" max="30" width="7.75" style="6" customWidth="1"/>
    <col min="31" max="16384" width="12.625" style="6"/>
  </cols>
  <sheetData>
    <row r="1" spans="1:30" ht="24" customHeight="1" x14ac:dyDescent="0.5">
      <c r="A1" s="257" t="s">
        <v>324</v>
      </c>
      <c r="B1" s="258"/>
      <c r="C1" s="259"/>
      <c r="D1" s="259"/>
      <c r="E1" s="259"/>
      <c r="F1" s="259"/>
      <c r="G1" s="259"/>
      <c r="H1" s="259"/>
      <c r="I1" s="259"/>
      <c r="J1" s="259"/>
      <c r="K1" s="258"/>
      <c r="L1" s="260"/>
      <c r="M1" s="258"/>
      <c r="N1" s="260"/>
      <c r="O1" s="258"/>
      <c r="P1" s="260"/>
      <c r="Q1" s="258"/>
      <c r="R1" s="260"/>
      <c r="S1" s="258"/>
      <c r="T1" s="260"/>
      <c r="U1" s="258"/>
      <c r="V1" s="260"/>
      <c r="W1" s="447"/>
      <c r="X1" s="447"/>
      <c r="Y1" s="258"/>
      <c r="Z1" s="260"/>
      <c r="AA1" s="258"/>
      <c r="AB1" s="258"/>
      <c r="AC1" s="258"/>
      <c r="AD1" s="258"/>
    </row>
    <row r="2" spans="1:30" ht="24" customHeight="1" x14ac:dyDescent="0.5">
      <c r="A2" s="752" t="s">
        <v>0</v>
      </c>
      <c r="B2" s="627"/>
      <c r="C2" s="813" t="s">
        <v>289</v>
      </c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4"/>
      <c r="AC2" s="814"/>
      <c r="AD2" s="755"/>
    </row>
    <row r="3" spans="1:30" ht="24" customHeight="1" x14ac:dyDescent="0.5">
      <c r="A3" s="628"/>
      <c r="B3" s="629"/>
      <c r="C3" s="815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  <c r="AA3" s="669"/>
      <c r="AB3" s="669"/>
      <c r="AC3" s="669"/>
      <c r="AD3" s="757"/>
    </row>
    <row r="4" spans="1:30" ht="40.5" customHeight="1" x14ac:dyDescent="0.5">
      <c r="A4" s="628"/>
      <c r="B4" s="629"/>
      <c r="C4" s="816" t="s">
        <v>202</v>
      </c>
      <c r="D4" s="817"/>
      <c r="E4" s="817"/>
      <c r="F4" s="817"/>
      <c r="G4" s="822"/>
      <c r="H4" s="908" t="s">
        <v>290</v>
      </c>
      <c r="I4" s="817"/>
      <c r="J4" s="822"/>
      <c r="K4" s="909" t="s">
        <v>333</v>
      </c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2"/>
      <c r="Y4" s="910" t="s">
        <v>291</v>
      </c>
      <c r="Z4" s="911"/>
      <c r="AA4" s="911"/>
      <c r="AB4" s="911"/>
      <c r="AC4" s="911"/>
      <c r="AD4" s="912"/>
    </row>
    <row r="5" spans="1:30" ht="24" customHeight="1" x14ac:dyDescent="0.5">
      <c r="A5" s="628"/>
      <c r="B5" s="629"/>
      <c r="C5" s="815"/>
      <c r="D5" s="669"/>
      <c r="E5" s="669"/>
      <c r="F5" s="669"/>
      <c r="G5" s="824"/>
      <c r="H5" s="823"/>
      <c r="I5" s="669"/>
      <c r="J5" s="824"/>
      <c r="K5" s="847" t="s">
        <v>192</v>
      </c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2"/>
      <c r="Y5" s="847" t="s">
        <v>192</v>
      </c>
      <c r="Z5" s="819"/>
      <c r="AA5" s="819"/>
      <c r="AB5" s="819"/>
      <c r="AC5" s="819"/>
      <c r="AD5" s="820"/>
    </row>
    <row r="6" spans="1:30" ht="24" customHeight="1" x14ac:dyDescent="0.5">
      <c r="A6" s="630"/>
      <c r="B6" s="631"/>
      <c r="C6" s="834" t="s">
        <v>6</v>
      </c>
      <c r="D6" s="819"/>
      <c r="E6" s="812"/>
      <c r="F6" s="835" t="s">
        <v>7</v>
      </c>
      <c r="G6" s="817"/>
      <c r="H6" s="915" t="s">
        <v>12</v>
      </c>
      <c r="I6" s="917" t="s">
        <v>292</v>
      </c>
      <c r="J6" s="919" t="s">
        <v>293</v>
      </c>
      <c r="K6" s="921" t="s">
        <v>294</v>
      </c>
      <c r="L6" s="854"/>
      <c r="M6" s="903" t="s">
        <v>295</v>
      </c>
      <c r="N6" s="904"/>
      <c r="O6" s="903" t="s">
        <v>296</v>
      </c>
      <c r="P6" s="904"/>
      <c r="Q6" s="906" t="s">
        <v>297</v>
      </c>
      <c r="R6" s="904"/>
      <c r="S6" s="903" t="s">
        <v>298</v>
      </c>
      <c r="T6" s="904"/>
      <c r="U6" s="907" t="s">
        <v>299</v>
      </c>
      <c r="V6" s="669"/>
      <c r="W6" s="669"/>
      <c r="X6" s="824"/>
      <c r="Y6" s="907" t="s">
        <v>299</v>
      </c>
      <c r="Z6" s="669"/>
      <c r="AA6" s="669"/>
      <c r="AB6" s="824"/>
      <c r="AC6" s="913" t="s">
        <v>300</v>
      </c>
      <c r="AD6" s="914"/>
    </row>
    <row r="7" spans="1:30" ht="24" customHeight="1" x14ac:dyDescent="0.5">
      <c r="A7" s="773" t="s">
        <v>207</v>
      </c>
      <c r="B7" s="774"/>
      <c r="C7" s="518" t="s">
        <v>12</v>
      </c>
      <c r="D7" s="604" t="s">
        <v>13</v>
      </c>
      <c r="E7" s="511" t="s">
        <v>14</v>
      </c>
      <c r="F7" s="838" t="s">
        <v>15</v>
      </c>
      <c r="G7" s="669"/>
      <c r="H7" s="916"/>
      <c r="I7" s="918"/>
      <c r="J7" s="920"/>
      <c r="K7" s="823"/>
      <c r="L7" s="824"/>
      <c r="M7" s="829"/>
      <c r="N7" s="905"/>
      <c r="O7" s="829"/>
      <c r="P7" s="905"/>
      <c r="Q7" s="829"/>
      <c r="R7" s="905"/>
      <c r="S7" s="829"/>
      <c r="T7" s="905"/>
      <c r="U7" s="850" t="s">
        <v>301</v>
      </c>
      <c r="V7" s="812"/>
      <c r="W7" s="448" t="s">
        <v>302</v>
      </c>
      <c r="X7" s="557" t="s">
        <v>302</v>
      </c>
      <c r="Y7" s="850" t="s">
        <v>301</v>
      </c>
      <c r="Z7" s="812"/>
      <c r="AA7" s="448" t="s">
        <v>302</v>
      </c>
      <c r="AB7" s="557" t="s">
        <v>302</v>
      </c>
      <c r="AC7" s="557" t="s">
        <v>303</v>
      </c>
      <c r="AD7" s="449" t="s">
        <v>304</v>
      </c>
    </row>
    <row r="8" spans="1:30" ht="24" customHeight="1" x14ac:dyDescent="0.5">
      <c r="A8" s="775"/>
      <c r="B8" s="776"/>
      <c r="C8" s="520"/>
      <c r="D8" s="605"/>
      <c r="E8" s="512"/>
      <c r="F8" s="14" t="s">
        <v>18</v>
      </c>
      <c r="G8" s="325" t="s">
        <v>19</v>
      </c>
      <c r="H8" s="497" t="s">
        <v>198</v>
      </c>
      <c r="I8" s="558" t="s">
        <v>198</v>
      </c>
      <c r="J8" s="558" t="s">
        <v>198</v>
      </c>
      <c r="K8" s="559" t="s">
        <v>199</v>
      </c>
      <c r="L8" s="560" t="s">
        <v>19</v>
      </c>
      <c r="M8" s="559" t="s">
        <v>199</v>
      </c>
      <c r="N8" s="560" t="s">
        <v>19</v>
      </c>
      <c r="O8" s="559" t="s">
        <v>199</v>
      </c>
      <c r="P8" s="560" t="s">
        <v>19</v>
      </c>
      <c r="Q8" s="559" t="s">
        <v>199</v>
      </c>
      <c r="R8" s="560" t="s">
        <v>19</v>
      </c>
      <c r="S8" s="559" t="s">
        <v>199</v>
      </c>
      <c r="T8" s="560" t="s">
        <v>19</v>
      </c>
      <c r="U8" s="559" t="s">
        <v>199</v>
      </c>
      <c r="V8" s="560" t="s">
        <v>19</v>
      </c>
      <c r="W8" s="559" t="s">
        <v>198</v>
      </c>
      <c r="X8" s="559" t="s">
        <v>198</v>
      </c>
      <c r="Y8" s="559" t="s">
        <v>199</v>
      </c>
      <c r="Z8" s="560" t="s">
        <v>19</v>
      </c>
      <c r="AA8" s="559" t="s">
        <v>198</v>
      </c>
      <c r="AB8" s="559" t="s">
        <v>198</v>
      </c>
      <c r="AC8" s="559" t="s">
        <v>198</v>
      </c>
      <c r="AD8" s="441" t="s">
        <v>198</v>
      </c>
    </row>
    <row r="9" spans="1:30" ht="24" customHeight="1" x14ac:dyDescent="0.5">
      <c r="A9" s="771" t="s">
        <v>24</v>
      </c>
      <c r="B9" s="643"/>
      <c r="C9" s="326">
        <f t="shared" ref="C9:E9" si="0">C10+C11</f>
        <v>863900</v>
      </c>
      <c r="D9" s="266">
        <f t="shared" si="0"/>
        <v>0</v>
      </c>
      <c r="E9" s="267">
        <f t="shared" si="0"/>
        <v>863900</v>
      </c>
      <c r="F9" s="242">
        <f ca="1">+F10+F11</f>
        <v>31924</v>
      </c>
      <c r="G9" s="243">
        <f t="shared" ref="G9:G114" ca="1" si="1">IF(C9&gt;0,F9*100/C9,0)</f>
        <v>3.6953351082301191</v>
      </c>
      <c r="H9" s="442">
        <f t="shared" ref="H9:H10" si="2">+I9+J9</f>
        <v>13348.84</v>
      </c>
      <c r="I9" s="442">
        <v>6700</v>
      </c>
      <c r="J9" s="244">
        <f t="shared" ref="J9:K9" si="3">J10+J11</f>
        <v>6648.84</v>
      </c>
      <c r="K9" s="245">
        <f t="shared" ca="1" si="3"/>
        <v>182.92</v>
      </c>
      <c r="L9" s="390">
        <f t="shared" ref="L9:L114" ca="1" si="4">IF(H9&gt;0,K9*100/H9,0)</f>
        <v>1.3703063337338675</v>
      </c>
      <c r="M9" s="245">
        <f ca="1">M10+M11</f>
        <v>123.04</v>
      </c>
      <c r="N9" s="390">
        <f t="shared" ref="N9:N114" ca="1" si="5">IF($H9&gt;0,M9*100/$H9,0)</f>
        <v>0.92172803030076023</v>
      </c>
      <c r="O9" s="245">
        <f ca="1">O10+O11</f>
        <v>0</v>
      </c>
      <c r="P9" s="390">
        <f t="shared" ref="P9:P114" ca="1" si="6">IF($H9&gt;0,O9*100/$H9,0)</f>
        <v>0</v>
      </c>
      <c r="Q9" s="245">
        <f ca="1">Q10+Q11</f>
        <v>0</v>
      </c>
      <c r="R9" s="390">
        <f t="shared" ref="R9:R114" ca="1" si="7">IF($H9&gt;0,Q9*100/$H9,0)</f>
        <v>0</v>
      </c>
      <c r="S9" s="245">
        <f ca="1">S10+S11</f>
        <v>0</v>
      </c>
      <c r="T9" s="390">
        <f t="shared" ref="T9:T114" ca="1" si="8">IF($H9&gt;0,S9*100/$H9,0)</f>
        <v>0</v>
      </c>
      <c r="U9" s="245">
        <f ca="1">U10+U11</f>
        <v>0</v>
      </c>
      <c r="V9" s="390">
        <f t="shared" ref="V9:V114" ca="1" si="9">IF($H9&gt;0,U9*100/$H9,0)</f>
        <v>0</v>
      </c>
      <c r="W9" s="245">
        <f t="shared" ref="W9:Y9" ca="1" si="10">W10+W11</f>
        <v>0</v>
      </c>
      <c r="X9" s="245">
        <f t="shared" ca="1" si="10"/>
        <v>0</v>
      </c>
      <c r="Y9" s="245">
        <f t="shared" ca="1" si="10"/>
        <v>0</v>
      </c>
      <c r="Z9" s="390">
        <f t="shared" ref="Z9:Z114" ca="1" si="11">IF($H9&gt;0,Y9*100/$H9,0)</f>
        <v>0</v>
      </c>
      <c r="AA9" s="245">
        <f t="shared" ref="AA9:AD9" ca="1" si="12">AA10+AA11</f>
        <v>0</v>
      </c>
      <c r="AB9" s="245">
        <f t="shared" ca="1" si="12"/>
        <v>0</v>
      </c>
      <c r="AC9" s="245">
        <f t="shared" ca="1" si="12"/>
        <v>0</v>
      </c>
      <c r="AD9" s="245">
        <f t="shared" ca="1" si="12"/>
        <v>0</v>
      </c>
    </row>
    <row r="10" spans="1:30" ht="24" customHeight="1" x14ac:dyDescent="0.5">
      <c r="A10" s="27" t="s">
        <v>25</v>
      </c>
      <c r="B10" s="28"/>
      <c r="C10" s="248">
        <f t="shared" ref="C10:F10" si="13">+C15+C33+C54+C76</f>
        <v>630840</v>
      </c>
      <c r="D10" s="29">
        <f t="shared" si="13"/>
        <v>0</v>
      </c>
      <c r="E10" s="29">
        <f t="shared" si="13"/>
        <v>630840</v>
      </c>
      <c r="F10" s="29">
        <f t="shared" ca="1" si="13"/>
        <v>31924</v>
      </c>
      <c r="G10" s="91">
        <f t="shared" ca="1" si="1"/>
        <v>5.0605541817259523</v>
      </c>
      <c r="H10" s="29">
        <f t="shared" si="2"/>
        <v>13348.84</v>
      </c>
      <c r="I10" s="29">
        <v>6700</v>
      </c>
      <c r="J10" s="66">
        <f t="shared" ref="J10:K10" si="14">+J15+J33+J54+J76</f>
        <v>6648.84</v>
      </c>
      <c r="K10" s="66">
        <f t="shared" ca="1" si="14"/>
        <v>182.92</v>
      </c>
      <c r="L10" s="101">
        <f t="shared" ca="1" si="4"/>
        <v>1.3703063337338675</v>
      </c>
      <c r="M10" s="66">
        <f ca="1">+M15+M33+M54+M76</f>
        <v>123.04</v>
      </c>
      <c r="N10" s="101">
        <f t="shared" ca="1" si="5"/>
        <v>0.92172803030076023</v>
      </c>
      <c r="O10" s="391">
        <f ca="1">+O15+O33+O54+O76</f>
        <v>0</v>
      </c>
      <c r="P10" s="101">
        <f t="shared" ca="1" si="6"/>
        <v>0</v>
      </c>
      <c r="Q10" s="391">
        <f ca="1">+Q15+Q33+Q54+Q76</f>
        <v>0</v>
      </c>
      <c r="R10" s="101">
        <f t="shared" ca="1" si="7"/>
        <v>0</v>
      </c>
      <c r="S10" s="391">
        <f ca="1">+S15+S33+S54+S76</f>
        <v>0</v>
      </c>
      <c r="T10" s="101">
        <f t="shared" ca="1" si="8"/>
        <v>0</v>
      </c>
      <c r="U10" s="443">
        <f ca="1">+U15+U33+U54+U76</f>
        <v>0</v>
      </c>
      <c r="V10" s="101">
        <f t="shared" ca="1" si="9"/>
        <v>0</v>
      </c>
      <c r="W10" s="443">
        <f t="shared" ref="W10:Y10" ca="1" si="15">+W15+W33+W54+W76</f>
        <v>0</v>
      </c>
      <c r="X10" s="443">
        <f t="shared" ca="1" si="15"/>
        <v>0</v>
      </c>
      <c r="Y10" s="66">
        <f t="shared" ca="1" si="15"/>
        <v>0</v>
      </c>
      <c r="Z10" s="101">
        <f t="shared" ca="1" si="11"/>
        <v>0</v>
      </c>
      <c r="AA10" s="391">
        <f t="shared" ref="AA10:AD10" ca="1" si="16">+AA15+AA33+AA54+AA76</f>
        <v>0</v>
      </c>
      <c r="AB10" s="391">
        <f t="shared" ca="1" si="16"/>
        <v>0</v>
      </c>
      <c r="AC10" s="391">
        <f t="shared" ca="1" si="16"/>
        <v>0</v>
      </c>
      <c r="AD10" s="444">
        <f t="shared" ca="1" si="16"/>
        <v>0</v>
      </c>
    </row>
    <row r="11" spans="1:30" ht="24" customHeight="1" x14ac:dyDescent="0.5">
      <c r="A11" s="33" t="s">
        <v>26</v>
      </c>
      <c r="B11" s="34"/>
      <c r="C11" s="250">
        <f t="shared" ref="C11:F11" si="17">+C12+C13</f>
        <v>233060</v>
      </c>
      <c r="D11" s="35">
        <f t="shared" si="17"/>
        <v>0</v>
      </c>
      <c r="E11" s="35">
        <f t="shared" si="17"/>
        <v>233060</v>
      </c>
      <c r="F11" s="35">
        <f t="shared" si="17"/>
        <v>0</v>
      </c>
      <c r="G11" s="92">
        <f t="shared" si="1"/>
        <v>0</v>
      </c>
      <c r="H11" s="35">
        <v>0</v>
      </c>
      <c r="I11" s="35">
        <v>0</v>
      </c>
      <c r="J11" s="35">
        <v>0</v>
      </c>
      <c r="K11" s="35">
        <f>+K12+K13</f>
        <v>0</v>
      </c>
      <c r="L11" s="92">
        <f t="shared" si="4"/>
        <v>0</v>
      </c>
      <c r="M11" s="35">
        <f>+M12+M13</f>
        <v>0</v>
      </c>
      <c r="N11" s="92">
        <f t="shared" si="5"/>
        <v>0</v>
      </c>
      <c r="O11" s="35">
        <f>+O12+O13</f>
        <v>0</v>
      </c>
      <c r="P11" s="92">
        <f t="shared" si="6"/>
        <v>0</v>
      </c>
      <c r="Q11" s="35">
        <f>+Q12+Q13</f>
        <v>0</v>
      </c>
      <c r="R11" s="92">
        <f t="shared" si="7"/>
        <v>0</v>
      </c>
      <c r="S11" s="35">
        <f>+S12+S13</f>
        <v>0</v>
      </c>
      <c r="T11" s="92">
        <f t="shared" si="8"/>
        <v>0</v>
      </c>
      <c r="U11" s="445">
        <f>+U12+U13</f>
        <v>0</v>
      </c>
      <c r="V11" s="92">
        <f t="shared" si="9"/>
        <v>0</v>
      </c>
      <c r="W11" s="445">
        <f t="shared" ref="W11:Y11" si="18">+W12+W13</f>
        <v>0</v>
      </c>
      <c r="X11" s="445">
        <f t="shared" si="18"/>
        <v>0</v>
      </c>
      <c r="Y11" s="35">
        <f t="shared" si="18"/>
        <v>0</v>
      </c>
      <c r="Z11" s="92">
        <f t="shared" si="11"/>
        <v>0</v>
      </c>
      <c r="AA11" s="35">
        <f t="shared" ref="AA11:AD11" si="19">+AA12+AA13</f>
        <v>0</v>
      </c>
      <c r="AB11" s="35">
        <f t="shared" si="19"/>
        <v>0</v>
      </c>
      <c r="AC11" s="35">
        <f t="shared" si="19"/>
        <v>0</v>
      </c>
      <c r="AD11" s="415">
        <f t="shared" si="19"/>
        <v>0</v>
      </c>
    </row>
    <row r="12" spans="1:30" ht="24" customHeight="1" x14ac:dyDescent="0.5">
      <c r="A12" s="33" t="s">
        <v>27</v>
      </c>
      <c r="B12" s="34"/>
      <c r="C12" s="250">
        <f t="shared" ref="C12:F12" si="20">+C91</f>
        <v>233060</v>
      </c>
      <c r="D12" s="35">
        <f t="shared" si="20"/>
        <v>0</v>
      </c>
      <c r="E12" s="35">
        <f t="shared" si="20"/>
        <v>233060</v>
      </c>
      <c r="F12" s="35">
        <f t="shared" si="20"/>
        <v>0</v>
      </c>
      <c r="G12" s="92">
        <f t="shared" si="1"/>
        <v>0</v>
      </c>
      <c r="H12" s="35">
        <v>0</v>
      </c>
      <c r="I12" s="35">
        <v>0</v>
      </c>
      <c r="J12" s="35">
        <v>0</v>
      </c>
      <c r="K12" s="35">
        <f>+K91</f>
        <v>0</v>
      </c>
      <c r="L12" s="92">
        <f t="shared" si="4"/>
        <v>0</v>
      </c>
      <c r="M12" s="35">
        <f>+M91</f>
        <v>0</v>
      </c>
      <c r="N12" s="92">
        <f t="shared" si="5"/>
        <v>0</v>
      </c>
      <c r="O12" s="35">
        <f>+O91</f>
        <v>0</v>
      </c>
      <c r="P12" s="92">
        <f t="shared" si="6"/>
        <v>0</v>
      </c>
      <c r="Q12" s="35">
        <f>+Q91</f>
        <v>0</v>
      </c>
      <c r="R12" s="92">
        <f t="shared" si="7"/>
        <v>0</v>
      </c>
      <c r="S12" s="35">
        <f>+S91</f>
        <v>0</v>
      </c>
      <c r="T12" s="92">
        <f t="shared" si="8"/>
        <v>0</v>
      </c>
      <c r="U12" s="445">
        <f>+U91</f>
        <v>0</v>
      </c>
      <c r="V12" s="92">
        <f t="shared" si="9"/>
        <v>0</v>
      </c>
      <c r="W12" s="445">
        <f t="shared" ref="W12:Y12" si="21">+W91</f>
        <v>0</v>
      </c>
      <c r="X12" s="445">
        <f t="shared" si="21"/>
        <v>0</v>
      </c>
      <c r="Y12" s="35">
        <f t="shared" si="21"/>
        <v>0</v>
      </c>
      <c r="Z12" s="92">
        <f t="shared" si="11"/>
        <v>0</v>
      </c>
      <c r="AA12" s="35">
        <f t="shared" ref="AA12:AD12" si="22">+AA91</f>
        <v>0</v>
      </c>
      <c r="AB12" s="35">
        <f t="shared" si="22"/>
        <v>0</v>
      </c>
      <c r="AC12" s="35">
        <f t="shared" si="22"/>
        <v>0</v>
      </c>
      <c r="AD12" s="415">
        <f t="shared" si="22"/>
        <v>0</v>
      </c>
    </row>
    <row r="13" spans="1:30" ht="24" customHeight="1" x14ac:dyDescent="0.5">
      <c r="A13" s="33" t="s">
        <v>28</v>
      </c>
      <c r="B13" s="34"/>
      <c r="C13" s="250">
        <f t="shared" ref="C13:E13" si="23">+C106</f>
        <v>0</v>
      </c>
      <c r="D13" s="35">
        <f t="shared" si="23"/>
        <v>0</v>
      </c>
      <c r="E13" s="35">
        <f t="shared" si="23"/>
        <v>0</v>
      </c>
      <c r="F13" s="35"/>
      <c r="G13" s="92">
        <f t="shared" si="1"/>
        <v>0</v>
      </c>
      <c r="H13" s="35">
        <v>0</v>
      </c>
      <c r="I13" s="35">
        <v>0</v>
      </c>
      <c r="J13" s="35">
        <v>0</v>
      </c>
      <c r="K13" s="35">
        <f>+K106</f>
        <v>0</v>
      </c>
      <c r="L13" s="92">
        <f t="shared" si="4"/>
        <v>0</v>
      </c>
      <c r="M13" s="35">
        <f>+M106</f>
        <v>0</v>
      </c>
      <c r="N13" s="92">
        <f t="shared" si="5"/>
        <v>0</v>
      </c>
      <c r="O13" s="35">
        <f>+O106</f>
        <v>0</v>
      </c>
      <c r="P13" s="92">
        <f t="shared" si="6"/>
        <v>0</v>
      </c>
      <c r="Q13" s="35">
        <f>+Q106</f>
        <v>0</v>
      </c>
      <c r="R13" s="92">
        <f t="shared" si="7"/>
        <v>0</v>
      </c>
      <c r="S13" s="35">
        <f>+S106</f>
        <v>0</v>
      </c>
      <c r="T13" s="92">
        <f t="shared" si="8"/>
        <v>0</v>
      </c>
      <c r="U13" s="445">
        <f>+U106</f>
        <v>0</v>
      </c>
      <c r="V13" s="92">
        <f t="shared" si="9"/>
        <v>0</v>
      </c>
      <c r="W13" s="445">
        <f t="shared" ref="W13:Y13" si="24">+W106</f>
        <v>0</v>
      </c>
      <c r="X13" s="445">
        <f t="shared" si="24"/>
        <v>0</v>
      </c>
      <c r="Y13" s="35">
        <f t="shared" si="24"/>
        <v>0</v>
      </c>
      <c r="Z13" s="92">
        <f t="shared" si="11"/>
        <v>0</v>
      </c>
      <c r="AA13" s="35">
        <f t="shared" ref="AA13:AD13" si="25">+AA106</f>
        <v>0</v>
      </c>
      <c r="AB13" s="35">
        <f t="shared" si="25"/>
        <v>0</v>
      </c>
      <c r="AC13" s="35">
        <f t="shared" si="25"/>
        <v>0</v>
      </c>
      <c r="AD13" s="415">
        <f t="shared" si="25"/>
        <v>0</v>
      </c>
    </row>
    <row r="14" spans="1:30" s="480" customFormat="1" ht="24" customHeight="1" x14ac:dyDescent="0.5">
      <c r="A14" s="34"/>
      <c r="B14" s="34"/>
      <c r="C14" s="250"/>
      <c r="D14" s="35"/>
      <c r="E14" s="35"/>
      <c r="F14" s="35"/>
      <c r="G14" s="92"/>
      <c r="H14" s="35"/>
      <c r="I14" s="35"/>
      <c r="J14" s="35"/>
      <c r="K14" s="35"/>
      <c r="L14" s="92"/>
      <c r="M14" s="35"/>
      <c r="N14" s="92"/>
      <c r="O14" s="35"/>
      <c r="P14" s="92"/>
      <c r="Q14" s="35"/>
      <c r="R14" s="92"/>
      <c r="S14" s="35"/>
      <c r="T14" s="92"/>
      <c r="U14" s="445"/>
      <c r="V14" s="92"/>
      <c r="W14" s="445"/>
      <c r="X14" s="445"/>
      <c r="Y14" s="35"/>
      <c r="Z14" s="92"/>
      <c r="AA14" s="35"/>
      <c r="AB14" s="35"/>
      <c r="AC14" s="35"/>
      <c r="AD14" s="415"/>
    </row>
    <row r="15" spans="1:30" ht="24" customHeight="1" x14ac:dyDescent="0.5">
      <c r="A15" s="777" t="s">
        <v>30</v>
      </c>
      <c r="B15" s="571"/>
      <c r="C15" s="255">
        <f t="shared" ref="C15:F15" si="26">SUM(C16:C32)</f>
        <v>135050</v>
      </c>
      <c r="D15" s="66">
        <f t="shared" si="26"/>
        <v>0</v>
      </c>
      <c r="E15" s="66">
        <f t="shared" si="26"/>
        <v>135050</v>
      </c>
      <c r="F15" s="101">
        <f t="shared" ca="1" si="26"/>
        <v>4580</v>
      </c>
      <c r="G15" s="101">
        <f t="shared" ca="1" si="1"/>
        <v>3.3913365420214734</v>
      </c>
      <c r="H15" s="66">
        <v>1470</v>
      </c>
      <c r="I15" s="66">
        <v>1470</v>
      </c>
      <c r="J15" s="66">
        <f t="shared" ref="J15:K15" si="27">SUM(J16:J32)</f>
        <v>3997</v>
      </c>
      <c r="K15" s="66">
        <f t="shared" ca="1" si="27"/>
        <v>0</v>
      </c>
      <c r="L15" s="101">
        <f t="shared" ca="1" si="4"/>
        <v>0</v>
      </c>
      <c r="M15" s="66">
        <f ca="1">SUM(M16:M32)</f>
        <v>0</v>
      </c>
      <c r="N15" s="101">
        <f t="shared" ca="1" si="5"/>
        <v>0</v>
      </c>
      <c r="O15" s="66">
        <f ca="1">SUM(O16:O32)</f>
        <v>0</v>
      </c>
      <c r="P15" s="101">
        <f t="shared" ca="1" si="6"/>
        <v>0</v>
      </c>
      <c r="Q15" s="66">
        <f ca="1">SUM(Q16:Q32)</f>
        <v>0</v>
      </c>
      <c r="R15" s="101">
        <f t="shared" ca="1" si="7"/>
        <v>0</v>
      </c>
      <c r="S15" s="66">
        <f ca="1">SUM(S16:S32)</f>
        <v>0</v>
      </c>
      <c r="T15" s="101">
        <f t="shared" ca="1" si="8"/>
        <v>0</v>
      </c>
      <c r="U15" s="446">
        <f ca="1">SUM(U16:U32)</f>
        <v>0</v>
      </c>
      <c r="V15" s="101">
        <f t="shared" ca="1" si="9"/>
        <v>0</v>
      </c>
      <c r="W15" s="446">
        <f t="shared" ref="W15:Y15" ca="1" si="28">SUM(W16:W32)</f>
        <v>0</v>
      </c>
      <c r="X15" s="446">
        <f t="shared" ca="1" si="28"/>
        <v>0</v>
      </c>
      <c r="Y15" s="66">
        <f t="shared" ca="1" si="28"/>
        <v>0</v>
      </c>
      <c r="Z15" s="101">
        <f t="shared" ca="1" si="11"/>
        <v>0</v>
      </c>
      <c r="AA15" s="66">
        <f t="shared" ref="AA15:AD15" ca="1" si="29">SUM(AA16:AA32)</f>
        <v>0</v>
      </c>
      <c r="AB15" s="66">
        <f t="shared" ca="1" si="29"/>
        <v>0</v>
      </c>
      <c r="AC15" s="66">
        <f t="shared" ca="1" si="29"/>
        <v>0</v>
      </c>
      <c r="AD15" s="414">
        <f t="shared" ca="1" si="29"/>
        <v>0</v>
      </c>
    </row>
    <row r="16" spans="1:30" ht="24" customHeight="1" x14ac:dyDescent="0.5">
      <c r="A16" s="268">
        <v>1</v>
      </c>
      <c r="B16" s="269" t="s">
        <v>31</v>
      </c>
      <c r="C16" s="270">
        <f t="shared" ref="C16:C32" si="30">+D16+E16</f>
        <v>8900</v>
      </c>
      <c r="D16" s="48">
        <v>0</v>
      </c>
      <c r="E16" s="48">
        <v>8900</v>
      </c>
      <c r="F16" s="98">
        <f ca="1">IFERROR(__xludf.DUMMYFUNCTION("IMPORTRANGE(""https://docs.google.com/spreadsheets/d/11923uPwbBZFjjGgGUA6NLw09EwE0CqkOc4q9oUmW1yo/edit?usp=sharing"",""กำแพงเพชร!M492"")"),0)</f>
        <v>0</v>
      </c>
      <c r="G16" s="98">
        <f t="shared" ca="1" si="1"/>
        <v>0</v>
      </c>
      <c r="H16" s="398">
        <f t="shared" ref="H16:H32" si="31">+I16+J16</f>
        <v>100</v>
      </c>
      <c r="I16" s="398">
        <v>100</v>
      </c>
      <c r="J16" s="398">
        <v>0</v>
      </c>
      <c r="K16" s="48">
        <f ca="1">IFERROR(__xludf.DUMMYFUNCTION("IMPORTRANGE(""https://docs.google.com/spreadsheets/d/11923uPwbBZFjjGgGUA6NLw09EwE0CqkOc4q9oUmW1yo/edit?usp=sharing"",""กำแพงเพชร!J505"")"),0)</f>
        <v>0</v>
      </c>
      <c r="L16" s="98">
        <f t="shared" ca="1" si="4"/>
        <v>0</v>
      </c>
      <c r="M16" s="48">
        <f ca="1">IFERROR(__xludf.DUMMYFUNCTION("IMPORTRANGE(""https://docs.google.com/spreadsheets/d/11923uPwbBZFjjGgGUA6NLw09EwE0CqkOc4q9oUmW1yo/edit?usp=sharing"",""กำแพงเพชร!J506"")"),0)</f>
        <v>0</v>
      </c>
      <c r="N16" s="98">
        <f t="shared" ca="1" si="5"/>
        <v>0</v>
      </c>
      <c r="O16" s="48">
        <f ca="1">IFERROR(__xludf.DUMMYFUNCTION("IMPORTRANGE(""https://docs.google.com/spreadsheets/d/11923uPwbBZFjjGgGUA6NLw09EwE0CqkOc4q9oUmW1yo/edit?usp=sharing"",""กำแพงเพชร!J507"")"),0)</f>
        <v>0</v>
      </c>
      <c r="P16" s="98">
        <f t="shared" ca="1" si="6"/>
        <v>0</v>
      </c>
      <c r="Q16" s="48">
        <f ca="1">IFERROR(__xludf.DUMMYFUNCTION("IMPORTRANGE(""https://docs.google.com/spreadsheets/d/11923uPwbBZFjjGgGUA6NLw09EwE0CqkOc4q9oUmW1yo/edit?usp=sharing"",""กำแพงเพชร!J508"")"),0)</f>
        <v>0</v>
      </c>
      <c r="R16" s="98">
        <f t="shared" ca="1" si="7"/>
        <v>0</v>
      </c>
      <c r="S16" s="48">
        <f ca="1">IFERROR(__xludf.DUMMYFUNCTION("IMPORTRANGE(""https://docs.google.com/spreadsheets/d/11923uPwbBZFjjGgGUA6NLw09EwE0CqkOc4q9oUmW1yo/edit?usp=sharing"",""กำแพงเพชร!J509"")"),0)</f>
        <v>0</v>
      </c>
      <c r="T16" s="98">
        <f t="shared" ca="1" si="8"/>
        <v>0</v>
      </c>
      <c r="U16" s="450">
        <f t="shared" ref="U16:U32" ca="1" si="32">SUM(W16,X16)</f>
        <v>0</v>
      </c>
      <c r="V16" s="98">
        <f t="shared" ca="1" si="9"/>
        <v>0</v>
      </c>
      <c r="W16" s="450">
        <f ca="1">IFERROR(__xludf.DUMMYFUNCTION("IMPORTRANGE(""https://docs.google.com/spreadsheets/d/11923uPwbBZFjjGgGUA6NLw09EwE0CqkOc4q9oUmW1yo/edit?usp=sharing"",""กำแพงเพชร!J511"")"),0)</f>
        <v>0</v>
      </c>
      <c r="X16" s="450">
        <f ca="1">IFERROR(__xludf.DUMMYFUNCTION("IMPORTRANGE(""https://docs.google.com/spreadsheets/d/11923uPwbBZFjjGgGUA6NLw09EwE0CqkOc4q9oUmW1yo/edit?usp=sharing"",""กำแพงเพชร!J512"")"),0)</f>
        <v>0</v>
      </c>
      <c r="Y16" s="48">
        <f t="shared" ref="Y16:Y32" ca="1" si="33">SUM(AA16,AB16)</f>
        <v>0</v>
      </c>
      <c r="Z16" s="98">
        <f t="shared" ca="1" si="11"/>
        <v>0</v>
      </c>
      <c r="AA16" s="48">
        <f ca="1">IFERROR(__xludf.DUMMYFUNCTION("IMPORTRANGE(""https://docs.google.com/spreadsheets/d/11923uPwbBZFjjGgGUA6NLw09EwE0CqkOc4q9oUmW1yo/edit?usp=sharing"",""กำแพงเพชร!J515"")"),0)</f>
        <v>0</v>
      </c>
      <c r="AB16" s="48">
        <f ca="1">IFERROR(__xludf.DUMMYFUNCTION("IMPORTRANGE(""https://docs.google.com/spreadsheets/d/11923uPwbBZFjjGgGUA6NLw09EwE0CqkOc4q9oUmW1yo/edit?usp=sharing"",""กำแพงเพชร!J516"")"),0)</f>
        <v>0</v>
      </c>
      <c r="AC16" s="48">
        <f ca="1">IFERROR(__xludf.DUMMYFUNCTION("IMPORTRANGE(""https://docs.google.com/spreadsheets/d/11923uPwbBZFjjGgGUA6NLw09EwE0CqkOc4q9oUmW1yo/edit?usp=sharing"",""กำแพงเพชร!J518"")"),0)</f>
        <v>0</v>
      </c>
      <c r="AD16" s="420">
        <f ca="1">IFERROR(__xludf.DUMMYFUNCTION("IMPORTRANGE(""https://docs.google.com/spreadsheets/d/11923uPwbBZFjjGgGUA6NLw09EwE0CqkOc4q9oUmW1yo/edit?usp=sharing"",""กำแพงเพชร!J519"")"),0)</f>
        <v>0</v>
      </c>
    </row>
    <row r="17" spans="1:30" ht="24" customHeight="1" x14ac:dyDescent="0.5">
      <c r="A17" s="273">
        <v>2</v>
      </c>
      <c r="B17" s="274" t="s">
        <v>32</v>
      </c>
      <c r="C17" s="275">
        <f t="shared" si="30"/>
        <v>15500</v>
      </c>
      <c r="D17" s="55">
        <v>0</v>
      </c>
      <c r="E17" s="55">
        <v>15500</v>
      </c>
      <c r="F17" s="99">
        <f ca="1">IFERROR(__xludf.DUMMYFUNCTION("IMPORTRANGE(""https://docs.google.com/spreadsheets/d/11923uPwbBZFjjGgGUA6NLw09EwE0CqkOc4q9oUmW1yo/edit?usp=sharing"",""เชียงราย!M492"")"),0)</f>
        <v>0</v>
      </c>
      <c r="G17" s="99">
        <f t="shared" ca="1" si="1"/>
        <v>0</v>
      </c>
      <c r="H17" s="402">
        <f t="shared" si="31"/>
        <v>2508</v>
      </c>
      <c r="I17" s="402">
        <v>220</v>
      </c>
      <c r="J17" s="402">
        <v>2288</v>
      </c>
      <c r="K17" s="55">
        <f ca="1">IFERROR(__xludf.DUMMYFUNCTION("IMPORTRANGE(""https://docs.google.com/spreadsheets/d/11923uPwbBZFjjGgGUA6NLw09EwE0CqkOc4q9oUmW1yo/edit?usp=sharing"",""เชียงราย!J505"")"),0)</f>
        <v>0</v>
      </c>
      <c r="L17" s="99">
        <f t="shared" ca="1" si="4"/>
        <v>0</v>
      </c>
      <c r="M17" s="55">
        <f ca="1">IFERROR(__xludf.DUMMYFUNCTION("IMPORTRANGE(""https://docs.google.com/spreadsheets/d/11923uPwbBZFjjGgGUA6NLw09EwE0CqkOc4q9oUmW1yo/edit?usp=sharing"",""เชียงราย!J506"")"),0)</f>
        <v>0</v>
      </c>
      <c r="N17" s="99">
        <f t="shared" ca="1" si="5"/>
        <v>0</v>
      </c>
      <c r="O17" s="55">
        <f ca="1">IFERROR(__xludf.DUMMYFUNCTION("IMPORTRANGE(""https://docs.google.com/spreadsheets/d/11923uPwbBZFjjGgGUA6NLw09EwE0CqkOc4q9oUmW1yo/edit?usp=sharing"",""เชียงราย!J507"")"),0)</f>
        <v>0</v>
      </c>
      <c r="P17" s="99">
        <f t="shared" ca="1" si="6"/>
        <v>0</v>
      </c>
      <c r="Q17" s="55">
        <f ca="1">IFERROR(__xludf.DUMMYFUNCTION("IMPORTRANGE(""https://docs.google.com/spreadsheets/d/11923uPwbBZFjjGgGUA6NLw09EwE0CqkOc4q9oUmW1yo/edit?usp=sharing"",""เชียงราย!J508"")"),0)</f>
        <v>0</v>
      </c>
      <c r="R17" s="99">
        <f t="shared" ca="1" si="7"/>
        <v>0</v>
      </c>
      <c r="S17" s="55">
        <f ca="1">IFERROR(__xludf.DUMMYFUNCTION("IMPORTRANGE(""https://docs.google.com/spreadsheets/d/11923uPwbBZFjjGgGUA6NLw09EwE0CqkOc4q9oUmW1yo/edit?usp=sharing"",""เชียงราย!J509"")"),0)</f>
        <v>0</v>
      </c>
      <c r="T17" s="99">
        <f t="shared" ca="1" si="8"/>
        <v>0</v>
      </c>
      <c r="U17" s="451">
        <f t="shared" ca="1" si="32"/>
        <v>0</v>
      </c>
      <c r="V17" s="99">
        <f t="shared" ca="1" si="9"/>
        <v>0</v>
      </c>
      <c r="W17" s="451">
        <f ca="1">IFERROR(__xludf.DUMMYFUNCTION("IMPORTRANGE(""https://docs.google.com/spreadsheets/d/11923uPwbBZFjjGgGUA6NLw09EwE0CqkOc4q9oUmW1yo/edit?usp=sharing"",""เชียงราย!J511"")"),0)</f>
        <v>0</v>
      </c>
      <c r="X17" s="451">
        <f ca="1">IFERROR(__xludf.DUMMYFUNCTION("IMPORTRANGE(""https://docs.google.com/spreadsheets/d/11923uPwbBZFjjGgGUA6NLw09EwE0CqkOc4q9oUmW1yo/edit?usp=sharing"",""เชียงราย!J512"")"),0)</f>
        <v>0</v>
      </c>
      <c r="Y17" s="55">
        <f t="shared" ca="1" si="33"/>
        <v>0</v>
      </c>
      <c r="Z17" s="99">
        <f t="shared" ca="1" si="11"/>
        <v>0</v>
      </c>
      <c r="AA17" s="55">
        <f ca="1">IFERROR(__xludf.DUMMYFUNCTION("IMPORTRANGE(""https://docs.google.com/spreadsheets/d/11923uPwbBZFjjGgGUA6NLw09EwE0CqkOc4q9oUmW1yo/edit?usp=sharing"",""เชียงราย!J515"")"),0)</f>
        <v>0</v>
      </c>
      <c r="AB17" s="55">
        <f ca="1">IFERROR(__xludf.DUMMYFUNCTION("IMPORTRANGE(""https://docs.google.com/spreadsheets/d/11923uPwbBZFjjGgGUA6NLw09EwE0CqkOc4q9oUmW1yo/edit?usp=sharing"",""เชียงราย!J516"")"),0)</f>
        <v>0</v>
      </c>
      <c r="AC17" s="55">
        <f ca="1">IFERROR(__xludf.DUMMYFUNCTION("IMPORTRANGE(""https://docs.google.com/spreadsheets/d/11923uPwbBZFjjGgGUA6NLw09EwE0CqkOc4q9oUmW1yo/edit?usp=sharing"",""เชียงราย!J518"")"),0)</f>
        <v>0</v>
      </c>
      <c r="AD17" s="422">
        <f ca="1">IFERROR(__xludf.DUMMYFUNCTION("IMPORTRANGE(""https://docs.google.com/spreadsheets/d/11923uPwbBZFjjGgGUA6NLw09EwE0CqkOc4q9oUmW1yo/edit?usp=sharing"",""เชียงราย!J519"")"),0)</f>
        <v>0</v>
      </c>
    </row>
    <row r="18" spans="1:30" ht="24" customHeight="1" x14ac:dyDescent="0.5">
      <c r="A18" s="273">
        <v>3</v>
      </c>
      <c r="B18" s="274" t="s">
        <v>33</v>
      </c>
      <c r="C18" s="275">
        <f t="shared" si="30"/>
        <v>10900</v>
      </c>
      <c r="D18" s="55">
        <v>0</v>
      </c>
      <c r="E18" s="55">
        <v>10900</v>
      </c>
      <c r="F18" s="99">
        <f ca="1">IFERROR(__xludf.DUMMYFUNCTION("IMPORTRANGE(""https://docs.google.com/spreadsheets/d/11923uPwbBZFjjGgGUA6NLw09EwE0CqkOc4q9oUmW1yo/edit?usp=sharing"",""เชียงใหม่!M492"")"),2380)</f>
        <v>2380</v>
      </c>
      <c r="G18" s="99">
        <f t="shared" ca="1" si="1"/>
        <v>21.834862385321102</v>
      </c>
      <c r="H18" s="402">
        <f t="shared" si="31"/>
        <v>200</v>
      </c>
      <c r="I18" s="402">
        <v>100</v>
      </c>
      <c r="J18" s="402">
        <v>100</v>
      </c>
      <c r="K18" s="55">
        <f ca="1">IFERROR(__xludf.DUMMYFUNCTION("IMPORTRANGE(""https://docs.google.com/spreadsheets/d/11923uPwbBZFjjGgGUA6NLw09EwE0CqkOc4q9oUmW1yo/edit?usp=sharing"",""เชียงใหม่!J505"")"),0)</f>
        <v>0</v>
      </c>
      <c r="L18" s="99">
        <f t="shared" ca="1" si="4"/>
        <v>0</v>
      </c>
      <c r="M18" s="55">
        <f ca="1">IFERROR(__xludf.DUMMYFUNCTION("IMPORTRANGE(""https://docs.google.com/spreadsheets/d/11923uPwbBZFjjGgGUA6NLw09EwE0CqkOc4q9oUmW1yo/edit?usp=sharing"",""เชียงใหม่!J506"")"),0)</f>
        <v>0</v>
      </c>
      <c r="N18" s="99">
        <f t="shared" ca="1" si="5"/>
        <v>0</v>
      </c>
      <c r="O18" s="55">
        <f ca="1">IFERROR(__xludf.DUMMYFUNCTION("IMPORTRANGE(""https://docs.google.com/spreadsheets/d/11923uPwbBZFjjGgGUA6NLw09EwE0CqkOc4q9oUmW1yo/edit?usp=sharing"",""เชียงใหม่!J507"")"),0)</f>
        <v>0</v>
      </c>
      <c r="P18" s="99">
        <f t="shared" ca="1" si="6"/>
        <v>0</v>
      </c>
      <c r="Q18" s="55">
        <f ca="1">IFERROR(__xludf.DUMMYFUNCTION("IMPORTRANGE(""https://docs.google.com/spreadsheets/d/11923uPwbBZFjjGgGUA6NLw09EwE0CqkOc4q9oUmW1yo/edit?usp=sharing"",""เชียงใหม่!J508"")"),0)</f>
        <v>0</v>
      </c>
      <c r="R18" s="99">
        <f t="shared" ca="1" si="7"/>
        <v>0</v>
      </c>
      <c r="S18" s="55">
        <f ca="1">IFERROR(__xludf.DUMMYFUNCTION("IMPORTRANGE(""https://docs.google.com/spreadsheets/d/11923uPwbBZFjjGgGUA6NLw09EwE0CqkOc4q9oUmW1yo/edit?usp=sharing"",""เชียงใหม่!J509"")"),0)</f>
        <v>0</v>
      </c>
      <c r="T18" s="99">
        <f t="shared" ca="1" si="8"/>
        <v>0</v>
      </c>
      <c r="U18" s="451">
        <f t="shared" ca="1" si="32"/>
        <v>0</v>
      </c>
      <c r="V18" s="99">
        <f t="shared" ca="1" si="9"/>
        <v>0</v>
      </c>
      <c r="W18" s="451">
        <f ca="1">IFERROR(__xludf.DUMMYFUNCTION("IMPORTRANGE(""https://docs.google.com/spreadsheets/d/11923uPwbBZFjjGgGUA6NLw09EwE0CqkOc4q9oUmW1yo/edit?usp=sharing"",""เชียงใหม่!J511"")"),0)</f>
        <v>0</v>
      </c>
      <c r="X18" s="451">
        <f ca="1">IFERROR(__xludf.DUMMYFUNCTION("IMPORTRANGE(""https://docs.google.com/spreadsheets/d/11923uPwbBZFjjGgGUA6NLw09EwE0CqkOc4q9oUmW1yo/edit?usp=sharing"",""เชียงใหม่!J512"")"),0)</f>
        <v>0</v>
      </c>
      <c r="Y18" s="55">
        <f t="shared" ca="1" si="33"/>
        <v>0</v>
      </c>
      <c r="Z18" s="99">
        <f t="shared" ca="1" si="11"/>
        <v>0</v>
      </c>
      <c r="AA18" s="55">
        <f ca="1">IFERROR(__xludf.DUMMYFUNCTION("IMPORTRANGE(""https://docs.google.com/spreadsheets/d/11923uPwbBZFjjGgGUA6NLw09EwE0CqkOc4q9oUmW1yo/edit?usp=sharing"",""เชียงใหม่!J515"")"),0)</f>
        <v>0</v>
      </c>
      <c r="AB18" s="55">
        <f ca="1">IFERROR(__xludf.DUMMYFUNCTION("IMPORTRANGE(""https://docs.google.com/spreadsheets/d/11923uPwbBZFjjGgGUA6NLw09EwE0CqkOc4q9oUmW1yo/edit?usp=sharing"",""เชียงใหม่!J516"")"),0)</f>
        <v>0</v>
      </c>
      <c r="AC18" s="55">
        <f ca="1">IFERROR(__xludf.DUMMYFUNCTION("IMPORTRANGE(""https://docs.google.com/spreadsheets/d/11923uPwbBZFjjGgGUA6NLw09EwE0CqkOc4q9oUmW1yo/edit?usp=sharing"",""เชียงใหม่!J518"")"),0)</f>
        <v>0</v>
      </c>
      <c r="AD18" s="422">
        <f ca="1">IFERROR(__xludf.DUMMYFUNCTION("IMPORTRANGE(""https://docs.google.com/spreadsheets/d/11923uPwbBZFjjGgGUA6NLw09EwE0CqkOc4q9oUmW1yo/edit?usp=sharing"",""เชียงใหม่!J519"")"),0)</f>
        <v>0</v>
      </c>
    </row>
    <row r="19" spans="1:30" ht="24" customHeight="1" x14ac:dyDescent="0.5">
      <c r="A19" s="273">
        <v>4</v>
      </c>
      <c r="B19" s="274" t="s">
        <v>34</v>
      </c>
      <c r="C19" s="275">
        <f t="shared" si="30"/>
        <v>8100</v>
      </c>
      <c r="D19" s="55">
        <v>0</v>
      </c>
      <c r="E19" s="55">
        <v>8100</v>
      </c>
      <c r="F19" s="99">
        <f ca="1">IFERROR(__xludf.DUMMYFUNCTION("IMPORTRANGE(""https://docs.google.com/spreadsheets/d/11923uPwbBZFjjGgGUA6NLw09EwE0CqkOc4q9oUmW1yo/edit?usp=sharing"",""ตาก!M492"")"),0)</f>
        <v>0</v>
      </c>
      <c r="G19" s="99">
        <f t="shared" ca="1" si="1"/>
        <v>0</v>
      </c>
      <c r="H19" s="402">
        <f t="shared" si="31"/>
        <v>100</v>
      </c>
      <c r="I19" s="402">
        <v>100</v>
      </c>
      <c r="J19" s="402">
        <v>0</v>
      </c>
      <c r="K19" s="55">
        <f ca="1">IFERROR(__xludf.DUMMYFUNCTION("IMPORTRANGE(""https://docs.google.com/spreadsheets/d/11923uPwbBZFjjGgGUA6NLw09EwE0CqkOc4q9oUmW1yo/edit?usp=sharing"",""ตาก!J505"")"),0)</f>
        <v>0</v>
      </c>
      <c r="L19" s="99">
        <f t="shared" ca="1" si="4"/>
        <v>0</v>
      </c>
      <c r="M19" s="55">
        <f ca="1">IFERROR(__xludf.DUMMYFUNCTION("IMPORTRANGE(""https://docs.google.com/spreadsheets/d/11923uPwbBZFjjGgGUA6NLw09EwE0CqkOc4q9oUmW1yo/edit?usp=sharing"",""ตาก!J506"")"),0)</f>
        <v>0</v>
      </c>
      <c r="N19" s="99">
        <f t="shared" ca="1" si="5"/>
        <v>0</v>
      </c>
      <c r="O19" s="55">
        <f ca="1">IFERROR(__xludf.DUMMYFUNCTION("IMPORTRANGE(""https://docs.google.com/spreadsheets/d/11923uPwbBZFjjGgGUA6NLw09EwE0CqkOc4q9oUmW1yo/edit?usp=sharing"",""ตาก!J507"")"),0)</f>
        <v>0</v>
      </c>
      <c r="P19" s="99">
        <f t="shared" ca="1" si="6"/>
        <v>0</v>
      </c>
      <c r="Q19" s="55">
        <f ca="1">IFERROR(__xludf.DUMMYFUNCTION("IMPORTRANGE(""https://docs.google.com/spreadsheets/d/11923uPwbBZFjjGgGUA6NLw09EwE0CqkOc4q9oUmW1yo/edit?usp=sharing"",""ตาก!J508"")"),0)</f>
        <v>0</v>
      </c>
      <c r="R19" s="99">
        <f t="shared" ca="1" si="7"/>
        <v>0</v>
      </c>
      <c r="S19" s="55">
        <f ca="1">IFERROR(__xludf.DUMMYFUNCTION("IMPORTRANGE(""https://docs.google.com/spreadsheets/d/11923uPwbBZFjjGgGUA6NLw09EwE0CqkOc4q9oUmW1yo/edit?usp=sharing"",""ตาก!J509"")"),0)</f>
        <v>0</v>
      </c>
      <c r="T19" s="99">
        <f t="shared" ca="1" si="8"/>
        <v>0</v>
      </c>
      <c r="U19" s="451">
        <f t="shared" ca="1" si="32"/>
        <v>0</v>
      </c>
      <c r="V19" s="99">
        <f t="shared" ca="1" si="9"/>
        <v>0</v>
      </c>
      <c r="W19" s="451">
        <f ca="1">IFERROR(__xludf.DUMMYFUNCTION("IMPORTRANGE(""https://docs.google.com/spreadsheets/d/11923uPwbBZFjjGgGUA6NLw09EwE0CqkOc4q9oUmW1yo/edit?usp=sharing"",""ตาก!J511"")"),0)</f>
        <v>0</v>
      </c>
      <c r="X19" s="451">
        <f ca="1">IFERROR(__xludf.DUMMYFUNCTION("IMPORTRANGE(""https://docs.google.com/spreadsheets/d/11923uPwbBZFjjGgGUA6NLw09EwE0CqkOc4q9oUmW1yo/edit?usp=sharing"",""ตาก!J512"")"),0)</f>
        <v>0</v>
      </c>
      <c r="Y19" s="55">
        <f t="shared" ca="1" si="33"/>
        <v>0</v>
      </c>
      <c r="Z19" s="99">
        <f t="shared" ca="1" si="11"/>
        <v>0</v>
      </c>
      <c r="AA19" s="55">
        <f ca="1">IFERROR(__xludf.DUMMYFUNCTION("IMPORTRANGE(""https://docs.google.com/spreadsheets/d/11923uPwbBZFjjGgGUA6NLw09EwE0CqkOc4q9oUmW1yo/edit?usp=sharing"",""ตาก!J515"")"),0)</f>
        <v>0</v>
      </c>
      <c r="AB19" s="55">
        <f ca="1">IFERROR(__xludf.DUMMYFUNCTION("IMPORTRANGE(""https://docs.google.com/spreadsheets/d/11923uPwbBZFjjGgGUA6NLw09EwE0CqkOc4q9oUmW1yo/edit?usp=sharing"",""ตาก!J516"")"),0)</f>
        <v>0</v>
      </c>
      <c r="AC19" s="55">
        <f ca="1">IFERROR(__xludf.DUMMYFUNCTION("IMPORTRANGE(""https://docs.google.com/spreadsheets/d/11923uPwbBZFjjGgGUA6NLw09EwE0CqkOc4q9oUmW1yo/edit?usp=sharing"",""ตาก!J518"")"),0)</f>
        <v>0</v>
      </c>
      <c r="AD19" s="422">
        <f ca="1">IFERROR(__xludf.DUMMYFUNCTION("IMPORTRANGE(""https://docs.google.com/spreadsheets/d/11923uPwbBZFjjGgGUA6NLw09EwE0CqkOc4q9oUmW1yo/edit?usp=sharing"",""ตาก!J519"")"),0)</f>
        <v>0</v>
      </c>
    </row>
    <row r="20" spans="1:30" ht="24" customHeight="1" x14ac:dyDescent="0.5">
      <c r="A20" s="273">
        <v>5</v>
      </c>
      <c r="B20" s="274" t="s">
        <v>35</v>
      </c>
      <c r="C20" s="275">
        <f t="shared" si="30"/>
        <v>5350</v>
      </c>
      <c r="D20" s="55">
        <v>0</v>
      </c>
      <c r="E20" s="55">
        <v>5350</v>
      </c>
      <c r="F20" s="99">
        <f ca="1">IFERROR(__xludf.DUMMYFUNCTION("IMPORTRANGE(""https://docs.google.com/spreadsheets/d/11923uPwbBZFjjGgGUA6NLw09EwE0CqkOc4q9oUmW1yo/edit?usp=sharing"",""นครสวรรค์!M492"")"),0)</f>
        <v>0</v>
      </c>
      <c r="G20" s="99">
        <f t="shared" ca="1" si="1"/>
        <v>0</v>
      </c>
      <c r="H20" s="402">
        <f t="shared" si="31"/>
        <v>50</v>
      </c>
      <c r="I20" s="402">
        <v>50</v>
      </c>
      <c r="J20" s="402">
        <v>0</v>
      </c>
      <c r="K20" s="55">
        <f ca="1">IFERROR(__xludf.DUMMYFUNCTION("IMPORTRANGE(""https://docs.google.com/spreadsheets/d/11923uPwbBZFjjGgGUA6NLw09EwE0CqkOc4q9oUmW1yo/edit?usp=sharing"",""นครสวรรค์!J505"")"),0)</f>
        <v>0</v>
      </c>
      <c r="L20" s="99">
        <f t="shared" ca="1" si="4"/>
        <v>0</v>
      </c>
      <c r="M20" s="55">
        <f ca="1">IFERROR(__xludf.DUMMYFUNCTION("IMPORTRANGE(""https://docs.google.com/spreadsheets/d/11923uPwbBZFjjGgGUA6NLw09EwE0CqkOc4q9oUmW1yo/edit?usp=sharing"",""นครสวรรค์!J506"")"),0)</f>
        <v>0</v>
      </c>
      <c r="N20" s="99">
        <f t="shared" ca="1" si="5"/>
        <v>0</v>
      </c>
      <c r="O20" s="55">
        <f ca="1">IFERROR(__xludf.DUMMYFUNCTION("IMPORTRANGE(""https://docs.google.com/spreadsheets/d/11923uPwbBZFjjGgGUA6NLw09EwE0CqkOc4q9oUmW1yo/edit?usp=sharing"",""นครสวรรค์!J507"")"),0)</f>
        <v>0</v>
      </c>
      <c r="P20" s="99">
        <f t="shared" ca="1" si="6"/>
        <v>0</v>
      </c>
      <c r="Q20" s="55">
        <f ca="1">IFERROR(__xludf.DUMMYFUNCTION("IMPORTRANGE(""https://docs.google.com/spreadsheets/d/11923uPwbBZFjjGgGUA6NLw09EwE0CqkOc4q9oUmW1yo/edit?usp=sharing"",""นครสวรรค์!J508"")"),0)</f>
        <v>0</v>
      </c>
      <c r="R20" s="99">
        <f t="shared" ca="1" si="7"/>
        <v>0</v>
      </c>
      <c r="S20" s="55">
        <f ca="1">IFERROR(__xludf.DUMMYFUNCTION("IMPORTRANGE(""https://docs.google.com/spreadsheets/d/11923uPwbBZFjjGgGUA6NLw09EwE0CqkOc4q9oUmW1yo/edit?usp=sharing"",""นครสวรรค์!J509"")"),0)</f>
        <v>0</v>
      </c>
      <c r="T20" s="99">
        <f t="shared" ca="1" si="8"/>
        <v>0</v>
      </c>
      <c r="U20" s="451">
        <f t="shared" ca="1" si="32"/>
        <v>0</v>
      </c>
      <c r="V20" s="99">
        <f t="shared" ca="1" si="9"/>
        <v>0</v>
      </c>
      <c r="W20" s="451">
        <f ca="1">IFERROR(__xludf.DUMMYFUNCTION("IMPORTRANGE(""https://docs.google.com/spreadsheets/d/11923uPwbBZFjjGgGUA6NLw09EwE0CqkOc4q9oUmW1yo/edit?usp=sharing"",""นครสวรรค์!J511"")"),0)</f>
        <v>0</v>
      </c>
      <c r="X20" s="451">
        <f ca="1">IFERROR(__xludf.DUMMYFUNCTION("IMPORTRANGE(""https://docs.google.com/spreadsheets/d/11923uPwbBZFjjGgGUA6NLw09EwE0CqkOc4q9oUmW1yo/edit?usp=sharing"",""นครสวรรค์!J512"")"),0)</f>
        <v>0</v>
      </c>
      <c r="Y20" s="55">
        <f t="shared" ca="1" si="33"/>
        <v>0</v>
      </c>
      <c r="Z20" s="99">
        <f t="shared" ca="1" si="11"/>
        <v>0</v>
      </c>
      <c r="AA20" s="55">
        <f ca="1">IFERROR(__xludf.DUMMYFUNCTION("IMPORTRANGE(""https://docs.google.com/spreadsheets/d/11923uPwbBZFjjGgGUA6NLw09EwE0CqkOc4q9oUmW1yo/edit?usp=sharing"",""นครสวรรค์!J515"")"),0)</f>
        <v>0</v>
      </c>
      <c r="AB20" s="55">
        <f ca="1">IFERROR(__xludf.DUMMYFUNCTION("IMPORTRANGE(""https://docs.google.com/spreadsheets/d/11923uPwbBZFjjGgGUA6NLw09EwE0CqkOc4q9oUmW1yo/edit?usp=sharing"",""นครสวรรค์!J516"")"),0)</f>
        <v>0</v>
      </c>
      <c r="AC20" s="55">
        <f ca="1">IFERROR(__xludf.DUMMYFUNCTION("IMPORTRANGE(""https://docs.google.com/spreadsheets/d/11923uPwbBZFjjGgGUA6NLw09EwE0CqkOc4q9oUmW1yo/edit?usp=sharing"",""นครสวรรค์!J518"")"),0)</f>
        <v>0</v>
      </c>
      <c r="AD20" s="422">
        <f ca="1">IFERROR(__xludf.DUMMYFUNCTION("IMPORTRANGE(""https://docs.google.com/spreadsheets/d/11923uPwbBZFjjGgGUA6NLw09EwE0CqkOc4q9oUmW1yo/edit?usp=sharing"",""นครสวรรค์!J519"")"),0)</f>
        <v>0</v>
      </c>
    </row>
    <row r="21" spans="1:30" ht="24" customHeight="1" x14ac:dyDescent="0.5">
      <c r="A21" s="273">
        <v>6</v>
      </c>
      <c r="B21" s="274" t="s">
        <v>36</v>
      </c>
      <c r="C21" s="275">
        <f t="shared" si="30"/>
        <v>8900</v>
      </c>
      <c r="D21" s="55">
        <v>0</v>
      </c>
      <c r="E21" s="55">
        <v>8900</v>
      </c>
      <c r="F21" s="99">
        <f ca="1">IFERROR(__xludf.DUMMYFUNCTION("IMPORTRANGE(""https://docs.google.com/spreadsheets/d/11923uPwbBZFjjGgGUA6NLw09EwE0CqkOc4q9oUmW1yo/edit?usp=sharing"",""น่าน!M492"")"),1800)</f>
        <v>1800</v>
      </c>
      <c r="G21" s="99">
        <f t="shared" ca="1" si="1"/>
        <v>20.224719101123597</v>
      </c>
      <c r="H21" s="402">
        <f t="shared" si="31"/>
        <v>100</v>
      </c>
      <c r="I21" s="402">
        <v>100</v>
      </c>
      <c r="J21" s="402">
        <v>0</v>
      </c>
      <c r="K21" s="55">
        <f ca="1">IFERROR(__xludf.DUMMYFUNCTION("IMPORTRANGE(""https://docs.google.com/spreadsheets/d/11923uPwbBZFjjGgGUA6NLw09EwE0CqkOc4q9oUmW1yo/edit?usp=sharing"",""น่าน!J505"")"),0)</f>
        <v>0</v>
      </c>
      <c r="L21" s="99">
        <f t="shared" ca="1" si="4"/>
        <v>0</v>
      </c>
      <c r="M21" s="55">
        <f ca="1">IFERROR(__xludf.DUMMYFUNCTION("IMPORTRANGE(""https://docs.google.com/spreadsheets/d/11923uPwbBZFjjGgGUA6NLw09EwE0CqkOc4q9oUmW1yo/edit?usp=sharing"",""น่าน!J506"")"),0)</f>
        <v>0</v>
      </c>
      <c r="N21" s="99">
        <f t="shared" ca="1" si="5"/>
        <v>0</v>
      </c>
      <c r="O21" s="55">
        <f ca="1">IFERROR(__xludf.DUMMYFUNCTION("IMPORTRANGE(""https://docs.google.com/spreadsheets/d/11923uPwbBZFjjGgGUA6NLw09EwE0CqkOc4q9oUmW1yo/edit?usp=sharing"",""น่าน!J507"")"),0)</f>
        <v>0</v>
      </c>
      <c r="P21" s="99">
        <f t="shared" ca="1" si="6"/>
        <v>0</v>
      </c>
      <c r="Q21" s="55">
        <f ca="1">IFERROR(__xludf.DUMMYFUNCTION("IMPORTRANGE(""https://docs.google.com/spreadsheets/d/11923uPwbBZFjjGgGUA6NLw09EwE0CqkOc4q9oUmW1yo/edit?usp=sharing"",""น่าน!J508"")"),0)</f>
        <v>0</v>
      </c>
      <c r="R21" s="99">
        <f t="shared" ca="1" si="7"/>
        <v>0</v>
      </c>
      <c r="S21" s="55">
        <f ca="1">IFERROR(__xludf.DUMMYFUNCTION("IMPORTRANGE(""https://docs.google.com/spreadsheets/d/11923uPwbBZFjjGgGUA6NLw09EwE0CqkOc4q9oUmW1yo/edit?usp=sharing"",""น่าน!J509"")"),0)</f>
        <v>0</v>
      </c>
      <c r="T21" s="99">
        <f t="shared" ca="1" si="8"/>
        <v>0</v>
      </c>
      <c r="U21" s="451">
        <f t="shared" ca="1" si="32"/>
        <v>0</v>
      </c>
      <c r="V21" s="99">
        <f t="shared" ca="1" si="9"/>
        <v>0</v>
      </c>
      <c r="W21" s="451">
        <f ca="1">IFERROR(__xludf.DUMMYFUNCTION("IMPORTRANGE(""https://docs.google.com/spreadsheets/d/11923uPwbBZFjjGgGUA6NLw09EwE0CqkOc4q9oUmW1yo/edit?usp=sharing"",""น่าน!J511"")"),0)</f>
        <v>0</v>
      </c>
      <c r="X21" s="451">
        <f ca="1">IFERROR(__xludf.DUMMYFUNCTION("IMPORTRANGE(""https://docs.google.com/spreadsheets/d/11923uPwbBZFjjGgGUA6NLw09EwE0CqkOc4q9oUmW1yo/edit?usp=sharing"",""น่าน!J512"")"),0)</f>
        <v>0</v>
      </c>
      <c r="Y21" s="55">
        <f t="shared" ca="1" si="33"/>
        <v>0</v>
      </c>
      <c r="Z21" s="99">
        <f t="shared" ca="1" si="11"/>
        <v>0</v>
      </c>
      <c r="AA21" s="55">
        <f ca="1">IFERROR(__xludf.DUMMYFUNCTION("IMPORTRANGE(""https://docs.google.com/spreadsheets/d/11923uPwbBZFjjGgGUA6NLw09EwE0CqkOc4q9oUmW1yo/edit?usp=sharing"",""น่าน!J515"")"),0)</f>
        <v>0</v>
      </c>
      <c r="AB21" s="55">
        <f ca="1">IFERROR(__xludf.DUMMYFUNCTION("IMPORTRANGE(""https://docs.google.com/spreadsheets/d/11923uPwbBZFjjGgGUA6NLw09EwE0CqkOc4q9oUmW1yo/edit?usp=sharing"",""น่าน!J516"")"),0)</f>
        <v>0</v>
      </c>
      <c r="AC21" s="55">
        <f ca="1">IFERROR(__xludf.DUMMYFUNCTION("IMPORTRANGE(""https://docs.google.com/spreadsheets/d/11923uPwbBZFjjGgGUA6NLw09EwE0CqkOc4q9oUmW1yo/edit?usp=sharing"",""น่าน!J518"")"),0)</f>
        <v>0</v>
      </c>
      <c r="AD21" s="422">
        <f ca="1">IFERROR(__xludf.DUMMYFUNCTION("IMPORTRANGE(""https://docs.google.com/spreadsheets/d/11923uPwbBZFjjGgGUA6NLw09EwE0CqkOc4q9oUmW1yo/edit?usp=sharing"",""น่าน!J519"")"),0)</f>
        <v>0</v>
      </c>
    </row>
    <row r="22" spans="1:30" ht="24" customHeight="1" x14ac:dyDescent="0.5">
      <c r="A22" s="273">
        <v>7</v>
      </c>
      <c r="B22" s="274" t="s">
        <v>37</v>
      </c>
      <c r="C22" s="275">
        <f t="shared" si="30"/>
        <v>14050</v>
      </c>
      <c r="D22" s="55">
        <v>0</v>
      </c>
      <c r="E22" s="55">
        <v>14050</v>
      </c>
      <c r="F22" s="99">
        <f ca="1">IFERROR(__xludf.DUMMYFUNCTION("IMPORTRANGE(""https://docs.google.com/spreadsheets/d/11923uPwbBZFjjGgGUA6NLw09EwE0CqkOc4q9oUmW1yo/edit?usp=sharing"",""พะเยา!M492"")"),0)</f>
        <v>0</v>
      </c>
      <c r="G22" s="99">
        <f t="shared" ca="1" si="1"/>
        <v>0</v>
      </c>
      <c r="H22" s="402">
        <f t="shared" si="31"/>
        <v>150</v>
      </c>
      <c r="I22" s="402">
        <v>150</v>
      </c>
      <c r="J22" s="402">
        <v>0</v>
      </c>
      <c r="K22" s="55">
        <f ca="1">IFERROR(__xludf.DUMMYFUNCTION("IMPORTRANGE(""https://docs.google.com/spreadsheets/d/11923uPwbBZFjjGgGUA6NLw09EwE0CqkOc4q9oUmW1yo/edit?usp=sharing"",""พะเยา!J505"")"),0)</f>
        <v>0</v>
      </c>
      <c r="L22" s="99">
        <f t="shared" ca="1" si="4"/>
        <v>0</v>
      </c>
      <c r="M22" s="55">
        <f ca="1">IFERROR(__xludf.DUMMYFUNCTION("IMPORTRANGE(""https://docs.google.com/spreadsheets/d/11923uPwbBZFjjGgGUA6NLw09EwE0CqkOc4q9oUmW1yo/edit?usp=sharing"",""พะเยา!J506"")"),0)</f>
        <v>0</v>
      </c>
      <c r="N22" s="99">
        <f t="shared" ca="1" si="5"/>
        <v>0</v>
      </c>
      <c r="O22" s="55">
        <f ca="1">IFERROR(__xludf.DUMMYFUNCTION("IMPORTRANGE(""https://docs.google.com/spreadsheets/d/11923uPwbBZFjjGgGUA6NLw09EwE0CqkOc4q9oUmW1yo/edit?usp=sharing"",""พะเยา!J507"")"),0)</f>
        <v>0</v>
      </c>
      <c r="P22" s="99">
        <f t="shared" ca="1" si="6"/>
        <v>0</v>
      </c>
      <c r="Q22" s="55">
        <f ca="1">IFERROR(__xludf.DUMMYFUNCTION("IMPORTRANGE(""https://docs.google.com/spreadsheets/d/11923uPwbBZFjjGgGUA6NLw09EwE0CqkOc4q9oUmW1yo/edit?usp=sharing"",""พะเยา!J508"")"),0)</f>
        <v>0</v>
      </c>
      <c r="R22" s="99">
        <f t="shared" ca="1" si="7"/>
        <v>0</v>
      </c>
      <c r="S22" s="55">
        <f ca="1">IFERROR(__xludf.DUMMYFUNCTION("IMPORTRANGE(""https://docs.google.com/spreadsheets/d/11923uPwbBZFjjGgGUA6NLw09EwE0CqkOc4q9oUmW1yo/edit?usp=sharing"",""พะเยา!J509"")"),0)</f>
        <v>0</v>
      </c>
      <c r="T22" s="99">
        <f t="shared" ca="1" si="8"/>
        <v>0</v>
      </c>
      <c r="U22" s="451">
        <f t="shared" ca="1" si="32"/>
        <v>0</v>
      </c>
      <c r="V22" s="99">
        <f t="shared" ca="1" si="9"/>
        <v>0</v>
      </c>
      <c r="W22" s="451">
        <f ca="1">IFERROR(__xludf.DUMMYFUNCTION("IMPORTRANGE(""https://docs.google.com/spreadsheets/d/11923uPwbBZFjjGgGUA6NLw09EwE0CqkOc4q9oUmW1yo/edit?usp=sharing"",""พะเยา!J511"")"),0)</f>
        <v>0</v>
      </c>
      <c r="X22" s="451">
        <f ca="1">IFERROR(__xludf.DUMMYFUNCTION("IMPORTRANGE(""https://docs.google.com/spreadsheets/d/11923uPwbBZFjjGgGUA6NLw09EwE0CqkOc4q9oUmW1yo/edit?usp=sharing"",""พะเยา!J512"")"),0)</f>
        <v>0</v>
      </c>
      <c r="Y22" s="55">
        <f t="shared" ca="1" si="33"/>
        <v>0</v>
      </c>
      <c r="Z22" s="99">
        <f t="shared" ca="1" si="11"/>
        <v>0</v>
      </c>
      <c r="AA22" s="55">
        <f ca="1">IFERROR(__xludf.DUMMYFUNCTION("IMPORTRANGE(""https://docs.google.com/spreadsheets/d/11923uPwbBZFjjGgGUA6NLw09EwE0CqkOc4q9oUmW1yo/edit?usp=sharing"",""พะเยา!J515"")"),0)</f>
        <v>0</v>
      </c>
      <c r="AB22" s="55">
        <f ca="1">IFERROR(__xludf.DUMMYFUNCTION("IMPORTRANGE(""https://docs.google.com/spreadsheets/d/11923uPwbBZFjjGgGUA6NLw09EwE0CqkOc4q9oUmW1yo/edit?usp=sharing"",""พะเยา!J516"")"),0)</f>
        <v>0</v>
      </c>
      <c r="AC22" s="55">
        <f ca="1">IFERROR(__xludf.DUMMYFUNCTION("IMPORTRANGE(""https://docs.google.com/spreadsheets/d/11923uPwbBZFjjGgGUA6NLw09EwE0CqkOc4q9oUmW1yo/edit?usp=sharing"",""พะเยา!J518"")"),0)</f>
        <v>0</v>
      </c>
      <c r="AD22" s="422">
        <f ca="1">IFERROR(__xludf.DUMMYFUNCTION("IMPORTRANGE(""https://docs.google.com/spreadsheets/d/11923uPwbBZFjjGgGUA6NLw09EwE0CqkOc4q9oUmW1yo/edit?usp=sharing"",""พะเยา!J519"")"),0)</f>
        <v>0</v>
      </c>
    </row>
    <row r="23" spans="1:30" ht="24" customHeight="1" x14ac:dyDescent="0.5">
      <c r="A23" s="273">
        <v>8</v>
      </c>
      <c r="B23" s="274" t="s">
        <v>38</v>
      </c>
      <c r="C23" s="275">
        <f t="shared" si="30"/>
        <v>4550</v>
      </c>
      <c r="D23" s="55">
        <v>0</v>
      </c>
      <c r="E23" s="55">
        <v>4550</v>
      </c>
      <c r="F23" s="99">
        <f ca="1">IFERROR(__xludf.DUMMYFUNCTION("IMPORTRANGE(""https://docs.google.com/spreadsheets/d/11923uPwbBZFjjGgGUA6NLw09EwE0CqkOc4q9oUmW1yo/edit?usp=sharing"",""พิจิตร!M492"")"),0)</f>
        <v>0</v>
      </c>
      <c r="G23" s="99">
        <f t="shared" ca="1" si="1"/>
        <v>0</v>
      </c>
      <c r="H23" s="402">
        <f t="shared" si="31"/>
        <v>50</v>
      </c>
      <c r="I23" s="402">
        <v>50</v>
      </c>
      <c r="J23" s="402">
        <v>0</v>
      </c>
      <c r="K23" s="55">
        <f ca="1">IFERROR(__xludf.DUMMYFUNCTION("IMPORTRANGE(""https://docs.google.com/spreadsheets/d/11923uPwbBZFjjGgGUA6NLw09EwE0CqkOc4q9oUmW1yo/edit?usp=sharing"",""พิจิตร!J505"")"),0)</f>
        <v>0</v>
      </c>
      <c r="L23" s="99">
        <f t="shared" ca="1" si="4"/>
        <v>0</v>
      </c>
      <c r="M23" s="55">
        <f ca="1">IFERROR(__xludf.DUMMYFUNCTION("IMPORTRANGE(""https://docs.google.com/spreadsheets/d/11923uPwbBZFjjGgGUA6NLw09EwE0CqkOc4q9oUmW1yo/edit?usp=sharing"",""พิจิตร!J506"")"),0)</f>
        <v>0</v>
      </c>
      <c r="N23" s="99">
        <f t="shared" ca="1" si="5"/>
        <v>0</v>
      </c>
      <c r="O23" s="55">
        <f ca="1">IFERROR(__xludf.DUMMYFUNCTION("IMPORTRANGE(""https://docs.google.com/spreadsheets/d/11923uPwbBZFjjGgGUA6NLw09EwE0CqkOc4q9oUmW1yo/edit?usp=sharing"",""พิจิตร!J507"")"),0)</f>
        <v>0</v>
      </c>
      <c r="P23" s="99">
        <f t="shared" ca="1" si="6"/>
        <v>0</v>
      </c>
      <c r="Q23" s="55">
        <f ca="1">IFERROR(__xludf.DUMMYFUNCTION("IMPORTRANGE(""https://docs.google.com/spreadsheets/d/11923uPwbBZFjjGgGUA6NLw09EwE0CqkOc4q9oUmW1yo/edit?usp=sharing"",""พิจิตร!J508"")"),0)</f>
        <v>0</v>
      </c>
      <c r="R23" s="99">
        <f t="shared" ca="1" si="7"/>
        <v>0</v>
      </c>
      <c r="S23" s="55">
        <f ca="1">IFERROR(__xludf.DUMMYFUNCTION("IMPORTRANGE(""https://docs.google.com/spreadsheets/d/11923uPwbBZFjjGgGUA6NLw09EwE0CqkOc4q9oUmW1yo/edit?usp=sharing"",""พิจิตร!J509"")"),0)</f>
        <v>0</v>
      </c>
      <c r="T23" s="99">
        <f t="shared" ca="1" si="8"/>
        <v>0</v>
      </c>
      <c r="U23" s="451">
        <f t="shared" ca="1" si="32"/>
        <v>0</v>
      </c>
      <c r="V23" s="99">
        <f t="shared" ca="1" si="9"/>
        <v>0</v>
      </c>
      <c r="W23" s="451">
        <f ca="1">IFERROR(__xludf.DUMMYFUNCTION("IMPORTRANGE(""https://docs.google.com/spreadsheets/d/11923uPwbBZFjjGgGUA6NLw09EwE0CqkOc4q9oUmW1yo/edit?usp=sharing"",""พิจิตร!J511"")"),0)</f>
        <v>0</v>
      </c>
      <c r="X23" s="451">
        <f ca="1">IFERROR(__xludf.DUMMYFUNCTION("IMPORTRANGE(""https://docs.google.com/spreadsheets/d/11923uPwbBZFjjGgGUA6NLw09EwE0CqkOc4q9oUmW1yo/edit?usp=sharing"",""พิจิตร!J512"")"),0)</f>
        <v>0</v>
      </c>
      <c r="Y23" s="55">
        <f t="shared" ca="1" si="33"/>
        <v>0</v>
      </c>
      <c r="Z23" s="99">
        <f t="shared" ca="1" si="11"/>
        <v>0</v>
      </c>
      <c r="AA23" s="55">
        <f ca="1">IFERROR(__xludf.DUMMYFUNCTION("IMPORTRANGE(""https://docs.google.com/spreadsheets/d/11923uPwbBZFjjGgGUA6NLw09EwE0CqkOc4q9oUmW1yo/edit?usp=sharing"",""พิจิตร!J515"")"),0)</f>
        <v>0</v>
      </c>
      <c r="AB23" s="55">
        <f ca="1">IFERROR(__xludf.DUMMYFUNCTION("IMPORTRANGE(""https://docs.google.com/spreadsheets/d/11923uPwbBZFjjGgGUA6NLw09EwE0CqkOc4q9oUmW1yo/edit?usp=sharing"",""พิจิตร!J516"")"),0)</f>
        <v>0</v>
      </c>
      <c r="AC23" s="55">
        <f ca="1">IFERROR(__xludf.DUMMYFUNCTION("IMPORTRANGE(""https://docs.google.com/spreadsheets/d/11923uPwbBZFjjGgGUA6NLw09EwE0CqkOc4q9oUmW1yo/edit?usp=sharing"",""พิจิตร!J518"")"),0)</f>
        <v>0</v>
      </c>
      <c r="AD23" s="422">
        <f ca="1">IFERROR(__xludf.DUMMYFUNCTION("IMPORTRANGE(""https://docs.google.com/spreadsheets/d/11923uPwbBZFjjGgGUA6NLw09EwE0CqkOc4q9oUmW1yo/edit?usp=sharing"",""พิจิตร!J519"")"),0)</f>
        <v>0</v>
      </c>
    </row>
    <row r="24" spans="1:30" ht="24" customHeight="1" x14ac:dyDescent="0.5">
      <c r="A24" s="273">
        <v>9</v>
      </c>
      <c r="B24" s="274" t="s">
        <v>39</v>
      </c>
      <c r="C24" s="275">
        <f t="shared" si="30"/>
        <v>4550</v>
      </c>
      <c r="D24" s="55">
        <v>0</v>
      </c>
      <c r="E24" s="55">
        <v>4550</v>
      </c>
      <c r="F24" s="99">
        <f ca="1">IFERROR(__xludf.DUMMYFUNCTION("IMPORTRANGE(""https://docs.google.com/spreadsheets/d/11923uPwbBZFjjGgGUA6NLw09EwE0CqkOc4q9oUmW1yo/edit?usp=sharing"",""พิษณุโลก!M492"")"),400)</f>
        <v>400</v>
      </c>
      <c r="G24" s="99">
        <f t="shared" ca="1" si="1"/>
        <v>8.791208791208792</v>
      </c>
      <c r="H24" s="402">
        <f t="shared" si="31"/>
        <v>82</v>
      </c>
      <c r="I24" s="402">
        <v>50</v>
      </c>
      <c r="J24" s="402">
        <v>32</v>
      </c>
      <c r="K24" s="55">
        <f ca="1">IFERROR(__xludf.DUMMYFUNCTION("IMPORTRANGE(""https://docs.google.com/spreadsheets/d/11923uPwbBZFjjGgGUA6NLw09EwE0CqkOc4q9oUmW1yo/edit?usp=sharing"",""พิษณุโลก!J505"")"),0)</f>
        <v>0</v>
      </c>
      <c r="L24" s="99">
        <f t="shared" ca="1" si="4"/>
        <v>0</v>
      </c>
      <c r="M24" s="55">
        <f ca="1">IFERROR(__xludf.DUMMYFUNCTION("IMPORTRANGE(""https://docs.google.com/spreadsheets/d/11923uPwbBZFjjGgGUA6NLw09EwE0CqkOc4q9oUmW1yo/edit?usp=sharing"",""พิษณุโลก!J506"")"),0)</f>
        <v>0</v>
      </c>
      <c r="N24" s="99">
        <f t="shared" ca="1" si="5"/>
        <v>0</v>
      </c>
      <c r="O24" s="55">
        <f ca="1">IFERROR(__xludf.DUMMYFUNCTION("IMPORTRANGE(""https://docs.google.com/spreadsheets/d/11923uPwbBZFjjGgGUA6NLw09EwE0CqkOc4q9oUmW1yo/edit?usp=sharing"",""พิษณุโลก!J507"")"),0)</f>
        <v>0</v>
      </c>
      <c r="P24" s="99">
        <f t="shared" ca="1" si="6"/>
        <v>0</v>
      </c>
      <c r="Q24" s="55">
        <f ca="1">IFERROR(__xludf.DUMMYFUNCTION("IMPORTRANGE(""https://docs.google.com/spreadsheets/d/11923uPwbBZFjjGgGUA6NLw09EwE0CqkOc4q9oUmW1yo/edit?usp=sharing"",""พิษณุโลก!J508"")"),0)</f>
        <v>0</v>
      </c>
      <c r="R24" s="99">
        <f t="shared" ca="1" si="7"/>
        <v>0</v>
      </c>
      <c r="S24" s="55">
        <f ca="1">IFERROR(__xludf.DUMMYFUNCTION("IMPORTRANGE(""https://docs.google.com/spreadsheets/d/11923uPwbBZFjjGgGUA6NLw09EwE0CqkOc4q9oUmW1yo/edit?usp=sharing"",""พิษณุโลก!J509"")"),0)</f>
        <v>0</v>
      </c>
      <c r="T24" s="99">
        <f t="shared" ca="1" si="8"/>
        <v>0</v>
      </c>
      <c r="U24" s="451">
        <f t="shared" ca="1" si="32"/>
        <v>0</v>
      </c>
      <c r="V24" s="99">
        <f t="shared" ca="1" si="9"/>
        <v>0</v>
      </c>
      <c r="W24" s="451">
        <f ca="1">IFERROR(__xludf.DUMMYFUNCTION("IMPORTRANGE(""https://docs.google.com/spreadsheets/d/11923uPwbBZFjjGgGUA6NLw09EwE0CqkOc4q9oUmW1yo/edit?usp=sharing"",""พิษณุโลก!J511"")"),0)</f>
        <v>0</v>
      </c>
      <c r="X24" s="451">
        <f ca="1">IFERROR(__xludf.DUMMYFUNCTION("IMPORTRANGE(""https://docs.google.com/spreadsheets/d/11923uPwbBZFjjGgGUA6NLw09EwE0CqkOc4q9oUmW1yo/edit?usp=sharing"",""พิษณุโลก!J512"")"),0)</f>
        <v>0</v>
      </c>
      <c r="Y24" s="55">
        <f t="shared" ca="1" si="33"/>
        <v>0</v>
      </c>
      <c r="Z24" s="99">
        <f t="shared" ca="1" si="11"/>
        <v>0</v>
      </c>
      <c r="AA24" s="55">
        <f ca="1">IFERROR(__xludf.DUMMYFUNCTION("IMPORTRANGE(""https://docs.google.com/spreadsheets/d/11923uPwbBZFjjGgGUA6NLw09EwE0CqkOc4q9oUmW1yo/edit?usp=sharing"",""พิษณุโลก!J515"")"),0)</f>
        <v>0</v>
      </c>
      <c r="AB24" s="55">
        <f ca="1">IFERROR(__xludf.DUMMYFUNCTION("IMPORTRANGE(""https://docs.google.com/spreadsheets/d/11923uPwbBZFjjGgGUA6NLw09EwE0CqkOc4q9oUmW1yo/edit?usp=sharing"",""พิษณุโลก!J516"")"),0)</f>
        <v>0</v>
      </c>
      <c r="AC24" s="55">
        <f ca="1">IFERROR(__xludf.DUMMYFUNCTION("IMPORTRANGE(""https://docs.google.com/spreadsheets/d/11923uPwbBZFjjGgGUA6NLw09EwE0CqkOc4q9oUmW1yo/edit?usp=sharing"",""พิษณุโลก!J518"")"),0)</f>
        <v>0</v>
      </c>
      <c r="AD24" s="422">
        <f ca="1">IFERROR(__xludf.DUMMYFUNCTION("IMPORTRANGE(""https://docs.google.com/spreadsheets/d/11923uPwbBZFjjGgGUA6NLw09EwE0CqkOc4q9oUmW1yo/edit?usp=sharing"",""พิษณุโลก!J519"")"),0)</f>
        <v>0</v>
      </c>
    </row>
    <row r="25" spans="1:30" ht="24" customHeight="1" x14ac:dyDescent="0.5">
      <c r="A25" s="273">
        <v>10</v>
      </c>
      <c r="B25" s="274" t="s">
        <v>40</v>
      </c>
      <c r="C25" s="275">
        <f t="shared" si="30"/>
        <v>7300</v>
      </c>
      <c r="D25" s="55">
        <v>0</v>
      </c>
      <c r="E25" s="55">
        <v>7300</v>
      </c>
      <c r="F25" s="99">
        <f ca="1">IFERROR(__xludf.DUMMYFUNCTION("IMPORTRANGE(""https://docs.google.com/spreadsheets/d/11923uPwbBZFjjGgGUA6NLw09EwE0CqkOc4q9oUmW1yo/edit?usp=sharing"",""เพชรบูรณ์!M492"")"),0)</f>
        <v>0</v>
      </c>
      <c r="G25" s="99">
        <f t="shared" ca="1" si="1"/>
        <v>0</v>
      </c>
      <c r="H25" s="402">
        <f t="shared" si="31"/>
        <v>100</v>
      </c>
      <c r="I25" s="402">
        <v>100</v>
      </c>
      <c r="J25" s="402">
        <v>0</v>
      </c>
      <c r="K25" s="55">
        <f ca="1">IFERROR(__xludf.DUMMYFUNCTION("IMPORTRANGE(""https://docs.google.com/spreadsheets/d/11923uPwbBZFjjGgGUA6NLw09EwE0CqkOc4q9oUmW1yo/edit?usp=sharing"",""เพชรบูรณ์!J505"")"),0)</f>
        <v>0</v>
      </c>
      <c r="L25" s="99">
        <f t="shared" ca="1" si="4"/>
        <v>0</v>
      </c>
      <c r="M25" s="55">
        <f ca="1">IFERROR(__xludf.DUMMYFUNCTION("IMPORTRANGE(""https://docs.google.com/spreadsheets/d/11923uPwbBZFjjGgGUA6NLw09EwE0CqkOc4q9oUmW1yo/edit?usp=sharing"",""เพชรบูรณ์!J506"")"),0)</f>
        <v>0</v>
      </c>
      <c r="N25" s="99">
        <f t="shared" ca="1" si="5"/>
        <v>0</v>
      </c>
      <c r="O25" s="55">
        <f ca="1">IFERROR(__xludf.DUMMYFUNCTION("IMPORTRANGE(""https://docs.google.com/spreadsheets/d/11923uPwbBZFjjGgGUA6NLw09EwE0CqkOc4q9oUmW1yo/edit?usp=sharing"",""เพชรบูรณ์!J507"")"),0)</f>
        <v>0</v>
      </c>
      <c r="P25" s="99">
        <f t="shared" ca="1" si="6"/>
        <v>0</v>
      </c>
      <c r="Q25" s="55">
        <f ca="1">IFERROR(__xludf.DUMMYFUNCTION("IMPORTRANGE(""https://docs.google.com/spreadsheets/d/11923uPwbBZFjjGgGUA6NLw09EwE0CqkOc4q9oUmW1yo/edit?usp=sharing"",""เพชรบูรณ์!J508"")"),0)</f>
        <v>0</v>
      </c>
      <c r="R25" s="99">
        <f t="shared" ca="1" si="7"/>
        <v>0</v>
      </c>
      <c r="S25" s="55">
        <f ca="1">IFERROR(__xludf.DUMMYFUNCTION("IMPORTRANGE(""https://docs.google.com/spreadsheets/d/11923uPwbBZFjjGgGUA6NLw09EwE0CqkOc4q9oUmW1yo/edit?usp=sharing"",""เพชรบูรณ์!J509"")"),0)</f>
        <v>0</v>
      </c>
      <c r="T25" s="99">
        <f t="shared" ca="1" si="8"/>
        <v>0</v>
      </c>
      <c r="U25" s="451">
        <f t="shared" ca="1" si="32"/>
        <v>0</v>
      </c>
      <c r="V25" s="99">
        <f t="shared" ca="1" si="9"/>
        <v>0</v>
      </c>
      <c r="W25" s="451">
        <f ca="1">IFERROR(__xludf.DUMMYFUNCTION("IMPORTRANGE(""https://docs.google.com/spreadsheets/d/11923uPwbBZFjjGgGUA6NLw09EwE0CqkOc4q9oUmW1yo/edit?usp=sharing"",""เพชรบูรณ์!J511"")"),0)</f>
        <v>0</v>
      </c>
      <c r="X25" s="451">
        <f ca="1">IFERROR(__xludf.DUMMYFUNCTION("IMPORTRANGE(""https://docs.google.com/spreadsheets/d/11923uPwbBZFjjGgGUA6NLw09EwE0CqkOc4q9oUmW1yo/edit?usp=sharing"",""เพชรบูรณ์!J512"")"),0)</f>
        <v>0</v>
      </c>
      <c r="Y25" s="55">
        <f t="shared" ca="1" si="33"/>
        <v>0</v>
      </c>
      <c r="Z25" s="99">
        <f t="shared" ca="1" si="11"/>
        <v>0</v>
      </c>
      <c r="AA25" s="55">
        <f ca="1">IFERROR(__xludf.DUMMYFUNCTION("IMPORTRANGE(""https://docs.google.com/spreadsheets/d/11923uPwbBZFjjGgGUA6NLw09EwE0CqkOc4q9oUmW1yo/edit?usp=sharing"",""เพชรบูรณ์!J515"")"),0)</f>
        <v>0</v>
      </c>
      <c r="AB25" s="55">
        <f ca="1">IFERROR(__xludf.DUMMYFUNCTION("IMPORTRANGE(""https://docs.google.com/spreadsheets/d/11923uPwbBZFjjGgGUA6NLw09EwE0CqkOc4q9oUmW1yo/edit?usp=sharing"",""เพชรบูรณ์!J516"")"),0)</f>
        <v>0</v>
      </c>
      <c r="AC25" s="55">
        <f ca="1">IFERROR(__xludf.DUMMYFUNCTION("IMPORTRANGE(""https://docs.google.com/spreadsheets/d/11923uPwbBZFjjGgGUA6NLw09EwE0CqkOc4q9oUmW1yo/edit?usp=sharing"",""เพชรบูรณ์!J518"")"),0)</f>
        <v>0</v>
      </c>
      <c r="AD25" s="422">
        <f ca="1">IFERROR(__xludf.DUMMYFUNCTION("IMPORTRANGE(""https://docs.google.com/spreadsheets/d/11923uPwbBZFjjGgGUA6NLw09EwE0CqkOc4q9oUmW1yo/edit?usp=sharing"",""เพชรบูรณ์!J519"")"),0)</f>
        <v>0</v>
      </c>
    </row>
    <row r="26" spans="1:30" ht="24" customHeight="1" x14ac:dyDescent="0.5">
      <c r="A26" s="273">
        <v>11</v>
      </c>
      <c r="B26" s="274" t="s">
        <v>41</v>
      </c>
      <c r="C26" s="275">
        <f t="shared" si="30"/>
        <v>4550</v>
      </c>
      <c r="D26" s="55">
        <v>0</v>
      </c>
      <c r="E26" s="55">
        <v>4550</v>
      </c>
      <c r="F26" s="99">
        <f ca="1">IFERROR(__xludf.DUMMYFUNCTION("IMPORTRANGE(""https://docs.google.com/spreadsheets/d/11923uPwbBZFjjGgGUA6NLw09EwE0CqkOc4q9oUmW1yo/edit?usp=sharing"",""แพร่!M492"")"),0)</f>
        <v>0</v>
      </c>
      <c r="G26" s="99">
        <f t="shared" ca="1" si="1"/>
        <v>0</v>
      </c>
      <c r="H26" s="402">
        <f t="shared" si="31"/>
        <v>50</v>
      </c>
      <c r="I26" s="402">
        <v>50</v>
      </c>
      <c r="J26" s="402">
        <v>0</v>
      </c>
      <c r="K26" s="55">
        <f ca="1">IFERROR(__xludf.DUMMYFUNCTION("IMPORTRANGE(""https://docs.google.com/spreadsheets/d/11923uPwbBZFjjGgGUA6NLw09EwE0CqkOc4q9oUmW1yo/edit?usp=sharing"",""แพร่!J505"")"),0)</f>
        <v>0</v>
      </c>
      <c r="L26" s="99">
        <f t="shared" ca="1" si="4"/>
        <v>0</v>
      </c>
      <c r="M26" s="55">
        <f ca="1">IFERROR(__xludf.DUMMYFUNCTION("IMPORTRANGE(""https://docs.google.com/spreadsheets/d/11923uPwbBZFjjGgGUA6NLw09EwE0CqkOc4q9oUmW1yo/edit?usp=sharing"",""แพร่!J506"")"),0)</f>
        <v>0</v>
      </c>
      <c r="N26" s="99">
        <f t="shared" ca="1" si="5"/>
        <v>0</v>
      </c>
      <c r="O26" s="55">
        <f ca="1">IFERROR(__xludf.DUMMYFUNCTION("IMPORTRANGE(""https://docs.google.com/spreadsheets/d/11923uPwbBZFjjGgGUA6NLw09EwE0CqkOc4q9oUmW1yo/edit?usp=sharing"",""แพร่!J507"")"),0)</f>
        <v>0</v>
      </c>
      <c r="P26" s="99">
        <f t="shared" ca="1" si="6"/>
        <v>0</v>
      </c>
      <c r="Q26" s="55">
        <f ca="1">IFERROR(__xludf.DUMMYFUNCTION("IMPORTRANGE(""https://docs.google.com/spreadsheets/d/11923uPwbBZFjjGgGUA6NLw09EwE0CqkOc4q9oUmW1yo/edit?usp=sharing"",""แพร่!J508"")"),0)</f>
        <v>0</v>
      </c>
      <c r="R26" s="99">
        <f t="shared" ca="1" si="7"/>
        <v>0</v>
      </c>
      <c r="S26" s="55">
        <f ca="1">IFERROR(__xludf.DUMMYFUNCTION("IMPORTRANGE(""https://docs.google.com/spreadsheets/d/11923uPwbBZFjjGgGUA6NLw09EwE0CqkOc4q9oUmW1yo/edit?usp=sharing"",""แพร่!J509"")"),0)</f>
        <v>0</v>
      </c>
      <c r="T26" s="99">
        <f t="shared" ca="1" si="8"/>
        <v>0</v>
      </c>
      <c r="U26" s="451">
        <f t="shared" ca="1" si="32"/>
        <v>0</v>
      </c>
      <c r="V26" s="99">
        <f t="shared" ca="1" si="9"/>
        <v>0</v>
      </c>
      <c r="W26" s="451">
        <f ca="1">IFERROR(__xludf.DUMMYFUNCTION("IMPORTRANGE(""https://docs.google.com/spreadsheets/d/11923uPwbBZFjjGgGUA6NLw09EwE0CqkOc4q9oUmW1yo/edit?usp=sharing"",""แพร่!J511"")"),0)</f>
        <v>0</v>
      </c>
      <c r="X26" s="451">
        <f ca="1">IFERROR(__xludf.DUMMYFUNCTION("IMPORTRANGE(""https://docs.google.com/spreadsheets/d/11923uPwbBZFjjGgGUA6NLw09EwE0CqkOc4q9oUmW1yo/edit?usp=sharing"",""แพร่!J512"")"),0)</f>
        <v>0</v>
      </c>
      <c r="Y26" s="55">
        <f t="shared" ca="1" si="33"/>
        <v>0</v>
      </c>
      <c r="Z26" s="99">
        <f t="shared" ca="1" si="11"/>
        <v>0</v>
      </c>
      <c r="AA26" s="55">
        <f ca="1">IFERROR(__xludf.DUMMYFUNCTION("IMPORTRANGE(""https://docs.google.com/spreadsheets/d/11923uPwbBZFjjGgGUA6NLw09EwE0CqkOc4q9oUmW1yo/edit?usp=sharing"",""แพร่!J515"")"),0)</f>
        <v>0</v>
      </c>
      <c r="AB26" s="55">
        <f ca="1">IFERROR(__xludf.DUMMYFUNCTION("IMPORTRANGE(""https://docs.google.com/spreadsheets/d/11923uPwbBZFjjGgGUA6NLw09EwE0CqkOc4q9oUmW1yo/edit?usp=sharing"",""แพร่!J516"")"),0)</f>
        <v>0</v>
      </c>
      <c r="AC26" s="55">
        <f ca="1">IFERROR(__xludf.DUMMYFUNCTION("IMPORTRANGE(""https://docs.google.com/spreadsheets/d/11923uPwbBZFjjGgGUA6NLw09EwE0CqkOc4q9oUmW1yo/edit?usp=sharing"",""แพร่!J518"")"),0)</f>
        <v>0</v>
      </c>
      <c r="AD26" s="422">
        <f ca="1">IFERROR(__xludf.DUMMYFUNCTION("IMPORTRANGE(""https://docs.google.com/spreadsheets/d/11923uPwbBZFjjGgGUA6NLw09EwE0CqkOc4q9oUmW1yo/edit?usp=sharing"",""แพร่!J519"")"),0)</f>
        <v>0</v>
      </c>
    </row>
    <row r="27" spans="1:30" ht="24" customHeight="1" x14ac:dyDescent="0.5">
      <c r="A27" s="273">
        <v>12</v>
      </c>
      <c r="B27" s="274" t="s">
        <v>42</v>
      </c>
      <c r="C27" s="275">
        <f t="shared" si="30"/>
        <v>6950</v>
      </c>
      <c r="D27" s="55">
        <v>0</v>
      </c>
      <c r="E27" s="55">
        <v>6950</v>
      </c>
      <c r="F27" s="99">
        <f ca="1">IFERROR(__xludf.DUMMYFUNCTION("IMPORTRANGE(""https://docs.google.com/spreadsheets/d/11923uPwbBZFjjGgGUA6NLw09EwE0CqkOc4q9oUmW1yo/edit?usp=sharing"",""แม่ฮ่องสอน!M492"")"),0)</f>
        <v>0</v>
      </c>
      <c r="G27" s="99">
        <f t="shared" ca="1" si="1"/>
        <v>0</v>
      </c>
      <c r="H27" s="402">
        <f t="shared" si="31"/>
        <v>50</v>
      </c>
      <c r="I27" s="402">
        <v>50</v>
      </c>
      <c r="J27" s="402">
        <v>0</v>
      </c>
      <c r="K27" s="55">
        <f ca="1">IFERROR(__xludf.DUMMYFUNCTION("IMPORTRANGE(""https://docs.google.com/spreadsheets/d/11923uPwbBZFjjGgGUA6NLw09EwE0CqkOc4q9oUmW1yo/edit?usp=sharing"",""แม่ฮ่องสอน!J505"")"),0)</f>
        <v>0</v>
      </c>
      <c r="L27" s="99">
        <f t="shared" ca="1" si="4"/>
        <v>0</v>
      </c>
      <c r="M27" s="55">
        <f ca="1">IFERROR(__xludf.DUMMYFUNCTION("IMPORTRANGE(""https://docs.google.com/spreadsheets/d/11923uPwbBZFjjGgGUA6NLw09EwE0CqkOc4q9oUmW1yo/edit?usp=sharing"",""แม่ฮ่องสอน!J506"")"),0)</f>
        <v>0</v>
      </c>
      <c r="N27" s="99">
        <f t="shared" ca="1" si="5"/>
        <v>0</v>
      </c>
      <c r="O27" s="55">
        <f ca="1">IFERROR(__xludf.DUMMYFUNCTION("IMPORTRANGE(""https://docs.google.com/spreadsheets/d/11923uPwbBZFjjGgGUA6NLw09EwE0CqkOc4q9oUmW1yo/edit?usp=sharing"",""แม่ฮ่องสอน!J507"")"),0)</f>
        <v>0</v>
      </c>
      <c r="P27" s="99">
        <f t="shared" ca="1" si="6"/>
        <v>0</v>
      </c>
      <c r="Q27" s="55">
        <f ca="1">IFERROR(__xludf.DUMMYFUNCTION("IMPORTRANGE(""https://docs.google.com/spreadsheets/d/11923uPwbBZFjjGgGUA6NLw09EwE0CqkOc4q9oUmW1yo/edit?usp=sharing"",""แม่ฮ่องสอน!J508"")"),0)</f>
        <v>0</v>
      </c>
      <c r="R27" s="99">
        <f t="shared" ca="1" si="7"/>
        <v>0</v>
      </c>
      <c r="S27" s="55">
        <f ca="1">IFERROR(__xludf.DUMMYFUNCTION("IMPORTRANGE(""https://docs.google.com/spreadsheets/d/11923uPwbBZFjjGgGUA6NLw09EwE0CqkOc4q9oUmW1yo/edit?usp=sharing"",""แม่ฮ่องสอน!J509"")"),0)</f>
        <v>0</v>
      </c>
      <c r="T27" s="99">
        <f t="shared" ca="1" si="8"/>
        <v>0</v>
      </c>
      <c r="U27" s="451">
        <f t="shared" ca="1" si="32"/>
        <v>0</v>
      </c>
      <c r="V27" s="99">
        <f t="shared" ca="1" si="9"/>
        <v>0</v>
      </c>
      <c r="W27" s="451">
        <f ca="1">IFERROR(__xludf.DUMMYFUNCTION("IMPORTRANGE(""https://docs.google.com/spreadsheets/d/11923uPwbBZFjjGgGUA6NLw09EwE0CqkOc4q9oUmW1yo/edit?usp=sharing"",""แม่ฮ่องสอน!J511"")"),0)</f>
        <v>0</v>
      </c>
      <c r="X27" s="451">
        <f ca="1">IFERROR(__xludf.DUMMYFUNCTION("IMPORTRANGE(""https://docs.google.com/spreadsheets/d/11923uPwbBZFjjGgGUA6NLw09EwE0CqkOc4q9oUmW1yo/edit?usp=sharing"",""แม่ฮ่องสอน!J512"")"),0)</f>
        <v>0</v>
      </c>
      <c r="Y27" s="55">
        <f t="shared" ca="1" si="33"/>
        <v>0</v>
      </c>
      <c r="Z27" s="99">
        <f t="shared" ca="1" si="11"/>
        <v>0</v>
      </c>
      <c r="AA27" s="55">
        <f ca="1">IFERROR(__xludf.DUMMYFUNCTION("IMPORTRANGE(""https://docs.google.com/spreadsheets/d/11923uPwbBZFjjGgGUA6NLw09EwE0CqkOc4q9oUmW1yo/edit?usp=sharing"",""แม่ฮ่องสอน!J515"")"),0)</f>
        <v>0</v>
      </c>
      <c r="AB27" s="55">
        <f ca="1">IFERROR(__xludf.DUMMYFUNCTION("IMPORTRANGE(""https://docs.google.com/spreadsheets/d/11923uPwbBZFjjGgGUA6NLw09EwE0CqkOc4q9oUmW1yo/edit?usp=sharing"",""แม่ฮ่องสอน!J516"")"),0)</f>
        <v>0</v>
      </c>
      <c r="AC27" s="55">
        <f ca="1">IFERROR(__xludf.DUMMYFUNCTION("IMPORTRANGE(""https://docs.google.com/spreadsheets/d/11923uPwbBZFjjGgGUA6NLw09EwE0CqkOc4q9oUmW1yo/edit?usp=sharing"",""แม่ฮ่องสอน!J518"")"),0)</f>
        <v>0</v>
      </c>
      <c r="AD27" s="422">
        <f ca="1">IFERROR(__xludf.DUMMYFUNCTION("IMPORTRANGE(""https://docs.google.com/spreadsheets/d/11923uPwbBZFjjGgGUA6NLw09EwE0CqkOc4q9oUmW1yo/edit?usp=sharing"",""แม่ฮ่องสอน!J519"")"),0)</f>
        <v>0</v>
      </c>
    </row>
    <row r="28" spans="1:30" ht="24" customHeight="1" x14ac:dyDescent="0.5">
      <c r="A28" s="273">
        <v>13</v>
      </c>
      <c r="B28" s="274" t="s">
        <v>43</v>
      </c>
      <c r="C28" s="275">
        <f t="shared" si="30"/>
        <v>8900</v>
      </c>
      <c r="D28" s="55">
        <v>0</v>
      </c>
      <c r="E28" s="55">
        <v>8900</v>
      </c>
      <c r="F28" s="99">
        <f ca="1">IFERROR(__xludf.DUMMYFUNCTION("IMPORTRANGE(""https://docs.google.com/spreadsheets/d/11923uPwbBZFjjGgGUA6NLw09EwE0CqkOc4q9oUmW1yo/edit?usp=sharing"",""ลำปาง!M492"")"),0)</f>
        <v>0</v>
      </c>
      <c r="G28" s="99">
        <f t="shared" ca="1" si="1"/>
        <v>0</v>
      </c>
      <c r="H28" s="402">
        <f t="shared" si="31"/>
        <v>100</v>
      </c>
      <c r="I28" s="402">
        <v>100</v>
      </c>
      <c r="J28" s="402">
        <v>0</v>
      </c>
      <c r="K28" s="55">
        <f ca="1">IFERROR(__xludf.DUMMYFUNCTION("IMPORTRANGE(""https://docs.google.com/spreadsheets/d/11923uPwbBZFjjGgGUA6NLw09EwE0CqkOc4q9oUmW1yo/edit?usp=sharing"",""ลำปาง!J505"")"),0)</f>
        <v>0</v>
      </c>
      <c r="L28" s="99">
        <f t="shared" ca="1" si="4"/>
        <v>0</v>
      </c>
      <c r="M28" s="55">
        <f ca="1">IFERROR(__xludf.DUMMYFUNCTION("IMPORTRANGE(""https://docs.google.com/spreadsheets/d/11923uPwbBZFjjGgGUA6NLw09EwE0CqkOc4q9oUmW1yo/edit?usp=sharing"",""ลำปาง!J506"")"),0)</f>
        <v>0</v>
      </c>
      <c r="N28" s="99">
        <f t="shared" ca="1" si="5"/>
        <v>0</v>
      </c>
      <c r="O28" s="55">
        <f ca="1">IFERROR(__xludf.DUMMYFUNCTION("IMPORTRANGE(""https://docs.google.com/spreadsheets/d/11923uPwbBZFjjGgGUA6NLw09EwE0CqkOc4q9oUmW1yo/edit?usp=sharing"",""ลำปาง!J507"")"),0)</f>
        <v>0</v>
      </c>
      <c r="P28" s="99">
        <f t="shared" ca="1" si="6"/>
        <v>0</v>
      </c>
      <c r="Q28" s="55">
        <f ca="1">IFERROR(__xludf.DUMMYFUNCTION("IMPORTRANGE(""https://docs.google.com/spreadsheets/d/11923uPwbBZFjjGgGUA6NLw09EwE0CqkOc4q9oUmW1yo/edit?usp=sharing"",""ลำปาง!J508"")"),0)</f>
        <v>0</v>
      </c>
      <c r="R28" s="99">
        <f t="shared" ca="1" si="7"/>
        <v>0</v>
      </c>
      <c r="S28" s="55">
        <f ca="1">IFERROR(__xludf.DUMMYFUNCTION("IMPORTRANGE(""https://docs.google.com/spreadsheets/d/11923uPwbBZFjjGgGUA6NLw09EwE0CqkOc4q9oUmW1yo/edit?usp=sharing"",""ลำปาง!J509"")"),0)</f>
        <v>0</v>
      </c>
      <c r="T28" s="99">
        <f t="shared" ca="1" si="8"/>
        <v>0</v>
      </c>
      <c r="U28" s="451">
        <f t="shared" ca="1" si="32"/>
        <v>0</v>
      </c>
      <c r="V28" s="99">
        <f t="shared" ca="1" si="9"/>
        <v>0</v>
      </c>
      <c r="W28" s="451">
        <f ca="1">IFERROR(__xludf.DUMMYFUNCTION("IMPORTRANGE(""https://docs.google.com/spreadsheets/d/11923uPwbBZFjjGgGUA6NLw09EwE0CqkOc4q9oUmW1yo/edit?usp=sharing"",""ลำปาง!J511"")"),0)</f>
        <v>0</v>
      </c>
      <c r="X28" s="451">
        <f ca="1">IFERROR(__xludf.DUMMYFUNCTION("IMPORTRANGE(""https://docs.google.com/spreadsheets/d/11923uPwbBZFjjGgGUA6NLw09EwE0CqkOc4q9oUmW1yo/edit?usp=sharing"",""ลำปาง!J512"")"),0)</f>
        <v>0</v>
      </c>
      <c r="Y28" s="55">
        <f t="shared" ca="1" si="33"/>
        <v>0</v>
      </c>
      <c r="Z28" s="99">
        <f t="shared" ca="1" si="11"/>
        <v>0</v>
      </c>
      <c r="AA28" s="55">
        <f ca="1">IFERROR(__xludf.DUMMYFUNCTION("IMPORTRANGE(""https://docs.google.com/spreadsheets/d/11923uPwbBZFjjGgGUA6NLw09EwE0CqkOc4q9oUmW1yo/edit?usp=sharing"",""ลำปาง!J515"")"),0)</f>
        <v>0</v>
      </c>
      <c r="AB28" s="55">
        <f ca="1">IFERROR(__xludf.DUMMYFUNCTION("IMPORTRANGE(""https://docs.google.com/spreadsheets/d/11923uPwbBZFjjGgGUA6NLw09EwE0CqkOc4q9oUmW1yo/edit?usp=sharing"",""ลำปาง!J516"")"),0)</f>
        <v>0</v>
      </c>
      <c r="AC28" s="55">
        <f ca="1">IFERROR(__xludf.DUMMYFUNCTION("IMPORTRANGE(""https://docs.google.com/spreadsheets/d/11923uPwbBZFjjGgGUA6NLw09EwE0CqkOc4q9oUmW1yo/edit?usp=sharing"",""ลำปาง!J518"")"),0)</f>
        <v>0</v>
      </c>
      <c r="AD28" s="422">
        <f ca="1">IFERROR(__xludf.DUMMYFUNCTION("IMPORTRANGE(""https://docs.google.com/spreadsheets/d/11923uPwbBZFjjGgGUA6NLw09EwE0CqkOc4q9oUmW1yo/edit?usp=sharing"",""ลำปาง!J519"")"),0)</f>
        <v>0</v>
      </c>
    </row>
    <row r="29" spans="1:30" ht="24" customHeight="1" x14ac:dyDescent="0.5">
      <c r="A29" s="273">
        <v>14</v>
      </c>
      <c r="B29" s="274" t="s">
        <v>44</v>
      </c>
      <c r="C29" s="275">
        <f t="shared" si="30"/>
        <v>4550</v>
      </c>
      <c r="D29" s="55">
        <v>0</v>
      </c>
      <c r="E29" s="55">
        <v>4550</v>
      </c>
      <c r="F29" s="99">
        <f ca="1">IFERROR(__xludf.DUMMYFUNCTION("IMPORTRANGE(""https://docs.google.com/spreadsheets/d/11923uPwbBZFjjGgGUA6NLw09EwE0CqkOc4q9oUmW1yo/edit?usp=sharing"",""ลำพูน!M492"")"),0)</f>
        <v>0</v>
      </c>
      <c r="G29" s="99">
        <f t="shared" ca="1" si="1"/>
        <v>0</v>
      </c>
      <c r="H29" s="402">
        <f t="shared" si="31"/>
        <v>50</v>
      </c>
      <c r="I29" s="402">
        <v>50</v>
      </c>
      <c r="J29" s="402">
        <v>0</v>
      </c>
      <c r="K29" s="55">
        <f ca="1">IFERROR(__xludf.DUMMYFUNCTION("IMPORTRANGE(""https://docs.google.com/spreadsheets/d/11923uPwbBZFjjGgGUA6NLw09EwE0CqkOc4q9oUmW1yo/edit?usp=sharing"",""ลำพูน!J505"")"),0)</f>
        <v>0</v>
      </c>
      <c r="L29" s="99">
        <f t="shared" ca="1" si="4"/>
        <v>0</v>
      </c>
      <c r="M29" s="55">
        <f ca="1">IFERROR(__xludf.DUMMYFUNCTION("IMPORTRANGE(""https://docs.google.com/spreadsheets/d/11923uPwbBZFjjGgGUA6NLw09EwE0CqkOc4q9oUmW1yo/edit?usp=sharing"",""ลำพูน!J506"")"),0)</f>
        <v>0</v>
      </c>
      <c r="N29" s="99">
        <f t="shared" ca="1" si="5"/>
        <v>0</v>
      </c>
      <c r="O29" s="55">
        <f ca="1">IFERROR(__xludf.DUMMYFUNCTION("IMPORTRANGE(""https://docs.google.com/spreadsheets/d/11923uPwbBZFjjGgGUA6NLw09EwE0CqkOc4q9oUmW1yo/edit?usp=sharing"",""ลำพูน!J507"")"),0)</f>
        <v>0</v>
      </c>
      <c r="P29" s="99">
        <f t="shared" ca="1" si="6"/>
        <v>0</v>
      </c>
      <c r="Q29" s="55">
        <f ca="1">IFERROR(__xludf.DUMMYFUNCTION("IMPORTRANGE(""https://docs.google.com/spreadsheets/d/11923uPwbBZFjjGgGUA6NLw09EwE0CqkOc4q9oUmW1yo/edit?usp=sharing"",""ลำพูน!J508"")"),0)</f>
        <v>0</v>
      </c>
      <c r="R29" s="99">
        <f t="shared" ca="1" si="7"/>
        <v>0</v>
      </c>
      <c r="S29" s="55">
        <f ca="1">IFERROR(__xludf.DUMMYFUNCTION("IMPORTRANGE(""https://docs.google.com/spreadsheets/d/11923uPwbBZFjjGgGUA6NLw09EwE0CqkOc4q9oUmW1yo/edit?usp=sharing"",""ลำพูน!J509"")"),0)</f>
        <v>0</v>
      </c>
      <c r="T29" s="99">
        <f t="shared" ca="1" si="8"/>
        <v>0</v>
      </c>
      <c r="U29" s="451">
        <f t="shared" ca="1" si="32"/>
        <v>0</v>
      </c>
      <c r="V29" s="99">
        <f t="shared" ca="1" si="9"/>
        <v>0</v>
      </c>
      <c r="W29" s="451">
        <f ca="1">IFERROR(__xludf.DUMMYFUNCTION("IMPORTRANGE(""https://docs.google.com/spreadsheets/d/11923uPwbBZFjjGgGUA6NLw09EwE0CqkOc4q9oUmW1yo/edit?usp=sharing"",""ลำพูน!J511"")"),0)</f>
        <v>0</v>
      </c>
      <c r="X29" s="451">
        <f ca="1">IFERROR(__xludf.DUMMYFUNCTION("IMPORTRANGE(""https://docs.google.com/spreadsheets/d/11923uPwbBZFjjGgGUA6NLw09EwE0CqkOc4q9oUmW1yo/edit?usp=sharing"",""ลำพูน!J512"")"),0)</f>
        <v>0</v>
      </c>
      <c r="Y29" s="55">
        <f t="shared" ca="1" si="33"/>
        <v>0</v>
      </c>
      <c r="Z29" s="99">
        <f t="shared" ca="1" si="11"/>
        <v>0</v>
      </c>
      <c r="AA29" s="55">
        <f ca="1">IFERROR(__xludf.DUMMYFUNCTION("IMPORTRANGE(""https://docs.google.com/spreadsheets/d/11923uPwbBZFjjGgGUA6NLw09EwE0CqkOc4q9oUmW1yo/edit?usp=sharing"",""ลำพูน!J515"")"),0)</f>
        <v>0</v>
      </c>
      <c r="AB29" s="55">
        <f ca="1">IFERROR(__xludf.DUMMYFUNCTION("IMPORTRANGE(""https://docs.google.com/spreadsheets/d/11923uPwbBZFjjGgGUA6NLw09EwE0CqkOc4q9oUmW1yo/edit?usp=sharing"",""ลำพูน!J516"")"),0)</f>
        <v>0</v>
      </c>
      <c r="AC29" s="55">
        <f ca="1">IFERROR(__xludf.DUMMYFUNCTION("IMPORTRANGE(""https://docs.google.com/spreadsheets/d/11923uPwbBZFjjGgGUA6NLw09EwE0CqkOc4q9oUmW1yo/edit?usp=sharing"",""ลำพูน!J518"")"),0)</f>
        <v>0</v>
      </c>
      <c r="AD29" s="422">
        <f ca="1">IFERROR(__xludf.DUMMYFUNCTION("IMPORTRANGE(""https://docs.google.com/spreadsheets/d/11923uPwbBZFjjGgGUA6NLw09EwE0CqkOc4q9oUmW1yo/edit?usp=sharing"",""ลำพูน!J519"")"),0)</f>
        <v>0</v>
      </c>
    </row>
    <row r="30" spans="1:30" ht="24" customHeight="1" x14ac:dyDescent="0.5">
      <c r="A30" s="273">
        <v>15</v>
      </c>
      <c r="B30" s="274" t="s">
        <v>45</v>
      </c>
      <c r="C30" s="275">
        <f t="shared" si="30"/>
        <v>7300</v>
      </c>
      <c r="D30" s="55">
        <v>0</v>
      </c>
      <c r="E30" s="55">
        <v>7300</v>
      </c>
      <c r="F30" s="99">
        <f ca="1">IFERROR(__xludf.DUMMYFUNCTION("IMPORTRANGE(""https://docs.google.com/spreadsheets/d/11923uPwbBZFjjGgGUA6NLw09EwE0CqkOc4q9oUmW1yo/edit?usp=sharing"",""สุโขทัย!M492"")"),0)</f>
        <v>0</v>
      </c>
      <c r="G30" s="99">
        <f t="shared" ca="1" si="1"/>
        <v>0</v>
      </c>
      <c r="H30" s="402">
        <f t="shared" si="31"/>
        <v>100</v>
      </c>
      <c r="I30" s="402">
        <v>100</v>
      </c>
      <c r="J30" s="402">
        <v>0</v>
      </c>
      <c r="K30" s="55">
        <f ca="1">IFERROR(__xludf.DUMMYFUNCTION("IMPORTRANGE(""https://docs.google.com/spreadsheets/d/11923uPwbBZFjjGgGUA6NLw09EwE0CqkOc4q9oUmW1yo/edit?usp=sharing"",""สุโขทัย!J505"")"),0)</f>
        <v>0</v>
      </c>
      <c r="L30" s="99">
        <f t="shared" ca="1" si="4"/>
        <v>0</v>
      </c>
      <c r="M30" s="55">
        <f ca="1">IFERROR(__xludf.DUMMYFUNCTION("IMPORTRANGE(""https://docs.google.com/spreadsheets/d/11923uPwbBZFjjGgGUA6NLw09EwE0CqkOc4q9oUmW1yo/edit?usp=sharing"",""สุโขทัย!J506"")"),0)</f>
        <v>0</v>
      </c>
      <c r="N30" s="99">
        <f t="shared" ca="1" si="5"/>
        <v>0</v>
      </c>
      <c r="O30" s="55">
        <f ca="1">IFERROR(__xludf.DUMMYFUNCTION("IMPORTRANGE(""https://docs.google.com/spreadsheets/d/11923uPwbBZFjjGgGUA6NLw09EwE0CqkOc4q9oUmW1yo/edit?usp=sharing"",""สุโขทัย!J507"")"),0)</f>
        <v>0</v>
      </c>
      <c r="P30" s="99">
        <f t="shared" ca="1" si="6"/>
        <v>0</v>
      </c>
      <c r="Q30" s="55">
        <f ca="1">IFERROR(__xludf.DUMMYFUNCTION("IMPORTRANGE(""https://docs.google.com/spreadsheets/d/11923uPwbBZFjjGgGUA6NLw09EwE0CqkOc4q9oUmW1yo/edit?usp=sharing"",""สุโขทัย!J508"")"),0)</f>
        <v>0</v>
      </c>
      <c r="R30" s="99">
        <f t="shared" ca="1" si="7"/>
        <v>0</v>
      </c>
      <c r="S30" s="55">
        <f ca="1">IFERROR(__xludf.DUMMYFUNCTION("IMPORTRANGE(""https://docs.google.com/spreadsheets/d/11923uPwbBZFjjGgGUA6NLw09EwE0CqkOc4q9oUmW1yo/edit?usp=sharing"",""สุโขทัย!J509"")"),0)</f>
        <v>0</v>
      </c>
      <c r="T30" s="99">
        <f t="shared" ca="1" si="8"/>
        <v>0</v>
      </c>
      <c r="U30" s="451">
        <f t="shared" ca="1" si="32"/>
        <v>0</v>
      </c>
      <c r="V30" s="99">
        <f t="shared" ca="1" si="9"/>
        <v>0</v>
      </c>
      <c r="W30" s="451">
        <f ca="1">IFERROR(__xludf.DUMMYFUNCTION("IMPORTRANGE(""https://docs.google.com/spreadsheets/d/11923uPwbBZFjjGgGUA6NLw09EwE0CqkOc4q9oUmW1yo/edit?usp=sharing"",""สุโขทัย!J511"")"),0)</f>
        <v>0</v>
      </c>
      <c r="X30" s="451">
        <f ca="1">IFERROR(__xludf.DUMMYFUNCTION("IMPORTRANGE(""https://docs.google.com/spreadsheets/d/11923uPwbBZFjjGgGUA6NLw09EwE0CqkOc4q9oUmW1yo/edit?usp=sharing"",""สุโขทัย!J512"")"),0)</f>
        <v>0</v>
      </c>
      <c r="Y30" s="55">
        <f t="shared" ca="1" si="33"/>
        <v>0</v>
      </c>
      <c r="Z30" s="99">
        <f t="shared" ca="1" si="11"/>
        <v>0</v>
      </c>
      <c r="AA30" s="55">
        <f ca="1">IFERROR(__xludf.DUMMYFUNCTION("IMPORTRANGE(""https://docs.google.com/spreadsheets/d/11923uPwbBZFjjGgGUA6NLw09EwE0CqkOc4q9oUmW1yo/edit?usp=sharing"",""สุโขทัย!J515"")"),0)</f>
        <v>0</v>
      </c>
      <c r="AB30" s="55">
        <f ca="1">IFERROR(__xludf.DUMMYFUNCTION("IMPORTRANGE(""https://docs.google.com/spreadsheets/d/11923uPwbBZFjjGgGUA6NLw09EwE0CqkOc4q9oUmW1yo/edit?usp=sharing"",""สุโขทัย!J516"")"),0)</f>
        <v>0</v>
      </c>
      <c r="AC30" s="55">
        <f ca="1">IFERROR(__xludf.DUMMYFUNCTION("IMPORTRANGE(""https://docs.google.com/spreadsheets/d/11923uPwbBZFjjGgGUA6NLw09EwE0CqkOc4q9oUmW1yo/edit?usp=sharing"",""สุโขทัย!J518"")"),0)</f>
        <v>0</v>
      </c>
      <c r="AD30" s="422">
        <f ca="1">IFERROR(__xludf.DUMMYFUNCTION("IMPORTRANGE(""https://docs.google.com/spreadsheets/d/11923uPwbBZFjjGgGUA6NLw09EwE0CqkOc4q9oUmW1yo/edit?usp=sharing"",""สุโขทัย!J519"")"),0)</f>
        <v>0</v>
      </c>
    </row>
    <row r="31" spans="1:30" ht="24" customHeight="1" x14ac:dyDescent="0.5">
      <c r="A31" s="273">
        <v>16</v>
      </c>
      <c r="B31" s="274" t="s">
        <v>46</v>
      </c>
      <c r="C31" s="275">
        <f t="shared" si="30"/>
        <v>6150</v>
      </c>
      <c r="D31" s="55">
        <v>0</v>
      </c>
      <c r="E31" s="55">
        <v>6150</v>
      </c>
      <c r="F31" s="99">
        <f ca="1">IFERROR(__xludf.DUMMYFUNCTION("IMPORTRANGE(""https://docs.google.com/spreadsheets/d/11923uPwbBZFjjGgGUA6NLw09EwE0CqkOc4q9oUmW1yo/edit?usp=sharing"",""อุตรดิตถ์!M492"")"),0)</f>
        <v>0</v>
      </c>
      <c r="G31" s="99">
        <f t="shared" ca="1" si="1"/>
        <v>0</v>
      </c>
      <c r="H31" s="402">
        <f t="shared" si="31"/>
        <v>1627</v>
      </c>
      <c r="I31" s="402">
        <v>50</v>
      </c>
      <c r="J31" s="402">
        <v>1577</v>
      </c>
      <c r="K31" s="55">
        <f ca="1">IFERROR(__xludf.DUMMYFUNCTION("IMPORTRANGE(""https://docs.google.com/spreadsheets/d/11923uPwbBZFjjGgGUA6NLw09EwE0CqkOc4q9oUmW1yo/edit?usp=sharing"",""อุตรดิตถ์!J505"")"),0)</f>
        <v>0</v>
      </c>
      <c r="L31" s="99">
        <f t="shared" ca="1" si="4"/>
        <v>0</v>
      </c>
      <c r="M31" s="55">
        <f ca="1">IFERROR(__xludf.DUMMYFUNCTION("IMPORTRANGE(""https://docs.google.com/spreadsheets/d/11923uPwbBZFjjGgGUA6NLw09EwE0CqkOc4q9oUmW1yo/edit?usp=sharing"",""อุตรดิตถ์!J506"")"),0)</f>
        <v>0</v>
      </c>
      <c r="N31" s="99">
        <f t="shared" ca="1" si="5"/>
        <v>0</v>
      </c>
      <c r="O31" s="55">
        <f ca="1">IFERROR(__xludf.DUMMYFUNCTION("IMPORTRANGE(""https://docs.google.com/spreadsheets/d/11923uPwbBZFjjGgGUA6NLw09EwE0CqkOc4q9oUmW1yo/edit?usp=sharing"",""อุตรดิตถ์!J507"")"),0)</f>
        <v>0</v>
      </c>
      <c r="P31" s="99">
        <f t="shared" ca="1" si="6"/>
        <v>0</v>
      </c>
      <c r="Q31" s="55">
        <f ca="1">IFERROR(__xludf.DUMMYFUNCTION("IMPORTRANGE(""https://docs.google.com/spreadsheets/d/11923uPwbBZFjjGgGUA6NLw09EwE0CqkOc4q9oUmW1yo/edit?usp=sharing"",""อุตรดิตถ์!J508"")"),0)</f>
        <v>0</v>
      </c>
      <c r="R31" s="99">
        <f t="shared" ca="1" si="7"/>
        <v>0</v>
      </c>
      <c r="S31" s="55">
        <f ca="1">IFERROR(__xludf.DUMMYFUNCTION("IMPORTRANGE(""https://docs.google.com/spreadsheets/d/11923uPwbBZFjjGgGUA6NLw09EwE0CqkOc4q9oUmW1yo/edit?usp=sharing"",""อุตรดิตถ์!J509"")"),0)</f>
        <v>0</v>
      </c>
      <c r="T31" s="99">
        <f t="shared" ca="1" si="8"/>
        <v>0</v>
      </c>
      <c r="U31" s="451">
        <f t="shared" ca="1" si="32"/>
        <v>0</v>
      </c>
      <c r="V31" s="99">
        <f t="shared" ca="1" si="9"/>
        <v>0</v>
      </c>
      <c r="W31" s="451">
        <f ca="1">IFERROR(__xludf.DUMMYFUNCTION("IMPORTRANGE(""https://docs.google.com/spreadsheets/d/11923uPwbBZFjjGgGUA6NLw09EwE0CqkOc4q9oUmW1yo/edit?usp=sharing"",""อุตรดิตถ์!J511"")"),0)</f>
        <v>0</v>
      </c>
      <c r="X31" s="451">
        <f ca="1">IFERROR(__xludf.DUMMYFUNCTION("IMPORTRANGE(""https://docs.google.com/spreadsheets/d/11923uPwbBZFjjGgGUA6NLw09EwE0CqkOc4q9oUmW1yo/edit?usp=sharing"",""อุตรดิตถ์!J512"")"),0)</f>
        <v>0</v>
      </c>
      <c r="Y31" s="55">
        <f t="shared" ca="1" si="33"/>
        <v>0</v>
      </c>
      <c r="Z31" s="99">
        <f t="shared" ca="1" si="11"/>
        <v>0</v>
      </c>
      <c r="AA31" s="55">
        <f ca="1">IFERROR(__xludf.DUMMYFUNCTION("IMPORTRANGE(""https://docs.google.com/spreadsheets/d/11923uPwbBZFjjGgGUA6NLw09EwE0CqkOc4q9oUmW1yo/edit?usp=sharing"",""อุตรดิตถ์!J515"")"),0)</f>
        <v>0</v>
      </c>
      <c r="AB31" s="55">
        <f ca="1">IFERROR(__xludf.DUMMYFUNCTION("IMPORTRANGE(""https://docs.google.com/spreadsheets/d/11923uPwbBZFjjGgGUA6NLw09EwE0CqkOc4q9oUmW1yo/edit?usp=sharing"",""อุตรดิตถ์!J516"")"),0)</f>
        <v>0</v>
      </c>
      <c r="AC31" s="55">
        <f ca="1">IFERROR(__xludf.DUMMYFUNCTION("IMPORTRANGE(""https://docs.google.com/spreadsheets/d/11923uPwbBZFjjGgGUA6NLw09EwE0CqkOc4q9oUmW1yo/edit?usp=sharing"",""อุตรดิตถ์!J518"")"),0)</f>
        <v>0</v>
      </c>
      <c r="AD31" s="422">
        <f ca="1">IFERROR(__xludf.DUMMYFUNCTION("IMPORTRANGE(""https://docs.google.com/spreadsheets/d/11923uPwbBZFjjGgGUA6NLw09EwE0CqkOc4q9oUmW1yo/edit?usp=sharing"",""อุตรดิตถ์!J519"")"),0)</f>
        <v>0</v>
      </c>
    </row>
    <row r="32" spans="1:30" ht="24" customHeight="1" x14ac:dyDescent="0.5">
      <c r="A32" s="278">
        <v>17</v>
      </c>
      <c r="B32" s="279" t="s">
        <v>47</v>
      </c>
      <c r="C32" s="280">
        <f t="shared" si="30"/>
        <v>8550</v>
      </c>
      <c r="D32" s="62">
        <v>0</v>
      </c>
      <c r="E32" s="62">
        <v>8550</v>
      </c>
      <c r="F32" s="100">
        <f ca="1">IFERROR(__xludf.DUMMYFUNCTION("IMPORTRANGE(""https://docs.google.com/spreadsheets/d/11923uPwbBZFjjGgGUA6NLw09EwE0CqkOc4q9oUmW1yo/edit?usp=sharing"",""อุทัยธานี!M492"")"),0)</f>
        <v>0</v>
      </c>
      <c r="G32" s="100">
        <f t="shared" ca="1" si="1"/>
        <v>0</v>
      </c>
      <c r="H32" s="406">
        <f t="shared" si="31"/>
        <v>50</v>
      </c>
      <c r="I32" s="406">
        <v>50</v>
      </c>
      <c r="J32" s="406">
        <v>0</v>
      </c>
      <c r="K32" s="62">
        <f ca="1">IFERROR(__xludf.DUMMYFUNCTION("IMPORTRANGE(""https://docs.google.com/spreadsheets/d/11923uPwbBZFjjGgGUA6NLw09EwE0CqkOc4q9oUmW1yo/edit?usp=sharing"",""อุทัยธานี!J505"")"),0)</f>
        <v>0</v>
      </c>
      <c r="L32" s="100">
        <f t="shared" ca="1" si="4"/>
        <v>0</v>
      </c>
      <c r="M32" s="62">
        <f ca="1">IFERROR(__xludf.DUMMYFUNCTION("IMPORTRANGE(""https://docs.google.com/spreadsheets/d/11923uPwbBZFjjGgGUA6NLw09EwE0CqkOc4q9oUmW1yo/edit?usp=sharing"",""อุทัยธานี!J506"")"),0)</f>
        <v>0</v>
      </c>
      <c r="N32" s="100">
        <f t="shared" ca="1" si="5"/>
        <v>0</v>
      </c>
      <c r="O32" s="62">
        <f ca="1">IFERROR(__xludf.DUMMYFUNCTION("IMPORTRANGE(""https://docs.google.com/spreadsheets/d/11923uPwbBZFjjGgGUA6NLw09EwE0CqkOc4q9oUmW1yo/edit?usp=sharing"",""อุทัยธานี!J507"")"),0)</f>
        <v>0</v>
      </c>
      <c r="P32" s="100">
        <f t="shared" ca="1" si="6"/>
        <v>0</v>
      </c>
      <c r="Q32" s="62">
        <f ca="1">IFERROR(__xludf.DUMMYFUNCTION("IMPORTRANGE(""https://docs.google.com/spreadsheets/d/11923uPwbBZFjjGgGUA6NLw09EwE0CqkOc4q9oUmW1yo/edit?usp=sharing"",""อุทัยธานี!J508"")"),0)</f>
        <v>0</v>
      </c>
      <c r="R32" s="100">
        <f t="shared" ca="1" si="7"/>
        <v>0</v>
      </c>
      <c r="S32" s="62">
        <f ca="1">IFERROR(__xludf.DUMMYFUNCTION("IMPORTRANGE(""https://docs.google.com/spreadsheets/d/11923uPwbBZFjjGgGUA6NLw09EwE0CqkOc4q9oUmW1yo/edit?usp=sharing"",""อุทัยธานี!J509"")"),0)</f>
        <v>0</v>
      </c>
      <c r="T32" s="100">
        <f t="shared" ca="1" si="8"/>
        <v>0</v>
      </c>
      <c r="U32" s="452">
        <f t="shared" ca="1" si="32"/>
        <v>0</v>
      </c>
      <c r="V32" s="100">
        <f t="shared" ca="1" si="9"/>
        <v>0</v>
      </c>
      <c r="W32" s="452">
        <f ca="1">IFERROR(__xludf.DUMMYFUNCTION("IMPORTRANGE(""https://docs.google.com/spreadsheets/d/11923uPwbBZFjjGgGUA6NLw09EwE0CqkOc4q9oUmW1yo/edit?usp=sharing"",""อุทัยธานี!J511"")"),0)</f>
        <v>0</v>
      </c>
      <c r="X32" s="452">
        <f ca="1">IFERROR(__xludf.DUMMYFUNCTION("IMPORTRANGE(""https://docs.google.com/spreadsheets/d/11923uPwbBZFjjGgGUA6NLw09EwE0CqkOc4q9oUmW1yo/edit?usp=sharing"",""อุทัยธานี!J512"")"),0)</f>
        <v>0</v>
      </c>
      <c r="Y32" s="62">
        <f t="shared" ca="1" si="33"/>
        <v>0</v>
      </c>
      <c r="Z32" s="100">
        <f t="shared" ca="1" si="11"/>
        <v>0</v>
      </c>
      <c r="AA32" s="62">
        <f ca="1">IFERROR(__xludf.DUMMYFUNCTION("IMPORTRANGE(""https://docs.google.com/spreadsheets/d/11923uPwbBZFjjGgGUA6NLw09EwE0CqkOc4q9oUmW1yo/edit?usp=sharing"",""อุทัยธานี!J515"")"),0)</f>
        <v>0</v>
      </c>
      <c r="AB32" s="62">
        <f ca="1">IFERROR(__xludf.DUMMYFUNCTION("IMPORTRANGE(""https://docs.google.com/spreadsheets/d/11923uPwbBZFjjGgGUA6NLw09EwE0CqkOc4q9oUmW1yo/edit?usp=sharing"",""อุทัยธานี!J516"")"),0)</f>
        <v>0</v>
      </c>
      <c r="AC32" s="62">
        <f ca="1">IFERROR(__xludf.DUMMYFUNCTION("IMPORTRANGE(""https://docs.google.com/spreadsheets/d/11923uPwbBZFjjGgGUA6NLw09EwE0CqkOc4q9oUmW1yo/edit?usp=sharing"",""อุทัยธานี!J518"")"),0)</f>
        <v>0</v>
      </c>
      <c r="AD32" s="424">
        <f ca="1">IFERROR(__xludf.DUMMYFUNCTION("IMPORTRANGE(""https://docs.google.com/spreadsheets/d/11923uPwbBZFjjGgGUA6NLw09EwE0CqkOc4q9oUmW1yo/edit?usp=sharing"",""อุทัยธานี!J519"")"),0)</f>
        <v>0</v>
      </c>
    </row>
    <row r="33" spans="1:30" ht="24" customHeight="1" x14ac:dyDescent="0.5">
      <c r="A33" s="778" t="s">
        <v>48</v>
      </c>
      <c r="B33" s="569"/>
      <c r="C33" s="255">
        <f t="shared" ref="C33:F33" si="34">SUM(C34:C53)</f>
        <v>223250</v>
      </c>
      <c r="D33" s="66">
        <f t="shared" si="34"/>
        <v>0</v>
      </c>
      <c r="E33" s="66">
        <f t="shared" si="34"/>
        <v>223250</v>
      </c>
      <c r="F33" s="101">
        <f t="shared" ca="1" si="34"/>
        <v>10564</v>
      </c>
      <c r="G33" s="101">
        <f t="shared" ca="1" si="1"/>
        <v>4.731914893617021</v>
      </c>
      <c r="H33" s="66">
        <f>SUM(H34:H53)</f>
        <v>2556</v>
      </c>
      <c r="I33" s="66">
        <v>2270</v>
      </c>
      <c r="J33" s="66">
        <f t="shared" ref="J33:K33" si="35">SUM(J34:J53)</f>
        <v>286</v>
      </c>
      <c r="K33" s="66">
        <f t="shared" ca="1" si="35"/>
        <v>0</v>
      </c>
      <c r="L33" s="101">
        <f t="shared" ca="1" si="4"/>
        <v>0</v>
      </c>
      <c r="M33" s="66">
        <f ca="1">SUM(M34:M53)</f>
        <v>0</v>
      </c>
      <c r="N33" s="101">
        <f t="shared" ca="1" si="5"/>
        <v>0</v>
      </c>
      <c r="O33" s="66">
        <f ca="1">SUM(O34:O53)</f>
        <v>0</v>
      </c>
      <c r="P33" s="101">
        <f t="shared" ca="1" si="6"/>
        <v>0</v>
      </c>
      <c r="Q33" s="66">
        <f ca="1">SUM(Q34:Q53)</f>
        <v>0</v>
      </c>
      <c r="R33" s="101">
        <f t="shared" ca="1" si="7"/>
        <v>0</v>
      </c>
      <c r="S33" s="66">
        <f ca="1">SUM(S34:S53)</f>
        <v>0</v>
      </c>
      <c r="T33" s="101">
        <f t="shared" ca="1" si="8"/>
        <v>0</v>
      </c>
      <c r="U33" s="66">
        <f ca="1">SUM(U34:U53)</f>
        <v>0</v>
      </c>
      <c r="V33" s="101">
        <f t="shared" ca="1" si="9"/>
        <v>0</v>
      </c>
      <c r="W33" s="66">
        <f t="shared" ref="W33:Y33" ca="1" si="36">SUM(W34:W53)</f>
        <v>0</v>
      </c>
      <c r="X33" s="66">
        <f t="shared" ca="1" si="36"/>
        <v>0</v>
      </c>
      <c r="Y33" s="66">
        <f t="shared" ca="1" si="36"/>
        <v>0</v>
      </c>
      <c r="Z33" s="101">
        <f t="shared" ca="1" si="11"/>
        <v>0</v>
      </c>
      <c r="AA33" s="66">
        <f t="shared" ref="AA33:AD33" ca="1" si="37">SUM(AA34:AA53)</f>
        <v>0</v>
      </c>
      <c r="AB33" s="66">
        <f t="shared" ca="1" si="37"/>
        <v>0</v>
      </c>
      <c r="AC33" s="66">
        <f t="shared" ca="1" si="37"/>
        <v>0</v>
      </c>
      <c r="AD33" s="414">
        <f t="shared" ca="1" si="37"/>
        <v>0</v>
      </c>
    </row>
    <row r="34" spans="1:30" ht="24" customHeight="1" x14ac:dyDescent="0.5">
      <c r="A34" s="268">
        <v>1</v>
      </c>
      <c r="B34" s="269" t="s">
        <v>49</v>
      </c>
      <c r="C34" s="270">
        <f t="shared" ref="C34:C53" si="38">+D34+E34</f>
        <v>4550</v>
      </c>
      <c r="D34" s="48">
        <v>0</v>
      </c>
      <c r="E34" s="48">
        <v>4550</v>
      </c>
      <c r="F34" s="98">
        <f ca="1">IFERROR(__xludf.DUMMYFUNCTION("IMPORTRANGE(""https://docs.google.com/spreadsheets/d/1XL5vhW3sbDhbH9Cz0tuDiY8C3ctxq1tqvaCgkFb8cCA/edit?usp=sharing"",""กาฬสินธุ์!M492"")"),0)</f>
        <v>0</v>
      </c>
      <c r="G34" s="98">
        <f t="shared" ca="1" si="1"/>
        <v>0</v>
      </c>
      <c r="H34" s="398">
        <f t="shared" ref="H34:H53" si="39">+I34+J34</f>
        <v>50</v>
      </c>
      <c r="I34" s="398">
        <v>50</v>
      </c>
      <c r="J34" s="398">
        <v>0</v>
      </c>
      <c r="K34" s="48">
        <f ca="1">IFERROR(__xludf.DUMMYFUNCTION("IMPORTRANGE(""https://docs.google.com/spreadsheets/d/1XL5vhW3sbDhbH9Cz0tuDiY8C3ctxq1tqvaCgkFb8cCA/edit?usp=sharing"",""กาฬสินธุ์!J505"")"),0)</f>
        <v>0</v>
      </c>
      <c r="L34" s="98">
        <f t="shared" ca="1" si="4"/>
        <v>0</v>
      </c>
      <c r="M34" s="48">
        <f ca="1">IFERROR(__xludf.DUMMYFUNCTION("IMPORTRANGE(""https://docs.google.com/spreadsheets/d/1XL5vhW3sbDhbH9Cz0tuDiY8C3ctxq1tqvaCgkFb8cCA/edit?usp=sharing"",""กาฬสินธุ์!J506"")"),0)</f>
        <v>0</v>
      </c>
      <c r="N34" s="98">
        <f t="shared" ca="1" si="5"/>
        <v>0</v>
      </c>
      <c r="O34" s="48">
        <f ca="1">IFERROR(__xludf.DUMMYFUNCTION("IMPORTRANGE(""https://docs.google.com/spreadsheets/d/1XL5vhW3sbDhbH9Cz0tuDiY8C3ctxq1tqvaCgkFb8cCA/edit?usp=sharing"",""กาฬสินธุ์!J507"")"),0)</f>
        <v>0</v>
      </c>
      <c r="P34" s="98">
        <f t="shared" ca="1" si="6"/>
        <v>0</v>
      </c>
      <c r="Q34" s="48">
        <f ca="1">IFERROR(__xludf.DUMMYFUNCTION("IMPORTRANGE(""https://docs.google.com/spreadsheets/d/1XL5vhW3sbDhbH9Cz0tuDiY8C3ctxq1tqvaCgkFb8cCA/edit?usp=sharing"",""กาฬสินธุ์!J508"")"),0)</f>
        <v>0</v>
      </c>
      <c r="R34" s="98">
        <f t="shared" ca="1" si="7"/>
        <v>0</v>
      </c>
      <c r="S34" s="48">
        <f ca="1">IFERROR(__xludf.DUMMYFUNCTION("IMPORTRANGE(""https://docs.google.com/spreadsheets/d/1XL5vhW3sbDhbH9Cz0tuDiY8C3ctxq1tqvaCgkFb8cCA/edit?usp=sharing"",""กาฬสินธุ์!J509"")"),0)</f>
        <v>0</v>
      </c>
      <c r="T34" s="98">
        <f t="shared" ca="1" si="8"/>
        <v>0</v>
      </c>
      <c r="U34" s="450">
        <f t="shared" ref="U34:U53" ca="1" si="40">SUM(W34,X34)</f>
        <v>0</v>
      </c>
      <c r="V34" s="98">
        <f t="shared" ca="1" si="9"/>
        <v>0</v>
      </c>
      <c r="W34" s="450">
        <f ca="1">IFERROR(__xludf.DUMMYFUNCTION("IMPORTRANGE(""https://docs.google.com/spreadsheets/d/1XL5vhW3sbDhbH9Cz0tuDiY8C3ctxq1tqvaCgkFb8cCA/edit?usp=sharing"",""กาฬสินธุ์!J511"")"),0)</f>
        <v>0</v>
      </c>
      <c r="X34" s="450">
        <f ca="1">IFERROR(__xludf.DUMMYFUNCTION("IMPORTRANGE(""https://docs.google.com/spreadsheets/d/1XL5vhW3sbDhbH9Cz0tuDiY8C3ctxq1tqvaCgkFb8cCA/edit?usp=sharing"",""กาฬสินธุ์!J512"")"),0)</f>
        <v>0</v>
      </c>
      <c r="Y34" s="48">
        <f t="shared" ref="Y34:Y53" ca="1" si="41">SUM(AA34,AB34)</f>
        <v>0</v>
      </c>
      <c r="Z34" s="98">
        <f t="shared" ca="1" si="11"/>
        <v>0</v>
      </c>
      <c r="AA34" s="48">
        <f ca="1">IFERROR(__xludf.DUMMYFUNCTION("IMPORTRANGE(""https://docs.google.com/spreadsheets/d/1XL5vhW3sbDhbH9Cz0tuDiY8C3ctxq1tqvaCgkFb8cCA/edit?usp=sharing"",""กาฬสินธุ์!J515"")"),0)</f>
        <v>0</v>
      </c>
      <c r="AB34" s="48">
        <f ca="1">IFERROR(__xludf.DUMMYFUNCTION("IMPORTRANGE(""https://docs.google.com/spreadsheets/d/1XL5vhW3sbDhbH9Cz0tuDiY8C3ctxq1tqvaCgkFb8cCA/edit?usp=sharing"",""กาฬสินธุ์!J516"")"),0)</f>
        <v>0</v>
      </c>
      <c r="AC34" s="48">
        <f ca="1">IFERROR(__xludf.DUMMYFUNCTION("IMPORTRANGE(""https://docs.google.com/spreadsheets/d/1XL5vhW3sbDhbH9Cz0tuDiY8C3ctxq1tqvaCgkFb8cCA/edit?usp=sharing"",""กาฬสินธุ์!J518"")"),0)</f>
        <v>0</v>
      </c>
      <c r="AD34" s="420">
        <f ca="1">IFERROR(__xludf.DUMMYFUNCTION("IMPORTRANGE(""https://docs.google.com/spreadsheets/d/1XL5vhW3sbDhbH9Cz0tuDiY8C3ctxq1tqvaCgkFb8cCA/edit?usp=sharing"",""กาฬสินธุ์!J519"")"),0)</f>
        <v>0</v>
      </c>
    </row>
    <row r="35" spans="1:30" ht="24" customHeight="1" x14ac:dyDescent="0.5">
      <c r="A35" s="273">
        <v>2</v>
      </c>
      <c r="B35" s="274" t="s">
        <v>50</v>
      </c>
      <c r="C35" s="275">
        <f t="shared" si="38"/>
        <v>10500</v>
      </c>
      <c r="D35" s="55">
        <v>0</v>
      </c>
      <c r="E35" s="55">
        <v>10500</v>
      </c>
      <c r="F35" s="99">
        <f ca="1">IFERROR(__xludf.DUMMYFUNCTION("IMPORTRANGE(""https://docs.google.com/spreadsheets/d/1XL5vhW3sbDhbH9Cz0tuDiY8C3ctxq1tqvaCgkFb8cCA/edit?usp=sharing"",""ขอนแก่น!M492"")"),0)</f>
        <v>0</v>
      </c>
      <c r="G35" s="99">
        <f t="shared" ca="1" si="1"/>
        <v>0</v>
      </c>
      <c r="H35" s="402">
        <f t="shared" si="39"/>
        <v>100</v>
      </c>
      <c r="I35" s="402">
        <v>100</v>
      </c>
      <c r="J35" s="402">
        <v>0</v>
      </c>
      <c r="K35" s="55">
        <f ca="1">IFERROR(__xludf.DUMMYFUNCTION("IMPORTRANGE(""https://docs.google.com/spreadsheets/d/1XL5vhW3sbDhbH9Cz0tuDiY8C3ctxq1tqvaCgkFb8cCA/edit?usp=sharing"",""ขอนแก่น!J505"")"),0)</f>
        <v>0</v>
      </c>
      <c r="L35" s="99">
        <f t="shared" ca="1" si="4"/>
        <v>0</v>
      </c>
      <c r="M35" s="55">
        <f ca="1">IFERROR(__xludf.DUMMYFUNCTION("IMPORTRANGE(""https://docs.google.com/spreadsheets/d/1XL5vhW3sbDhbH9Cz0tuDiY8C3ctxq1tqvaCgkFb8cCA/edit?usp=sharing"",""ขอนแก่น!J506"")"),0)</f>
        <v>0</v>
      </c>
      <c r="N35" s="99">
        <f t="shared" ca="1" si="5"/>
        <v>0</v>
      </c>
      <c r="O35" s="55">
        <f ca="1">IFERROR(__xludf.DUMMYFUNCTION("IMPORTRANGE(""https://docs.google.com/spreadsheets/d/1XL5vhW3sbDhbH9Cz0tuDiY8C3ctxq1tqvaCgkFb8cCA/edit?usp=sharing"",""ขอนแก่น!J507"")"),0)</f>
        <v>0</v>
      </c>
      <c r="P35" s="99">
        <f t="shared" ca="1" si="6"/>
        <v>0</v>
      </c>
      <c r="Q35" s="55">
        <f ca="1">IFERROR(__xludf.DUMMYFUNCTION("IMPORTRANGE(""https://docs.google.com/spreadsheets/d/1XL5vhW3sbDhbH9Cz0tuDiY8C3ctxq1tqvaCgkFb8cCA/edit?usp=sharing"",""ขอนแก่น!J508"")"),0)</f>
        <v>0</v>
      </c>
      <c r="R35" s="99">
        <f t="shared" ca="1" si="7"/>
        <v>0</v>
      </c>
      <c r="S35" s="55">
        <f ca="1">IFERROR(__xludf.DUMMYFUNCTION("IMPORTRANGE(""https://docs.google.com/spreadsheets/d/1XL5vhW3sbDhbH9Cz0tuDiY8C3ctxq1tqvaCgkFb8cCA/edit?usp=sharing"",""ขอนแก่น!J509"")"),0)</f>
        <v>0</v>
      </c>
      <c r="T35" s="99">
        <f t="shared" ca="1" si="8"/>
        <v>0</v>
      </c>
      <c r="U35" s="451">
        <f t="shared" ca="1" si="40"/>
        <v>0</v>
      </c>
      <c r="V35" s="99">
        <f t="shared" ca="1" si="9"/>
        <v>0</v>
      </c>
      <c r="W35" s="451">
        <f ca="1">IFERROR(__xludf.DUMMYFUNCTION("IMPORTRANGE(""https://docs.google.com/spreadsheets/d/1XL5vhW3sbDhbH9Cz0tuDiY8C3ctxq1tqvaCgkFb8cCA/edit?usp=sharing"",""ขอนแก่น!J511"")"),0)</f>
        <v>0</v>
      </c>
      <c r="X35" s="451">
        <f ca="1">IFERROR(__xludf.DUMMYFUNCTION("IMPORTRANGE(""https://docs.google.com/spreadsheets/d/1XL5vhW3sbDhbH9Cz0tuDiY8C3ctxq1tqvaCgkFb8cCA/edit?usp=sharing"",""ขอนแก่น!J512"")"),0)</f>
        <v>0</v>
      </c>
      <c r="Y35" s="55">
        <f t="shared" ca="1" si="41"/>
        <v>0</v>
      </c>
      <c r="Z35" s="99">
        <f t="shared" ca="1" si="11"/>
        <v>0</v>
      </c>
      <c r="AA35" s="55">
        <f ca="1">IFERROR(__xludf.DUMMYFUNCTION("IMPORTRANGE(""https://docs.google.com/spreadsheets/d/1XL5vhW3sbDhbH9Cz0tuDiY8C3ctxq1tqvaCgkFb8cCA/edit?usp=sharing"",""ขอนแก่น!J515"")"),0)</f>
        <v>0</v>
      </c>
      <c r="AB35" s="55">
        <f ca="1">IFERROR(__xludf.DUMMYFUNCTION("IMPORTRANGE(""https://docs.google.com/spreadsheets/d/1XL5vhW3sbDhbH9Cz0tuDiY8C3ctxq1tqvaCgkFb8cCA/edit?usp=sharing"",""ขอนแก่น!J516"")"),0)</f>
        <v>0</v>
      </c>
      <c r="AC35" s="55">
        <f ca="1">IFERROR(__xludf.DUMMYFUNCTION("IMPORTRANGE(""https://docs.google.com/spreadsheets/d/1XL5vhW3sbDhbH9Cz0tuDiY8C3ctxq1tqvaCgkFb8cCA/edit?usp=sharing"",""ขอนแก่น!J518"")"),0)</f>
        <v>0</v>
      </c>
      <c r="AD35" s="422">
        <f ca="1">IFERROR(__xludf.DUMMYFUNCTION("IMPORTRANGE(""https://docs.google.com/spreadsheets/d/1XL5vhW3sbDhbH9Cz0tuDiY8C3ctxq1tqvaCgkFb8cCA/edit?usp=sharing"",""ขอนแก่น!J519"")"),0)</f>
        <v>0</v>
      </c>
    </row>
    <row r="36" spans="1:30" ht="24" customHeight="1" x14ac:dyDescent="0.5">
      <c r="A36" s="273">
        <v>3</v>
      </c>
      <c r="B36" s="274" t="s">
        <v>51</v>
      </c>
      <c r="C36" s="275">
        <f t="shared" si="38"/>
        <v>7300</v>
      </c>
      <c r="D36" s="55">
        <v>0</v>
      </c>
      <c r="E36" s="55">
        <v>7300</v>
      </c>
      <c r="F36" s="99">
        <f ca="1">IFERROR(__xludf.DUMMYFUNCTION("IMPORTRANGE(""https://docs.google.com/spreadsheets/d/1XL5vhW3sbDhbH9Cz0tuDiY8C3ctxq1tqvaCgkFb8cCA/edit?usp=sharing"",""ชัยภูมิ!M492"")"),0)</f>
        <v>0</v>
      </c>
      <c r="G36" s="99">
        <f t="shared" ca="1" si="1"/>
        <v>0</v>
      </c>
      <c r="H36" s="402">
        <f t="shared" si="39"/>
        <v>100</v>
      </c>
      <c r="I36" s="402">
        <v>100</v>
      </c>
      <c r="J36" s="402">
        <v>0</v>
      </c>
      <c r="K36" s="55">
        <f ca="1">IFERROR(__xludf.DUMMYFUNCTION("IMPORTRANGE(""https://docs.google.com/spreadsheets/d/1XL5vhW3sbDhbH9Cz0tuDiY8C3ctxq1tqvaCgkFb8cCA/edit?usp=sharing"",""ชัยภูมิ!J505"")"),0)</f>
        <v>0</v>
      </c>
      <c r="L36" s="99">
        <f t="shared" ca="1" si="4"/>
        <v>0</v>
      </c>
      <c r="M36" s="55">
        <f ca="1">IFERROR(__xludf.DUMMYFUNCTION("IMPORTRANGE(""https://docs.google.com/spreadsheets/d/1XL5vhW3sbDhbH9Cz0tuDiY8C3ctxq1tqvaCgkFb8cCA/edit?usp=sharing"",""ชัยภูมิ!J506"")"),0)</f>
        <v>0</v>
      </c>
      <c r="N36" s="99">
        <f t="shared" ca="1" si="5"/>
        <v>0</v>
      </c>
      <c r="O36" s="55">
        <f ca="1">IFERROR(__xludf.DUMMYFUNCTION("IMPORTRANGE(""https://docs.google.com/spreadsheets/d/1XL5vhW3sbDhbH9Cz0tuDiY8C3ctxq1tqvaCgkFb8cCA/edit?usp=sharing"",""ชัยภูมิ!J507"")"),0)</f>
        <v>0</v>
      </c>
      <c r="P36" s="99">
        <f t="shared" ca="1" si="6"/>
        <v>0</v>
      </c>
      <c r="Q36" s="55">
        <f ca="1">IFERROR(__xludf.DUMMYFUNCTION("IMPORTRANGE(""https://docs.google.com/spreadsheets/d/1XL5vhW3sbDhbH9Cz0tuDiY8C3ctxq1tqvaCgkFb8cCA/edit?usp=sharing"",""ชัยภูมิ!J508"")"),0)</f>
        <v>0</v>
      </c>
      <c r="R36" s="99">
        <f t="shared" ca="1" si="7"/>
        <v>0</v>
      </c>
      <c r="S36" s="55">
        <f ca="1">IFERROR(__xludf.DUMMYFUNCTION("IMPORTRANGE(""https://docs.google.com/spreadsheets/d/1XL5vhW3sbDhbH9Cz0tuDiY8C3ctxq1tqvaCgkFb8cCA/edit?usp=sharing"",""ชัยภูมิ!J509"")"),0)</f>
        <v>0</v>
      </c>
      <c r="T36" s="99">
        <f t="shared" ca="1" si="8"/>
        <v>0</v>
      </c>
      <c r="U36" s="451">
        <f t="shared" ca="1" si="40"/>
        <v>0</v>
      </c>
      <c r="V36" s="99">
        <f t="shared" ca="1" si="9"/>
        <v>0</v>
      </c>
      <c r="W36" s="451">
        <f ca="1">IFERROR(__xludf.DUMMYFUNCTION("IMPORTRANGE(""https://docs.google.com/spreadsheets/d/1XL5vhW3sbDhbH9Cz0tuDiY8C3ctxq1tqvaCgkFb8cCA/edit?usp=sharing"",""ชัยภูมิ!J511"")"),0)</f>
        <v>0</v>
      </c>
      <c r="X36" s="451">
        <f ca="1">IFERROR(__xludf.DUMMYFUNCTION("IMPORTRANGE(""https://docs.google.com/spreadsheets/d/1XL5vhW3sbDhbH9Cz0tuDiY8C3ctxq1tqvaCgkFb8cCA/edit?usp=sharing"",""ชัยภูมิ!J512"")"),0)</f>
        <v>0</v>
      </c>
      <c r="Y36" s="55">
        <f t="shared" ca="1" si="41"/>
        <v>0</v>
      </c>
      <c r="Z36" s="99">
        <f t="shared" ca="1" si="11"/>
        <v>0</v>
      </c>
      <c r="AA36" s="55">
        <f ca="1">IFERROR(__xludf.DUMMYFUNCTION("IMPORTRANGE(""https://docs.google.com/spreadsheets/d/1XL5vhW3sbDhbH9Cz0tuDiY8C3ctxq1tqvaCgkFb8cCA/edit?usp=sharing"",""ชัยภูมิ!J515"")"),0)</f>
        <v>0</v>
      </c>
      <c r="AB36" s="55">
        <f ca="1">IFERROR(__xludf.DUMMYFUNCTION("IMPORTRANGE(""https://docs.google.com/spreadsheets/d/1XL5vhW3sbDhbH9Cz0tuDiY8C3ctxq1tqvaCgkFb8cCA/edit?usp=sharing"",""ชัยภูมิ!J516"")"),0)</f>
        <v>0</v>
      </c>
      <c r="AC36" s="55">
        <f ca="1">IFERROR(__xludf.DUMMYFUNCTION("IMPORTRANGE(""https://docs.google.com/spreadsheets/d/1XL5vhW3sbDhbH9Cz0tuDiY8C3ctxq1tqvaCgkFb8cCA/edit?usp=sharing"",""ชัยภูมิ!J518"")"),0)</f>
        <v>0</v>
      </c>
      <c r="AD36" s="422">
        <f ca="1">IFERROR(__xludf.DUMMYFUNCTION("IMPORTRANGE(""https://docs.google.com/spreadsheets/d/1XL5vhW3sbDhbH9Cz0tuDiY8C3ctxq1tqvaCgkFb8cCA/edit?usp=sharing"",""ชัยภูมิ!J519"")"),0)</f>
        <v>0</v>
      </c>
    </row>
    <row r="37" spans="1:30" ht="24" customHeight="1" x14ac:dyDescent="0.5">
      <c r="A37" s="273">
        <v>4</v>
      </c>
      <c r="B37" s="274" t="s">
        <v>52</v>
      </c>
      <c r="C37" s="275">
        <f t="shared" si="38"/>
        <v>16100</v>
      </c>
      <c r="D37" s="55">
        <v>0</v>
      </c>
      <c r="E37" s="55">
        <v>16100</v>
      </c>
      <c r="F37" s="99">
        <f ca="1">IFERROR(__xludf.DUMMYFUNCTION("IMPORTRANGE(""https://docs.google.com/spreadsheets/d/1XL5vhW3sbDhbH9Cz0tuDiY8C3ctxq1tqvaCgkFb8cCA/edit?usp=sharing"",""นครพนม!M492"")"),0)</f>
        <v>0</v>
      </c>
      <c r="G37" s="99">
        <f t="shared" ca="1" si="1"/>
        <v>0</v>
      </c>
      <c r="H37" s="402">
        <f t="shared" si="39"/>
        <v>288</v>
      </c>
      <c r="I37" s="402">
        <v>100</v>
      </c>
      <c r="J37" s="402">
        <v>188</v>
      </c>
      <c r="K37" s="55">
        <f ca="1">IFERROR(__xludf.DUMMYFUNCTION("IMPORTRANGE(""https://docs.google.com/spreadsheets/d/1XL5vhW3sbDhbH9Cz0tuDiY8C3ctxq1tqvaCgkFb8cCA/edit?usp=sharing"",""นครพนม!J505"")"),0)</f>
        <v>0</v>
      </c>
      <c r="L37" s="99">
        <f t="shared" ca="1" si="4"/>
        <v>0</v>
      </c>
      <c r="M37" s="55">
        <f ca="1">IFERROR(__xludf.DUMMYFUNCTION("IMPORTRANGE(""https://docs.google.com/spreadsheets/d/1XL5vhW3sbDhbH9Cz0tuDiY8C3ctxq1tqvaCgkFb8cCA/edit?usp=sharing"",""นครพนม!J506"")"),0)</f>
        <v>0</v>
      </c>
      <c r="N37" s="99">
        <f t="shared" ca="1" si="5"/>
        <v>0</v>
      </c>
      <c r="O37" s="55">
        <f ca="1">IFERROR(__xludf.DUMMYFUNCTION("IMPORTRANGE(""https://docs.google.com/spreadsheets/d/1XL5vhW3sbDhbH9Cz0tuDiY8C3ctxq1tqvaCgkFb8cCA/edit?usp=sharing"",""นครพนม!J507"")"),0)</f>
        <v>0</v>
      </c>
      <c r="P37" s="99">
        <f t="shared" ca="1" si="6"/>
        <v>0</v>
      </c>
      <c r="Q37" s="55">
        <f ca="1">IFERROR(__xludf.DUMMYFUNCTION("IMPORTRANGE(""https://docs.google.com/spreadsheets/d/1XL5vhW3sbDhbH9Cz0tuDiY8C3ctxq1tqvaCgkFb8cCA/edit?usp=sharing"",""นครพนม!J508"")"),0)</f>
        <v>0</v>
      </c>
      <c r="R37" s="99">
        <f t="shared" ca="1" si="7"/>
        <v>0</v>
      </c>
      <c r="S37" s="55">
        <f ca="1">IFERROR(__xludf.DUMMYFUNCTION("IMPORTRANGE(""https://docs.google.com/spreadsheets/d/1XL5vhW3sbDhbH9Cz0tuDiY8C3ctxq1tqvaCgkFb8cCA/edit?usp=sharing"",""นครพนม!J509"")"),0)</f>
        <v>0</v>
      </c>
      <c r="T37" s="99">
        <f t="shared" ca="1" si="8"/>
        <v>0</v>
      </c>
      <c r="U37" s="451">
        <f t="shared" ca="1" si="40"/>
        <v>0</v>
      </c>
      <c r="V37" s="99">
        <f t="shared" ca="1" si="9"/>
        <v>0</v>
      </c>
      <c r="W37" s="451">
        <f ca="1">IFERROR(__xludf.DUMMYFUNCTION("IMPORTRANGE(""https://docs.google.com/spreadsheets/d/1XL5vhW3sbDhbH9Cz0tuDiY8C3ctxq1tqvaCgkFb8cCA/edit?usp=sharing"",""นครพนม!J511"")"),0)</f>
        <v>0</v>
      </c>
      <c r="X37" s="451">
        <f ca="1">IFERROR(__xludf.DUMMYFUNCTION("IMPORTRANGE(""https://docs.google.com/spreadsheets/d/1XL5vhW3sbDhbH9Cz0tuDiY8C3ctxq1tqvaCgkFb8cCA/edit?usp=sharing"",""นครพนม!J512"")"),0)</f>
        <v>0</v>
      </c>
      <c r="Y37" s="55">
        <f t="shared" ca="1" si="41"/>
        <v>0</v>
      </c>
      <c r="Z37" s="99">
        <f t="shared" ca="1" si="11"/>
        <v>0</v>
      </c>
      <c r="AA37" s="55">
        <f ca="1">IFERROR(__xludf.DUMMYFUNCTION("IMPORTRANGE(""https://docs.google.com/spreadsheets/d/1XL5vhW3sbDhbH9Cz0tuDiY8C3ctxq1tqvaCgkFb8cCA/edit?usp=sharing"",""นครพนม!J515"")"),0)</f>
        <v>0</v>
      </c>
      <c r="AB37" s="55">
        <f ca="1">IFERROR(__xludf.DUMMYFUNCTION("IMPORTRANGE(""https://docs.google.com/spreadsheets/d/1XL5vhW3sbDhbH9Cz0tuDiY8C3ctxq1tqvaCgkFb8cCA/edit?usp=sharing"",""นครพนม!J516"")"),0)</f>
        <v>0</v>
      </c>
      <c r="AC37" s="55">
        <f ca="1">IFERROR(__xludf.DUMMYFUNCTION("IMPORTRANGE(""https://docs.google.com/spreadsheets/d/1XL5vhW3sbDhbH9Cz0tuDiY8C3ctxq1tqvaCgkFb8cCA/edit?usp=sharing"",""นครพนม!J518"")"),0)</f>
        <v>0</v>
      </c>
      <c r="AD37" s="422">
        <f ca="1">IFERROR(__xludf.DUMMYFUNCTION("IMPORTRANGE(""https://docs.google.com/spreadsheets/d/1XL5vhW3sbDhbH9Cz0tuDiY8C3ctxq1tqvaCgkFb8cCA/edit?usp=sharing"",""นครพนม!J519"")"),0)</f>
        <v>0</v>
      </c>
    </row>
    <row r="38" spans="1:30" ht="24" customHeight="1" x14ac:dyDescent="0.5">
      <c r="A38" s="273">
        <v>5</v>
      </c>
      <c r="B38" s="274" t="s">
        <v>53</v>
      </c>
      <c r="C38" s="275">
        <f t="shared" si="38"/>
        <v>30900</v>
      </c>
      <c r="D38" s="55">
        <v>0</v>
      </c>
      <c r="E38" s="55">
        <v>30900</v>
      </c>
      <c r="F38" s="99">
        <f ca="1">IFERROR(__xludf.DUMMYFUNCTION("IMPORTRANGE(""https://docs.google.com/spreadsheets/d/1XL5vhW3sbDhbH9Cz0tuDiY8C3ctxq1tqvaCgkFb8cCA/edit?usp=sharing"",""นครราชสีมา!M492"")"),0)</f>
        <v>0</v>
      </c>
      <c r="G38" s="99">
        <f t="shared" ca="1" si="1"/>
        <v>0</v>
      </c>
      <c r="H38" s="402">
        <f t="shared" si="39"/>
        <v>500</v>
      </c>
      <c r="I38" s="402">
        <v>500</v>
      </c>
      <c r="J38" s="402">
        <v>0</v>
      </c>
      <c r="K38" s="55">
        <f ca="1">IFERROR(__xludf.DUMMYFUNCTION("IMPORTRANGE(""https://docs.google.com/spreadsheets/d/1XL5vhW3sbDhbH9Cz0tuDiY8C3ctxq1tqvaCgkFb8cCA/edit?usp=sharing"",""นครราชสีมา!J505"")"),0)</f>
        <v>0</v>
      </c>
      <c r="L38" s="99">
        <f t="shared" ca="1" si="4"/>
        <v>0</v>
      </c>
      <c r="M38" s="55">
        <f ca="1">IFERROR(__xludf.DUMMYFUNCTION("IMPORTRANGE(""https://docs.google.com/spreadsheets/d/1XL5vhW3sbDhbH9Cz0tuDiY8C3ctxq1tqvaCgkFb8cCA/edit?usp=sharing"",""นครราชสีมา!J506"")"),0)</f>
        <v>0</v>
      </c>
      <c r="N38" s="99">
        <f t="shared" ca="1" si="5"/>
        <v>0</v>
      </c>
      <c r="O38" s="55">
        <f ca="1">IFERROR(__xludf.DUMMYFUNCTION("IMPORTRANGE(""https://docs.google.com/spreadsheets/d/1XL5vhW3sbDhbH9Cz0tuDiY8C3ctxq1tqvaCgkFb8cCA/edit?usp=sharing"",""นครราชสีมา!J507"")"),0)</f>
        <v>0</v>
      </c>
      <c r="P38" s="99">
        <f t="shared" ca="1" si="6"/>
        <v>0</v>
      </c>
      <c r="Q38" s="55">
        <f ca="1">IFERROR(__xludf.DUMMYFUNCTION("IMPORTRANGE(""https://docs.google.com/spreadsheets/d/1XL5vhW3sbDhbH9Cz0tuDiY8C3ctxq1tqvaCgkFb8cCA/edit?usp=sharing"",""นครราชสีมา!J508"")"),0)</f>
        <v>0</v>
      </c>
      <c r="R38" s="99">
        <f t="shared" ca="1" si="7"/>
        <v>0</v>
      </c>
      <c r="S38" s="55">
        <f ca="1">IFERROR(__xludf.DUMMYFUNCTION("IMPORTRANGE(""https://docs.google.com/spreadsheets/d/1XL5vhW3sbDhbH9Cz0tuDiY8C3ctxq1tqvaCgkFb8cCA/edit?usp=sharing"",""นครราชสีมา!J509"")"),0)</f>
        <v>0</v>
      </c>
      <c r="T38" s="99">
        <f t="shared" ca="1" si="8"/>
        <v>0</v>
      </c>
      <c r="U38" s="451">
        <f t="shared" ca="1" si="40"/>
        <v>0</v>
      </c>
      <c r="V38" s="99">
        <f t="shared" ca="1" si="9"/>
        <v>0</v>
      </c>
      <c r="W38" s="451">
        <f ca="1">IFERROR(__xludf.DUMMYFUNCTION("IMPORTRANGE(""https://docs.google.com/spreadsheets/d/1XL5vhW3sbDhbH9Cz0tuDiY8C3ctxq1tqvaCgkFb8cCA/edit?usp=sharing"",""นครราชสีมา!J511"")"),0)</f>
        <v>0</v>
      </c>
      <c r="X38" s="451">
        <f ca="1">IFERROR(__xludf.DUMMYFUNCTION("IMPORTRANGE(""https://docs.google.com/spreadsheets/d/1XL5vhW3sbDhbH9Cz0tuDiY8C3ctxq1tqvaCgkFb8cCA/edit?usp=sharing"",""นครราชสีมา!J512"")"),0)</f>
        <v>0</v>
      </c>
      <c r="Y38" s="55">
        <f t="shared" ca="1" si="41"/>
        <v>0</v>
      </c>
      <c r="Z38" s="99">
        <f t="shared" ca="1" si="11"/>
        <v>0</v>
      </c>
      <c r="AA38" s="55">
        <f ca="1">IFERROR(__xludf.DUMMYFUNCTION("IMPORTRANGE(""https://docs.google.com/spreadsheets/d/1XL5vhW3sbDhbH9Cz0tuDiY8C3ctxq1tqvaCgkFb8cCA/edit?usp=sharing"",""นครราชสีมา!J515"")"),0)</f>
        <v>0</v>
      </c>
      <c r="AB38" s="55">
        <f ca="1">IFERROR(__xludf.DUMMYFUNCTION("IMPORTRANGE(""https://docs.google.com/spreadsheets/d/1XL5vhW3sbDhbH9Cz0tuDiY8C3ctxq1tqvaCgkFb8cCA/edit?usp=sharing"",""นครราชสีมา!J516"")"),0)</f>
        <v>0</v>
      </c>
      <c r="AC38" s="55">
        <f ca="1">IFERROR(__xludf.DUMMYFUNCTION("IMPORTRANGE(""https://docs.google.com/spreadsheets/d/1XL5vhW3sbDhbH9Cz0tuDiY8C3ctxq1tqvaCgkFb8cCA/edit?usp=sharing"",""นครราชสีมา!J518"")"),0)</f>
        <v>0</v>
      </c>
      <c r="AD38" s="422">
        <f ca="1">IFERROR(__xludf.DUMMYFUNCTION("IMPORTRANGE(""https://docs.google.com/spreadsheets/d/1XL5vhW3sbDhbH9Cz0tuDiY8C3ctxq1tqvaCgkFb8cCA/edit?usp=sharing"",""นครราชสีมา!J519"")"),0)</f>
        <v>0</v>
      </c>
    </row>
    <row r="39" spans="1:30" ht="24" customHeight="1" x14ac:dyDescent="0.5">
      <c r="A39" s="273">
        <v>6</v>
      </c>
      <c r="B39" s="274" t="s">
        <v>54</v>
      </c>
      <c r="C39" s="275">
        <f t="shared" si="38"/>
        <v>5350</v>
      </c>
      <c r="D39" s="55">
        <v>0</v>
      </c>
      <c r="E39" s="55">
        <v>5350</v>
      </c>
      <c r="F39" s="99">
        <f ca="1">IFERROR(__xludf.DUMMYFUNCTION("IMPORTRANGE(""https://docs.google.com/spreadsheets/d/1XL5vhW3sbDhbH9Cz0tuDiY8C3ctxq1tqvaCgkFb8cCA/edit?usp=sharing"",""บึงกาฬ!M492"")"),0)</f>
        <v>0</v>
      </c>
      <c r="G39" s="99">
        <f t="shared" ca="1" si="1"/>
        <v>0</v>
      </c>
      <c r="H39" s="402">
        <f t="shared" si="39"/>
        <v>50</v>
      </c>
      <c r="I39" s="402">
        <v>50</v>
      </c>
      <c r="J39" s="402">
        <v>0</v>
      </c>
      <c r="K39" s="55">
        <f ca="1">IFERROR(__xludf.DUMMYFUNCTION("IMPORTRANGE(""https://docs.google.com/spreadsheets/d/1XL5vhW3sbDhbH9Cz0tuDiY8C3ctxq1tqvaCgkFb8cCA/edit?usp=sharing"",""บึงกาฬ!J505"")"),0)</f>
        <v>0</v>
      </c>
      <c r="L39" s="99">
        <f t="shared" ca="1" si="4"/>
        <v>0</v>
      </c>
      <c r="M39" s="55">
        <f ca="1">IFERROR(__xludf.DUMMYFUNCTION("IMPORTRANGE(""https://docs.google.com/spreadsheets/d/1XL5vhW3sbDhbH9Cz0tuDiY8C3ctxq1tqvaCgkFb8cCA/edit?usp=sharing"",""บึงกาฬ!J506"")"),0)</f>
        <v>0</v>
      </c>
      <c r="N39" s="99">
        <f t="shared" ca="1" si="5"/>
        <v>0</v>
      </c>
      <c r="O39" s="55">
        <f ca="1">IFERROR(__xludf.DUMMYFUNCTION("IMPORTRANGE(""https://docs.google.com/spreadsheets/d/1XL5vhW3sbDhbH9Cz0tuDiY8C3ctxq1tqvaCgkFb8cCA/edit?usp=sharing"",""บึงกาฬ!J507"")"),0)</f>
        <v>0</v>
      </c>
      <c r="P39" s="99">
        <f t="shared" ca="1" si="6"/>
        <v>0</v>
      </c>
      <c r="Q39" s="55">
        <f ca="1">IFERROR(__xludf.DUMMYFUNCTION("IMPORTRANGE(""https://docs.google.com/spreadsheets/d/1XL5vhW3sbDhbH9Cz0tuDiY8C3ctxq1tqvaCgkFb8cCA/edit?usp=sharing"",""บึงกาฬ!J508"")"),0)</f>
        <v>0</v>
      </c>
      <c r="R39" s="99">
        <f t="shared" ca="1" si="7"/>
        <v>0</v>
      </c>
      <c r="S39" s="55">
        <f ca="1">IFERROR(__xludf.DUMMYFUNCTION("IMPORTRANGE(""https://docs.google.com/spreadsheets/d/1XL5vhW3sbDhbH9Cz0tuDiY8C3ctxq1tqvaCgkFb8cCA/edit?usp=sharing"",""บึงกาฬ!J509"")"),0)</f>
        <v>0</v>
      </c>
      <c r="T39" s="99">
        <f t="shared" ca="1" si="8"/>
        <v>0</v>
      </c>
      <c r="U39" s="451">
        <f t="shared" ca="1" si="40"/>
        <v>0</v>
      </c>
      <c r="V39" s="99">
        <f t="shared" ca="1" si="9"/>
        <v>0</v>
      </c>
      <c r="W39" s="451">
        <f ca="1">IFERROR(__xludf.DUMMYFUNCTION("IMPORTRANGE(""https://docs.google.com/spreadsheets/d/1XL5vhW3sbDhbH9Cz0tuDiY8C3ctxq1tqvaCgkFb8cCA/edit?usp=sharing"",""บึงกาฬ!J511"")"),0)</f>
        <v>0</v>
      </c>
      <c r="X39" s="451">
        <f ca="1">IFERROR(__xludf.DUMMYFUNCTION("IMPORTRANGE(""https://docs.google.com/spreadsheets/d/1XL5vhW3sbDhbH9Cz0tuDiY8C3ctxq1tqvaCgkFb8cCA/edit?usp=sharing"",""บึงกาฬ!J512"")"),0)</f>
        <v>0</v>
      </c>
      <c r="Y39" s="55">
        <f t="shared" ca="1" si="41"/>
        <v>0</v>
      </c>
      <c r="Z39" s="99">
        <f t="shared" ca="1" si="11"/>
        <v>0</v>
      </c>
      <c r="AA39" s="55">
        <f ca="1">IFERROR(__xludf.DUMMYFUNCTION("IMPORTRANGE(""https://docs.google.com/spreadsheets/d/1XL5vhW3sbDhbH9Cz0tuDiY8C3ctxq1tqvaCgkFb8cCA/edit?usp=sharing"",""บึงกาฬ!J515"")"),0)</f>
        <v>0</v>
      </c>
      <c r="AB39" s="55">
        <f ca="1">IFERROR(__xludf.DUMMYFUNCTION("IMPORTRANGE(""https://docs.google.com/spreadsheets/d/1XL5vhW3sbDhbH9Cz0tuDiY8C3ctxq1tqvaCgkFb8cCA/edit?usp=sharing"",""บึงกาฬ!J516"")"),0)</f>
        <v>0</v>
      </c>
      <c r="AC39" s="55">
        <f ca="1">IFERROR(__xludf.DUMMYFUNCTION("IMPORTRANGE(""https://docs.google.com/spreadsheets/d/1XL5vhW3sbDhbH9Cz0tuDiY8C3ctxq1tqvaCgkFb8cCA/edit?usp=sharing"",""บึงกาฬ!J518"")"),0)</f>
        <v>0</v>
      </c>
      <c r="AD39" s="422">
        <f ca="1">IFERROR(__xludf.DUMMYFUNCTION("IMPORTRANGE(""https://docs.google.com/spreadsheets/d/1XL5vhW3sbDhbH9Cz0tuDiY8C3ctxq1tqvaCgkFb8cCA/edit?usp=sharing"",""บึงกาฬ!J519"")"),0)</f>
        <v>0</v>
      </c>
    </row>
    <row r="40" spans="1:30" ht="24" customHeight="1" x14ac:dyDescent="0.5">
      <c r="A40" s="273">
        <v>7</v>
      </c>
      <c r="B40" s="274" t="s">
        <v>55</v>
      </c>
      <c r="C40" s="275">
        <f t="shared" si="38"/>
        <v>7300</v>
      </c>
      <c r="D40" s="55">
        <v>0</v>
      </c>
      <c r="E40" s="55">
        <v>7300</v>
      </c>
      <c r="F40" s="99">
        <f ca="1">IFERROR(__xludf.DUMMYFUNCTION("IMPORTRANGE(""https://docs.google.com/spreadsheets/d/1XL5vhW3sbDhbH9Cz0tuDiY8C3ctxq1tqvaCgkFb8cCA/edit?usp=sharing"",""บุรีรัมย์!M492"")"),0)</f>
        <v>0</v>
      </c>
      <c r="G40" s="99">
        <f t="shared" ca="1" si="1"/>
        <v>0</v>
      </c>
      <c r="H40" s="402">
        <f t="shared" si="39"/>
        <v>100</v>
      </c>
      <c r="I40" s="402">
        <v>100</v>
      </c>
      <c r="J40" s="402">
        <v>0</v>
      </c>
      <c r="K40" s="55">
        <f ca="1">IFERROR(__xludf.DUMMYFUNCTION("IMPORTRANGE(""https://docs.google.com/spreadsheets/d/1XL5vhW3sbDhbH9Cz0tuDiY8C3ctxq1tqvaCgkFb8cCA/edit?usp=sharing"",""บุรีรัมย์!J505"")"),0)</f>
        <v>0</v>
      </c>
      <c r="L40" s="99">
        <f t="shared" ca="1" si="4"/>
        <v>0</v>
      </c>
      <c r="M40" s="55">
        <f ca="1">IFERROR(__xludf.DUMMYFUNCTION("IMPORTRANGE(""https://docs.google.com/spreadsheets/d/1XL5vhW3sbDhbH9Cz0tuDiY8C3ctxq1tqvaCgkFb8cCA/edit?usp=sharing"",""บุรีรัมย์!J506"")"),0)</f>
        <v>0</v>
      </c>
      <c r="N40" s="99">
        <f t="shared" ca="1" si="5"/>
        <v>0</v>
      </c>
      <c r="O40" s="55">
        <f ca="1">IFERROR(__xludf.DUMMYFUNCTION("IMPORTRANGE(""https://docs.google.com/spreadsheets/d/1XL5vhW3sbDhbH9Cz0tuDiY8C3ctxq1tqvaCgkFb8cCA/edit?usp=sharing"",""บุรีรัมย์!J507"")"),0)</f>
        <v>0</v>
      </c>
      <c r="P40" s="99">
        <f t="shared" ca="1" si="6"/>
        <v>0</v>
      </c>
      <c r="Q40" s="55">
        <f ca="1">IFERROR(__xludf.DUMMYFUNCTION("IMPORTRANGE(""https://docs.google.com/spreadsheets/d/1XL5vhW3sbDhbH9Cz0tuDiY8C3ctxq1tqvaCgkFb8cCA/edit?usp=sharing"",""บุรีรัมย์!J508"")"),0)</f>
        <v>0</v>
      </c>
      <c r="R40" s="99">
        <f t="shared" ca="1" si="7"/>
        <v>0</v>
      </c>
      <c r="S40" s="55">
        <f ca="1">IFERROR(__xludf.DUMMYFUNCTION("IMPORTRANGE(""https://docs.google.com/spreadsheets/d/1XL5vhW3sbDhbH9Cz0tuDiY8C3ctxq1tqvaCgkFb8cCA/edit?usp=sharing"",""บุรีรัมย์!J509"")"),0)</f>
        <v>0</v>
      </c>
      <c r="T40" s="99">
        <f t="shared" ca="1" si="8"/>
        <v>0</v>
      </c>
      <c r="U40" s="451">
        <f t="shared" ca="1" si="40"/>
        <v>0</v>
      </c>
      <c r="V40" s="99">
        <f t="shared" ca="1" si="9"/>
        <v>0</v>
      </c>
      <c r="W40" s="451">
        <f ca="1">IFERROR(__xludf.DUMMYFUNCTION("IMPORTRANGE(""https://docs.google.com/spreadsheets/d/1XL5vhW3sbDhbH9Cz0tuDiY8C3ctxq1tqvaCgkFb8cCA/edit?usp=sharing"",""บุรีรัมย์!J511"")"),0)</f>
        <v>0</v>
      </c>
      <c r="X40" s="451">
        <f ca="1">IFERROR(__xludf.DUMMYFUNCTION("IMPORTRANGE(""https://docs.google.com/spreadsheets/d/1XL5vhW3sbDhbH9Cz0tuDiY8C3ctxq1tqvaCgkFb8cCA/edit?usp=sharing"",""บุรีรัมย์!J512"")"),0)</f>
        <v>0</v>
      </c>
      <c r="Y40" s="55">
        <f t="shared" ca="1" si="41"/>
        <v>0</v>
      </c>
      <c r="Z40" s="99">
        <f t="shared" ca="1" si="11"/>
        <v>0</v>
      </c>
      <c r="AA40" s="55">
        <f ca="1">IFERROR(__xludf.DUMMYFUNCTION("IMPORTRANGE(""https://docs.google.com/spreadsheets/d/1XL5vhW3sbDhbH9Cz0tuDiY8C3ctxq1tqvaCgkFb8cCA/edit?usp=sharing"",""บุรีรัมย์!J515"")"),0)</f>
        <v>0</v>
      </c>
      <c r="AB40" s="55">
        <f ca="1">IFERROR(__xludf.DUMMYFUNCTION("IMPORTRANGE(""https://docs.google.com/spreadsheets/d/1XL5vhW3sbDhbH9Cz0tuDiY8C3ctxq1tqvaCgkFb8cCA/edit?usp=sharing"",""บุรีรัมย์!J516"")"),0)</f>
        <v>0</v>
      </c>
      <c r="AC40" s="55">
        <f ca="1">IFERROR(__xludf.DUMMYFUNCTION("IMPORTRANGE(""https://docs.google.com/spreadsheets/d/1XL5vhW3sbDhbH9Cz0tuDiY8C3ctxq1tqvaCgkFb8cCA/edit?usp=sharing"",""บุรีรัมย์!J518"")"),0)</f>
        <v>0</v>
      </c>
      <c r="AD40" s="422">
        <f ca="1">IFERROR(__xludf.DUMMYFUNCTION("IMPORTRANGE(""https://docs.google.com/spreadsheets/d/1XL5vhW3sbDhbH9Cz0tuDiY8C3ctxq1tqvaCgkFb8cCA/edit?usp=sharing"",""บุรีรัมย์!J519"")"),0)</f>
        <v>0</v>
      </c>
    </row>
    <row r="41" spans="1:30" ht="24" customHeight="1" x14ac:dyDescent="0.5">
      <c r="A41" s="273">
        <v>8</v>
      </c>
      <c r="B41" s="274" t="s">
        <v>56</v>
      </c>
      <c r="C41" s="275">
        <f t="shared" si="38"/>
        <v>15300</v>
      </c>
      <c r="D41" s="55">
        <v>0</v>
      </c>
      <c r="E41" s="55">
        <v>15300</v>
      </c>
      <c r="F41" s="99">
        <f ca="1">IFERROR(__xludf.DUMMYFUNCTION("IMPORTRANGE(""https://docs.google.com/spreadsheets/d/1XL5vhW3sbDhbH9Cz0tuDiY8C3ctxq1tqvaCgkFb8cCA/edit?usp=sharing"",""มหาสารคาม!M492"")"),4880)</f>
        <v>4880</v>
      </c>
      <c r="G41" s="99">
        <f t="shared" ca="1" si="1"/>
        <v>31.895424836601308</v>
      </c>
      <c r="H41" s="402">
        <f t="shared" si="39"/>
        <v>100</v>
      </c>
      <c r="I41" s="402">
        <v>100</v>
      </c>
      <c r="J41" s="402">
        <v>0</v>
      </c>
      <c r="K41" s="55">
        <f ca="1">IFERROR(__xludf.DUMMYFUNCTION("IMPORTRANGE(""https://docs.google.com/spreadsheets/d/1XL5vhW3sbDhbH9Cz0tuDiY8C3ctxq1tqvaCgkFb8cCA/edit?usp=sharing"",""มหาสารคาม!J505"")"),0)</f>
        <v>0</v>
      </c>
      <c r="L41" s="99">
        <f t="shared" ca="1" si="4"/>
        <v>0</v>
      </c>
      <c r="M41" s="55">
        <f ca="1">IFERROR(__xludf.DUMMYFUNCTION("IMPORTRANGE(""https://docs.google.com/spreadsheets/d/1XL5vhW3sbDhbH9Cz0tuDiY8C3ctxq1tqvaCgkFb8cCA/edit?usp=sharing"",""มหาสารคาม!J506"")"),0)</f>
        <v>0</v>
      </c>
      <c r="N41" s="99">
        <f t="shared" ca="1" si="5"/>
        <v>0</v>
      </c>
      <c r="O41" s="55">
        <f ca="1">IFERROR(__xludf.DUMMYFUNCTION("IMPORTRANGE(""https://docs.google.com/spreadsheets/d/1XL5vhW3sbDhbH9Cz0tuDiY8C3ctxq1tqvaCgkFb8cCA/edit?usp=sharing"",""มหาสารคาม!J507"")"),0)</f>
        <v>0</v>
      </c>
      <c r="P41" s="99">
        <f t="shared" ca="1" si="6"/>
        <v>0</v>
      </c>
      <c r="Q41" s="55">
        <f ca="1">IFERROR(__xludf.DUMMYFUNCTION("IMPORTRANGE(""https://docs.google.com/spreadsheets/d/1XL5vhW3sbDhbH9Cz0tuDiY8C3ctxq1tqvaCgkFb8cCA/edit?usp=sharing"",""มหาสารคาม!J508"")"),0)</f>
        <v>0</v>
      </c>
      <c r="R41" s="99">
        <f t="shared" ca="1" si="7"/>
        <v>0</v>
      </c>
      <c r="S41" s="55">
        <f ca="1">IFERROR(__xludf.DUMMYFUNCTION("IMPORTRANGE(""https://docs.google.com/spreadsheets/d/1XL5vhW3sbDhbH9Cz0tuDiY8C3ctxq1tqvaCgkFb8cCA/edit?usp=sharing"",""มหาสารคาม!J509"")"),0)</f>
        <v>0</v>
      </c>
      <c r="T41" s="99">
        <f t="shared" ca="1" si="8"/>
        <v>0</v>
      </c>
      <c r="U41" s="451">
        <f t="shared" ca="1" si="40"/>
        <v>0</v>
      </c>
      <c r="V41" s="99">
        <f t="shared" ca="1" si="9"/>
        <v>0</v>
      </c>
      <c r="W41" s="451">
        <f ca="1">IFERROR(__xludf.DUMMYFUNCTION("IMPORTRANGE(""https://docs.google.com/spreadsheets/d/1XL5vhW3sbDhbH9Cz0tuDiY8C3ctxq1tqvaCgkFb8cCA/edit?usp=sharing"",""มหาสารคาม!J511"")"),0)</f>
        <v>0</v>
      </c>
      <c r="X41" s="451">
        <f ca="1">IFERROR(__xludf.DUMMYFUNCTION("IMPORTRANGE(""https://docs.google.com/spreadsheets/d/1XL5vhW3sbDhbH9Cz0tuDiY8C3ctxq1tqvaCgkFb8cCA/edit?usp=sharing"",""มหาสารคาม!J512"")"),0)</f>
        <v>0</v>
      </c>
      <c r="Y41" s="55">
        <f t="shared" ca="1" si="41"/>
        <v>0</v>
      </c>
      <c r="Z41" s="99">
        <f t="shared" ca="1" si="11"/>
        <v>0</v>
      </c>
      <c r="AA41" s="55">
        <f ca="1">IFERROR(__xludf.DUMMYFUNCTION("IMPORTRANGE(""https://docs.google.com/spreadsheets/d/1XL5vhW3sbDhbH9Cz0tuDiY8C3ctxq1tqvaCgkFb8cCA/edit?usp=sharing"",""มหาสารคาม!J515"")"),0)</f>
        <v>0</v>
      </c>
      <c r="AB41" s="55">
        <f ca="1">IFERROR(__xludf.DUMMYFUNCTION("IMPORTRANGE(""https://docs.google.com/spreadsheets/d/1XL5vhW3sbDhbH9Cz0tuDiY8C3ctxq1tqvaCgkFb8cCA/edit?usp=sharing"",""มหาสารคาม!J516"")"),0)</f>
        <v>0</v>
      </c>
      <c r="AC41" s="55">
        <f ca="1">IFERROR(__xludf.DUMMYFUNCTION("IMPORTRANGE(""https://docs.google.com/spreadsheets/d/1XL5vhW3sbDhbH9Cz0tuDiY8C3ctxq1tqvaCgkFb8cCA/edit?usp=sharing"",""มหาสารคาม!J518"")"),0)</f>
        <v>0</v>
      </c>
      <c r="AD41" s="422">
        <f ca="1">IFERROR(__xludf.DUMMYFUNCTION("IMPORTRANGE(""https://docs.google.com/spreadsheets/d/1XL5vhW3sbDhbH9Cz0tuDiY8C3ctxq1tqvaCgkFb8cCA/edit?usp=sharing"",""มหาสารคาม!J519"")"),0)</f>
        <v>0</v>
      </c>
    </row>
    <row r="42" spans="1:30" ht="24" customHeight="1" x14ac:dyDescent="0.5">
      <c r="A42" s="273">
        <v>9</v>
      </c>
      <c r="B42" s="274" t="s">
        <v>57</v>
      </c>
      <c r="C42" s="275">
        <f t="shared" si="38"/>
        <v>8100</v>
      </c>
      <c r="D42" s="55">
        <v>0</v>
      </c>
      <c r="E42" s="55">
        <v>8100</v>
      </c>
      <c r="F42" s="99">
        <f ca="1">IFERROR(__xludf.DUMMYFUNCTION("IMPORTRANGE(""https://docs.google.com/spreadsheets/d/1XL5vhW3sbDhbH9Cz0tuDiY8C3ctxq1tqvaCgkFb8cCA/edit?usp=sharing"",""มุกดาหาร!M492"")"),0)</f>
        <v>0</v>
      </c>
      <c r="G42" s="99">
        <f t="shared" ca="1" si="1"/>
        <v>0</v>
      </c>
      <c r="H42" s="402">
        <f t="shared" si="39"/>
        <v>100</v>
      </c>
      <c r="I42" s="402">
        <v>100</v>
      </c>
      <c r="J42" s="402">
        <v>0</v>
      </c>
      <c r="K42" s="55">
        <f ca="1">IFERROR(__xludf.DUMMYFUNCTION("IMPORTRANGE(""https://docs.google.com/spreadsheets/d/1XL5vhW3sbDhbH9Cz0tuDiY8C3ctxq1tqvaCgkFb8cCA/edit?usp=sharing"",""มุกดาหาร!J505"")"),0)</f>
        <v>0</v>
      </c>
      <c r="L42" s="99">
        <f t="shared" ca="1" si="4"/>
        <v>0</v>
      </c>
      <c r="M42" s="55">
        <f ca="1">IFERROR(__xludf.DUMMYFUNCTION("IMPORTRANGE(""https://docs.google.com/spreadsheets/d/1XL5vhW3sbDhbH9Cz0tuDiY8C3ctxq1tqvaCgkFb8cCA/edit?usp=sharing"",""มุกดาหาร!J506"")"),0)</f>
        <v>0</v>
      </c>
      <c r="N42" s="99">
        <f t="shared" ca="1" si="5"/>
        <v>0</v>
      </c>
      <c r="O42" s="55">
        <f ca="1">IFERROR(__xludf.DUMMYFUNCTION("IMPORTRANGE(""https://docs.google.com/spreadsheets/d/1XL5vhW3sbDhbH9Cz0tuDiY8C3ctxq1tqvaCgkFb8cCA/edit?usp=sharing"",""มุกดาหาร!J507"")"),0)</f>
        <v>0</v>
      </c>
      <c r="P42" s="99">
        <f t="shared" ca="1" si="6"/>
        <v>0</v>
      </c>
      <c r="Q42" s="55">
        <f ca="1">IFERROR(__xludf.DUMMYFUNCTION("IMPORTRANGE(""https://docs.google.com/spreadsheets/d/1XL5vhW3sbDhbH9Cz0tuDiY8C3ctxq1tqvaCgkFb8cCA/edit?usp=sharing"",""มุกดาหาร!J508"")"),0)</f>
        <v>0</v>
      </c>
      <c r="R42" s="99">
        <f t="shared" ca="1" si="7"/>
        <v>0</v>
      </c>
      <c r="S42" s="55">
        <f ca="1">IFERROR(__xludf.DUMMYFUNCTION("IMPORTRANGE(""https://docs.google.com/spreadsheets/d/1XL5vhW3sbDhbH9Cz0tuDiY8C3ctxq1tqvaCgkFb8cCA/edit?usp=sharing"",""มุกดาหาร!J509"")"),0)</f>
        <v>0</v>
      </c>
      <c r="T42" s="99">
        <f t="shared" ca="1" si="8"/>
        <v>0</v>
      </c>
      <c r="U42" s="451">
        <f t="shared" ca="1" si="40"/>
        <v>0</v>
      </c>
      <c r="V42" s="99">
        <f t="shared" ca="1" si="9"/>
        <v>0</v>
      </c>
      <c r="W42" s="451">
        <f ca="1">IFERROR(__xludf.DUMMYFUNCTION("IMPORTRANGE(""https://docs.google.com/spreadsheets/d/1XL5vhW3sbDhbH9Cz0tuDiY8C3ctxq1tqvaCgkFb8cCA/edit?usp=sharing"",""มุกดาหาร!J511"")"),0)</f>
        <v>0</v>
      </c>
      <c r="X42" s="451">
        <f ca="1">IFERROR(__xludf.DUMMYFUNCTION("IMPORTRANGE(""https://docs.google.com/spreadsheets/d/1XL5vhW3sbDhbH9Cz0tuDiY8C3ctxq1tqvaCgkFb8cCA/edit?usp=sharing"",""มุกดาหาร!J512"")"),0)</f>
        <v>0</v>
      </c>
      <c r="Y42" s="55">
        <f t="shared" ca="1" si="41"/>
        <v>0</v>
      </c>
      <c r="Z42" s="99">
        <f t="shared" ca="1" si="11"/>
        <v>0</v>
      </c>
      <c r="AA42" s="55">
        <f ca="1">IFERROR(__xludf.DUMMYFUNCTION("IMPORTRANGE(""https://docs.google.com/spreadsheets/d/1XL5vhW3sbDhbH9Cz0tuDiY8C3ctxq1tqvaCgkFb8cCA/edit?usp=sharing"",""มุกดาหาร!J515"")"),0)</f>
        <v>0</v>
      </c>
      <c r="AB42" s="55">
        <f ca="1">IFERROR(__xludf.DUMMYFUNCTION("IMPORTRANGE(""https://docs.google.com/spreadsheets/d/1XL5vhW3sbDhbH9Cz0tuDiY8C3ctxq1tqvaCgkFb8cCA/edit?usp=sharing"",""มุกดาหาร!J516"")"),0)</f>
        <v>0</v>
      </c>
      <c r="AC42" s="55">
        <f ca="1">IFERROR(__xludf.DUMMYFUNCTION("IMPORTRANGE(""https://docs.google.com/spreadsheets/d/1XL5vhW3sbDhbH9Cz0tuDiY8C3ctxq1tqvaCgkFb8cCA/edit?usp=sharing"",""มุกดาหาร!J518"")"),0)</f>
        <v>0</v>
      </c>
      <c r="AD42" s="422">
        <f ca="1">IFERROR(__xludf.DUMMYFUNCTION("IMPORTRANGE(""https://docs.google.com/spreadsheets/d/1XL5vhW3sbDhbH9Cz0tuDiY8C3ctxq1tqvaCgkFb8cCA/edit?usp=sharing"",""มุกดาหาร!J519"")"),0)</f>
        <v>0</v>
      </c>
    </row>
    <row r="43" spans="1:30" ht="24" customHeight="1" x14ac:dyDescent="0.5">
      <c r="A43" s="273">
        <v>10</v>
      </c>
      <c r="B43" s="274" t="s">
        <v>58</v>
      </c>
      <c r="C43" s="275">
        <f t="shared" si="38"/>
        <v>13700</v>
      </c>
      <c r="D43" s="55">
        <v>0</v>
      </c>
      <c r="E43" s="55">
        <v>13700</v>
      </c>
      <c r="F43" s="99">
        <f ca="1">IFERROR(__xludf.DUMMYFUNCTION("IMPORTRANGE(""https://docs.google.com/spreadsheets/d/1XL5vhW3sbDhbH9Cz0tuDiY8C3ctxq1tqvaCgkFb8cCA/edit?usp=sharing"",""ยโสธร!M492"")"),2889)</f>
        <v>2889</v>
      </c>
      <c r="G43" s="99">
        <f t="shared" ca="1" si="1"/>
        <v>21.087591240875913</v>
      </c>
      <c r="H43" s="402">
        <f t="shared" si="39"/>
        <v>100</v>
      </c>
      <c r="I43" s="402">
        <v>100</v>
      </c>
      <c r="J43" s="402">
        <v>0</v>
      </c>
      <c r="K43" s="55">
        <f ca="1">IFERROR(__xludf.DUMMYFUNCTION("IMPORTRANGE(""https://docs.google.com/spreadsheets/d/1XL5vhW3sbDhbH9Cz0tuDiY8C3ctxq1tqvaCgkFb8cCA/edit?usp=sharing"",""ยโสธร!J505"")"),0)</f>
        <v>0</v>
      </c>
      <c r="L43" s="99">
        <f t="shared" ca="1" si="4"/>
        <v>0</v>
      </c>
      <c r="M43" s="55">
        <f ca="1">IFERROR(__xludf.DUMMYFUNCTION("IMPORTRANGE(""https://docs.google.com/spreadsheets/d/1XL5vhW3sbDhbH9Cz0tuDiY8C3ctxq1tqvaCgkFb8cCA/edit?usp=sharing"",""ยโสธร!J506"")"),0)</f>
        <v>0</v>
      </c>
      <c r="N43" s="99">
        <f t="shared" ca="1" si="5"/>
        <v>0</v>
      </c>
      <c r="O43" s="55">
        <f ca="1">IFERROR(__xludf.DUMMYFUNCTION("IMPORTRANGE(""https://docs.google.com/spreadsheets/d/1XL5vhW3sbDhbH9Cz0tuDiY8C3ctxq1tqvaCgkFb8cCA/edit?usp=sharing"",""ยโสธร!J507"")"),0)</f>
        <v>0</v>
      </c>
      <c r="P43" s="99">
        <f t="shared" ca="1" si="6"/>
        <v>0</v>
      </c>
      <c r="Q43" s="55">
        <f ca="1">IFERROR(__xludf.DUMMYFUNCTION("IMPORTRANGE(""https://docs.google.com/spreadsheets/d/1XL5vhW3sbDhbH9Cz0tuDiY8C3ctxq1tqvaCgkFb8cCA/edit?usp=sharing"",""ยโสธร!J508"")"),0)</f>
        <v>0</v>
      </c>
      <c r="R43" s="99">
        <f t="shared" ca="1" si="7"/>
        <v>0</v>
      </c>
      <c r="S43" s="55">
        <f ca="1">IFERROR(__xludf.DUMMYFUNCTION("IMPORTRANGE(""https://docs.google.com/spreadsheets/d/1XL5vhW3sbDhbH9Cz0tuDiY8C3ctxq1tqvaCgkFb8cCA/edit?usp=sharing"",""ยโสธร!J509"")"),0)</f>
        <v>0</v>
      </c>
      <c r="T43" s="99">
        <f t="shared" ca="1" si="8"/>
        <v>0</v>
      </c>
      <c r="U43" s="451">
        <f t="shared" ca="1" si="40"/>
        <v>0</v>
      </c>
      <c r="V43" s="99">
        <f t="shared" ca="1" si="9"/>
        <v>0</v>
      </c>
      <c r="W43" s="451">
        <f ca="1">IFERROR(__xludf.DUMMYFUNCTION("IMPORTRANGE(""https://docs.google.com/spreadsheets/d/1XL5vhW3sbDhbH9Cz0tuDiY8C3ctxq1tqvaCgkFb8cCA/edit?usp=sharing"",""ยโสธร!J511"")"),0)</f>
        <v>0</v>
      </c>
      <c r="X43" s="451">
        <f ca="1">IFERROR(__xludf.DUMMYFUNCTION("IMPORTRANGE(""https://docs.google.com/spreadsheets/d/1XL5vhW3sbDhbH9Cz0tuDiY8C3ctxq1tqvaCgkFb8cCA/edit?usp=sharing"",""ยโสธร!J512"")"),0)</f>
        <v>0</v>
      </c>
      <c r="Y43" s="55">
        <f t="shared" ca="1" si="41"/>
        <v>0</v>
      </c>
      <c r="Z43" s="99">
        <f t="shared" ca="1" si="11"/>
        <v>0</v>
      </c>
      <c r="AA43" s="55">
        <f ca="1">IFERROR(__xludf.DUMMYFUNCTION("IMPORTRANGE(""https://docs.google.com/spreadsheets/d/1XL5vhW3sbDhbH9Cz0tuDiY8C3ctxq1tqvaCgkFb8cCA/edit?usp=sharing"",""ยโสธร!J515"")"),0)</f>
        <v>0</v>
      </c>
      <c r="AB43" s="55">
        <f ca="1">IFERROR(__xludf.DUMMYFUNCTION("IMPORTRANGE(""https://docs.google.com/spreadsheets/d/1XL5vhW3sbDhbH9Cz0tuDiY8C3ctxq1tqvaCgkFb8cCA/edit?usp=sharing"",""ยโสธร!J516"")"),0)</f>
        <v>0</v>
      </c>
      <c r="AC43" s="55">
        <f ca="1">IFERROR(__xludf.DUMMYFUNCTION("IMPORTRANGE(""https://docs.google.com/spreadsheets/d/1XL5vhW3sbDhbH9Cz0tuDiY8C3ctxq1tqvaCgkFb8cCA/edit?usp=sharing"",""ยโสธร!J518"")"),0)</f>
        <v>0</v>
      </c>
      <c r="AD43" s="422">
        <f ca="1">IFERROR(__xludf.DUMMYFUNCTION("IMPORTRANGE(""https://docs.google.com/spreadsheets/d/1XL5vhW3sbDhbH9Cz0tuDiY8C3ctxq1tqvaCgkFb8cCA/edit?usp=sharing"",""ยโสธร!J519"")"),0)</f>
        <v>0</v>
      </c>
    </row>
    <row r="44" spans="1:30" ht="24" customHeight="1" x14ac:dyDescent="0.5">
      <c r="A44" s="273">
        <v>11</v>
      </c>
      <c r="B44" s="274" t="s">
        <v>59</v>
      </c>
      <c r="C44" s="275">
        <f t="shared" si="38"/>
        <v>7300</v>
      </c>
      <c r="D44" s="55">
        <v>0</v>
      </c>
      <c r="E44" s="55">
        <v>7300</v>
      </c>
      <c r="F44" s="99">
        <f ca="1">IFERROR(__xludf.DUMMYFUNCTION("IMPORTRANGE(""https://docs.google.com/spreadsheets/d/1XL5vhW3sbDhbH9Cz0tuDiY8C3ctxq1tqvaCgkFb8cCA/edit?usp=sharing"",""ร้อยเอ็ด!M492"")"),0)</f>
        <v>0</v>
      </c>
      <c r="G44" s="99">
        <f t="shared" ca="1" si="1"/>
        <v>0</v>
      </c>
      <c r="H44" s="402">
        <f t="shared" si="39"/>
        <v>150</v>
      </c>
      <c r="I44" s="402">
        <v>100</v>
      </c>
      <c r="J44" s="402">
        <v>50</v>
      </c>
      <c r="K44" s="55">
        <f ca="1">IFERROR(__xludf.DUMMYFUNCTION("IMPORTRANGE(""https://docs.google.com/spreadsheets/d/1XL5vhW3sbDhbH9Cz0tuDiY8C3ctxq1tqvaCgkFb8cCA/edit?usp=sharing"",""ร้อยเอ็ด!J505"")"),0)</f>
        <v>0</v>
      </c>
      <c r="L44" s="99">
        <f t="shared" ca="1" si="4"/>
        <v>0</v>
      </c>
      <c r="M44" s="55">
        <f ca="1">IFERROR(__xludf.DUMMYFUNCTION("IMPORTRANGE(""https://docs.google.com/spreadsheets/d/1XL5vhW3sbDhbH9Cz0tuDiY8C3ctxq1tqvaCgkFb8cCA/edit?usp=sharing"",""ร้อยเอ็ด!J506"")"),0)</f>
        <v>0</v>
      </c>
      <c r="N44" s="99">
        <f t="shared" ca="1" si="5"/>
        <v>0</v>
      </c>
      <c r="O44" s="55">
        <f ca="1">IFERROR(__xludf.DUMMYFUNCTION("IMPORTRANGE(""https://docs.google.com/spreadsheets/d/1XL5vhW3sbDhbH9Cz0tuDiY8C3ctxq1tqvaCgkFb8cCA/edit?usp=sharing"",""ร้อยเอ็ด!J507"")"),0)</f>
        <v>0</v>
      </c>
      <c r="P44" s="99">
        <f t="shared" ca="1" si="6"/>
        <v>0</v>
      </c>
      <c r="Q44" s="55">
        <f ca="1">IFERROR(__xludf.DUMMYFUNCTION("IMPORTRANGE(""https://docs.google.com/spreadsheets/d/1XL5vhW3sbDhbH9Cz0tuDiY8C3ctxq1tqvaCgkFb8cCA/edit?usp=sharing"",""ร้อยเอ็ด!J508"")"),0)</f>
        <v>0</v>
      </c>
      <c r="R44" s="99">
        <f t="shared" ca="1" si="7"/>
        <v>0</v>
      </c>
      <c r="S44" s="55">
        <f ca="1">IFERROR(__xludf.DUMMYFUNCTION("IMPORTRANGE(""https://docs.google.com/spreadsheets/d/1XL5vhW3sbDhbH9Cz0tuDiY8C3ctxq1tqvaCgkFb8cCA/edit?usp=sharing"",""ร้อยเอ็ด!J509"")"),0)</f>
        <v>0</v>
      </c>
      <c r="T44" s="99">
        <f t="shared" ca="1" si="8"/>
        <v>0</v>
      </c>
      <c r="U44" s="451">
        <f t="shared" ca="1" si="40"/>
        <v>0</v>
      </c>
      <c r="V44" s="99">
        <f t="shared" ca="1" si="9"/>
        <v>0</v>
      </c>
      <c r="W44" s="451">
        <f ca="1">IFERROR(__xludf.DUMMYFUNCTION("IMPORTRANGE(""https://docs.google.com/spreadsheets/d/1XL5vhW3sbDhbH9Cz0tuDiY8C3ctxq1tqvaCgkFb8cCA/edit?usp=sharing"",""ร้อยเอ็ด!J511"")"),0)</f>
        <v>0</v>
      </c>
      <c r="X44" s="451">
        <f ca="1">IFERROR(__xludf.DUMMYFUNCTION("IMPORTRANGE(""https://docs.google.com/spreadsheets/d/1XL5vhW3sbDhbH9Cz0tuDiY8C3ctxq1tqvaCgkFb8cCA/edit?usp=sharing"",""ร้อยเอ็ด!J512"")"),0)</f>
        <v>0</v>
      </c>
      <c r="Y44" s="55">
        <f t="shared" ca="1" si="41"/>
        <v>0</v>
      </c>
      <c r="Z44" s="99">
        <f t="shared" ca="1" si="11"/>
        <v>0</v>
      </c>
      <c r="AA44" s="55">
        <f ca="1">IFERROR(__xludf.DUMMYFUNCTION("IMPORTRANGE(""https://docs.google.com/spreadsheets/d/1XL5vhW3sbDhbH9Cz0tuDiY8C3ctxq1tqvaCgkFb8cCA/edit?usp=sharing"",""ร้อยเอ็ด!J515"")"),0)</f>
        <v>0</v>
      </c>
      <c r="AB44" s="55">
        <f ca="1">IFERROR(__xludf.DUMMYFUNCTION("IMPORTRANGE(""https://docs.google.com/spreadsheets/d/1XL5vhW3sbDhbH9Cz0tuDiY8C3ctxq1tqvaCgkFb8cCA/edit?usp=sharing"",""ร้อยเอ็ด!J516"")"),0)</f>
        <v>0</v>
      </c>
      <c r="AC44" s="55">
        <f ca="1">IFERROR(__xludf.DUMMYFUNCTION("IMPORTRANGE(""https://docs.google.com/spreadsheets/d/1XL5vhW3sbDhbH9Cz0tuDiY8C3ctxq1tqvaCgkFb8cCA/edit?usp=sharing"",""ร้อยเอ็ด!J518"")"),0)</f>
        <v>0</v>
      </c>
      <c r="AD44" s="422">
        <f ca="1">IFERROR(__xludf.DUMMYFUNCTION("IMPORTRANGE(""https://docs.google.com/spreadsheets/d/1XL5vhW3sbDhbH9Cz0tuDiY8C3ctxq1tqvaCgkFb8cCA/edit?usp=sharing"",""ร้อยเอ็ด!J519"")"),0)</f>
        <v>0</v>
      </c>
    </row>
    <row r="45" spans="1:30" ht="24" customHeight="1" x14ac:dyDescent="0.5">
      <c r="A45" s="273">
        <v>12</v>
      </c>
      <c r="B45" s="274" t="s">
        <v>60</v>
      </c>
      <c r="C45" s="275">
        <f t="shared" si="38"/>
        <v>8400</v>
      </c>
      <c r="D45" s="55">
        <v>0</v>
      </c>
      <c r="E45" s="55">
        <v>8400</v>
      </c>
      <c r="F45" s="99">
        <f ca="1">IFERROR(__xludf.DUMMYFUNCTION("IMPORTRANGE(""https://docs.google.com/spreadsheets/d/1XL5vhW3sbDhbH9Cz0tuDiY8C3ctxq1tqvaCgkFb8cCA/edit?usp=sharing"",""เลย!M492"")"),0)</f>
        <v>0</v>
      </c>
      <c r="G45" s="99">
        <f t="shared" ca="1" si="1"/>
        <v>0</v>
      </c>
      <c r="H45" s="402">
        <f t="shared" si="39"/>
        <v>120</v>
      </c>
      <c r="I45" s="402">
        <v>120</v>
      </c>
      <c r="J45" s="402">
        <v>0</v>
      </c>
      <c r="K45" s="55">
        <f ca="1">IFERROR(__xludf.DUMMYFUNCTION("IMPORTRANGE(""https://docs.google.com/spreadsheets/d/1XL5vhW3sbDhbH9Cz0tuDiY8C3ctxq1tqvaCgkFb8cCA/edit?usp=sharing"",""เลย!J505"")"),0)</f>
        <v>0</v>
      </c>
      <c r="L45" s="99">
        <f t="shared" ca="1" si="4"/>
        <v>0</v>
      </c>
      <c r="M45" s="55">
        <f ca="1">IFERROR(__xludf.DUMMYFUNCTION("IMPORTRANGE(""https://docs.google.com/spreadsheets/d/1XL5vhW3sbDhbH9Cz0tuDiY8C3ctxq1tqvaCgkFb8cCA/edit?usp=sharing"",""เลย!J506"")"),0)</f>
        <v>0</v>
      </c>
      <c r="N45" s="99">
        <f t="shared" ca="1" si="5"/>
        <v>0</v>
      </c>
      <c r="O45" s="55">
        <f ca="1">IFERROR(__xludf.DUMMYFUNCTION("IMPORTRANGE(""https://docs.google.com/spreadsheets/d/1XL5vhW3sbDhbH9Cz0tuDiY8C3ctxq1tqvaCgkFb8cCA/edit?usp=sharing"",""เลย!J507"")"),0)</f>
        <v>0</v>
      </c>
      <c r="P45" s="99">
        <f t="shared" ca="1" si="6"/>
        <v>0</v>
      </c>
      <c r="Q45" s="55">
        <f ca="1">IFERROR(__xludf.DUMMYFUNCTION("IMPORTRANGE(""https://docs.google.com/spreadsheets/d/1XL5vhW3sbDhbH9Cz0tuDiY8C3ctxq1tqvaCgkFb8cCA/edit?usp=sharing"",""เลย!J508"")"),0)</f>
        <v>0</v>
      </c>
      <c r="R45" s="99">
        <f t="shared" ca="1" si="7"/>
        <v>0</v>
      </c>
      <c r="S45" s="55">
        <f ca="1">IFERROR(__xludf.DUMMYFUNCTION("IMPORTRANGE(""https://docs.google.com/spreadsheets/d/1XL5vhW3sbDhbH9Cz0tuDiY8C3ctxq1tqvaCgkFb8cCA/edit?usp=sharing"",""เลย!J509"")"),0)</f>
        <v>0</v>
      </c>
      <c r="T45" s="99">
        <f t="shared" ca="1" si="8"/>
        <v>0</v>
      </c>
      <c r="U45" s="451">
        <f t="shared" ca="1" si="40"/>
        <v>0</v>
      </c>
      <c r="V45" s="99">
        <f t="shared" ca="1" si="9"/>
        <v>0</v>
      </c>
      <c r="W45" s="451">
        <f ca="1">IFERROR(__xludf.DUMMYFUNCTION("IMPORTRANGE(""https://docs.google.com/spreadsheets/d/1XL5vhW3sbDhbH9Cz0tuDiY8C3ctxq1tqvaCgkFb8cCA/edit?usp=sharing"",""เลย!J511"")"),0)</f>
        <v>0</v>
      </c>
      <c r="X45" s="451">
        <f ca="1">IFERROR(__xludf.DUMMYFUNCTION("IMPORTRANGE(""https://docs.google.com/spreadsheets/d/1XL5vhW3sbDhbH9Cz0tuDiY8C3ctxq1tqvaCgkFb8cCA/edit?usp=sharing"",""เลย!J512"")"),0)</f>
        <v>0</v>
      </c>
      <c r="Y45" s="55">
        <f t="shared" ca="1" si="41"/>
        <v>0</v>
      </c>
      <c r="Z45" s="99">
        <f t="shared" ca="1" si="11"/>
        <v>0</v>
      </c>
      <c r="AA45" s="55">
        <f ca="1">IFERROR(__xludf.DUMMYFUNCTION("IMPORTRANGE(""https://docs.google.com/spreadsheets/d/1XL5vhW3sbDhbH9Cz0tuDiY8C3ctxq1tqvaCgkFb8cCA/edit?usp=sharing"",""เลย!J515"")"),0)</f>
        <v>0</v>
      </c>
      <c r="AB45" s="55">
        <f ca="1">IFERROR(__xludf.DUMMYFUNCTION("IMPORTRANGE(""https://docs.google.com/spreadsheets/d/1XL5vhW3sbDhbH9Cz0tuDiY8C3ctxq1tqvaCgkFb8cCA/edit?usp=sharing"",""เลย!J516"")"),0)</f>
        <v>0</v>
      </c>
      <c r="AC45" s="55">
        <f ca="1">IFERROR(__xludf.DUMMYFUNCTION("IMPORTRANGE(""https://docs.google.com/spreadsheets/d/1XL5vhW3sbDhbH9Cz0tuDiY8C3ctxq1tqvaCgkFb8cCA/edit?usp=sharing"",""เลย!J518"")"),0)</f>
        <v>0</v>
      </c>
      <c r="AD45" s="422">
        <f ca="1">IFERROR(__xludf.DUMMYFUNCTION("IMPORTRANGE(""https://docs.google.com/spreadsheets/d/1XL5vhW3sbDhbH9Cz0tuDiY8C3ctxq1tqvaCgkFb8cCA/edit?usp=sharing"",""เลย!J519"")"),0)</f>
        <v>0</v>
      </c>
    </row>
    <row r="46" spans="1:30" ht="24" customHeight="1" x14ac:dyDescent="0.5">
      <c r="A46" s="273">
        <v>13</v>
      </c>
      <c r="B46" s="274" t="s">
        <v>61</v>
      </c>
      <c r="C46" s="275">
        <f t="shared" si="38"/>
        <v>9700</v>
      </c>
      <c r="D46" s="55">
        <v>0</v>
      </c>
      <c r="E46" s="55">
        <v>9700</v>
      </c>
      <c r="F46" s="99">
        <f ca="1">IFERROR(__xludf.DUMMYFUNCTION("IMPORTRANGE(""https://docs.google.com/spreadsheets/d/1XL5vhW3sbDhbH9Cz0tuDiY8C3ctxq1tqvaCgkFb8cCA/edit?usp=sharing"",""ศรีสะเกษ!M492"")"),0)</f>
        <v>0</v>
      </c>
      <c r="G46" s="99">
        <f t="shared" ca="1" si="1"/>
        <v>0</v>
      </c>
      <c r="H46" s="402">
        <f t="shared" si="39"/>
        <v>100</v>
      </c>
      <c r="I46" s="402">
        <v>100</v>
      </c>
      <c r="J46" s="402">
        <v>0</v>
      </c>
      <c r="K46" s="55">
        <f ca="1">IFERROR(__xludf.DUMMYFUNCTION("IMPORTRANGE(""https://docs.google.com/spreadsheets/d/1XL5vhW3sbDhbH9Cz0tuDiY8C3ctxq1tqvaCgkFb8cCA/edit?usp=sharing"",""ศรีสะเกษ!J505"")"),0)</f>
        <v>0</v>
      </c>
      <c r="L46" s="99">
        <f t="shared" ca="1" si="4"/>
        <v>0</v>
      </c>
      <c r="M46" s="55">
        <f ca="1">IFERROR(__xludf.DUMMYFUNCTION("IMPORTRANGE(""https://docs.google.com/spreadsheets/d/1XL5vhW3sbDhbH9Cz0tuDiY8C3ctxq1tqvaCgkFb8cCA/edit?usp=sharing"",""ศรีสะเกษ!J506"")"),0)</f>
        <v>0</v>
      </c>
      <c r="N46" s="99">
        <f t="shared" ca="1" si="5"/>
        <v>0</v>
      </c>
      <c r="O46" s="55">
        <f ca="1">IFERROR(__xludf.DUMMYFUNCTION("IMPORTRANGE(""https://docs.google.com/spreadsheets/d/1XL5vhW3sbDhbH9Cz0tuDiY8C3ctxq1tqvaCgkFb8cCA/edit?usp=sharing"",""ศรีสะเกษ!J507"")"),0)</f>
        <v>0</v>
      </c>
      <c r="P46" s="99">
        <f t="shared" ca="1" si="6"/>
        <v>0</v>
      </c>
      <c r="Q46" s="55">
        <f ca="1">IFERROR(__xludf.DUMMYFUNCTION("IMPORTRANGE(""https://docs.google.com/spreadsheets/d/1XL5vhW3sbDhbH9Cz0tuDiY8C3ctxq1tqvaCgkFb8cCA/edit?usp=sharing"",""ศรีสะเกษ!J508"")"),0)</f>
        <v>0</v>
      </c>
      <c r="R46" s="99">
        <f t="shared" ca="1" si="7"/>
        <v>0</v>
      </c>
      <c r="S46" s="55">
        <f ca="1">IFERROR(__xludf.DUMMYFUNCTION("IMPORTRANGE(""https://docs.google.com/spreadsheets/d/1XL5vhW3sbDhbH9Cz0tuDiY8C3ctxq1tqvaCgkFb8cCA/edit?usp=sharing"",""ศรีสะเกษ!J509"")"),0)</f>
        <v>0</v>
      </c>
      <c r="T46" s="99">
        <f t="shared" ca="1" si="8"/>
        <v>0</v>
      </c>
      <c r="U46" s="451">
        <f t="shared" ca="1" si="40"/>
        <v>0</v>
      </c>
      <c r="V46" s="99">
        <f t="shared" ca="1" si="9"/>
        <v>0</v>
      </c>
      <c r="W46" s="451">
        <f ca="1">IFERROR(__xludf.DUMMYFUNCTION("IMPORTRANGE(""https://docs.google.com/spreadsheets/d/1XL5vhW3sbDhbH9Cz0tuDiY8C3ctxq1tqvaCgkFb8cCA/edit?usp=sharing"",""ศรีสะเกษ!J511"")"),0)</f>
        <v>0</v>
      </c>
      <c r="X46" s="451">
        <f ca="1">IFERROR(__xludf.DUMMYFUNCTION("IMPORTRANGE(""https://docs.google.com/spreadsheets/d/1XL5vhW3sbDhbH9Cz0tuDiY8C3ctxq1tqvaCgkFb8cCA/edit?usp=sharing"",""ศรีสะเกษ!J512"")"),0)</f>
        <v>0</v>
      </c>
      <c r="Y46" s="55">
        <f t="shared" ca="1" si="41"/>
        <v>0</v>
      </c>
      <c r="Z46" s="99">
        <f t="shared" ca="1" si="11"/>
        <v>0</v>
      </c>
      <c r="AA46" s="55">
        <f ca="1">IFERROR(__xludf.DUMMYFUNCTION("IMPORTRANGE(""https://docs.google.com/spreadsheets/d/1XL5vhW3sbDhbH9Cz0tuDiY8C3ctxq1tqvaCgkFb8cCA/edit?usp=sharing"",""ศรีสะเกษ!J515"")"),0)</f>
        <v>0</v>
      </c>
      <c r="AB46" s="55">
        <f ca="1">IFERROR(__xludf.DUMMYFUNCTION("IMPORTRANGE(""https://docs.google.com/spreadsheets/d/1XL5vhW3sbDhbH9Cz0tuDiY8C3ctxq1tqvaCgkFb8cCA/edit?usp=sharing"",""ศรีสะเกษ!J516"")"),0)</f>
        <v>0</v>
      </c>
      <c r="AC46" s="55">
        <f ca="1">IFERROR(__xludf.DUMMYFUNCTION("IMPORTRANGE(""https://docs.google.com/spreadsheets/d/1XL5vhW3sbDhbH9Cz0tuDiY8C3ctxq1tqvaCgkFb8cCA/edit?usp=sharing"",""ศรีสะเกษ!J518"")"),0)</f>
        <v>0</v>
      </c>
      <c r="AD46" s="422">
        <f ca="1">IFERROR(__xludf.DUMMYFUNCTION("IMPORTRANGE(""https://docs.google.com/spreadsheets/d/1XL5vhW3sbDhbH9Cz0tuDiY8C3ctxq1tqvaCgkFb8cCA/edit?usp=sharing"",""ศรีสะเกษ!J519"")"),0)</f>
        <v>0</v>
      </c>
    </row>
    <row r="47" spans="1:30" ht="24" customHeight="1" x14ac:dyDescent="0.5">
      <c r="A47" s="273">
        <v>14</v>
      </c>
      <c r="B47" s="274" t="s">
        <v>62</v>
      </c>
      <c r="C47" s="275">
        <f t="shared" si="38"/>
        <v>20900</v>
      </c>
      <c r="D47" s="55">
        <v>0</v>
      </c>
      <c r="E47" s="55">
        <v>20900</v>
      </c>
      <c r="F47" s="99">
        <f ca="1">IFERROR(__xludf.DUMMYFUNCTION("IMPORTRANGE(""https://docs.google.com/spreadsheets/d/1XL5vhW3sbDhbH9Cz0tuDiY8C3ctxq1tqvaCgkFb8cCA/edit?usp=sharing"",""สกลนคร!M492"")"),0)</f>
        <v>0</v>
      </c>
      <c r="G47" s="99">
        <f t="shared" ca="1" si="1"/>
        <v>0</v>
      </c>
      <c r="H47" s="402">
        <f t="shared" si="39"/>
        <v>100</v>
      </c>
      <c r="I47" s="402">
        <v>100</v>
      </c>
      <c r="J47" s="402">
        <v>0</v>
      </c>
      <c r="K47" s="55">
        <f ca="1">IFERROR(__xludf.DUMMYFUNCTION("IMPORTRANGE(""https://docs.google.com/spreadsheets/d/1XL5vhW3sbDhbH9Cz0tuDiY8C3ctxq1tqvaCgkFb8cCA/edit?usp=sharing"",""สกลนคร!J505"")"),0)</f>
        <v>0</v>
      </c>
      <c r="L47" s="99">
        <f t="shared" ca="1" si="4"/>
        <v>0</v>
      </c>
      <c r="M47" s="55">
        <f ca="1">IFERROR(__xludf.DUMMYFUNCTION("IMPORTRANGE(""https://docs.google.com/spreadsheets/d/1XL5vhW3sbDhbH9Cz0tuDiY8C3ctxq1tqvaCgkFb8cCA/edit?usp=sharing"",""สกลนคร!J506"")"),0)</f>
        <v>0</v>
      </c>
      <c r="N47" s="99">
        <f t="shared" ca="1" si="5"/>
        <v>0</v>
      </c>
      <c r="O47" s="55">
        <f ca="1">IFERROR(__xludf.DUMMYFUNCTION("IMPORTRANGE(""https://docs.google.com/spreadsheets/d/1XL5vhW3sbDhbH9Cz0tuDiY8C3ctxq1tqvaCgkFb8cCA/edit?usp=sharing"",""สกลนคร!J507"")"),0)</f>
        <v>0</v>
      </c>
      <c r="P47" s="99">
        <f t="shared" ca="1" si="6"/>
        <v>0</v>
      </c>
      <c r="Q47" s="55">
        <f ca="1">IFERROR(__xludf.DUMMYFUNCTION("IMPORTRANGE(""https://docs.google.com/spreadsheets/d/1XL5vhW3sbDhbH9Cz0tuDiY8C3ctxq1tqvaCgkFb8cCA/edit?usp=sharing"",""สกลนคร!J508"")"),0)</f>
        <v>0</v>
      </c>
      <c r="R47" s="99">
        <f t="shared" ca="1" si="7"/>
        <v>0</v>
      </c>
      <c r="S47" s="55">
        <f ca="1">IFERROR(__xludf.DUMMYFUNCTION("IMPORTRANGE(""https://docs.google.com/spreadsheets/d/1XL5vhW3sbDhbH9Cz0tuDiY8C3ctxq1tqvaCgkFb8cCA/edit?usp=sharing"",""สกลนคร!J509"")"),0)</f>
        <v>0</v>
      </c>
      <c r="T47" s="99">
        <f t="shared" ca="1" si="8"/>
        <v>0</v>
      </c>
      <c r="U47" s="451">
        <f t="shared" ca="1" si="40"/>
        <v>0</v>
      </c>
      <c r="V47" s="99">
        <f t="shared" ca="1" si="9"/>
        <v>0</v>
      </c>
      <c r="W47" s="451">
        <f ca="1">IFERROR(__xludf.DUMMYFUNCTION("IMPORTRANGE(""https://docs.google.com/spreadsheets/d/1XL5vhW3sbDhbH9Cz0tuDiY8C3ctxq1tqvaCgkFb8cCA/edit?usp=sharing"",""สกลนคร!J511"")"),0)</f>
        <v>0</v>
      </c>
      <c r="X47" s="451">
        <f ca="1">IFERROR(__xludf.DUMMYFUNCTION("IMPORTRANGE(""https://docs.google.com/spreadsheets/d/1XL5vhW3sbDhbH9Cz0tuDiY8C3ctxq1tqvaCgkFb8cCA/edit?usp=sharing"",""สกลนคร!J512"")"),0)</f>
        <v>0</v>
      </c>
      <c r="Y47" s="55">
        <f t="shared" ca="1" si="41"/>
        <v>0</v>
      </c>
      <c r="Z47" s="99">
        <f t="shared" ca="1" si="11"/>
        <v>0</v>
      </c>
      <c r="AA47" s="55">
        <f ca="1">IFERROR(__xludf.DUMMYFUNCTION("IMPORTRANGE(""https://docs.google.com/spreadsheets/d/1XL5vhW3sbDhbH9Cz0tuDiY8C3ctxq1tqvaCgkFb8cCA/edit?usp=sharing"",""สกลนคร!J515"")"),0)</f>
        <v>0</v>
      </c>
      <c r="AB47" s="55">
        <f ca="1">IFERROR(__xludf.DUMMYFUNCTION("IMPORTRANGE(""https://docs.google.com/spreadsheets/d/1XL5vhW3sbDhbH9Cz0tuDiY8C3ctxq1tqvaCgkFb8cCA/edit?usp=sharing"",""สกลนคร!J516"")"),0)</f>
        <v>0</v>
      </c>
      <c r="AC47" s="55">
        <f ca="1">IFERROR(__xludf.DUMMYFUNCTION("IMPORTRANGE(""https://docs.google.com/spreadsheets/d/1XL5vhW3sbDhbH9Cz0tuDiY8C3ctxq1tqvaCgkFb8cCA/edit?usp=sharing"",""สกลนคร!J518"")"),0)</f>
        <v>0</v>
      </c>
      <c r="AD47" s="422">
        <f ca="1">IFERROR(__xludf.DUMMYFUNCTION("IMPORTRANGE(""https://docs.google.com/spreadsheets/d/1XL5vhW3sbDhbH9Cz0tuDiY8C3ctxq1tqvaCgkFb8cCA/edit?usp=sharing"",""สกลนคร!J519"")"),0)</f>
        <v>0</v>
      </c>
    </row>
    <row r="48" spans="1:30" ht="24" customHeight="1" x14ac:dyDescent="0.5">
      <c r="A48" s="273">
        <v>15</v>
      </c>
      <c r="B48" s="274" t="s">
        <v>63</v>
      </c>
      <c r="C48" s="275">
        <f t="shared" si="38"/>
        <v>21600</v>
      </c>
      <c r="D48" s="55">
        <v>0</v>
      </c>
      <c r="E48" s="55">
        <v>21600</v>
      </c>
      <c r="F48" s="99">
        <f ca="1">IFERROR(__xludf.DUMMYFUNCTION("IMPORTRANGE(""https://docs.google.com/spreadsheets/d/1XL5vhW3sbDhbH9Cz0tuDiY8C3ctxq1tqvaCgkFb8cCA/edit?usp=sharing"",""สุรินทร์!M492"")"),0)</f>
        <v>0</v>
      </c>
      <c r="G48" s="99">
        <f t="shared" ca="1" si="1"/>
        <v>0</v>
      </c>
      <c r="H48" s="402">
        <f t="shared" si="39"/>
        <v>248</v>
      </c>
      <c r="I48" s="402">
        <v>200</v>
      </c>
      <c r="J48" s="402">
        <v>48</v>
      </c>
      <c r="K48" s="55">
        <f ca="1">IFERROR(__xludf.DUMMYFUNCTION("IMPORTRANGE(""https://docs.google.com/spreadsheets/d/1XL5vhW3sbDhbH9Cz0tuDiY8C3ctxq1tqvaCgkFb8cCA/edit?usp=sharing"",""สุรินทร์!J505"")"),0)</f>
        <v>0</v>
      </c>
      <c r="L48" s="99">
        <f t="shared" ca="1" si="4"/>
        <v>0</v>
      </c>
      <c r="M48" s="55">
        <f ca="1">IFERROR(__xludf.DUMMYFUNCTION("IMPORTRANGE(""https://docs.google.com/spreadsheets/d/1XL5vhW3sbDhbH9Cz0tuDiY8C3ctxq1tqvaCgkFb8cCA/edit?usp=sharing"",""สุรินทร์!J506"")"),0)</f>
        <v>0</v>
      </c>
      <c r="N48" s="99">
        <f t="shared" ca="1" si="5"/>
        <v>0</v>
      </c>
      <c r="O48" s="55">
        <f ca="1">IFERROR(__xludf.DUMMYFUNCTION("IMPORTRANGE(""https://docs.google.com/spreadsheets/d/1XL5vhW3sbDhbH9Cz0tuDiY8C3ctxq1tqvaCgkFb8cCA/edit?usp=sharing"",""สุรินทร์!J507"")"),0)</f>
        <v>0</v>
      </c>
      <c r="P48" s="99">
        <f t="shared" ca="1" si="6"/>
        <v>0</v>
      </c>
      <c r="Q48" s="55">
        <f ca="1">IFERROR(__xludf.DUMMYFUNCTION("IMPORTRANGE(""https://docs.google.com/spreadsheets/d/1XL5vhW3sbDhbH9Cz0tuDiY8C3ctxq1tqvaCgkFb8cCA/edit?usp=sharing"",""สุรินทร์!J508"")"),0)</f>
        <v>0</v>
      </c>
      <c r="R48" s="99">
        <f t="shared" ca="1" si="7"/>
        <v>0</v>
      </c>
      <c r="S48" s="55">
        <f ca="1">IFERROR(__xludf.DUMMYFUNCTION("IMPORTRANGE(""https://docs.google.com/spreadsheets/d/1XL5vhW3sbDhbH9Cz0tuDiY8C3ctxq1tqvaCgkFb8cCA/edit?usp=sharing"",""สุรินทร์!J509"")"),0)</f>
        <v>0</v>
      </c>
      <c r="T48" s="99">
        <f t="shared" ca="1" si="8"/>
        <v>0</v>
      </c>
      <c r="U48" s="451">
        <f t="shared" ca="1" si="40"/>
        <v>0</v>
      </c>
      <c r="V48" s="99">
        <f t="shared" ca="1" si="9"/>
        <v>0</v>
      </c>
      <c r="W48" s="451">
        <f ca="1">IFERROR(__xludf.DUMMYFUNCTION("IMPORTRANGE(""https://docs.google.com/spreadsheets/d/1XL5vhW3sbDhbH9Cz0tuDiY8C3ctxq1tqvaCgkFb8cCA/edit?usp=sharing"",""สุรินทร์!J511"")"),0)</f>
        <v>0</v>
      </c>
      <c r="X48" s="451">
        <f ca="1">IFERROR(__xludf.DUMMYFUNCTION("IMPORTRANGE(""https://docs.google.com/spreadsheets/d/1XL5vhW3sbDhbH9Cz0tuDiY8C3ctxq1tqvaCgkFb8cCA/edit?usp=sharing"",""สุรินทร์!J512"")"),0)</f>
        <v>0</v>
      </c>
      <c r="Y48" s="55">
        <f t="shared" ca="1" si="41"/>
        <v>0</v>
      </c>
      <c r="Z48" s="99">
        <f t="shared" ca="1" si="11"/>
        <v>0</v>
      </c>
      <c r="AA48" s="55">
        <f ca="1">IFERROR(__xludf.DUMMYFUNCTION("IMPORTRANGE(""https://docs.google.com/spreadsheets/d/1XL5vhW3sbDhbH9Cz0tuDiY8C3ctxq1tqvaCgkFb8cCA/edit?usp=sharing"",""สุรินทร์!J515"")"),0)</f>
        <v>0</v>
      </c>
      <c r="AB48" s="55">
        <f ca="1">IFERROR(__xludf.DUMMYFUNCTION("IMPORTRANGE(""https://docs.google.com/spreadsheets/d/1XL5vhW3sbDhbH9Cz0tuDiY8C3ctxq1tqvaCgkFb8cCA/edit?usp=sharing"",""สุรินทร์!J516"")"),0)</f>
        <v>0</v>
      </c>
      <c r="AC48" s="55">
        <f ca="1">IFERROR(__xludf.DUMMYFUNCTION("IMPORTRANGE(""https://docs.google.com/spreadsheets/d/1XL5vhW3sbDhbH9Cz0tuDiY8C3ctxq1tqvaCgkFb8cCA/edit?usp=sharing"",""สุรินทร์!J518"")"),0)</f>
        <v>0</v>
      </c>
      <c r="AD48" s="422">
        <f ca="1">IFERROR(__xludf.DUMMYFUNCTION("IMPORTRANGE(""https://docs.google.com/spreadsheets/d/1XL5vhW3sbDhbH9Cz0tuDiY8C3ctxq1tqvaCgkFb8cCA/edit?usp=sharing"",""สุรินทร์!J519"")"),0)</f>
        <v>0</v>
      </c>
    </row>
    <row r="49" spans="1:30" ht="24" customHeight="1" x14ac:dyDescent="0.5">
      <c r="A49" s="273">
        <v>16</v>
      </c>
      <c r="B49" s="274" t="s">
        <v>64</v>
      </c>
      <c r="C49" s="275">
        <f t="shared" si="38"/>
        <v>11300</v>
      </c>
      <c r="D49" s="55">
        <v>0</v>
      </c>
      <c r="E49" s="55">
        <v>11300</v>
      </c>
      <c r="F49" s="99">
        <f ca="1">IFERROR(__xludf.DUMMYFUNCTION("IMPORTRANGE(""https://docs.google.com/spreadsheets/d/1XL5vhW3sbDhbH9Cz0tuDiY8C3ctxq1tqvaCgkFb8cCA/edit?usp=sharing"",""หนองคาย!M492"")"),0)</f>
        <v>0</v>
      </c>
      <c r="G49" s="99">
        <f t="shared" ca="1" si="1"/>
        <v>0</v>
      </c>
      <c r="H49" s="402">
        <f t="shared" si="39"/>
        <v>100</v>
      </c>
      <c r="I49" s="402">
        <v>100</v>
      </c>
      <c r="J49" s="402">
        <v>0</v>
      </c>
      <c r="K49" s="55">
        <f ca="1">IFERROR(__xludf.DUMMYFUNCTION("IMPORTRANGE(""https://docs.google.com/spreadsheets/d/1XL5vhW3sbDhbH9Cz0tuDiY8C3ctxq1tqvaCgkFb8cCA/edit?usp=sharing"",""หนองคาย!J505"")"),0)</f>
        <v>0</v>
      </c>
      <c r="L49" s="99">
        <f t="shared" ca="1" si="4"/>
        <v>0</v>
      </c>
      <c r="M49" s="55">
        <f ca="1">IFERROR(__xludf.DUMMYFUNCTION("IMPORTRANGE(""https://docs.google.com/spreadsheets/d/1XL5vhW3sbDhbH9Cz0tuDiY8C3ctxq1tqvaCgkFb8cCA/edit?usp=sharing"",""หนองคาย!J506"")"),0)</f>
        <v>0</v>
      </c>
      <c r="N49" s="99">
        <f t="shared" ca="1" si="5"/>
        <v>0</v>
      </c>
      <c r="O49" s="55">
        <f ca="1">IFERROR(__xludf.DUMMYFUNCTION("IMPORTRANGE(""https://docs.google.com/spreadsheets/d/1XL5vhW3sbDhbH9Cz0tuDiY8C3ctxq1tqvaCgkFb8cCA/edit?usp=sharing"",""หนองคาย!J507"")"),0)</f>
        <v>0</v>
      </c>
      <c r="P49" s="99">
        <f t="shared" ca="1" si="6"/>
        <v>0</v>
      </c>
      <c r="Q49" s="55">
        <f ca="1">IFERROR(__xludf.DUMMYFUNCTION("IMPORTRANGE(""https://docs.google.com/spreadsheets/d/1XL5vhW3sbDhbH9Cz0tuDiY8C3ctxq1tqvaCgkFb8cCA/edit?usp=sharing"",""หนองคาย!J508"")"),0)</f>
        <v>0</v>
      </c>
      <c r="R49" s="99">
        <f t="shared" ca="1" si="7"/>
        <v>0</v>
      </c>
      <c r="S49" s="55">
        <f ca="1">IFERROR(__xludf.DUMMYFUNCTION("IMPORTRANGE(""https://docs.google.com/spreadsheets/d/1XL5vhW3sbDhbH9Cz0tuDiY8C3ctxq1tqvaCgkFb8cCA/edit?usp=sharing"",""หนองคาย!J509"")"),0)</f>
        <v>0</v>
      </c>
      <c r="T49" s="99">
        <f t="shared" ca="1" si="8"/>
        <v>0</v>
      </c>
      <c r="U49" s="451">
        <f t="shared" ca="1" si="40"/>
        <v>0</v>
      </c>
      <c r="V49" s="99">
        <f t="shared" ca="1" si="9"/>
        <v>0</v>
      </c>
      <c r="W49" s="451">
        <f ca="1">IFERROR(__xludf.DUMMYFUNCTION("IMPORTRANGE(""https://docs.google.com/spreadsheets/d/1XL5vhW3sbDhbH9Cz0tuDiY8C3ctxq1tqvaCgkFb8cCA/edit?usp=sharing"",""หนองคาย!J511"")"),0)</f>
        <v>0</v>
      </c>
      <c r="X49" s="451">
        <f ca="1">IFERROR(__xludf.DUMMYFUNCTION("IMPORTRANGE(""https://docs.google.com/spreadsheets/d/1XL5vhW3sbDhbH9Cz0tuDiY8C3ctxq1tqvaCgkFb8cCA/edit?usp=sharing"",""หนองคาย!J512"")"),0)</f>
        <v>0</v>
      </c>
      <c r="Y49" s="55">
        <f t="shared" ca="1" si="41"/>
        <v>0</v>
      </c>
      <c r="Z49" s="99">
        <f t="shared" ca="1" si="11"/>
        <v>0</v>
      </c>
      <c r="AA49" s="55">
        <f ca="1">IFERROR(__xludf.DUMMYFUNCTION("IMPORTRANGE(""https://docs.google.com/spreadsheets/d/1XL5vhW3sbDhbH9Cz0tuDiY8C3ctxq1tqvaCgkFb8cCA/edit?usp=sharing"",""หนองคาย!J515"")"),0)</f>
        <v>0</v>
      </c>
      <c r="AB49" s="55">
        <f ca="1">IFERROR(__xludf.DUMMYFUNCTION("IMPORTRANGE(""https://docs.google.com/spreadsheets/d/1XL5vhW3sbDhbH9Cz0tuDiY8C3ctxq1tqvaCgkFb8cCA/edit?usp=sharing"",""หนองคาย!J516"")"),0)</f>
        <v>0</v>
      </c>
      <c r="AC49" s="55">
        <f ca="1">IFERROR(__xludf.DUMMYFUNCTION("IMPORTRANGE(""https://docs.google.com/spreadsheets/d/1XL5vhW3sbDhbH9Cz0tuDiY8C3ctxq1tqvaCgkFb8cCA/edit?usp=sharing"",""หนองคาย!J518"")"),0)</f>
        <v>0</v>
      </c>
      <c r="AD49" s="422">
        <f ca="1">IFERROR(__xludf.DUMMYFUNCTION("IMPORTRANGE(""https://docs.google.com/spreadsheets/d/1XL5vhW3sbDhbH9Cz0tuDiY8C3ctxq1tqvaCgkFb8cCA/edit?usp=sharing"",""หนองคาย!J519"")"),0)</f>
        <v>0</v>
      </c>
    </row>
    <row r="50" spans="1:30" ht="24" customHeight="1" x14ac:dyDescent="0.5">
      <c r="A50" s="273">
        <v>17</v>
      </c>
      <c r="B50" s="274" t="s">
        <v>65</v>
      </c>
      <c r="C50" s="275">
        <f t="shared" si="38"/>
        <v>11300</v>
      </c>
      <c r="D50" s="55">
        <v>0</v>
      </c>
      <c r="E50" s="55">
        <v>11300</v>
      </c>
      <c r="F50" s="99">
        <f ca="1">IFERROR(__xludf.DUMMYFUNCTION("IMPORTRANGE(""https://docs.google.com/spreadsheets/d/1XL5vhW3sbDhbH9Cz0tuDiY8C3ctxq1tqvaCgkFb8cCA/edit?usp=sharing"",""หนองบัวลำภู!M492"")"),2795)</f>
        <v>2795</v>
      </c>
      <c r="G50" s="99">
        <f t="shared" ca="1" si="1"/>
        <v>24.734513274336283</v>
      </c>
      <c r="H50" s="402">
        <f t="shared" si="39"/>
        <v>100</v>
      </c>
      <c r="I50" s="402">
        <v>100</v>
      </c>
      <c r="J50" s="402">
        <v>0</v>
      </c>
      <c r="K50" s="55" t="str">
        <f ca="1">IFERROR(__xludf.DUMMYFUNCTION("IMPORTRANGE(""https://docs.google.com/spreadsheets/d/1XL5vhW3sbDhbH9Cz0tuDiY8C3ctxq1tqvaCgkFb8cCA/edit?usp=sharing"",""หนองบัวลำภู!J505"")"),"")</f>
        <v/>
      </c>
      <c r="L50" s="99" t="e">
        <f t="shared" ca="1" si="4"/>
        <v>#VALUE!</v>
      </c>
      <c r="M50" s="55">
        <f ca="1">IFERROR(__xludf.DUMMYFUNCTION("IMPORTRANGE(""https://docs.google.com/spreadsheets/d/1XL5vhW3sbDhbH9Cz0tuDiY8C3ctxq1tqvaCgkFb8cCA/edit?usp=sharing"",""หนองบัวลำภู!J506"")"),0)</f>
        <v>0</v>
      </c>
      <c r="N50" s="99">
        <f t="shared" ca="1" si="5"/>
        <v>0</v>
      </c>
      <c r="O50" s="55">
        <f ca="1">IFERROR(__xludf.DUMMYFUNCTION("IMPORTRANGE(""https://docs.google.com/spreadsheets/d/1XL5vhW3sbDhbH9Cz0tuDiY8C3ctxq1tqvaCgkFb8cCA/edit?usp=sharing"",""หนองบัวลำภู!J507"")"),0)</f>
        <v>0</v>
      </c>
      <c r="P50" s="99">
        <f t="shared" ca="1" si="6"/>
        <v>0</v>
      </c>
      <c r="Q50" s="55">
        <f ca="1">IFERROR(__xludf.DUMMYFUNCTION("IMPORTRANGE(""https://docs.google.com/spreadsheets/d/1XL5vhW3sbDhbH9Cz0tuDiY8C3ctxq1tqvaCgkFb8cCA/edit?usp=sharing"",""หนองบัวลำภู!J508"")"),0)</f>
        <v>0</v>
      </c>
      <c r="R50" s="99">
        <f t="shared" ca="1" si="7"/>
        <v>0</v>
      </c>
      <c r="S50" s="55">
        <f ca="1">IFERROR(__xludf.DUMMYFUNCTION("IMPORTRANGE(""https://docs.google.com/spreadsheets/d/1XL5vhW3sbDhbH9Cz0tuDiY8C3ctxq1tqvaCgkFb8cCA/edit?usp=sharing"",""หนองบัวลำภู!J509"")"),0)</f>
        <v>0</v>
      </c>
      <c r="T50" s="99">
        <f t="shared" ca="1" si="8"/>
        <v>0</v>
      </c>
      <c r="U50" s="451">
        <f t="shared" ca="1" si="40"/>
        <v>0</v>
      </c>
      <c r="V50" s="99">
        <f t="shared" ca="1" si="9"/>
        <v>0</v>
      </c>
      <c r="W50" s="451">
        <f ca="1">IFERROR(__xludf.DUMMYFUNCTION("IMPORTRANGE(""https://docs.google.com/spreadsheets/d/1XL5vhW3sbDhbH9Cz0tuDiY8C3ctxq1tqvaCgkFb8cCA/edit?usp=sharing"",""หนองบัวลำภู!J511"")"),0)</f>
        <v>0</v>
      </c>
      <c r="X50" s="451">
        <f ca="1">IFERROR(__xludf.DUMMYFUNCTION("IMPORTRANGE(""https://docs.google.com/spreadsheets/d/1XL5vhW3sbDhbH9Cz0tuDiY8C3ctxq1tqvaCgkFb8cCA/edit?usp=sharing"",""หนองบัวลำภู!J512"")"),0)</f>
        <v>0</v>
      </c>
      <c r="Y50" s="55">
        <f t="shared" ca="1" si="41"/>
        <v>0</v>
      </c>
      <c r="Z50" s="99">
        <f t="shared" ca="1" si="11"/>
        <v>0</v>
      </c>
      <c r="AA50" s="55">
        <f ca="1">IFERROR(__xludf.DUMMYFUNCTION("IMPORTRANGE(""https://docs.google.com/spreadsheets/d/1XL5vhW3sbDhbH9Cz0tuDiY8C3ctxq1tqvaCgkFb8cCA/edit?usp=sharing"",""หนองบัวลำภู!J515"")"),0)</f>
        <v>0</v>
      </c>
      <c r="AB50" s="55">
        <f ca="1">IFERROR(__xludf.DUMMYFUNCTION("IMPORTRANGE(""https://docs.google.com/spreadsheets/d/1XL5vhW3sbDhbH9Cz0tuDiY8C3ctxq1tqvaCgkFb8cCA/edit?usp=sharing"",""หนองบัวลำภู!J516"")"),0)</f>
        <v>0</v>
      </c>
      <c r="AC50" s="55">
        <f ca="1">IFERROR(__xludf.DUMMYFUNCTION("IMPORTRANGE(""https://docs.google.com/spreadsheets/d/1XL5vhW3sbDhbH9Cz0tuDiY8C3ctxq1tqvaCgkFb8cCA/edit?usp=sharing"",""หนองบัวลำภู!J518"")"),0)</f>
        <v>0</v>
      </c>
      <c r="AD50" s="422">
        <f ca="1">IFERROR(__xludf.DUMMYFUNCTION("IMPORTRANGE(""https://docs.google.com/spreadsheets/d/1XL5vhW3sbDhbH9Cz0tuDiY8C3ctxq1tqvaCgkFb8cCA/edit?usp=sharing"",""หนองบัวลำภู!J519"")"),0)</f>
        <v>0</v>
      </c>
    </row>
    <row r="51" spans="1:30" ht="24" customHeight="1" x14ac:dyDescent="0.5">
      <c r="A51" s="273">
        <v>18</v>
      </c>
      <c r="B51" s="274" t="s">
        <v>66</v>
      </c>
      <c r="C51" s="275">
        <f t="shared" si="38"/>
        <v>4550</v>
      </c>
      <c r="D51" s="55">
        <v>0</v>
      </c>
      <c r="E51" s="55">
        <v>4550</v>
      </c>
      <c r="F51" s="99">
        <f ca="1">IFERROR(__xludf.DUMMYFUNCTION("IMPORTRANGE(""https://docs.google.com/spreadsheets/d/1XL5vhW3sbDhbH9Cz0tuDiY8C3ctxq1tqvaCgkFb8cCA/edit?usp=sharing"",""อำนาจเจริญ!M492"")"),0)</f>
        <v>0</v>
      </c>
      <c r="G51" s="99">
        <f t="shared" ca="1" si="1"/>
        <v>0</v>
      </c>
      <c r="H51" s="402">
        <f t="shared" si="39"/>
        <v>50</v>
      </c>
      <c r="I51" s="402">
        <v>50</v>
      </c>
      <c r="J51" s="402">
        <v>0</v>
      </c>
      <c r="K51" s="55">
        <f ca="1">IFERROR(__xludf.DUMMYFUNCTION("IMPORTRANGE(""https://docs.google.com/spreadsheets/d/1XL5vhW3sbDhbH9Cz0tuDiY8C3ctxq1tqvaCgkFb8cCA/edit?usp=sharing"",""อำนาจเจริญ!J505"")"),0)</f>
        <v>0</v>
      </c>
      <c r="L51" s="99">
        <f t="shared" ca="1" si="4"/>
        <v>0</v>
      </c>
      <c r="M51" s="55">
        <f ca="1">IFERROR(__xludf.DUMMYFUNCTION("IMPORTRANGE(""https://docs.google.com/spreadsheets/d/1XL5vhW3sbDhbH9Cz0tuDiY8C3ctxq1tqvaCgkFb8cCA/edit?usp=sharing"",""อำนาจเจริญ!J506"")"),0)</f>
        <v>0</v>
      </c>
      <c r="N51" s="99">
        <f t="shared" ca="1" si="5"/>
        <v>0</v>
      </c>
      <c r="O51" s="55">
        <f ca="1">IFERROR(__xludf.DUMMYFUNCTION("IMPORTRANGE(""https://docs.google.com/spreadsheets/d/1XL5vhW3sbDhbH9Cz0tuDiY8C3ctxq1tqvaCgkFb8cCA/edit?usp=sharing"",""อำนาจเจริญ!J507"")"),0)</f>
        <v>0</v>
      </c>
      <c r="P51" s="99">
        <f t="shared" ca="1" si="6"/>
        <v>0</v>
      </c>
      <c r="Q51" s="55">
        <f ca="1">IFERROR(__xludf.DUMMYFUNCTION("IMPORTRANGE(""https://docs.google.com/spreadsheets/d/1XL5vhW3sbDhbH9Cz0tuDiY8C3ctxq1tqvaCgkFb8cCA/edit?usp=sharing"",""อำนาจเจริญ!J508"")"),0)</f>
        <v>0</v>
      </c>
      <c r="R51" s="99">
        <f t="shared" ca="1" si="7"/>
        <v>0</v>
      </c>
      <c r="S51" s="55">
        <f ca="1">IFERROR(__xludf.DUMMYFUNCTION("IMPORTRANGE(""https://docs.google.com/spreadsheets/d/1XL5vhW3sbDhbH9Cz0tuDiY8C3ctxq1tqvaCgkFb8cCA/edit?usp=sharing"",""อำนาจเจริญ!J509"")"),0)</f>
        <v>0</v>
      </c>
      <c r="T51" s="99">
        <f t="shared" ca="1" si="8"/>
        <v>0</v>
      </c>
      <c r="U51" s="451">
        <f t="shared" ca="1" si="40"/>
        <v>0</v>
      </c>
      <c r="V51" s="99">
        <f t="shared" ca="1" si="9"/>
        <v>0</v>
      </c>
      <c r="W51" s="451">
        <f ca="1">IFERROR(__xludf.DUMMYFUNCTION("IMPORTRANGE(""https://docs.google.com/spreadsheets/d/1XL5vhW3sbDhbH9Cz0tuDiY8C3ctxq1tqvaCgkFb8cCA/edit?usp=sharing"",""อำนาจเจริญ!J511"")"),0)</f>
        <v>0</v>
      </c>
      <c r="X51" s="451">
        <f ca="1">IFERROR(__xludf.DUMMYFUNCTION("IMPORTRANGE(""https://docs.google.com/spreadsheets/d/1XL5vhW3sbDhbH9Cz0tuDiY8C3ctxq1tqvaCgkFb8cCA/edit?usp=sharing"",""อำนาจเจริญ!J512"")"),0)</f>
        <v>0</v>
      </c>
      <c r="Y51" s="55">
        <f t="shared" ca="1" si="41"/>
        <v>0</v>
      </c>
      <c r="Z51" s="99">
        <f t="shared" ca="1" si="11"/>
        <v>0</v>
      </c>
      <c r="AA51" s="55">
        <f ca="1">IFERROR(__xludf.DUMMYFUNCTION("IMPORTRANGE(""https://docs.google.com/spreadsheets/d/1XL5vhW3sbDhbH9Cz0tuDiY8C3ctxq1tqvaCgkFb8cCA/edit?usp=sharing"",""อำนาจเจริญ!J515"")"),0)</f>
        <v>0</v>
      </c>
      <c r="AB51" s="55">
        <f ca="1">IFERROR(__xludf.DUMMYFUNCTION("IMPORTRANGE(""https://docs.google.com/spreadsheets/d/1XL5vhW3sbDhbH9Cz0tuDiY8C3ctxq1tqvaCgkFb8cCA/edit?usp=sharing"",""อำนาจเจริญ!J516"")"),0)</f>
        <v>0</v>
      </c>
      <c r="AC51" s="55">
        <f ca="1">IFERROR(__xludf.DUMMYFUNCTION("IMPORTRANGE(""https://docs.google.com/spreadsheets/d/1XL5vhW3sbDhbH9Cz0tuDiY8C3ctxq1tqvaCgkFb8cCA/edit?usp=sharing"",""อำนาจเจริญ!J518"")"),0)</f>
        <v>0</v>
      </c>
      <c r="AD51" s="422">
        <f ca="1">IFERROR(__xludf.DUMMYFUNCTION("IMPORTRANGE(""https://docs.google.com/spreadsheets/d/1XL5vhW3sbDhbH9Cz0tuDiY8C3ctxq1tqvaCgkFb8cCA/edit?usp=sharing"",""อำนาจเจริญ!J519"")"),0)</f>
        <v>0</v>
      </c>
    </row>
    <row r="52" spans="1:30" ht="24" customHeight="1" x14ac:dyDescent="0.5">
      <c r="A52" s="273">
        <v>19</v>
      </c>
      <c r="B52" s="274" t="s">
        <v>67</v>
      </c>
      <c r="C52" s="275">
        <f t="shared" si="38"/>
        <v>4550</v>
      </c>
      <c r="D52" s="55">
        <v>0</v>
      </c>
      <c r="E52" s="55">
        <v>4550</v>
      </c>
      <c r="F52" s="99">
        <f ca="1">IFERROR(__xludf.DUMMYFUNCTION("IMPORTRANGE(""https://docs.google.com/spreadsheets/d/1XL5vhW3sbDhbH9Cz0tuDiY8C3ctxq1tqvaCgkFb8cCA/edit?usp=sharing"",""อุดรธานี!M492"")"),0)</f>
        <v>0</v>
      </c>
      <c r="G52" s="99">
        <f t="shared" ca="1" si="1"/>
        <v>0</v>
      </c>
      <c r="H52" s="402">
        <f t="shared" si="39"/>
        <v>50</v>
      </c>
      <c r="I52" s="402">
        <v>50</v>
      </c>
      <c r="J52" s="402">
        <v>0</v>
      </c>
      <c r="K52" s="55">
        <f ca="1">IFERROR(__xludf.DUMMYFUNCTION("IMPORTRANGE(""https://docs.google.com/spreadsheets/d/1XL5vhW3sbDhbH9Cz0tuDiY8C3ctxq1tqvaCgkFb8cCA/edit?usp=sharing"",""อุดรธานี!J505"")"),0)</f>
        <v>0</v>
      </c>
      <c r="L52" s="99">
        <f t="shared" ca="1" si="4"/>
        <v>0</v>
      </c>
      <c r="M52" s="55">
        <f ca="1">IFERROR(__xludf.DUMMYFUNCTION("IMPORTRANGE(""https://docs.google.com/spreadsheets/d/1XL5vhW3sbDhbH9Cz0tuDiY8C3ctxq1tqvaCgkFb8cCA/edit?usp=sharing"",""อุดรธานี!J506"")"),0)</f>
        <v>0</v>
      </c>
      <c r="N52" s="99">
        <f t="shared" ca="1" si="5"/>
        <v>0</v>
      </c>
      <c r="O52" s="55">
        <f ca="1">IFERROR(__xludf.DUMMYFUNCTION("IMPORTRANGE(""https://docs.google.com/spreadsheets/d/1XL5vhW3sbDhbH9Cz0tuDiY8C3ctxq1tqvaCgkFb8cCA/edit?usp=sharing"",""อุดรธานี!J507"")"),0)</f>
        <v>0</v>
      </c>
      <c r="P52" s="99">
        <f t="shared" ca="1" si="6"/>
        <v>0</v>
      </c>
      <c r="Q52" s="55">
        <f ca="1">IFERROR(__xludf.DUMMYFUNCTION("IMPORTRANGE(""https://docs.google.com/spreadsheets/d/1XL5vhW3sbDhbH9Cz0tuDiY8C3ctxq1tqvaCgkFb8cCA/edit?usp=sharing"",""อุดรธานี!J508"")"),0)</f>
        <v>0</v>
      </c>
      <c r="R52" s="99">
        <f t="shared" ca="1" si="7"/>
        <v>0</v>
      </c>
      <c r="S52" s="55">
        <f ca="1">IFERROR(__xludf.DUMMYFUNCTION("IMPORTRANGE(""https://docs.google.com/spreadsheets/d/1XL5vhW3sbDhbH9Cz0tuDiY8C3ctxq1tqvaCgkFb8cCA/edit?usp=sharing"",""อุดรธานี!J509"")"),0)</f>
        <v>0</v>
      </c>
      <c r="T52" s="99">
        <f t="shared" ca="1" si="8"/>
        <v>0</v>
      </c>
      <c r="U52" s="451">
        <f t="shared" ca="1" si="40"/>
        <v>0</v>
      </c>
      <c r="V52" s="99">
        <f t="shared" ca="1" si="9"/>
        <v>0</v>
      </c>
      <c r="W52" s="451">
        <f ca="1">IFERROR(__xludf.DUMMYFUNCTION("IMPORTRANGE(""https://docs.google.com/spreadsheets/d/1XL5vhW3sbDhbH9Cz0tuDiY8C3ctxq1tqvaCgkFb8cCA/edit?usp=sharing"",""อุดรธานี!J511"")"),0)</f>
        <v>0</v>
      </c>
      <c r="X52" s="451">
        <f ca="1">IFERROR(__xludf.DUMMYFUNCTION("IMPORTRANGE(""https://docs.google.com/spreadsheets/d/1XL5vhW3sbDhbH9Cz0tuDiY8C3ctxq1tqvaCgkFb8cCA/edit?usp=sharing"",""อุดรธานี!J512"")"),0)</f>
        <v>0</v>
      </c>
      <c r="Y52" s="55">
        <f t="shared" ca="1" si="41"/>
        <v>0</v>
      </c>
      <c r="Z52" s="99">
        <f t="shared" ca="1" si="11"/>
        <v>0</v>
      </c>
      <c r="AA52" s="55">
        <f ca="1">IFERROR(__xludf.DUMMYFUNCTION("IMPORTRANGE(""https://docs.google.com/spreadsheets/d/1XL5vhW3sbDhbH9Cz0tuDiY8C3ctxq1tqvaCgkFb8cCA/edit?usp=sharing"",""อุดรธานี!J515"")"),0)</f>
        <v>0</v>
      </c>
      <c r="AB52" s="55">
        <f ca="1">IFERROR(__xludf.DUMMYFUNCTION("IMPORTRANGE(""https://docs.google.com/spreadsheets/d/1XL5vhW3sbDhbH9Cz0tuDiY8C3ctxq1tqvaCgkFb8cCA/edit?usp=sharing"",""อุดรธานี!J516"")"),0)</f>
        <v>0</v>
      </c>
      <c r="AC52" s="55">
        <f ca="1">IFERROR(__xludf.DUMMYFUNCTION("IMPORTRANGE(""https://docs.google.com/spreadsheets/d/1XL5vhW3sbDhbH9Cz0tuDiY8C3ctxq1tqvaCgkFb8cCA/edit?usp=sharing"",""อุดรธานี!J518"")"),0)</f>
        <v>0</v>
      </c>
      <c r="AD52" s="422">
        <f ca="1">IFERROR(__xludf.DUMMYFUNCTION("IMPORTRANGE(""https://docs.google.com/spreadsheets/d/1XL5vhW3sbDhbH9Cz0tuDiY8C3ctxq1tqvaCgkFb8cCA/edit?usp=sharing"",""อุดรธานี!J519"")"),0)</f>
        <v>0</v>
      </c>
    </row>
    <row r="53" spans="1:30" ht="24" customHeight="1" x14ac:dyDescent="0.5">
      <c r="A53" s="278">
        <v>20</v>
      </c>
      <c r="B53" s="279" t="s">
        <v>68</v>
      </c>
      <c r="C53" s="280">
        <f t="shared" si="38"/>
        <v>4550</v>
      </c>
      <c r="D53" s="62">
        <v>0</v>
      </c>
      <c r="E53" s="62">
        <v>4550</v>
      </c>
      <c r="F53" s="100">
        <f ca="1">IFERROR(__xludf.DUMMYFUNCTION("IMPORTRANGE(""https://docs.google.com/spreadsheets/d/1XL5vhW3sbDhbH9Cz0tuDiY8C3ctxq1tqvaCgkFb8cCA/edit?usp=sharing"",""อุบลราชธานี!M492"")"),0)</f>
        <v>0</v>
      </c>
      <c r="G53" s="100">
        <f t="shared" ca="1" si="1"/>
        <v>0</v>
      </c>
      <c r="H53" s="406">
        <f t="shared" si="39"/>
        <v>50</v>
      </c>
      <c r="I53" s="406">
        <v>50</v>
      </c>
      <c r="J53" s="406">
        <v>0</v>
      </c>
      <c r="K53" s="62">
        <f ca="1">IFERROR(__xludf.DUMMYFUNCTION("IMPORTRANGE(""https://docs.google.com/spreadsheets/d/1XL5vhW3sbDhbH9Cz0tuDiY8C3ctxq1tqvaCgkFb8cCA/edit?usp=sharing"",""อุบลราชธานี!J505"")"),0)</f>
        <v>0</v>
      </c>
      <c r="L53" s="100">
        <f t="shared" ca="1" si="4"/>
        <v>0</v>
      </c>
      <c r="M53" s="62">
        <f ca="1">IFERROR(__xludf.DUMMYFUNCTION("IMPORTRANGE(""https://docs.google.com/spreadsheets/d/1XL5vhW3sbDhbH9Cz0tuDiY8C3ctxq1tqvaCgkFb8cCA/edit?usp=sharing"",""อุบลราชธานี!J506"")"),0)</f>
        <v>0</v>
      </c>
      <c r="N53" s="100">
        <f t="shared" ca="1" si="5"/>
        <v>0</v>
      </c>
      <c r="O53" s="62">
        <f ca="1">IFERROR(__xludf.DUMMYFUNCTION("IMPORTRANGE(""https://docs.google.com/spreadsheets/d/1XL5vhW3sbDhbH9Cz0tuDiY8C3ctxq1tqvaCgkFb8cCA/edit?usp=sharing"",""อุบลราชธานี!J507"")"),0)</f>
        <v>0</v>
      </c>
      <c r="P53" s="100">
        <f t="shared" ca="1" si="6"/>
        <v>0</v>
      </c>
      <c r="Q53" s="62">
        <f ca="1">IFERROR(__xludf.DUMMYFUNCTION("IMPORTRANGE(""https://docs.google.com/spreadsheets/d/1XL5vhW3sbDhbH9Cz0tuDiY8C3ctxq1tqvaCgkFb8cCA/edit?usp=sharing"",""อุบลราชธานี!J508"")"),0)</f>
        <v>0</v>
      </c>
      <c r="R53" s="100">
        <f t="shared" ca="1" si="7"/>
        <v>0</v>
      </c>
      <c r="S53" s="62">
        <f ca="1">IFERROR(__xludf.DUMMYFUNCTION("IMPORTRANGE(""https://docs.google.com/spreadsheets/d/1XL5vhW3sbDhbH9Cz0tuDiY8C3ctxq1tqvaCgkFb8cCA/edit?usp=sharing"",""อุบลราชธานี!J509"")"),0)</f>
        <v>0</v>
      </c>
      <c r="T53" s="100">
        <f t="shared" ca="1" si="8"/>
        <v>0</v>
      </c>
      <c r="U53" s="452">
        <f t="shared" ca="1" si="40"/>
        <v>0</v>
      </c>
      <c r="V53" s="100">
        <f t="shared" ca="1" si="9"/>
        <v>0</v>
      </c>
      <c r="W53" s="452">
        <f ca="1">IFERROR(__xludf.DUMMYFUNCTION("IMPORTRANGE(""https://docs.google.com/spreadsheets/d/1XL5vhW3sbDhbH9Cz0tuDiY8C3ctxq1tqvaCgkFb8cCA/edit?usp=sharing"",""อุบลราชธานี!J511"")"),0)</f>
        <v>0</v>
      </c>
      <c r="X53" s="452">
        <f ca="1">IFERROR(__xludf.DUMMYFUNCTION("IMPORTRANGE(""https://docs.google.com/spreadsheets/d/1XL5vhW3sbDhbH9Cz0tuDiY8C3ctxq1tqvaCgkFb8cCA/edit?usp=sharing"",""อุบลราชธานี!J512"")"),0)</f>
        <v>0</v>
      </c>
      <c r="Y53" s="62">
        <f t="shared" ca="1" si="41"/>
        <v>0</v>
      </c>
      <c r="Z53" s="100">
        <f t="shared" ca="1" si="11"/>
        <v>0</v>
      </c>
      <c r="AA53" s="62">
        <f ca="1">IFERROR(__xludf.DUMMYFUNCTION("IMPORTRANGE(""https://docs.google.com/spreadsheets/d/1XL5vhW3sbDhbH9Cz0tuDiY8C3ctxq1tqvaCgkFb8cCA/edit?usp=sharing"",""อุบลราชธานี!J515"")"),0)</f>
        <v>0</v>
      </c>
      <c r="AB53" s="62">
        <f ca="1">IFERROR(__xludf.DUMMYFUNCTION("IMPORTRANGE(""https://docs.google.com/spreadsheets/d/1XL5vhW3sbDhbH9Cz0tuDiY8C3ctxq1tqvaCgkFb8cCA/edit?usp=sharing"",""อุบลราชธานี!J516"")"),0)</f>
        <v>0</v>
      </c>
      <c r="AC53" s="62">
        <f ca="1">IFERROR(__xludf.DUMMYFUNCTION("IMPORTRANGE(""https://docs.google.com/spreadsheets/d/1XL5vhW3sbDhbH9Cz0tuDiY8C3ctxq1tqvaCgkFb8cCA/edit?usp=sharing"",""อุบลราชธานี!J518"")"),0)</f>
        <v>0</v>
      </c>
      <c r="AD53" s="424">
        <f ca="1">IFERROR(__xludf.DUMMYFUNCTION("IMPORTRANGE(""https://docs.google.com/spreadsheets/d/1XL5vhW3sbDhbH9Cz0tuDiY8C3ctxq1tqvaCgkFb8cCA/edit?usp=sharing"",""อุบลราชธานี!J519"")"),0)</f>
        <v>0</v>
      </c>
    </row>
    <row r="54" spans="1:30" ht="24" customHeight="1" x14ac:dyDescent="0.5">
      <c r="A54" s="779" t="s">
        <v>69</v>
      </c>
      <c r="B54" s="569"/>
      <c r="C54" s="255">
        <f t="shared" ref="C54:F54" si="42">SUM(C55:C75)</f>
        <v>148960</v>
      </c>
      <c r="D54" s="66">
        <f t="shared" si="42"/>
        <v>0</v>
      </c>
      <c r="E54" s="66">
        <f t="shared" si="42"/>
        <v>148960</v>
      </c>
      <c r="F54" s="101">
        <f t="shared" ca="1" si="42"/>
        <v>8060</v>
      </c>
      <c r="G54" s="101">
        <f t="shared" ca="1" si="1"/>
        <v>5.4108485499462944</v>
      </c>
      <c r="H54" s="66">
        <f t="shared" ref="H54:K54" si="43">SUM(H55:H75)</f>
        <v>3683</v>
      </c>
      <c r="I54" s="66">
        <f t="shared" si="43"/>
        <v>1632</v>
      </c>
      <c r="J54" s="66">
        <f t="shared" si="43"/>
        <v>2051</v>
      </c>
      <c r="K54" s="66">
        <f t="shared" ca="1" si="43"/>
        <v>132.91999999999999</v>
      </c>
      <c r="L54" s="101">
        <f t="shared" ca="1" si="4"/>
        <v>3.6090143904425735</v>
      </c>
      <c r="M54" s="66">
        <f ca="1">SUM(M55:M75)</f>
        <v>123.04</v>
      </c>
      <c r="N54" s="101">
        <f t="shared" ca="1" si="5"/>
        <v>3.3407548194406735</v>
      </c>
      <c r="O54" s="66">
        <f ca="1">SUM(O55:O75)</f>
        <v>0</v>
      </c>
      <c r="P54" s="101">
        <f t="shared" ca="1" si="6"/>
        <v>0</v>
      </c>
      <c r="Q54" s="66">
        <f ca="1">SUM(Q55:Q75)</f>
        <v>0</v>
      </c>
      <c r="R54" s="101">
        <f t="shared" ca="1" si="7"/>
        <v>0</v>
      </c>
      <c r="S54" s="66">
        <f ca="1">SUM(S55:S75)</f>
        <v>0</v>
      </c>
      <c r="T54" s="101">
        <f t="shared" ca="1" si="8"/>
        <v>0</v>
      </c>
      <c r="U54" s="66">
        <f ca="1">SUM(U55:U75)</f>
        <v>0</v>
      </c>
      <c r="V54" s="101">
        <f t="shared" ca="1" si="9"/>
        <v>0</v>
      </c>
      <c r="W54" s="66">
        <f t="shared" ref="W54:Y54" ca="1" si="44">SUM(W55:W75)</f>
        <v>0</v>
      </c>
      <c r="X54" s="66">
        <f t="shared" ca="1" si="44"/>
        <v>0</v>
      </c>
      <c r="Y54" s="66">
        <f t="shared" ca="1" si="44"/>
        <v>0</v>
      </c>
      <c r="Z54" s="101">
        <f t="shared" ca="1" si="11"/>
        <v>0</v>
      </c>
      <c r="AA54" s="66">
        <f t="shared" ref="AA54:AD54" ca="1" si="45">SUM(AA55:AA75)</f>
        <v>0</v>
      </c>
      <c r="AB54" s="66">
        <f t="shared" ca="1" si="45"/>
        <v>0</v>
      </c>
      <c r="AC54" s="66">
        <f t="shared" ca="1" si="45"/>
        <v>0</v>
      </c>
      <c r="AD54" s="414">
        <f t="shared" ca="1" si="45"/>
        <v>0</v>
      </c>
    </row>
    <row r="55" spans="1:30" ht="24" customHeight="1" x14ac:dyDescent="0.5">
      <c r="A55" s="268">
        <v>1</v>
      </c>
      <c r="B55" s="269" t="s">
        <v>70</v>
      </c>
      <c r="C55" s="270">
        <f t="shared" ref="C55:C75" si="46">+D55+E55</f>
        <v>18300</v>
      </c>
      <c r="D55" s="48">
        <v>0</v>
      </c>
      <c r="E55" s="48">
        <v>18300</v>
      </c>
      <c r="F55" s="98">
        <f ca="1">IFERROR(__xludf.DUMMYFUNCTION("IMPORTRANGE(""https://docs.google.com/spreadsheets/d/1SX6NBoVAgQJ6U1MVXOaj8PK2l7WJ3RER9xtqwdhxkhw/edit?usp=sharing"",""กาญจนบุรี!M492"")"),0)</f>
        <v>0</v>
      </c>
      <c r="G55" s="98">
        <f t="shared" ca="1" si="1"/>
        <v>0</v>
      </c>
      <c r="H55" s="398">
        <f t="shared" ref="H55:H75" si="47">+I55+J55</f>
        <v>300</v>
      </c>
      <c r="I55" s="398">
        <v>300</v>
      </c>
      <c r="J55" s="398">
        <v>0</v>
      </c>
      <c r="K55" s="48">
        <f ca="1">IFERROR(__xludf.DUMMYFUNCTION("IMPORTRANGE(""https://docs.google.com/spreadsheets/d/1SX6NBoVAgQJ6U1MVXOaj8PK2l7WJ3RER9xtqwdhxkhw/edit?usp=sharing"",""กาญจนบุรี!J505"")"),0)</f>
        <v>0</v>
      </c>
      <c r="L55" s="98">
        <f t="shared" ca="1" si="4"/>
        <v>0</v>
      </c>
      <c r="M55" s="48">
        <f ca="1">IFERROR(__xludf.DUMMYFUNCTION("IMPORTRANGE(""https://docs.google.com/spreadsheets/d/1SX6NBoVAgQJ6U1MVXOaj8PK2l7WJ3RER9xtqwdhxkhw/edit?usp=sharing"",""กาญจนบุรี!J506"")"),0)</f>
        <v>0</v>
      </c>
      <c r="N55" s="98">
        <f t="shared" ca="1" si="5"/>
        <v>0</v>
      </c>
      <c r="O55" s="48">
        <f ca="1">IFERROR(__xludf.DUMMYFUNCTION("IMPORTRANGE(""https://docs.google.com/spreadsheets/d/1SX6NBoVAgQJ6U1MVXOaj8PK2l7WJ3RER9xtqwdhxkhw/edit?usp=sharing"",""กาญจนบุรี!J507"")"),0)</f>
        <v>0</v>
      </c>
      <c r="P55" s="98">
        <f t="shared" ca="1" si="6"/>
        <v>0</v>
      </c>
      <c r="Q55" s="48">
        <f ca="1">IFERROR(__xludf.DUMMYFUNCTION("IMPORTRANGE(""https://docs.google.com/spreadsheets/d/1SX6NBoVAgQJ6U1MVXOaj8PK2l7WJ3RER9xtqwdhxkhw/edit?usp=sharing"",""กาญจนบุรี!J508"")"),0)</f>
        <v>0</v>
      </c>
      <c r="R55" s="98">
        <f t="shared" ca="1" si="7"/>
        <v>0</v>
      </c>
      <c r="S55" s="48">
        <f ca="1">IFERROR(__xludf.DUMMYFUNCTION("IMPORTRANGE(""https://docs.google.com/spreadsheets/d/1SX6NBoVAgQJ6U1MVXOaj8PK2l7WJ3RER9xtqwdhxkhw/edit?usp=sharing"",""กาญจนบุรี!J509"")"),0)</f>
        <v>0</v>
      </c>
      <c r="T55" s="98">
        <f t="shared" ca="1" si="8"/>
        <v>0</v>
      </c>
      <c r="U55" s="450">
        <f t="shared" ref="U55:U75" ca="1" si="48">SUM(W55,X55)</f>
        <v>0</v>
      </c>
      <c r="V55" s="98">
        <f t="shared" ca="1" si="9"/>
        <v>0</v>
      </c>
      <c r="W55" s="450">
        <f ca="1">IFERROR(__xludf.DUMMYFUNCTION("IMPORTRANGE(""https://docs.google.com/spreadsheets/d/1SX6NBoVAgQJ6U1MVXOaj8PK2l7WJ3RER9xtqwdhxkhw/edit?usp=sharing"",""กาญจนบุรี!J511"")"),0)</f>
        <v>0</v>
      </c>
      <c r="X55" s="450">
        <f ca="1">IFERROR(__xludf.DUMMYFUNCTION("IMPORTRANGE(""https://docs.google.com/spreadsheets/d/1SX6NBoVAgQJ6U1MVXOaj8PK2l7WJ3RER9xtqwdhxkhw/edit?usp=sharing"",""กาญจนบุรี!J512"")"),0)</f>
        <v>0</v>
      </c>
      <c r="Y55" s="48">
        <f t="shared" ref="Y55:Y75" ca="1" si="49">SUM(AA55,AB55)</f>
        <v>0</v>
      </c>
      <c r="Z55" s="98">
        <f t="shared" ca="1" si="11"/>
        <v>0</v>
      </c>
      <c r="AA55" s="48">
        <f ca="1">IFERROR(__xludf.DUMMYFUNCTION("IMPORTRANGE(""https://docs.google.com/spreadsheets/d/1SX6NBoVAgQJ6U1MVXOaj8PK2l7WJ3RER9xtqwdhxkhw/edit?usp=sharing"",""กาญจนบุรี!J515"")"),0)</f>
        <v>0</v>
      </c>
      <c r="AB55" s="48">
        <f ca="1">IFERROR(__xludf.DUMMYFUNCTION("IMPORTRANGE(""https://docs.google.com/spreadsheets/d/1SX6NBoVAgQJ6U1MVXOaj8PK2l7WJ3RER9xtqwdhxkhw/edit?usp=sharing"",""กาญจนบุรี!J516"")"),0)</f>
        <v>0</v>
      </c>
      <c r="AC55" s="48">
        <f ca="1">IFERROR(__xludf.DUMMYFUNCTION("IMPORTRANGE(""https://docs.google.com/spreadsheets/d/1SX6NBoVAgQJ6U1MVXOaj8PK2l7WJ3RER9xtqwdhxkhw/edit?usp=sharing"",""กาญจนบุรี!J518"")"),0)</f>
        <v>0</v>
      </c>
      <c r="AD55" s="420">
        <f ca="1">IFERROR(__xludf.DUMMYFUNCTION("IMPORTRANGE(""https://docs.google.com/spreadsheets/d/1SX6NBoVAgQJ6U1MVXOaj8PK2l7WJ3RER9xtqwdhxkhw/edit?usp=sharing"",""กาญจนบุรี!J519"")"),0)</f>
        <v>0</v>
      </c>
    </row>
    <row r="56" spans="1:30" ht="24" customHeight="1" x14ac:dyDescent="0.5">
      <c r="A56" s="273">
        <v>2</v>
      </c>
      <c r="B56" s="274" t="s">
        <v>71</v>
      </c>
      <c r="C56" s="275">
        <f t="shared" si="46"/>
        <v>4550</v>
      </c>
      <c r="D56" s="55">
        <v>0</v>
      </c>
      <c r="E56" s="55">
        <v>4550</v>
      </c>
      <c r="F56" s="99">
        <f ca="1">IFERROR(__xludf.DUMMYFUNCTION("IMPORTRANGE(""https://docs.google.com/spreadsheets/d/1SX6NBoVAgQJ6U1MVXOaj8PK2l7WJ3RER9xtqwdhxkhw/edit?usp=sharing"",""จันทบุรี!M492"")"),0)</f>
        <v>0</v>
      </c>
      <c r="G56" s="99">
        <f t="shared" ca="1" si="1"/>
        <v>0</v>
      </c>
      <c r="H56" s="402">
        <f t="shared" si="47"/>
        <v>50</v>
      </c>
      <c r="I56" s="402">
        <v>50</v>
      </c>
      <c r="J56" s="402">
        <v>0</v>
      </c>
      <c r="K56" s="55">
        <f ca="1">IFERROR(__xludf.DUMMYFUNCTION("IMPORTRANGE(""https://docs.google.com/spreadsheets/d/1SX6NBoVAgQJ6U1MVXOaj8PK2l7WJ3RER9xtqwdhxkhw/edit?usp=sharing"",""จันทบุรี!J505"")"),0)</f>
        <v>0</v>
      </c>
      <c r="L56" s="99">
        <f t="shared" ca="1" si="4"/>
        <v>0</v>
      </c>
      <c r="M56" s="55">
        <f ca="1">IFERROR(__xludf.DUMMYFUNCTION("IMPORTRANGE(""https://docs.google.com/spreadsheets/d/1SX6NBoVAgQJ6U1MVXOaj8PK2l7WJ3RER9xtqwdhxkhw/edit?usp=sharing"",""จันทบุรี!J506"")"),0)</f>
        <v>0</v>
      </c>
      <c r="N56" s="99">
        <f t="shared" ca="1" si="5"/>
        <v>0</v>
      </c>
      <c r="O56" s="55">
        <f ca="1">IFERROR(__xludf.DUMMYFUNCTION("IMPORTRANGE(""https://docs.google.com/spreadsheets/d/1SX6NBoVAgQJ6U1MVXOaj8PK2l7WJ3RER9xtqwdhxkhw/edit?usp=sharing"",""จันทบุรี!J507"")"),0)</f>
        <v>0</v>
      </c>
      <c r="P56" s="99">
        <f t="shared" ca="1" si="6"/>
        <v>0</v>
      </c>
      <c r="Q56" s="55">
        <f ca="1">IFERROR(__xludf.DUMMYFUNCTION("IMPORTRANGE(""https://docs.google.com/spreadsheets/d/1SX6NBoVAgQJ6U1MVXOaj8PK2l7WJ3RER9xtqwdhxkhw/edit?usp=sharing"",""จันทบุรี!J508"")"),0)</f>
        <v>0</v>
      </c>
      <c r="R56" s="99">
        <f t="shared" ca="1" si="7"/>
        <v>0</v>
      </c>
      <c r="S56" s="55">
        <f ca="1">IFERROR(__xludf.DUMMYFUNCTION("IMPORTRANGE(""https://docs.google.com/spreadsheets/d/1SX6NBoVAgQJ6U1MVXOaj8PK2l7WJ3RER9xtqwdhxkhw/edit?usp=sharing"",""จันทบุรี!J509"")"),0)</f>
        <v>0</v>
      </c>
      <c r="T56" s="99">
        <f t="shared" ca="1" si="8"/>
        <v>0</v>
      </c>
      <c r="U56" s="451">
        <f t="shared" ca="1" si="48"/>
        <v>0</v>
      </c>
      <c r="V56" s="99">
        <f t="shared" ca="1" si="9"/>
        <v>0</v>
      </c>
      <c r="W56" s="451">
        <f ca="1">IFERROR(__xludf.DUMMYFUNCTION("IMPORTRANGE(""https://docs.google.com/spreadsheets/d/1SX6NBoVAgQJ6U1MVXOaj8PK2l7WJ3RER9xtqwdhxkhw/edit?usp=sharing"",""จันทบุรี!J511"")"),0)</f>
        <v>0</v>
      </c>
      <c r="X56" s="451">
        <f ca="1">IFERROR(__xludf.DUMMYFUNCTION("IMPORTRANGE(""https://docs.google.com/spreadsheets/d/1SX6NBoVAgQJ6U1MVXOaj8PK2l7WJ3RER9xtqwdhxkhw/edit?usp=sharing"",""จันทบุรี!J512"")"),0)</f>
        <v>0</v>
      </c>
      <c r="Y56" s="55">
        <f t="shared" ca="1" si="49"/>
        <v>0</v>
      </c>
      <c r="Z56" s="99">
        <f t="shared" ca="1" si="11"/>
        <v>0</v>
      </c>
      <c r="AA56" s="55">
        <f ca="1">IFERROR(__xludf.DUMMYFUNCTION("IMPORTRANGE(""https://docs.google.com/spreadsheets/d/1SX6NBoVAgQJ6U1MVXOaj8PK2l7WJ3RER9xtqwdhxkhw/edit?usp=sharing"",""จันทบุรี!J515"")"),0)</f>
        <v>0</v>
      </c>
      <c r="AB56" s="55">
        <f ca="1">IFERROR(__xludf.DUMMYFUNCTION("IMPORTRANGE(""https://docs.google.com/spreadsheets/d/1SX6NBoVAgQJ6U1MVXOaj8PK2l7WJ3RER9xtqwdhxkhw/edit?usp=sharing"",""จันทบุรี!J516"")"),0)</f>
        <v>0</v>
      </c>
      <c r="AC56" s="55">
        <f ca="1">IFERROR(__xludf.DUMMYFUNCTION("IMPORTRANGE(""https://docs.google.com/spreadsheets/d/1SX6NBoVAgQJ6U1MVXOaj8PK2l7WJ3RER9xtqwdhxkhw/edit?usp=sharing"",""จันทบุรี!J518"")"),0)</f>
        <v>0</v>
      </c>
      <c r="AD56" s="422">
        <f ca="1">IFERROR(__xludf.DUMMYFUNCTION("IMPORTRANGE(""https://docs.google.com/spreadsheets/d/1SX6NBoVAgQJ6U1MVXOaj8PK2l7WJ3RER9xtqwdhxkhw/edit?usp=sharing"",""จันทบุรี!J519"")"),0)</f>
        <v>0</v>
      </c>
    </row>
    <row r="57" spans="1:30" ht="24" customHeight="1" x14ac:dyDescent="0.5">
      <c r="A57" s="273">
        <v>3</v>
      </c>
      <c r="B57" s="274" t="s">
        <v>72</v>
      </c>
      <c r="C57" s="275">
        <f t="shared" si="46"/>
        <v>5460</v>
      </c>
      <c r="D57" s="55">
        <v>0</v>
      </c>
      <c r="E57" s="55">
        <v>5460</v>
      </c>
      <c r="F57" s="99">
        <f ca="1">IFERROR(__xludf.DUMMYFUNCTION("IMPORTRANGE(""https://docs.google.com/spreadsheets/d/1SX6NBoVAgQJ6U1MVXOaj8PK2l7WJ3RER9xtqwdhxkhw/edit?usp=sharing"",""ฉะเชิงเทรา!M492"")"),900)</f>
        <v>900</v>
      </c>
      <c r="G57" s="99">
        <f t="shared" ca="1" si="1"/>
        <v>16.483516483516482</v>
      </c>
      <c r="H57" s="402">
        <f t="shared" si="47"/>
        <v>52</v>
      </c>
      <c r="I57" s="402">
        <v>52</v>
      </c>
      <c r="J57" s="402">
        <v>0</v>
      </c>
      <c r="K57" s="55">
        <f ca="1">IFERROR(__xludf.DUMMYFUNCTION("IMPORTRANGE(""https://docs.google.com/spreadsheets/d/1SX6NBoVAgQJ6U1MVXOaj8PK2l7WJ3RER9xtqwdhxkhw/edit?usp=sharing"",""ฉะเชิงเทรา!J505"")"),0)</f>
        <v>0</v>
      </c>
      <c r="L57" s="99">
        <f t="shared" ca="1" si="4"/>
        <v>0</v>
      </c>
      <c r="M57" s="55">
        <f ca="1">IFERROR(__xludf.DUMMYFUNCTION("IMPORTRANGE(""https://docs.google.com/spreadsheets/d/1SX6NBoVAgQJ6U1MVXOaj8PK2l7WJ3RER9xtqwdhxkhw/edit?usp=sharing"",""ฉะเชิงเทรา!J506"")"),0)</f>
        <v>0</v>
      </c>
      <c r="N57" s="99">
        <f t="shared" ca="1" si="5"/>
        <v>0</v>
      </c>
      <c r="O57" s="55">
        <f ca="1">IFERROR(__xludf.DUMMYFUNCTION("IMPORTRANGE(""https://docs.google.com/spreadsheets/d/1SX6NBoVAgQJ6U1MVXOaj8PK2l7WJ3RER9xtqwdhxkhw/edit?usp=sharing"",""ฉะเชิงเทรา!J507"")"),0)</f>
        <v>0</v>
      </c>
      <c r="P57" s="99">
        <f t="shared" ca="1" si="6"/>
        <v>0</v>
      </c>
      <c r="Q57" s="55">
        <f ca="1">IFERROR(__xludf.DUMMYFUNCTION("IMPORTRANGE(""https://docs.google.com/spreadsheets/d/1SX6NBoVAgQJ6U1MVXOaj8PK2l7WJ3RER9xtqwdhxkhw/edit?usp=sharing"",""ฉะเชิงเทรา!J508"")"),0)</f>
        <v>0</v>
      </c>
      <c r="R57" s="99">
        <f t="shared" ca="1" si="7"/>
        <v>0</v>
      </c>
      <c r="S57" s="55">
        <f ca="1">IFERROR(__xludf.DUMMYFUNCTION("IMPORTRANGE(""https://docs.google.com/spreadsheets/d/1SX6NBoVAgQJ6U1MVXOaj8PK2l7WJ3RER9xtqwdhxkhw/edit?usp=sharing"",""ฉะเชิงเทรา!J509"")"),0)</f>
        <v>0</v>
      </c>
      <c r="T57" s="99">
        <f t="shared" ca="1" si="8"/>
        <v>0</v>
      </c>
      <c r="U57" s="451">
        <f t="shared" ca="1" si="48"/>
        <v>0</v>
      </c>
      <c r="V57" s="99">
        <f t="shared" ca="1" si="9"/>
        <v>0</v>
      </c>
      <c r="W57" s="451">
        <f ca="1">IFERROR(__xludf.DUMMYFUNCTION("IMPORTRANGE(""https://docs.google.com/spreadsheets/d/1SX6NBoVAgQJ6U1MVXOaj8PK2l7WJ3RER9xtqwdhxkhw/edit?usp=sharing"",""ฉะเชิงเทรา!J511"")"),0)</f>
        <v>0</v>
      </c>
      <c r="X57" s="451">
        <f ca="1">IFERROR(__xludf.DUMMYFUNCTION("IMPORTRANGE(""https://docs.google.com/spreadsheets/d/1SX6NBoVAgQJ6U1MVXOaj8PK2l7WJ3RER9xtqwdhxkhw/edit?usp=sharing"",""ฉะเชิงเทรา!J512"")"),0)</f>
        <v>0</v>
      </c>
      <c r="Y57" s="55">
        <f t="shared" ca="1" si="49"/>
        <v>0</v>
      </c>
      <c r="Z57" s="99">
        <f t="shared" ca="1" si="11"/>
        <v>0</v>
      </c>
      <c r="AA57" s="55">
        <f ca="1">IFERROR(__xludf.DUMMYFUNCTION("IMPORTRANGE(""https://docs.google.com/spreadsheets/d/1SX6NBoVAgQJ6U1MVXOaj8PK2l7WJ3RER9xtqwdhxkhw/edit?usp=sharing"",""ฉะเชิงเทรา!J515"")"),0)</f>
        <v>0</v>
      </c>
      <c r="AB57" s="55">
        <f ca="1">IFERROR(__xludf.DUMMYFUNCTION("IMPORTRANGE(""https://docs.google.com/spreadsheets/d/1SX6NBoVAgQJ6U1MVXOaj8PK2l7WJ3RER9xtqwdhxkhw/edit?usp=sharing"",""ฉะเชิงเทรา!J516"")"),0)</f>
        <v>0</v>
      </c>
      <c r="AC57" s="55">
        <f ca="1">IFERROR(__xludf.DUMMYFUNCTION("IMPORTRANGE(""https://docs.google.com/spreadsheets/d/1SX6NBoVAgQJ6U1MVXOaj8PK2l7WJ3RER9xtqwdhxkhw/edit?usp=sharing"",""ฉะเชิงเทรา!J518"")"),0)</f>
        <v>0</v>
      </c>
      <c r="AD57" s="422">
        <f ca="1">IFERROR(__xludf.DUMMYFUNCTION("IMPORTRANGE(""https://docs.google.com/spreadsheets/d/1SX6NBoVAgQJ6U1MVXOaj8PK2l7WJ3RER9xtqwdhxkhw/edit?usp=sharing"",""ฉะเชิงเทรา!J519"")"),0)</f>
        <v>0</v>
      </c>
    </row>
    <row r="58" spans="1:30" ht="24" customHeight="1" x14ac:dyDescent="0.5">
      <c r="A58" s="273">
        <v>4</v>
      </c>
      <c r="B58" s="274" t="s">
        <v>73</v>
      </c>
      <c r="C58" s="275">
        <f t="shared" si="46"/>
        <v>4550</v>
      </c>
      <c r="D58" s="55">
        <v>0</v>
      </c>
      <c r="E58" s="55">
        <v>4550</v>
      </c>
      <c r="F58" s="99">
        <f ca="1">IFERROR(__xludf.DUMMYFUNCTION("IMPORTRANGE(""https://docs.google.com/spreadsheets/d/1SX6NBoVAgQJ6U1MVXOaj8PK2l7WJ3RER9xtqwdhxkhw/edit?usp=sharing"",""ชลบุรี!M492"")"),0)</f>
        <v>0</v>
      </c>
      <c r="G58" s="99">
        <f t="shared" ca="1" si="1"/>
        <v>0</v>
      </c>
      <c r="H58" s="402">
        <f t="shared" si="47"/>
        <v>50</v>
      </c>
      <c r="I58" s="402">
        <v>50</v>
      </c>
      <c r="J58" s="402">
        <v>0</v>
      </c>
      <c r="K58" s="55">
        <f ca="1">IFERROR(__xludf.DUMMYFUNCTION("IMPORTRANGE(""https://docs.google.com/spreadsheets/d/1SX6NBoVAgQJ6U1MVXOaj8PK2l7WJ3RER9xtqwdhxkhw/edit?usp=sharing"",""ชลบุรี!J505"")"),0)</f>
        <v>0</v>
      </c>
      <c r="L58" s="99">
        <f t="shared" ca="1" si="4"/>
        <v>0</v>
      </c>
      <c r="M58" s="55">
        <f ca="1">IFERROR(__xludf.DUMMYFUNCTION("IMPORTRANGE(""https://docs.google.com/spreadsheets/d/1SX6NBoVAgQJ6U1MVXOaj8PK2l7WJ3RER9xtqwdhxkhw/edit?usp=sharing"",""ชลบุรี!J506"")"),0)</f>
        <v>0</v>
      </c>
      <c r="N58" s="99">
        <f t="shared" ca="1" si="5"/>
        <v>0</v>
      </c>
      <c r="O58" s="55">
        <f ca="1">IFERROR(__xludf.DUMMYFUNCTION("IMPORTRANGE(""https://docs.google.com/spreadsheets/d/1SX6NBoVAgQJ6U1MVXOaj8PK2l7WJ3RER9xtqwdhxkhw/edit?usp=sharing"",""ชลบุรี!J507"")"),0)</f>
        <v>0</v>
      </c>
      <c r="P58" s="99">
        <f t="shared" ca="1" si="6"/>
        <v>0</v>
      </c>
      <c r="Q58" s="55">
        <f ca="1">IFERROR(__xludf.DUMMYFUNCTION("IMPORTRANGE(""https://docs.google.com/spreadsheets/d/1SX6NBoVAgQJ6U1MVXOaj8PK2l7WJ3RER9xtqwdhxkhw/edit?usp=sharing"",""ชลบุรี!J508"")"),0)</f>
        <v>0</v>
      </c>
      <c r="R58" s="99">
        <f t="shared" ca="1" si="7"/>
        <v>0</v>
      </c>
      <c r="S58" s="55">
        <f ca="1">IFERROR(__xludf.DUMMYFUNCTION("IMPORTRANGE(""https://docs.google.com/spreadsheets/d/1SX6NBoVAgQJ6U1MVXOaj8PK2l7WJ3RER9xtqwdhxkhw/edit?usp=sharing"",""ชลบุรี!J509"")"),0)</f>
        <v>0</v>
      </c>
      <c r="T58" s="99">
        <f t="shared" ca="1" si="8"/>
        <v>0</v>
      </c>
      <c r="U58" s="451">
        <f t="shared" ca="1" si="48"/>
        <v>0</v>
      </c>
      <c r="V58" s="99">
        <f t="shared" ca="1" si="9"/>
        <v>0</v>
      </c>
      <c r="W58" s="451">
        <f ca="1">IFERROR(__xludf.DUMMYFUNCTION("IMPORTRANGE(""https://docs.google.com/spreadsheets/d/1SX6NBoVAgQJ6U1MVXOaj8PK2l7WJ3RER9xtqwdhxkhw/edit?usp=sharing"",""ชลบุรี!J511"")"),0)</f>
        <v>0</v>
      </c>
      <c r="X58" s="451">
        <f ca="1">IFERROR(__xludf.DUMMYFUNCTION("IMPORTRANGE(""https://docs.google.com/spreadsheets/d/1SX6NBoVAgQJ6U1MVXOaj8PK2l7WJ3RER9xtqwdhxkhw/edit?usp=sharing"",""ชลบุรี!J512"")"),0)</f>
        <v>0</v>
      </c>
      <c r="Y58" s="55">
        <f t="shared" ca="1" si="49"/>
        <v>0</v>
      </c>
      <c r="Z58" s="99">
        <f t="shared" ca="1" si="11"/>
        <v>0</v>
      </c>
      <c r="AA58" s="55">
        <f ca="1">IFERROR(__xludf.DUMMYFUNCTION("IMPORTRANGE(""https://docs.google.com/spreadsheets/d/1SX6NBoVAgQJ6U1MVXOaj8PK2l7WJ3RER9xtqwdhxkhw/edit?usp=sharing"",""ชลบุรี!J515"")"),0)</f>
        <v>0</v>
      </c>
      <c r="AB58" s="55">
        <f ca="1">IFERROR(__xludf.DUMMYFUNCTION("IMPORTRANGE(""https://docs.google.com/spreadsheets/d/1SX6NBoVAgQJ6U1MVXOaj8PK2l7WJ3RER9xtqwdhxkhw/edit?usp=sharing"",""ชลบุรี!J516"")"),0)</f>
        <v>0</v>
      </c>
      <c r="AC58" s="55">
        <f ca="1">IFERROR(__xludf.DUMMYFUNCTION("IMPORTRANGE(""https://docs.google.com/spreadsheets/d/1SX6NBoVAgQJ6U1MVXOaj8PK2l7WJ3RER9xtqwdhxkhw/edit?usp=sharing"",""ชลบุรี!J518"")"),0)</f>
        <v>0</v>
      </c>
      <c r="AD58" s="422">
        <f ca="1">IFERROR(__xludf.DUMMYFUNCTION("IMPORTRANGE(""https://docs.google.com/spreadsheets/d/1SX6NBoVAgQJ6U1MVXOaj8PK2l7WJ3RER9xtqwdhxkhw/edit?usp=sharing"",""ชลบุรี!J519"")"),0)</f>
        <v>0</v>
      </c>
    </row>
    <row r="59" spans="1:30" ht="24" customHeight="1" x14ac:dyDescent="0.5">
      <c r="A59" s="273">
        <v>5</v>
      </c>
      <c r="B59" s="274" t="s">
        <v>74</v>
      </c>
      <c r="C59" s="275">
        <f t="shared" si="46"/>
        <v>4550</v>
      </c>
      <c r="D59" s="55">
        <v>0</v>
      </c>
      <c r="E59" s="55">
        <v>4550</v>
      </c>
      <c r="F59" s="99">
        <f ca="1">IFERROR(__xludf.DUMMYFUNCTION("IMPORTRANGE(""https://docs.google.com/spreadsheets/d/1SX6NBoVAgQJ6U1MVXOaj8PK2l7WJ3RER9xtqwdhxkhw/edit?usp=sharing"",""ชัยนาท!M492"")"),0)</f>
        <v>0</v>
      </c>
      <c r="G59" s="99">
        <f t="shared" ca="1" si="1"/>
        <v>0</v>
      </c>
      <c r="H59" s="402">
        <f t="shared" si="47"/>
        <v>50</v>
      </c>
      <c r="I59" s="402">
        <v>50</v>
      </c>
      <c r="J59" s="402">
        <v>0</v>
      </c>
      <c r="K59" s="55">
        <f ca="1">IFERROR(__xludf.DUMMYFUNCTION("IMPORTRANGE(""https://docs.google.com/spreadsheets/d/1SX6NBoVAgQJ6U1MVXOaj8PK2l7WJ3RER9xtqwdhxkhw/edit?usp=sharing"",""ชัยนาท!J505"")"),0)</f>
        <v>0</v>
      </c>
      <c r="L59" s="99">
        <f t="shared" ca="1" si="4"/>
        <v>0</v>
      </c>
      <c r="M59" s="55">
        <f ca="1">IFERROR(__xludf.DUMMYFUNCTION("IMPORTRANGE(""https://docs.google.com/spreadsheets/d/1SX6NBoVAgQJ6U1MVXOaj8PK2l7WJ3RER9xtqwdhxkhw/edit?usp=sharing"",""ชัยนาท!J506"")"),0)</f>
        <v>0</v>
      </c>
      <c r="N59" s="99">
        <f t="shared" ca="1" si="5"/>
        <v>0</v>
      </c>
      <c r="O59" s="55">
        <f ca="1">IFERROR(__xludf.DUMMYFUNCTION("IMPORTRANGE(""https://docs.google.com/spreadsheets/d/1SX6NBoVAgQJ6U1MVXOaj8PK2l7WJ3RER9xtqwdhxkhw/edit?usp=sharing"",""ชัยนาท!J507"")"),0)</f>
        <v>0</v>
      </c>
      <c r="P59" s="99">
        <f t="shared" ca="1" si="6"/>
        <v>0</v>
      </c>
      <c r="Q59" s="55">
        <f ca="1">IFERROR(__xludf.DUMMYFUNCTION("IMPORTRANGE(""https://docs.google.com/spreadsheets/d/1SX6NBoVAgQJ6U1MVXOaj8PK2l7WJ3RER9xtqwdhxkhw/edit?usp=sharing"",""ชัยนาท!J508"")"),0)</f>
        <v>0</v>
      </c>
      <c r="R59" s="99">
        <f t="shared" ca="1" si="7"/>
        <v>0</v>
      </c>
      <c r="S59" s="55">
        <f ca="1">IFERROR(__xludf.DUMMYFUNCTION("IMPORTRANGE(""https://docs.google.com/spreadsheets/d/1SX6NBoVAgQJ6U1MVXOaj8PK2l7WJ3RER9xtqwdhxkhw/edit?usp=sharing"",""ชัยนาท!J509"")"),0)</f>
        <v>0</v>
      </c>
      <c r="T59" s="99">
        <f t="shared" ca="1" si="8"/>
        <v>0</v>
      </c>
      <c r="U59" s="451">
        <f t="shared" ca="1" si="48"/>
        <v>0</v>
      </c>
      <c r="V59" s="99">
        <f t="shared" ca="1" si="9"/>
        <v>0</v>
      </c>
      <c r="W59" s="451">
        <f ca="1">IFERROR(__xludf.DUMMYFUNCTION("IMPORTRANGE(""https://docs.google.com/spreadsheets/d/1SX6NBoVAgQJ6U1MVXOaj8PK2l7WJ3RER9xtqwdhxkhw/edit?usp=sharing"",""ชัยนาท!J511"")"),0)</f>
        <v>0</v>
      </c>
      <c r="X59" s="451">
        <f ca="1">IFERROR(__xludf.DUMMYFUNCTION("IMPORTRANGE(""https://docs.google.com/spreadsheets/d/1SX6NBoVAgQJ6U1MVXOaj8PK2l7WJ3RER9xtqwdhxkhw/edit?usp=sharing"",""ชัยนาท!J512"")"),0)</f>
        <v>0</v>
      </c>
      <c r="Y59" s="55">
        <f t="shared" ca="1" si="49"/>
        <v>0</v>
      </c>
      <c r="Z59" s="99">
        <f t="shared" ca="1" si="11"/>
        <v>0</v>
      </c>
      <c r="AA59" s="55">
        <f ca="1">IFERROR(__xludf.DUMMYFUNCTION("IMPORTRANGE(""https://docs.google.com/spreadsheets/d/1SX6NBoVAgQJ6U1MVXOaj8PK2l7WJ3RER9xtqwdhxkhw/edit?usp=sharing"",""ชัยนาท!J515"")"),0)</f>
        <v>0</v>
      </c>
      <c r="AB59" s="55">
        <f ca="1">IFERROR(__xludf.DUMMYFUNCTION("IMPORTRANGE(""https://docs.google.com/spreadsheets/d/1SX6NBoVAgQJ6U1MVXOaj8PK2l7WJ3RER9xtqwdhxkhw/edit?usp=sharing"",""ชัยนาท!J516"")"),0)</f>
        <v>0</v>
      </c>
      <c r="AC59" s="55">
        <f ca="1">IFERROR(__xludf.DUMMYFUNCTION("IMPORTRANGE(""https://docs.google.com/spreadsheets/d/1SX6NBoVAgQJ6U1MVXOaj8PK2l7WJ3RER9xtqwdhxkhw/edit?usp=sharing"",""ชัยนาท!J518"")"),0)</f>
        <v>0</v>
      </c>
      <c r="AD59" s="422">
        <f ca="1">IFERROR(__xludf.DUMMYFUNCTION("IMPORTRANGE(""https://docs.google.com/spreadsheets/d/1SX6NBoVAgQJ6U1MVXOaj8PK2l7WJ3RER9xtqwdhxkhw/edit?usp=sharing"",""ชัยนาท!J519"")"),0)</f>
        <v>0</v>
      </c>
    </row>
    <row r="60" spans="1:30" ht="24" customHeight="1" x14ac:dyDescent="0.5">
      <c r="A60" s="273">
        <v>6</v>
      </c>
      <c r="B60" s="274" t="s">
        <v>75</v>
      </c>
      <c r="C60" s="275">
        <f t="shared" si="46"/>
        <v>6150</v>
      </c>
      <c r="D60" s="55">
        <v>0</v>
      </c>
      <c r="E60" s="55">
        <v>6150</v>
      </c>
      <c r="F60" s="99">
        <f ca="1">IFERROR(__xludf.DUMMYFUNCTION("IMPORTRANGE(""https://docs.google.com/spreadsheets/d/1SX6NBoVAgQJ6U1MVXOaj8PK2l7WJ3RER9xtqwdhxkhw/edit?usp=sharing"",""ตราด!M492"")"),3400)</f>
        <v>3400</v>
      </c>
      <c r="G60" s="99">
        <f t="shared" ca="1" si="1"/>
        <v>55.284552845528452</v>
      </c>
      <c r="H60" s="402">
        <f t="shared" si="47"/>
        <v>50</v>
      </c>
      <c r="I60" s="402">
        <v>50</v>
      </c>
      <c r="J60" s="402">
        <v>0</v>
      </c>
      <c r="K60" s="55">
        <f ca="1">IFERROR(__xludf.DUMMYFUNCTION("IMPORTRANGE(""https://docs.google.com/spreadsheets/d/1SX6NBoVAgQJ6U1MVXOaj8PK2l7WJ3RER9xtqwdhxkhw/edit?usp=sharing"",""ตราด!J505"")"),0)</f>
        <v>0</v>
      </c>
      <c r="L60" s="99">
        <f t="shared" ca="1" si="4"/>
        <v>0</v>
      </c>
      <c r="M60" s="55">
        <f ca="1">IFERROR(__xludf.DUMMYFUNCTION("IMPORTRANGE(""https://docs.google.com/spreadsheets/d/1SX6NBoVAgQJ6U1MVXOaj8PK2l7WJ3RER9xtqwdhxkhw/edit?usp=sharing"",""ตราด!J506"")"),0)</f>
        <v>0</v>
      </c>
      <c r="N60" s="99">
        <f t="shared" ca="1" si="5"/>
        <v>0</v>
      </c>
      <c r="O60" s="55">
        <f ca="1">IFERROR(__xludf.DUMMYFUNCTION("IMPORTRANGE(""https://docs.google.com/spreadsheets/d/1SX6NBoVAgQJ6U1MVXOaj8PK2l7WJ3RER9xtqwdhxkhw/edit?usp=sharing"",""ตราด!J507"")"),0)</f>
        <v>0</v>
      </c>
      <c r="P60" s="99">
        <f t="shared" ca="1" si="6"/>
        <v>0</v>
      </c>
      <c r="Q60" s="55">
        <f ca="1">IFERROR(__xludf.DUMMYFUNCTION("IMPORTRANGE(""https://docs.google.com/spreadsheets/d/1SX6NBoVAgQJ6U1MVXOaj8PK2l7WJ3RER9xtqwdhxkhw/edit?usp=sharing"",""ตราด!J508"")"),0)</f>
        <v>0</v>
      </c>
      <c r="R60" s="99">
        <f t="shared" ca="1" si="7"/>
        <v>0</v>
      </c>
      <c r="S60" s="55">
        <f ca="1">IFERROR(__xludf.DUMMYFUNCTION("IMPORTRANGE(""https://docs.google.com/spreadsheets/d/1SX6NBoVAgQJ6U1MVXOaj8PK2l7WJ3RER9xtqwdhxkhw/edit?usp=sharing"",""ตราด!J509"")"),0)</f>
        <v>0</v>
      </c>
      <c r="T60" s="99">
        <f t="shared" ca="1" si="8"/>
        <v>0</v>
      </c>
      <c r="U60" s="451">
        <f t="shared" ca="1" si="48"/>
        <v>0</v>
      </c>
      <c r="V60" s="99">
        <f t="shared" ca="1" si="9"/>
        <v>0</v>
      </c>
      <c r="W60" s="451">
        <f ca="1">IFERROR(__xludf.DUMMYFUNCTION("IMPORTRANGE(""https://docs.google.com/spreadsheets/d/1SX6NBoVAgQJ6U1MVXOaj8PK2l7WJ3RER9xtqwdhxkhw/edit?usp=sharing"",""ตราด!J511"")"),0)</f>
        <v>0</v>
      </c>
      <c r="X60" s="451">
        <f ca="1">IFERROR(__xludf.DUMMYFUNCTION("IMPORTRANGE(""https://docs.google.com/spreadsheets/d/1SX6NBoVAgQJ6U1MVXOaj8PK2l7WJ3RER9xtqwdhxkhw/edit?usp=sharing"",""ตราด!J512"")"),0)</f>
        <v>0</v>
      </c>
      <c r="Y60" s="55">
        <f t="shared" ca="1" si="49"/>
        <v>0</v>
      </c>
      <c r="Z60" s="99">
        <f t="shared" ca="1" si="11"/>
        <v>0</v>
      </c>
      <c r="AA60" s="55">
        <f ca="1">IFERROR(__xludf.DUMMYFUNCTION("IMPORTRANGE(""https://docs.google.com/spreadsheets/d/1SX6NBoVAgQJ6U1MVXOaj8PK2l7WJ3RER9xtqwdhxkhw/edit?usp=sharing"",""ตราด!J515"")"),0)</f>
        <v>0</v>
      </c>
      <c r="AB60" s="55">
        <f ca="1">IFERROR(__xludf.DUMMYFUNCTION("IMPORTRANGE(""https://docs.google.com/spreadsheets/d/1SX6NBoVAgQJ6U1MVXOaj8PK2l7WJ3RER9xtqwdhxkhw/edit?usp=sharing"",""ตราด!J516"")"),0)</f>
        <v>0</v>
      </c>
      <c r="AC60" s="55">
        <f ca="1">IFERROR(__xludf.DUMMYFUNCTION("IMPORTRANGE(""https://docs.google.com/spreadsheets/d/1SX6NBoVAgQJ6U1MVXOaj8PK2l7WJ3RER9xtqwdhxkhw/edit?usp=sharing"",""ตราด!J518"")"),0)</f>
        <v>0</v>
      </c>
      <c r="AD60" s="422">
        <f ca="1">IFERROR(__xludf.DUMMYFUNCTION("IMPORTRANGE(""https://docs.google.com/spreadsheets/d/1SX6NBoVAgQJ6U1MVXOaj8PK2l7WJ3RER9xtqwdhxkhw/edit?usp=sharing"",""ตราด!J519"")"),0)</f>
        <v>0</v>
      </c>
    </row>
    <row r="61" spans="1:30" ht="24" customHeight="1" x14ac:dyDescent="0.5">
      <c r="A61" s="273">
        <v>7</v>
      </c>
      <c r="B61" s="274" t="s">
        <v>76</v>
      </c>
      <c r="C61" s="275">
        <f t="shared" si="46"/>
        <v>6950</v>
      </c>
      <c r="D61" s="55">
        <v>0</v>
      </c>
      <c r="E61" s="55">
        <v>6950</v>
      </c>
      <c r="F61" s="99">
        <f ca="1">IFERROR(__xludf.DUMMYFUNCTION("IMPORTRANGE(""https://docs.google.com/spreadsheets/d/1SX6NBoVAgQJ6U1MVXOaj8PK2l7WJ3RER9xtqwdhxkhw/edit?usp=sharing"",""นครนายก!M492"")"),0)</f>
        <v>0</v>
      </c>
      <c r="G61" s="99">
        <f t="shared" ca="1" si="1"/>
        <v>0</v>
      </c>
      <c r="H61" s="402">
        <f t="shared" si="47"/>
        <v>50</v>
      </c>
      <c r="I61" s="402">
        <v>50</v>
      </c>
      <c r="J61" s="402">
        <v>0</v>
      </c>
      <c r="K61" s="55">
        <f ca="1">IFERROR(__xludf.DUMMYFUNCTION("IMPORTRANGE(""https://docs.google.com/spreadsheets/d/1SX6NBoVAgQJ6U1MVXOaj8PK2l7WJ3RER9xtqwdhxkhw/edit?usp=sharing"",""นครนายก!J505"")"),0)</f>
        <v>0</v>
      </c>
      <c r="L61" s="99">
        <f t="shared" ca="1" si="4"/>
        <v>0</v>
      </c>
      <c r="M61" s="55">
        <f ca="1">IFERROR(__xludf.DUMMYFUNCTION("IMPORTRANGE(""https://docs.google.com/spreadsheets/d/1SX6NBoVAgQJ6U1MVXOaj8PK2l7WJ3RER9xtqwdhxkhw/edit?usp=sharing"",""นครนายก!J506"")"),0)</f>
        <v>0</v>
      </c>
      <c r="N61" s="99">
        <f t="shared" ca="1" si="5"/>
        <v>0</v>
      </c>
      <c r="O61" s="55">
        <f ca="1">IFERROR(__xludf.DUMMYFUNCTION("IMPORTRANGE(""https://docs.google.com/spreadsheets/d/1SX6NBoVAgQJ6U1MVXOaj8PK2l7WJ3RER9xtqwdhxkhw/edit?usp=sharing"",""นครนายก!J507"")"),0)</f>
        <v>0</v>
      </c>
      <c r="P61" s="99">
        <f t="shared" ca="1" si="6"/>
        <v>0</v>
      </c>
      <c r="Q61" s="55">
        <f ca="1">IFERROR(__xludf.DUMMYFUNCTION("IMPORTRANGE(""https://docs.google.com/spreadsheets/d/1SX6NBoVAgQJ6U1MVXOaj8PK2l7WJ3RER9xtqwdhxkhw/edit?usp=sharing"",""นครนายก!J508"")"),0)</f>
        <v>0</v>
      </c>
      <c r="R61" s="99">
        <f t="shared" ca="1" si="7"/>
        <v>0</v>
      </c>
      <c r="S61" s="55">
        <f ca="1">IFERROR(__xludf.DUMMYFUNCTION("IMPORTRANGE(""https://docs.google.com/spreadsheets/d/1SX6NBoVAgQJ6U1MVXOaj8PK2l7WJ3RER9xtqwdhxkhw/edit?usp=sharing"",""นครนายก!J509"")"),0)</f>
        <v>0</v>
      </c>
      <c r="T61" s="99">
        <f t="shared" ca="1" si="8"/>
        <v>0</v>
      </c>
      <c r="U61" s="451">
        <f t="shared" ca="1" si="48"/>
        <v>0</v>
      </c>
      <c r="V61" s="99">
        <f t="shared" ca="1" si="9"/>
        <v>0</v>
      </c>
      <c r="W61" s="451">
        <f ca="1">IFERROR(__xludf.DUMMYFUNCTION("IMPORTRANGE(""https://docs.google.com/spreadsheets/d/1SX6NBoVAgQJ6U1MVXOaj8PK2l7WJ3RER9xtqwdhxkhw/edit?usp=sharing"",""นครนายก!J511"")"),0)</f>
        <v>0</v>
      </c>
      <c r="X61" s="451">
        <f ca="1">IFERROR(__xludf.DUMMYFUNCTION("IMPORTRANGE(""https://docs.google.com/spreadsheets/d/1SX6NBoVAgQJ6U1MVXOaj8PK2l7WJ3RER9xtqwdhxkhw/edit?usp=sharing"",""นครนายก!J512"")"),0)</f>
        <v>0</v>
      </c>
      <c r="Y61" s="55">
        <f t="shared" ca="1" si="49"/>
        <v>0</v>
      </c>
      <c r="Z61" s="99">
        <f t="shared" ca="1" si="11"/>
        <v>0</v>
      </c>
      <c r="AA61" s="55">
        <f ca="1">IFERROR(__xludf.DUMMYFUNCTION("IMPORTRANGE(""https://docs.google.com/spreadsheets/d/1SX6NBoVAgQJ6U1MVXOaj8PK2l7WJ3RER9xtqwdhxkhw/edit?usp=sharing"",""นครนายก!J515"")"),0)</f>
        <v>0</v>
      </c>
      <c r="AB61" s="55">
        <f ca="1">IFERROR(__xludf.DUMMYFUNCTION("IMPORTRANGE(""https://docs.google.com/spreadsheets/d/1SX6NBoVAgQJ6U1MVXOaj8PK2l7WJ3RER9xtqwdhxkhw/edit?usp=sharing"",""นครนายก!J516"")"),0)</f>
        <v>0</v>
      </c>
      <c r="AC61" s="55">
        <f ca="1">IFERROR(__xludf.DUMMYFUNCTION("IMPORTRANGE(""https://docs.google.com/spreadsheets/d/1SX6NBoVAgQJ6U1MVXOaj8PK2l7WJ3RER9xtqwdhxkhw/edit?usp=sharing"",""นครนายก!J518"")"),0)</f>
        <v>0</v>
      </c>
      <c r="AD61" s="422">
        <f ca="1">IFERROR(__xludf.DUMMYFUNCTION("IMPORTRANGE(""https://docs.google.com/spreadsheets/d/1SX6NBoVAgQJ6U1MVXOaj8PK2l7WJ3RER9xtqwdhxkhw/edit?usp=sharing"",""นครนายก!J519"")"),0)</f>
        <v>0</v>
      </c>
    </row>
    <row r="62" spans="1:30" ht="24" customHeight="1" x14ac:dyDescent="0.5">
      <c r="A62" s="273">
        <v>8</v>
      </c>
      <c r="B62" s="274" t="s">
        <v>77</v>
      </c>
      <c r="C62" s="275">
        <f t="shared" si="46"/>
        <v>4550</v>
      </c>
      <c r="D62" s="55">
        <v>0</v>
      </c>
      <c r="E62" s="55">
        <v>4550</v>
      </c>
      <c r="F62" s="99">
        <f ca="1">IFERROR(__xludf.DUMMYFUNCTION("IMPORTRANGE(""https://docs.google.com/spreadsheets/d/1SX6NBoVAgQJ6U1MVXOaj8PK2l7WJ3RER9xtqwdhxkhw/edit?usp=sharing"",""นครปฐม!M492"")"),0)</f>
        <v>0</v>
      </c>
      <c r="G62" s="99">
        <f t="shared" ca="1" si="1"/>
        <v>0</v>
      </c>
      <c r="H62" s="402">
        <f t="shared" si="47"/>
        <v>50</v>
      </c>
      <c r="I62" s="402">
        <v>50</v>
      </c>
      <c r="J62" s="402">
        <v>0</v>
      </c>
      <c r="K62" s="55">
        <f ca="1">IFERROR(__xludf.DUMMYFUNCTION("IMPORTRANGE(""https://docs.google.com/spreadsheets/d/1SX6NBoVAgQJ6U1MVXOaj8PK2l7WJ3RER9xtqwdhxkhw/edit?usp=sharing"",""นครปฐม!J505"")"),0)</f>
        <v>0</v>
      </c>
      <c r="L62" s="99">
        <f t="shared" ca="1" si="4"/>
        <v>0</v>
      </c>
      <c r="M62" s="55">
        <f ca="1">IFERROR(__xludf.DUMMYFUNCTION("IMPORTRANGE(""https://docs.google.com/spreadsheets/d/1SX6NBoVAgQJ6U1MVXOaj8PK2l7WJ3RER9xtqwdhxkhw/edit?usp=sharing"",""นครปฐม!J506"")"),0)</f>
        <v>0</v>
      </c>
      <c r="N62" s="99">
        <f t="shared" ca="1" si="5"/>
        <v>0</v>
      </c>
      <c r="O62" s="55">
        <f ca="1">IFERROR(__xludf.DUMMYFUNCTION("IMPORTRANGE(""https://docs.google.com/spreadsheets/d/1SX6NBoVAgQJ6U1MVXOaj8PK2l7WJ3RER9xtqwdhxkhw/edit?usp=sharing"",""นครปฐม!J507"")"),0)</f>
        <v>0</v>
      </c>
      <c r="P62" s="99">
        <f t="shared" ca="1" si="6"/>
        <v>0</v>
      </c>
      <c r="Q62" s="55">
        <f ca="1">IFERROR(__xludf.DUMMYFUNCTION("IMPORTRANGE(""https://docs.google.com/spreadsheets/d/1SX6NBoVAgQJ6U1MVXOaj8PK2l7WJ3RER9xtqwdhxkhw/edit?usp=sharing"",""นครปฐม!J508"")"),0)</f>
        <v>0</v>
      </c>
      <c r="R62" s="99">
        <f t="shared" ca="1" si="7"/>
        <v>0</v>
      </c>
      <c r="S62" s="55">
        <f ca="1">IFERROR(__xludf.DUMMYFUNCTION("IMPORTRANGE(""https://docs.google.com/spreadsheets/d/1SX6NBoVAgQJ6U1MVXOaj8PK2l7WJ3RER9xtqwdhxkhw/edit?usp=sharing"",""นครปฐม!J509"")"),0)</f>
        <v>0</v>
      </c>
      <c r="T62" s="99">
        <f t="shared" ca="1" si="8"/>
        <v>0</v>
      </c>
      <c r="U62" s="451">
        <f t="shared" ca="1" si="48"/>
        <v>0</v>
      </c>
      <c r="V62" s="99">
        <f t="shared" ca="1" si="9"/>
        <v>0</v>
      </c>
      <c r="W62" s="451">
        <f ca="1">IFERROR(__xludf.DUMMYFUNCTION("IMPORTRANGE(""https://docs.google.com/spreadsheets/d/1SX6NBoVAgQJ6U1MVXOaj8PK2l7WJ3RER9xtqwdhxkhw/edit?usp=sharing"",""นครปฐม!J511"")"),0)</f>
        <v>0</v>
      </c>
      <c r="X62" s="451">
        <f ca="1">IFERROR(__xludf.DUMMYFUNCTION("IMPORTRANGE(""https://docs.google.com/spreadsheets/d/1SX6NBoVAgQJ6U1MVXOaj8PK2l7WJ3RER9xtqwdhxkhw/edit?usp=sharing"",""นครปฐม!J512"")"),0)</f>
        <v>0</v>
      </c>
      <c r="Y62" s="55">
        <f t="shared" ca="1" si="49"/>
        <v>0</v>
      </c>
      <c r="Z62" s="99">
        <f t="shared" ca="1" si="11"/>
        <v>0</v>
      </c>
      <c r="AA62" s="55">
        <f ca="1">IFERROR(__xludf.DUMMYFUNCTION("IMPORTRANGE(""https://docs.google.com/spreadsheets/d/1SX6NBoVAgQJ6U1MVXOaj8PK2l7WJ3RER9xtqwdhxkhw/edit?usp=sharing"",""นครปฐม!J515"")"),0)</f>
        <v>0</v>
      </c>
      <c r="AB62" s="55">
        <f ca="1">IFERROR(__xludf.DUMMYFUNCTION("IMPORTRANGE(""https://docs.google.com/spreadsheets/d/1SX6NBoVAgQJ6U1MVXOaj8PK2l7WJ3RER9xtqwdhxkhw/edit?usp=sharing"",""นครปฐม!J516"")"),0)</f>
        <v>0</v>
      </c>
      <c r="AC62" s="55">
        <f ca="1">IFERROR(__xludf.DUMMYFUNCTION("IMPORTRANGE(""https://docs.google.com/spreadsheets/d/1SX6NBoVAgQJ6U1MVXOaj8PK2l7WJ3RER9xtqwdhxkhw/edit?usp=sharing"",""นครปฐม!J518"")"),0)</f>
        <v>0</v>
      </c>
      <c r="AD62" s="422">
        <f ca="1">IFERROR(__xludf.DUMMYFUNCTION("IMPORTRANGE(""https://docs.google.com/spreadsheets/d/1SX6NBoVAgQJ6U1MVXOaj8PK2l7WJ3RER9xtqwdhxkhw/edit?usp=sharing"",""นครปฐม!J519"")"),0)</f>
        <v>0</v>
      </c>
    </row>
    <row r="63" spans="1:30" ht="24" customHeight="1" x14ac:dyDescent="0.5">
      <c r="A63" s="273">
        <v>9</v>
      </c>
      <c r="B63" s="274" t="s">
        <v>78</v>
      </c>
      <c r="C63" s="275">
        <f t="shared" si="46"/>
        <v>7300</v>
      </c>
      <c r="D63" s="55">
        <v>0</v>
      </c>
      <c r="E63" s="55">
        <v>7300</v>
      </c>
      <c r="F63" s="99">
        <f ca="1">IFERROR(__xludf.DUMMYFUNCTION("IMPORTRANGE(""https://docs.google.com/spreadsheets/d/1SX6NBoVAgQJ6U1MVXOaj8PK2l7WJ3RER9xtqwdhxkhw/edit?usp=sharing"",""ปทุมธานี!M492"")"),860)</f>
        <v>860</v>
      </c>
      <c r="G63" s="99">
        <f t="shared" ca="1" si="1"/>
        <v>11.780821917808218</v>
      </c>
      <c r="H63" s="402">
        <f t="shared" si="47"/>
        <v>100</v>
      </c>
      <c r="I63" s="402">
        <v>100</v>
      </c>
      <c r="J63" s="402">
        <v>0</v>
      </c>
      <c r="K63" s="55">
        <f ca="1">IFERROR(__xludf.DUMMYFUNCTION("IMPORTRANGE(""https://docs.google.com/spreadsheets/d/1SX6NBoVAgQJ6U1MVXOaj8PK2l7WJ3RER9xtqwdhxkhw/edit?usp=sharing"",""ปทุมธานี!J505"")"),0)</f>
        <v>0</v>
      </c>
      <c r="L63" s="99">
        <f t="shared" ca="1" si="4"/>
        <v>0</v>
      </c>
      <c r="M63" s="55">
        <f ca="1">IFERROR(__xludf.DUMMYFUNCTION("IMPORTRANGE(""https://docs.google.com/spreadsheets/d/1SX6NBoVAgQJ6U1MVXOaj8PK2l7WJ3RER9xtqwdhxkhw/edit?usp=sharing"",""ปทุมธานี!J506"")"),0)</f>
        <v>0</v>
      </c>
      <c r="N63" s="99">
        <f t="shared" ca="1" si="5"/>
        <v>0</v>
      </c>
      <c r="O63" s="55">
        <f ca="1">IFERROR(__xludf.DUMMYFUNCTION("IMPORTRANGE(""https://docs.google.com/spreadsheets/d/1SX6NBoVAgQJ6U1MVXOaj8PK2l7WJ3RER9xtqwdhxkhw/edit?usp=sharing"",""ปทุมธานี!J507"")"),0)</f>
        <v>0</v>
      </c>
      <c r="P63" s="99">
        <f t="shared" ca="1" si="6"/>
        <v>0</v>
      </c>
      <c r="Q63" s="55">
        <f ca="1">IFERROR(__xludf.DUMMYFUNCTION("IMPORTRANGE(""https://docs.google.com/spreadsheets/d/1SX6NBoVAgQJ6U1MVXOaj8PK2l7WJ3RER9xtqwdhxkhw/edit?usp=sharing"",""ปทุมธานี!J508"")"),0)</f>
        <v>0</v>
      </c>
      <c r="R63" s="99">
        <f t="shared" ca="1" si="7"/>
        <v>0</v>
      </c>
      <c r="S63" s="55">
        <f ca="1">IFERROR(__xludf.DUMMYFUNCTION("IMPORTRANGE(""https://docs.google.com/spreadsheets/d/1SX6NBoVAgQJ6U1MVXOaj8PK2l7WJ3RER9xtqwdhxkhw/edit?usp=sharing"",""ปทุมธานี!J509"")"),0)</f>
        <v>0</v>
      </c>
      <c r="T63" s="99">
        <f t="shared" ca="1" si="8"/>
        <v>0</v>
      </c>
      <c r="U63" s="451">
        <f t="shared" ca="1" si="48"/>
        <v>0</v>
      </c>
      <c r="V63" s="99">
        <f t="shared" ca="1" si="9"/>
        <v>0</v>
      </c>
      <c r="W63" s="451">
        <f ca="1">IFERROR(__xludf.DUMMYFUNCTION("IMPORTRANGE(""https://docs.google.com/spreadsheets/d/1SX6NBoVAgQJ6U1MVXOaj8PK2l7WJ3RER9xtqwdhxkhw/edit?usp=sharing"",""ปทุมธานี!J511"")"),0)</f>
        <v>0</v>
      </c>
      <c r="X63" s="451">
        <f ca="1">IFERROR(__xludf.DUMMYFUNCTION("IMPORTRANGE(""https://docs.google.com/spreadsheets/d/1SX6NBoVAgQJ6U1MVXOaj8PK2l7WJ3RER9xtqwdhxkhw/edit?usp=sharing"",""ปทุมธานี!J512"")"),0)</f>
        <v>0</v>
      </c>
      <c r="Y63" s="55">
        <f t="shared" ca="1" si="49"/>
        <v>0</v>
      </c>
      <c r="Z63" s="99">
        <f t="shared" ca="1" si="11"/>
        <v>0</v>
      </c>
      <c r="AA63" s="55">
        <f ca="1">IFERROR(__xludf.DUMMYFUNCTION("IMPORTRANGE(""https://docs.google.com/spreadsheets/d/1SX6NBoVAgQJ6U1MVXOaj8PK2l7WJ3RER9xtqwdhxkhw/edit?usp=sharing"",""ปทุมธานี!J515"")"),0)</f>
        <v>0</v>
      </c>
      <c r="AB63" s="55">
        <f ca="1">IFERROR(__xludf.DUMMYFUNCTION("IMPORTRANGE(""https://docs.google.com/spreadsheets/d/1SX6NBoVAgQJ6U1MVXOaj8PK2l7WJ3RER9xtqwdhxkhw/edit?usp=sharing"",""ปทุมธานี!J516"")"),0)</f>
        <v>0</v>
      </c>
      <c r="AC63" s="55">
        <f ca="1">IFERROR(__xludf.DUMMYFUNCTION("IMPORTRANGE(""https://docs.google.com/spreadsheets/d/1SX6NBoVAgQJ6U1MVXOaj8PK2l7WJ3RER9xtqwdhxkhw/edit?usp=sharing"",""ปทุมธานี!J518"")"),0)</f>
        <v>0</v>
      </c>
      <c r="AD63" s="422">
        <f ca="1">IFERROR(__xludf.DUMMYFUNCTION("IMPORTRANGE(""https://docs.google.com/spreadsheets/d/1SX6NBoVAgQJ6U1MVXOaj8PK2l7WJ3RER9xtqwdhxkhw/edit?usp=sharing"",""ปทุมธานี!J519"")"),0)</f>
        <v>0</v>
      </c>
    </row>
    <row r="64" spans="1:30" ht="24" customHeight="1" x14ac:dyDescent="0.5">
      <c r="A64" s="273">
        <v>10</v>
      </c>
      <c r="B64" s="274" t="s">
        <v>79</v>
      </c>
      <c r="C64" s="275">
        <f t="shared" si="46"/>
        <v>6950</v>
      </c>
      <c r="D64" s="55">
        <v>0</v>
      </c>
      <c r="E64" s="55">
        <v>6950</v>
      </c>
      <c r="F64" s="99">
        <f ca="1">IFERROR(__xludf.DUMMYFUNCTION("IMPORTRANGE(""https://docs.google.com/spreadsheets/d/1SX6NBoVAgQJ6U1MVXOaj8PK2l7WJ3RER9xtqwdhxkhw/edit?usp=sharing"",""ประจวบคีรีขันธ์!M492"")"),0)</f>
        <v>0</v>
      </c>
      <c r="G64" s="99">
        <f t="shared" ca="1" si="1"/>
        <v>0</v>
      </c>
      <c r="H64" s="402">
        <f t="shared" si="47"/>
        <v>50</v>
      </c>
      <c r="I64" s="402">
        <v>50</v>
      </c>
      <c r="J64" s="402">
        <v>0</v>
      </c>
      <c r="K64" s="55">
        <f ca="1">IFERROR(__xludf.DUMMYFUNCTION("IMPORTRANGE(""https://docs.google.com/spreadsheets/d/1SX6NBoVAgQJ6U1MVXOaj8PK2l7WJ3RER9xtqwdhxkhw/edit?usp=sharing"",""ประจวบคีรีขันธ์!J505"")"),0)</f>
        <v>0</v>
      </c>
      <c r="L64" s="99">
        <f t="shared" ca="1" si="4"/>
        <v>0</v>
      </c>
      <c r="M64" s="55">
        <f ca="1">IFERROR(__xludf.DUMMYFUNCTION("IMPORTRANGE(""https://docs.google.com/spreadsheets/d/1SX6NBoVAgQJ6U1MVXOaj8PK2l7WJ3RER9xtqwdhxkhw/edit?usp=sharing"",""ประจวบคีรีขันธ์!J506"")"),0)</f>
        <v>0</v>
      </c>
      <c r="N64" s="99">
        <f t="shared" ca="1" si="5"/>
        <v>0</v>
      </c>
      <c r="O64" s="55">
        <f ca="1">IFERROR(__xludf.DUMMYFUNCTION("IMPORTRANGE(""https://docs.google.com/spreadsheets/d/1SX6NBoVAgQJ6U1MVXOaj8PK2l7WJ3RER9xtqwdhxkhw/edit?usp=sharing"",""ประจวบคีรีขันธ์!J507"")"),0)</f>
        <v>0</v>
      </c>
      <c r="P64" s="99">
        <f t="shared" ca="1" si="6"/>
        <v>0</v>
      </c>
      <c r="Q64" s="55">
        <f ca="1">IFERROR(__xludf.DUMMYFUNCTION("IMPORTRANGE(""https://docs.google.com/spreadsheets/d/1SX6NBoVAgQJ6U1MVXOaj8PK2l7WJ3RER9xtqwdhxkhw/edit?usp=sharing"",""ประจวบคีรีขันธ์!J508"")"),0)</f>
        <v>0</v>
      </c>
      <c r="R64" s="99">
        <f t="shared" ca="1" si="7"/>
        <v>0</v>
      </c>
      <c r="S64" s="55">
        <f ca="1">IFERROR(__xludf.DUMMYFUNCTION("IMPORTRANGE(""https://docs.google.com/spreadsheets/d/1SX6NBoVAgQJ6U1MVXOaj8PK2l7WJ3RER9xtqwdhxkhw/edit?usp=sharing"",""ประจวบคีรีขันธ์!J509"")"),0)</f>
        <v>0</v>
      </c>
      <c r="T64" s="99">
        <f t="shared" ca="1" si="8"/>
        <v>0</v>
      </c>
      <c r="U64" s="451">
        <f t="shared" ca="1" si="48"/>
        <v>0</v>
      </c>
      <c r="V64" s="99">
        <f t="shared" ca="1" si="9"/>
        <v>0</v>
      </c>
      <c r="W64" s="451">
        <f ca="1">IFERROR(__xludf.DUMMYFUNCTION("IMPORTRANGE(""https://docs.google.com/spreadsheets/d/1SX6NBoVAgQJ6U1MVXOaj8PK2l7WJ3RER9xtqwdhxkhw/edit?usp=sharing"",""ประจวบคีรีขันธ์!J511"")"),0)</f>
        <v>0</v>
      </c>
      <c r="X64" s="451">
        <f ca="1">IFERROR(__xludf.DUMMYFUNCTION("IMPORTRANGE(""https://docs.google.com/spreadsheets/d/1SX6NBoVAgQJ6U1MVXOaj8PK2l7WJ3RER9xtqwdhxkhw/edit?usp=sharing"",""ประจวบคีรีขันธ์!J512"")"),0)</f>
        <v>0</v>
      </c>
      <c r="Y64" s="55">
        <f t="shared" ca="1" si="49"/>
        <v>0</v>
      </c>
      <c r="Z64" s="99">
        <f t="shared" ca="1" si="11"/>
        <v>0</v>
      </c>
      <c r="AA64" s="55">
        <f ca="1">IFERROR(__xludf.DUMMYFUNCTION("IMPORTRANGE(""https://docs.google.com/spreadsheets/d/1SX6NBoVAgQJ6U1MVXOaj8PK2l7WJ3RER9xtqwdhxkhw/edit?usp=sharing"",""ประจวบคีรีขันธ์!J515"")"),0)</f>
        <v>0</v>
      </c>
      <c r="AB64" s="55">
        <f ca="1">IFERROR(__xludf.DUMMYFUNCTION("IMPORTRANGE(""https://docs.google.com/spreadsheets/d/1SX6NBoVAgQJ6U1MVXOaj8PK2l7WJ3RER9xtqwdhxkhw/edit?usp=sharing"",""ประจวบคีรีขันธ์!J516"")"),0)</f>
        <v>0</v>
      </c>
      <c r="AC64" s="55">
        <f ca="1">IFERROR(__xludf.DUMMYFUNCTION("IMPORTRANGE(""https://docs.google.com/spreadsheets/d/1SX6NBoVAgQJ6U1MVXOaj8PK2l7WJ3RER9xtqwdhxkhw/edit?usp=sharing"",""ประจวบคีรีขันธ์!J518"")"),0)</f>
        <v>0</v>
      </c>
      <c r="AD64" s="422">
        <f ca="1">IFERROR(__xludf.DUMMYFUNCTION("IMPORTRANGE(""https://docs.google.com/spreadsheets/d/1SX6NBoVAgQJ6U1MVXOaj8PK2l7WJ3RER9xtqwdhxkhw/edit?usp=sharing"",""ประจวบคีรีขันธ์!J519"")"),0)</f>
        <v>0</v>
      </c>
    </row>
    <row r="65" spans="1:30" ht="24" customHeight="1" x14ac:dyDescent="0.5">
      <c r="A65" s="273">
        <v>11</v>
      </c>
      <c r="B65" s="274" t="s">
        <v>80</v>
      </c>
      <c r="C65" s="275">
        <f t="shared" si="46"/>
        <v>4550</v>
      </c>
      <c r="D65" s="55">
        <v>0</v>
      </c>
      <c r="E65" s="55">
        <v>4550</v>
      </c>
      <c r="F65" s="99">
        <f ca="1">IFERROR(__xludf.DUMMYFUNCTION("IMPORTRANGE(""https://docs.google.com/spreadsheets/d/1SX6NBoVAgQJ6U1MVXOaj8PK2l7WJ3RER9xtqwdhxkhw/edit?usp=sharing"",""ปราจีนบุรี!M492"")"),0)</f>
        <v>0</v>
      </c>
      <c r="G65" s="99">
        <f t="shared" ca="1" si="1"/>
        <v>0</v>
      </c>
      <c r="H65" s="402">
        <f t="shared" si="47"/>
        <v>50</v>
      </c>
      <c r="I65" s="402">
        <v>50</v>
      </c>
      <c r="J65" s="402">
        <v>0</v>
      </c>
      <c r="K65" s="55">
        <f ca="1">IFERROR(__xludf.DUMMYFUNCTION("IMPORTRANGE(""https://docs.google.com/spreadsheets/d/1SX6NBoVAgQJ6U1MVXOaj8PK2l7WJ3RER9xtqwdhxkhw/edit?usp=sharing"",""ปราจีนบุรี!J505"")"),0)</f>
        <v>0</v>
      </c>
      <c r="L65" s="99">
        <f t="shared" ca="1" si="4"/>
        <v>0</v>
      </c>
      <c r="M65" s="55">
        <f ca="1">IFERROR(__xludf.DUMMYFUNCTION("IMPORTRANGE(""https://docs.google.com/spreadsheets/d/1SX6NBoVAgQJ6U1MVXOaj8PK2l7WJ3RER9xtqwdhxkhw/edit?usp=sharing"",""ปราจีนบุรี!J506"")"),0)</f>
        <v>0</v>
      </c>
      <c r="N65" s="99">
        <f t="shared" ca="1" si="5"/>
        <v>0</v>
      </c>
      <c r="O65" s="55">
        <f ca="1">IFERROR(__xludf.DUMMYFUNCTION("IMPORTRANGE(""https://docs.google.com/spreadsheets/d/1SX6NBoVAgQJ6U1MVXOaj8PK2l7WJ3RER9xtqwdhxkhw/edit?usp=sharing"",""ปราจีนบุรี!J507"")"),0)</f>
        <v>0</v>
      </c>
      <c r="P65" s="99">
        <f t="shared" ca="1" si="6"/>
        <v>0</v>
      </c>
      <c r="Q65" s="55">
        <f ca="1">IFERROR(__xludf.DUMMYFUNCTION("IMPORTRANGE(""https://docs.google.com/spreadsheets/d/1SX6NBoVAgQJ6U1MVXOaj8PK2l7WJ3RER9xtqwdhxkhw/edit?usp=sharing"",""ปราจีนบุรี!J508"")"),0)</f>
        <v>0</v>
      </c>
      <c r="R65" s="99">
        <f t="shared" ca="1" si="7"/>
        <v>0</v>
      </c>
      <c r="S65" s="55">
        <f ca="1">IFERROR(__xludf.DUMMYFUNCTION("IMPORTRANGE(""https://docs.google.com/spreadsheets/d/1SX6NBoVAgQJ6U1MVXOaj8PK2l7WJ3RER9xtqwdhxkhw/edit?usp=sharing"",""ปราจีนบุรี!J509"")"),0)</f>
        <v>0</v>
      </c>
      <c r="T65" s="99">
        <f t="shared" ca="1" si="8"/>
        <v>0</v>
      </c>
      <c r="U65" s="451">
        <f t="shared" ca="1" si="48"/>
        <v>0</v>
      </c>
      <c r="V65" s="99">
        <f t="shared" ca="1" si="9"/>
        <v>0</v>
      </c>
      <c r="W65" s="451">
        <f ca="1">IFERROR(__xludf.DUMMYFUNCTION("IMPORTRANGE(""https://docs.google.com/spreadsheets/d/1SX6NBoVAgQJ6U1MVXOaj8PK2l7WJ3RER9xtqwdhxkhw/edit?usp=sharing"",""ปราจีนบุรี!J511"")"),0)</f>
        <v>0</v>
      </c>
      <c r="X65" s="451">
        <f ca="1">IFERROR(__xludf.DUMMYFUNCTION("IMPORTRANGE(""https://docs.google.com/spreadsheets/d/1SX6NBoVAgQJ6U1MVXOaj8PK2l7WJ3RER9xtqwdhxkhw/edit?usp=sharing"",""ปราจีนบุรี!J512"")"),0)</f>
        <v>0</v>
      </c>
      <c r="Y65" s="55">
        <f t="shared" ca="1" si="49"/>
        <v>0</v>
      </c>
      <c r="Z65" s="99">
        <f t="shared" ca="1" si="11"/>
        <v>0</v>
      </c>
      <c r="AA65" s="55">
        <f ca="1">IFERROR(__xludf.DUMMYFUNCTION("IMPORTRANGE(""https://docs.google.com/spreadsheets/d/1SX6NBoVAgQJ6U1MVXOaj8PK2l7WJ3RER9xtqwdhxkhw/edit?usp=sharing"",""ปราจีนบุรี!J515"")"),0)</f>
        <v>0</v>
      </c>
      <c r="AB65" s="55">
        <f ca="1">IFERROR(__xludf.DUMMYFUNCTION("IMPORTRANGE(""https://docs.google.com/spreadsheets/d/1SX6NBoVAgQJ6U1MVXOaj8PK2l7WJ3RER9xtqwdhxkhw/edit?usp=sharing"",""ปราจีนบุรี!J516"")"),0)</f>
        <v>0</v>
      </c>
      <c r="AC65" s="55">
        <f ca="1">IFERROR(__xludf.DUMMYFUNCTION("IMPORTRANGE(""https://docs.google.com/spreadsheets/d/1SX6NBoVAgQJ6U1MVXOaj8PK2l7WJ3RER9xtqwdhxkhw/edit?usp=sharing"",""ปราจีนบุรี!J518"")"),0)</f>
        <v>0</v>
      </c>
      <c r="AD65" s="422">
        <f ca="1">IFERROR(__xludf.DUMMYFUNCTION("IMPORTRANGE(""https://docs.google.com/spreadsheets/d/1SX6NBoVAgQJ6U1MVXOaj8PK2l7WJ3RER9xtqwdhxkhw/edit?usp=sharing"",""ปราจีนบุรี!J519"")"),0)</f>
        <v>0</v>
      </c>
    </row>
    <row r="66" spans="1:30" ht="24" customHeight="1" x14ac:dyDescent="0.5">
      <c r="A66" s="273">
        <v>12</v>
      </c>
      <c r="B66" s="274" t="s">
        <v>81</v>
      </c>
      <c r="C66" s="275">
        <f t="shared" si="46"/>
        <v>7300</v>
      </c>
      <c r="D66" s="55">
        <v>0</v>
      </c>
      <c r="E66" s="55">
        <v>7300</v>
      </c>
      <c r="F66" s="99">
        <f ca="1">IFERROR(__xludf.DUMMYFUNCTION("IMPORTRANGE(""https://docs.google.com/spreadsheets/d/1SX6NBoVAgQJ6U1MVXOaj8PK2l7WJ3RER9xtqwdhxkhw/edit?usp=sharing"",""พระนครศรีอยุธยา!M492"")"),0)</f>
        <v>0</v>
      </c>
      <c r="G66" s="99">
        <f t="shared" ca="1" si="1"/>
        <v>0</v>
      </c>
      <c r="H66" s="402">
        <f t="shared" si="47"/>
        <v>100</v>
      </c>
      <c r="I66" s="402">
        <v>100</v>
      </c>
      <c r="J66" s="402">
        <v>0</v>
      </c>
      <c r="K66" s="55">
        <f ca="1">IFERROR(__xludf.DUMMYFUNCTION("IMPORTRANGE(""https://docs.google.com/spreadsheets/d/1SX6NBoVAgQJ6U1MVXOaj8PK2l7WJ3RER9xtqwdhxkhw/edit?usp=sharing"",""พระนครศรีอยุธยา!J505"")"),0)</f>
        <v>0</v>
      </c>
      <c r="L66" s="99">
        <f t="shared" ca="1" si="4"/>
        <v>0</v>
      </c>
      <c r="M66" s="55">
        <f ca="1">IFERROR(__xludf.DUMMYFUNCTION("IMPORTRANGE(""https://docs.google.com/spreadsheets/d/1SX6NBoVAgQJ6U1MVXOaj8PK2l7WJ3RER9xtqwdhxkhw/edit?usp=sharing"",""พระนครศรีอยุธยา!J506"")"),0)</f>
        <v>0</v>
      </c>
      <c r="N66" s="99">
        <f t="shared" ca="1" si="5"/>
        <v>0</v>
      </c>
      <c r="O66" s="55">
        <f ca="1">IFERROR(__xludf.DUMMYFUNCTION("IMPORTRANGE(""https://docs.google.com/spreadsheets/d/1SX6NBoVAgQJ6U1MVXOaj8PK2l7WJ3RER9xtqwdhxkhw/edit?usp=sharing"",""พระนครศรีอยุธยา!J507"")"),0)</f>
        <v>0</v>
      </c>
      <c r="P66" s="99">
        <f t="shared" ca="1" si="6"/>
        <v>0</v>
      </c>
      <c r="Q66" s="55">
        <f ca="1">IFERROR(__xludf.DUMMYFUNCTION("IMPORTRANGE(""https://docs.google.com/spreadsheets/d/1SX6NBoVAgQJ6U1MVXOaj8PK2l7WJ3RER9xtqwdhxkhw/edit?usp=sharing"",""พระนครศรีอยุธยา!J508"")"),0)</f>
        <v>0</v>
      </c>
      <c r="R66" s="99">
        <f t="shared" ca="1" si="7"/>
        <v>0</v>
      </c>
      <c r="S66" s="55">
        <f ca="1">IFERROR(__xludf.DUMMYFUNCTION("IMPORTRANGE(""https://docs.google.com/spreadsheets/d/1SX6NBoVAgQJ6U1MVXOaj8PK2l7WJ3RER9xtqwdhxkhw/edit?usp=sharing"",""พระนครศรีอยุธยา!J509"")"),0)</f>
        <v>0</v>
      </c>
      <c r="T66" s="99">
        <f t="shared" ca="1" si="8"/>
        <v>0</v>
      </c>
      <c r="U66" s="451">
        <f t="shared" ca="1" si="48"/>
        <v>0</v>
      </c>
      <c r="V66" s="99">
        <f t="shared" ca="1" si="9"/>
        <v>0</v>
      </c>
      <c r="W66" s="451">
        <f ca="1">IFERROR(__xludf.DUMMYFUNCTION("IMPORTRANGE(""https://docs.google.com/spreadsheets/d/1SX6NBoVAgQJ6U1MVXOaj8PK2l7WJ3RER9xtqwdhxkhw/edit?usp=sharing"",""พระนครศรีอยุธยา!J511"")"),0)</f>
        <v>0</v>
      </c>
      <c r="X66" s="451">
        <f ca="1">IFERROR(__xludf.DUMMYFUNCTION("IMPORTRANGE(""https://docs.google.com/spreadsheets/d/1SX6NBoVAgQJ6U1MVXOaj8PK2l7WJ3RER9xtqwdhxkhw/edit?usp=sharing"",""พระนครศรีอยุธยา!J512"")"),0)</f>
        <v>0</v>
      </c>
      <c r="Y66" s="55">
        <f t="shared" ca="1" si="49"/>
        <v>0</v>
      </c>
      <c r="Z66" s="99">
        <f t="shared" ca="1" si="11"/>
        <v>0</v>
      </c>
      <c r="AA66" s="55">
        <f ca="1">IFERROR(__xludf.DUMMYFUNCTION("IMPORTRANGE(""https://docs.google.com/spreadsheets/d/1SX6NBoVAgQJ6U1MVXOaj8PK2l7WJ3RER9xtqwdhxkhw/edit?usp=sharing"",""พระนครศรีอยุธยา!J515"")"),0)</f>
        <v>0</v>
      </c>
      <c r="AB66" s="55">
        <f ca="1">IFERROR(__xludf.DUMMYFUNCTION("IMPORTRANGE(""https://docs.google.com/spreadsheets/d/1SX6NBoVAgQJ6U1MVXOaj8PK2l7WJ3RER9xtqwdhxkhw/edit?usp=sharing"",""พระนครศรีอยุธยา!J516"")"),0)</f>
        <v>0</v>
      </c>
      <c r="AC66" s="55">
        <f ca="1">IFERROR(__xludf.DUMMYFUNCTION("IMPORTRANGE(""https://docs.google.com/spreadsheets/d/1SX6NBoVAgQJ6U1MVXOaj8PK2l7WJ3RER9xtqwdhxkhw/edit?usp=sharing"",""พระนครศรีอยุธยา!J518"")"),0)</f>
        <v>0</v>
      </c>
      <c r="AD66" s="422">
        <f ca="1">IFERROR(__xludf.DUMMYFUNCTION("IMPORTRANGE(""https://docs.google.com/spreadsheets/d/1SX6NBoVAgQJ6U1MVXOaj8PK2l7WJ3RER9xtqwdhxkhw/edit?usp=sharing"",""พระนครศรีอยุธยา!J519"")"),0)</f>
        <v>0</v>
      </c>
    </row>
    <row r="67" spans="1:30" ht="24" customHeight="1" x14ac:dyDescent="0.5">
      <c r="A67" s="273">
        <v>13</v>
      </c>
      <c r="B67" s="274" t="s">
        <v>82</v>
      </c>
      <c r="C67" s="275">
        <f t="shared" si="46"/>
        <v>4550</v>
      </c>
      <c r="D67" s="55">
        <v>0</v>
      </c>
      <c r="E67" s="55">
        <v>4550</v>
      </c>
      <c r="F67" s="99">
        <f ca="1">IFERROR(__xludf.DUMMYFUNCTION("IMPORTRANGE(""https://docs.google.com/spreadsheets/d/1SX6NBoVAgQJ6U1MVXOaj8PK2l7WJ3RER9xtqwdhxkhw/edit?usp=sharing"",""เพชรบุรี!M492"")"),0)</f>
        <v>0</v>
      </c>
      <c r="G67" s="99">
        <f t="shared" ca="1" si="1"/>
        <v>0</v>
      </c>
      <c r="H67" s="402">
        <f t="shared" si="47"/>
        <v>50</v>
      </c>
      <c r="I67" s="402">
        <v>50</v>
      </c>
      <c r="J67" s="402">
        <v>0</v>
      </c>
      <c r="K67" s="55">
        <f ca="1">IFERROR(__xludf.DUMMYFUNCTION("IMPORTRANGE(""https://docs.google.com/spreadsheets/d/1SX6NBoVAgQJ6U1MVXOaj8PK2l7WJ3RER9xtqwdhxkhw/edit?usp=sharing"",""เพชรบุรี!J505"")"),0)</f>
        <v>0</v>
      </c>
      <c r="L67" s="99">
        <f t="shared" ca="1" si="4"/>
        <v>0</v>
      </c>
      <c r="M67" s="55">
        <f ca="1">IFERROR(__xludf.DUMMYFUNCTION("IMPORTRANGE(""https://docs.google.com/spreadsheets/d/1SX6NBoVAgQJ6U1MVXOaj8PK2l7WJ3RER9xtqwdhxkhw/edit?usp=sharing"",""เพชรบุรี!J506"")"),0)</f>
        <v>0</v>
      </c>
      <c r="N67" s="99">
        <f t="shared" ca="1" si="5"/>
        <v>0</v>
      </c>
      <c r="O67" s="55">
        <f ca="1">IFERROR(__xludf.DUMMYFUNCTION("IMPORTRANGE(""https://docs.google.com/spreadsheets/d/1SX6NBoVAgQJ6U1MVXOaj8PK2l7WJ3RER9xtqwdhxkhw/edit?usp=sharing"",""เพชรบุรี!J507"")"),0)</f>
        <v>0</v>
      </c>
      <c r="P67" s="99">
        <f t="shared" ca="1" si="6"/>
        <v>0</v>
      </c>
      <c r="Q67" s="55">
        <f ca="1">IFERROR(__xludf.DUMMYFUNCTION("IMPORTRANGE(""https://docs.google.com/spreadsheets/d/1SX6NBoVAgQJ6U1MVXOaj8PK2l7WJ3RER9xtqwdhxkhw/edit?usp=sharing"",""เพชรบุรี!J508"")"),0)</f>
        <v>0</v>
      </c>
      <c r="R67" s="99">
        <f t="shared" ca="1" si="7"/>
        <v>0</v>
      </c>
      <c r="S67" s="55">
        <f ca="1">IFERROR(__xludf.DUMMYFUNCTION("IMPORTRANGE(""https://docs.google.com/spreadsheets/d/1SX6NBoVAgQJ6U1MVXOaj8PK2l7WJ3RER9xtqwdhxkhw/edit?usp=sharing"",""เพชรบุรี!J509"")"),0)</f>
        <v>0</v>
      </c>
      <c r="T67" s="99">
        <f t="shared" ca="1" si="8"/>
        <v>0</v>
      </c>
      <c r="U67" s="451">
        <f t="shared" ca="1" si="48"/>
        <v>0</v>
      </c>
      <c r="V67" s="99">
        <f t="shared" ca="1" si="9"/>
        <v>0</v>
      </c>
      <c r="W67" s="451">
        <f ca="1">IFERROR(__xludf.DUMMYFUNCTION("IMPORTRANGE(""https://docs.google.com/spreadsheets/d/1SX6NBoVAgQJ6U1MVXOaj8PK2l7WJ3RER9xtqwdhxkhw/edit?usp=sharing"",""เพชรบุรี!J511"")"),0)</f>
        <v>0</v>
      </c>
      <c r="X67" s="451">
        <f ca="1">IFERROR(__xludf.DUMMYFUNCTION("IMPORTRANGE(""https://docs.google.com/spreadsheets/d/1SX6NBoVAgQJ6U1MVXOaj8PK2l7WJ3RER9xtqwdhxkhw/edit?usp=sharing"",""เพชรบุรี!J512"")"),0)</f>
        <v>0</v>
      </c>
      <c r="Y67" s="55">
        <f t="shared" ca="1" si="49"/>
        <v>0</v>
      </c>
      <c r="Z67" s="99">
        <f t="shared" ca="1" si="11"/>
        <v>0</v>
      </c>
      <c r="AA67" s="55">
        <f ca="1">IFERROR(__xludf.DUMMYFUNCTION("IMPORTRANGE(""https://docs.google.com/spreadsheets/d/1SX6NBoVAgQJ6U1MVXOaj8PK2l7WJ3RER9xtqwdhxkhw/edit?usp=sharing"",""เพชรบุรี!J515"")"),0)</f>
        <v>0</v>
      </c>
      <c r="AB67" s="55">
        <f ca="1">IFERROR(__xludf.DUMMYFUNCTION("IMPORTRANGE(""https://docs.google.com/spreadsheets/d/1SX6NBoVAgQJ6U1MVXOaj8PK2l7WJ3RER9xtqwdhxkhw/edit?usp=sharing"",""เพชรบุรี!J516"")"),0)</f>
        <v>0</v>
      </c>
      <c r="AC67" s="55">
        <f ca="1">IFERROR(__xludf.DUMMYFUNCTION("IMPORTRANGE(""https://docs.google.com/spreadsheets/d/1SX6NBoVAgQJ6U1MVXOaj8PK2l7WJ3RER9xtqwdhxkhw/edit?usp=sharing"",""เพชรบุรี!J518"")"),0)</f>
        <v>0</v>
      </c>
      <c r="AD67" s="422">
        <f ca="1">IFERROR(__xludf.DUMMYFUNCTION("IMPORTRANGE(""https://docs.google.com/spreadsheets/d/1SX6NBoVAgQJ6U1MVXOaj8PK2l7WJ3RER9xtqwdhxkhw/edit?usp=sharing"",""เพชรบุรี!J519"")"),0)</f>
        <v>0</v>
      </c>
    </row>
    <row r="68" spans="1:30" ht="24" customHeight="1" x14ac:dyDescent="0.5">
      <c r="A68" s="273">
        <v>14</v>
      </c>
      <c r="B68" s="274" t="s">
        <v>83</v>
      </c>
      <c r="C68" s="275">
        <f t="shared" si="46"/>
        <v>4550</v>
      </c>
      <c r="D68" s="55">
        <v>0</v>
      </c>
      <c r="E68" s="55">
        <v>4550</v>
      </c>
      <c r="F68" s="99">
        <f ca="1">IFERROR(__xludf.DUMMYFUNCTION("IMPORTRANGE(""https://docs.google.com/spreadsheets/d/1SX6NBoVAgQJ6U1MVXOaj8PK2l7WJ3RER9xtqwdhxkhw/edit?usp=sharing"",""ระยอง!M492"")"),0)</f>
        <v>0</v>
      </c>
      <c r="G68" s="99">
        <f t="shared" ca="1" si="1"/>
        <v>0</v>
      </c>
      <c r="H68" s="402">
        <f t="shared" si="47"/>
        <v>50</v>
      </c>
      <c r="I68" s="402">
        <v>50</v>
      </c>
      <c r="J68" s="402">
        <v>0</v>
      </c>
      <c r="K68" s="55">
        <f ca="1">IFERROR(__xludf.DUMMYFUNCTION("IMPORTRANGE(""https://docs.google.com/spreadsheets/d/1SX6NBoVAgQJ6U1MVXOaj8PK2l7WJ3RER9xtqwdhxkhw/edit?usp=sharing"",""ระยอง!J505"")"),0)</f>
        <v>0</v>
      </c>
      <c r="L68" s="99">
        <f t="shared" ca="1" si="4"/>
        <v>0</v>
      </c>
      <c r="M68" s="55">
        <f ca="1">IFERROR(__xludf.DUMMYFUNCTION("IMPORTRANGE(""https://docs.google.com/spreadsheets/d/1SX6NBoVAgQJ6U1MVXOaj8PK2l7WJ3RER9xtqwdhxkhw/edit?usp=sharing"",""ระยอง!J506"")"),0)</f>
        <v>0</v>
      </c>
      <c r="N68" s="99">
        <f t="shared" ca="1" si="5"/>
        <v>0</v>
      </c>
      <c r="O68" s="55">
        <f ca="1">IFERROR(__xludf.DUMMYFUNCTION("IMPORTRANGE(""https://docs.google.com/spreadsheets/d/1SX6NBoVAgQJ6U1MVXOaj8PK2l7WJ3RER9xtqwdhxkhw/edit?usp=sharing"",""ระยอง!J507"")"),0)</f>
        <v>0</v>
      </c>
      <c r="P68" s="99">
        <f t="shared" ca="1" si="6"/>
        <v>0</v>
      </c>
      <c r="Q68" s="55">
        <f ca="1">IFERROR(__xludf.DUMMYFUNCTION("IMPORTRANGE(""https://docs.google.com/spreadsheets/d/1SX6NBoVAgQJ6U1MVXOaj8PK2l7WJ3RER9xtqwdhxkhw/edit?usp=sharing"",""ระยอง!J508"")"),0)</f>
        <v>0</v>
      </c>
      <c r="R68" s="99">
        <f t="shared" ca="1" si="7"/>
        <v>0</v>
      </c>
      <c r="S68" s="55">
        <f ca="1">IFERROR(__xludf.DUMMYFUNCTION("IMPORTRANGE(""https://docs.google.com/spreadsheets/d/1SX6NBoVAgQJ6U1MVXOaj8PK2l7WJ3RER9xtqwdhxkhw/edit?usp=sharing"",""ระยอง!J509"")"),0)</f>
        <v>0</v>
      </c>
      <c r="T68" s="99">
        <f t="shared" ca="1" si="8"/>
        <v>0</v>
      </c>
      <c r="U68" s="451">
        <f t="shared" ca="1" si="48"/>
        <v>0</v>
      </c>
      <c r="V68" s="99">
        <f t="shared" ca="1" si="9"/>
        <v>0</v>
      </c>
      <c r="W68" s="451">
        <f ca="1">IFERROR(__xludf.DUMMYFUNCTION("IMPORTRANGE(""https://docs.google.com/spreadsheets/d/1SX6NBoVAgQJ6U1MVXOaj8PK2l7WJ3RER9xtqwdhxkhw/edit?usp=sharing"",""ระยอง!J511"")"),0)</f>
        <v>0</v>
      </c>
      <c r="X68" s="451">
        <f ca="1">IFERROR(__xludf.DUMMYFUNCTION("IMPORTRANGE(""https://docs.google.com/spreadsheets/d/1SX6NBoVAgQJ6U1MVXOaj8PK2l7WJ3RER9xtqwdhxkhw/edit?usp=sharing"",""ระยอง!J512"")"),0)</f>
        <v>0</v>
      </c>
      <c r="Y68" s="55">
        <f t="shared" ca="1" si="49"/>
        <v>0</v>
      </c>
      <c r="Z68" s="99">
        <f t="shared" ca="1" si="11"/>
        <v>0</v>
      </c>
      <c r="AA68" s="55">
        <f ca="1">IFERROR(__xludf.DUMMYFUNCTION("IMPORTRANGE(""https://docs.google.com/spreadsheets/d/1SX6NBoVAgQJ6U1MVXOaj8PK2l7WJ3RER9xtqwdhxkhw/edit?usp=sharing"",""ระยอง!J515"")"),0)</f>
        <v>0</v>
      </c>
      <c r="AB68" s="55">
        <f ca="1">IFERROR(__xludf.DUMMYFUNCTION("IMPORTRANGE(""https://docs.google.com/spreadsheets/d/1SX6NBoVAgQJ6U1MVXOaj8PK2l7WJ3RER9xtqwdhxkhw/edit?usp=sharing"",""ระยอง!J516"")"),0)</f>
        <v>0</v>
      </c>
      <c r="AC68" s="55">
        <f ca="1">IFERROR(__xludf.DUMMYFUNCTION("IMPORTRANGE(""https://docs.google.com/spreadsheets/d/1SX6NBoVAgQJ6U1MVXOaj8PK2l7WJ3RER9xtqwdhxkhw/edit?usp=sharing"",""ระยอง!J518"")"),0)</f>
        <v>0</v>
      </c>
      <c r="AD68" s="422">
        <f ca="1">IFERROR(__xludf.DUMMYFUNCTION("IMPORTRANGE(""https://docs.google.com/spreadsheets/d/1SX6NBoVAgQJ6U1MVXOaj8PK2l7WJ3RER9xtqwdhxkhw/edit?usp=sharing"",""ระยอง!J519"")"),0)</f>
        <v>0</v>
      </c>
    </row>
    <row r="69" spans="1:30" ht="24" customHeight="1" x14ac:dyDescent="0.5">
      <c r="A69" s="273">
        <v>15</v>
      </c>
      <c r="B69" s="274" t="s">
        <v>84</v>
      </c>
      <c r="C69" s="275">
        <f t="shared" si="46"/>
        <v>5350</v>
      </c>
      <c r="D69" s="55">
        <v>0</v>
      </c>
      <c r="E69" s="55">
        <v>5350</v>
      </c>
      <c r="F69" s="99">
        <f ca="1">IFERROR(__xludf.DUMMYFUNCTION("IMPORTRANGE(""https://docs.google.com/spreadsheets/d/1SX6NBoVAgQJ6U1MVXOaj8PK2l7WJ3RER9xtqwdhxkhw/edit?usp=sharing"",""ราชบุรี!M492"")"),300)</f>
        <v>300</v>
      </c>
      <c r="G69" s="99">
        <f t="shared" ca="1" si="1"/>
        <v>5.6074766355140184</v>
      </c>
      <c r="H69" s="402">
        <f t="shared" si="47"/>
        <v>50</v>
      </c>
      <c r="I69" s="402">
        <v>50</v>
      </c>
      <c r="J69" s="402">
        <v>0</v>
      </c>
      <c r="K69" s="55">
        <f ca="1">IFERROR(__xludf.DUMMYFUNCTION("IMPORTRANGE(""https://docs.google.com/spreadsheets/d/1SX6NBoVAgQJ6U1MVXOaj8PK2l7WJ3RER9xtqwdhxkhw/edit?usp=sharing"",""ราชบุรี!J505"")"),0)</f>
        <v>0</v>
      </c>
      <c r="L69" s="99">
        <f t="shared" ca="1" si="4"/>
        <v>0</v>
      </c>
      <c r="M69" s="55">
        <f ca="1">IFERROR(__xludf.DUMMYFUNCTION("IMPORTRANGE(""https://docs.google.com/spreadsheets/d/1SX6NBoVAgQJ6U1MVXOaj8PK2l7WJ3RER9xtqwdhxkhw/edit?usp=sharing"",""ราชบุรี!J506"")"),0)</f>
        <v>0</v>
      </c>
      <c r="N69" s="99">
        <f t="shared" ca="1" si="5"/>
        <v>0</v>
      </c>
      <c r="O69" s="55">
        <f ca="1">IFERROR(__xludf.DUMMYFUNCTION("IMPORTRANGE(""https://docs.google.com/spreadsheets/d/1SX6NBoVAgQJ6U1MVXOaj8PK2l7WJ3RER9xtqwdhxkhw/edit?usp=sharing"",""ราชบุรี!J507"")"),0)</f>
        <v>0</v>
      </c>
      <c r="P69" s="99">
        <f t="shared" ca="1" si="6"/>
        <v>0</v>
      </c>
      <c r="Q69" s="55">
        <f ca="1">IFERROR(__xludf.DUMMYFUNCTION("IMPORTRANGE(""https://docs.google.com/spreadsheets/d/1SX6NBoVAgQJ6U1MVXOaj8PK2l7WJ3RER9xtqwdhxkhw/edit?usp=sharing"",""ราชบุรี!J508"")"),0)</f>
        <v>0</v>
      </c>
      <c r="R69" s="99">
        <f t="shared" ca="1" si="7"/>
        <v>0</v>
      </c>
      <c r="S69" s="55">
        <f ca="1">IFERROR(__xludf.DUMMYFUNCTION("IMPORTRANGE(""https://docs.google.com/spreadsheets/d/1SX6NBoVAgQJ6U1MVXOaj8PK2l7WJ3RER9xtqwdhxkhw/edit?usp=sharing"",""ราชบุรี!J509"")"),0)</f>
        <v>0</v>
      </c>
      <c r="T69" s="99">
        <f t="shared" ca="1" si="8"/>
        <v>0</v>
      </c>
      <c r="U69" s="451">
        <f t="shared" ca="1" si="48"/>
        <v>0</v>
      </c>
      <c r="V69" s="99">
        <f t="shared" ca="1" si="9"/>
        <v>0</v>
      </c>
      <c r="W69" s="451">
        <f ca="1">IFERROR(__xludf.DUMMYFUNCTION("IMPORTRANGE(""https://docs.google.com/spreadsheets/d/1SX6NBoVAgQJ6U1MVXOaj8PK2l7WJ3RER9xtqwdhxkhw/edit?usp=sharing"",""ราชบุรี!J511"")"),0)</f>
        <v>0</v>
      </c>
      <c r="X69" s="451">
        <f ca="1">IFERROR(__xludf.DUMMYFUNCTION("IMPORTRANGE(""https://docs.google.com/spreadsheets/d/1SX6NBoVAgQJ6U1MVXOaj8PK2l7WJ3RER9xtqwdhxkhw/edit?usp=sharing"",""ราชบุรี!J512"")"),0)</f>
        <v>0</v>
      </c>
      <c r="Y69" s="55">
        <f t="shared" ca="1" si="49"/>
        <v>0</v>
      </c>
      <c r="Z69" s="99">
        <f t="shared" ca="1" si="11"/>
        <v>0</v>
      </c>
      <c r="AA69" s="55">
        <f ca="1">IFERROR(__xludf.DUMMYFUNCTION("IMPORTRANGE(""https://docs.google.com/spreadsheets/d/1SX6NBoVAgQJ6U1MVXOaj8PK2l7WJ3RER9xtqwdhxkhw/edit?usp=sharing"",""ราชบุรี!J515"")"),0)</f>
        <v>0</v>
      </c>
      <c r="AB69" s="55">
        <f ca="1">IFERROR(__xludf.DUMMYFUNCTION("IMPORTRANGE(""https://docs.google.com/spreadsheets/d/1SX6NBoVAgQJ6U1MVXOaj8PK2l7WJ3RER9xtqwdhxkhw/edit?usp=sharing"",""ราชบุรี!J516"")"),0)</f>
        <v>0</v>
      </c>
      <c r="AC69" s="55">
        <f ca="1">IFERROR(__xludf.DUMMYFUNCTION("IMPORTRANGE(""https://docs.google.com/spreadsheets/d/1SX6NBoVAgQJ6U1MVXOaj8PK2l7WJ3RER9xtqwdhxkhw/edit?usp=sharing"",""ราชบุรี!J518"")"),0)</f>
        <v>0</v>
      </c>
      <c r="AD69" s="422">
        <f ca="1">IFERROR(__xludf.DUMMYFUNCTION("IMPORTRANGE(""https://docs.google.com/spreadsheets/d/1SX6NBoVAgQJ6U1MVXOaj8PK2l7WJ3RER9xtqwdhxkhw/edit?usp=sharing"",""ราชบุรี!J519"")"),0)</f>
        <v>0</v>
      </c>
    </row>
    <row r="70" spans="1:30" ht="24" customHeight="1" x14ac:dyDescent="0.5">
      <c r="A70" s="273">
        <v>16</v>
      </c>
      <c r="B70" s="274" t="s">
        <v>85</v>
      </c>
      <c r="C70" s="275">
        <f t="shared" si="46"/>
        <v>8900</v>
      </c>
      <c r="D70" s="55">
        <v>0</v>
      </c>
      <c r="E70" s="55">
        <v>8900</v>
      </c>
      <c r="F70" s="99">
        <f ca="1">IFERROR(__xludf.DUMMYFUNCTION("IMPORTRANGE(""https://docs.google.com/spreadsheets/d/1SX6NBoVAgQJ6U1MVXOaj8PK2l7WJ3RER9xtqwdhxkhw/edit?usp=sharing"",""ลพบุรี!M492"")"),0)</f>
        <v>0</v>
      </c>
      <c r="G70" s="99">
        <f t="shared" ca="1" si="1"/>
        <v>0</v>
      </c>
      <c r="H70" s="402">
        <f t="shared" si="47"/>
        <v>860</v>
      </c>
      <c r="I70" s="402">
        <v>100</v>
      </c>
      <c r="J70" s="402">
        <v>760</v>
      </c>
      <c r="K70" s="55">
        <f ca="1">IFERROR(__xludf.DUMMYFUNCTION("IMPORTRANGE(""https://docs.google.com/spreadsheets/d/1SX6NBoVAgQJ6U1MVXOaj8PK2l7WJ3RER9xtqwdhxkhw/edit?usp=sharing"",""ลพบุรี!J505"")"),0)</f>
        <v>0</v>
      </c>
      <c r="L70" s="99">
        <f t="shared" ca="1" si="4"/>
        <v>0</v>
      </c>
      <c r="M70" s="55">
        <f ca="1">IFERROR(__xludf.DUMMYFUNCTION("IMPORTRANGE(""https://docs.google.com/spreadsheets/d/1SX6NBoVAgQJ6U1MVXOaj8PK2l7WJ3RER9xtqwdhxkhw/edit?usp=sharing"",""ลพบุรี!J506"")"),0)</f>
        <v>0</v>
      </c>
      <c r="N70" s="99">
        <f t="shared" ca="1" si="5"/>
        <v>0</v>
      </c>
      <c r="O70" s="55">
        <f ca="1">IFERROR(__xludf.DUMMYFUNCTION("IMPORTRANGE(""https://docs.google.com/spreadsheets/d/1SX6NBoVAgQJ6U1MVXOaj8PK2l7WJ3RER9xtqwdhxkhw/edit?usp=sharing"",""ลพบุรี!J507"")"),0)</f>
        <v>0</v>
      </c>
      <c r="P70" s="99">
        <f t="shared" ca="1" si="6"/>
        <v>0</v>
      </c>
      <c r="Q70" s="55">
        <f ca="1">IFERROR(__xludf.DUMMYFUNCTION("IMPORTRANGE(""https://docs.google.com/spreadsheets/d/1SX6NBoVAgQJ6U1MVXOaj8PK2l7WJ3RER9xtqwdhxkhw/edit?usp=sharing"",""ลพบุรี!J508"")"),0)</f>
        <v>0</v>
      </c>
      <c r="R70" s="99">
        <f t="shared" ca="1" si="7"/>
        <v>0</v>
      </c>
      <c r="S70" s="55">
        <f ca="1">IFERROR(__xludf.DUMMYFUNCTION("IMPORTRANGE(""https://docs.google.com/spreadsheets/d/1SX6NBoVAgQJ6U1MVXOaj8PK2l7WJ3RER9xtqwdhxkhw/edit?usp=sharing"",""ลพบุรี!J509"")"),0)</f>
        <v>0</v>
      </c>
      <c r="T70" s="99">
        <f t="shared" ca="1" si="8"/>
        <v>0</v>
      </c>
      <c r="U70" s="451">
        <f t="shared" ca="1" si="48"/>
        <v>0</v>
      </c>
      <c r="V70" s="99">
        <f t="shared" ca="1" si="9"/>
        <v>0</v>
      </c>
      <c r="W70" s="451">
        <f ca="1">IFERROR(__xludf.DUMMYFUNCTION("IMPORTRANGE(""https://docs.google.com/spreadsheets/d/1SX6NBoVAgQJ6U1MVXOaj8PK2l7WJ3RER9xtqwdhxkhw/edit?usp=sharing"",""ลพบุรี!J511"")"),0)</f>
        <v>0</v>
      </c>
      <c r="X70" s="451">
        <f ca="1">IFERROR(__xludf.DUMMYFUNCTION("IMPORTRANGE(""https://docs.google.com/spreadsheets/d/1SX6NBoVAgQJ6U1MVXOaj8PK2l7WJ3RER9xtqwdhxkhw/edit?usp=sharing"",""ลพบุรี!J512"")"),0)</f>
        <v>0</v>
      </c>
      <c r="Y70" s="55">
        <f t="shared" ca="1" si="49"/>
        <v>0</v>
      </c>
      <c r="Z70" s="99">
        <f t="shared" ca="1" si="11"/>
        <v>0</v>
      </c>
      <c r="AA70" s="55">
        <f ca="1">IFERROR(__xludf.DUMMYFUNCTION("IMPORTRANGE(""https://docs.google.com/spreadsheets/d/1SX6NBoVAgQJ6U1MVXOaj8PK2l7WJ3RER9xtqwdhxkhw/edit?usp=sharing"",""ลพบุรี!J515"")"),0)</f>
        <v>0</v>
      </c>
      <c r="AB70" s="55">
        <f ca="1">IFERROR(__xludf.DUMMYFUNCTION("IMPORTRANGE(""https://docs.google.com/spreadsheets/d/1SX6NBoVAgQJ6U1MVXOaj8PK2l7WJ3RER9xtqwdhxkhw/edit?usp=sharing"",""ลพบุรี!J516"")"),0)</f>
        <v>0</v>
      </c>
      <c r="AC70" s="55">
        <f ca="1">IFERROR(__xludf.DUMMYFUNCTION("IMPORTRANGE(""https://docs.google.com/spreadsheets/d/1SX6NBoVAgQJ6U1MVXOaj8PK2l7WJ3RER9xtqwdhxkhw/edit?usp=sharing"",""ลพบุรี!J518"")"),0)</f>
        <v>0</v>
      </c>
      <c r="AD70" s="422">
        <f ca="1">IFERROR(__xludf.DUMMYFUNCTION("IMPORTRANGE(""https://docs.google.com/spreadsheets/d/1SX6NBoVAgQJ6U1MVXOaj8PK2l7WJ3RER9xtqwdhxkhw/edit?usp=sharing"",""ลพบุรี!J519"")"),0)</f>
        <v>0</v>
      </c>
    </row>
    <row r="71" spans="1:30" ht="24" customHeight="1" x14ac:dyDescent="0.5">
      <c r="A71" s="273">
        <v>17</v>
      </c>
      <c r="B71" s="274" t="s">
        <v>86</v>
      </c>
      <c r="C71" s="275">
        <f t="shared" si="46"/>
        <v>12900</v>
      </c>
      <c r="D71" s="55">
        <v>0</v>
      </c>
      <c r="E71" s="55">
        <v>12900</v>
      </c>
      <c r="F71" s="99">
        <f ca="1">IFERROR(__xludf.DUMMYFUNCTION("IMPORTRANGE(""https://docs.google.com/spreadsheets/d/1SX6NBoVAgQJ6U1MVXOaj8PK2l7WJ3RER9xtqwdhxkhw/edit?usp=sharing"",""สระแก้ว!M492"")"),0)</f>
        <v>0</v>
      </c>
      <c r="G71" s="99">
        <f t="shared" ca="1" si="1"/>
        <v>0</v>
      </c>
      <c r="H71" s="402">
        <f t="shared" si="47"/>
        <v>100</v>
      </c>
      <c r="I71" s="402">
        <v>100</v>
      </c>
      <c r="J71" s="402">
        <v>0</v>
      </c>
      <c r="K71" s="55">
        <f ca="1">IFERROR(__xludf.DUMMYFUNCTION("IMPORTRANGE(""https://docs.google.com/spreadsheets/d/1SX6NBoVAgQJ6U1MVXOaj8PK2l7WJ3RER9xtqwdhxkhw/edit?usp=sharing"",""สระแก้ว!J505"")"),0)</f>
        <v>0</v>
      </c>
      <c r="L71" s="99">
        <f t="shared" ca="1" si="4"/>
        <v>0</v>
      </c>
      <c r="M71" s="55">
        <f ca="1">IFERROR(__xludf.DUMMYFUNCTION("IMPORTRANGE(""https://docs.google.com/spreadsheets/d/1SX6NBoVAgQJ6U1MVXOaj8PK2l7WJ3RER9xtqwdhxkhw/edit?usp=sharing"",""สระแก้ว!J506"")"),0)</f>
        <v>0</v>
      </c>
      <c r="N71" s="99">
        <f t="shared" ca="1" si="5"/>
        <v>0</v>
      </c>
      <c r="O71" s="55">
        <f ca="1">IFERROR(__xludf.DUMMYFUNCTION("IMPORTRANGE(""https://docs.google.com/spreadsheets/d/1SX6NBoVAgQJ6U1MVXOaj8PK2l7WJ3RER9xtqwdhxkhw/edit?usp=sharing"",""สระแก้ว!J507"")"),0)</f>
        <v>0</v>
      </c>
      <c r="P71" s="99">
        <f t="shared" ca="1" si="6"/>
        <v>0</v>
      </c>
      <c r="Q71" s="55">
        <f ca="1">IFERROR(__xludf.DUMMYFUNCTION("IMPORTRANGE(""https://docs.google.com/spreadsheets/d/1SX6NBoVAgQJ6U1MVXOaj8PK2l7WJ3RER9xtqwdhxkhw/edit?usp=sharing"",""สระแก้ว!J508"")"),0)</f>
        <v>0</v>
      </c>
      <c r="R71" s="99">
        <f t="shared" ca="1" si="7"/>
        <v>0</v>
      </c>
      <c r="S71" s="55">
        <f ca="1">IFERROR(__xludf.DUMMYFUNCTION("IMPORTRANGE(""https://docs.google.com/spreadsheets/d/1SX6NBoVAgQJ6U1MVXOaj8PK2l7WJ3RER9xtqwdhxkhw/edit?usp=sharing"",""สระแก้ว!J509"")"),0)</f>
        <v>0</v>
      </c>
      <c r="T71" s="99">
        <f t="shared" ca="1" si="8"/>
        <v>0</v>
      </c>
      <c r="U71" s="451">
        <f t="shared" ca="1" si="48"/>
        <v>0</v>
      </c>
      <c r="V71" s="99">
        <f t="shared" ca="1" si="9"/>
        <v>0</v>
      </c>
      <c r="W71" s="451">
        <f ca="1">IFERROR(__xludf.DUMMYFUNCTION("IMPORTRANGE(""https://docs.google.com/spreadsheets/d/1SX6NBoVAgQJ6U1MVXOaj8PK2l7WJ3RER9xtqwdhxkhw/edit?usp=sharing"",""สระแก้ว!J511"")"),0)</f>
        <v>0</v>
      </c>
      <c r="X71" s="451">
        <f ca="1">IFERROR(__xludf.DUMMYFUNCTION("IMPORTRANGE(""https://docs.google.com/spreadsheets/d/1SX6NBoVAgQJ6U1MVXOaj8PK2l7WJ3RER9xtqwdhxkhw/edit?usp=sharing"",""สระแก้ว!J512"")"),0)</f>
        <v>0</v>
      </c>
      <c r="Y71" s="55">
        <f t="shared" ca="1" si="49"/>
        <v>0</v>
      </c>
      <c r="Z71" s="99">
        <f t="shared" ca="1" si="11"/>
        <v>0</v>
      </c>
      <c r="AA71" s="55">
        <f ca="1">IFERROR(__xludf.DUMMYFUNCTION("IMPORTRANGE(""https://docs.google.com/spreadsheets/d/1SX6NBoVAgQJ6U1MVXOaj8PK2l7WJ3RER9xtqwdhxkhw/edit?usp=sharing"",""สระแก้ว!J515"")"),0)</f>
        <v>0</v>
      </c>
      <c r="AB71" s="55">
        <f ca="1">IFERROR(__xludf.DUMMYFUNCTION("IMPORTRANGE(""https://docs.google.com/spreadsheets/d/1SX6NBoVAgQJ6U1MVXOaj8PK2l7WJ3RER9xtqwdhxkhw/edit?usp=sharing"",""สระแก้ว!J516"")"),0)</f>
        <v>0</v>
      </c>
      <c r="AC71" s="55">
        <f ca="1">IFERROR(__xludf.DUMMYFUNCTION("IMPORTRANGE(""https://docs.google.com/spreadsheets/d/1SX6NBoVAgQJ6U1MVXOaj8PK2l7WJ3RER9xtqwdhxkhw/edit?usp=sharing"",""สระแก้ว!J518"")"),0)</f>
        <v>0</v>
      </c>
      <c r="AD71" s="422">
        <f ca="1">IFERROR(__xludf.DUMMYFUNCTION("IMPORTRANGE(""https://docs.google.com/spreadsheets/d/1SX6NBoVAgQJ6U1MVXOaj8PK2l7WJ3RER9xtqwdhxkhw/edit?usp=sharing"",""สระแก้ว!J519"")"),0)</f>
        <v>0</v>
      </c>
    </row>
    <row r="72" spans="1:30" ht="24" customHeight="1" x14ac:dyDescent="0.5">
      <c r="A72" s="273">
        <v>18</v>
      </c>
      <c r="B72" s="274" t="s">
        <v>87</v>
      </c>
      <c r="C72" s="275">
        <f t="shared" si="46"/>
        <v>4550</v>
      </c>
      <c r="D72" s="55">
        <v>0</v>
      </c>
      <c r="E72" s="55">
        <v>4550</v>
      </c>
      <c r="F72" s="99">
        <f ca="1">IFERROR(__xludf.DUMMYFUNCTION("IMPORTRANGE(""https://docs.google.com/spreadsheets/d/1SX6NBoVAgQJ6U1MVXOaj8PK2l7WJ3RER9xtqwdhxkhw/edit?usp=sharing"",""สระบุรี!M492"")"),0)</f>
        <v>0</v>
      </c>
      <c r="G72" s="99">
        <f t="shared" ca="1" si="1"/>
        <v>0</v>
      </c>
      <c r="H72" s="402">
        <f t="shared" si="47"/>
        <v>50</v>
      </c>
      <c r="I72" s="402">
        <v>50</v>
      </c>
      <c r="J72" s="402">
        <v>0</v>
      </c>
      <c r="K72" s="55">
        <f ca="1">IFERROR(__xludf.DUMMYFUNCTION("IMPORTRANGE(""https://docs.google.com/spreadsheets/d/1SX6NBoVAgQJ6U1MVXOaj8PK2l7WJ3RER9xtqwdhxkhw/edit?usp=sharing"",""สระบุรี!J505"")"),0)</f>
        <v>0</v>
      </c>
      <c r="L72" s="99">
        <f t="shared" ca="1" si="4"/>
        <v>0</v>
      </c>
      <c r="M72" s="55">
        <f ca="1">IFERROR(__xludf.DUMMYFUNCTION("IMPORTRANGE(""https://docs.google.com/spreadsheets/d/1SX6NBoVAgQJ6U1MVXOaj8PK2l7WJ3RER9xtqwdhxkhw/edit?usp=sharing"",""สระบุรี!J506"")"),0)</f>
        <v>0</v>
      </c>
      <c r="N72" s="99">
        <f t="shared" ca="1" si="5"/>
        <v>0</v>
      </c>
      <c r="O72" s="55">
        <f ca="1">IFERROR(__xludf.DUMMYFUNCTION("IMPORTRANGE(""https://docs.google.com/spreadsheets/d/1SX6NBoVAgQJ6U1MVXOaj8PK2l7WJ3RER9xtqwdhxkhw/edit?usp=sharing"",""สระบุรี!J507"")"),0)</f>
        <v>0</v>
      </c>
      <c r="P72" s="99">
        <f t="shared" ca="1" si="6"/>
        <v>0</v>
      </c>
      <c r="Q72" s="55">
        <f ca="1">IFERROR(__xludf.DUMMYFUNCTION("IMPORTRANGE(""https://docs.google.com/spreadsheets/d/1SX6NBoVAgQJ6U1MVXOaj8PK2l7WJ3RER9xtqwdhxkhw/edit?usp=sharing"",""สระบุรี!J508"")"),0)</f>
        <v>0</v>
      </c>
      <c r="R72" s="99">
        <f t="shared" ca="1" si="7"/>
        <v>0</v>
      </c>
      <c r="S72" s="55">
        <f ca="1">IFERROR(__xludf.DUMMYFUNCTION("IMPORTRANGE(""https://docs.google.com/spreadsheets/d/1SX6NBoVAgQJ6U1MVXOaj8PK2l7WJ3RER9xtqwdhxkhw/edit?usp=sharing"",""สระบุรี!J509"")"),0)</f>
        <v>0</v>
      </c>
      <c r="T72" s="99">
        <f t="shared" ca="1" si="8"/>
        <v>0</v>
      </c>
      <c r="U72" s="451">
        <f t="shared" ca="1" si="48"/>
        <v>0</v>
      </c>
      <c r="V72" s="99">
        <f t="shared" ca="1" si="9"/>
        <v>0</v>
      </c>
      <c r="W72" s="451">
        <f ca="1">IFERROR(__xludf.DUMMYFUNCTION("IMPORTRANGE(""https://docs.google.com/spreadsheets/d/1SX6NBoVAgQJ6U1MVXOaj8PK2l7WJ3RER9xtqwdhxkhw/edit?usp=sharing"",""สระบุรี!J511"")"),0)</f>
        <v>0</v>
      </c>
      <c r="X72" s="451">
        <f ca="1">IFERROR(__xludf.DUMMYFUNCTION("IMPORTRANGE(""https://docs.google.com/spreadsheets/d/1SX6NBoVAgQJ6U1MVXOaj8PK2l7WJ3RER9xtqwdhxkhw/edit?usp=sharing"",""สระบุรี!J512"")"),0)</f>
        <v>0</v>
      </c>
      <c r="Y72" s="55">
        <f t="shared" ca="1" si="49"/>
        <v>0</v>
      </c>
      <c r="Z72" s="99">
        <f t="shared" ca="1" si="11"/>
        <v>0</v>
      </c>
      <c r="AA72" s="55">
        <f ca="1">IFERROR(__xludf.DUMMYFUNCTION("IMPORTRANGE(""https://docs.google.com/spreadsheets/d/1SX6NBoVAgQJ6U1MVXOaj8PK2l7WJ3RER9xtqwdhxkhw/edit?usp=sharing"",""สระบุรี!J515"")"),0)</f>
        <v>0</v>
      </c>
      <c r="AB72" s="55">
        <f ca="1">IFERROR(__xludf.DUMMYFUNCTION("IMPORTRANGE(""https://docs.google.com/spreadsheets/d/1SX6NBoVAgQJ6U1MVXOaj8PK2l7WJ3RER9xtqwdhxkhw/edit?usp=sharing"",""สระบุรี!J516"")"),0)</f>
        <v>0</v>
      </c>
      <c r="AC72" s="55">
        <f ca="1">IFERROR(__xludf.DUMMYFUNCTION("IMPORTRANGE(""https://docs.google.com/spreadsheets/d/1SX6NBoVAgQJ6U1MVXOaj8PK2l7WJ3RER9xtqwdhxkhw/edit?usp=sharing"",""สระบุรี!J518"")"),0)</f>
        <v>0</v>
      </c>
      <c r="AD72" s="422">
        <f ca="1">IFERROR(__xludf.DUMMYFUNCTION("IMPORTRANGE(""https://docs.google.com/spreadsheets/d/1SX6NBoVAgQJ6U1MVXOaj8PK2l7WJ3RER9xtqwdhxkhw/edit?usp=sharing"",""สระบุรี!J519"")"),0)</f>
        <v>0</v>
      </c>
    </row>
    <row r="73" spans="1:30" ht="24" customHeight="1" x14ac:dyDescent="0.5">
      <c r="A73" s="273">
        <v>19</v>
      </c>
      <c r="B73" s="274" t="s">
        <v>88</v>
      </c>
      <c r="C73" s="275">
        <f t="shared" si="46"/>
        <v>7300</v>
      </c>
      <c r="D73" s="55">
        <v>0</v>
      </c>
      <c r="E73" s="55">
        <v>7300</v>
      </c>
      <c r="F73" s="99">
        <f ca="1">IFERROR(__xludf.DUMMYFUNCTION("IMPORTRANGE(""https://docs.google.com/spreadsheets/d/1SX6NBoVAgQJ6U1MVXOaj8PK2l7WJ3RER9xtqwdhxkhw/edit?usp=sharing"",""สิงห์บุรี!M492"")"),1800)</f>
        <v>1800</v>
      </c>
      <c r="G73" s="99">
        <f t="shared" ca="1" si="1"/>
        <v>24.657534246575342</v>
      </c>
      <c r="H73" s="402">
        <f t="shared" si="47"/>
        <v>1025</v>
      </c>
      <c r="I73" s="402">
        <v>100</v>
      </c>
      <c r="J73" s="402">
        <v>925</v>
      </c>
      <c r="K73" s="55">
        <f ca="1">IFERROR(__xludf.DUMMYFUNCTION("IMPORTRANGE(""https://docs.google.com/spreadsheets/d/1SX6NBoVAgQJ6U1MVXOaj8PK2l7WJ3RER9xtqwdhxkhw/edit?usp=sharing"",""สิงห์บุรี!J505"")"),132.92)</f>
        <v>132.91999999999999</v>
      </c>
      <c r="L73" s="99">
        <f t="shared" ca="1" si="4"/>
        <v>12.96780487804878</v>
      </c>
      <c r="M73" s="55">
        <f ca="1">IFERROR(__xludf.DUMMYFUNCTION("IMPORTRANGE(""https://docs.google.com/spreadsheets/d/1SX6NBoVAgQJ6U1MVXOaj8PK2l7WJ3RER9xtqwdhxkhw/edit?usp=sharing"",""สิงห์บุรี!J506"")"),123.04)</f>
        <v>123.04</v>
      </c>
      <c r="N73" s="99">
        <f t="shared" ca="1" si="5"/>
        <v>12.00390243902439</v>
      </c>
      <c r="O73" s="55">
        <f ca="1">IFERROR(__xludf.DUMMYFUNCTION("IMPORTRANGE(""https://docs.google.com/spreadsheets/d/1SX6NBoVAgQJ6U1MVXOaj8PK2l7WJ3RER9xtqwdhxkhw/edit?usp=sharing"",""สิงห์บุรี!J507"")"),0)</f>
        <v>0</v>
      </c>
      <c r="P73" s="99">
        <f t="shared" ca="1" si="6"/>
        <v>0</v>
      </c>
      <c r="Q73" s="55">
        <f ca="1">IFERROR(__xludf.DUMMYFUNCTION("IMPORTRANGE(""https://docs.google.com/spreadsheets/d/1SX6NBoVAgQJ6U1MVXOaj8PK2l7WJ3RER9xtqwdhxkhw/edit?usp=sharing"",""สิงห์บุรี!J508"")"),0)</f>
        <v>0</v>
      </c>
      <c r="R73" s="99">
        <f t="shared" ca="1" si="7"/>
        <v>0</v>
      </c>
      <c r="S73" s="55">
        <f ca="1">IFERROR(__xludf.DUMMYFUNCTION("IMPORTRANGE(""https://docs.google.com/spreadsheets/d/1SX6NBoVAgQJ6U1MVXOaj8PK2l7WJ3RER9xtqwdhxkhw/edit?usp=sharing"",""สิงห์บุรี!J509"")"),0)</f>
        <v>0</v>
      </c>
      <c r="T73" s="99">
        <f t="shared" ca="1" si="8"/>
        <v>0</v>
      </c>
      <c r="U73" s="451">
        <f t="shared" ca="1" si="48"/>
        <v>0</v>
      </c>
      <c r="V73" s="99">
        <f t="shared" ca="1" si="9"/>
        <v>0</v>
      </c>
      <c r="W73" s="451">
        <f ca="1">IFERROR(__xludf.DUMMYFUNCTION("IMPORTRANGE(""https://docs.google.com/spreadsheets/d/1SX6NBoVAgQJ6U1MVXOaj8PK2l7WJ3RER9xtqwdhxkhw/edit?usp=sharing"",""สิงห์บุรี!J511"")"),0)</f>
        <v>0</v>
      </c>
      <c r="X73" s="451">
        <f ca="1">IFERROR(__xludf.DUMMYFUNCTION("IMPORTRANGE(""https://docs.google.com/spreadsheets/d/1SX6NBoVAgQJ6U1MVXOaj8PK2l7WJ3RER9xtqwdhxkhw/edit?usp=sharing"",""สิงห์บุรี!J512"")"),0)</f>
        <v>0</v>
      </c>
      <c r="Y73" s="55">
        <f t="shared" ca="1" si="49"/>
        <v>0</v>
      </c>
      <c r="Z73" s="99">
        <f t="shared" ca="1" si="11"/>
        <v>0</v>
      </c>
      <c r="AA73" s="55">
        <f ca="1">IFERROR(__xludf.DUMMYFUNCTION("IMPORTRANGE(""https://docs.google.com/spreadsheets/d/1SX6NBoVAgQJ6U1MVXOaj8PK2l7WJ3RER9xtqwdhxkhw/edit?usp=sharing"",""สิงห์บุรี!J515"")"),0)</f>
        <v>0</v>
      </c>
      <c r="AB73" s="55">
        <f ca="1">IFERROR(__xludf.DUMMYFUNCTION("IMPORTRANGE(""https://docs.google.com/spreadsheets/d/1SX6NBoVAgQJ6U1MVXOaj8PK2l7WJ3RER9xtqwdhxkhw/edit?usp=sharing"",""สิงห์บุรี!J516"")"),0)</f>
        <v>0</v>
      </c>
      <c r="AC73" s="55">
        <f ca="1">IFERROR(__xludf.DUMMYFUNCTION("IMPORTRANGE(""https://docs.google.com/spreadsheets/d/1SX6NBoVAgQJ6U1MVXOaj8PK2l7WJ3RER9xtqwdhxkhw/edit?usp=sharing"",""สิงห์บุรี!J518"")"),0)</f>
        <v>0</v>
      </c>
      <c r="AD73" s="422">
        <f ca="1">IFERROR(__xludf.DUMMYFUNCTION("IMPORTRANGE(""https://docs.google.com/spreadsheets/d/1SX6NBoVAgQJ6U1MVXOaj8PK2l7WJ3RER9xtqwdhxkhw/edit?usp=sharing"",""สิงห์บุรี!J519"")"),0)</f>
        <v>0</v>
      </c>
    </row>
    <row r="74" spans="1:30" ht="24" customHeight="1" x14ac:dyDescent="0.5">
      <c r="A74" s="273">
        <v>20</v>
      </c>
      <c r="B74" s="274" t="s">
        <v>89</v>
      </c>
      <c r="C74" s="275">
        <f t="shared" si="46"/>
        <v>8900</v>
      </c>
      <c r="D74" s="55">
        <v>0</v>
      </c>
      <c r="E74" s="55">
        <v>8900</v>
      </c>
      <c r="F74" s="99">
        <f ca="1">IFERROR(__xludf.DUMMYFUNCTION("IMPORTRANGE(""https://docs.google.com/spreadsheets/d/1SX6NBoVAgQJ6U1MVXOaj8PK2l7WJ3RER9xtqwdhxkhw/edit?usp=sharing"",""สุพรรณบุรี!M492"")"),800)</f>
        <v>800</v>
      </c>
      <c r="G74" s="99">
        <f t="shared" ca="1" si="1"/>
        <v>8.9887640449438209</v>
      </c>
      <c r="H74" s="402">
        <f t="shared" si="47"/>
        <v>173</v>
      </c>
      <c r="I74" s="402">
        <v>100</v>
      </c>
      <c r="J74" s="402">
        <v>73</v>
      </c>
      <c r="K74" s="55">
        <f ca="1">IFERROR(__xludf.DUMMYFUNCTION("IMPORTRANGE(""https://docs.google.com/spreadsheets/d/1SX6NBoVAgQJ6U1MVXOaj8PK2l7WJ3RER9xtqwdhxkhw/edit?usp=sharing"",""สุพรรณบุรี!J505"")"),0)</f>
        <v>0</v>
      </c>
      <c r="L74" s="99">
        <f t="shared" ca="1" si="4"/>
        <v>0</v>
      </c>
      <c r="M74" s="55">
        <f ca="1">IFERROR(__xludf.DUMMYFUNCTION("IMPORTRANGE(""https://docs.google.com/spreadsheets/d/1SX6NBoVAgQJ6U1MVXOaj8PK2l7WJ3RER9xtqwdhxkhw/edit?usp=sharing"",""สุพรรณบุรี!J506"")"),0)</f>
        <v>0</v>
      </c>
      <c r="N74" s="99">
        <f t="shared" ca="1" si="5"/>
        <v>0</v>
      </c>
      <c r="O74" s="55">
        <f ca="1">IFERROR(__xludf.DUMMYFUNCTION("IMPORTRANGE(""https://docs.google.com/spreadsheets/d/1SX6NBoVAgQJ6U1MVXOaj8PK2l7WJ3RER9xtqwdhxkhw/edit?usp=sharing"",""สุพรรณบุรี!J507"")"),0)</f>
        <v>0</v>
      </c>
      <c r="P74" s="99">
        <f t="shared" ca="1" si="6"/>
        <v>0</v>
      </c>
      <c r="Q74" s="55">
        <f ca="1">IFERROR(__xludf.DUMMYFUNCTION("IMPORTRANGE(""https://docs.google.com/spreadsheets/d/1SX6NBoVAgQJ6U1MVXOaj8PK2l7WJ3RER9xtqwdhxkhw/edit?usp=sharing"",""สุพรรณบุรี!J508"")"),0)</f>
        <v>0</v>
      </c>
      <c r="R74" s="99">
        <f t="shared" ca="1" si="7"/>
        <v>0</v>
      </c>
      <c r="S74" s="55">
        <f ca="1">IFERROR(__xludf.DUMMYFUNCTION("IMPORTRANGE(""https://docs.google.com/spreadsheets/d/1SX6NBoVAgQJ6U1MVXOaj8PK2l7WJ3RER9xtqwdhxkhw/edit?usp=sharing"",""สุพรรณบุรี!J509"")"),0)</f>
        <v>0</v>
      </c>
      <c r="T74" s="99">
        <f t="shared" ca="1" si="8"/>
        <v>0</v>
      </c>
      <c r="U74" s="451">
        <f t="shared" ca="1" si="48"/>
        <v>0</v>
      </c>
      <c r="V74" s="99">
        <f t="shared" ca="1" si="9"/>
        <v>0</v>
      </c>
      <c r="W74" s="451">
        <f ca="1">IFERROR(__xludf.DUMMYFUNCTION("IMPORTRANGE(""https://docs.google.com/spreadsheets/d/1SX6NBoVAgQJ6U1MVXOaj8PK2l7WJ3RER9xtqwdhxkhw/edit?usp=sharing"",""สุพรรณบุรี!J511"")"),0)</f>
        <v>0</v>
      </c>
      <c r="X74" s="451">
        <f ca="1">IFERROR(__xludf.DUMMYFUNCTION("IMPORTRANGE(""https://docs.google.com/spreadsheets/d/1SX6NBoVAgQJ6U1MVXOaj8PK2l7WJ3RER9xtqwdhxkhw/edit?usp=sharing"",""สุพรรณบุรี!J512"")"),0)</f>
        <v>0</v>
      </c>
      <c r="Y74" s="55">
        <f t="shared" ca="1" si="49"/>
        <v>0</v>
      </c>
      <c r="Z74" s="99">
        <f t="shared" ca="1" si="11"/>
        <v>0</v>
      </c>
      <c r="AA74" s="55">
        <f ca="1">IFERROR(__xludf.DUMMYFUNCTION("IMPORTRANGE(""https://docs.google.com/spreadsheets/d/1SX6NBoVAgQJ6U1MVXOaj8PK2l7WJ3RER9xtqwdhxkhw/edit?usp=sharing"",""สุพรรณบุรี!J515"")"),0)</f>
        <v>0</v>
      </c>
      <c r="AB74" s="55">
        <f ca="1">IFERROR(__xludf.DUMMYFUNCTION("IMPORTRANGE(""https://docs.google.com/spreadsheets/d/1SX6NBoVAgQJ6U1MVXOaj8PK2l7WJ3RER9xtqwdhxkhw/edit?usp=sharing"",""สุพรรณบุรี!J516"")"),0)</f>
        <v>0</v>
      </c>
      <c r="AC74" s="55">
        <f ca="1">IFERROR(__xludf.DUMMYFUNCTION("IMPORTRANGE(""https://docs.google.com/spreadsheets/d/1SX6NBoVAgQJ6U1MVXOaj8PK2l7WJ3RER9xtqwdhxkhw/edit?usp=sharing"",""สุพรรณบุรี!J518"")"),0)</f>
        <v>0</v>
      </c>
      <c r="AD74" s="422">
        <f ca="1">IFERROR(__xludf.DUMMYFUNCTION("IMPORTRANGE(""https://docs.google.com/spreadsheets/d/1SX6NBoVAgQJ6U1MVXOaj8PK2l7WJ3RER9xtqwdhxkhw/edit?usp=sharing"",""สุพรรณบุรี!J519"")"),0)</f>
        <v>0</v>
      </c>
    </row>
    <row r="75" spans="1:30" ht="24" customHeight="1" x14ac:dyDescent="0.5">
      <c r="A75" s="278">
        <v>21</v>
      </c>
      <c r="B75" s="279" t="s">
        <v>90</v>
      </c>
      <c r="C75" s="280">
        <f t="shared" si="46"/>
        <v>10800</v>
      </c>
      <c r="D75" s="62">
        <v>0</v>
      </c>
      <c r="E75" s="62">
        <v>10800</v>
      </c>
      <c r="F75" s="100">
        <f ca="1">IFERROR(__xludf.DUMMYFUNCTION("IMPORTRANGE(""https://docs.google.com/spreadsheets/d/1SX6NBoVAgQJ6U1MVXOaj8PK2l7WJ3RER9xtqwdhxkhw/edit?usp=sharing"",""อ่างทอง!M492"")"),0)</f>
        <v>0</v>
      </c>
      <c r="G75" s="100">
        <f t="shared" ca="1" si="1"/>
        <v>0</v>
      </c>
      <c r="H75" s="406">
        <f t="shared" si="47"/>
        <v>373</v>
      </c>
      <c r="I75" s="406">
        <v>80</v>
      </c>
      <c r="J75" s="406">
        <v>293</v>
      </c>
      <c r="K75" s="62">
        <f ca="1">IFERROR(__xludf.DUMMYFUNCTION("IMPORTRANGE(""https://docs.google.com/spreadsheets/d/1SX6NBoVAgQJ6U1MVXOaj8PK2l7WJ3RER9xtqwdhxkhw/edit?usp=sharing"",""อ่างทอง!J505"")"),0)</f>
        <v>0</v>
      </c>
      <c r="L75" s="100">
        <f t="shared" ca="1" si="4"/>
        <v>0</v>
      </c>
      <c r="M75" s="62">
        <f ca="1">IFERROR(__xludf.DUMMYFUNCTION("IMPORTRANGE(""https://docs.google.com/spreadsheets/d/1SX6NBoVAgQJ6U1MVXOaj8PK2l7WJ3RER9xtqwdhxkhw/edit?usp=sharing"",""อ่างทอง!J506"")"),0)</f>
        <v>0</v>
      </c>
      <c r="N75" s="100">
        <f t="shared" ca="1" si="5"/>
        <v>0</v>
      </c>
      <c r="O75" s="62">
        <f ca="1">IFERROR(__xludf.DUMMYFUNCTION("IMPORTRANGE(""https://docs.google.com/spreadsheets/d/1SX6NBoVAgQJ6U1MVXOaj8PK2l7WJ3RER9xtqwdhxkhw/edit?usp=sharing"",""อ่างทอง!J507"")"),0)</f>
        <v>0</v>
      </c>
      <c r="P75" s="100">
        <f t="shared" ca="1" si="6"/>
        <v>0</v>
      </c>
      <c r="Q75" s="62">
        <f ca="1">IFERROR(__xludf.DUMMYFUNCTION("IMPORTRANGE(""https://docs.google.com/spreadsheets/d/1SX6NBoVAgQJ6U1MVXOaj8PK2l7WJ3RER9xtqwdhxkhw/edit?usp=sharing"",""อ่างทอง!J508"")"),0)</f>
        <v>0</v>
      </c>
      <c r="R75" s="100">
        <f t="shared" ca="1" si="7"/>
        <v>0</v>
      </c>
      <c r="S75" s="62">
        <f ca="1">IFERROR(__xludf.DUMMYFUNCTION("IMPORTRANGE(""https://docs.google.com/spreadsheets/d/1SX6NBoVAgQJ6U1MVXOaj8PK2l7WJ3RER9xtqwdhxkhw/edit?usp=sharing"",""อ่างทอง!J509"")"),0)</f>
        <v>0</v>
      </c>
      <c r="T75" s="100">
        <f t="shared" ca="1" si="8"/>
        <v>0</v>
      </c>
      <c r="U75" s="452">
        <f t="shared" ca="1" si="48"/>
        <v>0</v>
      </c>
      <c r="V75" s="100">
        <f t="shared" ca="1" si="9"/>
        <v>0</v>
      </c>
      <c r="W75" s="452">
        <f ca="1">IFERROR(__xludf.DUMMYFUNCTION("IMPORTRANGE(""https://docs.google.com/spreadsheets/d/1SX6NBoVAgQJ6U1MVXOaj8PK2l7WJ3RER9xtqwdhxkhw/edit?usp=sharing"",""อ่างทอง!J511"")"),0)</f>
        <v>0</v>
      </c>
      <c r="X75" s="452">
        <f ca="1">IFERROR(__xludf.DUMMYFUNCTION("IMPORTRANGE(""https://docs.google.com/spreadsheets/d/1SX6NBoVAgQJ6U1MVXOaj8PK2l7WJ3RER9xtqwdhxkhw/edit?usp=sharing"",""อ่างทอง!J512"")"),0)</f>
        <v>0</v>
      </c>
      <c r="Y75" s="62">
        <f t="shared" ca="1" si="49"/>
        <v>0</v>
      </c>
      <c r="Z75" s="100">
        <f t="shared" ca="1" si="11"/>
        <v>0</v>
      </c>
      <c r="AA75" s="62">
        <f ca="1">IFERROR(__xludf.DUMMYFUNCTION("IMPORTRANGE(""https://docs.google.com/spreadsheets/d/1SX6NBoVAgQJ6U1MVXOaj8PK2l7WJ3RER9xtqwdhxkhw/edit?usp=sharing"",""อ่างทอง!J515"")"),0)</f>
        <v>0</v>
      </c>
      <c r="AB75" s="62">
        <f ca="1">IFERROR(__xludf.DUMMYFUNCTION("IMPORTRANGE(""https://docs.google.com/spreadsheets/d/1SX6NBoVAgQJ6U1MVXOaj8PK2l7WJ3RER9xtqwdhxkhw/edit?usp=sharing"",""อ่างทอง!J516"")"),0)</f>
        <v>0</v>
      </c>
      <c r="AC75" s="62">
        <f ca="1">IFERROR(__xludf.DUMMYFUNCTION("IMPORTRANGE(""https://docs.google.com/spreadsheets/d/1SX6NBoVAgQJ6U1MVXOaj8PK2l7WJ3RER9xtqwdhxkhw/edit?usp=sharing"",""อ่างทอง!J518"")"),0)</f>
        <v>0</v>
      </c>
      <c r="AD75" s="424">
        <f ca="1">IFERROR(__xludf.DUMMYFUNCTION("IMPORTRANGE(""https://docs.google.com/spreadsheets/d/1SX6NBoVAgQJ6U1MVXOaj8PK2l7WJ3RER9xtqwdhxkhw/edit?usp=sharing"",""อ่างทอง!J519"")"),0)</f>
        <v>0</v>
      </c>
    </row>
    <row r="76" spans="1:30" ht="24" customHeight="1" x14ac:dyDescent="0.5">
      <c r="A76" s="777" t="s">
        <v>91</v>
      </c>
      <c r="B76" s="571"/>
      <c r="C76" s="255">
        <f t="shared" ref="C76:F76" si="50">SUM(C77:C90)</f>
        <v>123580</v>
      </c>
      <c r="D76" s="66">
        <f t="shared" si="50"/>
        <v>0</v>
      </c>
      <c r="E76" s="66">
        <f t="shared" si="50"/>
        <v>123580</v>
      </c>
      <c r="F76" s="101">
        <f t="shared" ca="1" si="50"/>
        <v>8720</v>
      </c>
      <c r="G76" s="101">
        <f t="shared" ca="1" si="1"/>
        <v>7.0561579543615469</v>
      </c>
      <c r="H76" s="66">
        <f t="shared" ref="H76:K76" si="51">SUM(H77:H90)</f>
        <v>1642.84</v>
      </c>
      <c r="I76" s="66">
        <f t="shared" si="51"/>
        <v>1328</v>
      </c>
      <c r="J76" s="66">
        <f t="shared" si="51"/>
        <v>314.83999999999992</v>
      </c>
      <c r="K76" s="66">
        <f t="shared" ca="1" si="51"/>
        <v>50</v>
      </c>
      <c r="L76" s="101">
        <f t="shared" ca="1" si="4"/>
        <v>3.0435100192349833</v>
      </c>
      <c r="M76" s="66">
        <f ca="1">SUM(M77:M90)</f>
        <v>0</v>
      </c>
      <c r="N76" s="101">
        <f t="shared" ca="1" si="5"/>
        <v>0</v>
      </c>
      <c r="O76" s="66">
        <f ca="1">SUM(O77:O90)</f>
        <v>0</v>
      </c>
      <c r="P76" s="101">
        <f t="shared" ca="1" si="6"/>
        <v>0</v>
      </c>
      <c r="Q76" s="66">
        <f ca="1">SUM(Q77:Q90)</f>
        <v>0</v>
      </c>
      <c r="R76" s="101">
        <f t="shared" ca="1" si="7"/>
        <v>0</v>
      </c>
      <c r="S76" s="66">
        <f ca="1">SUM(S77:S90)</f>
        <v>0</v>
      </c>
      <c r="T76" s="101">
        <f t="shared" ca="1" si="8"/>
        <v>0</v>
      </c>
      <c r="U76" s="66">
        <f ca="1">SUM(U77:U90)</f>
        <v>0</v>
      </c>
      <c r="V76" s="101">
        <f t="shared" ca="1" si="9"/>
        <v>0</v>
      </c>
      <c r="W76" s="66">
        <f t="shared" ref="W76:Y76" ca="1" si="52">SUM(W77:W90)</f>
        <v>0</v>
      </c>
      <c r="X76" s="66">
        <f t="shared" ca="1" si="52"/>
        <v>0</v>
      </c>
      <c r="Y76" s="66">
        <f t="shared" ca="1" si="52"/>
        <v>0</v>
      </c>
      <c r="Z76" s="101">
        <f t="shared" ca="1" si="11"/>
        <v>0</v>
      </c>
      <c r="AA76" s="66">
        <f t="shared" ref="AA76:AD76" ca="1" si="53">SUM(AA77:AA90)</f>
        <v>0</v>
      </c>
      <c r="AB76" s="66">
        <f t="shared" ca="1" si="53"/>
        <v>0</v>
      </c>
      <c r="AC76" s="66">
        <f t="shared" ca="1" si="53"/>
        <v>0</v>
      </c>
      <c r="AD76" s="414">
        <f t="shared" ca="1" si="53"/>
        <v>0</v>
      </c>
    </row>
    <row r="77" spans="1:30" ht="24" customHeight="1" x14ac:dyDescent="0.5">
      <c r="A77" s="268">
        <v>1</v>
      </c>
      <c r="B77" s="269" t="s">
        <v>92</v>
      </c>
      <c r="C77" s="270">
        <f t="shared" ref="C77:C90" si="54">+D77+E77</f>
        <v>26140</v>
      </c>
      <c r="D77" s="48">
        <v>0</v>
      </c>
      <c r="E77" s="48">
        <v>26140</v>
      </c>
      <c r="F77" s="98">
        <f ca="1">IFERROR(__xludf.DUMMYFUNCTION("IMPORTRANGE(""https://docs.google.com/spreadsheets/d/1IYY_tgx_IHuhSq3AJ5eI5OnqOPBNLWSHKh2a30DoXe8/edit?usp=sharing"",""กระบี่!M492"")"),2600)</f>
        <v>2600</v>
      </c>
      <c r="G77" s="98">
        <f t="shared" ca="1" si="1"/>
        <v>9.946442234123948</v>
      </c>
      <c r="H77" s="398">
        <f t="shared" ref="H77:H90" si="55">+I77+J77</f>
        <v>428</v>
      </c>
      <c r="I77" s="398">
        <v>428</v>
      </c>
      <c r="J77" s="398">
        <v>0</v>
      </c>
      <c r="K77" s="48">
        <f ca="1">IFERROR(__xludf.DUMMYFUNCTION("IMPORTRANGE(""https://docs.google.com/spreadsheets/d/1IYY_tgx_IHuhSq3AJ5eI5OnqOPBNLWSHKh2a30DoXe8/edit?usp=sharing"",""กระบี่!J505"")"),0)</f>
        <v>0</v>
      </c>
      <c r="L77" s="98">
        <f t="shared" ca="1" si="4"/>
        <v>0</v>
      </c>
      <c r="M77" s="48">
        <f ca="1">IFERROR(__xludf.DUMMYFUNCTION("IMPORTRANGE(""https://docs.google.com/spreadsheets/d/1IYY_tgx_IHuhSq3AJ5eI5OnqOPBNLWSHKh2a30DoXe8/edit?usp=sharing"",""กระบี่!J506"")"),0)</f>
        <v>0</v>
      </c>
      <c r="N77" s="98">
        <f t="shared" ca="1" si="5"/>
        <v>0</v>
      </c>
      <c r="O77" s="48">
        <f ca="1">IFERROR(__xludf.DUMMYFUNCTION("IMPORTRANGE(""https://docs.google.com/spreadsheets/d/1IYY_tgx_IHuhSq3AJ5eI5OnqOPBNLWSHKh2a30DoXe8/edit?usp=sharing"",""กระบี่!J507"")"),0)</f>
        <v>0</v>
      </c>
      <c r="P77" s="98">
        <f t="shared" ca="1" si="6"/>
        <v>0</v>
      </c>
      <c r="Q77" s="48">
        <f ca="1">IFERROR(__xludf.DUMMYFUNCTION("IMPORTRANGE(""https://docs.google.com/spreadsheets/d/1IYY_tgx_IHuhSq3AJ5eI5OnqOPBNLWSHKh2a30DoXe8/edit?usp=sharing"",""กระบี่!J508"")"),0)</f>
        <v>0</v>
      </c>
      <c r="R77" s="98">
        <f t="shared" ca="1" si="7"/>
        <v>0</v>
      </c>
      <c r="S77" s="48">
        <f ca="1">IFERROR(__xludf.DUMMYFUNCTION("IMPORTRANGE(""https://docs.google.com/spreadsheets/d/1IYY_tgx_IHuhSq3AJ5eI5OnqOPBNLWSHKh2a30DoXe8/edit?usp=sharing"",""กระบี่!J509"")"),0)</f>
        <v>0</v>
      </c>
      <c r="T77" s="98">
        <f t="shared" ca="1" si="8"/>
        <v>0</v>
      </c>
      <c r="U77" s="450">
        <f t="shared" ref="U77:U90" ca="1" si="56">SUM(W77,X77)</f>
        <v>0</v>
      </c>
      <c r="V77" s="98">
        <f t="shared" ca="1" si="9"/>
        <v>0</v>
      </c>
      <c r="W77" s="450">
        <f ca="1">IFERROR(__xludf.DUMMYFUNCTION("IMPORTRANGE(""https://docs.google.com/spreadsheets/d/1IYY_tgx_IHuhSq3AJ5eI5OnqOPBNLWSHKh2a30DoXe8/edit?usp=sharing"",""กระบี่!J515"")"),0)</f>
        <v>0</v>
      </c>
      <c r="X77" s="450">
        <f ca="1">IFERROR(__xludf.DUMMYFUNCTION("IMPORTRANGE(""https://docs.google.com/spreadsheets/d/1IYY_tgx_IHuhSq3AJ5eI5OnqOPBNLWSHKh2a30DoXe8/edit?usp=sharing"",""กระบี่!J512"")"),0)</f>
        <v>0</v>
      </c>
      <c r="Y77" s="48">
        <f t="shared" ref="Y77:Y90" ca="1" si="57">SUM(AA77,AB77)</f>
        <v>0</v>
      </c>
      <c r="Z77" s="98">
        <f t="shared" ca="1" si="11"/>
        <v>0</v>
      </c>
      <c r="AA77" s="48">
        <f ca="1">IFERROR(__xludf.DUMMYFUNCTION("IMPORTRANGE(""https://docs.google.com/spreadsheets/d/1IYY_tgx_IHuhSq3AJ5eI5OnqOPBNLWSHKh2a30DoXe8/edit?usp=sharing"",""กระบี่!J515"")"),0)</f>
        <v>0</v>
      </c>
      <c r="AB77" s="48">
        <f ca="1">IFERROR(__xludf.DUMMYFUNCTION("IMPORTRANGE(""https://docs.google.com/spreadsheets/d/1IYY_tgx_IHuhSq3AJ5eI5OnqOPBNLWSHKh2a30DoXe8/edit?usp=sharing"",""กระบี่!J516"")"),0)</f>
        <v>0</v>
      </c>
      <c r="AC77" s="48">
        <f ca="1">IFERROR(__xludf.DUMMYFUNCTION("IMPORTRANGE(""https://docs.google.com/spreadsheets/d/1IYY_tgx_IHuhSq3AJ5eI5OnqOPBNLWSHKh2a30DoXe8/edit?usp=sharing"",""กระบี่!J518"")"),0)</f>
        <v>0</v>
      </c>
      <c r="AD77" s="420">
        <f ca="1">IFERROR(__xludf.DUMMYFUNCTION("IMPORTRANGE(""https://docs.google.com/spreadsheets/d/1IYY_tgx_IHuhSq3AJ5eI5OnqOPBNLWSHKh2a30DoXe8/edit?usp=sharing"",""กระบี่!J519"")"),0)</f>
        <v>0</v>
      </c>
    </row>
    <row r="78" spans="1:30" ht="24" customHeight="1" x14ac:dyDescent="0.5">
      <c r="A78" s="273">
        <v>2</v>
      </c>
      <c r="B78" s="274" t="s">
        <v>93</v>
      </c>
      <c r="C78" s="275">
        <f t="shared" si="54"/>
        <v>12900</v>
      </c>
      <c r="D78" s="55">
        <v>0</v>
      </c>
      <c r="E78" s="55">
        <v>12900</v>
      </c>
      <c r="F78" s="99">
        <f ca="1">IFERROR(__xludf.DUMMYFUNCTION("IMPORTRANGE(""https://docs.google.com/spreadsheets/d/1IYY_tgx_IHuhSq3AJ5eI5OnqOPBNLWSHKh2a30DoXe8/edit?usp=sharing"",""ชุมพร!M492"")"),0)</f>
        <v>0</v>
      </c>
      <c r="G78" s="99">
        <f t="shared" ca="1" si="1"/>
        <v>0</v>
      </c>
      <c r="H78" s="402">
        <f t="shared" si="55"/>
        <v>100</v>
      </c>
      <c r="I78" s="402">
        <v>100</v>
      </c>
      <c r="J78" s="402">
        <v>0</v>
      </c>
      <c r="K78" s="55">
        <f ca="1">IFERROR(__xludf.DUMMYFUNCTION("IMPORTRANGE(""https://docs.google.com/spreadsheets/d/1IYY_tgx_IHuhSq3AJ5eI5OnqOPBNLWSHKh2a30DoXe8/edit?usp=sharing"",""ชุมพร!J505"")"),0)</f>
        <v>0</v>
      </c>
      <c r="L78" s="99">
        <f t="shared" ca="1" si="4"/>
        <v>0</v>
      </c>
      <c r="M78" s="55">
        <f ca="1">IFERROR(__xludf.DUMMYFUNCTION("IMPORTRANGE(""https://docs.google.com/spreadsheets/d/1IYY_tgx_IHuhSq3AJ5eI5OnqOPBNLWSHKh2a30DoXe8/edit?usp=sharing"",""ชุมพร!J506"")"),0)</f>
        <v>0</v>
      </c>
      <c r="N78" s="99">
        <f t="shared" ca="1" si="5"/>
        <v>0</v>
      </c>
      <c r="O78" s="55">
        <f ca="1">IFERROR(__xludf.DUMMYFUNCTION("IMPORTRANGE(""https://docs.google.com/spreadsheets/d/1IYY_tgx_IHuhSq3AJ5eI5OnqOPBNLWSHKh2a30DoXe8/edit?usp=sharing"",""ชุมพร!J507"")"),0)</f>
        <v>0</v>
      </c>
      <c r="P78" s="99">
        <f t="shared" ca="1" si="6"/>
        <v>0</v>
      </c>
      <c r="Q78" s="55">
        <f ca="1">IFERROR(__xludf.DUMMYFUNCTION("IMPORTRANGE(""https://docs.google.com/spreadsheets/d/1IYY_tgx_IHuhSq3AJ5eI5OnqOPBNLWSHKh2a30DoXe8/edit?usp=sharing"",""ชุมพร!J508"")"),0)</f>
        <v>0</v>
      </c>
      <c r="R78" s="99">
        <f t="shared" ca="1" si="7"/>
        <v>0</v>
      </c>
      <c r="S78" s="55">
        <f ca="1">IFERROR(__xludf.DUMMYFUNCTION("IMPORTRANGE(""https://docs.google.com/spreadsheets/d/1IYY_tgx_IHuhSq3AJ5eI5OnqOPBNLWSHKh2a30DoXe8/edit?usp=sharing"",""ชุมพร!J509"")"),0)</f>
        <v>0</v>
      </c>
      <c r="T78" s="99">
        <f t="shared" ca="1" si="8"/>
        <v>0</v>
      </c>
      <c r="U78" s="451">
        <f t="shared" ca="1" si="56"/>
        <v>0</v>
      </c>
      <c r="V78" s="99">
        <f t="shared" ca="1" si="9"/>
        <v>0</v>
      </c>
      <c r="W78" s="451">
        <f ca="1">IFERROR(__xludf.DUMMYFUNCTION("IMPORTRANGE(""https://docs.google.com/spreadsheets/d/1IYY_tgx_IHuhSq3AJ5eI5OnqOPBNLWSHKh2a30DoXe8/edit?usp=sharing"",""ชุมพร!J515"")"),0)</f>
        <v>0</v>
      </c>
      <c r="X78" s="451">
        <f ca="1">IFERROR(__xludf.DUMMYFUNCTION("IMPORTRANGE(""https://docs.google.com/spreadsheets/d/1IYY_tgx_IHuhSq3AJ5eI5OnqOPBNLWSHKh2a30DoXe8/edit?usp=sharing"",""ชุมพร!J512"")"),0)</f>
        <v>0</v>
      </c>
      <c r="Y78" s="55">
        <f t="shared" ca="1" si="57"/>
        <v>0</v>
      </c>
      <c r="Z78" s="99">
        <f t="shared" ca="1" si="11"/>
        <v>0</v>
      </c>
      <c r="AA78" s="55">
        <f ca="1">IFERROR(__xludf.DUMMYFUNCTION("IMPORTRANGE(""https://docs.google.com/spreadsheets/d/1IYY_tgx_IHuhSq3AJ5eI5OnqOPBNLWSHKh2a30DoXe8/edit?usp=sharing"",""ชุมพร!J515"")"),0)</f>
        <v>0</v>
      </c>
      <c r="AB78" s="55">
        <f ca="1">IFERROR(__xludf.DUMMYFUNCTION("IMPORTRANGE(""https://docs.google.com/spreadsheets/d/1IYY_tgx_IHuhSq3AJ5eI5OnqOPBNLWSHKh2a30DoXe8/edit?usp=sharing"",""ชุมพร!J516"")"),0)</f>
        <v>0</v>
      </c>
      <c r="AC78" s="55">
        <f ca="1">IFERROR(__xludf.DUMMYFUNCTION("IMPORTRANGE(""https://docs.google.com/spreadsheets/d/1IYY_tgx_IHuhSq3AJ5eI5OnqOPBNLWSHKh2a30DoXe8/edit?usp=sharing"",""ชุมพร!J518"")"),0)</f>
        <v>0</v>
      </c>
      <c r="AD78" s="422">
        <f ca="1">IFERROR(__xludf.DUMMYFUNCTION("IMPORTRANGE(""https://docs.google.com/spreadsheets/d/1IYY_tgx_IHuhSq3AJ5eI5OnqOPBNLWSHKh2a30DoXe8/edit?usp=sharing"",""ชุมพร!J519"")"),0)</f>
        <v>0</v>
      </c>
    </row>
    <row r="79" spans="1:30" ht="24" customHeight="1" x14ac:dyDescent="0.5">
      <c r="A79" s="273">
        <v>3</v>
      </c>
      <c r="B79" s="274" t="s">
        <v>94</v>
      </c>
      <c r="C79" s="275">
        <f t="shared" si="54"/>
        <v>11750</v>
      </c>
      <c r="D79" s="55">
        <v>0</v>
      </c>
      <c r="E79" s="55">
        <v>11750</v>
      </c>
      <c r="F79" s="99">
        <f ca="1">IFERROR(__xludf.DUMMYFUNCTION("IMPORTRANGE(""https://docs.google.com/spreadsheets/d/1IYY_tgx_IHuhSq3AJ5eI5OnqOPBNLWSHKh2a30DoXe8/edit?usp=sharing"",""ตรัง!M492"")"),0)</f>
        <v>0</v>
      </c>
      <c r="G79" s="99">
        <f t="shared" ca="1" si="1"/>
        <v>0</v>
      </c>
      <c r="H79" s="402">
        <f t="shared" si="55"/>
        <v>50</v>
      </c>
      <c r="I79" s="402">
        <v>50</v>
      </c>
      <c r="J79" s="402">
        <v>0</v>
      </c>
      <c r="K79" s="55">
        <f ca="1">IFERROR(__xludf.DUMMYFUNCTION("IMPORTRANGE(""https://docs.google.com/spreadsheets/d/1IYY_tgx_IHuhSq3AJ5eI5OnqOPBNLWSHKh2a30DoXe8/edit?usp=sharing"",""ตรัง!J505"")"),0)</f>
        <v>0</v>
      </c>
      <c r="L79" s="99">
        <f t="shared" ca="1" si="4"/>
        <v>0</v>
      </c>
      <c r="M79" s="55">
        <f ca="1">IFERROR(__xludf.DUMMYFUNCTION("IMPORTRANGE(""https://docs.google.com/spreadsheets/d/1IYY_tgx_IHuhSq3AJ5eI5OnqOPBNLWSHKh2a30DoXe8/edit?usp=sharing"",""ตรัง!J506"")"),0)</f>
        <v>0</v>
      </c>
      <c r="N79" s="99">
        <f t="shared" ca="1" si="5"/>
        <v>0</v>
      </c>
      <c r="O79" s="55">
        <f ca="1">IFERROR(__xludf.DUMMYFUNCTION("IMPORTRANGE(""https://docs.google.com/spreadsheets/d/1IYY_tgx_IHuhSq3AJ5eI5OnqOPBNLWSHKh2a30DoXe8/edit?usp=sharing"",""ตรัง!J507"")"),0)</f>
        <v>0</v>
      </c>
      <c r="P79" s="99">
        <f t="shared" ca="1" si="6"/>
        <v>0</v>
      </c>
      <c r="Q79" s="55">
        <f ca="1">IFERROR(__xludf.DUMMYFUNCTION("IMPORTRANGE(""https://docs.google.com/spreadsheets/d/1IYY_tgx_IHuhSq3AJ5eI5OnqOPBNLWSHKh2a30DoXe8/edit?usp=sharing"",""ตรัง!J508"")"),0)</f>
        <v>0</v>
      </c>
      <c r="R79" s="99">
        <f t="shared" ca="1" si="7"/>
        <v>0</v>
      </c>
      <c r="S79" s="55">
        <f ca="1">IFERROR(__xludf.DUMMYFUNCTION("IMPORTRANGE(""https://docs.google.com/spreadsheets/d/1IYY_tgx_IHuhSq3AJ5eI5OnqOPBNLWSHKh2a30DoXe8/edit?usp=sharing"",""ตรัง!J509"")"),0)</f>
        <v>0</v>
      </c>
      <c r="T79" s="99">
        <f t="shared" ca="1" si="8"/>
        <v>0</v>
      </c>
      <c r="U79" s="451">
        <f t="shared" ca="1" si="56"/>
        <v>0</v>
      </c>
      <c r="V79" s="99">
        <f t="shared" ca="1" si="9"/>
        <v>0</v>
      </c>
      <c r="W79" s="451">
        <f ca="1">IFERROR(__xludf.DUMMYFUNCTION("IMPORTRANGE(""https://docs.google.com/spreadsheets/d/1IYY_tgx_IHuhSq3AJ5eI5OnqOPBNLWSHKh2a30DoXe8/edit?usp=sharing"",""ตรัง!J515"")"),0)</f>
        <v>0</v>
      </c>
      <c r="X79" s="451">
        <f ca="1">IFERROR(__xludf.DUMMYFUNCTION("IMPORTRANGE(""https://docs.google.com/spreadsheets/d/1IYY_tgx_IHuhSq3AJ5eI5OnqOPBNLWSHKh2a30DoXe8/edit?usp=sharing"",""ตรัง!J512"")"),0)</f>
        <v>0</v>
      </c>
      <c r="Y79" s="55">
        <f t="shared" ca="1" si="57"/>
        <v>0</v>
      </c>
      <c r="Z79" s="99">
        <f t="shared" ca="1" si="11"/>
        <v>0</v>
      </c>
      <c r="AA79" s="55">
        <f ca="1">IFERROR(__xludf.DUMMYFUNCTION("IMPORTRANGE(""https://docs.google.com/spreadsheets/d/1IYY_tgx_IHuhSq3AJ5eI5OnqOPBNLWSHKh2a30DoXe8/edit?usp=sharing"",""ตรัง!J515"")"),0)</f>
        <v>0</v>
      </c>
      <c r="AB79" s="55">
        <f ca="1">IFERROR(__xludf.DUMMYFUNCTION("IMPORTRANGE(""https://docs.google.com/spreadsheets/d/1IYY_tgx_IHuhSq3AJ5eI5OnqOPBNLWSHKh2a30DoXe8/edit?usp=sharing"",""ตรัง!J516"")"),0)</f>
        <v>0</v>
      </c>
      <c r="AC79" s="55">
        <f ca="1">IFERROR(__xludf.DUMMYFUNCTION("IMPORTRANGE(""https://docs.google.com/spreadsheets/d/1IYY_tgx_IHuhSq3AJ5eI5OnqOPBNLWSHKh2a30DoXe8/edit?usp=sharing"",""ตรัง!J518"")"),0)</f>
        <v>0</v>
      </c>
      <c r="AD79" s="422">
        <f ca="1">IFERROR(__xludf.DUMMYFUNCTION("IMPORTRANGE(""https://docs.google.com/spreadsheets/d/1IYY_tgx_IHuhSq3AJ5eI5OnqOPBNLWSHKh2a30DoXe8/edit?usp=sharing"",""ตรัง!J519"")"),0)</f>
        <v>0</v>
      </c>
    </row>
    <row r="80" spans="1:30" ht="24" customHeight="1" x14ac:dyDescent="0.5">
      <c r="A80" s="273">
        <v>4</v>
      </c>
      <c r="B80" s="274" t="s">
        <v>95</v>
      </c>
      <c r="C80" s="275">
        <f t="shared" si="54"/>
        <v>4550</v>
      </c>
      <c r="D80" s="55">
        <v>0</v>
      </c>
      <c r="E80" s="55">
        <v>4550</v>
      </c>
      <c r="F80" s="99">
        <f ca="1">IFERROR(__xludf.DUMMYFUNCTION("IMPORTRANGE(""https://docs.google.com/spreadsheets/d/1IYY_tgx_IHuhSq3AJ5eI5OnqOPBNLWSHKh2a30DoXe8/edit?usp=sharing"",""นครศรีธรรมราช!M492"")"),0)</f>
        <v>0</v>
      </c>
      <c r="G80" s="99">
        <f t="shared" ca="1" si="1"/>
        <v>0</v>
      </c>
      <c r="H80" s="402">
        <f t="shared" si="55"/>
        <v>50</v>
      </c>
      <c r="I80" s="402">
        <v>50</v>
      </c>
      <c r="J80" s="402">
        <v>0</v>
      </c>
      <c r="K80" s="55">
        <f ca="1">IFERROR(__xludf.DUMMYFUNCTION("IMPORTRANGE(""https://docs.google.com/spreadsheets/d/1IYY_tgx_IHuhSq3AJ5eI5OnqOPBNLWSHKh2a30DoXe8/edit?usp=sharing"",""นครศรีธรรมราช!J505"")"),0)</f>
        <v>0</v>
      </c>
      <c r="L80" s="99">
        <f t="shared" ca="1" si="4"/>
        <v>0</v>
      </c>
      <c r="M80" s="55">
        <f ca="1">IFERROR(__xludf.DUMMYFUNCTION("IMPORTRANGE(""https://docs.google.com/spreadsheets/d/1IYY_tgx_IHuhSq3AJ5eI5OnqOPBNLWSHKh2a30DoXe8/edit?usp=sharing"",""นครศรีธรรมราช!J506"")"),0)</f>
        <v>0</v>
      </c>
      <c r="N80" s="99">
        <f t="shared" ca="1" si="5"/>
        <v>0</v>
      </c>
      <c r="O80" s="55">
        <f ca="1">IFERROR(__xludf.DUMMYFUNCTION("IMPORTRANGE(""https://docs.google.com/spreadsheets/d/1IYY_tgx_IHuhSq3AJ5eI5OnqOPBNLWSHKh2a30DoXe8/edit?usp=sharing"",""นครศรีธรรมราช!J507"")"),0)</f>
        <v>0</v>
      </c>
      <c r="P80" s="99">
        <f t="shared" ca="1" si="6"/>
        <v>0</v>
      </c>
      <c r="Q80" s="55">
        <f ca="1">IFERROR(__xludf.DUMMYFUNCTION("IMPORTRANGE(""https://docs.google.com/spreadsheets/d/1IYY_tgx_IHuhSq3AJ5eI5OnqOPBNLWSHKh2a30DoXe8/edit?usp=sharing"",""นครศรีธรรมราช!J508"")"),0)</f>
        <v>0</v>
      </c>
      <c r="R80" s="99">
        <f t="shared" ca="1" si="7"/>
        <v>0</v>
      </c>
      <c r="S80" s="55">
        <f ca="1">IFERROR(__xludf.DUMMYFUNCTION("IMPORTRANGE(""https://docs.google.com/spreadsheets/d/1IYY_tgx_IHuhSq3AJ5eI5OnqOPBNLWSHKh2a30DoXe8/edit?usp=sharing"",""นครศรีธรรมราช!J509"")"),0)</f>
        <v>0</v>
      </c>
      <c r="T80" s="99">
        <f t="shared" ca="1" si="8"/>
        <v>0</v>
      </c>
      <c r="U80" s="451">
        <f t="shared" ca="1" si="56"/>
        <v>0</v>
      </c>
      <c r="V80" s="99">
        <f t="shared" ca="1" si="9"/>
        <v>0</v>
      </c>
      <c r="W80" s="451">
        <f ca="1">IFERROR(__xludf.DUMMYFUNCTION("IMPORTRANGE(""https://docs.google.com/spreadsheets/d/1IYY_tgx_IHuhSq3AJ5eI5OnqOPBNLWSHKh2a30DoXe8/edit?usp=sharing"",""นครศรีธรรมราช!J515"")"),0)</f>
        <v>0</v>
      </c>
      <c r="X80" s="451">
        <f ca="1">IFERROR(__xludf.DUMMYFUNCTION("IMPORTRANGE(""https://docs.google.com/spreadsheets/d/1IYY_tgx_IHuhSq3AJ5eI5OnqOPBNLWSHKh2a30DoXe8/edit?usp=sharing"",""นครศรีธรรมราช!J512"")"),0)</f>
        <v>0</v>
      </c>
      <c r="Y80" s="55">
        <f t="shared" ca="1" si="57"/>
        <v>0</v>
      </c>
      <c r="Z80" s="99">
        <f t="shared" ca="1" si="11"/>
        <v>0</v>
      </c>
      <c r="AA80" s="55">
        <f ca="1">IFERROR(__xludf.DUMMYFUNCTION("IMPORTRANGE(""https://docs.google.com/spreadsheets/d/1IYY_tgx_IHuhSq3AJ5eI5OnqOPBNLWSHKh2a30DoXe8/edit?usp=sharing"",""นครศรีธรรมราช!J515"")"),0)</f>
        <v>0</v>
      </c>
      <c r="AB80" s="55">
        <f ca="1">IFERROR(__xludf.DUMMYFUNCTION("IMPORTRANGE(""https://docs.google.com/spreadsheets/d/1IYY_tgx_IHuhSq3AJ5eI5OnqOPBNLWSHKh2a30DoXe8/edit?usp=sharing"",""นครศรีธรรมราช!J516"")"),0)</f>
        <v>0</v>
      </c>
      <c r="AC80" s="55">
        <f ca="1">IFERROR(__xludf.DUMMYFUNCTION("IMPORTRANGE(""https://docs.google.com/spreadsheets/d/1IYY_tgx_IHuhSq3AJ5eI5OnqOPBNLWSHKh2a30DoXe8/edit?usp=sharing"",""นครศรีธรรมราช!J518"")"),0)</f>
        <v>0</v>
      </c>
      <c r="AD80" s="422">
        <f ca="1">IFERROR(__xludf.DUMMYFUNCTION("IMPORTRANGE(""https://docs.google.com/spreadsheets/d/1IYY_tgx_IHuhSq3AJ5eI5OnqOPBNLWSHKh2a30DoXe8/edit?usp=sharing"",""นครศรีธรรมราช!J519"")"),0)</f>
        <v>0</v>
      </c>
    </row>
    <row r="81" spans="1:30" ht="24" customHeight="1" x14ac:dyDescent="0.5">
      <c r="A81" s="273">
        <v>5</v>
      </c>
      <c r="B81" s="274" t="s">
        <v>96</v>
      </c>
      <c r="C81" s="275">
        <f t="shared" si="54"/>
        <v>10690</v>
      </c>
      <c r="D81" s="55">
        <v>0</v>
      </c>
      <c r="E81" s="55">
        <v>10690</v>
      </c>
      <c r="F81" s="99">
        <f ca="1">IFERROR(__xludf.DUMMYFUNCTION("IMPORTRANGE(""https://docs.google.com/spreadsheets/d/1IYY_tgx_IHuhSq3AJ5eI5OnqOPBNLWSHKh2a30DoXe8/edit?usp=sharing"",""นราธิวาส!M492"")"),1400)</f>
        <v>1400</v>
      </c>
      <c r="G81" s="99">
        <f t="shared" ca="1" si="1"/>
        <v>13.096351730589335</v>
      </c>
      <c r="H81" s="402">
        <f t="shared" si="55"/>
        <v>316.83999999999992</v>
      </c>
      <c r="I81" s="402">
        <v>50</v>
      </c>
      <c r="J81" s="402">
        <v>266.83999999999992</v>
      </c>
      <c r="K81" s="55">
        <f ca="1">IFERROR(__xludf.DUMMYFUNCTION("IMPORTRANGE(""https://docs.google.com/spreadsheets/d/1IYY_tgx_IHuhSq3AJ5eI5OnqOPBNLWSHKh2a30DoXe8/edit?usp=sharing"",""นราธิวาส!J505"")"),50)</f>
        <v>50</v>
      </c>
      <c r="L81" s="99">
        <f t="shared" ca="1" si="4"/>
        <v>15.780835753061487</v>
      </c>
      <c r="M81" s="55">
        <f ca="1">IFERROR(__xludf.DUMMYFUNCTION("IMPORTRANGE(""https://docs.google.com/spreadsheets/d/1IYY_tgx_IHuhSq3AJ5eI5OnqOPBNLWSHKh2a30DoXe8/edit?usp=sharing"",""นราธิวาส!J506"")"),0)</f>
        <v>0</v>
      </c>
      <c r="N81" s="99">
        <f t="shared" ca="1" si="5"/>
        <v>0</v>
      </c>
      <c r="O81" s="55">
        <f ca="1">IFERROR(__xludf.DUMMYFUNCTION("IMPORTRANGE(""https://docs.google.com/spreadsheets/d/1IYY_tgx_IHuhSq3AJ5eI5OnqOPBNLWSHKh2a30DoXe8/edit?usp=sharing"",""นราธิวาส!J507"")"),0)</f>
        <v>0</v>
      </c>
      <c r="P81" s="99">
        <f t="shared" ca="1" si="6"/>
        <v>0</v>
      </c>
      <c r="Q81" s="55">
        <f ca="1">IFERROR(__xludf.DUMMYFUNCTION("IMPORTRANGE(""https://docs.google.com/spreadsheets/d/1IYY_tgx_IHuhSq3AJ5eI5OnqOPBNLWSHKh2a30DoXe8/edit?usp=sharing"",""นราธิวาส!J508"")"),0)</f>
        <v>0</v>
      </c>
      <c r="R81" s="99">
        <f t="shared" ca="1" si="7"/>
        <v>0</v>
      </c>
      <c r="S81" s="55">
        <f ca="1">IFERROR(__xludf.DUMMYFUNCTION("IMPORTRANGE(""https://docs.google.com/spreadsheets/d/1IYY_tgx_IHuhSq3AJ5eI5OnqOPBNLWSHKh2a30DoXe8/edit?usp=sharing"",""นราธิวาส!J509"")"),0)</f>
        <v>0</v>
      </c>
      <c r="T81" s="99">
        <f t="shared" ca="1" si="8"/>
        <v>0</v>
      </c>
      <c r="U81" s="451">
        <f t="shared" ca="1" si="56"/>
        <v>0</v>
      </c>
      <c r="V81" s="99">
        <f t="shared" ca="1" si="9"/>
        <v>0</v>
      </c>
      <c r="W81" s="451">
        <f ca="1">IFERROR(__xludf.DUMMYFUNCTION("IMPORTRANGE(""https://docs.google.com/spreadsheets/d/1IYY_tgx_IHuhSq3AJ5eI5OnqOPBNLWSHKh2a30DoXe8/edit?usp=sharing"",""นราธิวาส!J515"")"),0)</f>
        <v>0</v>
      </c>
      <c r="X81" s="451">
        <f ca="1">IFERROR(__xludf.DUMMYFUNCTION("IMPORTRANGE(""https://docs.google.com/spreadsheets/d/1IYY_tgx_IHuhSq3AJ5eI5OnqOPBNLWSHKh2a30DoXe8/edit?usp=sharing"",""นราธิวาส!J512"")"),0)</f>
        <v>0</v>
      </c>
      <c r="Y81" s="55">
        <f t="shared" ca="1" si="57"/>
        <v>0</v>
      </c>
      <c r="Z81" s="99">
        <f t="shared" ca="1" si="11"/>
        <v>0</v>
      </c>
      <c r="AA81" s="55">
        <f ca="1">IFERROR(__xludf.DUMMYFUNCTION("IMPORTRANGE(""https://docs.google.com/spreadsheets/d/1IYY_tgx_IHuhSq3AJ5eI5OnqOPBNLWSHKh2a30DoXe8/edit?usp=sharing"",""นราธิวาส!J515"")"),0)</f>
        <v>0</v>
      </c>
      <c r="AB81" s="55">
        <f ca="1">IFERROR(__xludf.DUMMYFUNCTION("IMPORTRANGE(""https://docs.google.com/spreadsheets/d/1IYY_tgx_IHuhSq3AJ5eI5OnqOPBNLWSHKh2a30DoXe8/edit?usp=sharing"",""นราธิวาส!J516"")"),0)</f>
        <v>0</v>
      </c>
      <c r="AC81" s="55">
        <f ca="1">IFERROR(__xludf.DUMMYFUNCTION("IMPORTRANGE(""https://docs.google.com/spreadsheets/d/1IYY_tgx_IHuhSq3AJ5eI5OnqOPBNLWSHKh2a30DoXe8/edit?usp=sharing"",""นราธิวาส!J518"")"),0)</f>
        <v>0</v>
      </c>
      <c r="AD81" s="422">
        <f ca="1">IFERROR(__xludf.DUMMYFUNCTION("IMPORTRANGE(""https://docs.google.com/spreadsheets/d/1IYY_tgx_IHuhSq3AJ5eI5OnqOPBNLWSHKh2a30DoXe8/edit?usp=sharing"",""นราธิวาส!J519"")"),0)</f>
        <v>0</v>
      </c>
    </row>
    <row r="82" spans="1:30" ht="24" customHeight="1" x14ac:dyDescent="0.5">
      <c r="A82" s="273">
        <v>6</v>
      </c>
      <c r="B82" s="274" t="s">
        <v>97</v>
      </c>
      <c r="C82" s="275">
        <f t="shared" si="54"/>
        <v>7300</v>
      </c>
      <c r="D82" s="55">
        <v>0</v>
      </c>
      <c r="E82" s="55">
        <v>7300</v>
      </c>
      <c r="F82" s="99">
        <f ca="1">IFERROR(__xludf.DUMMYFUNCTION("IMPORTRANGE(""https://docs.google.com/spreadsheets/d/1IYY_tgx_IHuhSq3AJ5eI5OnqOPBNLWSHKh2a30DoXe8/edit?usp=sharing"",""ปัตตานี!M492"")"),0)</f>
        <v>0</v>
      </c>
      <c r="G82" s="99">
        <f t="shared" ca="1" si="1"/>
        <v>0</v>
      </c>
      <c r="H82" s="402">
        <f t="shared" si="55"/>
        <v>100</v>
      </c>
      <c r="I82" s="402">
        <v>100</v>
      </c>
      <c r="J82" s="402">
        <v>0</v>
      </c>
      <c r="K82" s="55">
        <f ca="1">IFERROR(__xludf.DUMMYFUNCTION("IMPORTRANGE(""https://docs.google.com/spreadsheets/d/1IYY_tgx_IHuhSq3AJ5eI5OnqOPBNLWSHKh2a30DoXe8/edit?usp=sharing"",""ปัตตานี!J505"")"),0)</f>
        <v>0</v>
      </c>
      <c r="L82" s="99">
        <f t="shared" ca="1" si="4"/>
        <v>0</v>
      </c>
      <c r="M82" s="55">
        <f ca="1">IFERROR(__xludf.DUMMYFUNCTION("IMPORTRANGE(""https://docs.google.com/spreadsheets/d/1IYY_tgx_IHuhSq3AJ5eI5OnqOPBNLWSHKh2a30DoXe8/edit?usp=sharing"",""ปัตตานี!J506"")"),0)</f>
        <v>0</v>
      </c>
      <c r="N82" s="99">
        <f t="shared" ca="1" si="5"/>
        <v>0</v>
      </c>
      <c r="O82" s="55">
        <f ca="1">IFERROR(__xludf.DUMMYFUNCTION("IMPORTRANGE(""https://docs.google.com/spreadsheets/d/1IYY_tgx_IHuhSq3AJ5eI5OnqOPBNLWSHKh2a30DoXe8/edit?usp=sharing"",""ปัตตานี!J507"")"),0)</f>
        <v>0</v>
      </c>
      <c r="P82" s="99">
        <f t="shared" ca="1" si="6"/>
        <v>0</v>
      </c>
      <c r="Q82" s="55">
        <f ca="1">IFERROR(__xludf.DUMMYFUNCTION("IMPORTRANGE(""https://docs.google.com/spreadsheets/d/1IYY_tgx_IHuhSq3AJ5eI5OnqOPBNLWSHKh2a30DoXe8/edit?usp=sharing"",""ปัตตานี!J508"")"),0)</f>
        <v>0</v>
      </c>
      <c r="R82" s="99">
        <f t="shared" ca="1" si="7"/>
        <v>0</v>
      </c>
      <c r="S82" s="55">
        <f ca="1">IFERROR(__xludf.DUMMYFUNCTION("IMPORTRANGE(""https://docs.google.com/spreadsheets/d/1IYY_tgx_IHuhSq3AJ5eI5OnqOPBNLWSHKh2a30DoXe8/edit?usp=sharing"",""ปัตตานี!J509"")"),0)</f>
        <v>0</v>
      </c>
      <c r="T82" s="99">
        <f t="shared" ca="1" si="8"/>
        <v>0</v>
      </c>
      <c r="U82" s="451">
        <f t="shared" ca="1" si="56"/>
        <v>0</v>
      </c>
      <c r="V82" s="99">
        <f t="shared" ca="1" si="9"/>
        <v>0</v>
      </c>
      <c r="W82" s="451">
        <f ca="1">IFERROR(__xludf.DUMMYFUNCTION("IMPORTRANGE(""https://docs.google.com/spreadsheets/d/1IYY_tgx_IHuhSq3AJ5eI5OnqOPBNLWSHKh2a30DoXe8/edit?usp=sharing"",""ปัตตานี!J515"")"),0)</f>
        <v>0</v>
      </c>
      <c r="X82" s="451">
        <f ca="1">IFERROR(__xludf.DUMMYFUNCTION("IMPORTRANGE(""https://docs.google.com/spreadsheets/d/1IYY_tgx_IHuhSq3AJ5eI5OnqOPBNLWSHKh2a30DoXe8/edit?usp=sharing"",""ปัตตานี!J512"")"),0)</f>
        <v>0</v>
      </c>
      <c r="Y82" s="55">
        <f t="shared" ca="1" si="57"/>
        <v>0</v>
      </c>
      <c r="Z82" s="99">
        <f t="shared" ca="1" si="11"/>
        <v>0</v>
      </c>
      <c r="AA82" s="55">
        <f ca="1">IFERROR(__xludf.DUMMYFUNCTION("IMPORTRANGE(""https://docs.google.com/spreadsheets/d/1IYY_tgx_IHuhSq3AJ5eI5OnqOPBNLWSHKh2a30DoXe8/edit?usp=sharing"",""ปัตตานี!J515"")"),0)</f>
        <v>0</v>
      </c>
      <c r="AB82" s="55">
        <f ca="1">IFERROR(__xludf.DUMMYFUNCTION("IMPORTRANGE(""https://docs.google.com/spreadsheets/d/1IYY_tgx_IHuhSq3AJ5eI5OnqOPBNLWSHKh2a30DoXe8/edit?usp=sharing"",""ปัตตานี!J516"")"),0)</f>
        <v>0</v>
      </c>
      <c r="AC82" s="55">
        <f ca="1">IFERROR(__xludf.DUMMYFUNCTION("IMPORTRANGE(""https://docs.google.com/spreadsheets/d/1IYY_tgx_IHuhSq3AJ5eI5OnqOPBNLWSHKh2a30DoXe8/edit?usp=sharing"",""ปัตตานี!J518"")"),0)</f>
        <v>0</v>
      </c>
      <c r="AD82" s="422">
        <f ca="1">IFERROR(__xludf.DUMMYFUNCTION("IMPORTRANGE(""https://docs.google.com/spreadsheets/d/1IYY_tgx_IHuhSq3AJ5eI5OnqOPBNLWSHKh2a30DoXe8/edit?usp=sharing"",""ปัตตานี!J519"")"),0)</f>
        <v>0</v>
      </c>
    </row>
    <row r="83" spans="1:30" ht="24" customHeight="1" x14ac:dyDescent="0.5">
      <c r="A83" s="273">
        <v>7</v>
      </c>
      <c r="B83" s="274" t="s">
        <v>98</v>
      </c>
      <c r="C83" s="275">
        <f t="shared" si="54"/>
        <v>5350</v>
      </c>
      <c r="D83" s="55">
        <v>0</v>
      </c>
      <c r="E83" s="55">
        <v>5350</v>
      </c>
      <c r="F83" s="99">
        <f ca="1">IFERROR(__xludf.DUMMYFUNCTION("IMPORTRANGE(""https://docs.google.com/spreadsheets/d/1IYY_tgx_IHuhSq3AJ5eI5OnqOPBNLWSHKh2a30DoXe8/edit?usp=sharing"",""พังงา!M492"")"),1920)</f>
        <v>1920</v>
      </c>
      <c r="G83" s="99">
        <f t="shared" ca="1" si="1"/>
        <v>35.887850467289717</v>
      </c>
      <c r="H83" s="402">
        <f t="shared" si="55"/>
        <v>50</v>
      </c>
      <c r="I83" s="402">
        <v>50</v>
      </c>
      <c r="J83" s="402">
        <v>0</v>
      </c>
      <c r="K83" s="55">
        <f ca="1">IFERROR(__xludf.DUMMYFUNCTION("IMPORTRANGE(""https://docs.google.com/spreadsheets/d/1IYY_tgx_IHuhSq3AJ5eI5OnqOPBNLWSHKh2a30DoXe8/edit?usp=sharing"",""พังงา!J505"")"),0)</f>
        <v>0</v>
      </c>
      <c r="L83" s="99">
        <f t="shared" ca="1" si="4"/>
        <v>0</v>
      </c>
      <c r="M83" s="55">
        <f ca="1">IFERROR(__xludf.DUMMYFUNCTION("IMPORTRANGE(""https://docs.google.com/spreadsheets/d/1IYY_tgx_IHuhSq3AJ5eI5OnqOPBNLWSHKh2a30DoXe8/edit?usp=sharing"",""พังงา!J506"")"),0)</f>
        <v>0</v>
      </c>
      <c r="N83" s="99">
        <f t="shared" ca="1" si="5"/>
        <v>0</v>
      </c>
      <c r="O83" s="55">
        <f ca="1">IFERROR(__xludf.DUMMYFUNCTION("IMPORTRANGE(""https://docs.google.com/spreadsheets/d/1IYY_tgx_IHuhSq3AJ5eI5OnqOPBNLWSHKh2a30DoXe8/edit?usp=sharing"",""พังงา!J507"")"),0)</f>
        <v>0</v>
      </c>
      <c r="P83" s="99">
        <f t="shared" ca="1" si="6"/>
        <v>0</v>
      </c>
      <c r="Q83" s="55">
        <f ca="1">IFERROR(__xludf.DUMMYFUNCTION("IMPORTRANGE(""https://docs.google.com/spreadsheets/d/1IYY_tgx_IHuhSq3AJ5eI5OnqOPBNLWSHKh2a30DoXe8/edit?usp=sharing"",""พังงา!J508"")"),0)</f>
        <v>0</v>
      </c>
      <c r="R83" s="99">
        <f t="shared" ca="1" si="7"/>
        <v>0</v>
      </c>
      <c r="S83" s="55">
        <f ca="1">IFERROR(__xludf.DUMMYFUNCTION("IMPORTRANGE(""https://docs.google.com/spreadsheets/d/1IYY_tgx_IHuhSq3AJ5eI5OnqOPBNLWSHKh2a30DoXe8/edit?usp=sharing"",""พังงา!J509"")"),0)</f>
        <v>0</v>
      </c>
      <c r="T83" s="99">
        <f t="shared" ca="1" si="8"/>
        <v>0</v>
      </c>
      <c r="U83" s="451">
        <f t="shared" ca="1" si="56"/>
        <v>0</v>
      </c>
      <c r="V83" s="99">
        <f t="shared" ca="1" si="9"/>
        <v>0</v>
      </c>
      <c r="W83" s="451">
        <f ca="1">IFERROR(__xludf.DUMMYFUNCTION("IMPORTRANGE(""https://docs.google.com/spreadsheets/d/1IYY_tgx_IHuhSq3AJ5eI5OnqOPBNLWSHKh2a30DoXe8/edit?usp=sharing"",""พังงา!J515"")"),0)</f>
        <v>0</v>
      </c>
      <c r="X83" s="451">
        <f ca="1">IFERROR(__xludf.DUMMYFUNCTION("IMPORTRANGE(""https://docs.google.com/spreadsheets/d/1IYY_tgx_IHuhSq3AJ5eI5OnqOPBNLWSHKh2a30DoXe8/edit?usp=sharing"",""พังงา!J512"")"),0)</f>
        <v>0</v>
      </c>
      <c r="Y83" s="55">
        <f t="shared" ca="1" si="57"/>
        <v>0</v>
      </c>
      <c r="Z83" s="99">
        <f t="shared" ca="1" si="11"/>
        <v>0</v>
      </c>
      <c r="AA83" s="55">
        <f ca="1">IFERROR(__xludf.DUMMYFUNCTION("IMPORTRANGE(""https://docs.google.com/spreadsheets/d/1IYY_tgx_IHuhSq3AJ5eI5OnqOPBNLWSHKh2a30DoXe8/edit?usp=sharing"",""พังงา!J515"")"),0)</f>
        <v>0</v>
      </c>
      <c r="AB83" s="55">
        <f ca="1">IFERROR(__xludf.DUMMYFUNCTION("IMPORTRANGE(""https://docs.google.com/spreadsheets/d/1IYY_tgx_IHuhSq3AJ5eI5OnqOPBNLWSHKh2a30DoXe8/edit?usp=sharing"",""พังงา!J516"")"),0)</f>
        <v>0</v>
      </c>
      <c r="AC83" s="55">
        <f ca="1">IFERROR(__xludf.DUMMYFUNCTION("IMPORTRANGE(""https://docs.google.com/spreadsheets/d/1IYY_tgx_IHuhSq3AJ5eI5OnqOPBNLWSHKh2a30DoXe8/edit?usp=sharing"",""พังงา!J518"")"),0)</f>
        <v>0</v>
      </c>
      <c r="AD83" s="422">
        <f ca="1">IFERROR(__xludf.DUMMYFUNCTION("IMPORTRANGE(""https://docs.google.com/spreadsheets/d/1IYY_tgx_IHuhSq3AJ5eI5OnqOPBNLWSHKh2a30DoXe8/edit?usp=sharing"",""พังงา!J519"")"),0)</f>
        <v>0</v>
      </c>
    </row>
    <row r="84" spans="1:30" ht="24" customHeight="1" x14ac:dyDescent="0.5">
      <c r="A84" s="273">
        <v>8</v>
      </c>
      <c r="B84" s="274" t="s">
        <v>99</v>
      </c>
      <c r="C84" s="275">
        <f t="shared" si="54"/>
        <v>4550</v>
      </c>
      <c r="D84" s="55">
        <v>0</v>
      </c>
      <c r="E84" s="55">
        <v>4550</v>
      </c>
      <c r="F84" s="99">
        <f ca="1">IFERROR(__xludf.DUMMYFUNCTION("IMPORTRANGE(""https://docs.google.com/spreadsheets/d/1IYY_tgx_IHuhSq3AJ5eI5OnqOPBNLWSHKh2a30DoXe8/edit?usp=sharing"",""พัทลุง!M492"")"),400)</f>
        <v>400</v>
      </c>
      <c r="G84" s="99">
        <f t="shared" ca="1" si="1"/>
        <v>8.791208791208792</v>
      </c>
      <c r="H84" s="402">
        <f t="shared" si="55"/>
        <v>50</v>
      </c>
      <c r="I84" s="402">
        <v>50</v>
      </c>
      <c r="J84" s="402">
        <v>0</v>
      </c>
      <c r="K84" s="55">
        <f ca="1">IFERROR(__xludf.DUMMYFUNCTION("IMPORTRANGE(""https://docs.google.com/spreadsheets/d/1IYY_tgx_IHuhSq3AJ5eI5OnqOPBNLWSHKh2a30DoXe8/edit?usp=sharing"",""พัทลุง!J505"")"),0)</f>
        <v>0</v>
      </c>
      <c r="L84" s="99">
        <f t="shared" ca="1" si="4"/>
        <v>0</v>
      </c>
      <c r="M84" s="55">
        <f ca="1">IFERROR(__xludf.DUMMYFUNCTION("IMPORTRANGE(""https://docs.google.com/spreadsheets/d/1IYY_tgx_IHuhSq3AJ5eI5OnqOPBNLWSHKh2a30DoXe8/edit?usp=sharing"",""พัทลุง!J506"")"),0)</f>
        <v>0</v>
      </c>
      <c r="N84" s="99">
        <f t="shared" ca="1" si="5"/>
        <v>0</v>
      </c>
      <c r="O84" s="55">
        <f ca="1">IFERROR(__xludf.DUMMYFUNCTION("IMPORTRANGE(""https://docs.google.com/spreadsheets/d/1IYY_tgx_IHuhSq3AJ5eI5OnqOPBNLWSHKh2a30DoXe8/edit?usp=sharing"",""พัทลุง!J507"")"),0)</f>
        <v>0</v>
      </c>
      <c r="P84" s="99">
        <f t="shared" ca="1" si="6"/>
        <v>0</v>
      </c>
      <c r="Q84" s="55">
        <f ca="1">IFERROR(__xludf.DUMMYFUNCTION("IMPORTRANGE(""https://docs.google.com/spreadsheets/d/1IYY_tgx_IHuhSq3AJ5eI5OnqOPBNLWSHKh2a30DoXe8/edit?usp=sharing"",""พัทลุง!J508"")"),0)</f>
        <v>0</v>
      </c>
      <c r="R84" s="99">
        <f t="shared" ca="1" si="7"/>
        <v>0</v>
      </c>
      <c r="S84" s="55">
        <f ca="1">IFERROR(__xludf.DUMMYFUNCTION("IMPORTRANGE(""https://docs.google.com/spreadsheets/d/1IYY_tgx_IHuhSq3AJ5eI5OnqOPBNLWSHKh2a30DoXe8/edit?usp=sharing"",""พัทลุง!J509"")"),0)</f>
        <v>0</v>
      </c>
      <c r="T84" s="99">
        <f t="shared" ca="1" si="8"/>
        <v>0</v>
      </c>
      <c r="U84" s="451">
        <f t="shared" ca="1" si="56"/>
        <v>0</v>
      </c>
      <c r="V84" s="99">
        <f t="shared" ca="1" si="9"/>
        <v>0</v>
      </c>
      <c r="W84" s="451">
        <f ca="1">IFERROR(__xludf.DUMMYFUNCTION("IMPORTRANGE(""https://docs.google.com/spreadsheets/d/1IYY_tgx_IHuhSq3AJ5eI5OnqOPBNLWSHKh2a30DoXe8/edit?usp=sharing"",""พัทลุง!J515"")"),0)</f>
        <v>0</v>
      </c>
      <c r="X84" s="451">
        <f ca="1">IFERROR(__xludf.DUMMYFUNCTION("IMPORTRANGE(""https://docs.google.com/spreadsheets/d/1IYY_tgx_IHuhSq3AJ5eI5OnqOPBNLWSHKh2a30DoXe8/edit?usp=sharing"",""พัทลุง!J512"")"),0)</f>
        <v>0</v>
      </c>
      <c r="Y84" s="55">
        <f t="shared" ca="1" si="57"/>
        <v>0</v>
      </c>
      <c r="Z84" s="99">
        <f t="shared" ca="1" si="11"/>
        <v>0</v>
      </c>
      <c r="AA84" s="55">
        <f ca="1">IFERROR(__xludf.DUMMYFUNCTION("IMPORTRANGE(""https://docs.google.com/spreadsheets/d/1IYY_tgx_IHuhSq3AJ5eI5OnqOPBNLWSHKh2a30DoXe8/edit?usp=sharing"",""พัทลุง!J515"")"),0)</f>
        <v>0</v>
      </c>
      <c r="AB84" s="55">
        <f ca="1">IFERROR(__xludf.DUMMYFUNCTION("IMPORTRANGE(""https://docs.google.com/spreadsheets/d/1IYY_tgx_IHuhSq3AJ5eI5OnqOPBNLWSHKh2a30DoXe8/edit?usp=sharing"",""พัทลุง!J516"")"),0)</f>
        <v>0</v>
      </c>
      <c r="AC84" s="55">
        <f ca="1">IFERROR(__xludf.DUMMYFUNCTION("IMPORTRANGE(""https://docs.google.com/spreadsheets/d/1IYY_tgx_IHuhSq3AJ5eI5OnqOPBNLWSHKh2a30DoXe8/edit?usp=sharing"",""พัทลุง!J518"")"),0)</f>
        <v>0</v>
      </c>
      <c r="AD84" s="422">
        <f ca="1">IFERROR(__xludf.DUMMYFUNCTION("IMPORTRANGE(""https://docs.google.com/spreadsheets/d/1IYY_tgx_IHuhSq3AJ5eI5OnqOPBNLWSHKh2a30DoXe8/edit?usp=sharing"",""พัทลุง!J519"")"),0)</f>
        <v>0</v>
      </c>
    </row>
    <row r="85" spans="1:30" ht="24" customHeight="1" x14ac:dyDescent="0.5">
      <c r="A85" s="273">
        <v>9</v>
      </c>
      <c r="B85" s="274" t="s">
        <v>100</v>
      </c>
      <c r="C85" s="275">
        <f t="shared" si="54"/>
        <v>7300</v>
      </c>
      <c r="D85" s="55">
        <v>0</v>
      </c>
      <c r="E85" s="55">
        <v>7300</v>
      </c>
      <c r="F85" s="99">
        <f ca="1">IFERROR(__xludf.DUMMYFUNCTION("IMPORTRANGE(""https://docs.google.com/spreadsheets/d/1IYY_tgx_IHuhSq3AJ5eI5OnqOPBNLWSHKh2a30DoXe8/edit?usp=sharing"",""ภูเก็ต!M492"")"),0)</f>
        <v>0</v>
      </c>
      <c r="G85" s="99">
        <f t="shared" ca="1" si="1"/>
        <v>0</v>
      </c>
      <c r="H85" s="402">
        <f t="shared" si="55"/>
        <v>100</v>
      </c>
      <c r="I85" s="402">
        <v>100</v>
      </c>
      <c r="J85" s="402">
        <v>0</v>
      </c>
      <c r="K85" s="55">
        <f ca="1">IFERROR(__xludf.DUMMYFUNCTION("IMPORTRANGE(""https://docs.google.com/spreadsheets/d/1IYY_tgx_IHuhSq3AJ5eI5OnqOPBNLWSHKh2a30DoXe8/edit?usp=sharing"",""ภูเก็ต!J505"")"),0)</f>
        <v>0</v>
      </c>
      <c r="L85" s="99">
        <f t="shared" ca="1" si="4"/>
        <v>0</v>
      </c>
      <c r="M85" s="55">
        <f ca="1">IFERROR(__xludf.DUMMYFUNCTION("IMPORTRANGE(""https://docs.google.com/spreadsheets/d/1IYY_tgx_IHuhSq3AJ5eI5OnqOPBNLWSHKh2a30DoXe8/edit?usp=sharing"",""ภูเก็ต!J506"")"),0)</f>
        <v>0</v>
      </c>
      <c r="N85" s="99">
        <f t="shared" ca="1" si="5"/>
        <v>0</v>
      </c>
      <c r="O85" s="55">
        <f ca="1">IFERROR(__xludf.DUMMYFUNCTION("IMPORTRANGE(""https://docs.google.com/spreadsheets/d/1IYY_tgx_IHuhSq3AJ5eI5OnqOPBNLWSHKh2a30DoXe8/edit?usp=sharing"",""ภูเก็ต!J507"")"),0)</f>
        <v>0</v>
      </c>
      <c r="P85" s="99">
        <f t="shared" ca="1" si="6"/>
        <v>0</v>
      </c>
      <c r="Q85" s="55">
        <f ca="1">IFERROR(__xludf.DUMMYFUNCTION("IMPORTRANGE(""https://docs.google.com/spreadsheets/d/1IYY_tgx_IHuhSq3AJ5eI5OnqOPBNLWSHKh2a30DoXe8/edit?usp=sharing"",""ภูเก็ต!J508"")"),0)</f>
        <v>0</v>
      </c>
      <c r="R85" s="99">
        <f t="shared" ca="1" si="7"/>
        <v>0</v>
      </c>
      <c r="S85" s="55">
        <f ca="1">IFERROR(__xludf.DUMMYFUNCTION("IMPORTRANGE(""https://docs.google.com/spreadsheets/d/1IYY_tgx_IHuhSq3AJ5eI5OnqOPBNLWSHKh2a30DoXe8/edit?usp=sharing"",""ภูเก็ต!J509"")"),0)</f>
        <v>0</v>
      </c>
      <c r="T85" s="99">
        <f t="shared" ca="1" si="8"/>
        <v>0</v>
      </c>
      <c r="U85" s="451">
        <f t="shared" ca="1" si="56"/>
        <v>0</v>
      </c>
      <c r="V85" s="99">
        <f t="shared" ca="1" si="9"/>
        <v>0</v>
      </c>
      <c r="W85" s="451">
        <f ca="1">IFERROR(__xludf.DUMMYFUNCTION("IMPORTRANGE(""https://docs.google.com/spreadsheets/d/1IYY_tgx_IHuhSq3AJ5eI5OnqOPBNLWSHKh2a30DoXe8/edit?usp=sharing"",""ภูเก็ต!J515"")"),0)</f>
        <v>0</v>
      </c>
      <c r="X85" s="451">
        <f ca="1">IFERROR(__xludf.DUMMYFUNCTION("IMPORTRANGE(""https://docs.google.com/spreadsheets/d/1IYY_tgx_IHuhSq3AJ5eI5OnqOPBNLWSHKh2a30DoXe8/edit?usp=sharing"",""ภูเก็ต!J512"")"),0)</f>
        <v>0</v>
      </c>
      <c r="Y85" s="55">
        <f t="shared" ca="1" si="57"/>
        <v>0</v>
      </c>
      <c r="Z85" s="99">
        <f t="shared" ca="1" si="11"/>
        <v>0</v>
      </c>
      <c r="AA85" s="55">
        <f ca="1">IFERROR(__xludf.DUMMYFUNCTION("IMPORTRANGE(""https://docs.google.com/spreadsheets/d/1IYY_tgx_IHuhSq3AJ5eI5OnqOPBNLWSHKh2a30DoXe8/edit?usp=sharing"",""ภูเก็ต!J515"")"),0)</f>
        <v>0</v>
      </c>
      <c r="AB85" s="55">
        <f ca="1">IFERROR(__xludf.DUMMYFUNCTION("IMPORTRANGE(""https://docs.google.com/spreadsheets/d/1IYY_tgx_IHuhSq3AJ5eI5OnqOPBNLWSHKh2a30DoXe8/edit?usp=sharing"",""ภูเก็ต!J516"")"),0)</f>
        <v>0</v>
      </c>
      <c r="AC85" s="55">
        <f ca="1">IFERROR(__xludf.DUMMYFUNCTION("IMPORTRANGE(""https://docs.google.com/spreadsheets/d/1IYY_tgx_IHuhSq3AJ5eI5OnqOPBNLWSHKh2a30DoXe8/edit?usp=sharing"",""ภูเก็ต!J518"")"),0)</f>
        <v>0</v>
      </c>
      <c r="AD85" s="422">
        <f ca="1">IFERROR(__xludf.DUMMYFUNCTION("IMPORTRANGE(""https://docs.google.com/spreadsheets/d/1IYY_tgx_IHuhSq3AJ5eI5OnqOPBNLWSHKh2a30DoXe8/edit?usp=sharing"",""ภูเก็ต!J519"")"),0)</f>
        <v>0</v>
      </c>
    </row>
    <row r="86" spans="1:30" ht="24" customHeight="1" x14ac:dyDescent="0.5">
      <c r="A86" s="273">
        <v>10</v>
      </c>
      <c r="B86" s="274" t="s">
        <v>101</v>
      </c>
      <c r="C86" s="275">
        <f t="shared" si="54"/>
        <v>4550</v>
      </c>
      <c r="D86" s="55">
        <v>0</v>
      </c>
      <c r="E86" s="55">
        <v>4550</v>
      </c>
      <c r="F86" s="99">
        <f ca="1">IFERROR(__xludf.DUMMYFUNCTION("IMPORTRANGE(""https://docs.google.com/spreadsheets/d/1IYY_tgx_IHuhSq3AJ5eI5OnqOPBNLWSHKh2a30DoXe8/edit?usp=sharing"",""ยะลา!M492"")"),0)</f>
        <v>0</v>
      </c>
      <c r="G86" s="99">
        <f t="shared" ca="1" si="1"/>
        <v>0</v>
      </c>
      <c r="H86" s="402">
        <f t="shared" si="55"/>
        <v>50</v>
      </c>
      <c r="I86" s="402">
        <v>50</v>
      </c>
      <c r="J86" s="402">
        <v>0</v>
      </c>
      <c r="K86" s="55">
        <f ca="1">IFERROR(__xludf.DUMMYFUNCTION("IMPORTRANGE(""https://docs.google.com/spreadsheets/d/1IYY_tgx_IHuhSq3AJ5eI5OnqOPBNLWSHKh2a30DoXe8/edit?usp=sharing"",""ยะลา!J505"")"),0)</f>
        <v>0</v>
      </c>
      <c r="L86" s="99">
        <f t="shared" ca="1" si="4"/>
        <v>0</v>
      </c>
      <c r="M86" s="55">
        <f ca="1">IFERROR(__xludf.DUMMYFUNCTION("IMPORTRANGE(""https://docs.google.com/spreadsheets/d/1IYY_tgx_IHuhSq3AJ5eI5OnqOPBNLWSHKh2a30DoXe8/edit?usp=sharing"",""ยะลา!J506"")"),0)</f>
        <v>0</v>
      </c>
      <c r="N86" s="99">
        <f t="shared" ca="1" si="5"/>
        <v>0</v>
      </c>
      <c r="O86" s="55">
        <f ca="1">IFERROR(__xludf.DUMMYFUNCTION("IMPORTRANGE(""https://docs.google.com/spreadsheets/d/1IYY_tgx_IHuhSq3AJ5eI5OnqOPBNLWSHKh2a30DoXe8/edit?usp=sharing"",""ยะลา!J507"")"),0)</f>
        <v>0</v>
      </c>
      <c r="P86" s="99">
        <f t="shared" ca="1" si="6"/>
        <v>0</v>
      </c>
      <c r="Q86" s="55">
        <f ca="1">IFERROR(__xludf.DUMMYFUNCTION("IMPORTRANGE(""https://docs.google.com/spreadsheets/d/1IYY_tgx_IHuhSq3AJ5eI5OnqOPBNLWSHKh2a30DoXe8/edit?usp=sharing"",""ยะลา!J508"")"),0)</f>
        <v>0</v>
      </c>
      <c r="R86" s="99">
        <f t="shared" ca="1" si="7"/>
        <v>0</v>
      </c>
      <c r="S86" s="55">
        <f ca="1">IFERROR(__xludf.DUMMYFUNCTION("IMPORTRANGE(""https://docs.google.com/spreadsheets/d/1IYY_tgx_IHuhSq3AJ5eI5OnqOPBNLWSHKh2a30DoXe8/edit?usp=sharing"",""ยะลา!J509"")"),0)</f>
        <v>0</v>
      </c>
      <c r="T86" s="99">
        <f t="shared" ca="1" si="8"/>
        <v>0</v>
      </c>
      <c r="U86" s="451">
        <f t="shared" ca="1" si="56"/>
        <v>0</v>
      </c>
      <c r="V86" s="99">
        <f t="shared" ca="1" si="9"/>
        <v>0</v>
      </c>
      <c r="W86" s="451">
        <f ca="1">IFERROR(__xludf.DUMMYFUNCTION("IMPORTRANGE(""https://docs.google.com/spreadsheets/d/1IYY_tgx_IHuhSq3AJ5eI5OnqOPBNLWSHKh2a30DoXe8/edit?usp=sharing"",""ยะลา!J515"")"),0)</f>
        <v>0</v>
      </c>
      <c r="X86" s="451">
        <f ca="1">IFERROR(__xludf.DUMMYFUNCTION("IMPORTRANGE(""https://docs.google.com/spreadsheets/d/1IYY_tgx_IHuhSq3AJ5eI5OnqOPBNLWSHKh2a30DoXe8/edit?usp=sharing"",""ยะลา!J512"")"),0)</f>
        <v>0</v>
      </c>
      <c r="Y86" s="55">
        <f t="shared" ca="1" si="57"/>
        <v>0</v>
      </c>
      <c r="Z86" s="99">
        <f t="shared" ca="1" si="11"/>
        <v>0</v>
      </c>
      <c r="AA86" s="55">
        <f ca="1">IFERROR(__xludf.DUMMYFUNCTION("IMPORTRANGE(""https://docs.google.com/spreadsheets/d/1IYY_tgx_IHuhSq3AJ5eI5OnqOPBNLWSHKh2a30DoXe8/edit?usp=sharing"",""ยะลา!J515"")"),0)</f>
        <v>0</v>
      </c>
      <c r="AB86" s="55">
        <f ca="1">IFERROR(__xludf.DUMMYFUNCTION("IMPORTRANGE(""https://docs.google.com/spreadsheets/d/1IYY_tgx_IHuhSq3AJ5eI5OnqOPBNLWSHKh2a30DoXe8/edit?usp=sharing"",""ยะลา!J516"")"),0)</f>
        <v>0</v>
      </c>
      <c r="AC86" s="55">
        <f ca="1">IFERROR(__xludf.DUMMYFUNCTION("IMPORTRANGE(""https://docs.google.com/spreadsheets/d/1IYY_tgx_IHuhSq3AJ5eI5OnqOPBNLWSHKh2a30DoXe8/edit?usp=sharing"",""ยะลา!J518"")"),0)</f>
        <v>0</v>
      </c>
      <c r="AD86" s="422">
        <f ca="1">IFERROR(__xludf.DUMMYFUNCTION("IMPORTRANGE(""https://docs.google.com/spreadsheets/d/1IYY_tgx_IHuhSq3AJ5eI5OnqOPBNLWSHKh2a30DoXe8/edit?usp=sharing"",""ยะลา!J519"")"),0)</f>
        <v>0</v>
      </c>
    </row>
    <row r="87" spans="1:30" ht="24" customHeight="1" x14ac:dyDescent="0.5">
      <c r="A87" s="273">
        <v>11</v>
      </c>
      <c r="B87" s="274" t="s">
        <v>102</v>
      </c>
      <c r="C87" s="275">
        <f t="shared" si="54"/>
        <v>7750</v>
      </c>
      <c r="D87" s="55">
        <v>0</v>
      </c>
      <c r="E87" s="55">
        <v>7750</v>
      </c>
      <c r="F87" s="99">
        <f ca="1">IFERROR(__xludf.DUMMYFUNCTION("IMPORTRANGE(""https://docs.google.com/spreadsheets/d/1IYY_tgx_IHuhSq3AJ5eI5OnqOPBNLWSHKh2a30DoXe8/edit?usp=sharing"",""ระนอง!M492"")"),2400)</f>
        <v>2400</v>
      </c>
      <c r="G87" s="99">
        <f t="shared" ca="1" si="1"/>
        <v>30.967741935483872</v>
      </c>
      <c r="H87" s="402">
        <f t="shared" si="55"/>
        <v>50</v>
      </c>
      <c r="I87" s="402">
        <v>50</v>
      </c>
      <c r="J87" s="402">
        <v>0</v>
      </c>
      <c r="K87" s="55">
        <f ca="1">IFERROR(__xludf.DUMMYFUNCTION("IMPORTRANGE(""https://docs.google.com/spreadsheets/d/1IYY_tgx_IHuhSq3AJ5eI5OnqOPBNLWSHKh2a30DoXe8/edit?usp=sharing"",""ระนอง!J505"")"),0)</f>
        <v>0</v>
      </c>
      <c r="L87" s="99">
        <f t="shared" ca="1" si="4"/>
        <v>0</v>
      </c>
      <c r="M87" s="55">
        <f ca="1">IFERROR(__xludf.DUMMYFUNCTION("IMPORTRANGE(""https://docs.google.com/spreadsheets/d/1IYY_tgx_IHuhSq3AJ5eI5OnqOPBNLWSHKh2a30DoXe8/edit?usp=sharing"",""ระนอง!J506"")"),0)</f>
        <v>0</v>
      </c>
      <c r="N87" s="99">
        <f t="shared" ca="1" si="5"/>
        <v>0</v>
      </c>
      <c r="O87" s="55">
        <f ca="1">IFERROR(__xludf.DUMMYFUNCTION("IMPORTRANGE(""https://docs.google.com/spreadsheets/d/1IYY_tgx_IHuhSq3AJ5eI5OnqOPBNLWSHKh2a30DoXe8/edit?usp=sharing"",""ระนอง!J507"")"),0)</f>
        <v>0</v>
      </c>
      <c r="P87" s="99">
        <f t="shared" ca="1" si="6"/>
        <v>0</v>
      </c>
      <c r="Q87" s="55">
        <f ca="1">IFERROR(__xludf.DUMMYFUNCTION("IMPORTRANGE(""https://docs.google.com/spreadsheets/d/1IYY_tgx_IHuhSq3AJ5eI5OnqOPBNLWSHKh2a30DoXe8/edit?usp=sharing"",""ระนอง!J508"")"),0)</f>
        <v>0</v>
      </c>
      <c r="R87" s="99">
        <f t="shared" ca="1" si="7"/>
        <v>0</v>
      </c>
      <c r="S87" s="55">
        <f ca="1">IFERROR(__xludf.DUMMYFUNCTION("IMPORTRANGE(""https://docs.google.com/spreadsheets/d/1IYY_tgx_IHuhSq3AJ5eI5OnqOPBNLWSHKh2a30DoXe8/edit?usp=sharing"",""ระนอง!J509"")"),0)</f>
        <v>0</v>
      </c>
      <c r="T87" s="99">
        <f t="shared" ca="1" si="8"/>
        <v>0</v>
      </c>
      <c r="U87" s="451">
        <f t="shared" ca="1" si="56"/>
        <v>0</v>
      </c>
      <c r="V87" s="99">
        <f t="shared" ca="1" si="9"/>
        <v>0</v>
      </c>
      <c r="W87" s="451">
        <f ca="1">IFERROR(__xludf.DUMMYFUNCTION("IMPORTRANGE(""https://docs.google.com/spreadsheets/d/1IYY_tgx_IHuhSq3AJ5eI5OnqOPBNLWSHKh2a30DoXe8/edit?usp=sharing"",""ระนอง!J515"")"),0)</f>
        <v>0</v>
      </c>
      <c r="X87" s="451">
        <f ca="1">IFERROR(__xludf.DUMMYFUNCTION("IMPORTRANGE(""https://docs.google.com/spreadsheets/d/1IYY_tgx_IHuhSq3AJ5eI5OnqOPBNLWSHKh2a30DoXe8/edit?usp=sharing"",""ระนอง!J512"")"),0)</f>
        <v>0</v>
      </c>
      <c r="Y87" s="55">
        <f t="shared" ca="1" si="57"/>
        <v>0</v>
      </c>
      <c r="Z87" s="99">
        <f t="shared" ca="1" si="11"/>
        <v>0</v>
      </c>
      <c r="AA87" s="55">
        <f ca="1">IFERROR(__xludf.DUMMYFUNCTION("IMPORTRANGE(""https://docs.google.com/spreadsheets/d/1IYY_tgx_IHuhSq3AJ5eI5OnqOPBNLWSHKh2a30DoXe8/edit?usp=sharing"",""ระนอง!J515"")"),0)</f>
        <v>0</v>
      </c>
      <c r="AB87" s="55">
        <f ca="1">IFERROR(__xludf.DUMMYFUNCTION("IMPORTRANGE(""https://docs.google.com/spreadsheets/d/1IYY_tgx_IHuhSq3AJ5eI5OnqOPBNLWSHKh2a30DoXe8/edit?usp=sharing"",""ระนอง!J516"")"),0)</f>
        <v>0</v>
      </c>
      <c r="AC87" s="55">
        <f ca="1">IFERROR(__xludf.DUMMYFUNCTION("IMPORTRANGE(""https://docs.google.com/spreadsheets/d/1IYY_tgx_IHuhSq3AJ5eI5OnqOPBNLWSHKh2a30DoXe8/edit?usp=sharing"",""ระนอง!J518"")"),0)</f>
        <v>0</v>
      </c>
      <c r="AD87" s="422">
        <f ca="1">IFERROR(__xludf.DUMMYFUNCTION("IMPORTRANGE(""https://docs.google.com/spreadsheets/d/1IYY_tgx_IHuhSq3AJ5eI5OnqOPBNLWSHKh2a30DoXe8/edit?usp=sharing"",""ระนอง!J519"")"),0)</f>
        <v>0</v>
      </c>
    </row>
    <row r="88" spans="1:30" ht="24" customHeight="1" x14ac:dyDescent="0.5">
      <c r="A88" s="273">
        <v>12</v>
      </c>
      <c r="B88" s="274" t="s">
        <v>103</v>
      </c>
      <c r="C88" s="275">
        <f t="shared" si="54"/>
        <v>4550</v>
      </c>
      <c r="D88" s="55">
        <v>0</v>
      </c>
      <c r="E88" s="55">
        <v>4550</v>
      </c>
      <c r="F88" s="99">
        <f ca="1">IFERROR(__xludf.DUMMYFUNCTION("IMPORTRANGE(""https://docs.google.com/spreadsheets/d/1IYY_tgx_IHuhSq3AJ5eI5OnqOPBNLWSHKh2a30DoXe8/edit?usp=sharing"",""สงขลา!M492"")"),0)</f>
        <v>0</v>
      </c>
      <c r="G88" s="99">
        <f t="shared" ca="1" si="1"/>
        <v>0</v>
      </c>
      <c r="H88" s="402">
        <f t="shared" si="55"/>
        <v>98</v>
      </c>
      <c r="I88" s="402">
        <v>50</v>
      </c>
      <c r="J88" s="402">
        <v>48</v>
      </c>
      <c r="K88" s="55">
        <f ca="1">IFERROR(__xludf.DUMMYFUNCTION("IMPORTRANGE(""https://docs.google.com/spreadsheets/d/1IYY_tgx_IHuhSq3AJ5eI5OnqOPBNLWSHKh2a30DoXe8/edit?usp=sharing"",""สงขลา!J505"")"),0)</f>
        <v>0</v>
      </c>
      <c r="L88" s="99">
        <f t="shared" ca="1" si="4"/>
        <v>0</v>
      </c>
      <c r="M88" s="55">
        <f ca="1">IFERROR(__xludf.DUMMYFUNCTION("IMPORTRANGE(""https://docs.google.com/spreadsheets/d/1IYY_tgx_IHuhSq3AJ5eI5OnqOPBNLWSHKh2a30DoXe8/edit?usp=sharing"",""สงขลา!J506"")"),0)</f>
        <v>0</v>
      </c>
      <c r="N88" s="99">
        <f t="shared" ca="1" si="5"/>
        <v>0</v>
      </c>
      <c r="O88" s="55">
        <f ca="1">IFERROR(__xludf.DUMMYFUNCTION("IMPORTRANGE(""https://docs.google.com/spreadsheets/d/1IYY_tgx_IHuhSq3AJ5eI5OnqOPBNLWSHKh2a30DoXe8/edit?usp=sharing"",""สงขลา!J507"")"),0)</f>
        <v>0</v>
      </c>
      <c r="P88" s="99">
        <f t="shared" ca="1" si="6"/>
        <v>0</v>
      </c>
      <c r="Q88" s="55">
        <f ca="1">IFERROR(__xludf.DUMMYFUNCTION("IMPORTRANGE(""https://docs.google.com/spreadsheets/d/1IYY_tgx_IHuhSq3AJ5eI5OnqOPBNLWSHKh2a30DoXe8/edit?usp=sharing"",""สงขลา!J508"")"),0)</f>
        <v>0</v>
      </c>
      <c r="R88" s="99">
        <f t="shared" ca="1" si="7"/>
        <v>0</v>
      </c>
      <c r="S88" s="55">
        <f ca="1">IFERROR(__xludf.DUMMYFUNCTION("IMPORTRANGE(""https://docs.google.com/spreadsheets/d/1IYY_tgx_IHuhSq3AJ5eI5OnqOPBNLWSHKh2a30DoXe8/edit?usp=sharing"",""สงขลา!J509"")"),0)</f>
        <v>0</v>
      </c>
      <c r="T88" s="99">
        <f t="shared" ca="1" si="8"/>
        <v>0</v>
      </c>
      <c r="U88" s="451">
        <f t="shared" ca="1" si="56"/>
        <v>0</v>
      </c>
      <c r="V88" s="99">
        <f t="shared" ca="1" si="9"/>
        <v>0</v>
      </c>
      <c r="W88" s="451">
        <f ca="1">IFERROR(__xludf.DUMMYFUNCTION("IMPORTRANGE(""https://docs.google.com/spreadsheets/d/1IYY_tgx_IHuhSq3AJ5eI5OnqOPBNLWSHKh2a30DoXe8/edit?usp=sharing"",""สงขลา!J515"")"),0)</f>
        <v>0</v>
      </c>
      <c r="X88" s="451">
        <f ca="1">IFERROR(__xludf.DUMMYFUNCTION("IMPORTRANGE(""https://docs.google.com/spreadsheets/d/1IYY_tgx_IHuhSq3AJ5eI5OnqOPBNLWSHKh2a30DoXe8/edit?usp=sharing"",""สงขลา!J512"")"),0)</f>
        <v>0</v>
      </c>
      <c r="Y88" s="55">
        <f t="shared" ca="1" si="57"/>
        <v>0</v>
      </c>
      <c r="Z88" s="99">
        <f t="shared" ca="1" si="11"/>
        <v>0</v>
      </c>
      <c r="AA88" s="55">
        <f ca="1">IFERROR(__xludf.DUMMYFUNCTION("IMPORTRANGE(""https://docs.google.com/spreadsheets/d/1IYY_tgx_IHuhSq3AJ5eI5OnqOPBNLWSHKh2a30DoXe8/edit?usp=sharing"",""สงขลา!J515"")"),0)</f>
        <v>0</v>
      </c>
      <c r="AB88" s="55">
        <f ca="1">IFERROR(__xludf.DUMMYFUNCTION("IMPORTRANGE(""https://docs.google.com/spreadsheets/d/1IYY_tgx_IHuhSq3AJ5eI5OnqOPBNLWSHKh2a30DoXe8/edit?usp=sharing"",""สงขลา!J516"")"),0)</f>
        <v>0</v>
      </c>
      <c r="AC88" s="55">
        <f ca="1">IFERROR(__xludf.DUMMYFUNCTION("IMPORTRANGE(""https://docs.google.com/spreadsheets/d/1IYY_tgx_IHuhSq3AJ5eI5OnqOPBNLWSHKh2a30DoXe8/edit?usp=sharing"",""สงขลา!J518"")"),0)</f>
        <v>0</v>
      </c>
      <c r="AD88" s="422">
        <f ca="1">IFERROR(__xludf.DUMMYFUNCTION("IMPORTRANGE(""https://docs.google.com/spreadsheets/d/1IYY_tgx_IHuhSq3AJ5eI5OnqOPBNLWSHKh2a30DoXe8/edit?usp=sharing"",""สงขลา!J519"")"),0)</f>
        <v>0</v>
      </c>
    </row>
    <row r="89" spans="1:30" ht="24" customHeight="1" x14ac:dyDescent="0.5">
      <c r="A89" s="273">
        <v>13</v>
      </c>
      <c r="B89" s="274" t="s">
        <v>104</v>
      </c>
      <c r="C89" s="275">
        <f t="shared" si="54"/>
        <v>8100</v>
      </c>
      <c r="D89" s="55">
        <v>0</v>
      </c>
      <c r="E89" s="55">
        <v>8100</v>
      </c>
      <c r="F89" s="99">
        <f ca="1">IFERROR(__xludf.DUMMYFUNCTION("IMPORTRANGE(""https://docs.google.com/spreadsheets/d/1IYY_tgx_IHuhSq3AJ5eI5OnqOPBNLWSHKh2a30DoXe8/edit?usp=sharing"",""สตูล!M492"")"),0)</f>
        <v>0</v>
      </c>
      <c r="G89" s="99">
        <f t="shared" ca="1" si="1"/>
        <v>0</v>
      </c>
      <c r="H89" s="402">
        <f t="shared" si="55"/>
        <v>100</v>
      </c>
      <c r="I89" s="402">
        <v>100</v>
      </c>
      <c r="J89" s="402">
        <v>0</v>
      </c>
      <c r="K89" s="55">
        <f ca="1">IFERROR(__xludf.DUMMYFUNCTION("IMPORTRANGE(""https://docs.google.com/spreadsheets/d/1IYY_tgx_IHuhSq3AJ5eI5OnqOPBNLWSHKh2a30DoXe8/edit?usp=sharing"",""สตูล!J505"")"),0)</f>
        <v>0</v>
      </c>
      <c r="L89" s="99">
        <f t="shared" ca="1" si="4"/>
        <v>0</v>
      </c>
      <c r="M89" s="55">
        <f ca="1">IFERROR(__xludf.DUMMYFUNCTION("IMPORTRANGE(""https://docs.google.com/spreadsheets/d/1IYY_tgx_IHuhSq3AJ5eI5OnqOPBNLWSHKh2a30DoXe8/edit?usp=sharing"",""สตูล!J506"")"),0)</f>
        <v>0</v>
      </c>
      <c r="N89" s="99">
        <f t="shared" ca="1" si="5"/>
        <v>0</v>
      </c>
      <c r="O89" s="55">
        <f ca="1">IFERROR(__xludf.DUMMYFUNCTION("IMPORTRANGE(""https://docs.google.com/spreadsheets/d/1IYY_tgx_IHuhSq3AJ5eI5OnqOPBNLWSHKh2a30DoXe8/edit?usp=sharing"",""สตูล!J507"")"),0)</f>
        <v>0</v>
      </c>
      <c r="P89" s="99">
        <f t="shared" ca="1" si="6"/>
        <v>0</v>
      </c>
      <c r="Q89" s="55">
        <f ca="1">IFERROR(__xludf.DUMMYFUNCTION("IMPORTRANGE(""https://docs.google.com/spreadsheets/d/1IYY_tgx_IHuhSq3AJ5eI5OnqOPBNLWSHKh2a30DoXe8/edit?usp=sharing"",""สตูล!J508"")"),0)</f>
        <v>0</v>
      </c>
      <c r="R89" s="99">
        <f t="shared" ca="1" si="7"/>
        <v>0</v>
      </c>
      <c r="S89" s="55">
        <f ca="1">IFERROR(__xludf.DUMMYFUNCTION("IMPORTRANGE(""https://docs.google.com/spreadsheets/d/1IYY_tgx_IHuhSq3AJ5eI5OnqOPBNLWSHKh2a30DoXe8/edit?usp=sharing"",""สตูล!J509"")"),0)</f>
        <v>0</v>
      </c>
      <c r="T89" s="99">
        <f t="shared" ca="1" si="8"/>
        <v>0</v>
      </c>
      <c r="U89" s="451">
        <f t="shared" ca="1" si="56"/>
        <v>0</v>
      </c>
      <c r="V89" s="99">
        <f t="shared" ca="1" si="9"/>
        <v>0</v>
      </c>
      <c r="W89" s="451">
        <f ca="1">IFERROR(__xludf.DUMMYFUNCTION("IMPORTRANGE(""https://docs.google.com/spreadsheets/d/1IYY_tgx_IHuhSq3AJ5eI5OnqOPBNLWSHKh2a30DoXe8/edit?usp=sharing"",""สตูล!J515"")"),0)</f>
        <v>0</v>
      </c>
      <c r="X89" s="451">
        <f ca="1">IFERROR(__xludf.DUMMYFUNCTION("IMPORTRANGE(""https://docs.google.com/spreadsheets/d/1IYY_tgx_IHuhSq3AJ5eI5OnqOPBNLWSHKh2a30DoXe8/edit?usp=sharing"",""สตูล!J512"")"),0)</f>
        <v>0</v>
      </c>
      <c r="Y89" s="55">
        <f t="shared" ca="1" si="57"/>
        <v>0</v>
      </c>
      <c r="Z89" s="99">
        <f t="shared" ca="1" si="11"/>
        <v>0</v>
      </c>
      <c r="AA89" s="55">
        <f ca="1">IFERROR(__xludf.DUMMYFUNCTION("IMPORTRANGE(""https://docs.google.com/spreadsheets/d/1IYY_tgx_IHuhSq3AJ5eI5OnqOPBNLWSHKh2a30DoXe8/edit?usp=sharing"",""สตูล!J515"")"),0)</f>
        <v>0</v>
      </c>
      <c r="AB89" s="55">
        <f ca="1">IFERROR(__xludf.DUMMYFUNCTION("IMPORTRANGE(""https://docs.google.com/spreadsheets/d/1IYY_tgx_IHuhSq3AJ5eI5OnqOPBNLWSHKh2a30DoXe8/edit?usp=sharing"",""สตูล!J516"")"),0)</f>
        <v>0</v>
      </c>
      <c r="AC89" s="55">
        <f ca="1">IFERROR(__xludf.DUMMYFUNCTION("IMPORTRANGE(""https://docs.google.com/spreadsheets/d/1IYY_tgx_IHuhSq3AJ5eI5OnqOPBNLWSHKh2a30DoXe8/edit?usp=sharing"",""สตูล!J518"")"),0)</f>
        <v>0</v>
      </c>
      <c r="AD89" s="422">
        <f ca="1">IFERROR(__xludf.DUMMYFUNCTION("IMPORTRANGE(""https://docs.google.com/spreadsheets/d/1IYY_tgx_IHuhSq3AJ5eI5OnqOPBNLWSHKh2a30DoXe8/edit?usp=sharing"",""สตูล!J519"")"),0)</f>
        <v>0</v>
      </c>
    </row>
    <row r="90" spans="1:30" ht="24" customHeight="1" x14ac:dyDescent="0.5">
      <c r="A90" s="278">
        <v>14</v>
      </c>
      <c r="B90" s="279" t="s">
        <v>105</v>
      </c>
      <c r="C90" s="280">
        <f t="shared" si="54"/>
        <v>8100</v>
      </c>
      <c r="D90" s="62">
        <v>0</v>
      </c>
      <c r="E90" s="62">
        <v>8100</v>
      </c>
      <c r="F90" s="100">
        <f ca="1">IFERROR(__xludf.DUMMYFUNCTION("IMPORTRANGE(""https://docs.google.com/spreadsheets/d/1IYY_tgx_IHuhSq3AJ5eI5OnqOPBNLWSHKh2a30DoXe8/edit?usp=sharing"",""สุราษฎร์ธานี!M492"")"),0)</f>
        <v>0</v>
      </c>
      <c r="G90" s="100">
        <f t="shared" ca="1" si="1"/>
        <v>0</v>
      </c>
      <c r="H90" s="406">
        <f t="shared" si="55"/>
        <v>100</v>
      </c>
      <c r="I90" s="406">
        <v>100</v>
      </c>
      <c r="J90" s="406">
        <v>0</v>
      </c>
      <c r="K90" s="62">
        <f ca="1">IFERROR(__xludf.DUMMYFUNCTION("IMPORTRANGE(""https://docs.google.com/spreadsheets/d/1IYY_tgx_IHuhSq3AJ5eI5OnqOPBNLWSHKh2a30DoXe8/edit?usp=sharing"",""สุราษฎร์ธานี!J505"")"),0)</f>
        <v>0</v>
      </c>
      <c r="L90" s="100">
        <f t="shared" ca="1" si="4"/>
        <v>0</v>
      </c>
      <c r="M90" s="62">
        <f ca="1">IFERROR(__xludf.DUMMYFUNCTION("IMPORTRANGE(""https://docs.google.com/spreadsheets/d/1IYY_tgx_IHuhSq3AJ5eI5OnqOPBNLWSHKh2a30DoXe8/edit?usp=sharing"",""สุราษฎร์ธานี!J506"")"),0)</f>
        <v>0</v>
      </c>
      <c r="N90" s="100">
        <f t="shared" ca="1" si="5"/>
        <v>0</v>
      </c>
      <c r="O90" s="62">
        <f ca="1">IFERROR(__xludf.DUMMYFUNCTION("IMPORTRANGE(""https://docs.google.com/spreadsheets/d/1IYY_tgx_IHuhSq3AJ5eI5OnqOPBNLWSHKh2a30DoXe8/edit?usp=sharing"",""สุราษฎร์ธานี!J507"")"),0)</f>
        <v>0</v>
      </c>
      <c r="P90" s="100">
        <f t="shared" ca="1" si="6"/>
        <v>0</v>
      </c>
      <c r="Q90" s="62">
        <f ca="1">IFERROR(__xludf.DUMMYFUNCTION("IMPORTRANGE(""https://docs.google.com/spreadsheets/d/1IYY_tgx_IHuhSq3AJ5eI5OnqOPBNLWSHKh2a30DoXe8/edit?usp=sharing"",""สุราษฎร์ธานี!J508"")"),0)</f>
        <v>0</v>
      </c>
      <c r="R90" s="100">
        <f t="shared" ca="1" si="7"/>
        <v>0</v>
      </c>
      <c r="S90" s="62">
        <f ca="1">IFERROR(__xludf.DUMMYFUNCTION("IMPORTRANGE(""https://docs.google.com/spreadsheets/d/1IYY_tgx_IHuhSq3AJ5eI5OnqOPBNLWSHKh2a30DoXe8/edit?usp=sharing"",""สุราษฎร์ธานี!J509"")"),0)</f>
        <v>0</v>
      </c>
      <c r="T90" s="100">
        <f t="shared" ca="1" si="8"/>
        <v>0</v>
      </c>
      <c r="U90" s="452">
        <f t="shared" ca="1" si="56"/>
        <v>0</v>
      </c>
      <c r="V90" s="100">
        <f t="shared" ca="1" si="9"/>
        <v>0</v>
      </c>
      <c r="W90" s="452">
        <f ca="1">IFERROR(__xludf.DUMMYFUNCTION("IMPORTRANGE(""https://docs.google.com/spreadsheets/d/1IYY_tgx_IHuhSq3AJ5eI5OnqOPBNLWSHKh2a30DoXe8/edit?usp=sharing"",""สุราษฎร์ธานี!J515"")"),0)</f>
        <v>0</v>
      </c>
      <c r="X90" s="452">
        <f ca="1">IFERROR(__xludf.DUMMYFUNCTION("IMPORTRANGE(""https://docs.google.com/spreadsheets/d/1IYY_tgx_IHuhSq3AJ5eI5OnqOPBNLWSHKh2a30DoXe8/edit?usp=sharing"",""สุราษฎร์ธานี!J512"")"),0)</f>
        <v>0</v>
      </c>
      <c r="Y90" s="62">
        <f t="shared" ca="1" si="57"/>
        <v>0</v>
      </c>
      <c r="Z90" s="100">
        <f t="shared" ca="1" si="11"/>
        <v>0</v>
      </c>
      <c r="AA90" s="62">
        <f ca="1">IFERROR(__xludf.DUMMYFUNCTION("IMPORTRANGE(""https://docs.google.com/spreadsheets/d/1IYY_tgx_IHuhSq3AJ5eI5OnqOPBNLWSHKh2a30DoXe8/edit?usp=sharing"",""สุราษฎร์ธานี!J515"")"),0)</f>
        <v>0</v>
      </c>
      <c r="AB90" s="62">
        <f ca="1">IFERROR(__xludf.DUMMYFUNCTION("IMPORTRANGE(""https://docs.google.com/spreadsheets/d/1IYY_tgx_IHuhSq3AJ5eI5OnqOPBNLWSHKh2a30DoXe8/edit?usp=sharing"",""สุราษฎร์ธานี!J516"")"),0)</f>
        <v>0</v>
      </c>
      <c r="AC90" s="62">
        <f ca="1">IFERROR(__xludf.DUMMYFUNCTION("IMPORTRANGE(""https://docs.google.com/spreadsheets/d/1IYY_tgx_IHuhSq3AJ5eI5OnqOPBNLWSHKh2a30DoXe8/edit?usp=sharing"",""สุราษฎร์ธานี!J518"")"),0)</f>
        <v>0</v>
      </c>
      <c r="AD90" s="424">
        <f ca="1">IFERROR(__xludf.DUMMYFUNCTION("IMPORTRANGE(""https://docs.google.com/spreadsheets/d/1IYY_tgx_IHuhSq3AJ5eI5OnqOPBNLWSHKh2a30DoXe8/edit?usp=sharing"",""สุราษฎร์ธานี!J519"")"),0)</f>
        <v>0</v>
      </c>
    </row>
    <row r="91" spans="1:30" ht="24" customHeight="1" x14ac:dyDescent="0.5">
      <c r="A91" s="772" t="s">
        <v>106</v>
      </c>
      <c r="B91" s="571"/>
      <c r="C91" s="250">
        <f t="shared" ref="C91:F91" si="58">+C92+C93+C94+C95+C96+C97+C98+C99+C100+C101+C102+C103+C104+C105</f>
        <v>233060</v>
      </c>
      <c r="D91" s="35">
        <f t="shared" si="58"/>
        <v>0</v>
      </c>
      <c r="E91" s="35">
        <f t="shared" si="58"/>
        <v>233060</v>
      </c>
      <c r="F91" s="35">
        <f t="shared" si="58"/>
        <v>0</v>
      </c>
      <c r="G91" s="92">
        <f t="shared" si="1"/>
        <v>0</v>
      </c>
      <c r="H91" s="35">
        <f t="shared" ref="H91:K91" si="59">+H92+H93+H94+H95+H96+H97+H98+H99+H100+H101+H102+H103+H104+H105</f>
        <v>0</v>
      </c>
      <c r="I91" s="35">
        <f t="shared" si="59"/>
        <v>0</v>
      </c>
      <c r="J91" s="35">
        <f t="shared" si="59"/>
        <v>0</v>
      </c>
      <c r="K91" s="35">
        <f t="shared" si="59"/>
        <v>0</v>
      </c>
      <c r="L91" s="92">
        <f t="shared" si="4"/>
        <v>0</v>
      </c>
      <c r="M91" s="35">
        <f>+M92+M93+M94+M95+M96+M97+M98+M99+M100+M101+M102+M103+M104+M105</f>
        <v>0</v>
      </c>
      <c r="N91" s="92">
        <f t="shared" si="5"/>
        <v>0</v>
      </c>
      <c r="O91" s="35">
        <f>+O92+O93+O94+O95+O96+O97+O98+O99+O100+O101+O102+O103+O104+O105</f>
        <v>0</v>
      </c>
      <c r="P91" s="92">
        <f t="shared" si="6"/>
        <v>0</v>
      </c>
      <c r="Q91" s="35">
        <f>+Q92+Q93+Q94+Q95+Q96+Q97+Q98+Q99+Q100+Q101+Q102+Q103+Q104+Q105</f>
        <v>0</v>
      </c>
      <c r="R91" s="92">
        <f t="shared" si="7"/>
        <v>0</v>
      </c>
      <c r="S91" s="35">
        <f>+S92+S93+S94+S95+S96+S97+S98+S99+S100+S101+S102+S103+S104+S105</f>
        <v>0</v>
      </c>
      <c r="T91" s="92">
        <f t="shared" si="8"/>
        <v>0</v>
      </c>
      <c r="U91" s="35">
        <f>+U92+U93+U94+U95+U96+U97+U98+U99+U100+U101+U102+U103+U104+U105</f>
        <v>0</v>
      </c>
      <c r="V91" s="92">
        <f t="shared" si="9"/>
        <v>0</v>
      </c>
      <c r="W91" s="35">
        <f t="shared" ref="W91:Y91" si="60">+W92+W93+W94+W95+W96+W97+W98+W99+W100+W101+W102+W103+W104+W105</f>
        <v>0</v>
      </c>
      <c r="X91" s="35">
        <f t="shared" si="60"/>
        <v>0</v>
      </c>
      <c r="Y91" s="35">
        <f t="shared" si="60"/>
        <v>0</v>
      </c>
      <c r="Z91" s="92">
        <f t="shared" si="11"/>
        <v>0</v>
      </c>
      <c r="AA91" s="35">
        <f t="shared" ref="AA91:AD91" si="61">+AA92+AA93+AA94+AA95+AA96+AA97+AA98+AA99+AA100+AA101+AA102+AA103+AA104+AA105</f>
        <v>0</v>
      </c>
      <c r="AB91" s="35">
        <f t="shared" si="61"/>
        <v>0</v>
      </c>
      <c r="AC91" s="35">
        <f t="shared" si="61"/>
        <v>0</v>
      </c>
      <c r="AD91" s="415">
        <f t="shared" si="61"/>
        <v>0</v>
      </c>
    </row>
    <row r="92" spans="1:30" ht="24" customHeight="1" x14ac:dyDescent="0.5">
      <c r="A92" s="283">
        <v>1</v>
      </c>
      <c r="B92" s="69" t="s">
        <v>107</v>
      </c>
      <c r="C92" s="270">
        <f t="shared" ref="C92:C105" si="62">+D92+E92</f>
        <v>0</v>
      </c>
      <c r="D92" s="48">
        <v>0</v>
      </c>
      <c r="E92" s="48">
        <v>0</v>
      </c>
      <c r="F92" s="98">
        <v>0</v>
      </c>
      <c r="G92" s="98">
        <f t="shared" si="1"/>
        <v>0</v>
      </c>
      <c r="H92" s="398">
        <f t="shared" ref="H92:H105" si="63">+I92+J92</f>
        <v>0</v>
      </c>
      <c r="I92" s="398">
        <v>0</v>
      </c>
      <c r="J92" s="398">
        <v>0</v>
      </c>
      <c r="K92" s="48">
        <v>0</v>
      </c>
      <c r="L92" s="98">
        <f t="shared" si="4"/>
        <v>0</v>
      </c>
      <c r="M92" s="48">
        <v>0</v>
      </c>
      <c r="N92" s="98">
        <f t="shared" si="5"/>
        <v>0</v>
      </c>
      <c r="O92" s="48">
        <v>0</v>
      </c>
      <c r="P92" s="98">
        <f t="shared" si="6"/>
        <v>0</v>
      </c>
      <c r="Q92" s="48">
        <v>0</v>
      </c>
      <c r="R92" s="98">
        <f t="shared" si="7"/>
        <v>0</v>
      </c>
      <c r="S92" s="48">
        <v>0</v>
      </c>
      <c r="T92" s="98">
        <f t="shared" si="8"/>
        <v>0</v>
      </c>
      <c r="U92" s="450">
        <f t="shared" ref="U92:U105" si="64">SUM(W92,X92)</f>
        <v>0</v>
      </c>
      <c r="V92" s="98">
        <f t="shared" si="9"/>
        <v>0</v>
      </c>
      <c r="W92" s="450">
        <v>0</v>
      </c>
      <c r="X92" s="450">
        <v>0</v>
      </c>
      <c r="Y92" s="48">
        <f t="shared" ref="Y92:Y105" si="65">SUM(AA92,AB92)</f>
        <v>0</v>
      </c>
      <c r="Z92" s="98">
        <f t="shared" si="11"/>
        <v>0</v>
      </c>
      <c r="AA92" s="48">
        <v>0</v>
      </c>
      <c r="AB92" s="48">
        <v>0</v>
      </c>
      <c r="AC92" s="48">
        <v>0</v>
      </c>
      <c r="AD92" s="420">
        <v>0</v>
      </c>
    </row>
    <row r="93" spans="1:30" ht="24" customHeight="1" x14ac:dyDescent="0.5">
      <c r="A93" s="284">
        <v>2</v>
      </c>
      <c r="B93" s="71" t="s">
        <v>108</v>
      </c>
      <c r="C93" s="275">
        <f t="shared" si="62"/>
        <v>0</v>
      </c>
      <c r="D93" s="55">
        <v>0</v>
      </c>
      <c r="E93" s="55">
        <v>0</v>
      </c>
      <c r="F93" s="99">
        <v>0</v>
      </c>
      <c r="G93" s="99">
        <f t="shared" si="1"/>
        <v>0</v>
      </c>
      <c r="H93" s="402">
        <f t="shared" si="63"/>
        <v>0</v>
      </c>
      <c r="I93" s="402">
        <v>0</v>
      </c>
      <c r="J93" s="402">
        <v>0</v>
      </c>
      <c r="K93" s="55">
        <v>0</v>
      </c>
      <c r="L93" s="99">
        <f t="shared" si="4"/>
        <v>0</v>
      </c>
      <c r="M93" s="55">
        <v>0</v>
      </c>
      <c r="N93" s="99">
        <f t="shared" si="5"/>
        <v>0</v>
      </c>
      <c r="O93" s="55">
        <v>0</v>
      </c>
      <c r="P93" s="99">
        <f t="shared" si="6"/>
        <v>0</v>
      </c>
      <c r="Q93" s="55">
        <v>0</v>
      </c>
      <c r="R93" s="99">
        <f t="shared" si="7"/>
        <v>0</v>
      </c>
      <c r="S93" s="55">
        <v>0</v>
      </c>
      <c r="T93" s="99">
        <f t="shared" si="8"/>
        <v>0</v>
      </c>
      <c r="U93" s="451">
        <f t="shared" si="64"/>
        <v>0</v>
      </c>
      <c r="V93" s="99">
        <f t="shared" si="9"/>
        <v>0</v>
      </c>
      <c r="W93" s="451">
        <v>0</v>
      </c>
      <c r="X93" s="451">
        <v>0</v>
      </c>
      <c r="Y93" s="55">
        <f t="shared" si="65"/>
        <v>0</v>
      </c>
      <c r="Z93" s="99">
        <f t="shared" si="11"/>
        <v>0</v>
      </c>
      <c r="AA93" s="55">
        <v>0</v>
      </c>
      <c r="AB93" s="55">
        <v>0</v>
      </c>
      <c r="AC93" s="55">
        <v>0</v>
      </c>
      <c r="AD93" s="422">
        <v>0</v>
      </c>
    </row>
    <row r="94" spans="1:30" ht="24" customHeight="1" x14ac:dyDescent="0.5">
      <c r="A94" s="284">
        <v>3</v>
      </c>
      <c r="B94" s="71" t="s">
        <v>109</v>
      </c>
      <c r="C94" s="275">
        <f t="shared" si="62"/>
        <v>0</v>
      </c>
      <c r="D94" s="55">
        <v>0</v>
      </c>
      <c r="E94" s="55">
        <v>0</v>
      </c>
      <c r="F94" s="99">
        <v>0</v>
      </c>
      <c r="G94" s="99">
        <f t="shared" si="1"/>
        <v>0</v>
      </c>
      <c r="H94" s="402">
        <f t="shared" si="63"/>
        <v>0</v>
      </c>
      <c r="I94" s="402">
        <v>0</v>
      </c>
      <c r="J94" s="402">
        <v>0</v>
      </c>
      <c r="K94" s="55">
        <v>0</v>
      </c>
      <c r="L94" s="99">
        <f t="shared" si="4"/>
        <v>0</v>
      </c>
      <c r="M94" s="55">
        <v>0</v>
      </c>
      <c r="N94" s="99">
        <f t="shared" si="5"/>
        <v>0</v>
      </c>
      <c r="O94" s="55">
        <v>0</v>
      </c>
      <c r="P94" s="99">
        <f t="shared" si="6"/>
        <v>0</v>
      </c>
      <c r="Q94" s="55">
        <v>0</v>
      </c>
      <c r="R94" s="99">
        <f t="shared" si="7"/>
        <v>0</v>
      </c>
      <c r="S94" s="55">
        <v>0</v>
      </c>
      <c r="T94" s="99">
        <f t="shared" si="8"/>
        <v>0</v>
      </c>
      <c r="U94" s="451">
        <f t="shared" si="64"/>
        <v>0</v>
      </c>
      <c r="V94" s="99">
        <f t="shared" si="9"/>
        <v>0</v>
      </c>
      <c r="W94" s="451">
        <v>0</v>
      </c>
      <c r="X94" s="451">
        <v>0</v>
      </c>
      <c r="Y94" s="55">
        <f t="shared" si="65"/>
        <v>0</v>
      </c>
      <c r="Z94" s="99">
        <f t="shared" si="11"/>
        <v>0</v>
      </c>
      <c r="AA94" s="55">
        <v>0</v>
      </c>
      <c r="AB94" s="55">
        <v>0</v>
      </c>
      <c r="AC94" s="55">
        <v>0</v>
      </c>
      <c r="AD94" s="422">
        <v>0</v>
      </c>
    </row>
    <row r="95" spans="1:30" ht="24" customHeight="1" x14ac:dyDescent="0.5">
      <c r="A95" s="284">
        <f t="shared" ref="A95:A105" si="66">+A94+1</f>
        <v>4</v>
      </c>
      <c r="B95" s="71" t="s">
        <v>110</v>
      </c>
      <c r="C95" s="275">
        <f t="shared" si="62"/>
        <v>0</v>
      </c>
      <c r="D95" s="55">
        <v>0</v>
      </c>
      <c r="E95" s="55">
        <v>0</v>
      </c>
      <c r="F95" s="99">
        <v>0</v>
      </c>
      <c r="G95" s="99">
        <f t="shared" si="1"/>
        <v>0</v>
      </c>
      <c r="H95" s="402">
        <f t="shared" si="63"/>
        <v>0</v>
      </c>
      <c r="I95" s="402">
        <v>0</v>
      </c>
      <c r="J95" s="402">
        <v>0</v>
      </c>
      <c r="K95" s="55">
        <v>0</v>
      </c>
      <c r="L95" s="99">
        <f t="shared" si="4"/>
        <v>0</v>
      </c>
      <c r="M95" s="55">
        <v>0</v>
      </c>
      <c r="N95" s="99">
        <f t="shared" si="5"/>
        <v>0</v>
      </c>
      <c r="O95" s="55">
        <v>0</v>
      </c>
      <c r="P95" s="99">
        <f t="shared" si="6"/>
        <v>0</v>
      </c>
      <c r="Q95" s="55">
        <v>0</v>
      </c>
      <c r="R95" s="99">
        <f t="shared" si="7"/>
        <v>0</v>
      </c>
      <c r="S95" s="55">
        <v>0</v>
      </c>
      <c r="T95" s="99">
        <f t="shared" si="8"/>
        <v>0</v>
      </c>
      <c r="U95" s="451">
        <f t="shared" si="64"/>
        <v>0</v>
      </c>
      <c r="V95" s="99">
        <f t="shared" si="9"/>
        <v>0</v>
      </c>
      <c r="W95" s="451">
        <v>0</v>
      </c>
      <c r="X95" s="451">
        <v>0</v>
      </c>
      <c r="Y95" s="55">
        <f t="shared" si="65"/>
        <v>0</v>
      </c>
      <c r="Z95" s="99">
        <f t="shared" si="11"/>
        <v>0</v>
      </c>
      <c r="AA95" s="55">
        <v>0</v>
      </c>
      <c r="AB95" s="55">
        <v>0</v>
      </c>
      <c r="AC95" s="55">
        <v>0</v>
      </c>
      <c r="AD95" s="422">
        <v>0</v>
      </c>
    </row>
    <row r="96" spans="1:30" ht="24" customHeight="1" x14ac:dyDescent="0.5">
      <c r="A96" s="284">
        <f t="shared" si="66"/>
        <v>5</v>
      </c>
      <c r="B96" s="71" t="s">
        <v>111</v>
      </c>
      <c r="C96" s="275">
        <f t="shared" si="62"/>
        <v>0</v>
      </c>
      <c r="D96" s="55">
        <v>0</v>
      </c>
      <c r="E96" s="55">
        <v>0</v>
      </c>
      <c r="F96" s="99">
        <v>0</v>
      </c>
      <c r="G96" s="99">
        <f t="shared" si="1"/>
        <v>0</v>
      </c>
      <c r="H96" s="402">
        <f t="shared" si="63"/>
        <v>0</v>
      </c>
      <c r="I96" s="402">
        <v>0</v>
      </c>
      <c r="J96" s="402">
        <v>0</v>
      </c>
      <c r="K96" s="55">
        <v>0</v>
      </c>
      <c r="L96" s="99">
        <f t="shared" si="4"/>
        <v>0</v>
      </c>
      <c r="M96" s="55">
        <v>0</v>
      </c>
      <c r="N96" s="99">
        <f t="shared" si="5"/>
        <v>0</v>
      </c>
      <c r="O96" s="55">
        <v>0</v>
      </c>
      <c r="P96" s="99">
        <f t="shared" si="6"/>
        <v>0</v>
      </c>
      <c r="Q96" s="55">
        <v>0</v>
      </c>
      <c r="R96" s="99">
        <f t="shared" si="7"/>
        <v>0</v>
      </c>
      <c r="S96" s="55">
        <v>0</v>
      </c>
      <c r="T96" s="99">
        <f t="shared" si="8"/>
        <v>0</v>
      </c>
      <c r="U96" s="451">
        <f t="shared" si="64"/>
        <v>0</v>
      </c>
      <c r="V96" s="99">
        <f t="shared" si="9"/>
        <v>0</v>
      </c>
      <c r="W96" s="451">
        <v>0</v>
      </c>
      <c r="X96" s="451">
        <v>0</v>
      </c>
      <c r="Y96" s="55">
        <f t="shared" si="65"/>
        <v>0</v>
      </c>
      <c r="Z96" s="99">
        <f t="shared" si="11"/>
        <v>0</v>
      </c>
      <c r="AA96" s="55">
        <v>0</v>
      </c>
      <c r="AB96" s="55">
        <v>0</v>
      </c>
      <c r="AC96" s="55">
        <v>0</v>
      </c>
      <c r="AD96" s="422">
        <v>0</v>
      </c>
    </row>
    <row r="97" spans="1:30" ht="24" customHeight="1" x14ac:dyDescent="0.5">
      <c r="A97" s="284">
        <f t="shared" si="66"/>
        <v>6</v>
      </c>
      <c r="B97" s="71" t="s">
        <v>112</v>
      </c>
      <c r="C97" s="275">
        <f t="shared" si="62"/>
        <v>233060</v>
      </c>
      <c r="D97" s="55">
        <v>0</v>
      </c>
      <c r="E97" s="55">
        <v>233060</v>
      </c>
      <c r="F97" s="99">
        <v>0</v>
      </c>
      <c r="G97" s="99">
        <f t="shared" si="1"/>
        <v>0</v>
      </c>
      <c r="H97" s="402">
        <f t="shared" si="63"/>
        <v>0</v>
      </c>
      <c r="I97" s="402">
        <v>0</v>
      </c>
      <c r="J97" s="402">
        <v>0</v>
      </c>
      <c r="K97" s="55">
        <v>0</v>
      </c>
      <c r="L97" s="99">
        <f t="shared" si="4"/>
        <v>0</v>
      </c>
      <c r="M97" s="55">
        <v>0</v>
      </c>
      <c r="N97" s="99">
        <f t="shared" si="5"/>
        <v>0</v>
      </c>
      <c r="O97" s="55">
        <v>0</v>
      </c>
      <c r="P97" s="99">
        <f t="shared" si="6"/>
        <v>0</v>
      </c>
      <c r="Q97" s="55">
        <v>0</v>
      </c>
      <c r="R97" s="99">
        <f t="shared" si="7"/>
        <v>0</v>
      </c>
      <c r="S97" s="55">
        <v>0</v>
      </c>
      <c r="T97" s="99">
        <f t="shared" si="8"/>
        <v>0</v>
      </c>
      <c r="U97" s="451">
        <f t="shared" si="64"/>
        <v>0</v>
      </c>
      <c r="V97" s="99">
        <f t="shared" si="9"/>
        <v>0</v>
      </c>
      <c r="W97" s="451">
        <v>0</v>
      </c>
      <c r="X97" s="451">
        <v>0</v>
      </c>
      <c r="Y97" s="55">
        <f t="shared" si="65"/>
        <v>0</v>
      </c>
      <c r="Z97" s="99">
        <f t="shared" si="11"/>
        <v>0</v>
      </c>
      <c r="AA97" s="55">
        <v>0</v>
      </c>
      <c r="AB97" s="55">
        <v>0</v>
      </c>
      <c r="AC97" s="55">
        <v>0</v>
      </c>
      <c r="AD97" s="422">
        <v>0</v>
      </c>
    </row>
    <row r="98" spans="1:30" ht="24" customHeight="1" x14ac:dyDescent="0.5">
      <c r="A98" s="284">
        <f t="shared" si="66"/>
        <v>7</v>
      </c>
      <c r="B98" s="71" t="s">
        <v>113</v>
      </c>
      <c r="C98" s="275">
        <f t="shared" si="62"/>
        <v>0</v>
      </c>
      <c r="D98" s="55">
        <v>0</v>
      </c>
      <c r="E98" s="55">
        <v>0</v>
      </c>
      <c r="F98" s="99">
        <v>0</v>
      </c>
      <c r="G98" s="99">
        <f t="shared" si="1"/>
        <v>0</v>
      </c>
      <c r="H98" s="402">
        <f t="shared" si="63"/>
        <v>0</v>
      </c>
      <c r="I98" s="402">
        <v>0</v>
      </c>
      <c r="J98" s="402">
        <v>0</v>
      </c>
      <c r="K98" s="55">
        <v>0</v>
      </c>
      <c r="L98" s="99">
        <f t="shared" si="4"/>
        <v>0</v>
      </c>
      <c r="M98" s="55">
        <v>0</v>
      </c>
      <c r="N98" s="99">
        <f t="shared" si="5"/>
        <v>0</v>
      </c>
      <c r="O98" s="55">
        <v>0</v>
      </c>
      <c r="P98" s="99">
        <f t="shared" si="6"/>
        <v>0</v>
      </c>
      <c r="Q98" s="55">
        <v>0</v>
      </c>
      <c r="R98" s="99">
        <f t="shared" si="7"/>
        <v>0</v>
      </c>
      <c r="S98" s="55">
        <v>0</v>
      </c>
      <c r="T98" s="99">
        <f t="shared" si="8"/>
        <v>0</v>
      </c>
      <c r="U98" s="451">
        <f t="shared" si="64"/>
        <v>0</v>
      </c>
      <c r="V98" s="99">
        <f t="shared" si="9"/>
        <v>0</v>
      </c>
      <c r="W98" s="451">
        <v>0</v>
      </c>
      <c r="X98" s="451">
        <v>0</v>
      </c>
      <c r="Y98" s="55">
        <f t="shared" si="65"/>
        <v>0</v>
      </c>
      <c r="Z98" s="99">
        <f t="shared" si="11"/>
        <v>0</v>
      </c>
      <c r="AA98" s="55">
        <v>0</v>
      </c>
      <c r="AB98" s="55">
        <v>0</v>
      </c>
      <c r="AC98" s="55">
        <v>0</v>
      </c>
      <c r="AD98" s="422">
        <v>0</v>
      </c>
    </row>
    <row r="99" spans="1:30" ht="24" customHeight="1" x14ac:dyDescent="0.5">
      <c r="A99" s="284">
        <f t="shared" si="66"/>
        <v>8</v>
      </c>
      <c r="B99" s="71" t="s">
        <v>114</v>
      </c>
      <c r="C99" s="275">
        <f t="shared" si="62"/>
        <v>0</v>
      </c>
      <c r="D99" s="55">
        <v>0</v>
      </c>
      <c r="E99" s="55">
        <v>0</v>
      </c>
      <c r="F99" s="99">
        <v>0</v>
      </c>
      <c r="G99" s="99">
        <f t="shared" si="1"/>
        <v>0</v>
      </c>
      <c r="H99" s="402">
        <f t="shared" si="63"/>
        <v>0</v>
      </c>
      <c r="I99" s="402">
        <v>0</v>
      </c>
      <c r="J99" s="402">
        <v>0</v>
      </c>
      <c r="K99" s="55">
        <v>0</v>
      </c>
      <c r="L99" s="99">
        <f t="shared" si="4"/>
        <v>0</v>
      </c>
      <c r="M99" s="55">
        <v>0</v>
      </c>
      <c r="N99" s="99">
        <f t="shared" si="5"/>
        <v>0</v>
      </c>
      <c r="O99" s="55">
        <v>0</v>
      </c>
      <c r="P99" s="99">
        <f t="shared" si="6"/>
        <v>0</v>
      </c>
      <c r="Q99" s="55">
        <v>0</v>
      </c>
      <c r="R99" s="99">
        <f t="shared" si="7"/>
        <v>0</v>
      </c>
      <c r="S99" s="55">
        <v>0</v>
      </c>
      <c r="T99" s="99">
        <f t="shared" si="8"/>
        <v>0</v>
      </c>
      <c r="U99" s="451">
        <f t="shared" si="64"/>
        <v>0</v>
      </c>
      <c r="V99" s="99">
        <f t="shared" si="9"/>
        <v>0</v>
      </c>
      <c r="W99" s="451">
        <v>0</v>
      </c>
      <c r="X99" s="451">
        <v>0</v>
      </c>
      <c r="Y99" s="55">
        <f t="shared" si="65"/>
        <v>0</v>
      </c>
      <c r="Z99" s="99">
        <f t="shared" si="11"/>
        <v>0</v>
      </c>
      <c r="AA99" s="55">
        <v>0</v>
      </c>
      <c r="AB99" s="55">
        <v>0</v>
      </c>
      <c r="AC99" s="55">
        <v>0</v>
      </c>
      <c r="AD99" s="422">
        <v>0</v>
      </c>
    </row>
    <row r="100" spans="1:30" ht="24" customHeight="1" x14ac:dyDescent="0.5">
      <c r="A100" s="284">
        <f t="shared" si="66"/>
        <v>9</v>
      </c>
      <c r="B100" s="71" t="s">
        <v>115</v>
      </c>
      <c r="C100" s="275">
        <f t="shared" si="62"/>
        <v>0</v>
      </c>
      <c r="D100" s="55">
        <v>0</v>
      </c>
      <c r="E100" s="55">
        <v>0</v>
      </c>
      <c r="F100" s="99">
        <v>0</v>
      </c>
      <c r="G100" s="99">
        <f t="shared" si="1"/>
        <v>0</v>
      </c>
      <c r="H100" s="402">
        <f t="shared" si="63"/>
        <v>0</v>
      </c>
      <c r="I100" s="402">
        <v>0</v>
      </c>
      <c r="J100" s="402">
        <v>0</v>
      </c>
      <c r="K100" s="55">
        <v>0</v>
      </c>
      <c r="L100" s="99">
        <f t="shared" si="4"/>
        <v>0</v>
      </c>
      <c r="M100" s="55">
        <v>0</v>
      </c>
      <c r="N100" s="99">
        <f t="shared" si="5"/>
        <v>0</v>
      </c>
      <c r="O100" s="55">
        <v>0</v>
      </c>
      <c r="P100" s="99">
        <f t="shared" si="6"/>
        <v>0</v>
      </c>
      <c r="Q100" s="55">
        <v>0</v>
      </c>
      <c r="R100" s="99">
        <f t="shared" si="7"/>
        <v>0</v>
      </c>
      <c r="S100" s="55">
        <v>0</v>
      </c>
      <c r="T100" s="99">
        <f t="shared" si="8"/>
        <v>0</v>
      </c>
      <c r="U100" s="451">
        <f t="shared" si="64"/>
        <v>0</v>
      </c>
      <c r="V100" s="99">
        <f t="shared" si="9"/>
        <v>0</v>
      </c>
      <c r="W100" s="451">
        <v>0</v>
      </c>
      <c r="X100" s="451">
        <v>0</v>
      </c>
      <c r="Y100" s="55">
        <f t="shared" si="65"/>
        <v>0</v>
      </c>
      <c r="Z100" s="99">
        <f t="shared" si="11"/>
        <v>0</v>
      </c>
      <c r="AA100" s="55">
        <v>0</v>
      </c>
      <c r="AB100" s="55">
        <v>0</v>
      </c>
      <c r="AC100" s="55">
        <v>0</v>
      </c>
      <c r="AD100" s="422">
        <v>0</v>
      </c>
    </row>
    <row r="101" spans="1:30" ht="24" customHeight="1" x14ac:dyDescent="0.5">
      <c r="A101" s="284">
        <f t="shared" si="66"/>
        <v>10</v>
      </c>
      <c r="B101" s="71" t="s">
        <v>116</v>
      </c>
      <c r="C101" s="275">
        <f t="shared" si="62"/>
        <v>0</v>
      </c>
      <c r="D101" s="55">
        <v>0</v>
      </c>
      <c r="E101" s="55">
        <v>0</v>
      </c>
      <c r="F101" s="99">
        <v>0</v>
      </c>
      <c r="G101" s="99">
        <f t="shared" si="1"/>
        <v>0</v>
      </c>
      <c r="H101" s="402">
        <f t="shared" si="63"/>
        <v>0</v>
      </c>
      <c r="I101" s="402">
        <v>0</v>
      </c>
      <c r="J101" s="402">
        <v>0</v>
      </c>
      <c r="K101" s="55">
        <v>0</v>
      </c>
      <c r="L101" s="99">
        <f t="shared" si="4"/>
        <v>0</v>
      </c>
      <c r="M101" s="55">
        <v>0</v>
      </c>
      <c r="N101" s="99">
        <f t="shared" si="5"/>
        <v>0</v>
      </c>
      <c r="O101" s="55">
        <v>0</v>
      </c>
      <c r="P101" s="99">
        <f t="shared" si="6"/>
        <v>0</v>
      </c>
      <c r="Q101" s="55">
        <v>0</v>
      </c>
      <c r="R101" s="99">
        <f t="shared" si="7"/>
        <v>0</v>
      </c>
      <c r="S101" s="55">
        <v>0</v>
      </c>
      <c r="T101" s="99">
        <f t="shared" si="8"/>
        <v>0</v>
      </c>
      <c r="U101" s="451">
        <f t="shared" si="64"/>
        <v>0</v>
      </c>
      <c r="V101" s="99">
        <f t="shared" si="9"/>
        <v>0</v>
      </c>
      <c r="W101" s="451">
        <v>0</v>
      </c>
      <c r="X101" s="451">
        <v>0</v>
      </c>
      <c r="Y101" s="55">
        <f t="shared" si="65"/>
        <v>0</v>
      </c>
      <c r="Z101" s="99">
        <f t="shared" si="11"/>
        <v>0</v>
      </c>
      <c r="AA101" s="55">
        <v>0</v>
      </c>
      <c r="AB101" s="55">
        <v>0</v>
      </c>
      <c r="AC101" s="55">
        <v>0</v>
      </c>
      <c r="AD101" s="422">
        <v>0</v>
      </c>
    </row>
    <row r="102" spans="1:30" ht="24" customHeight="1" x14ac:dyDescent="0.5">
      <c r="A102" s="284">
        <f t="shared" si="66"/>
        <v>11</v>
      </c>
      <c r="B102" s="71" t="s">
        <v>117</v>
      </c>
      <c r="C102" s="275">
        <f t="shared" si="62"/>
        <v>0</v>
      </c>
      <c r="D102" s="55">
        <v>0</v>
      </c>
      <c r="E102" s="55">
        <v>0</v>
      </c>
      <c r="F102" s="99">
        <v>0</v>
      </c>
      <c r="G102" s="99">
        <f t="shared" si="1"/>
        <v>0</v>
      </c>
      <c r="H102" s="402">
        <f t="shared" si="63"/>
        <v>0</v>
      </c>
      <c r="I102" s="402">
        <v>0</v>
      </c>
      <c r="J102" s="402">
        <v>0</v>
      </c>
      <c r="K102" s="55">
        <v>0</v>
      </c>
      <c r="L102" s="99">
        <f t="shared" si="4"/>
        <v>0</v>
      </c>
      <c r="M102" s="55">
        <v>0</v>
      </c>
      <c r="N102" s="99">
        <f t="shared" si="5"/>
        <v>0</v>
      </c>
      <c r="O102" s="55">
        <v>0</v>
      </c>
      <c r="P102" s="99">
        <f t="shared" si="6"/>
        <v>0</v>
      </c>
      <c r="Q102" s="55">
        <v>0</v>
      </c>
      <c r="R102" s="99">
        <f t="shared" si="7"/>
        <v>0</v>
      </c>
      <c r="S102" s="55">
        <v>0</v>
      </c>
      <c r="T102" s="99">
        <f t="shared" si="8"/>
        <v>0</v>
      </c>
      <c r="U102" s="451">
        <f t="shared" si="64"/>
        <v>0</v>
      </c>
      <c r="V102" s="99">
        <f t="shared" si="9"/>
        <v>0</v>
      </c>
      <c r="W102" s="451">
        <v>0</v>
      </c>
      <c r="X102" s="451">
        <v>0</v>
      </c>
      <c r="Y102" s="55">
        <f t="shared" si="65"/>
        <v>0</v>
      </c>
      <c r="Z102" s="99">
        <f t="shared" si="11"/>
        <v>0</v>
      </c>
      <c r="AA102" s="55">
        <v>0</v>
      </c>
      <c r="AB102" s="55">
        <v>0</v>
      </c>
      <c r="AC102" s="55">
        <v>0</v>
      </c>
      <c r="AD102" s="422">
        <v>0</v>
      </c>
    </row>
    <row r="103" spans="1:30" ht="24" customHeight="1" x14ac:dyDescent="0.5">
      <c r="A103" s="284">
        <f t="shared" si="66"/>
        <v>12</v>
      </c>
      <c r="B103" s="71" t="s">
        <v>118</v>
      </c>
      <c r="C103" s="275">
        <f t="shared" si="62"/>
        <v>0</v>
      </c>
      <c r="D103" s="55">
        <v>0</v>
      </c>
      <c r="E103" s="55">
        <v>0</v>
      </c>
      <c r="F103" s="99">
        <v>0</v>
      </c>
      <c r="G103" s="99">
        <f t="shared" si="1"/>
        <v>0</v>
      </c>
      <c r="H103" s="402">
        <f t="shared" si="63"/>
        <v>0</v>
      </c>
      <c r="I103" s="402">
        <v>0</v>
      </c>
      <c r="J103" s="402">
        <v>0</v>
      </c>
      <c r="K103" s="55">
        <v>0</v>
      </c>
      <c r="L103" s="99">
        <f t="shared" si="4"/>
        <v>0</v>
      </c>
      <c r="M103" s="55">
        <v>0</v>
      </c>
      <c r="N103" s="99">
        <f t="shared" si="5"/>
        <v>0</v>
      </c>
      <c r="O103" s="55">
        <v>0</v>
      </c>
      <c r="P103" s="99">
        <f t="shared" si="6"/>
        <v>0</v>
      </c>
      <c r="Q103" s="55">
        <v>0</v>
      </c>
      <c r="R103" s="99">
        <f t="shared" si="7"/>
        <v>0</v>
      </c>
      <c r="S103" s="55">
        <v>0</v>
      </c>
      <c r="T103" s="99">
        <f t="shared" si="8"/>
        <v>0</v>
      </c>
      <c r="U103" s="451">
        <f t="shared" si="64"/>
        <v>0</v>
      </c>
      <c r="V103" s="99">
        <f t="shared" si="9"/>
        <v>0</v>
      </c>
      <c r="W103" s="451">
        <v>0</v>
      </c>
      <c r="X103" s="451">
        <v>0</v>
      </c>
      <c r="Y103" s="55">
        <f t="shared" si="65"/>
        <v>0</v>
      </c>
      <c r="Z103" s="99">
        <f t="shared" si="11"/>
        <v>0</v>
      </c>
      <c r="AA103" s="55">
        <v>0</v>
      </c>
      <c r="AB103" s="55">
        <v>0</v>
      </c>
      <c r="AC103" s="55">
        <v>0</v>
      </c>
      <c r="AD103" s="422">
        <v>0</v>
      </c>
    </row>
    <row r="104" spans="1:30" ht="24" customHeight="1" x14ac:dyDescent="0.5">
      <c r="A104" s="284">
        <f t="shared" si="66"/>
        <v>13</v>
      </c>
      <c r="B104" s="71" t="s">
        <v>119</v>
      </c>
      <c r="C104" s="275">
        <f t="shared" si="62"/>
        <v>0</v>
      </c>
      <c r="D104" s="55">
        <v>0</v>
      </c>
      <c r="E104" s="55">
        <v>0</v>
      </c>
      <c r="F104" s="99">
        <v>0</v>
      </c>
      <c r="G104" s="99">
        <f t="shared" si="1"/>
        <v>0</v>
      </c>
      <c r="H104" s="402">
        <f t="shared" si="63"/>
        <v>0</v>
      </c>
      <c r="I104" s="402">
        <v>0</v>
      </c>
      <c r="J104" s="402">
        <v>0</v>
      </c>
      <c r="K104" s="55">
        <v>0</v>
      </c>
      <c r="L104" s="99">
        <f t="shared" si="4"/>
        <v>0</v>
      </c>
      <c r="M104" s="55">
        <v>0</v>
      </c>
      <c r="N104" s="99">
        <f t="shared" si="5"/>
        <v>0</v>
      </c>
      <c r="O104" s="55">
        <v>0</v>
      </c>
      <c r="P104" s="99">
        <f t="shared" si="6"/>
        <v>0</v>
      </c>
      <c r="Q104" s="55">
        <v>0</v>
      </c>
      <c r="R104" s="99">
        <f t="shared" si="7"/>
        <v>0</v>
      </c>
      <c r="S104" s="55">
        <v>0</v>
      </c>
      <c r="T104" s="99">
        <f t="shared" si="8"/>
        <v>0</v>
      </c>
      <c r="U104" s="451">
        <f t="shared" si="64"/>
        <v>0</v>
      </c>
      <c r="V104" s="99">
        <f t="shared" si="9"/>
        <v>0</v>
      </c>
      <c r="W104" s="451">
        <v>0</v>
      </c>
      <c r="X104" s="451">
        <v>0</v>
      </c>
      <c r="Y104" s="55">
        <f t="shared" si="65"/>
        <v>0</v>
      </c>
      <c r="Z104" s="99">
        <f t="shared" si="11"/>
        <v>0</v>
      </c>
      <c r="AA104" s="55">
        <v>0</v>
      </c>
      <c r="AB104" s="55">
        <v>0</v>
      </c>
      <c r="AC104" s="55">
        <v>0</v>
      </c>
      <c r="AD104" s="422">
        <v>0</v>
      </c>
    </row>
    <row r="105" spans="1:30" ht="24" customHeight="1" x14ac:dyDescent="0.5">
      <c r="A105" s="285">
        <f t="shared" si="66"/>
        <v>14</v>
      </c>
      <c r="B105" s="73" t="s">
        <v>120</v>
      </c>
      <c r="C105" s="280">
        <f t="shared" si="62"/>
        <v>0</v>
      </c>
      <c r="D105" s="62">
        <v>0</v>
      </c>
      <c r="E105" s="62">
        <v>0</v>
      </c>
      <c r="F105" s="100">
        <v>0</v>
      </c>
      <c r="G105" s="100">
        <f t="shared" si="1"/>
        <v>0</v>
      </c>
      <c r="H105" s="406">
        <f t="shared" si="63"/>
        <v>0</v>
      </c>
      <c r="I105" s="406">
        <v>0</v>
      </c>
      <c r="J105" s="406">
        <v>0</v>
      </c>
      <c r="K105" s="62">
        <v>0</v>
      </c>
      <c r="L105" s="100">
        <f t="shared" si="4"/>
        <v>0</v>
      </c>
      <c r="M105" s="62">
        <v>0</v>
      </c>
      <c r="N105" s="100">
        <f t="shared" si="5"/>
        <v>0</v>
      </c>
      <c r="O105" s="62">
        <v>0</v>
      </c>
      <c r="P105" s="100">
        <f t="shared" si="6"/>
        <v>0</v>
      </c>
      <c r="Q105" s="62">
        <v>0</v>
      </c>
      <c r="R105" s="100">
        <f t="shared" si="7"/>
        <v>0</v>
      </c>
      <c r="S105" s="62">
        <v>0</v>
      </c>
      <c r="T105" s="100">
        <f t="shared" si="8"/>
        <v>0</v>
      </c>
      <c r="U105" s="452">
        <f t="shared" si="64"/>
        <v>0</v>
      </c>
      <c r="V105" s="100">
        <f t="shared" si="9"/>
        <v>0</v>
      </c>
      <c r="W105" s="452">
        <v>0</v>
      </c>
      <c r="X105" s="452">
        <v>0</v>
      </c>
      <c r="Y105" s="62">
        <f t="shared" si="65"/>
        <v>0</v>
      </c>
      <c r="Z105" s="100">
        <f t="shared" si="11"/>
        <v>0</v>
      </c>
      <c r="AA105" s="62">
        <v>0</v>
      </c>
      <c r="AB105" s="62">
        <v>0</v>
      </c>
      <c r="AC105" s="62">
        <v>0</v>
      </c>
      <c r="AD105" s="424">
        <v>0</v>
      </c>
    </row>
    <row r="106" spans="1:30" ht="24" customHeight="1" x14ac:dyDescent="0.5">
      <c r="A106" s="772" t="s">
        <v>121</v>
      </c>
      <c r="B106" s="571"/>
      <c r="C106" s="250">
        <f t="shared" ref="C106:F106" si="67">+C107+C108+C109+C110+C111+C112+C113+C114</f>
        <v>0</v>
      </c>
      <c r="D106" s="35">
        <f t="shared" si="67"/>
        <v>0</v>
      </c>
      <c r="E106" s="35">
        <f t="shared" si="67"/>
        <v>0</v>
      </c>
      <c r="F106" s="35">
        <f t="shared" si="67"/>
        <v>0</v>
      </c>
      <c r="G106" s="92">
        <f t="shared" si="1"/>
        <v>0</v>
      </c>
      <c r="H106" s="35">
        <f>+H107+H108+H109+H110+H111+H112+H113+H114</f>
        <v>0</v>
      </c>
      <c r="I106" s="35">
        <v>0</v>
      </c>
      <c r="J106" s="35">
        <f t="shared" ref="J106:K106" si="68">+J107+J108+J109+J110+J111+J112+J113+J114</f>
        <v>0</v>
      </c>
      <c r="K106" s="35">
        <f t="shared" si="68"/>
        <v>0</v>
      </c>
      <c r="L106" s="92">
        <f t="shared" si="4"/>
        <v>0</v>
      </c>
      <c r="M106" s="35">
        <f>+M107+M108+M109+M110+M111+M112+M113+M114</f>
        <v>0</v>
      </c>
      <c r="N106" s="92">
        <f t="shared" si="5"/>
        <v>0</v>
      </c>
      <c r="O106" s="35">
        <f>+O107+O108+O109+O110+O111+O112+O113+O114</f>
        <v>0</v>
      </c>
      <c r="P106" s="92">
        <f t="shared" si="6"/>
        <v>0</v>
      </c>
      <c r="Q106" s="35">
        <f>+Q107+Q108+Q109+Q110+Q111+Q112+Q113+Q114</f>
        <v>0</v>
      </c>
      <c r="R106" s="92">
        <f t="shared" si="7"/>
        <v>0</v>
      </c>
      <c r="S106" s="35">
        <f>+S107+S108+S109+S110+S111+S112+S113+S114</f>
        <v>0</v>
      </c>
      <c r="T106" s="92">
        <f t="shared" si="8"/>
        <v>0</v>
      </c>
      <c r="U106" s="35">
        <f>+U107+U108+U109+U110+U111+U112+U113+U114</f>
        <v>0</v>
      </c>
      <c r="V106" s="92">
        <f t="shared" si="9"/>
        <v>0</v>
      </c>
      <c r="W106" s="35">
        <f t="shared" ref="W106:Y106" si="69">+W107+W108+W109+W110+W111+W112+W113+W114</f>
        <v>0</v>
      </c>
      <c r="X106" s="35">
        <f t="shared" si="69"/>
        <v>0</v>
      </c>
      <c r="Y106" s="35">
        <f t="shared" si="69"/>
        <v>0</v>
      </c>
      <c r="Z106" s="92">
        <f t="shared" si="11"/>
        <v>0</v>
      </c>
      <c r="AA106" s="35">
        <f t="shared" ref="AA106:AD106" si="70">+AA107+AA108+AA109+AA110+AA111+AA112+AA113+AA114</f>
        <v>0</v>
      </c>
      <c r="AB106" s="35">
        <f t="shared" si="70"/>
        <v>0</v>
      </c>
      <c r="AC106" s="35">
        <f t="shared" si="70"/>
        <v>0</v>
      </c>
      <c r="AD106" s="415">
        <f t="shared" si="70"/>
        <v>0</v>
      </c>
    </row>
    <row r="107" spans="1:30" ht="24" customHeight="1" x14ac:dyDescent="0.5">
      <c r="A107" s="283">
        <v>1</v>
      </c>
      <c r="B107" s="69" t="s">
        <v>122</v>
      </c>
      <c r="C107" s="270">
        <f t="shared" ref="C107:C114" si="71">+D107+E107</f>
        <v>0</v>
      </c>
      <c r="D107" s="48">
        <v>0</v>
      </c>
      <c r="E107" s="48">
        <v>0</v>
      </c>
      <c r="F107" s="98">
        <v>0</v>
      </c>
      <c r="G107" s="98">
        <f t="shared" si="1"/>
        <v>0</v>
      </c>
      <c r="H107" s="398">
        <f t="shared" ref="H107:H114" si="72">+I107+J107</f>
        <v>0</v>
      </c>
      <c r="I107" s="398">
        <v>0</v>
      </c>
      <c r="J107" s="48">
        <v>0</v>
      </c>
      <c r="K107" s="48">
        <v>0</v>
      </c>
      <c r="L107" s="98">
        <f t="shared" si="4"/>
        <v>0</v>
      </c>
      <c r="M107" s="48">
        <v>0</v>
      </c>
      <c r="N107" s="98">
        <f t="shared" si="5"/>
        <v>0</v>
      </c>
      <c r="O107" s="48">
        <v>0</v>
      </c>
      <c r="P107" s="98">
        <f t="shared" si="6"/>
        <v>0</v>
      </c>
      <c r="Q107" s="48">
        <v>0</v>
      </c>
      <c r="R107" s="98">
        <f t="shared" si="7"/>
        <v>0</v>
      </c>
      <c r="S107" s="48">
        <v>0</v>
      </c>
      <c r="T107" s="98">
        <f t="shared" si="8"/>
        <v>0</v>
      </c>
      <c r="U107" s="450">
        <f t="shared" ref="U107:U114" si="73">SUM(W107,X107)</f>
        <v>0</v>
      </c>
      <c r="V107" s="98">
        <f t="shared" si="9"/>
        <v>0</v>
      </c>
      <c r="W107" s="450">
        <v>0</v>
      </c>
      <c r="X107" s="450">
        <v>0</v>
      </c>
      <c r="Y107" s="48">
        <f t="shared" ref="Y107:Y114" si="74">SUM(AA107,AB107)</f>
        <v>0</v>
      </c>
      <c r="Z107" s="98">
        <f t="shared" si="11"/>
        <v>0</v>
      </c>
      <c r="AA107" s="48">
        <v>0</v>
      </c>
      <c r="AB107" s="48">
        <v>0</v>
      </c>
      <c r="AC107" s="48">
        <v>0</v>
      </c>
      <c r="AD107" s="420">
        <v>0</v>
      </c>
    </row>
    <row r="108" spans="1:30" ht="24" customHeight="1" x14ac:dyDescent="0.5">
      <c r="A108" s="284">
        <v>2</v>
      </c>
      <c r="B108" s="71" t="s">
        <v>123</v>
      </c>
      <c r="C108" s="275">
        <f t="shared" si="71"/>
        <v>0</v>
      </c>
      <c r="D108" s="55">
        <v>0</v>
      </c>
      <c r="E108" s="55">
        <v>0</v>
      </c>
      <c r="F108" s="99">
        <v>0</v>
      </c>
      <c r="G108" s="99">
        <f t="shared" si="1"/>
        <v>0</v>
      </c>
      <c r="H108" s="402">
        <f t="shared" si="72"/>
        <v>0</v>
      </c>
      <c r="I108" s="402">
        <v>0</v>
      </c>
      <c r="J108" s="55">
        <v>0</v>
      </c>
      <c r="K108" s="55">
        <v>0</v>
      </c>
      <c r="L108" s="99">
        <f t="shared" si="4"/>
        <v>0</v>
      </c>
      <c r="M108" s="55">
        <v>0</v>
      </c>
      <c r="N108" s="99">
        <f t="shared" si="5"/>
        <v>0</v>
      </c>
      <c r="O108" s="55">
        <v>0</v>
      </c>
      <c r="P108" s="99">
        <f t="shared" si="6"/>
        <v>0</v>
      </c>
      <c r="Q108" s="55">
        <v>0</v>
      </c>
      <c r="R108" s="99">
        <f t="shared" si="7"/>
        <v>0</v>
      </c>
      <c r="S108" s="55">
        <v>0</v>
      </c>
      <c r="T108" s="99">
        <f t="shared" si="8"/>
        <v>0</v>
      </c>
      <c r="U108" s="451">
        <f t="shared" si="73"/>
        <v>0</v>
      </c>
      <c r="V108" s="99">
        <f t="shared" si="9"/>
        <v>0</v>
      </c>
      <c r="W108" s="451">
        <v>0</v>
      </c>
      <c r="X108" s="451">
        <v>0</v>
      </c>
      <c r="Y108" s="55">
        <f t="shared" si="74"/>
        <v>0</v>
      </c>
      <c r="Z108" s="99">
        <f t="shared" si="11"/>
        <v>0</v>
      </c>
      <c r="AA108" s="55">
        <v>0</v>
      </c>
      <c r="AB108" s="55">
        <v>0</v>
      </c>
      <c r="AC108" s="55">
        <v>0</v>
      </c>
      <c r="AD108" s="422">
        <v>0</v>
      </c>
    </row>
    <row r="109" spans="1:30" ht="24" customHeight="1" x14ac:dyDescent="0.5">
      <c r="A109" s="284">
        <v>3</v>
      </c>
      <c r="B109" s="71" t="s">
        <v>124</v>
      </c>
      <c r="C109" s="275">
        <f t="shared" si="71"/>
        <v>0</v>
      </c>
      <c r="D109" s="55">
        <v>0</v>
      </c>
      <c r="E109" s="55">
        <v>0</v>
      </c>
      <c r="F109" s="99">
        <v>0</v>
      </c>
      <c r="G109" s="99">
        <f t="shared" si="1"/>
        <v>0</v>
      </c>
      <c r="H109" s="402">
        <f t="shared" si="72"/>
        <v>0</v>
      </c>
      <c r="I109" s="402">
        <v>0</v>
      </c>
      <c r="J109" s="55">
        <v>0</v>
      </c>
      <c r="K109" s="55">
        <v>0</v>
      </c>
      <c r="L109" s="99">
        <f t="shared" si="4"/>
        <v>0</v>
      </c>
      <c r="M109" s="55">
        <v>0</v>
      </c>
      <c r="N109" s="99">
        <f t="shared" si="5"/>
        <v>0</v>
      </c>
      <c r="O109" s="55">
        <v>0</v>
      </c>
      <c r="P109" s="99">
        <f t="shared" si="6"/>
        <v>0</v>
      </c>
      <c r="Q109" s="55">
        <v>0</v>
      </c>
      <c r="R109" s="99">
        <f t="shared" si="7"/>
        <v>0</v>
      </c>
      <c r="S109" s="55">
        <v>0</v>
      </c>
      <c r="T109" s="99">
        <f t="shared" si="8"/>
        <v>0</v>
      </c>
      <c r="U109" s="451">
        <f t="shared" si="73"/>
        <v>0</v>
      </c>
      <c r="V109" s="99">
        <f t="shared" si="9"/>
        <v>0</v>
      </c>
      <c r="W109" s="451">
        <v>0</v>
      </c>
      <c r="X109" s="451">
        <v>0</v>
      </c>
      <c r="Y109" s="55">
        <f t="shared" si="74"/>
        <v>0</v>
      </c>
      <c r="Z109" s="99">
        <f t="shared" si="11"/>
        <v>0</v>
      </c>
      <c r="AA109" s="55">
        <v>0</v>
      </c>
      <c r="AB109" s="55">
        <v>0</v>
      </c>
      <c r="AC109" s="55">
        <v>0</v>
      </c>
      <c r="AD109" s="422">
        <v>0</v>
      </c>
    </row>
    <row r="110" spans="1:30" ht="24" customHeight="1" x14ac:dyDescent="0.5">
      <c r="A110" s="284">
        <f t="shared" ref="A110:A112" si="75">+A109+1</f>
        <v>4</v>
      </c>
      <c r="B110" s="71" t="s">
        <v>125</v>
      </c>
      <c r="C110" s="275">
        <f t="shared" si="71"/>
        <v>0</v>
      </c>
      <c r="D110" s="55">
        <v>0</v>
      </c>
      <c r="E110" s="55">
        <v>0</v>
      </c>
      <c r="F110" s="99">
        <v>0</v>
      </c>
      <c r="G110" s="99">
        <f t="shared" si="1"/>
        <v>0</v>
      </c>
      <c r="H110" s="402">
        <f t="shared" si="72"/>
        <v>0</v>
      </c>
      <c r="I110" s="402">
        <v>0</v>
      </c>
      <c r="J110" s="55">
        <v>0</v>
      </c>
      <c r="K110" s="55">
        <v>0</v>
      </c>
      <c r="L110" s="99">
        <f t="shared" si="4"/>
        <v>0</v>
      </c>
      <c r="M110" s="55">
        <v>0</v>
      </c>
      <c r="N110" s="99">
        <f t="shared" si="5"/>
        <v>0</v>
      </c>
      <c r="O110" s="55">
        <v>0</v>
      </c>
      <c r="P110" s="99">
        <f t="shared" si="6"/>
        <v>0</v>
      </c>
      <c r="Q110" s="55">
        <v>0</v>
      </c>
      <c r="R110" s="99">
        <f t="shared" si="7"/>
        <v>0</v>
      </c>
      <c r="S110" s="55">
        <v>0</v>
      </c>
      <c r="T110" s="99">
        <f t="shared" si="8"/>
        <v>0</v>
      </c>
      <c r="U110" s="451">
        <f t="shared" si="73"/>
        <v>0</v>
      </c>
      <c r="V110" s="99">
        <f t="shared" si="9"/>
        <v>0</v>
      </c>
      <c r="W110" s="451">
        <v>0</v>
      </c>
      <c r="X110" s="451">
        <v>0</v>
      </c>
      <c r="Y110" s="55">
        <f t="shared" si="74"/>
        <v>0</v>
      </c>
      <c r="Z110" s="99">
        <f t="shared" si="11"/>
        <v>0</v>
      </c>
      <c r="AA110" s="55">
        <v>0</v>
      </c>
      <c r="AB110" s="55">
        <v>0</v>
      </c>
      <c r="AC110" s="55">
        <v>0</v>
      </c>
      <c r="AD110" s="422">
        <v>0</v>
      </c>
    </row>
    <row r="111" spans="1:30" ht="24" customHeight="1" x14ac:dyDescent="0.5">
      <c r="A111" s="284">
        <f t="shared" si="75"/>
        <v>5</v>
      </c>
      <c r="B111" s="71" t="s">
        <v>126</v>
      </c>
      <c r="C111" s="275">
        <f t="shared" si="71"/>
        <v>0</v>
      </c>
      <c r="D111" s="55">
        <v>0</v>
      </c>
      <c r="E111" s="55">
        <v>0</v>
      </c>
      <c r="F111" s="99">
        <v>0</v>
      </c>
      <c r="G111" s="99">
        <f t="shared" si="1"/>
        <v>0</v>
      </c>
      <c r="H111" s="402">
        <f t="shared" si="72"/>
        <v>0</v>
      </c>
      <c r="I111" s="402">
        <v>0</v>
      </c>
      <c r="J111" s="55">
        <v>0</v>
      </c>
      <c r="K111" s="55">
        <v>0</v>
      </c>
      <c r="L111" s="99">
        <f t="shared" si="4"/>
        <v>0</v>
      </c>
      <c r="M111" s="55">
        <v>0</v>
      </c>
      <c r="N111" s="99">
        <f t="shared" si="5"/>
        <v>0</v>
      </c>
      <c r="O111" s="55">
        <v>0</v>
      </c>
      <c r="P111" s="99">
        <f t="shared" si="6"/>
        <v>0</v>
      </c>
      <c r="Q111" s="55">
        <v>0</v>
      </c>
      <c r="R111" s="99">
        <f t="shared" si="7"/>
        <v>0</v>
      </c>
      <c r="S111" s="55">
        <v>0</v>
      </c>
      <c r="T111" s="99">
        <f t="shared" si="8"/>
        <v>0</v>
      </c>
      <c r="U111" s="451">
        <f t="shared" si="73"/>
        <v>0</v>
      </c>
      <c r="V111" s="99">
        <f t="shared" si="9"/>
        <v>0</v>
      </c>
      <c r="W111" s="451">
        <v>0</v>
      </c>
      <c r="X111" s="451">
        <v>0</v>
      </c>
      <c r="Y111" s="55">
        <f t="shared" si="74"/>
        <v>0</v>
      </c>
      <c r="Z111" s="99">
        <f t="shared" si="11"/>
        <v>0</v>
      </c>
      <c r="AA111" s="55">
        <v>0</v>
      </c>
      <c r="AB111" s="55">
        <v>0</v>
      </c>
      <c r="AC111" s="55">
        <v>0</v>
      </c>
      <c r="AD111" s="422">
        <v>0</v>
      </c>
    </row>
    <row r="112" spans="1:30" ht="24" customHeight="1" x14ac:dyDescent="0.5">
      <c r="A112" s="284">
        <f t="shared" si="75"/>
        <v>6</v>
      </c>
      <c r="B112" s="71" t="s">
        <v>127</v>
      </c>
      <c r="C112" s="275">
        <f t="shared" si="71"/>
        <v>0</v>
      </c>
      <c r="D112" s="55">
        <v>0</v>
      </c>
      <c r="E112" s="55">
        <v>0</v>
      </c>
      <c r="F112" s="99">
        <v>0</v>
      </c>
      <c r="G112" s="99">
        <f t="shared" si="1"/>
        <v>0</v>
      </c>
      <c r="H112" s="402">
        <f t="shared" si="72"/>
        <v>0</v>
      </c>
      <c r="I112" s="402">
        <v>0</v>
      </c>
      <c r="J112" s="55">
        <v>0</v>
      </c>
      <c r="K112" s="55">
        <v>0</v>
      </c>
      <c r="L112" s="99">
        <f t="shared" si="4"/>
        <v>0</v>
      </c>
      <c r="M112" s="55">
        <v>0</v>
      </c>
      <c r="N112" s="99">
        <f t="shared" si="5"/>
        <v>0</v>
      </c>
      <c r="O112" s="55">
        <v>0</v>
      </c>
      <c r="P112" s="99">
        <f t="shared" si="6"/>
        <v>0</v>
      </c>
      <c r="Q112" s="55">
        <v>0</v>
      </c>
      <c r="R112" s="99">
        <f t="shared" si="7"/>
        <v>0</v>
      </c>
      <c r="S112" s="55">
        <v>0</v>
      </c>
      <c r="T112" s="99">
        <f t="shared" si="8"/>
        <v>0</v>
      </c>
      <c r="U112" s="451">
        <f t="shared" si="73"/>
        <v>0</v>
      </c>
      <c r="V112" s="99">
        <f t="shared" si="9"/>
        <v>0</v>
      </c>
      <c r="W112" s="451">
        <v>0</v>
      </c>
      <c r="X112" s="451">
        <v>0</v>
      </c>
      <c r="Y112" s="55">
        <f t="shared" si="74"/>
        <v>0</v>
      </c>
      <c r="Z112" s="99">
        <f t="shared" si="11"/>
        <v>0</v>
      </c>
      <c r="AA112" s="55">
        <v>0</v>
      </c>
      <c r="AB112" s="55">
        <v>0</v>
      </c>
      <c r="AC112" s="55">
        <v>0</v>
      </c>
      <c r="AD112" s="422">
        <v>0</v>
      </c>
    </row>
    <row r="113" spans="1:30" ht="24" customHeight="1" x14ac:dyDescent="0.5">
      <c r="A113" s="284">
        <v>7</v>
      </c>
      <c r="B113" s="71" t="s">
        <v>128</v>
      </c>
      <c r="C113" s="275">
        <f t="shared" si="71"/>
        <v>0</v>
      </c>
      <c r="D113" s="55">
        <v>0</v>
      </c>
      <c r="E113" s="55">
        <v>0</v>
      </c>
      <c r="F113" s="99">
        <v>0</v>
      </c>
      <c r="G113" s="99">
        <f t="shared" si="1"/>
        <v>0</v>
      </c>
      <c r="H113" s="402">
        <f t="shared" si="72"/>
        <v>0</v>
      </c>
      <c r="I113" s="402">
        <v>0</v>
      </c>
      <c r="J113" s="55">
        <v>0</v>
      </c>
      <c r="K113" s="55">
        <v>0</v>
      </c>
      <c r="L113" s="99">
        <f t="shared" si="4"/>
        <v>0</v>
      </c>
      <c r="M113" s="55">
        <v>0</v>
      </c>
      <c r="N113" s="99">
        <f t="shared" si="5"/>
        <v>0</v>
      </c>
      <c r="O113" s="55">
        <v>0</v>
      </c>
      <c r="P113" s="99">
        <f t="shared" si="6"/>
        <v>0</v>
      </c>
      <c r="Q113" s="55">
        <v>0</v>
      </c>
      <c r="R113" s="99">
        <f t="shared" si="7"/>
        <v>0</v>
      </c>
      <c r="S113" s="55">
        <v>0</v>
      </c>
      <c r="T113" s="99">
        <f t="shared" si="8"/>
        <v>0</v>
      </c>
      <c r="U113" s="451">
        <f t="shared" si="73"/>
        <v>0</v>
      </c>
      <c r="V113" s="99">
        <f t="shared" si="9"/>
        <v>0</v>
      </c>
      <c r="W113" s="451">
        <v>0</v>
      </c>
      <c r="X113" s="451">
        <v>0</v>
      </c>
      <c r="Y113" s="55">
        <f t="shared" si="74"/>
        <v>0</v>
      </c>
      <c r="Z113" s="99">
        <f t="shared" si="11"/>
        <v>0</v>
      </c>
      <c r="AA113" s="55">
        <v>0</v>
      </c>
      <c r="AB113" s="55">
        <v>0</v>
      </c>
      <c r="AC113" s="55">
        <v>0</v>
      </c>
      <c r="AD113" s="422">
        <v>0</v>
      </c>
    </row>
    <row r="114" spans="1:30" ht="24" customHeight="1" thickBot="1" x14ac:dyDescent="0.55000000000000004">
      <c r="A114" s="493">
        <v>8</v>
      </c>
      <c r="B114" s="494" t="s">
        <v>129</v>
      </c>
      <c r="C114" s="286">
        <f t="shared" si="71"/>
        <v>0</v>
      </c>
      <c r="D114" s="79">
        <v>0</v>
      </c>
      <c r="E114" s="79">
        <v>0</v>
      </c>
      <c r="F114" s="104">
        <v>0</v>
      </c>
      <c r="G114" s="104">
        <f t="shared" si="1"/>
        <v>0</v>
      </c>
      <c r="H114" s="433">
        <f t="shared" si="72"/>
        <v>0</v>
      </c>
      <c r="I114" s="433">
        <v>0</v>
      </c>
      <c r="J114" s="79">
        <v>0</v>
      </c>
      <c r="K114" s="79">
        <v>0</v>
      </c>
      <c r="L114" s="104">
        <f t="shared" si="4"/>
        <v>0</v>
      </c>
      <c r="M114" s="79">
        <v>0</v>
      </c>
      <c r="N114" s="104">
        <f t="shared" si="5"/>
        <v>0</v>
      </c>
      <c r="O114" s="79">
        <v>0</v>
      </c>
      <c r="P114" s="104">
        <f t="shared" si="6"/>
        <v>0</v>
      </c>
      <c r="Q114" s="79">
        <v>0</v>
      </c>
      <c r="R114" s="104">
        <f t="shared" si="7"/>
        <v>0</v>
      </c>
      <c r="S114" s="79">
        <v>0</v>
      </c>
      <c r="T114" s="104">
        <f t="shared" si="8"/>
        <v>0</v>
      </c>
      <c r="U114" s="453">
        <f t="shared" si="73"/>
        <v>0</v>
      </c>
      <c r="V114" s="104">
        <f t="shared" si="9"/>
        <v>0</v>
      </c>
      <c r="W114" s="453">
        <v>0</v>
      </c>
      <c r="X114" s="453">
        <v>0</v>
      </c>
      <c r="Y114" s="79">
        <f t="shared" si="74"/>
        <v>0</v>
      </c>
      <c r="Z114" s="104">
        <f t="shared" si="11"/>
        <v>0</v>
      </c>
      <c r="AA114" s="79">
        <v>0</v>
      </c>
      <c r="AB114" s="79">
        <v>0</v>
      </c>
      <c r="AC114" s="79">
        <v>0</v>
      </c>
      <c r="AD114" s="426">
        <v>0</v>
      </c>
    </row>
    <row r="115" spans="1:30" s="203" customFormat="1" ht="24" customHeight="1" x14ac:dyDescent="0.55000000000000004">
      <c r="A115" s="467" t="s">
        <v>322</v>
      </c>
    </row>
    <row r="116" spans="1:30" ht="24" customHeight="1" x14ac:dyDescent="0.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83"/>
      <c r="M116" s="3"/>
      <c r="N116" s="83"/>
      <c r="O116" s="3"/>
      <c r="P116" s="83"/>
      <c r="Q116" s="3"/>
      <c r="R116" s="83"/>
      <c r="S116" s="3"/>
      <c r="T116" s="83"/>
      <c r="U116" s="3"/>
      <c r="V116" s="83"/>
      <c r="W116" s="454"/>
      <c r="X116" s="454"/>
      <c r="Y116" s="3"/>
      <c r="Z116" s="83"/>
      <c r="AA116" s="3"/>
      <c r="AB116" s="3"/>
      <c r="AC116" s="3"/>
      <c r="AD116" s="3"/>
    </row>
    <row r="117" spans="1:30" ht="24" customHeight="1" x14ac:dyDescent="0.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83"/>
      <c r="M117" s="3"/>
      <c r="N117" s="83"/>
      <c r="O117" s="3"/>
      <c r="P117" s="83"/>
      <c r="Q117" s="3"/>
      <c r="R117" s="83"/>
      <c r="S117" s="3"/>
      <c r="T117" s="83"/>
      <c r="U117" s="3"/>
      <c r="V117" s="83"/>
      <c r="W117" s="454"/>
      <c r="X117" s="454"/>
      <c r="Y117" s="3"/>
      <c r="Z117" s="83"/>
      <c r="AA117" s="3"/>
      <c r="AB117" s="3"/>
      <c r="AC117" s="3"/>
      <c r="AD117" s="3"/>
    </row>
    <row r="118" spans="1:30" ht="24" customHeight="1" x14ac:dyDescent="0.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83"/>
      <c r="M118" s="3"/>
      <c r="N118" s="83"/>
      <c r="O118" s="3"/>
      <c r="P118" s="83"/>
      <c r="Q118" s="3"/>
      <c r="R118" s="83"/>
      <c r="S118" s="3"/>
      <c r="T118" s="83"/>
      <c r="U118" s="3"/>
      <c r="V118" s="83"/>
      <c r="W118" s="454"/>
      <c r="X118" s="454"/>
      <c r="Y118" s="3"/>
      <c r="Z118" s="83"/>
      <c r="AA118" s="3"/>
      <c r="AB118" s="3"/>
      <c r="AC118" s="3"/>
      <c r="AD118" s="3"/>
    </row>
    <row r="119" spans="1:30" ht="24" customHeight="1" x14ac:dyDescent="0.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83"/>
      <c r="M119" s="3"/>
      <c r="N119" s="83"/>
      <c r="O119" s="3"/>
      <c r="P119" s="83"/>
      <c r="Q119" s="3"/>
      <c r="R119" s="83"/>
      <c r="S119" s="3"/>
      <c r="T119" s="83"/>
      <c r="U119" s="3"/>
      <c r="V119" s="83"/>
      <c r="W119" s="454"/>
      <c r="X119" s="454"/>
      <c r="Y119" s="3"/>
      <c r="Z119" s="83"/>
      <c r="AA119" s="3"/>
      <c r="AB119" s="3"/>
      <c r="AC119" s="3"/>
      <c r="AD119" s="3"/>
    </row>
    <row r="120" spans="1:30" ht="24" customHeight="1" x14ac:dyDescent="0.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83"/>
      <c r="M120" s="3"/>
      <c r="N120" s="83"/>
      <c r="O120" s="3"/>
      <c r="P120" s="83"/>
      <c r="Q120" s="3"/>
      <c r="R120" s="83"/>
      <c r="S120" s="3"/>
      <c r="T120" s="83"/>
      <c r="U120" s="3"/>
      <c r="V120" s="83"/>
      <c r="W120" s="454"/>
      <c r="X120" s="454"/>
      <c r="Y120" s="3"/>
      <c r="Z120" s="83"/>
      <c r="AA120" s="3"/>
      <c r="AB120" s="3"/>
      <c r="AC120" s="3"/>
      <c r="AD120" s="3"/>
    </row>
    <row r="121" spans="1:30" ht="24" customHeight="1" x14ac:dyDescent="0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83"/>
      <c r="M121" s="3"/>
      <c r="N121" s="83"/>
      <c r="O121" s="3"/>
      <c r="P121" s="83"/>
      <c r="Q121" s="3"/>
      <c r="R121" s="83"/>
      <c r="S121" s="3"/>
      <c r="T121" s="83"/>
      <c r="U121" s="3"/>
      <c r="V121" s="83"/>
      <c r="W121" s="454"/>
      <c r="X121" s="454"/>
      <c r="Y121" s="3"/>
      <c r="Z121" s="83"/>
      <c r="AA121" s="3"/>
      <c r="AB121" s="3"/>
      <c r="AC121" s="3"/>
      <c r="AD121" s="3"/>
    </row>
    <row r="122" spans="1:30" ht="24" customHeight="1" x14ac:dyDescent="0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83"/>
      <c r="M122" s="3"/>
      <c r="N122" s="83"/>
      <c r="O122" s="3"/>
      <c r="P122" s="83"/>
      <c r="Q122" s="3"/>
      <c r="R122" s="83"/>
      <c r="S122" s="3"/>
      <c r="T122" s="83"/>
      <c r="U122" s="3"/>
      <c r="V122" s="83"/>
      <c r="W122" s="454"/>
      <c r="X122" s="454"/>
      <c r="Y122" s="3"/>
      <c r="Z122" s="83"/>
      <c r="AA122" s="3"/>
      <c r="AB122" s="3"/>
      <c r="AC122" s="3"/>
      <c r="AD122" s="3"/>
    </row>
    <row r="123" spans="1:30" ht="24" customHeight="1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83"/>
      <c r="M123" s="3"/>
      <c r="N123" s="83"/>
      <c r="O123" s="3"/>
      <c r="P123" s="83"/>
      <c r="Q123" s="3"/>
      <c r="R123" s="83"/>
      <c r="S123" s="3"/>
      <c r="T123" s="83"/>
      <c r="U123" s="3"/>
      <c r="V123" s="83"/>
      <c r="W123" s="454"/>
      <c r="X123" s="454"/>
      <c r="Y123" s="3"/>
      <c r="Z123" s="83"/>
      <c r="AA123" s="3"/>
      <c r="AB123" s="3"/>
      <c r="AC123" s="3"/>
      <c r="AD123" s="3"/>
    </row>
    <row r="124" spans="1:30" ht="24" customHeight="1" x14ac:dyDescent="0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83"/>
      <c r="M124" s="3"/>
      <c r="N124" s="83"/>
      <c r="O124" s="3"/>
      <c r="P124" s="83"/>
      <c r="Q124" s="3"/>
      <c r="R124" s="83"/>
      <c r="S124" s="3"/>
      <c r="T124" s="83"/>
      <c r="U124" s="3"/>
      <c r="V124" s="83"/>
      <c r="W124" s="454"/>
      <c r="X124" s="454"/>
      <c r="Y124" s="3"/>
      <c r="Z124" s="83"/>
      <c r="AA124" s="3"/>
      <c r="AB124" s="3"/>
      <c r="AC124" s="3"/>
      <c r="AD124" s="3"/>
    </row>
    <row r="125" spans="1:30" ht="24" customHeight="1" x14ac:dyDescent="0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83"/>
      <c r="M125" s="3"/>
      <c r="N125" s="83"/>
      <c r="O125" s="3"/>
      <c r="P125" s="83"/>
      <c r="Q125" s="3"/>
      <c r="R125" s="83"/>
      <c r="S125" s="3"/>
      <c r="T125" s="83"/>
      <c r="U125" s="3"/>
      <c r="V125" s="83"/>
      <c r="W125" s="454"/>
      <c r="X125" s="454"/>
      <c r="Y125" s="3"/>
      <c r="Z125" s="83"/>
      <c r="AA125" s="3"/>
      <c r="AB125" s="3"/>
      <c r="AC125" s="3"/>
      <c r="AD125" s="3"/>
    </row>
    <row r="126" spans="1:30" ht="24" customHeight="1" x14ac:dyDescent="0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83"/>
      <c r="M126" s="3"/>
      <c r="N126" s="83"/>
      <c r="O126" s="3"/>
      <c r="P126" s="83"/>
      <c r="Q126" s="3"/>
      <c r="R126" s="83"/>
      <c r="S126" s="3"/>
      <c r="T126" s="83"/>
      <c r="U126" s="3"/>
      <c r="V126" s="83"/>
      <c r="W126" s="454"/>
      <c r="X126" s="454"/>
      <c r="Y126" s="3"/>
      <c r="Z126" s="83"/>
      <c r="AA126" s="3"/>
      <c r="AB126" s="3"/>
      <c r="AC126" s="3"/>
      <c r="AD126" s="3"/>
    </row>
    <row r="127" spans="1:30" ht="24" customHeight="1" x14ac:dyDescent="0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83"/>
      <c r="M127" s="3"/>
      <c r="N127" s="83"/>
      <c r="O127" s="3"/>
      <c r="P127" s="83"/>
      <c r="Q127" s="3"/>
      <c r="R127" s="83"/>
      <c r="S127" s="3"/>
      <c r="T127" s="83"/>
      <c r="U127" s="3"/>
      <c r="V127" s="83"/>
      <c r="W127" s="454"/>
      <c r="X127" s="454"/>
      <c r="Y127" s="3"/>
      <c r="Z127" s="83"/>
      <c r="AA127" s="3"/>
      <c r="AB127" s="3"/>
      <c r="AC127" s="3"/>
      <c r="AD127" s="3"/>
    </row>
    <row r="128" spans="1:30" ht="24" customHeight="1" x14ac:dyDescent="0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83"/>
      <c r="M128" s="3"/>
      <c r="N128" s="83"/>
      <c r="O128" s="3"/>
      <c r="P128" s="83"/>
      <c r="Q128" s="3"/>
      <c r="R128" s="83"/>
      <c r="S128" s="3"/>
      <c r="T128" s="83"/>
      <c r="U128" s="3"/>
      <c r="V128" s="83"/>
      <c r="W128" s="454"/>
      <c r="X128" s="454"/>
      <c r="Y128" s="3"/>
      <c r="Z128" s="83"/>
      <c r="AA128" s="3"/>
      <c r="AB128" s="3"/>
      <c r="AC128" s="3"/>
      <c r="AD128" s="3"/>
    </row>
    <row r="129" spans="1:30" ht="24" customHeight="1" x14ac:dyDescent="0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83"/>
      <c r="M129" s="3"/>
      <c r="N129" s="83"/>
      <c r="O129" s="3"/>
      <c r="P129" s="83"/>
      <c r="Q129" s="3"/>
      <c r="R129" s="83"/>
      <c r="S129" s="3"/>
      <c r="T129" s="83"/>
      <c r="U129" s="3"/>
      <c r="V129" s="83"/>
      <c r="W129" s="454"/>
      <c r="X129" s="454"/>
      <c r="Y129" s="3"/>
      <c r="Z129" s="83"/>
      <c r="AA129" s="3"/>
      <c r="AB129" s="3"/>
      <c r="AC129" s="3"/>
      <c r="AD129" s="3"/>
    </row>
    <row r="130" spans="1:30" ht="24" customHeight="1" x14ac:dyDescent="0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83"/>
      <c r="M130" s="3"/>
      <c r="N130" s="83"/>
      <c r="O130" s="3"/>
      <c r="P130" s="83"/>
      <c r="Q130" s="3"/>
      <c r="R130" s="83"/>
      <c r="S130" s="3"/>
      <c r="T130" s="83"/>
      <c r="U130" s="3"/>
      <c r="V130" s="83"/>
      <c r="W130" s="454"/>
      <c r="X130" s="454"/>
      <c r="Y130" s="3"/>
      <c r="Z130" s="83"/>
      <c r="AA130" s="3"/>
      <c r="AB130" s="3"/>
      <c r="AC130" s="3"/>
      <c r="AD130" s="3"/>
    </row>
    <row r="131" spans="1:30" ht="24" customHeight="1" x14ac:dyDescent="0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83"/>
      <c r="M131" s="3"/>
      <c r="N131" s="83"/>
      <c r="O131" s="3"/>
      <c r="P131" s="83"/>
      <c r="Q131" s="3"/>
      <c r="R131" s="83"/>
      <c r="S131" s="3"/>
      <c r="T131" s="83"/>
      <c r="U131" s="3"/>
      <c r="V131" s="83"/>
      <c r="W131" s="454"/>
      <c r="X131" s="454"/>
      <c r="Y131" s="3"/>
      <c r="Z131" s="83"/>
      <c r="AA131" s="3"/>
      <c r="AB131" s="3"/>
      <c r="AC131" s="3"/>
      <c r="AD131" s="3"/>
    </row>
    <row r="132" spans="1:30" ht="24" customHeight="1" x14ac:dyDescent="0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83"/>
      <c r="M132" s="3"/>
      <c r="N132" s="83"/>
      <c r="O132" s="3"/>
      <c r="P132" s="83"/>
      <c r="Q132" s="3"/>
      <c r="R132" s="83"/>
      <c r="S132" s="3"/>
      <c r="T132" s="83"/>
      <c r="U132" s="3"/>
      <c r="V132" s="83"/>
      <c r="W132" s="454"/>
      <c r="X132" s="454"/>
      <c r="Y132" s="3"/>
      <c r="Z132" s="83"/>
      <c r="AA132" s="3"/>
      <c r="AB132" s="3"/>
      <c r="AC132" s="3"/>
      <c r="AD132" s="3"/>
    </row>
    <row r="133" spans="1:30" ht="24" customHeight="1" x14ac:dyDescent="0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83"/>
      <c r="M133" s="3"/>
      <c r="N133" s="83"/>
      <c r="O133" s="3"/>
      <c r="P133" s="83"/>
      <c r="Q133" s="3"/>
      <c r="R133" s="83"/>
      <c r="S133" s="3"/>
      <c r="T133" s="83"/>
      <c r="U133" s="3"/>
      <c r="V133" s="83"/>
      <c r="W133" s="454"/>
      <c r="X133" s="454"/>
      <c r="Y133" s="3"/>
      <c r="Z133" s="83"/>
      <c r="AA133" s="3"/>
      <c r="AB133" s="3"/>
      <c r="AC133" s="3"/>
      <c r="AD133" s="3"/>
    </row>
    <row r="134" spans="1:30" ht="24" customHeight="1" x14ac:dyDescent="0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83"/>
      <c r="M134" s="3"/>
      <c r="N134" s="83"/>
      <c r="O134" s="3"/>
      <c r="P134" s="83"/>
      <c r="Q134" s="3"/>
      <c r="R134" s="83"/>
      <c r="S134" s="3"/>
      <c r="T134" s="83"/>
      <c r="U134" s="3"/>
      <c r="V134" s="83"/>
      <c r="W134" s="454"/>
      <c r="X134" s="454"/>
      <c r="Y134" s="3"/>
      <c r="Z134" s="83"/>
      <c r="AA134" s="3"/>
      <c r="AB134" s="3"/>
      <c r="AC134" s="3"/>
      <c r="AD134" s="3"/>
    </row>
    <row r="135" spans="1:30" ht="24" customHeight="1" x14ac:dyDescent="0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83"/>
      <c r="M135" s="3"/>
      <c r="N135" s="83"/>
      <c r="O135" s="3"/>
      <c r="P135" s="83"/>
      <c r="Q135" s="3"/>
      <c r="R135" s="83"/>
      <c r="S135" s="3"/>
      <c r="T135" s="83"/>
      <c r="U135" s="3"/>
      <c r="V135" s="83"/>
      <c r="W135" s="454"/>
      <c r="X135" s="454"/>
      <c r="Y135" s="3"/>
      <c r="Z135" s="83"/>
      <c r="AA135" s="3"/>
      <c r="AB135" s="3"/>
      <c r="AC135" s="3"/>
      <c r="AD135" s="3"/>
    </row>
    <row r="136" spans="1:30" ht="24" customHeight="1" x14ac:dyDescent="0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83"/>
      <c r="M136" s="3"/>
      <c r="N136" s="83"/>
      <c r="O136" s="3"/>
      <c r="P136" s="83"/>
      <c r="Q136" s="3"/>
      <c r="R136" s="83"/>
      <c r="S136" s="3"/>
      <c r="T136" s="83"/>
      <c r="U136" s="3"/>
      <c r="V136" s="83"/>
      <c r="W136" s="454"/>
      <c r="X136" s="454"/>
      <c r="Y136" s="3"/>
      <c r="Z136" s="83"/>
      <c r="AA136" s="3"/>
      <c r="AB136" s="3"/>
      <c r="AC136" s="3"/>
      <c r="AD136" s="3"/>
    </row>
    <row r="137" spans="1:30" ht="24" customHeight="1" x14ac:dyDescent="0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83"/>
      <c r="M137" s="3"/>
      <c r="N137" s="83"/>
      <c r="O137" s="3"/>
      <c r="P137" s="83"/>
      <c r="Q137" s="3"/>
      <c r="R137" s="83"/>
      <c r="S137" s="3"/>
      <c r="T137" s="83"/>
      <c r="U137" s="3"/>
      <c r="V137" s="83"/>
      <c r="W137" s="454"/>
      <c r="X137" s="454"/>
      <c r="Y137" s="3"/>
      <c r="Z137" s="83"/>
      <c r="AA137" s="3"/>
      <c r="AB137" s="3"/>
      <c r="AC137" s="3"/>
      <c r="AD137" s="3"/>
    </row>
    <row r="138" spans="1:30" ht="24" customHeight="1" x14ac:dyDescent="0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83"/>
      <c r="M138" s="3"/>
      <c r="N138" s="83"/>
      <c r="O138" s="3"/>
      <c r="P138" s="83"/>
      <c r="Q138" s="3"/>
      <c r="R138" s="83"/>
      <c r="S138" s="3"/>
      <c r="T138" s="83"/>
      <c r="U138" s="3"/>
      <c r="V138" s="83"/>
      <c r="W138" s="454"/>
      <c r="X138" s="454"/>
      <c r="Y138" s="3"/>
      <c r="Z138" s="83"/>
      <c r="AA138" s="3"/>
      <c r="AB138" s="3"/>
      <c r="AC138" s="3"/>
      <c r="AD138" s="3"/>
    </row>
    <row r="139" spans="1:30" ht="24" customHeight="1" x14ac:dyDescent="0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83"/>
      <c r="M139" s="3"/>
      <c r="N139" s="83"/>
      <c r="O139" s="3"/>
      <c r="P139" s="83"/>
      <c r="Q139" s="3"/>
      <c r="R139" s="83"/>
      <c r="S139" s="3"/>
      <c r="T139" s="83"/>
      <c r="U139" s="3"/>
      <c r="V139" s="83"/>
      <c r="W139" s="454"/>
      <c r="X139" s="454"/>
      <c r="Y139" s="3"/>
      <c r="Z139" s="83"/>
      <c r="AA139" s="3"/>
      <c r="AB139" s="3"/>
      <c r="AC139" s="3"/>
      <c r="AD139" s="3"/>
    </row>
    <row r="140" spans="1:30" ht="24" customHeight="1" x14ac:dyDescent="0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83"/>
      <c r="M140" s="3"/>
      <c r="N140" s="83"/>
      <c r="O140" s="3"/>
      <c r="P140" s="83"/>
      <c r="Q140" s="3"/>
      <c r="R140" s="83"/>
      <c r="S140" s="3"/>
      <c r="T140" s="83"/>
      <c r="U140" s="3"/>
      <c r="V140" s="83"/>
      <c r="W140" s="454"/>
      <c r="X140" s="454"/>
      <c r="Y140" s="3"/>
      <c r="Z140" s="83"/>
      <c r="AA140" s="3"/>
      <c r="AB140" s="3"/>
      <c r="AC140" s="3"/>
      <c r="AD140" s="3"/>
    </row>
    <row r="141" spans="1:30" ht="24" customHeight="1" x14ac:dyDescent="0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83"/>
      <c r="M141" s="3"/>
      <c r="N141" s="83"/>
      <c r="O141" s="3"/>
      <c r="P141" s="83"/>
      <c r="Q141" s="3"/>
      <c r="R141" s="83"/>
      <c r="S141" s="3"/>
      <c r="T141" s="83"/>
      <c r="U141" s="3"/>
      <c r="V141" s="83"/>
      <c r="W141" s="454"/>
      <c r="X141" s="454"/>
      <c r="Y141" s="3"/>
      <c r="Z141" s="83"/>
      <c r="AA141" s="3"/>
      <c r="AB141" s="3"/>
      <c r="AC141" s="3"/>
      <c r="AD141" s="3"/>
    </row>
    <row r="142" spans="1:30" ht="24" customHeight="1" x14ac:dyDescent="0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83"/>
      <c r="M142" s="3"/>
      <c r="N142" s="83"/>
      <c r="O142" s="3"/>
      <c r="P142" s="83"/>
      <c r="Q142" s="3"/>
      <c r="R142" s="83"/>
      <c r="S142" s="3"/>
      <c r="T142" s="83"/>
      <c r="U142" s="3"/>
      <c r="V142" s="83"/>
      <c r="W142" s="454"/>
      <c r="X142" s="454"/>
      <c r="Y142" s="3"/>
      <c r="Z142" s="83"/>
      <c r="AA142" s="3"/>
      <c r="AB142" s="3"/>
      <c r="AC142" s="3"/>
      <c r="AD142" s="3"/>
    </row>
    <row r="143" spans="1:30" ht="24" customHeight="1" x14ac:dyDescent="0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83"/>
      <c r="M143" s="3"/>
      <c r="N143" s="83"/>
      <c r="O143" s="3"/>
      <c r="P143" s="83"/>
      <c r="Q143" s="3"/>
      <c r="R143" s="83"/>
      <c r="S143" s="3"/>
      <c r="T143" s="83"/>
      <c r="U143" s="3"/>
      <c r="V143" s="83"/>
      <c r="W143" s="454"/>
      <c r="X143" s="454"/>
      <c r="Y143" s="3"/>
      <c r="Z143" s="83"/>
      <c r="AA143" s="3"/>
      <c r="AB143" s="3"/>
      <c r="AC143" s="3"/>
      <c r="AD143" s="3"/>
    </row>
    <row r="144" spans="1:30" ht="24" customHeight="1" x14ac:dyDescent="0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83"/>
      <c r="M144" s="3"/>
      <c r="N144" s="83"/>
      <c r="O144" s="3"/>
      <c r="P144" s="83"/>
      <c r="Q144" s="3"/>
      <c r="R144" s="83"/>
      <c r="S144" s="3"/>
      <c r="T144" s="83"/>
      <c r="U144" s="3"/>
      <c r="V144" s="83"/>
      <c r="W144" s="454"/>
      <c r="X144" s="454"/>
      <c r="Y144" s="3"/>
      <c r="Z144" s="83"/>
      <c r="AA144" s="3"/>
      <c r="AB144" s="3"/>
      <c r="AC144" s="3"/>
      <c r="AD144" s="3"/>
    </row>
    <row r="145" spans="1:30" ht="24" customHeight="1" x14ac:dyDescent="0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83"/>
      <c r="M145" s="3"/>
      <c r="N145" s="83"/>
      <c r="O145" s="3"/>
      <c r="P145" s="83"/>
      <c r="Q145" s="3"/>
      <c r="R145" s="83"/>
      <c r="S145" s="3"/>
      <c r="T145" s="83"/>
      <c r="U145" s="3"/>
      <c r="V145" s="83"/>
      <c r="W145" s="454"/>
      <c r="X145" s="454"/>
      <c r="Y145" s="3"/>
      <c r="Z145" s="83"/>
      <c r="AA145" s="3"/>
      <c r="AB145" s="3"/>
      <c r="AC145" s="3"/>
      <c r="AD145" s="3"/>
    </row>
    <row r="146" spans="1:30" ht="24" customHeight="1" x14ac:dyDescent="0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83"/>
      <c r="M146" s="3"/>
      <c r="N146" s="83"/>
      <c r="O146" s="3"/>
      <c r="P146" s="83"/>
      <c r="Q146" s="3"/>
      <c r="R146" s="83"/>
      <c r="S146" s="3"/>
      <c r="T146" s="83"/>
      <c r="U146" s="3"/>
      <c r="V146" s="83"/>
      <c r="W146" s="454"/>
      <c r="X146" s="454"/>
      <c r="Y146" s="3"/>
      <c r="Z146" s="83"/>
      <c r="AA146" s="3"/>
      <c r="AB146" s="3"/>
      <c r="AC146" s="3"/>
      <c r="AD146" s="3"/>
    </row>
    <row r="147" spans="1:30" ht="24" customHeight="1" x14ac:dyDescent="0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83"/>
      <c r="M147" s="3"/>
      <c r="N147" s="83"/>
      <c r="O147" s="3"/>
      <c r="P147" s="83"/>
      <c r="Q147" s="3"/>
      <c r="R147" s="83"/>
      <c r="S147" s="3"/>
      <c r="T147" s="83"/>
      <c r="U147" s="3"/>
      <c r="V147" s="83"/>
      <c r="W147" s="454"/>
      <c r="X147" s="454"/>
      <c r="Y147" s="3"/>
      <c r="Z147" s="83"/>
      <c r="AA147" s="3"/>
      <c r="AB147" s="3"/>
      <c r="AC147" s="3"/>
      <c r="AD147" s="3"/>
    </row>
    <row r="148" spans="1:30" ht="24" customHeight="1" x14ac:dyDescent="0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83"/>
      <c r="M148" s="3"/>
      <c r="N148" s="83"/>
      <c r="O148" s="3"/>
      <c r="P148" s="83"/>
      <c r="Q148" s="3"/>
      <c r="R148" s="83"/>
      <c r="S148" s="3"/>
      <c r="T148" s="83"/>
      <c r="U148" s="3"/>
      <c r="V148" s="83"/>
      <c r="W148" s="454"/>
      <c r="X148" s="454"/>
      <c r="Y148" s="3"/>
      <c r="Z148" s="83"/>
      <c r="AA148" s="3"/>
      <c r="AB148" s="3"/>
      <c r="AC148" s="3"/>
      <c r="AD148" s="3"/>
    </row>
    <row r="149" spans="1:30" ht="24" customHeight="1" x14ac:dyDescent="0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83"/>
      <c r="M149" s="3"/>
      <c r="N149" s="83"/>
      <c r="O149" s="3"/>
      <c r="P149" s="83"/>
      <c r="Q149" s="3"/>
      <c r="R149" s="83"/>
      <c r="S149" s="3"/>
      <c r="T149" s="83"/>
      <c r="U149" s="3"/>
      <c r="V149" s="83"/>
      <c r="W149" s="454"/>
      <c r="X149" s="454"/>
      <c r="Y149" s="3"/>
      <c r="Z149" s="83"/>
      <c r="AA149" s="3"/>
      <c r="AB149" s="3"/>
      <c r="AC149" s="3"/>
      <c r="AD149" s="3"/>
    </row>
    <row r="150" spans="1:30" ht="24" customHeight="1" x14ac:dyDescent="0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83"/>
      <c r="M150" s="3"/>
      <c r="N150" s="83"/>
      <c r="O150" s="3"/>
      <c r="P150" s="83"/>
      <c r="Q150" s="3"/>
      <c r="R150" s="83"/>
      <c r="S150" s="3"/>
      <c r="T150" s="83"/>
      <c r="U150" s="3"/>
      <c r="V150" s="83"/>
      <c r="W150" s="454"/>
      <c r="X150" s="454"/>
      <c r="Y150" s="3"/>
      <c r="Z150" s="83"/>
      <c r="AA150" s="3"/>
      <c r="AB150" s="3"/>
      <c r="AC150" s="3"/>
      <c r="AD150" s="3"/>
    </row>
    <row r="151" spans="1:30" ht="24" customHeight="1" x14ac:dyDescent="0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83"/>
      <c r="M151" s="3"/>
      <c r="N151" s="83"/>
      <c r="O151" s="3"/>
      <c r="P151" s="83"/>
      <c r="Q151" s="3"/>
      <c r="R151" s="83"/>
      <c r="S151" s="3"/>
      <c r="T151" s="83"/>
      <c r="U151" s="3"/>
      <c r="V151" s="83"/>
      <c r="W151" s="454"/>
      <c r="X151" s="454"/>
      <c r="Y151" s="3"/>
      <c r="Z151" s="83"/>
      <c r="AA151" s="3"/>
      <c r="AB151" s="3"/>
      <c r="AC151" s="3"/>
      <c r="AD151" s="3"/>
    </row>
    <row r="152" spans="1:30" ht="24" customHeight="1" x14ac:dyDescent="0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83"/>
      <c r="M152" s="3"/>
      <c r="N152" s="83"/>
      <c r="O152" s="3"/>
      <c r="P152" s="83"/>
      <c r="Q152" s="3"/>
      <c r="R152" s="83"/>
      <c r="S152" s="3"/>
      <c r="T152" s="83"/>
      <c r="U152" s="3"/>
      <c r="V152" s="83"/>
      <c r="W152" s="454"/>
      <c r="X152" s="454"/>
      <c r="Y152" s="3"/>
      <c r="Z152" s="83"/>
      <c r="AA152" s="3"/>
      <c r="AB152" s="3"/>
      <c r="AC152" s="3"/>
      <c r="AD152" s="3"/>
    </row>
    <row r="153" spans="1:30" ht="24" customHeight="1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83"/>
      <c r="M153" s="3"/>
      <c r="N153" s="83"/>
      <c r="O153" s="3"/>
      <c r="P153" s="83"/>
      <c r="Q153" s="3"/>
      <c r="R153" s="83"/>
      <c r="S153" s="3"/>
      <c r="T153" s="83"/>
      <c r="U153" s="3"/>
      <c r="V153" s="83"/>
      <c r="W153" s="454"/>
      <c r="X153" s="454"/>
      <c r="Y153" s="3"/>
      <c r="Z153" s="83"/>
      <c r="AA153" s="3"/>
      <c r="AB153" s="3"/>
      <c r="AC153" s="3"/>
      <c r="AD153" s="3"/>
    </row>
    <row r="154" spans="1:30" ht="24" customHeight="1" x14ac:dyDescent="0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83"/>
      <c r="M154" s="3"/>
      <c r="N154" s="83"/>
      <c r="O154" s="3"/>
      <c r="P154" s="83"/>
      <c r="Q154" s="3"/>
      <c r="R154" s="83"/>
      <c r="S154" s="3"/>
      <c r="T154" s="83"/>
      <c r="U154" s="3"/>
      <c r="V154" s="83"/>
      <c r="W154" s="454"/>
      <c r="X154" s="454"/>
      <c r="Y154" s="3"/>
      <c r="Z154" s="83"/>
      <c r="AA154" s="3"/>
      <c r="AB154" s="3"/>
      <c r="AC154" s="3"/>
      <c r="AD154" s="3"/>
    </row>
    <row r="155" spans="1:30" ht="24" customHeight="1" x14ac:dyDescent="0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83"/>
      <c r="M155" s="3"/>
      <c r="N155" s="83"/>
      <c r="O155" s="3"/>
      <c r="P155" s="83"/>
      <c r="Q155" s="3"/>
      <c r="R155" s="83"/>
      <c r="S155" s="3"/>
      <c r="T155" s="83"/>
      <c r="U155" s="3"/>
      <c r="V155" s="83"/>
      <c r="W155" s="454"/>
      <c r="X155" s="454"/>
      <c r="Y155" s="3"/>
      <c r="Z155" s="83"/>
      <c r="AA155" s="3"/>
      <c r="AB155" s="3"/>
      <c r="AC155" s="3"/>
      <c r="AD155" s="3"/>
    </row>
    <row r="156" spans="1:30" ht="24" customHeight="1" x14ac:dyDescent="0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83"/>
      <c r="M156" s="3"/>
      <c r="N156" s="83"/>
      <c r="O156" s="3"/>
      <c r="P156" s="83"/>
      <c r="Q156" s="3"/>
      <c r="R156" s="83"/>
      <c r="S156" s="3"/>
      <c r="T156" s="83"/>
      <c r="U156" s="3"/>
      <c r="V156" s="83"/>
      <c r="W156" s="454"/>
      <c r="X156" s="454"/>
      <c r="Y156" s="3"/>
      <c r="Z156" s="83"/>
      <c r="AA156" s="3"/>
      <c r="AB156" s="3"/>
      <c r="AC156" s="3"/>
      <c r="AD156" s="3"/>
    </row>
    <row r="157" spans="1:30" ht="24" customHeight="1" x14ac:dyDescent="0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83"/>
      <c r="M157" s="3"/>
      <c r="N157" s="83"/>
      <c r="O157" s="3"/>
      <c r="P157" s="83"/>
      <c r="Q157" s="3"/>
      <c r="R157" s="83"/>
      <c r="S157" s="3"/>
      <c r="T157" s="83"/>
      <c r="U157" s="3"/>
      <c r="V157" s="83"/>
      <c r="W157" s="454"/>
      <c r="X157" s="454"/>
      <c r="Y157" s="3"/>
      <c r="Z157" s="83"/>
      <c r="AA157" s="3"/>
      <c r="AB157" s="3"/>
      <c r="AC157" s="3"/>
      <c r="AD157" s="3"/>
    </row>
    <row r="158" spans="1:30" ht="24" customHeight="1" x14ac:dyDescent="0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83"/>
      <c r="M158" s="3"/>
      <c r="N158" s="83"/>
      <c r="O158" s="3"/>
      <c r="P158" s="83"/>
      <c r="Q158" s="3"/>
      <c r="R158" s="83"/>
      <c r="S158" s="3"/>
      <c r="T158" s="83"/>
      <c r="U158" s="3"/>
      <c r="V158" s="83"/>
      <c r="W158" s="454"/>
      <c r="X158" s="454"/>
      <c r="Y158" s="3"/>
      <c r="Z158" s="83"/>
      <c r="AA158" s="3"/>
      <c r="AB158" s="3"/>
      <c r="AC158" s="3"/>
      <c r="AD158" s="3"/>
    </row>
    <row r="159" spans="1:30" ht="24" customHeight="1" x14ac:dyDescent="0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83"/>
      <c r="M159" s="3"/>
      <c r="N159" s="83"/>
      <c r="O159" s="3"/>
      <c r="P159" s="83"/>
      <c r="Q159" s="3"/>
      <c r="R159" s="83"/>
      <c r="S159" s="3"/>
      <c r="T159" s="83"/>
      <c r="U159" s="3"/>
      <c r="V159" s="83"/>
      <c r="W159" s="454"/>
      <c r="X159" s="454"/>
      <c r="Y159" s="3"/>
      <c r="Z159" s="83"/>
      <c r="AA159" s="3"/>
      <c r="AB159" s="3"/>
      <c r="AC159" s="3"/>
      <c r="AD159" s="3"/>
    </row>
    <row r="160" spans="1:30" ht="24" customHeight="1" x14ac:dyDescent="0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83"/>
      <c r="M160" s="3"/>
      <c r="N160" s="83"/>
      <c r="O160" s="3"/>
      <c r="P160" s="83"/>
      <c r="Q160" s="3"/>
      <c r="R160" s="83"/>
      <c r="S160" s="3"/>
      <c r="T160" s="83"/>
      <c r="U160" s="3"/>
      <c r="V160" s="83"/>
      <c r="W160" s="454"/>
      <c r="X160" s="454"/>
      <c r="Y160" s="3"/>
      <c r="Z160" s="83"/>
      <c r="AA160" s="3"/>
      <c r="AB160" s="3"/>
      <c r="AC160" s="3"/>
      <c r="AD160" s="3"/>
    </row>
    <row r="161" spans="1:30" ht="24" customHeight="1" x14ac:dyDescent="0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83"/>
      <c r="M161" s="3"/>
      <c r="N161" s="83"/>
      <c r="O161" s="3"/>
      <c r="P161" s="83"/>
      <c r="Q161" s="3"/>
      <c r="R161" s="83"/>
      <c r="S161" s="3"/>
      <c r="T161" s="83"/>
      <c r="U161" s="3"/>
      <c r="V161" s="83"/>
      <c r="W161" s="454"/>
      <c r="X161" s="454"/>
      <c r="Y161" s="3"/>
      <c r="Z161" s="83"/>
      <c r="AA161" s="3"/>
      <c r="AB161" s="3"/>
      <c r="AC161" s="3"/>
      <c r="AD161" s="3"/>
    </row>
    <row r="162" spans="1:30" ht="24" customHeight="1" x14ac:dyDescent="0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83"/>
      <c r="M162" s="3"/>
      <c r="N162" s="83"/>
      <c r="O162" s="3"/>
      <c r="P162" s="83"/>
      <c r="Q162" s="3"/>
      <c r="R162" s="83"/>
      <c r="S162" s="3"/>
      <c r="T162" s="83"/>
      <c r="U162" s="3"/>
      <c r="V162" s="83"/>
      <c r="W162" s="454"/>
      <c r="X162" s="454"/>
      <c r="Y162" s="3"/>
      <c r="Z162" s="83"/>
      <c r="AA162" s="3"/>
      <c r="AB162" s="3"/>
      <c r="AC162" s="3"/>
      <c r="AD162" s="3"/>
    </row>
    <row r="163" spans="1:30" ht="24" customHeight="1" x14ac:dyDescent="0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83"/>
      <c r="M163" s="3"/>
      <c r="N163" s="83"/>
      <c r="O163" s="3"/>
      <c r="P163" s="83"/>
      <c r="Q163" s="3"/>
      <c r="R163" s="83"/>
      <c r="S163" s="3"/>
      <c r="T163" s="83"/>
      <c r="U163" s="3"/>
      <c r="V163" s="83"/>
      <c r="W163" s="454"/>
      <c r="X163" s="454"/>
      <c r="Y163" s="3"/>
      <c r="Z163" s="83"/>
      <c r="AA163" s="3"/>
      <c r="AB163" s="3"/>
      <c r="AC163" s="3"/>
      <c r="AD163" s="3"/>
    </row>
    <row r="164" spans="1:30" ht="24" customHeight="1" x14ac:dyDescent="0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83"/>
      <c r="M164" s="3"/>
      <c r="N164" s="83"/>
      <c r="O164" s="3"/>
      <c r="P164" s="83"/>
      <c r="Q164" s="3"/>
      <c r="R164" s="83"/>
      <c r="S164" s="3"/>
      <c r="T164" s="83"/>
      <c r="U164" s="3"/>
      <c r="V164" s="83"/>
      <c r="W164" s="454"/>
      <c r="X164" s="454"/>
      <c r="Y164" s="3"/>
      <c r="Z164" s="83"/>
      <c r="AA164" s="3"/>
      <c r="AB164" s="3"/>
      <c r="AC164" s="3"/>
      <c r="AD164" s="3"/>
    </row>
    <row r="165" spans="1:30" ht="24" customHeight="1" x14ac:dyDescent="0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83"/>
      <c r="M165" s="3"/>
      <c r="N165" s="83"/>
      <c r="O165" s="3"/>
      <c r="P165" s="83"/>
      <c r="Q165" s="3"/>
      <c r="R165" s="83"/>
      <c r="S165" s="3"/>
      <c r="T165" s="83"/>
      <c r="U165" s="3"/>
      <c r="V165" s="83"/>
      <c r="W165" s="454"/>
      <c r="X165" s="454"/>
      <c r="Y165" s="3"/>
      <c r="Z165" s="83"/>
      <c r="AA165" s="3"/>
      <c r="AB165" s="3"/>
      <c r="AC165" s="3"/>
      <c r="AD165" s="3"/>
    </row>
    <row r="166" spans="1:30" ht="24" customHeight="1" x14ac:dyDescent="0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83"/>
      <c r="M166" s="3"/>
      <c r="N166" s="83"/>
      <c r="O166" s="3"/>
      <c r="P166" s="83"/>
      <c r="Q166" s="3"/>
      <c r="R166" s="83"/>
      <c r="S166" s="3"/>
      <c r="T166" s="83"/>
      <c r="U166" s="3"/>
      <c r="V166" s="83"/>
      <c r="W166" s="454"/>
      <c r="X166" s="454"/>
      <c r="Y166" s="3"/>
      <c r="Z166" s="83"/>
      <c r="AA166" s="3"/>
      <c r="AB166" s="3"/>
      <c r="AC166" s="3"/>
      <c r="AD166" s="3"/>
    </row>
    <row r="167" spans="1:30" ht="24" customHeight="1" x14ac:dyDescent="0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83"/>
      <c r="M167" s="3"/>
      <c r="N167" s="83"/>
      <c r="O167" s="3"/>
      <c r="P167" s="83"/>
      <c r="Q167" s="3"/>
      <c r="R167" s="83"/>
      <c r="S167" s="3"/>
      <c r="T167" s="83"/>
      <c r="U167" s="3"/>
      <c r="V167" s="83"/>
      <c r="W167" s="454"/>
      <c r="X167" s="454"/>
      <c r="Y167" s="3"/>
      <c r="Z167" s="83"/>
      <c r="AA167" s="3"/>
      <c r="AB167" s="3"/>
      <c r="AC167" s="3"/>
      <c r="AD167" s="3"/>
    </row>
    <row r="168" spans="1:30" ht="24" customHeight="1" x14ac:dyDescent="0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83"/>
      <c r="M168" s="3"/>
      <c r="N168" s="83"/>
      <c r="O168" s="3"/>
      <c r="P168" s="83"/>
      <c r="Q168" s="3"/>
      <c r="R168" s="83"/>
      <c r="S168" s="3"/>
      <c r="T168" s="83"/>
      <c r="U168" s="3"/>
      <c r="V168" s="83"/>
      <c r="W168" s="454"/>
      <c r="X168" s="454"/>
      <c r="Y168" s="3"/>
      <c r="Z168" s="83"/>
      <c r="AA168" s="3"/>
      <c r="AB168" s="3"/>
      <c r="AC168" s="3"/>
      <c r="AD168" s="3"/>
    </row>
    <row r="169" spans="1:30" ht="24" customHeight="1" x14ac:dyDescent="0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83"/>
      <c r="M169" s="3"/>
      <c r="N169" s="83"/>
      <c r="O169" s="3"/>
      <c r="P169" s="83"/>
      <c r="Q169" s="3"/>
      <c r="R169" s="83"/>
      <c r="S169" s="3"/>
      <c r="T169" s="83"/>
      <c r="U169" s="3"/>
      <c r="V169" s="83"/>
      <c r="W169" s="454"/>
      <c r="X169" s="454"/>
      <c r="Y169" s="3"/>
      <c r="Z169" s="83"/>
      <c r="AA169" s="3"/>
      <c r="AB169" s="3"/>
      <c r="AC169" s="3"/>
      <c r="AD169" s="3"/>
    </row>
    <row r="170" spans="1:30" ht="24" customHeight="1" x14ac:dyDescent="0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83"/>
      <c r="M170" s="3"/>
      <c r="N170" s="83"/>
      <c r="O170" s="3"/>
      <c r="P170" s="83"/>
      <c r="Q170" s="3"/>
      <c r="R170" s="83"/>
      <c r="S170" s="3"/>
      <c r="T170" s="83"/>
      <c r="U170" s="3"/>
      <c r="V170" s="83"/>
      <c r="W170" s="454"/>
      <c r="X170" s="454"/>
      <c r="Y170" s="3"/>
      <c r="Z170" s="83"/>
      <c r="AA170" s="3"/>
      <c r="AB170" s="3"/>
      <c r="AC170" s="3"/>
      <c r="AD170" s="3"/>
    </row>
    <row r="171" spans="1:30" ht="24" customHeight="1" x14ac:dyDescent="0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83"/>
      <c r="M171" s="3"/>
      <c r="N171" s="83"/>
      <c r="O171" s="3"/>
      <c r="P171" s="83"/>
      <c r="Q171" s="3"/>
      <c r="R171" s="83"/>
      <c r="S171" s="3"/>
      <c r="T171" s="83"/>
      <c r="U171" s="3"/>
      <c r="V171" s="83"/>
      <c r="W171" s="454"/>
      <c r="X171" s="454"/>
      <c r="Y171" s="3"/>
      <c r="Z171" s="83"/>
      <c r="AA171" s="3"/>
      <c r="AB171" s="3"/>
      <c r="AC171" s="3"/>
      <c r="AD171" s="3"/>
    </row>
    <row r="172" spans="1:30" ht="24" customHeight="1" x14ac:dyDescent="0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83"/>
      <c r="M172" s="3"/>
      <c r="N172" s="83"/>
      <c r="O172" s="3"/>
      <c r="P172" s="83"/>
      <c r="Q172" s="3"/>
      <c r="R172" s="83"/>
      <c r="S172" s="3"/>
      <c r="T172" s="83"/>
      <c r="U172" s="3"/>
      <c r="V172" s="83"/>
      <c r="W172" s="454"/>
      <c r="X172" s="454"/>
      <c r="Y172" s="3"/>
      <c r="Z172" s="83"/>
      <c r="AA172" s="3"/>
      <c r="AB172" s="3"/>
      <c r="AC172" s="3"/>
      <c r="AD172" s="3"/>
    </row>
    <row r="173" spans="1:30" ht="24" customHeight="1" x14ac:dyDescent="0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83"/>
      <c r="M173" s="3"/>
      <c r="N173" s="83"/>
      <c r="O173" s="3"/>
      <c r="P173" s="83"/>
      <c r="Q173" s="3"/>
      <c r="R173" s="83"/>
      <c r="S173" s="3"/>
      <c r="T173" s="83"/>
      <c r="U173" s="3"/>
      <c r="V173" s="83"/>
      <c r="W173" s="454"/>
      <c r="X173" s="454"/>
      <c r="Y173" s="3"/>
      <c r="Z173" s="83"/>
      <c r="AA173" s="3"/>
      <c r="AB173" s="3"/>
      <c r="AC173" s="3"/>
      <c r="AD173" s="3"/>
    </row>
    <row r="174" spans="1:30" ht="24" customHeight="1" x14ac:dyDescent="0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83"/>
      <c r="M174" s="3"/>
      <c r="N174" s="83"/>
      <c r="O174" s="3"/>
      <c r="P174" s="83"/>
      <c r="Q174" s="3"/>
      <c r="R174" s="83"/>
      <c r="S174" s="3"/>
      <c r="T174" s="83"/>
      <c r="U174" s="3"/>
      <c r="V174" s="83"/>
      <c r="W174" s="454"/>
      <c r="X174" s="454"/>
      <c r="Y174" s="3"/>
      <c r="Z174" s="83"/>
      <c r="AA174" s="3"/>
      <c r="AB174" s="3"/>
      <c r="AC174" s="3"/>
      <c r="AD174" s="3"/>
    </row>
    <row r="175" spans="1:30" ht="24" customHeight="1" x14ac:dyDescent="0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83"/>
      <c r="M175" s="3"/>
      <c r="N175" s="83"/>
      <c r="O175" s="3"/>
      <c r="P175" s="83"/>
      <c r="Q175" s="3"/>
      <c r="R175" s="83"/>
      <c r="S175" s="3"/>
      <c r="T175" s="83"/>
      <c r="U175" s="3"/>
      <c r="V175" s="83"/>
      <c r="W175" s="454"/>
      <c r="X175" s="454"/>
      <c r="Y175" s="3"/>
      <c r="Z175" s="83"/>
      <c r="AA175" s="3"/>
      <c r="AB175" s="3"/>
      <c r="AC175" s="3"/>
      <c r="AD175" s="3"/>
    </row>
    <row r="176" spans="1:30" ht="24" customHeight="1" x14ac:dyDescent="0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83"/>
      <c r="M176" s="3"/>
      <c r="N176" s="83"/>
      <c r="O176" s="3"/>
      <c r="P176" s="83"/>
      <c r="Q176" s="3"/>
      <c r="R176" s="83"/>
      <c r="S176" s="3"/>
      <c r="T176" s="83"/>
      <c r="U176" s="3"/>
      <c r="V176" s="83"/>
      <c r="W176" s="454"/>
      <c r="X176" s="454"/>
      <c r="Y176" s="3"/>
      <c r="Z176" s="83"/>
      <c r="AA176" s="3"/>
      <c r="AB176" s="3"/>
      <c r="AC176" s="3"/>
      <c r="AD176" s="3"/>
    </row>
    <row r="177" spans="1:30" ht="24" customHeight="1" x14ac:dyDescent="0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83"/>
      <c r="M177" s="3"/>
      <c r="N177" s="83"/>
      <c r="O177" s="3"/>
      <c r="P177" s="83"/>
      <c r="Q177" s="3"/>
      <c r="R177" s="83"/>
      <c r="S177" s="3"/>
      <c r="T177" s="83"/>
      <c r="U177" s="3"/>
      <c r="V177" s="83"/>
      <c r="W177" s="454"/>
      <c r="X177" s="454"/>
      <c r="Y177" s="3"/>
      <c r="Z177" s="83"/>
      <c r="AA177" s="3"/>
      <c r="AB177" s="3"/>
      <c r="AC177" s="3"/>
      <c r="AD177" s="3"/>
    </row>
    <row r="178" spans="1:30" ht="24" customHeight="1" x14ac:dyDescent="0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83"/>
      <c r="M178" s="3"/>
      <c r="N178" s="83"/>
      <c r="O178" s="3"/>
      <c r="P178" s="83"/>
      <c r="Q178" s="3"/>
      <c r="R178" s="83"/>
      <c r="S178" s="3"/>
      <c r="T178" s="83"/>
      <c r="U178" s="3"/>
      <c r="V178" s="83"/>
      <c r="W178" s="454"/>
      <c r="X178" s="454"/>
      <c r="Y178" s="3"/>
      <c r="Z178" s="83"/>
      <c r="AA178" s="3"/>
      <c r="AB178" s="3"/>
      <c r="AC178" s="3"/>
      <c r="AD178" s="3"/>
    </row>
    <row r="179" spans="1:30" ht="24" customHeight="1" x14ac:dyDescent="0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83"/>
      <c r="M179" s="3"/>
      <c r="N179" s="83"/>
      <c r="O179" s="3"/>
      <c r="P179" s="83"/>
      <c r="Q179" s="3"/>
      <c r="R179" s="83"/>
      <c r="S179" s="3"/>
      <c r="T179" s="83"/>
      <c r="U179" s="3"/>
      <c r="V179" s="83"/>
      <c r="W179" s="454"/>
      <c r="X179" s="454"/>
      <c r="Y179" s="3"/>
      <c r="Z179" s="83"/>
      <c r="AA179" s="3"/>
      <c r="AB179" s="3"/>
      <c r="AC179" s="3"/>
      <c r="AD179" s="3"/>
    </row>
    <row r="180" spans="1:30" ht="24" customHeight="1" x14ac:dyDescent="0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83"/>
      <c r="M180" s="3"/>
      <c r="N180" s="83"/>
      <c r="O180" s="3"/>
      <c r="P180" s="83"/>
      <c r="Q180" s="3"/>
      <c r="R180" s="83"/>
      <c r="S180" s="3"/>
      <c r="T180" s="83"/>
      <c r="U180" s="3"/>
      <c r="V180" s="83"/>
      <c r="W180" s="454"/>
      <c r="X180" s="454"/>
      <c r="Y180" s="3"/>
      <c r="Z180" s="83"/>
      <c r="AA180" s="3"/>
      <c r="AB180" s="3"/>
      <c r="AC180" s="3"/>
      <c r="AD180" s="3"/>
    </row>
    <row r="181" spans="1:30" ht="24" customHeight="1" x14ac:dyDescent="0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83"/>
      <c r="M181" s="3"/>
      <c r="N181" s="83"/>
      <c r="O181" s="3"/>
      <c r="P181" s="83"/>
      <c r="Q181" s="3"/>
      <c r="R181" s="83"/>
      <c r="S181" s="3"/>
      <c r="T181" s="83"/>
      <c r="U181" s="3"/>
      <c r="V181" s="83"/>
      <c r="W181" s="454"/>
      <c r="X181" s="454"/>
      <c r="Y181" s="3"/>
      <c r="Z181" s="83"/>
      <c r="AA181" s="3"/>
      <c r="AB181" s="3"/>
      <c r="AC181" s="3"/>
      <c r="AD181" s="3"/>
    </row>
    <row r="182" spans="1:30" ht="24" customHeight="1" x14ac:dyDescent="0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83"/>
      <c r="M182" s="3"/>
      <c r="N182" s="83"/>
      <c r="O182" s="3"/>
      <c r="P182" s="83"/>
      <c r="Q182" s="3"/>
      <c r="R182" s="83"/>
      <c r="S182" s="3"/>
      <c r="T182" s="83"/>
      <c r="U182" s="3"/>
      <c r="V182" s="83"/>
      <c r="W182" s="454"/>
      <c r="X182" s="454"/>
      <c r="Y182" s="3"/>
      <c r="Z182" s="83"/>
      <c r="AA182" s="3"/>
      <c r="AB182" s="3"/>
      <c r="AC182" s="3"/>
      <c r="AD182" s="3"/>
    </row>
    <row r="183" spans="1:30" ht="24" customHeight="1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83"/>
      <c r="M183" s="3"/>
      <c r="N183" s="83"/>
      <c r="O183" s="3"/>
      <c r="P183" s="83"/>
      <c r="Q183" s="3"/>
      <c r="R183" s="83"/>
      <c r="S183" s="3"/>
      <c r="T183" s="83"/>
      <c r="U183" s="3"/>
      <c r="V183" s="83"/>
      <c r="W183" s="454"/>
      <c r="X183" s="454"/>
      <c r="Y183" s="3"/>
      <c r="Z183" s="83"/>
      <c r="AA183" s="3"/>
      <c r="AB183" s="3"/>
      <c r="AC183" s="3"/>
      <c r="AD183" s="3"/>
    </row>
    <row r="184" spans="1:30" ht="24" customHeight="1" x14ac:dyDescent="0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83"/>
      <c r="M184" s="3"/>
      <c r="N184" s="83"/>
      <c r="O184" s="3"/>
      <c r="P184" s="83"/>
      <c r="Q184" s="3"/>
      <c r="R184" s="83"/>
      <c r="S184" s="3"/>
      <c r="T184" s="83"/>
      <c r="U184" s="3"/>
      <c r="V184" s="83"/>
      <c r="W184" s="454"/>
      <c r="X184" s="454"/>
      <c r="Y184" s="3"/>
      <c r="Z184" s="83"/>
      <c r="AA184" s="3"/>
      <c r="AB184" s="3"/>
      <c r="AC184" s="3"/>
      <c r="AD184" s="3"/>
    </row>
    <row r="185" spans="1:30" ht="24" customHeight="1" x14ac:dyDescent="0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83"/>
      <c r="M185" s="3"/>
      <c r="N185" s="83"/>
      <c r="O185" s="3"/>
      <c r="P185" s="83"/>
      <c r="Q185" s="3"/>
      <c r="R185" s="83"/>
      <c r="S185" s="3"/>
      <c r="T185" s="83"/>
      <c r="U185" s="3"/>
      <c r="V185" s="83"/>
      <c r="W185" s="454"/>
      <c r="X185" s="454"/>
      <c r="Y185" s="3"/>
      <c r="Z185" s="83"/>
      <c r="AA185" s="3"/>
      <c r="AB185" s="3"/>
      <c r="AC185" s="3"/>
      <c r="AD185" s="3"/>
    </row>
    <row r="186" spans="1:30" ht="24" customHeight="1" x14ac:dyDescent="0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83"/>
      <c r="M186" s="3"/>
      <c r="N186" s="83"/>
      <c r="O186" s="3"/>
      <c r="P186" s="83"/>
      <c r="Q186" s="3"/>
      <c r="R186" s="83"/>
      <c r="S186" s="3"/>
      <c r="T186" s="83"/>
      <c r="U186" s="3"/>
      <c r="V186" s="83"/>
      <c r="W186" s="454"/>
      <c r="X186" s="454"/>
      <c r="Y186" s="3"/>
      <c r="Z186" s="83"/>
      <c r="AA186" s="3"/>
      <c r="AB186" s="3"/>
      <c r="AC186" s="3"/>
      <c r="AD186" s="3"/>
    </row>
    <row r="187" spans="1:30" ht="24" customHeight="1" x14ac:dyDescent="0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83"/>
      <c r="M187" s="3"/>
      <c r="N187" s="83"/>
      <c r="O187" s="3"/>
      <c r="P187" s="83"/>
      <c r="Q187" s="3"/>
      <c r="R187" s="83"/>
      <c r="S187" s="3"/>
      <c r="T187" s="83"/>
      <c r="U187" s="3"/>
      <c r="V187" s="83"/>
      <c r="W187" s="454"/>
      <c r="X187" s="454"/>
      <c r="Y187" s="3"/>
      <c r="Z187" s="83"/>
      <c r="AA187" s="3"/>
      <c r="AB187" s="3"/>
      <c r="AC187" s="3"/>
      <c r="AD187" s="3"/>
    </row>
    <row r="188" spans="1:30" ht="24" customHeight="1" x14ac:dyDescent="0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83"/>
      <c r="M188" s="3"/>
      <c r="N188" s="83"/>
      <c r="O188" s="3"/>
      <c r="P188" s="83"/>
      <c r="Q188" s="3"/>
      <c r="R188" s="83"/>
      <c r="S188" s="3"/>
      <c r="T188" s="83"/>
      <c r="U188" s="3"/>
      <c r="V188" s="83"/>
      <c r="W188" s="454"/>
      <c r="X188" s="454"/>
      <c r="Y188" s="3"/>
      <c r="Z188" s="83"/>
      <c r="AA188" s="3"/>
      <c r="AB188" s="3"/>
      <c r="AC188" s="3"/>
      <c r="AD188" s="3"/>
    </row>
    <row r="189" spans="1:30" ht="24" customHeight="1" x14ac:dyDescent="0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83"/>
      <c r="M189" s="3"/>
      <c r="N189" s="83"/>
      <c r="O189" s="3"/>
      <c r="P189" s="83"/>
      <c r="Q189" s="3"/>
      <c r="R189" s="83"/>
      <c r="S189" s="3"/>
      <c r="T189" s="83"/>
      <c r="U189" s="3"/>
      <c r="V189" s="83"/>
      <c r="W189" s="454"/>
      <c r="X189" s="454"/>
      <c r="Y189" s="3"/>
      <c r="Z189" s="83"/>
      <c r="AA189" s="3"/>
      <c r="AB189" s="3"/>
      <c r="AC189" s="3"/>
      <c r="AD189" s="3"/>
    </row>
    <row r="190" spans="1:30" ht="24" customHeight="1" x14ac:dyDescent="0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83"/>
      <c r="M190" s="3"/>
      <c r="N190" s="83"/>
      <c r="O190" s="3"/>
      <c r="P190" s="83"/>
      <c r="Q190" s="3"/>
      <c r="R190" s="83"/>
      <c r="S190" s="3"/>
      <c r="T190" s="83"/>
      <c r="U190" s="3"/>
      <c r="V190" s="83"/>
      <c r="W190" s="454"/>
      <c r="X190" s="454"/>
      <c r="Y190" s="3"/>
      <c r="Z190" s="83"/>
      <c r="AA190" s="3"/>
      <c r="AB190" s="3"/>
      <c r="AC190" s="3"/>
      <c r="AD190" s="3"/>
    </row>
    <row r="191" spans="1:30" ht="24" customHeight="1" x14ac:dyDescent="0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83"/>
      <c r="M191" s="3"/>
      <c r="N191" s="83"/>
      <c r="O191" s="3"/>
      <c r="P191" s="83"/>
      <c r="Q191" s="3"/>
      <c r="R191" s="83"/>
      <c r="S191" s="3"/>
      <c r="T191" s="83"/>
      <c r="U191" s="3"/>
      <c r="V191" s="83"/>
      <c r="W191" s="454"/>
      <c r="X191" s="454"/>
      <c r="Y191" s="3"/>
      <c r="Z191" s="83"/>
      <c r="AA191" s="3"/>
      <c r="AB191" s="3"/>
      <c r="AC191" s="3"/>
      <c r="AD191" s="3"/>
    </row>
    <row r="192" spans="1:30" ht="24" customHeight="1" x14ac:dyDescent="0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83"/>
      <c r="M192" s="3"/>
      <c r="N192" s="83"/>
      <c r="O192" s="3"/>
      <c r="P192" s="83"/>
      <c r="Q192" s="3"/>
      <c r="R192" s="83"/>
      <c r="S192" s="3"/>
      <c r="T192" s="83"/>
      <c r="U192" s="3"/>
      <c r="V192" s="83"/>
      <c r="W192" s="454"/>
      <c r="X192" s="454"/>
      <c r="Y192" s="3"/>
      <c r="Z192" s="83"/>
      <c r="AA192" s="3"/>
      <c r="AB192" s="3"/>
      <c r="AC192" s="3"/>
      <c r="AD192" s="3"/>
    </row>
    <row r="193" spans="1:30" ht="24" customHeight="1" x14ac:dyDescent="0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83"/>
      <c r="M193" s="3"/>
      <c r="N193" s="83"/>
      <c r="O193" s="3"/>
      <c r="P193" s="83"/>
      <c r="Q193" s="3"/>
      <c r="R193" s="83"/>
      <c r="S193" s="3"/>
      <c r="T193" s="83"/>
      <c r="U193" s="3"/>
      <c r="V193" s="83"/>
      <c r="W193" s="454"/>
      <c r="X193" s="454"/>
      <c r="Y193" s="3"/>
      <c r="Z193" s="83"/>
      <c r="AA193" s="3"/>
      <c r="AB193" s="3"/>
      <c r="AC193" s="3"/>
      <c r="AD193" s="3"/>
    </row>
    <row r="194" spans="1:30" ht="24" customHeight="1" x14ac:dyDescent="0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83"/>
      <c r="M194" s="3"/>
      <c r="N194" s="83"/>
      <c r="O194" s="3"/>
      <c r="P194" s="83"/>
      <c r="Q194" s="3"/>
      <c r="R194" s="83"/>
      <c r="S194" s="3"/>
      <c r="T194" s="83"/>
      <c r="U194" s="3"/>
      <c r="V194" s="83"/>
      <c r="W194" s="454"/>
      <c r="X194" s="454"/>
      <c r="Y194" s="3"/>
      <c r="Z194" s="83"/>
      <c r="AA194" s="3"/>
      <c r="AB194" s="3"/>
      <c r="AC194" s="3"/>
      <c r="AD194" s="3"/>
    </row>
    <row r="195" spans="1:30" ht="24" customHeight="1" x14ac:dyDescent="0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83"/>
      <c r="M195" s="3"/>
      <c r="N195" s="83"/>
      <c r="O195" s="3"/>
      <c r="P195" s="83"/>
      <c r="Q195" s="3"/>
      <c r="R195" s="83"/>
      <c r="S195" s="3"/>
      <c r="T195" s="83"/>
      <c r="U195" s="3"/>
      <c r="V195" s="83"/>
      <c r="W195" s="454"/>
      <c r="X195" s="454"/>
      <c r="Y195" s="3"/>
      <c r="Z195" s="83"/>
      <c r="AA195" s="3"/>
      <c r="AB195" s="3"/>
      <c r="AC195" s="3"/>
      <c r="AD195" s="3"/>
    </row>
    <row r="196" spans="1:30" ht="24" customHeight="1" x14ac:dyDescent="0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83"/>
      <c r="M196" s="3"/>
      <c r="N196" s="83"/>
      <c r="O196" s="3"/>
      <c r="P196" s="83"/>
      <c r="Q196" s="3"/>
      <c r="R196" s="83"/>
      <c r="S196" s="3"/>
      <c r="T196" s="83"/>
      <c r="U196" s="3"/>
      <c r="V196" s="83"/>
      <c r="W196" s="454"/>
      <c r="X196" s="454"/>
      <c r="Y196" s="3"/>
      <c r="Z196" s="83"/>
      <c r="AA196" s="3"/>
      <c r="AB196" s="3"/>
      <c r="AC196" s="3"/>
      <c r="AD196" s="3"/>
    </row>
    <row r="197" spans="1:30" ht="24" customHeight="1" x14ac:dyDescent="0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83"/>
      <c r="M197" s="3"/>
      <c r="N197" s="83"/>
      <c r="O197" s="3"/>
      <c r="P197" s="83"/>
      <c r="Q197" s="3"/>
      <c r="R197" s="83"/>
      <c r="S197" s="3"/>
      <c r="T197" s="83"/>
      <c r="U197" s="3"/>
      <c r="V197" s="83"/>
      <c r="W197" s="454"/>
      <c r="X197" s="454"/>
      <c r="Y197" s="3"/>
      <c r="Z197" s="83"/>
      <c r="AA197" s="3"/>
      <c r="AB197" s="3"/>
      <c r="AC197" s="3"/>
      <c r="AD197" s="3"/>
    </row>
    <row r="198" spans="1:30" ht="24" customHeight="1" x14ac:dyDescent="0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83"/>
      <c r="M198" s="3"/>
      <c r="N198" s="83"/>
      <c r="O198" s="3"/>
      <c r="P198" s="83"/>
      <c r="Q198" s="3"/>
      <c r="R198" s="83"/>
      <c r="S198" s="3"/>
      <c r="T198" s="83"/>
      <c r="U198" s="3"/>
      <c r="V198" s="83"/>
      <c r="W198" s="454"/>
      <c r="X198" s="454"/>
      <c r="Y198" s="3"/>
      <c r="Z198" s="83"/>
      <c r="AA198" s="3"/>
      <c r="AB198" s="3"/>
      <c r="AC198" s="3"/>
      <c r="AD198" s="3"/>
    </row>
    <row r="199" spans="1:30" ht="24" customHeight="1" x14ac:dyDescent="0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83"/>
      <c r="M199" s="3"/>
      <c r="N199" s="83"/>
      <c r="O199" s="3"/>
      <c r="P199" s="83"/>
      <c r="Q199" s="3"/>
      <c r="R199" s="83"/>
      <c r="S199" s="3"/>
      <c r="T199" s="83"/>
      <c r="U199" s="3"/>
      <c r="V199" s="83"/>
      <c r="W199" s="454"/>
      <c r="X199" s="454"/>
      <c r="Y199" s="3"/>
      <c r="Z199" s="83"/>
      <c r="AA199" s="3"/>
      <c r="AB199" s="3"/>
      <c r="AC199" s="3"/>
      <c r="AD199" s="3"/>
    </row>
    <row r="200" spans="1:30" ht="24" customHeight="1" x14ac:dyDescent="0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83"/>
      <c r="M200" s="3"/>
      <c r="N200" s="83"/>
      <c r="O200" s="3"/>
      <c r="P200" s="83"/>
      <c r="Q200" s="3"/>
      <c r="R200" s="83"/>
      <c r="S200" s="3"/>
      <c r="T200" s="83"/>
      <c r="U200" s="3"/>
      <c r="V200" s="83"/>
      <c r="W200" s="454"/>
      <c r="X200" s="454"/>
      <c r="Y200" s="3"/>
      <c r="Z200" s="83"/>
      <c r="AA200" s="3"/>
      <c r="AB200" s="3"/>
      <c r="AC200" s="3"/>
      <c r="AD200" s="3"/>
    </row>
    <row r="201" spans="1:30" ht="24" customHeight="1" x14ac:dyDescent="0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83"/>
      <c r="M201" s="3"/>
      <c r="N201" s="83"/>
      <c r="O201" s="3"/>
      <c r="P201" s="83"/>
      <c r="Q201" s="3"/>
      <c r="R201" s="83"/>
      <c r="S201" s="3"/>
      <c r="T201" s="83"/>
      <c r="U201" s="3"/>
      <c r="V201" s="83"/>
      <c r="W201" s="454"/>
      <c r="X201" s="454"/>
      <c r="Y201" s="3"/>
      <c r="Z201" s="83"/>
      <c r="AA201" s="3"/>
      <c r="AB201" s="3"/>
      <c r="AC201" s="3"/>
      <c r="AD201" s="3"/>
    </row>
    <row r="202" spans="1:30" ht="24" customHeight="1" x14ac:dyDescent="0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83"/>
      <c r="M202" s="3"/>
      <c r="N202" s="83"/>
      <c r="O202" s="3"/>
      <c r="P202" s="83"/>
      <c r="Q202" s="3"/>
      <c r="R202" s="83"/>
      <c r="S202" s="3"/>
      <c r="T202" s="83"/>
      <c r="U202" s="3"/>
      <c r="V202" s="83"/>
      <c r="W202" s="454"/>
      <c r="X202" s="454"/>
      <c r="Y202" s="3"/>
      <c r="Z202" s="83"/>
      <c r="AA202" s="3"/>
      <c r="AB202" s="3"/>
      <c r="AC202" s="3"/>
      <c r="AD202" s="3"/>
    </row>
    <row r="203" spans="1:30" ht="24" customHeight="1" x14ac:dyDescent="0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83"/>
      <c r="M203" s="3"/>
      <c r="N203" s="83"/>
      <c r="O203" s="3"/>
      <c r="P203" s="83"/>
      <c r="Q203" s="3"/>
      <c r="R203" s="83"/>
      <c r="S203" s="3"/>
      <c r="T203" s="83"/>
      <c r="U203" s="3"/>
      <c r="V203" s="83"/>
      <c r="W203" s="454"/>
      <c r="X203" s="454"/>
      <c r="Y203" s="3"/>
      <c r="Z203" s="83"/>
      <c r="AA203" s="3"/>
      <c r="AB203" s="3"/>
      <c r="AC203" s="3"/>
      <c r="AD203" s="3"/>
    </row>
    <row r="204" spans="1:30" ht="24" customHeight="1" x14ac:dyDescent="0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83"/>
      <c r="M204" s="3"/>
      <c r="N204" s="83"/>
      <c r="O204" s="3"/>
      <c r="P204" s="83"/>
      <c r="Q204" s="3"/>
      <c r="R204" s="83"/>
      <c r="S204" s="3"/>
      <c r="T204" s="83"/>
      <c r="U204" s="3"/>
      <c r="V204" s="83"/>
      <c r="W204" s="454"/>
      <c r="X204" s="454"/>
      <c r="Y204" s="3"/>
      <c r="Z204" s="83"/>
      <c r="AA204" s="3"/>
      <c r="AB204" s="3"/>
      <c r="AC204" s="3"/>
      <c r="AD204" s="3"/>
    </row>
    <row r="205" spans="1:30" ht="24" customHeight="1" x14ac:dyDescent="0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83"/>
      <c r="M205" s="3"/>
      <c r="N205" s="83"/>
      <c r="O205" s="3"/>
      <c r="P205" s="83"/>
      <c r="Q205" s="3"/>
      <c r="R205" s="83"/>
      <c r="S205" s="3"/>
      <c r="T205" s="83"/>
      <c r="U205" s="3"/>
      <c r="V205" s="83"/>
      <c r="W205" s="454"/>
      <c r="X205" s="454"/>
      <c r="Y205" s="3"/>
      <c r="Z205" s="83"/>
      <c r="AA205" s="3"/>
      <c r="AB205" s="3"/>
      <c r="AC205" s="3"/>
      <c r="AD205" s="3"/>
    </row>
    <row r="206" spans="1:30" ht="24" customHeight="1" x14ac:dyDescent="0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83"/>
      <c r="M206" s="3"/>
      <c r="N206" s="83"/>
      <c r="O206" s="3"/>
      <c r="P206" s="83"/>
      <c r="Q206" s="3"/>
      <c r="R206" s="83"/>
      <c r="S206" s="3"/>
      <c r="T206" s="83"/>
      <c r="U206" s="3"/>
      <c r="V206" s="83"/>
      <c r="W206" s="454"/>
      <c r="X206" s="454"/>
      <c r="Y206" s="3"/>
      <c r="Z206" s="83"/>
      <c r="AA206" s="3"/>
      <c r="AB206" s="3"/>
      <c r="AC206" s="3"/>
      <c r="AD206" s="3"/>
    </row>
    <row r="207" spans="1:30" ht="24" customHeight="1" x14ac:dyDescent="0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83"/>
      <c r="M207" s="3"/>
      <c r="N207" s="83"/>
      <c r="O207" s="3"/>
      <c r="P207" s="83"/>
      <c r="Q207" s="3"/>
      <c r="R207" s="83"/>
      <c r="S207" s="3"/>
      <c r="T207" s="83"/>
      <c r="U207" s="3"/>
      <c r="V207" s="83"/>
      <c r="W207" s="454"/>
      <c r="X207" s="454"/>
      <c r="Y207" s="3"/>
      <c r="Z207" s="83"/>
      <c r="AA207" s="3"/>
      <c r="AB207" s="3"/>
      <c r="AC207" s="3"/>
      <c r="AD207" s="3"/>
    </row>
    <row r="208" spans="1:30" ht="24" customHeight="1" x14ac:dyDescent="0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83"/>
      <c r="M208" s="3"/>
      <c r="N208" s="83"/>
      <c r="O208" s="3"/>
      <c r="P208" s="83"/>
      <c r="Q208" s="3"/>
      <c r="R208" s="83"/>
      <c r="S208" s="3"/>
      <c r="T208" s="83"/>
      <c r="U208" s="3"/>
      <c r="V208" s="83"/>
      <c r="W208" s="454"/>
      <c r="X208" s="454"/>
      <c r="Y208" s="3"/>
      <c r="Z208" s="83"/>
      <c r="AA208" s="3"/>
      <c r="AB208" s="3"/>
      <c r="AC208" s="3"/>
      <c r="AD208" s="3"/>
    </row>
    <row r="209" spans="1:30" ht="24" customHeight="1" x14ac:dyDescent="0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83"/>
      <c r="M209" s="3"/>
      <c r="N209" s="83"/>
      <c r="O209" s="3"/>
      <c r="P209" s="83"/>
      <c r="Q209" s="3"/>
      <c r="R209" s="83"/>
      <c r="S209" s="3"/>
      <c r="T209" s="83"/>
      <c r="U209" s="3"/>
      <c r="V209" s="83"/>
      <c r="W209" s="454"/>
      <c r="X209" s="454"/>
      <c r="Y209" s="3"/>
      <c r="Z209" s="83"/>
      <c r="AA209" s="3"/>
      <c r="AB209" s="3"/>
      <c r="AC209" s="3"/>
      <c r="AD209" s="3"/>
    </row>
    <row r="210" spans="1:30" ht="24" customHeight="1" x14ac:dyDescent="0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83"/>
      <c r="M210" s="3"/>
      <c r="N210" s="83"/>
      <c r="O210" s="3"/>
      <c r="P210" s="83"/>
      <c r="Q210" s="3"/>
      <c r="R210" s="83"/>
      <c r="S210" s="3"/>
      <c r="T210" s="83"/>
      <c r="U210" s="3"/>
      <c r="V210" s="83"/>
      <c r="W210" s="454"/>
      <c r="X210" s="454"/>
      <c r="Y210" s="3"/>
      <c r="Z210" s="83"/>
      <c r="AA210" s="3"/>
      <c r="AB210" s="3"/>
      <c r="AC210" s="3"/>
      <c r="AD210" s="3"/>
    </row>
    <row r="211" spans="1:30" ht="24" customHeight="1" x14ac:dyDescent="0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83"/>
      <c r="M211" s="3"/>
      <c r="N211" s="83"/>
      <c r="O211" s="3"/>
      <c r="P211" s="83"/>
      <c r="Q211" s="3"/>
      <c r="R211" s="83"/>
      <c r="S211" s="3"/>
      <c r="T211" s="83"/>
      <c r="U211" s="3"/>
      <c r="V211" s="83"/>
      <c r="W211" s="454"/>
      <c r="X211" s="454"/>
      <c r="Y211" s="3"/>
      <c r="Z211" s="83"/>
      <c r="AA211" s="3"/>
      <c r="AB211" s="3"/>
      <c r="AC211" s="3"/>
      <c r="AD211" s="3"/>
    </row>
    <row r="212" spans="1:30" ht="24" customHeight="1" x14ac:dyDescent="0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83"/>
      <c r="M212" s="3"/>
      <c r="N212" s="83"/>
      <c r="O212" s="3"/>
      <c r="P212" s="83"/>
      <c r="Q212" s="3"/>
      <c r="R212" s="83"/>
      <c r="S212" s="3"/>
      <c r="T212" s="83"/>
      <c r="U212" s="3"/>
      <c r="V212" s="83"/>
      <c r="W212" s="454"/>
      <c r="X212" s="454"/>
      <c r="Y212" s="3"/>
      <c r="Z212" s="83"/>
      <c r="AA212" s="3"/>
      <c r="AB212" s="3"/>
      <c r="AC212" s="3"/>
      <c r="AD212" s="3"/>
    </row>
    <row r="213" spans="1:30" ht="24" customHeight="1" x14ac:dyDescent="0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83"/>
      <c r="M213" s="3"/>
      <c r="N213" s="83"/>
      <c r="O213" s="3"/>
      <c r="P213" s="83"/>
      <c r="Q213" s="3"/>
      <c r="R213" s="83"/>
      <c r="S213" s="3"/>
      <c r="T213" s="83"/>
      <c r="U213" s="3"/>
      <c r="V213" s="83"/>
      <c r="W213" s="454"/>
      <c r="X213" s="454"/>
      <c r="Y213" s="3"/>
      <c r="Z213" s="83"/>
      <c r="AA213" s="3"/>
      <c r="AB213" s="3"/>
      <c r="AC213" s="3"/>
      <c r="AD213" s="3"/>
    </row>
    <row r="214" spans="1:30" ht="24" customHeight="1" x14ac:dyDescent="0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83"/>
      <c r="M214" s="3"/>
      <c r="N214" s="83"/>
      <c r="O214" s="3"/>
      <c r="P214" s="83"/>
      <c r="Q214" s="3"/>
      <c r="R214" s="83"/>
      <c r="S214" s="3"/>
      <c r="T214" s="83"/>
      <c r="U214" s="3"/>
      <c r="V214" s="83"/>
      <c r="W214" s="454"/>
      <c r="X214" s="454"/>
      <c r="Y214" s="3"/>
      <c r="Z214" s="83"/>
      <c r="AA214" s="3"/>
      <c r="AB214" s="3"/>
      <c r="AC214" s="3"/>
      <c r="AD214" s="3"/>
    </row>
    <row r="215" spans="1:30" ht="24" customHeight="1" x14ac:dyDescent="0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83"/>
      <c r="M215" s="3"/>
      <c r="N215" s="83"/>
      <c r="O215" s="3"/>
      <c r="P215" s="83"/>
      <c r="Q215" s="3"/>
      <c r="R215" s="83"/>
      <c r="S215" s="3"/>
      <c r="T215" s="83"/>
      <c r="U215" s="3"/>
      <c r="V215" s="83"/>
      <c r="W215" s="454"/>
      <c r="X215" s="454"/>
      <c r="Y215" s="3"/>
      <c r="Z215" s="83"/>
      <c r="AA215" s="3"/>
      <c r="AB215" s="3"/>
      <c r="AC215" s="3"/>
      <c r="AD215" s="3"/>
    </row>
    <row r="216" spans="1:30" ht="24" customHeight="1" x14ac:dyDescent="0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83"/>
      <c r="M216" s="3"/>
      <c r="N216" s="83"/>
      <c r="O216" s="3"/>
      <c r="P216" s="83"/>
      <c r="Q216" s="3"/>
      <c r="R216" s="83"/>
      <c r="S216" s="3"/>
      <c r="T216" s="83"/>
      <c r="U216" s="3"/>
      <c r="V216" s="83"/>
      <c r="W216" s="454"/>
      <c r="X216" s="454"/>
      <c r="Y216" s="3"/>
      <c r="Z216" s="83"/>
      <c r="AA216" s="3"/>
      <c r="AB216" s="3"/>
      <c r="AC216" s="3"/>
      <c r="AD216" s="3"/>
    </row>
    <row r="217" spans="1:30" ht="24" customHeight="1" x14ac:dyDescent="0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83"/>
      <c r="M217" s="3"/>
      <c r="N217" s="83"/>
      <c r="O217" s="3"/>
      <c r="P217" s="83"/>
      <c r="Q217" s="3"/>
      <c r="R217" s="83"/>
      <c r="S217" s="3"/>
      <c r="T217" s="83"/>
      <c r="U217" s="3"/>
      <c r="V217" s="83"/>
      <c r="W217" s="454"/>
      <c r="X217" s="454"/>
      <c r="Y217" s="3"/>
      <c r="Z217" s="83"/>
      <c r="AA217" s="3"/>
      <c r="AB217" s="3"/>
      <c r="AC217" s="3"/>
      <c r="AD217" s="3"/>
    </row>
    <row r="218" spans="1:30" ht="24" customHeight="1" x14ac:dyDescent="0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83"/>
      <c r="M218" s="3"/>
      <c r="N218" s="83"/>
      <c r="O218" s="3"/>
      <c r="P218" s="83"/>
      <c r="Q218" s="3"/>
      <c r="R218" s="83"/>
      <c r="S218" s="3"/>
      <c r="T218" s="83"/>
      <c r="U218" s="3"/>
      <c r="V218" s="83"/>
      <c r="W218" s="454"/>
      <c r="X218" s="454"/>
      <c r="Y218" s="3"/>
      <c r="Z218" s="83"/>
      <c r="AA218" s="3"/>
      <c r="AB218" s="3"/>
      <c r="AC218" s="3"/>
      <c r="AD218" s="3"/>
    </row>
    <row r="219" spans="1:30" ht="24" customHeight="1" x14ac:dyDescent="0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83"/>
      <c r="M219" s="3"/>
      <c r="N219" s="83"/>
      <c r="O219" s="3"/>
      <c r="P219" s="83"/>
      <c r="Q219" s="3"/>
      <c r="R219" s="83"/>
      <c r="S219" s="3"/>
      <c r="T219" s="83"/>
      <c r="U219" s="3"/>
      <c r="V219" s="83"/>
      <c r="W219" s="454"/>
      <c r="X219" s="454"/>
      <c r="Y219" s="3"/>
      <c r="Z219" s="83"/>
      <c r="AA219" s="3"/>
      <c r="AB219" s="3"/>
      <c r="AC219" s="3"/>
      <c r="AD219" s="3"/>
    </row>
    <row r="220" spans="1:30" ht="24" customHeight="1" x14ac:dyDescent="0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83"/>
      <c r="M220" s="3"/>
      <c r="N220" s="83"/>
      <c r="O220" s="3"/>
      <c r="P220" s="83"/>
      <c r="Q220" s="3"/>
      <c r="R220" s="83"/>
      <c r="S220" s="3"/>
      <c r="T220" s="83"/>
      <c r="U220" s="3"/>
      <c r="V220" s="83"/>
      <c r="W220" s="454"/>
      <c r="X220" s="454"/>
      <c r="Y220" s="3"/>
      <c r="Z220" s="83"/>
      <c r="AA220" s="3"/>
      <c r="AB220" s="3"/>
      <c r="AC220" s="3"/>
      <c r="AD220" s="3"/>
    </row>
    <row r="221" spans="1:30" ht="24" customHeight="1" x14ac:dyDescent="0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83"/>
      <c r="M221" s="3"/>
      <c r="N221" s="83"/>
      <c r="O221" s="3"/>
      <c r="P221" s="83"/>
      <c r="Q221" s="3"/>
      <c r="R221" s="83"/>
      <c r="S221" s="3"/>
      <c r="T221" s="83"/>
      <c r="U221" s="3"/>
      <c r="V221" s="83"/>
      <c r="W221" s="454"/>
      <c r="X221" s="454"/>
      <c r="Y221" s="3"/>
      <c r="Z221" s="83"/>
      <c r="AA221" s="3"/>
      <c r="AB221" s="3"/>
      <c r="AC221" s="3"/>
      <c r="AD221" s="3"/>
    </row>
    <row r="222" spans="1:30" ht="24" customHeight="1" x14ac:dyDescent="0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83"/>
      <c r="M222" s="3"/>
      <c r="N222" s="83"/>
      <c r="O222" s="3"/>
      <c r="P222" s="83"/>
      <c r="Q222" s="3"/>
      <c r="R222" s="83"/>
      <c r="S222" s="3"/>
      <c r="T222" s="83"/>
      <c r="U222" s="3"/>
      <c r="V222" s="83"/>
      <c r="W222" s="454"/>
      <c r="X222" s="454"/>
      <c r="Y222" s="3"/>
      <c r="Z222" s="83"/>
      <c r="AA222" s="3"/>
      <c r="AB222" s="3"/>
      <c r="AC222" s="3"/>
      <c r="AD222" s="3"/>
    </row>
    <row r="223" spans="1:30" ht="24" customHeight="1" x14ac:dyDescent="0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83"/>
      <c r="M223" s="3"/>
      <c r="N223" s="83"/>
      <c r="O223" s="3"/>
      <c r="P223" s="83"/>
      <c r="Q223" s="3"/>
      <c r="R223" s="83"/>
      <c r="S223" s="3"/>
      <c r="T223" s="83"/>
      <c r="U223" s="3"/>
      <c r="V223" s="83"/>
      <c r="W223" s="454"/>
      <c r="X223" s="454"/>
      <c r="Y223" s="3"/>
      <c r="Z223" s="83"/>
      <c r="AA223" s="3"/>
      <c r="AB223" s="3"/>
      <c r="AC223" s="3"/>
      <c r="AD223" s="3"/>
    </row>
    <row r="224" spans="1:30" ht="24" customHeight="1" x14ac:dyDescent="0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83"/>
      <c r="M224" s="3"/>
      <c r="N224" s="83"/>
      <c r="O224" s="3"/>
      <c r="P224" s="83"/>
      <c r="Q224" s="3"/>
      <c r="R224" s="83"/>
      <c r="S224" s="3"/>
      <c r="T224" s="83"/>
      <c r="U224" s="3"/>
      <c r="V224" s="83"/>
      <c r="W224" s="454"/>
      <c r="X224" s="454"/>
      <c r="Y224" s="3"/>
      <c r="Z224" s="83"/>
      <c r="AA224" s="3"/>
      <c r="AB224" s="3"/>
      <c r="AC224" s="3"/>
      <c r="AD224" s="3"/>
    </row>
    <row r="225" spans="1:30" ht="24" customHeight="1" x14ac:dyDescent="0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83"/>
      <c r="M225" s="3"/>
      <c r="N225" s="83"/>
      <c r="O225" s="3"/>
      <c r="P225" s="83"/>
      <c r="Q225" s="3"/>
      <c r="R225" s="83"/>
      <c r="S225" s="3"/>
      <c r="T225" s="83"/>
      <c r="U225" s="3"/>
      <c r="V225" s="83"/>
      <c r="W225" s="454"/>
      <c r="X225" s="454"/>
      <c r="Y225" s="3"/>
      <c r="Z225" s="83"/>
      <c r="AA225" s="3"/>
      <c r="AB225" s="3"/>
      <c r="AC225" s="3"/>
      <c r="AD225" s="3"/>
    </row>
    <row r="226" spans="1:30" ht="24" customHeight="1" x14ac:dyDescent="0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83"/>
      <c r="M226" s="3"/>
      <c r="N226" s="83"/>
      <c r="O226" s="3"/>
      <c r="P226" s="83"/>
      <c r="Q226" s="3"/>
      <c r="R226" s="83"/>
      <c r="S226" s="3"/>
      <c r="T226" s="83"/>
      <c r="U226" s="3"/>
      <c r="V226" s="83"/>
      <c r="W226" s="454"/>
      <c r="X226" s="454"/>
      <c r="Y226" s="3"/>
      <c r="Z226" s="83"/>
      <c r="AA226" s="3"/>
      <c r="AB226" s="3"/>
      <c r="AC226" s="3"/>
      <c r="AD226" s="3"/>
    </row>
    <row r="227" spans="1:30" ht="24" customHeight="1" x14ac:dyDescent="0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83"/>
      <c r="M227" s="3"/>
      <c r="N227" s="83"/>
      <c r="O227" s="3"/>
      <c r="P227" s="83"/>
      <c r="Q227" s="3"/>
      <c r="R227" s="83"/>
      <c r="S227" s="3"/>
      <c r="T227" s="83"/>
      <c r="U227" s="3"/>
      <c r="V227" s="83"/>
      <c r="W227" s="454"/>
      <c r="X227" s="454"/>
      <c r="Y227" s="3"/>
      <c r="Z227" s="83"/>
      <c r="AA227" s="3"/>
      <c r="AB227" s="3"/>
      <c r="AC227" s="3"/>
      <c r="AD227" s="3"/>
    </row>
    <row r="228" spans="1:30" ht="24" customHeight="1" x14ac:dyDescent="0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83"/>
      <c r="M228" s="3"/>
      <c r="N228" s="83"/>
      <c r="O228" s="3"/>
      <c r="P228" s="83"/>
      <c r="Q228" s="3"/>
      <c r="R228" s="83"/>
      <c r="S228" s="3"/>
      <c r="T228" s="83"/>
      <c r="U228" s="3"/>
      <c r="V228" s="83"/>
      <c r="W228" s="454"/>
      <c r="X228" s="454"/>
      <c r="Y228" s="3"/>
      <c r="Z228" s="83"/>
      <c r="AA228" s="3"/>
      <c r="AB228" s="3"/>
      <c r="AC228" s="3"/>
      <c r="AD228" s="3"/>
    </row>
    <row r="229" spans="1:30" ht="24" customHeight="1" x14ac:dyDescent="0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83"/>
      <c r="M229" s="3"/>
      <c r="N229" s="83"/>
      <c r="O229" s="3"/>
      <c r="P229" s="83"/>
      <c r="Q229" s="3"/>
      <c r="R229" s="83"/>
      <c r="S229" s="3"/>
      <c r="T229" s="83"/>
      <c r="U229" s="3"/>
      <c r="V229" s="83"/>
      <c r="W229" s="454"/>
      <c r="X229" s="454"/>
      <c r="Y229" s="3"/>
      <c r="Z229" s="83"/>
      <c r="AA229" s="3"/>
      <c r="AB229" s="3"/>
      <c r="AC229" s="3"/>
      <c r="AD229" s="3"/>
    </row>
    <row r="230" spans="1:30" ht="24" customHeight="1" x14ac:dyDescent="0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83"/>
      <c r="M230" s="3"/>
      <c r="N230" s="83"/>
      <c r="O230" s="3"/>
      <c r="P230" s="83"/>
      <c r="Q230" s="3"/>
      <c r="R230" s="83"/>
      <c r="S230" s="3"/>
      <c r="T230" s="83"/>
      <c r="U230" s="3"/>
      <c r="V230" s="83"/>
      <c r="W230" s="454"/>
      <c r="X230" s="454"/>
      <c r="Y230" s="3"/>
      <c r="Z230" s="83"/>
      <c r="AA230" s="3"/>
      <c r="AB230" s="3"/>
      <c r="AC230" s="3"/>
      <c r="AD230" s="3"/>
    </row>
    <row r="231" spans="1:30" ht="24" customHeight="1" x14ac:dyDescent="0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83"/>
      <c r="M231" s="3"/>
      <c r="N231" s="83"/>
      <c r="O231" s="3"/>
      <c r="P231" s="83"/>
      <c r="Q231" s="3"/>
      <c r="R231" s="83"/>
      <c r="S231" s="3"/>
      <c r="T231" s="83"/>
      <c r="U231" s="3"/>
      <c r="V231" s="83"/>
      <c r="W231" s="454"/>
      <c r="X231" s="454"/>
      <c r="Y231" s="3"/>
      <c r="Z231" s="83"/>
      <c r="AA231" s="3"/>
      <c r="AB231" s="3"/>
      <c r="AC231" s="3"/>
      <c r="AD231" s="3"/>
    </row>
    <row r="232" spans="1:30" ht="24" customHeight="1" x14ac:dyDescent="0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83"/>
      <c r="M232" s="3"/>
      <c r="N232" s="83"/>
      <c r="O232" s="3"/>
      <c r="P232" s="83"/>
      <c r="Q232" s="3"/>
      <c r="R232" s="83"/>
      <c r="S232" s="3"/>
      <c r="T232" s="83"/>
      <c r="U232" s="3"/>
      <c r="V232" s="83"/>
      <c r="W232" s="454"/>
      <c r="X232" s="454"/>
      <c r="Y232" s="3"/>
      <c r="Z232" s="83"/>
      <c r="AA232" s="3"/>
      <c r="AB232" s="3"/>
      <c r="AC232" s="3"/>
      <c r="AD232" s="3"/>
    </row>
    <row r="233" spans="1:30" ht="24" customHeight="1" x14ac:dyDescent="0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83"/>
      <c r="M233" s="3"/>
      <c r="N233" s="83"/>
      <c r="O233" s="3"/>
      <c r="P233" s="83"/>
      <c r="Q233" s="3"/>
      <c r="R233" s="83"/>
      <c r="S233" s="3"/>
      <c r="T233" s="83"/>
      <c r="U233" s="3"/>
      <c r="V233" s="83"/>
      <c r="W233" s="454"/>
      <c r="X233" s="454"/>
      <c r="Y233" s="3"/>
      <c r="Z233" s="83"/>
      <c r="AA233" s="3"/>
      <c r="AB233" s="3"/>
      <c r="AC233" s="3"/>
      <c r="AD233" s="3"/>
    </row>
    <row r="234" spans="1:30" ht="24" customHeight="1" x14ac:dyDescent="0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83"/>
      <c r="M234" s="3"/>
      <c r="N234" s="83"/>
      <c r="O234" s="3"/>
      <c r="P234" s="83"/>
      <c r="Q234" s="3"/>
      <c r="R234" s="83"/>
      <c r="S234" s="3"/>
      <c r="T234" s="83"/>
      <c r="U234" s="3"/>
      <c r="V234" s="83"/>
      <c r="W234" s="454"/>
      <c r="X234" s="454"/>
      <c r="Y234" s="3"/>
      <c r="Z234" s="83"/>
      <c r="AA234" s="3"/>
      <c r="AB234" s="3"/>
      <c r="AC234" s="3"/>
      <c r="AD234" s="3"/>
    </row>
    <row r="235" spans="1:30" ht="24" customHeight="1" x14ac:dyDescent="0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83"/>
      <c r="M235" s="3"/>
      <c r="N235" s="83"/>
      <c r="O235" s="3"/>
      <c r="P235" s="83"/>
      <c r="Q235" s="3"/>
      <c r="R235" s="83"/>
      <c r="S235" s="3"/>
      <c r="T235" s="83"/>
      <c r="U235" s="3"/>
      <c r="V235" s="83"/>
      <c r="W235" s="454"/>
      <c r="X235" s="454"/>
      <c r="Y235" s="3"/>
      <c r="Z235" s="83"/>
      <c r="AA235" s="3"/>
      <c r="AB235" s="3"/>
      <c r="AC235" s="3"/>
      <c r="AD235" s="3"/>
    </row>
    <row r="236" spans="1:30" ht="24" customHeight="1" x14ac:dyDescent="0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83"/>
      <c r="M236" s="3"/>
      <c r="N236" s="83"/>
      <c r="O236" s="3"/>
      <c r="P236" s="83"/>
      <c r="Q236" s="3"/>
      <c r="R236" s="83"/>
      <c r="S236" s="3"/>
      <c r="T236" s="83"/>
      <c r="U236" s="3"/>
      <c r="V236" s="83"/>
      <c r="W236" s="454"/>
      <c r="X236" s="454"/>
      <c r="Y236" s="3"/>
      <c r="Z236" s="83"/>
      <c r="AA236" s="3"/>
      <c r="AB236" s="3"/>
      <c r="AC236" s="3"/>
      <c r="AD236" s="3"/>
    </row>
    <row r="237" spans="1:30" ht="24" customHeight="1" x14ac:dyDescent="0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83"/>
      <c r="M237" s="3"/>
      <c r="N237" s="83"/>
      <c r="O237" s="3"/>
      <c r="P237" s="83"/>
      <c r="Q237" s="3"/>
      <c r="R237" s="83"/>
      <c r="S237" s="3"/>
      <c r="T237" s="83"/>
      <c r="U237" s="3"/>
      <c r="V237" s="83"/>
      <c r="W237" s="454"/>
      <c r="X237" s="454"/>
      <c r="Y237" s="3"/>
      <c r="Z237" s="83"/>
      <c r="AA237" s="3"/>
      <c r="AB237" s="3"/>
      <c r="AC237" s="3"/>
      <c r="AD237" s="3"/>
    </row>
    <row r="238" spans="1:30" ht="24" customHeight="1" x14ac:dyDescent="0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83"/>
      <c r="M238" s="3"/>
      <c r="N238" s="83"/>
      <c r="O238" s="3"/>
      <c r="P238" s="83"/>
      <c r="Q238" s="3"/>
      <c r="R238" s="83"/>
      <c r="S238" s="3"/>
      <c r="T238" s="83"/>
      <c r="U238" s="3"/>
      <c r="V238" s="83"/>
      <c r="W238" s="454"/>
      <c r="X238" s="454"/>
      <c r="Y238" s="3"/>
      <c r="Z238" s="83"/>
      <c r="AA238" s="3"/>
      <c r="AB238" s="3"/>
      <c r="AC238" s="3"/>
      <c r="AD238" s="3"/>
    </row>
    <row r="239" spans="1:30" ht="24" customHeight="1" x14ac:dyDescent="0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83"/>
      <c r="M239" s="3"/>
      <c r="N239" s="83"/>
      <c r="O239" s="3"/>
      <c r="P239" s="83"/>
      <c r="Q239" s="3"/>
      <c r="R239" s="83"/>
      <c r="S239" s="3"/>
      <c r="T239" s="83"/>
      <c r="U239" s="3"/>
      <c r="V239" s="83"/>
      <c r="W239" s="454"/>
      <c r="X239" s="454"/>
      <c r="Y239" s="3"/>
      <c r="Z239" s="83"/>
      <c r="AA239" s="3"/>
      <c r="AB239" s="3"/>
      <c r="AC239" s="3"/>
      <c r="AD239" s="3"/>
    </row>
    <row r="240" spans="1:30" ht="24" customHeight="1" x14ac:dyDescent="0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83"/>
      <c r="M240" s="3"/>
      <c r="N240" s="83"/>
      <c r="O240" s="3"/>
      <c r="P240" s="83"/>
      <c r="Q240" s="3"/>
      <c r="R240" s="83"/>
      <c r="S240" s="3"/>
      <c r="T240" s="83"/>
      <c r="U240" s="3"/>
      <c r="V240" s="83"/>
      <c r="W240" s="454"/>
      <c r="X240" s="454"/>
      <c r="Y240" s="3"/>
      <c r="Z240" s="83"/>
      <c r="AA240" s="3"/>
      <c r="AB240" s="3"/>
      <c r="AC240" s="3"/>
      <c r="AD240" s="3"/>
    </row>
    <row r="241" spans="1:30" ht="24" customHeight="1" x14ac:dyDescent="0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83"/>
      <c r="M241" s="3"/>
      <c r="N241" s="83"/>
      <c r="O241" s="3"/>
      <c r="P241" s="83"/>
      <c r="Q241" s="3"/>
      <c r="R241" s="83"/>
      <c r="S241" s="3"/>
      <c r="T241" s="83"/>
      <c r="U241" s="3"/>
      <c r="V241" s="83"/>
      <c r="W241" s="454"/>
      <c r="X241" s="454"/>
      <c r="Y241" s="3"/>
      <c r="Z241" s="83"/>
      <c r="AA241" s="3"/>
      <c r="AB241" s="3"/>
      <c r="AC241" s="3"/>
      <c r="AD241" s="3"/>
    </row>
    <row r="242" spans="1:30" ht="24" customHeight="1" x14ac:dyDescent="0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83"/>
      <c r="M242" s="3"/>
      <c r="N242" s="83"/>
      <c r="O242" s="3"/>
      <c r="P242" s="83"/>
      <c r="Q242" s="3"/>
      <c r="R242" s="83"/>
      <c r="S242" s="3"/>
      <c r="T242" s="83"/>
      <c r="U242" s="3"/>
      <c r="V242" s="83"/>
      <c r="W242" s="454"/>
      <c r="X242" s="454"/>
      <c r="Y242" s="3"/>
      <c r="Z242" s="83"/>
      <c r="AA242" s="3"/>
      <c r="AB242" s="3"/>
      <c r="AC242" s="3"/>
      <c r="AD242" s="3"/>
    </row>
    <row r="243" spans="1:30" ht="24" customHeight="1" x14ac:dyDescent="0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83"/>
      <c r="M243" s="3"/>
      <c r="N243" s="83"/>
      <c r="O243" s="3"/>
      <c r="P243" s="83"/>
      <c r="Q243" s="3"/>
      <c r="R243" s="83"/>
      <c r="S243" s="3"/>
      <c r="T243" s="83"/>
      <c r="U243" s="3"/>
      <c r="V243" s="83"/>
      <c r="W243" s="454"/>
      <c r="X243" s="454"/>
      <c r="Y243" s="3"/>
      <c r="Z243" s="83"/>
      <c r="AA243" s="3"/>
      <c r="AB243" s="3"/>
      <c r="AC243" s="3"/>
      <c r="AD243" s="3"/>
    </row>
    <row r="244" spans="1:30" ht="24" customHeight="1" x14ac:dyDescent="0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83"/>
      <c r="M244" s="3"/>
      <c r="N244" s="83"/>
      <c r="O244" s="3"/>
      <c r="P244" s="83"/>
      <c r="Q244" s="3"/>
      <c r="R244" s="83"/>
      <c r="S244" s="3"/>
      <c r="T244" s="83"/>
      <c r="U244" s="3"/>
      <c r="V244" s="83"/>
      <c r="W244" s="454"/>
      <c r="X244" s="454"/>
      <c r="Y244" s="3"/>
      <c r="Z244" s="83"/>
      <c r="AA244" s="3"/>
      <c r="AB244" s="3"/>
      <c r="AC244" s="3"/>
      <c r="AD244" s="3"/>
    </row>
    <row r="245" spans="1:30" ht="24" customHeight="1" x14ac:dyDescent="0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83"/>
      <c r="M245" s="3"/>
      <c r="N245" s="83"/>
      <c r="O245" s="3"/>
      <c r="P245" s="83"/>
      <c r="Q245" s="3"/>
      <c r="R245" s="83"/>
      <c r="S245" s="3"/>
      <c r="T245" s="83"/>
      <c r="U245" s="3"/>
      <c r="V245" s="83"/>
      <c r="W245" s="454"/>
      <c r="X245" s="454"/>
      <c r="Y245" s="3"/>
      <c r="Z245" s="83"/>
      <c r="AA245" s="3"/>
      <c r="AB245" s="3"/>
      <c r="AC245" s="3"/>
      <c r="AD245" s="3"/>
    </row>
    <row r="246" spans="1:30" ht="24" customHeight="1" x14ac:dyDescent="0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83"/>
      <c r="M246" s="3"/>
      <c r="N246" s="83"/>
      <c r="O246" s="3"/>
      <c r="P246" s="83"/>
      <c r="Q246" s="3"/>
      <c r="R246" s="83"/>
      <c r="S246" s="3"/>
      <c r="T246" s="83"/>
      <c r="U246" s="3"/>
      <c r="V246" s="83"/>
      <c r="W246" s="454"/>
      <c r="X246" s="454"/>
      <c r="Y246" s="3"/>
      <c r="Z246" s="83"/>
      <c r="AA246" s="3"/>
      <c r="AB246" s="3"/>
      <c r="AC246" s="3"/>
      <c r="AD246" s="3"/>
    </row>
    <row r="247" spans="1:30" ht="24" customHeight="1" x14ac:dyDescent="0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83"/>
      <c r="M247" s="3"/>
      <c r="N247" s="83"/>
      <c r="O247" s="3"/>
      <c r="P247" s="83"/>
      <c r="Q247" s="3"/>
      <c r="R247" s="83"/>
      <c r="S247" s="3"/>
      <c r="T247" s="83"/>
      <c r="U247" s="3"/>
      <c r="V247" s="83"/>
      <c r="W247" s="454"/>
      <c r="X247" s="454"/>
      <c r="Y247" s="3"/>
      <c r="Z247" s="83"/>
      <c r="AA247" s="3"/>
      <c r="AB247" s="3"/>
      <c r="AC247" s="3"/>
      <c r="AD247" s="3"/>
    </row>
    <row r="248" spans="1:30" ht="24" customHeight="1" x14ac:dyDescent="0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83"/>
      <c r="M248" s="3"/>
      <c r="N248" s="83"/>
      <c r="O248" s="3"/>
      <c r="P248" s="83"/>
      <c r="Q248" s="3"/>
      <c r="R248" s="83"/>
      <c r="S248" s="3"/>
      <c r="T248" s="83"/>
      <c r="U248" s="3"/>
      <c r="V248" s="83"/>
      <c r="W248" s="454"/>
      <c r="X248" s="454"/>
      <c r="Y248" s="3"/>
      <c r="Z248" s="83"/>
      <c r="AA248" s="3"/>
      <c r="AB248" s="3"/>
      <c r="AC248" s="3"/>
      <c r="AD248" s="3"/>
    </row>
    <row r="249" spans="1:30" ht="24" customHeight="1" x14ac:dyDescent="0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83"/>
      <c r="M249" s="3"/>
      <c r="N249" s="83"/>
      <c r="O249" s="3"/>
      <c r="P249" s="83"/>
      <c r="Q249" s="3"/>
      <c r="R249" s="83"/>
      <c r="S249" s="3"/>
      <c r="T249" s="83"/>
      <c r="U249" s="3"/>
      <c r="V249" s="83"/>
      <c r="W249" s="454"/>
      <c r="X249" s="454"/>
      <c r="Y249" s="3"/>
      <c r="Z249" s="83"/>
      <c r="AA249" s="3"/>
      <c r="AB249" s="3"/>
      <c r="AC249" s="3"/>
      <c r="AD249" s="3"/>
    </row>
    <row r="250" spans="1:30" ht="24" customHeight="1" x14ac:dyDescent="0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83"/>
      <c r="M250" s="3"/>
      <c r="N250" s="83"/>
      <c r="O250" s="3"/>
      <c r="P250" s="83"/>
      <c r="Q250" s="3"/>
      <c r="R250" s="83"/>
      <c r="S250" s="3"/>
      <c r="T250" s="83"/>
      <c r="U250" s="3"/>
      <c r="V250" s="83"/>
      <c r="W250" s="454"/>
      <c r="X250" s="454"/>
      <c r="Y250" s="3"/>
      <c r="Z250" s="83"/>
      <c r="AA250" s="3"/>
      <c r="AB250" s="3"/>
      <c r="AC250" s="3"/>
      <c r="AD250" s="3"/>
    </row>
    <row r="251" spans="1:30" ht="24" customHeight="1" x14ac:dyDescent="0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83"/>
      <c r="M251" s="3"/>
      <c r="N251" s="83"/>
      <c r="O251" s="3"/>
      <c r="P251" s="83"/>
      <c r="Q251" s="3"/>
      <c r="R251" s="83"/>
      <c r="S251" s="3"/>
      <c r="T251" s="83"/>
      <c r="U251" s="3"/>
      <c r="V251" s="83"/>
      <c r="W251" s="454"/>
      <c r="X251" s="454"/>
      <c r="Y251" s="3"/>
      <c r="Z251" s="83"/>
      <c r="AA251" s="3"/>
      <c r="AB251" s="3"/>
      <c r="AC251" s="3"/>
      <c r="AD251" s="3"/>
    </row>
    <row r="252" spans="1:30" ht="24" customHeight="1" x14ac:dyDescent="0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83"/>
      <c r="M252" s="3"/>
      <c r="N252" s="83"/>
      <c r="O252" s="3"/>
      <c r="P252" s="83"/>
      <c r="Q252" s="3"/>
      <c r="R252" s="83"/>
      <c r="S252" s="3"/>
      <c r="T252" s="83"/>
      <c r="U252" s="3"/>
      <c r="V252" s="83"/>
      <c r="W252" s="454"/>
      <c r="X252" s="454"/>
      <c r="Y252" s="3"/>
      <c r="Z252" s="83"/>
      <c r="AA252" s="3"/>
      <c r="AB252" s="3"/>
      <c r="AC252" s="3"/>
      <c r="AD252" s="3"/>
    </row>
    <row r="253" spans="1:30" ht="24" customHeight="1" x14ac:dyDescent="0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83"/>
      <c r="M253" s="3"/>
      <c r="N253" s="83"/>
      <c r="O253" s="3"/>
      <c r="P253" s="83"/>
      <c r="Q253" s="3"/>
      <c r="R253" s="83"/>
      <c r="S253" s="3"/>
      <c r="T253" s="83"/>
      <c r="U253" s="3"/>
      <c r="V253" s="83"/>
      <c r="W253" s="454"/>
      <c r="X253" s="454"/>
      <c r="Y253" s="3"/>
      <c r="Z253" s="83"/>
      <c r="AA253" s="3"/>
      <c r="AB253" s="3"/>
      <c r="AC253" s="3"/>
      <c r="AD253" s="3"/>
    </row>
    <row r="254" spans="1:30" ht="24" customHeight="1" x14ac:dyDescent="0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83"/>
      <c r="M254" s="3"/>
      <c r="N254" s="83"/>
      <c r="O254" s="3"/>
      <c r="P254" s="83"/>
      <c r="Q254" s="3"/>
      <c r="R254" s="83"/>
      <c r="S254" s="3"/>
      <c r="T254" s="83"/>
      <c r="U254" s="3"/>
      <c r="V254" s="83"/>
      <c r="W254" s="454"/>
      <c r="X254" s="454"/>
      <c r="Y254" s="3"/>
      <c r="Z254" s="83"/>
      <c r="AA254" s="3"/>
      <c r="AB254" s="3"/>
      <c r="AC254" s="3"/>
      <c r="AD254" s="3"/>
    </row>
    <row r="255" spans="1:30" ht="24" customHeight="1" x14ac:dyDescent="0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83"/>
      <c r="M255" s="3"/>
      <c r="N255" s="83"/>
      <c r="O255" s="3"/>
      <c r="P255" s="83"/>
      <c r="Q255" s="3"/>
      <c r="R255" s="83"/>
      <c r="S255" s="3"/>
      <c r="T255" s="83"/>
      <c r="U255" s="3"/>
      <c r="V255" s="83"/>
      <c r="W255" s="454"/>
      <c r="X255" s="454"/>
      <c r="Y255" s="3"/>
      <c r="Z255" s="83"/>
      <c r="AA255" s="3"/>
      <c r="AB255" s="3"/>
      <c r="AC255" s="3"/>
      <c r="AD255" s="3"/>
    </row>
    <row r="256" spans="1:30" ht="24" customHeight="1" x14ac:dyDescent="0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83"/>
      <c r="M256" s="3"/>
      <c r="N256" s="83"/>
      <c r="O256" s="3"/>
      <c r="P256" s="83"/>
      <c r="Q256" s="3"/>
      <c r="R256" s="83"/>
      <c r="S256" s="3"/>
      <c r="T256" s="83"/>
      <c r="U256" s="3"/>
      <c r="V256" s="83"/>
      <c r="W256" s="454"/>
      <c r="X256" s="454"/>
      <c r="Y256" s="3"/>
      <c r="Z256" s="83"/>
      <c r="AA256" s="3"/>
      <c r="AB256" s="3"/>
      <c r="AC256" s="3"/>
      <c r="AD256" s="3"/>
    </row>
    <row r="257" spans="1:30" ht="24" customHeight="1" x14ac:dyDescent="0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83"/>
      <c r="M257" s="3"/>
      <c r="N257" s="83"/>
      <c r="O257" s="3"/>
      <c r="P257" s="83"/>
      <c r="Q257" s="3"/>
      <c r="R257" s="83"/>
      <c r="S257" s="3"/>
      <c r="T257" s="83"/>
      <c r="U257" s="3"/>
      <c r="V257" s="83"/>
      <c r="W257" s="454"/>
      <c r="X257" s="454"/>
      <c r="Y257" s="3"/>
      <c r="Z257" s="83"/>
      <c r="AA257" s="3"/>
      <c r="AB257" s="3"/>
      <c r="AC257" s="3"/>
      <c r="AD257" s="3"/>
    </row>
    <row r="258" spans="1:30" ht="24" customHeight="1" x14ac:dyDescent="0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83"/>
      <c r="M258" s="3"/>
      <c r="N258" s="83"/>
      <c r="O258" s="3"/>
      <c r="P258" s="83"/>
      <c r="Q258" s="3"/>
      <c r="R258" s="83"/>
      <c r="S258" s="3"/>
      <c r="T258" s="83"/>
      <c r="U258" s="3"/>
      <c r="V258" s="83"/>
      <c r="W258" s="454"/>
      <c r="X258" s="454"/>
      <c r="Y258" s="3"/>
      <c r="Z258" s="83"/>
      <c r="AA258" s="3"/>
      <c r="AB258" s="3"/>
      <c r="AC258" s="3"/>
      <c r="AD258" s="3"/>
    </row>
    <row r="259" spans="1:30" ht="24" customHeight="1" x14ac:dyDescent="0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83"/>
      <c r="M259" s="3"/>
      <c r="N259" s="83"/>
      <c r="O259" s="3"/>
      <c r="P259" s="83"/>
      <c r="Q259" s="3"/>
      <c r="R259" s="83"/>
      <c r="S259" s="3"/>
      <c r="T259" s="83"/>
      <c r="U259" s="3"/>
      <c r="V259" s="83"/>
      <c r="W259" s="454"/>
      <c r="X259" s="454"/>
      <c r="Y259" s="3"/>
      <c r="Z259" s="83"/>
      <c r="AA259" s="3"/>
      <c r="AB259" s="3"/>
      <c r="AC259" s="3"/>
      <c r="AD259" s="3"/>
    </row>
    <row r="260" spans="1:30" ht="24" customHeight="1" x14ac:dyDescent="0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83"/>
      <c r="M260" s="3"/>
      <c r="N260" s="83"/>
      <c r="O260" s="3"/>
      <c r="P260" s="83"/>
      <c r="Q260" s="3"/>
      <c r="R260" s="83"/>
      <c r="S260" s="3"/>
      <c r="T260" s="83"/>
      <c r="U260" s="3"/>
      <c r="V260" s="83"/>
      <c r="W260" s="454"/>
      <c r="X260" s="454"/>
      <c r="Y260" s="3"/>
      <c r="Z260" s="83"/>
      <c r="AA260" s="3"/>
      <c r="AB260" s="3"/>
      <c r="AC260" s="3"/>
      <c r="AD260" s="3"/>
    </row>
    <row r="261" spans="1:30" ht="24" customHeight="1" x14ac:dyDescent="0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83"/>
      <c r="M261" s="3"/>
      <c r="N261" s="83"/>
      <c r="O261" s="3"/>
      <c r="P261" s="83"/>
      <c r="Q261" s="3"/>
      <c r="R261" s="83"/>
      <c r="S261" s="3"/>
      <c r="T261" s="83"/>
      <c r="U261" s="3"/>
      <c r="V261" s="83"/>
      <c r="W261" s="454"/>
      <c r="X261" s="454"/>
      <c r="Y261" s="3"/>
      <c r="Z261" s="83"/>
      <c r="AA261" s="3"/>
      <c r="AB261" s="3"/>
      <c r="AC261" s="3"/>
      <c r="AD261" s="3"/>
    </row>
    <row r="262" spans="1:30" ht="24" customHeight="1" x14ac:dyDescent="0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83"/>
      <c r="M262" s="3"/>
      <c r="N262" s="83"/>
      <c r="O262" s="3"/>
      <c r="P262" s="83"/>
      <c r="Q262" s="3"/>
      <c r="R262" s="83"/>
      <c r="S262" s="3"/>
      <c r="T262" s="83"/>
      <c r="U262" s="3"/>
      <c r="V262" s="83"/>
      <c r="W262" s="454"/>
      <c r="X262" s="454"/>
      <c r="Y262" s="3"/>
      <c r="Z262" s="83"/>
      <c r="AA262" s="3"/>
      <c r="AB262" s="3"/>
      <c r="AC262" s="3"/>
      <c r="AD262" s="3"/>
    </row>
    <row r="263" spans="1:30" ht="24" customHeight="1" x14ac:dyDescent="0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83"/>
      <c r="M263" s="3"/>
      <c r="N263" s="83"/>
      <c r="O263" s="3"/>
      <c r="P263" s="83"/>
      <c r="Q263" s="3"/>
      <c r="R263" s="83"/>
      <c r="S263" s="3"/>
      <c r="T263" s="83"/>
      <c r="U263" s="3"/>
      <c r="V263" s="83"/>
      <c r="W263" s="454"/>
      <c r="X263" s="454"/>
      <c r="Y263" s="3"/>
      <c r="Z263" s="83"/>
      <c r="AA263" s="3"/>
      <c r="AB263" s="3"/>
      <c r="AC263" s="3"/>
      <c r="AD263" s="3"/>
    </row>
    <row r="264" spans="1:30" ht="24" customHeight="1" x14ac:dyDescent="0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83"/>
      <c r="M264" s="3"/>
      <c r="N264" s="83"/>
      <c r="O264" s="3"/>
      <c r="P264" s="83"/>
      <c r="Q264" s="3"/>
      <c r="R264" s="83"/>
      <c r="S264" s="3"/>
      <c r="T264" s="83"/>
      <c r="U264" s="3"/>
      <c r="V264" s="83"/>
      <c r="W264" s="454"/>
      <c r="X264" s="454"/>
      <c r="Y264" s="3"/>
      <c r="Z264" s="83"/>
      <c r="AA264" s="3"/>
      <c r="AB264" s="3"/>
      <c r="AC264" s="3"/>
      <c r="AD264" s="3"/>
    </row>
    <row r="265" spans="1:30" ht="24" customHeight="1" x14ac:dyDescent="0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83"/>
      <c r="M265" s="3"/>
      <c r="N265" s="83"/>
      <c r="O265" s="3"/>
      <c r="P265" s="83"/>
      <c r="Q265" s="3"/>
      <c r="R265" s="83"/>
      <c r="S265" s="3"/>
      <c r="T265" s="83"/>
      <c r="U265" s="3"/>
      <c r="V265" s="83"/>
      <c r="W265" s="454"/>
      <c r="X265" s="454"/>
      <c r="Y265" s="3"/>
      <c r="Z265" s="83"/>
      <c r="AA265" s="3"/>
      <c r="AB265" s="3"/>
      <c r="AC265" s="3"/>
      <c r="AD265" s="3"/>
    </row>
    <row r="266" spans="1:30" ht="24" customHeight="1" x14ac:dyDescent="0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83"/>
      <c r="M266" s="3"/>
      <c r="N266" s="83"/>
      <c r="O266" s="3"/>
      <c r="P266" s="83"/>
      <c r="Q266" s="3"/>
      <c r="R266" s="83"/>
      <c r="S266" s="3"/>
      <c r="T266" s="83"/>
      <c r="U266" s="3"/>
      <c r="V266" s="83"/>
      <c r="W266" s="454"/>
      <c r="X266" s="454"/>
      <c r="Y266" s="3"/>
      <c r="Z266" s="83"/>
      <c r="AA266" s="3"/>
      <c r="AB266" s="3"/>
      <c r="AC266" s="3"/>
      <c r="AD266" s="3"/>
    </row>
    <row r="267" spans="1:30" ht="24" customHeight="1" x14ac:dyDescent="0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83"/>
      <c r="M267" s="3"/>
      <c r="N267" s="83"/>
      <c r="O267" s="3"/>
      <c r="P267" s="83"/>
      <c r="Q267" s="3"/>
      <c r="R267" s="83"/>
      <c r="S267" s="3"/>
      <c r="T267" s="83"/>
      <c r="U267" s="3"/>
      <c r="V267" s="83"/>
      <c r="W267" s="454"/>
      <c r="X267" s="454"/>
      <c r="Y267" s="3"/>
      <c r="Z267" s="83"/>
      <c r="AA267" s="3"/>
      <c r="AB267" s="3"/>
      <c r="AC267" s="3"/>
      <c r="AD267" s="3"/>
    </row>
    <row r="268" spans="1:30" ht="24" customHeight="1" x14ac:dyDescent="0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83"/>
      <c r="M268" s="3"/>
      <c r="N268" s="83"/>
      <c r="O268" s="3"/>
      <c r="P268" s="83"/>
      <c r="Q268" s="3"/>
      <c r="R268" s="83"/>
      <c r="S268" s="3"/>
      <c r="T268" s="83"/>
      <c r="U268" s="3"/>
      <c r="V268" s="83"/>
      <c r="W268" s="454"/>
      <c r="X268" s="454"/>
      <c r="Y268" s="3"/>
      <c r="Z268" s="83"/>
      <c r="AA268" s="3"/>
      <c r="AB268" s="3"/>
      <c r="AC268" s="3"/>
      <c r="AD268" s="3"/>
    </row>
    <row r="269" spans="1:30" ht="24" customHeight="1" x14ac:dyDescent="0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83"/>
      <c r="M269" s="3"/>
      <c r="N269" s="83"/>
      <c r="O269" s="3"/>
      <c r="P269" s="83"/>
      <c r="Q269" s="3"/>
      <c r="R269" s="83"/>
      <c r="S269" s="3"/>
      <c r="T269" s="83"/>
      <c r="U269" s="3"/>
      <c r="V269" s="83"/>
      <c r="W269" s="454"/>
      <c r="X269" s="454"/>
      <c r="Y269" s="3"/>
      <c r="Z269" s="83"/>
      <c r="AA269" s="3"/>
      <c r="AB269" s="3"/>
      <c r="AC269" s="3"/>
      <c r="AD269" s="3"/>
    </row>
    <row r="270" spans="1:30" ht="24" customHeight="1" x14ac:dyDescent="0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83"/>
      <c r="M270" s="3"/>
      <c r="N270" s="83"/>
      <c r="O270" s="3"/>
      <c r="P270" s="83"/>
      <c r="Q270" s="3"/>
      <c r="R270" s="83"/>
      <c r="S270" s="3"/>
      <c r="T270" s="83"/>
      <c r="U270" s="3"/>
      <c r="V270" s="83"/>
      <c r="W270" s="454"/>
      <c r="X270" s="454"/>
      <c r="Y270" s="3"/>
      <c r="Z270" s="83"/>
      <c r="AA270" s="3"/>
      <c r="AB270" s="3"/>
      <c r="AC270" s="3"/>
      <c r="AD270" s="3"/>
    </row>
    <row r="271" spans="1:30" ht="24" customHeight="1" x14ac:dyDescent="0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83"/>
      <c r="M271" s="3"/>
      <c r="N271" s="83"/>
      <c r="O271" s="3"/>
      <c r="P271" s="83"/>
      <c r="Q271" s="3"/>
      <c r="R271" s="83"/>
      <c r="S271" s="3"/>
      <c r="T271" s="83"/>
      <c r="U271" s="3"/>
      <c r="V271" s="83"/>
      <c r="W271" s="454"/>
      <c r="X271" s="454"/>
      <c r="Y271" s="3"/>
      <c r="Z271" s="83"/>
      <c r="AA271" s="3"/>
      <c r="AB271" s="3"/>
      <c r="AC271" s="3"/>
      <c r="AD271" s="3"/>
    </row>
    <row r="272" spans="1:30" ht="24" customHeight="1" x14ac:dyDescent="0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83"/>
      <c r="M272" s="3"/>
      <c r="N272" s="83"/>
      <c r="O272" s="3"/>
      <c r="P272" s="83"/>
      <c r="Q272" s="3"/>
      <c r="R272" s="83"/>
      <c r="S272" s="3"/>
      <c r="T272" s="83"/>
      <c r="U272" s="3"/>
      <c r="V272" s="83"/>
      <c r="W272" s="454"/>
      <c r="X272" s="454"/>
      <c r="Y272" s="3"/>
      <c r="Z272" s="83"/>
      <c r="AA272" s="3"/>
      <c r="AB272" s="3"/>
      <c r="AC272" s="3"/>
      <c r="AD272" s="3"/>
    </row>
    <row r="273" spans="1:30" ht="24" customHeight="1" x14ac:dyDescent="0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83"/>
      <c r="M273" s="3"/>
      <c r="N273" s="83"/>
      <c r="O273" s="3"/>
      <c r="P273" s="83"/>
      <c r="Q273" s="3"/>
      <c r="R273" s="83"/>
      <c r="S273" s="3"/>
      <c r="T273" s="83"/>
      <c r="U273" s="3"/>
      <c r="V273" s="83"/>
      <c r="W273" s="454"/>
      <c r="X273" s="454"/>
      <c r="Y273" s="3"/>
      <c r="Z273" s="83"/>
      <c r="AA273" s="3"/>
      <c r="AB273" s="3"/>
      <c r="AC273" s="3"/>
      <c r="AD273" s="3"/>
    </row>
    <row r="274" spans="1:30" ht="24" customHeight="1" x14ac:dyDescent="0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83"/>
      <c r="M274" s="3"/>
      <c r="N274" s="83"/>
      <c r="O274" s="3"/>
      <c r="P274" s="83"/>
      <c r="Q274" s="3"/>
      <c r="R274" s="83"/>
      <c r="S274" s="3"/>
      <c r="T274" s="83"/>
      <c r="U274" s="3"/>
      <c r="V274" s="83"/>
      <c r="W274" s="454"/>
      <c r="X274" s="454"/>
      <c r="Y274" s="3"/>
      <c r="Z274" s="83"/>
      <c r="AA274" s="3"/>
      <c r="AB274" s="3"/>
      <c r="AC274" s="3"/>
      <c r="AD274" s="3"/>
    </row>
    <row r="275" spans="1:30" ht="24" customHeight="1" x14ac:dyDescent="0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83"/>
      <c r="M275" s="3"/>
      <c r="N275" s="83"/>
      <c r="O275" s="3"/>
      <c r="P275" s="83"/>
      <c r="Q275" s="3"/>
      <c r="R275" s="83"/>
      <c r="S275" s="3"/>
      <c r="T275" s="83"/>
      <c r="U275" s="3"/>
      <c r="V275" s="83"/>
      <c r="W275" s="454"/>
      <c r="X275" s="454"/>
      <c r="Y275" s="3"/>
      <c r="Z275" s="83"/>
      <c r="AA275" s="3"/>
      <c r="AB275" s="3"/>
      <c r="AC275" s="3"/>
      <c r="AD275" s="3"/>
    </row>
    <row r="276" spans="1:30" ht="24" customHeight="1" x14ac:dyDescent="0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83"/>
      <c r="M276" s="3"/>
      <c r="N276" s="83"/>
      <c r="O276" s="3"/>
      <c r="P276" s="83"/>
      <c r="Q276" s="3"/>
      <c r="R276" s="83"/>
      <c r="S276" s="3"/>
      <c r="T276" s="83"/>
      <c r="U276" s="3"/>
      <c r="V276" s="83"/>
      <c r="W276" s="454"/>
      <c r="X276" s="454"/>
      <c r="Y276" s="3"/>
      <c r="Z276" s="83"/>
      <c r="AA276" s="3"/>
      <c r="AB276" s="3"/>
      <c r="AC276" s="3"/>
      <c r="AD276" s="3"/>
    </row>
    <row r="277" spans="1:30" ht="24" customHeight="1" x14ac:dyDescent="0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83"/>
      <c r="M277" s="3"/>
      <c r="N277" s="83"/>
      <c r="O277" s="3"/>
      <c r="P277" s="83"/>
      <c r="Q277" s="3"/>
      <c r="R277" s="83"/>
      <c r="S277" s="3"/>
      <c r="T277" s="83"/>
      <c r="U277" s="3"/>
      <c r="V277" s="83"/>
      <c r="W277" s="454"/>
      <c r="X277" s="454"/>
      <c r="Y277" s="3"/>
      <c r="Z277" s="83"/>
      <c r="AA277" s="3"/>
      <c r="AB277" s="3"/>
      <c r="AC277" s="3"/>
      <c r="AD277" s="3"/>
    </row>
    <row r="278" spans="1:30" ht="24" customHeight="1" x14ac:dyDescent="0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83"/>
      <c r="M278" s="3"/>
      <c r="N278" s="83"/>
      <c r="O278" s="3"/>
      <c r="P278" s="83"/>
      <c r="Q278" s="3"/>
      <c r="R278" s="83"/>
      <c r="S278" s="3"/>
      <c r="T278" s="83"/>
      <c r="U278" s="3"/>
      <c r="V278" s="83"/>
      <c r="W278" s="454"/>
      <c r="X278" s="454"/>
      <c r="Y278" s="3"/>
      <c r="Z278" s="83"/>
      <c r="AA278" s="3"/>
      <c r="AB278" s="3"/>
      <c r="AC278" s="3"/>
      <c r="AD278" s="3"/>
    </row>
    <row r="279" spans="1:30" ht="24" customHeight="1" x14ac:dyDescent="0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83"/>
      <c r="M279" s="3"/>
      <c r="N279" s="83"/>
      <c r="O279" s="3"/>
      <c r="P279" s="83"/>
      <c r="Q279" s="3"/>
      <c r="R279" s="83"/>
      <c r="S279" s="3"/>
      <c r="T279" s="83"/>
      <c r="U279" s="3"/>
      <c r="V279" s="83"/>
      <c r="W279" s="454"/>
      <c r="X279" s="454"/>
      <c r="Y279" s="3"/>
      <c r="Z279" s="83"/>
      <c r="AA279" s="3"/>
      <c r="AB279" s="3"/>
      <c r="AC279" s="3"/>
      <c r="AD279" s="3"/>
    </row>
    <row r="280" spans="1:30" ht="24" customHeight="1" x14ac:dyDescent="0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83"/>
      <c r="M280" s="3"/>
      <c r="N280" s="83"/>
      <c r="O280" s="3"/>
      <c r="P280" s="83"/>
      <c r="Q280" s="3"/>
      <c r="R280" s="83"/>
      <c r="S280" s="3"/>
      <c r="T280" s="83"/>
      <c r="U280" s="3"/>
      <c r="V280" s="83"/>
      <c r="W280" s="454"/>
      <c r="X280" s="454"/>
      <c r="Y280" s="3"/>
      <c r="Z280" s="83"/>
      <c r="AA280" s="3"/>
      <c r="AB280" s="3"/>
      <c r="AC280" s="3"/>
      <c r="AD280" s="3"/>
    </row>
    <row r="281" spans="1:30" ht="24" customHeight="1" x14ac:dyDescent="0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83"/>
      <c r="M281" s="3"/>
      <c r="N281" s="83"/>
      <c r="O281" s="3"/>
      <c r="P281" s="83"/>
      <c r="Q281" s="3"/>
      <c r="R281" s="83"/>
      <c r="S281" s="3"/>
      <c r="T281" s="83"/>
      <c r="U281" s="3"/>
      <c r="V281" s="83"/>
      <c r="W281" s="454"/>
      <c r="X281" s="454"/>
      <c r="Y281" s="3"/>
      <c r="Z281" s="83"/>
      <c r="AA281" s="3"/>
      <c r="AB281" s="3"/>
      <c r="AC281" s="3"/>
      <c r="AD281" s="3"/>
    </row>
    <row r="282" spans="1:30" ht="24" customHeight="1" x14ac:dyDescent="0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83"/>
      <c r="M282" s="3"/>
      <c r="N282" s="83"/>
      <c r="O282" s="3"/>
      <c r="P282" s="83"/>
      <c r="Q282" s="3"/>
      <c r="R282" s="83"/>
      <c r="S282" s="3"/>
      <c r="T282" s="83"/>
      <c r="U282" s="3"/>
      <c r="V282" s="83"/>
      <c r="W282" s="454"/>
      <c r="X282" s="454"/>
      <c r="Y282" s="3"/>
      <c r="Z282" s="83"/>
      <c r="AA282" s="3"/>
      <c r="AB282" s="3"/>
      <c r="AC282" s="3"/>
      <c r="AD282" s="3"/>
    </row>
    <row r="283" spans="1:30" ht="24" customHeight="1" x14ac:dyDescent="0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83"/>
      <c r="M283" s="3"/>
      <c r="N283" s="83"/>
      <c r="O283" s="3"/>
      <c r="P283" s="83"/>
      <c r="Q283" s="3"/>
      <c r="R283" s="83"/>
      <c r="S283" s="3"/>
      <c r="T283" s="83"/>
      <c r="U283" s="3"/>
      <c r="V283" s="83"/>
      <c r="W283" s="454"/>
      <c r="X283" s="454"/>
      <c r="Y283" s="3"/>
      <c r="Z283" s="83"/>
      <c r="AA283" s="3"/>
      <c r="AB283" s="3"/>
      <c r="AC283" s="3"/>
      <c r="AD283" s="3"/>
    </row>
    <row r="284" spans="1:30" ht="24" customHeight="1" x14ac:dyDescent="0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83"/>
      <c r="M284" s="3"/>
      <c r="N284" s="83"/>
      <c r="O284" s="3"/>
      <c r="P284" s="83"/>
      <c r="Q284" s="3"/>
      <c r="R284" s="83"/>
      <c r="S284" s="3"/>
      <c r="T284" s="83"/>
      <c r="U284" s="3"/>
      <c r="V284" s="83"/>
      <c r="W284" s="454"/>
      <c r="X284" s="454"/>
      <c r="Y284" s="3"/>
      <c r="Z284" s="83"/>
      <c r="AA284" s="3"/>
      <c r="AB284" s="3"/>
      <c r="AC284" s="3"/>
      <c r="AD284" s="3"/>
    </row>
    <row r="285" spans="1:30" ht="24" customHeight="1" x14ac:dyDescent="0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83"/>
      <c r="M285" s="3"/>
      <c r="N285" s="83"/>
      <c r="O285" s="3"/>
      <c r="P285" s="83"/>
      <c r="Q285" s="3"/>
      <c r="R285" s="83"/>
      <c r="S285" s="3"/>
      <c r="T285" s="83"/>
      <c r="U285" s="3"/>
      <c r="V285" s="83"/>
      <c r="W285" s="454"/>
      <c r="X285" s="454"/>
      <c r="Y285" s="3"/>
      <c r="Z285" s="83"/>
      <c r="AA285" s="3"/>
      <c r="AB285" s="3"/>
      <c r="AC285" s="3"/>
      <c r="AD285" s="3"/>
    </row>
    <row r="286" spans="1:30" ht="24" customHeight="1" x14ac:dyDescent="0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83"/>
      <c r="M286" s="3"/>
      <c r="N286" s="83"/>
      <c r="O286" s="3"/>
      <c r="P286" s="83"/>
      <c r="Q286" s="3"/>
      <c r="R286" s="83"/>
      <c r="S286" s="3"/>
      <c r="T286" s="83"/>
      <c r="U286" s="3"/>
      <c r="V286" s="83"/>
      <c r="W286" s="454"/>
      <c r="X286" s="454"/>
      <c r="Y286" s="3"/>
      <c r="Z286" s="83"/>
      <c r="AA286" s="3"/>
      <c r="AB286" s="3"/>
      <c r="AC286" s="3"/>
      <c r="AD286" s="3"/>
    </row>
    <row r="287" spans="1:30" ht="24" customHeight="1" x14ac:dyDescent="0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83"/>
      <c r="M287" s="3"/>
      <c r="N287" s="83"/>
      <c r="O287" s="3"/>
      <c r="P287" s="83"/>
      <c r="Q287" s="3"/>
      <c r="R287" s="83"/>
      <c r="S287" s="3"/>
      <c r="T287" s="83"/>
      <c r="U287" s="3"/>
      <c r="V287" s="83"/>
      <c r="W287" s="454"/>
      <c r="X287" s="454"/>
      <c r="Y287" s="3"/>
      <c r="Z287" s="83"/>
      <c r="AA287" s="3"/>
      <c r="AB287" s="3"/>
      <c r="AC287" s="3"/>
      <c r="AD287" s="3"/>
    </row>
    <row r="288" spans="1:30" ht="24" customHeight="1" x14ac:dyDescent="0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83"/>
      <c r="M288" s="3"/>
      <c r="N288" s="83"/>
      <c r="O288" s="3"/>
      <c r="P288" s="83"/>
      <c r="Q288" s="3"/>
      <c r="R288" s="83"/>
      <c r="S288" s="3"/>
      <c r="T288" s="83"/>
      <c r="U288" s="3"/>
      <c r="V288" s="83"/>
      <c r="W288" s="454"/>
      <c r="X288" s="454"/>
      <c r="Y288" s="3"/>
      <c r="Z288" s="83"/>
      <c r="AA288" s="3"/>
      <c r="AB288" s="3"/>
      <c r="AC288" s="3"/>
      <c r="AD288" s="3"/>
    </row>
    <row r="289" spans="1:30" ht="24" customHeight="1" x14ac:dyDescent="0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83"/>
      <c r="M289" s="3"/>
      <c r="N289" s="83"/>
      <c r="O289" s="3"/>
      <c r="P289" s="83"/>
      <c r="Q289" s="3"/>
      <c r="R289" s="83"/>
      <c r="S289" s="3"/>
      <c r="T289" s="83"/>
      <c r="U289" s="3"/>
      <c r="V289" s="83"/>
      <c r="W289" s="454"/>
      <c r="X289" s="454"/>
      <c r="Y289" s="3"/>
      <c r="Z289" s="83"/>
      <c r="AA289" s="3"/>
      <c r="AB289" s="3"/>
      <c r="AC289" s="3"/>
      <c r="AD289" s="3"/>
    </row>
    <row r="290" spans="1:30" ht="24" customHeight="1" x14ac:dyDescent="0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83"/>
      <c r="M290" s="3"/>
      <c r="N290" s="83"/>
      <c r="O290" s="3"/>
      <c r="P290" s="83"/>
      <c r="Q290" s="3"/>
      <c r="R290" s="83"/>
      <c r="S290" s="3"/>
      <c r="T290" s="83"/>
      <c r="U290" s="3"/>
      <c r="V290" s="83"/>
      <c r="W290" s="454"/>
      <c r="X290" s="454"/>
      <c r="Y290" s="3"/>
      <c r="Z290" s="83"/>
      <c r="AA290" s="3"/>
      <c r="AB290" s="3"/>
      <c r="AC290" s="3"/>
      <c r="AD290" s="3"/>
    </row>
    <row r="291" spans="1:30" ht="24" customHeight="1" x14ac:dyDescent="0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83"/>
      <c r="M291" s="3"/>
      <c r="N291" s="83"/>
      <c r="O291" s="3"/>
      <c r="P291" s="83"/>
      <c r="Q291" s="3"/>
      <c r="R291" s="83"/>
      <c r="S291" s="3"/>
      <c r="T291" s="83"/>
      <c r="U291" s="3"/>
      <c r="V291" s="83"/>
      <c r="W291" s="454"/>
      <c r="X291" s="454"/>
      <c r="Y291" s="3"/>
      <c r="Z291" s="83"/>
      <c r="AA291" s="3"/>
      <c r="AB291" s="3"/>
      <c r="AC291" s="3"/>
      <c r="AD291" s="3"/>
    </row>
    <row r="292" spans="1:30" ht="24" customHeight="1" x14ac:dyDescent="0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83"/>
      <c r="M292" s="3"/>
      <c r="N292" s="83"/>
      <c r="O292" s="3"/>
      <c r="P292" s="83"/>
      <c r="Q292" s="3"/>
      <c r="R292" s="83"/>
      <c r="S292" s="3"/>
      <c r="T292" s="83"/>
      <c r="U292" s="3"/>
      <c r="V292" s="83"/>
      <c r="W292" s="454"/>
      <c r="X292" s="454"/>
      <c r="Y292" s="3"/>
      <c r="Z292" s="83"/>
      <c r="AA292" s="3"/>
      <c r="AB292" s="3"/>
      <c r="AC292" s="3"/>
      <c r="AD292" s="3"/>
    </row>
    <row r="293" spans="1:30" ht="24" customHeight="1" x14ac:dyDescent="0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83"/>
      <c r="M293" s="3"/>
      <c r="N293" s="83"/>
      <c r="O293" s="3"/>
      <c r="P293" s="83"/>
      <c r="Q293" s="3"/>
      <c r="R293" s="83"/>
      <c r="S293" s="3"/>
      <c r="T293" s="83"/>
      <c r="U293" s="3"/>
      <c r="V293" s="83"/>
      <c r="W293" s="454"/>
      <c r="X293" s="454"/>
      <c r="Y293" s="3"/>
      <c r="Z293" s="83"/>
      <c r="AA293" s="3"/>
      <c r="AB293" s="3"/>
      <c r="AC293" s="3"/>
      <c r="AD293" s="3"/>
    </row>
    <row r="294" spans="1:30" ht="24" customHeight="1" x14ac:dyDescent="0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83"/>
      <c r="M294" s="3"/>
      <c r="N294" s="83"/>
      <c r="O294" s="3"/>
      <c r="P294" s="83"/>
      <c r="Q294" s="3"/>
      <c r="R294" s="83"/>
      <c r="S294" s="3"/>
      <c r="T294" s="83"/>
      <c r="U294" s="3"/>
      <c r="V294" s="83"/>
      <c r="W294" s="454"/>
      <c r="X294" s="454"/>
      <c r="Y294" s="3"/>
      <c r="Z294" s="83"/>
      <c r="AA294" s="3"/>
      <c r="AB294" s="3"/>
      <c r="AC294" s="3"/>
      <c r="AD294" s="3"/>
    </row>
    <row r="295" spans="1:30" ht="24" customHeight="1" x14ac:dyDescent="0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83"/>
      <c r="M295" s="3"/>
      <c r="N295" s="83"/>
      <c r="O295" s="3"/>
      <c r="P295" s="83"/>
      <c r="Q295" s="3"/>
      <c r="R295" s="83"/>
      <c r="S295" s="3"/>
      <c r="T295" s="83"/>
      <c r="U295" s="3"/>
      <c r="V295" s="83"/>
      <c r="W295" s="454"/>
      <c r="X295" s="454"/>
      <c r="Y295" s="3"/>
      <c r="Z295" s="83"/>
      <c r="AA295" s="3"/>
      <c r="AB295" s="3"/>
      <c r="AC295" s="3"/>
      <c r="AD295" s="3"/>
    </row>
    <row r="296" spans="1:30" ht="24" customHeight="1" x14ac:dyDescent="0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83"/>
      <c r="M296" s="3"/>
      <c r="N296" s="83"/>
      <c r="O296" s="3"/>
      <c r="P296" s="83"/>
      <c r="Q296" s="3"/>
      <c r="R296" s="83"/>
      <c r="S296" s="3"/>
      <c r="T296" s="83"/>
      <c r="U296" s="3"/>
      <c r="V296" s="83"/>
      <c r="W296" s="454"/>
      <c r="X296" s="454"/>
      <c r="Y296" s="3"/>
      <c r="Z296" s="83"/>
      <c r="AA296" s="3"/>
      <c r="AB296" s="3"/>
      <c r="AC296" s="3"/>
      <c r="AD296" s="3"/>
    </row>
    <row r="297" spans="1:30" ht="24" customHeight="1" x14ac:dyDescent="0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83"/>
      <c r="M297" s="3"/>
      <c r="N297" s="83"/>
      <c r="O297" s="3"/>
      <c r="P297" s="83"/>
      <c r="Q297" s="3"/>
      <c r="R297" s="83"/>
      <c r="S297" s="3"/>
      <c r="T297" s="83"/>
      <c r="U297" s="3"/>
      <c r="V297" s="83"/>
      <c r="W297" s="454"/>
      <c r="X297" s="454"/>
      <c r="Y297" s="3"/>
      <c r="Z297" s="83"/>
      <c r="AA297" s="3"/>
      <c r="AB297" s="3"/>
      <c r="AC297" s="3"/>
      <c r="AD297" s="3"/>
    </row>
    <row r="298" spans="1:30" ht="24" customHeight="1" x14ac:dyDescent="0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83"/>
      <c r="M298" s="3"/>
      <c r="N298" s="83"/>
      <c r="O298" s="3"/>
      <c r="P298" s="83"/>
      <c r="Q298" s="3"/>
      <c r="R298" s="83"/>
      <c r="S298" s="3"/>
      <c r="T298" s="83"/>
      <c r="U298" s="3"/>
      <c r="V298" s="83"/>
      <c r="W298" s="454"/>
      <c r="X298" s="454"/>
      <c r="Y298" s="3"/>
      <c r="Z298" s="83"/>
      <c r="AA298" s="3"/>
      <c r="AB298" s="3"/>
      <c r="AC298" s="3"/>
      <c r="AD298" s="3"/>
    </row>
    <row r="299" spans="1:30" ht="24" customHeight="1" x14ac:dyDescent="0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83"/>
      <c r="M299" s="3"/>
      <c r="N299" s="83"/>
      <c r="O299" s="3"/>
      <c r="P299" s="83"/>
      <c r="Q299" s="3"/>
      <c r="R299" s="83"/>
      <c r="S299" s="3"/>
      <c r="T299" s="83"/>
      <c r="U299" s="3"/>
      <c r="V299" s="83"/>
      <c r="W299" s="454"/>
      <c r="X299" s="454"/>
      <c r="Y299" s="3"/>
      <c r="Z299" s="83"/>
      <c r="AA299" s="3"/>
      <c r="AB299" s="3"/>
      <c r="AC299" s="3"/>
      <c r="AD299" s="3"/>
    </row>
    <row r="300" spans="1:30" ht="24" customHeight="1" x14ac:dyDescent="0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83"/>
      <c r="M300" s="3"/>
      <c r="N300" s="83"/>
      <c r="O300" s="3"/>
      <c r="P300" s="83"/>
      <c r="Q300" s="3"/>
      <c r="R300" s="83"/>
      <c r="S300" s="3"/>
      <c r="T300" s="83"/>
      <c r="U300" s="3"/>
      <c r="V300" s="83"/>
      <c r="W300" s="454"/>
      <c r="X300" s="454"/>
      <c r="Y300" s="3"/>
      <c r="Z300" s="83"/>
      <c r="AA300" s="3"/>
      <c r="AB300" s="3"/>
      <c r="AC300" s="3"/>
      <c r="AD300" s="3"/>
    </row>
    <row r="301" spans="1:30" ht="24" customHeight="1" x14ac:dyDescent="0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83"/>
      <c r="M301" s="3"/>
      <c r="N301" s="83"/>
      <c r="O301" s="3"/>
      <c r="P301" s="83"/>
      <c r="Q301" s="3"/>
      <c r="R301" s="83"/>
      <c r="S301" s="3"/>
      <c r="T301" s="83"/>
      <c r="U301" s="3"/>
      <c r="V301" s="83"/>
      <c r="W301" s="454"/>
      <c r="X301" s="454"/>
      <c r="Y301" s="3"/>
      <c r="Z301" s="83"/>
      <c r="AA301" s="3"/>
      <c r="AB301" s="3"/>
      <c r="AC301" s="3"/>
      <c r="AD301" s="3"/>
    </row>
    <row r="302" spans="1:30" ht="24" customHeight="1" x14ac:dyDescent="0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83"/>
      <c r="M302" s="3"/>
      <c r="N302" s="83"/>
      <c r="O302" s="3"/>
      <c r="P302" s="83"/>
      <c r="Q302" s="3"/>
      <c r="R302" s="83"/>
      <c r="S302" s="3"/>
      <c r="T302" s="83"/>
      <c r="U302" s="3"/>
      <c r="V302" s="83"/>
      <c r="W302" s="454"/>
      <c r="X302" s="454"/>
      <c r="Y302" s="3"/>
      <c r="Z302" s="83"/>
      <c r="AA302" s="3"/>
      <c r="AB302" s="3"/>
      <c r="AC302" s="3"/>
      <c r="AD302" s="3"/>
    </row>
    <row r="303" spans="1:30" ht="24" customHeight="1" x14ac:dyDescent="0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83"/>
      <c r="M303" s="3"/>
      <c r="N303" s="83"/>
      <c r="O303" s="3"/>
      <c r="P303" s="83"/>
      <c r="Q303" s="3"/>
      <c r="R303" s="83"/>
      <c r="S303" s="3"/>
      <c r="T303" s="83"/>
      <c r="U303" s="3"/>
      <c r="V303" s="83"/>
      <c r="W303" s="454"/>
      <c r="X303" s="454"/>
      <c r="Y303" s="3"/>
      <c r="Z303" s="83"/>
      <c r="AA303" s="3"/>
      <c r="AB303" s="3"/>
      <c r="AC303" s="3"/>
      <c r="AD303" s="3"/>
    </row>
    <row r="304" spans="1:30" ht="24" customHeight="1" x14ac:dyDescent="0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83"/>
      <c r="M304" s="3"/>
      <c r="N304" s="83"/>
      <c r="O304" s="3"/>
      <c r="P304" s="83"/>
      <c r="Q304" s="3"/>
      <c r="R304" s="83"/>
      <c r="S304" s="3"/>
      <c r="T304" s="83"/>
      <c r="U304" s="3"/>
      <c r="V304" s="83"/>
      <c r="W304" s="454"/>
      <c r="X304" s="454"/>
      <c r="Y304" s="3"/>
      <c r="Z304" s="83"/>
      <c r="AA304" s="3"/>
      <c r="AB304" s="3"/>
      <c r="AC304" s="3"/>
      <c r="AD304" s="3"/>
    </row>
    <row r="305" spans="1:30" ht="24" customHeight="1" x14ac:dyDescent="0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83"/>
      <c r="M305" s="3"/>
      <c r="N305" s="83"/>
      <c r="O305" s="3"/>
      <c r="P305" s="83"/>
      <c r="Q305" s="3"/>
      <c r="R305" s="83"/>
      <c r="S305" s="3"/>
      <c r="T305" s="83"/>
      <c r="U305" s="3"/>
      <c r="V305" s="83"/>
      <c r="W305" s="454"/>
      <c r="X305" s="454"/>
      <c r="Y305" s="3"/>
      <c r="Z305" s="83"/>
      <c r="AA305" s="3"/>
      <c r="AB305" s="3"/>
      <c r="AC305" s="3"/>
      <c r="AD305" s="3"/>
    </row>
    <row r="306" spans="1:30" ht="24" customHeight="1" x14ac:dyDescent="0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83"/>
      <c r="M306" s="3"/>
      <c r="N306" s="83"/>
      <c r="O306" s="3"/>
      <c r="P306" s="83"/>
      <c r="Q306" s="3"/>
      <c r="R306" s="83"/>
      <c r="S306" s="3"/>
      <c r="T306" s="83"/>
      <c r="U306" s="3"/>
      <c r="V306" s="83"/>
      <c r="W306" s="454"/>
      <c r="X306" s="454"/>
      <c r="Y306" s="3"/>
      <c r="Z306" s="83"/>
      <c r="AA306" s="3"/>
      <c r="AB306" s="3"/>
      <c r="AC306" s="3"/>
      <c r="AD306" s="3"/>
    </row>
    <row r="307" spans="1:30" ht="24" customHeight="1" x14ac:dyDescent="0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83"/>
      <c r="M307" s="3"/>
      <c r="N307" s="83"/>
      <c r="O307" s="3"/>
      <c r="P307" s="83"/>
      <c r="Q307" s="3"/>
      <c r="R307" s="83"/>
      <c r="S307" s="3"/>
      <c r="T307" s="83"/>
      <c r="U307" s="3"/>
      <c r="V307" s="83"/>
      <c r="W307" s="454"/>
      <c r="X307" s="454"/>
      <c r="Y307" s="3"/>
      <c r="Z307" s="83"/>
      <c r="AA307" s="3"/>
      <c r="AB307" s="3"/>
      <c r="AC307" s="3"/>
      <c r="AD307" s="3"/>
    </row>
    <row r="308" spans="1:30" ht="24" customHeight="1" x14ac:dyDescent="0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83"/>
      <c r="M308" s="3"/>
      <c r="N308" s="83"/>
      <c r="O308" s="3"/>
      <c r="P308" s="83"/>
      <c r="Q308" s="3"/>
      <c r="R308" s="83"/>
      <c r="S308" s="3"/>
      <c r="T308" s="83"/>
      <c r="U308" s="3"/>
      <c r="V308" s="83"/>
      <c r="W308" s="454"/>
      <c r="X308" s="454"/>
      <c r="Y308" s="3"/>
      <c r="Z308" s="83"/>
      <c r="AA308" s="3"/>
      <c r="AB308" s="3"/>
      <c r="AC308" s="3"/>
      <c r="AD308" s="3"/>
    </row>
    <row r="309" spans="1:30" ht="24" customHeight="1" x14ac:dyDescent="0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83"/>
      <c r="M309" s="3"/>
      <c r="N309" s="83"/>
      <c r="O309" s="3"/>
      <c r="P309" s="83"/>
      <c r="Q309" s="3"/>
      <c r="R309" s="83"/>
      <c r="S309" s="3"/>
      <c r="T309" s="83"/>
      <c r="U309" s="3"/>
      <c r="V309" s="83"/>
      <c r="W309" s="454"/>
      <c r="X309" s="454"/>
      <c r="Y309" s="3"/>
      <c r="Z309" s="83"/>
      <c r="AA309" s="3"/>
      <c r="AB309" s="3"/>
      <c r="AC309" s="3"/>
      <c r="AD309" s="3"/>
    </row>
    <row r="310" spans="1:30" ht="24" customHeight="1" x14ac:dyDescent="0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83"/>
      <c r="M310" s="3"/>
      <c r="N310" s="83"/>
      <c r="O310" s="3"/>
      <c r="P310" s="83"/>
      <c r="Q310" s="3"/>
      <c r="R310" s="83"/>
      <c r="S310" s="3"/>
      <c r="T310" s="83"/>
      <c r="U310" s="3"/>
      <c r="V310" s="83"/>
      <c r="W310" s="454"/>
      <c r="X310" s="454"/>
      <c r="Y310" s="3"/>
      <c r="Z310" s="83"/>
      <c r="AA310" s="3"/>
      <c r="AB310" s="3"/>
      <c r="AC310" s="3"/>
      <c r="AD310" s="3"/>
    </row>
    <row r="311" spans="1:30" ht="24" customHeight="1" x14ac:dyDescent="0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83"/>
      <c r="M311" s="3"/>
      <c r="N311" s="83"/>
      <c r="O311" s="3"/>
      <c r="P311" s="83"/>
      <c r="Q311" s="3"/>
      <c r="R311" s="83"/>
      <c r="S311" s="3"/>
      <c r="T311" s="83"/>
      <c r="U311" s="3"/>
      <c r="V311" s="83"/>
      <c r="W311" s="454"/>
      <c r="X311" s="454"/>
      <c r="Y311" s="3"/>
      <c r="Z311" s="83"/>
      <c r="AA311" s="3"/>
      <c r="AB311" s="3"/>
      <c r="AC311" s="3"/>
      <c r="AD311" s="3"/>
    </row>
    <row r="312" spans="1:30" ht="24" customHeight="1" x14ac:dyDescent="0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83"/>
      <c r="M312" s="3"/>
      <c r="N312" s="83"/>
      <c r="O312" s="3"/>
      <c r="P312" s="83"/>
      <c r="Q312" s="3"/>
      <c r="R312" s="83"/>
      <c r="S312" s="3"/>
      <c r="T312" s="83"/>
      <c r="U312" s="3"/>
      <c r="V312" s="83"/>
      <c r="W312" s="454"/>
      <c r="X312" s="454"/>
      <c r="Y312" s="3"/>
      <c r="Z312" s="83"/>
      <c r="AA312" s="3"/>
      <c r="AB312" s="3"/>
      <c r="AC312" s="3"/>
      <c r="AD312" s="3"/>
    </row>
    <row r="313" spans="1:30" ht="24" customHeight="1" x14ac:dyDescent="0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83"/>
      <c r="M313" s="3"/>
      <c r="N313" s="83"/>
      <c r="O313" s="3"/>
      <c r="P313" s="83"/>
      <c r="Q313" s="3"/>
      <c r="R313" s="83"/>
      <c r="S313" s="3"/>
      <c r="T313" s="83"/>
      <c r="U313" s="3"/>
      <c r="V313" s="83"/>
      <c r="W313" s="454"/>
      <c r="X313" s="454"/>
      <c r="Y313" s="3"/>
      <c r="Z313" s="83"/>
      <c r="AA313" s="3"/>
      <c r="AB313" s="3"/>
      <c r="AC313" s="3"/>
      <c r="AD313" s="3"/>
    </row>
    <row r="314" spans="1:30" ht="24" customHeight="1" x14ac:dyDescent="0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83"/>
      <c r="M314" s="3"/>
      <c r="N314" s="83"/>
      <c r="O314" s="3"/>
      <c r="P314" s="83"/>
      <c r="Q314" s="3"/>
      <c r="R314" s="83"/>
      <c r="S314" s="3"/>
      <c r="T314" s="83"/>
      <c r="U314" s="3"/>
      <c r="V314" s="83"/>
      <c r="W314" s="454"/>
      <c r="X314" s="454"/>
      <c r="Y314" s="3"/>
      <c r="Z314" s="83"/>
      <c r="AA314" s="3"/>
      <c r="AB314" s="3"/>
      <c r="AC314" s="3"/>
      <c r="AD314" s="3"/>
    </row>
    <row r="315" spans="1:30" ht="24" customHeight="1" x14ac:dyDescent="0.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105"/>
      <c r="M315" s="81"/>
      <c r="N315" s="105"/>
      <c r="O315" s="81"/>
      <c r="P315" s="105"/>
      <c r="Q315" s="81"/>
      <c r="R315" s="105"/>
      <c r="S315" s="81"/>
      <c r="T315" s="105"/>
      <c r="U315" s="81"/>
      <c r="V315" s="105"/>
      <c r="W315" s="81"/>
      <c r="X315" s="81"/>
      <c r="Y315" s="81"/>
      <c r="Z315" s="105"/>
      <c r="AA315" s="81"/>
      <c r="AB315" s="81"/>
      <c r="AC315" s="81"/>
      <c r="AD315" s="81"/>
    </row>
    <row r="316" spans="1:30" ht="24" customHeight="1" x14ac:dyDescent="0.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105"/>
      <c r="M316" s="81"/>
      <c r="N316" s="105"/>
      <c r="O316" s="81"/>
      <c r="P316" s="105"/>
      <c r="Q316" s="81"/>
      <c r="R316" s="105"/>
      <c r="S316" s="81"/>
      <c r="T316" s="105"/>
      <c r="U316" s="81"/>
      <c r="V316" s="105"/>
      <c r="W316" s="81"/>
      <c r="X316" s="81"/>
      <c r="Y316" s="81"/>
      <c r="Z316" s="105"/>
      <c r="AA316" s="81"/>
      <c r="AB316" s="81"/>
      <c r="AC316" s="81"/>
      <c r="AD316" s="81"/>
    </row>
    <row r="317" spans="1:30" ht="24" customHeight="1" x14ac:dyDescent="0.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105"/>
      <c r="M317" s="81"/>
      <c r="N317" s="105"/>
      <c r="O317" s="81"/>
      <c r="P317" s="105"/>
      <c r="Q317" s="81"/>
      <c r="R317" s="105"/>
      <c r="S317" s="81"/>
      <c r="T317" s="105"/>
      <c r="U317" s="81"/>
      <c r="V317" s="105"/>
      <c r="W317" s="81"/>
      <c r="X317" s="81"/>
      <c r="Y317" s="81"/>
      <c r="Z317" s="105"/>
      <c r="AA317" s="81"/>
      <c r="AB317" s="81"/>
      <c r="AC317" s="81"/>
      <c r="AD317" s="81"/>
    </row>
    <row r="318" spans="1:30" ht="24" customHeight="1" x14ac:dyDescent="0.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105"/>
      <c r="M318" s="81"/>
      <c r="N318" s="105"/>
      <c r="O318" s="81"/>
      <c r="P318" s="105"/>
      <c r="Q318" s="81"/>
      <c r="R318" s="105"/>
      <c r="S318" s="81"/>
      <c r="T318" s="105"/>
      <c r="U318" s="81"/>
      <c r="V318" s="105"/>
      <c r="W318" s="81"/>
      <c r="X318" s="81"/>
      <c r="Y318" s="81"/>
      <c r="Z318" s="105"/>
      <c r="AA318" s="81"/>
      <c r="AB318" s="81"/>
      <c r="AC318" s="81"/>
      <c r="AD318" s="81"/>
    </row>
    <row r="319" spans="1:30" ht="24" customHeight="1" x14ac:dyDescent="0.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105"/>
      <c r="M319" s="81"/>
      <c r="N319" s="105"/>
      <c r="O319" s="81"/>
      <c r="P319" s="105"/>
      <c r="Q319" s="81"/>
      <c r="R319" s="105"/>
      <c r="S319" s="81"/>
      <c r="T319" s="105"/>
      <c r="U319" s="81"/>
      <c r="V319" s="105"/>
      <c r="W319" s="81"/>
      <c r="X319" s="81"/>
      <c r="Y319" s="81"/>
      <c r="Z319" s="105"/>
      <c r="AA319" s="81"/>
      <c r="AB319" s="81"/>
      <c r="AC319" s="81"/>
      <c r="AD319" s="81"/>
    </row>
    <row r="320" spans="1:30" ht="24" customHeight="1" x14ac:dyDescent="0.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105"/>
      <c r="M320" s="81"/>
      <c r="N320" s="105"/>
      <c r="O320" s="81"/>
      <c r="P320" s="105"/>
      <c r="Q320" s="81"/>
      <c r="R320" s="105"/>
      <c r="S320" s="81"/>
      <c r="T320" s="105"/>
      <c r="U320" s="81"/>
      <c r="V320" s="105"/>
      <c r="W320" s="81"/>
      <c r="X320" s="81"/>
      <c r="Y320" s="81"/>
      <c r="Z320" s="105"/>
      <c r="AA320" s="81"/>
      <c r="AB320" s="81"/>
      <c r="AC320" s="81"/>
      <c r="AD320" s="81"/>
    </row>
    <row r="321" spans="1:30" ht="24" customHeight="1" x14ac:dyDescent="0.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105"/>
      <c r="M321" s="81"/>
      <c r="N321" s="105"/>
      <c r="O321" s="81"/>
      <c r="P321" s="105"/>
      <c r="Q321" s="81"/>
      <c r="R321" s="105"/>
      <c r="S321" s="81"/>
      <c r="T321" s="105"/>
      <c r="U321" s="81"/>
      <c r="V321" s="105"/>
      <c r="W321" s="81"/>
      <c r="X321" s="81"/>
      <c r="Y321" s="81"/>
      <c r="Z321" s="105"/>
      <c r="AA321" s="81"/>
      <c r="AB321" s="81"/>
      <c r="AC321" s="81"/>
      <c r="AD321" s="81"/>
    </row>
    <row r="322" spans="1:30" ht="24" customHeight="1" x14ac:dyDescent="0.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105"/>
      <c r="M322" s="81"/>
      <c r="N322" s="105"/>
      <c r="O322" s="81"/>
      <c r="P322" s="105"/>
      <c r="Q322" s="81"/>
      <c r="R322" s="105"/>
      <c r="S322" s="81"/>
      <c r="T322" s="105"/>
      <c r="U322" s="81"/>
      <c r="V322" s="105"/>
      <c r="W322" s="81"/>
      <c r="X322" s="81"/>
      <c r="Y322" s="81"/>
      <c r="Z322" s="105"/>
      <c r="AA322" s="81"/>
      <c r="AB322" s="81"/>
      <c r="AC322" s="81"/>
      <c r="AD322" s="81"/>
    </row>
    <row r="323" spans="1:30" ht="24" customHeight="1" x14ac:dyDescent="0.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105"/>
      <c r="M323" s="81"/>
      <c r="N323" s="105"/>
      <c r="O323" s="81"/>
      <c r="P323" s="105"/>
      <c r="Q323" s="81"/>
      <c r="R323" s="105"/>
      <c r="S323" s="81"/>
      <c r="T323" s="105"/>
      <c r="U323" s="81"/>
      <c r="V323" s="105"/>
      <c r="W323" s="81"/>
      <c r="X323" s="81"/>
      <c r="Y323" s="81"/>
      <c r="Z323" s="105"/>
      <c r="AA323" s="81"/>
      <c r="AB323" s="81"/>
      <c r="AC323" s="81"/>
      <c r="AD323" s="81"/>
    </row>
    <row r="324" spans="1:30" ht="24" customHeight="1" x14ac:dyDescent="0.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105"/>
      <c r="M324" s="81"/>
      <c r="N324" s="105"/>
      <c r="O324" s="81"/>
      <c r="P324" s="105"/>
      <c r="Q324" s="81"/>
      <c r="R324" s="105"/>
      <c r="S324" s="81"/>
      <c r="T324" s="105"/>
      <c r="U324" s="81"/>
      <c r="V324" s="105"/>
      <c r="W324" s="81"/>
      <c r="X324" s="81"/>
      <c r="Y324" s="81"/>
      <c r="Z324" s="105"/>
      <c r="AA324" s="81"/>
      <c r="AB324" s="81"/>
      <c r="AC324" s="81"/>
      <c r="AD324" s="81"/>
    </row>
    <row r="325" spans="1:30" ht="24" customHeight="1" x14ac:dyDescent="0.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105"/>
      <c r="M325" s="81"/>
      <c r="N325" s="105"/>
      <c r="O325" s="81"/>
      <c r="P325" s="105"/>
      <c r="Q325" s="81"/>
      <c r="R325" s="105"/>
      <c r="S325" s="81"/>
      <c r="T325" s="105"/>
      <c r="U325" s="81"/>
      <c r="V325" s="105"/>
      <c r="W325" s="81"/>
      <c r="X325" s="81"/>
      <c r="Y325" s="81"/>
      <c r="Z325" s="105"/>
      <c r="AA325" s="81"/>
      <c r="AB325" s="81"/>
      <c r="AC325" s="81"/>
      <c r="AD325" s="81"/>
    </row>
    <row r="326" spans="1:30" ht="24" customHeight="1" x14ac:dyDescent="0.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105"/>
      <c r="M326" s="81"/>
      <c r="N326" s="105"/>
      <c r="O326" s="81"/>
      <c r="P326" s="105"/>
      <c r="Q326" s="81"/>
      <c r="R326" s="105"/>
      <c r="S326" s="81"/>
      <c r="T326" s="105"/>
      <c r="U326" s="81"/>
      <c r="V326" s="105"/>
      <c r="W326" s="81"/>
      <c r="X326" s="81"/>
      <c r="Y326" s="81"/>
      <c r="Z326" s="105"/>
      <c r="AA326" s="81"/>
      <c r="AB326" s="81"/>
      <c r="AC326" s="81"/>
      <c r="AD326" s="81"/>
    </row>
    <row r="327" spans="1:30" ht="24" customHeight="1" x14ac:dyDescent="0.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105"/>
      <c r="M327" s="81"/>
      <c r="N327" s="105"/>
      <c r="O327" s="81"/>
      <c r="P327" s="105"/>
      <c r="Q327" s="81"/>
      <c r="R327" s="105"/>
      <c r="S327" s="81"/>
      <c r="T327" s="105"/>
      <c r="U327" s="81"/>
      <c r="V327" s="105"/>
      <c r="W327" s="81"/>
      <c r="X327" s="81"/>
      <c r="Y327" s="81"/>
      <c r="Z327" s="105"/>
      <c r="AA327" s="81"/>
      <c r="AB327" s="81"/>
      <c r="AC327" s="81"/>
      <c r="AD327" s="81"/>
    </row>
    <row r="328" spans="1:30" ht="24" customHeight="1" x14ac:dyDescent="0.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105"/>
      <c r="M328" s="81"/>
      <c r="N328" s="105"/>
      <c r="O328" s="81"/>
      <c r="P328" s="105"/>
      <c r="Q328" s="81"/>
      <c r="R328" s="105"/>
      <c r="S328" s="81"/>
      <c r="T328" s="105"/>
      <c r="U328" s="81"/>
      <c r="V328" s="105"/>
      <c r="W328" s="81"/>
      <c r="X328" s="81"/>
      <c r="Y328" s="81"/>
      <c r="Z328" s="105"/>
      <c r="AA328" s="81"/>
      <c r="AB328" s="81"/>
      <c r="AC328" s="81"/>
      <c r="AD328" s="81"/>
    </row>
    <row r="329" spans="1:30" ht="24" customHeight="1" x14ac:dyDescent="0.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105"/>
      <c r="M329" s="81"/>
      <c r="N329" s="105"/>
      <c r="O329" s="81"/>
      <c r="P329" s="105"/>
      <c r="Q329" s="81"/>
      <c r="R329" s="105"/>
      <c r="S329" s="81"/>
      <c r="T329" s="105"/>
      <c r="U329" s="81"/>
      <c r="V329" s="105"/>
      <c r="W329" s="81"/>
      <c r="X329" s="81"/>
      <c r="Y329" s="81"/>
      <c r="Z329" s="105"/>
      <c r="AA329" s="81"/>
      <c r="AB329" s="81"/>
      <c r="AC329" s="81"/>
      <c r="AD329" s="81"/>
    </row>
    <row r="330" spans="1:30" ht="24" customHeight="1" x14ac:dyDescent="0.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105"/>
      <c r="M330" s="81"/>
      <c r="N330" s="105"/>
      <c r="O330" s="81"/>
      <c r="P330" s="105"/>
      <c r="Q330" s="81"/>
      <c r="R330" s="105"/>
      <c r="S330" s="81"/>
      <c r="T330" s="105"/>
      <c r="U330" s="81"/>
      <c r="V330" s="105"/>
      <c r="W330" s="81"/>
      <c r="X330" s="81"/>
      <c r="Y330" s="81"/>
      <c r="Z330" s="105"/>
      <c r="AA330" s="81"/>
      <c r="AB330" s="81"/>
      <c r="AC330" s="81"/>
      <c r="AD330" s="81"/>
    </row>
    <row r="331" spans="1:30" ht="24" customHeight="1" x14ac:dyDescent="0.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105"/>
      <c r="M331" s="81"/>
      <c r="N331" s="105"/>
      <c r="O331" s="81"/>
      <c r="P331" s="105"/>
      <c r="Q331" s="81"/>
      <c r="R331" s="105"/>
      <c r="S331" s="81"/>
      <c r="T331" s="105"/>
      <c r="U331" s="81"/>
      <c r="V331" s="105"/>
      <c r="W331" s="81"/>
      <c r="X331" s="81"/>
      <c r="Y331" s="81"/>
      <c r="Z331" s="105"/>
      <c r="AA331" s="81"/>
      <c r="AB331" s="81"/>
      <c r="AC331" s="81"/>
      <c r="AD331" s="81"/>
    </row>
    <row r="332" spans="1:30" ht="24" customHeight="1" x14ac:dyDescent="0.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105"/>
      <c r="M332" s="81"/>
      <c r="N332" s="105"/>
      <c r="O332" s="81"/>
      <c r="P332" s="105"/>
      <c r="Q332" s="81"/>
      <c r="R332" s="105"/>
      <c r="S332" s="81"/>
      <c r="T332" s="105"/>
      <c r="U332" s="81"/>
      <c r="V332" s="105"/>
      <c r="W332" s="81"/>
      <c r="X332" s="81"/>
      <c r="Y332" s="81"/>
      <c r="Z332" s="105"/>
      <c r="AA332" s="81"/>
      <c r="AB332" s="81"/>
      <c r="AC332" s="81"/>
      <c r="AD332" s="81"/>
    </row>
    <row r="333" spans="1:30" ht="24" customHeight="1" x14ac:dyDescent="0.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105"/>
      <c r="M333" s="81"/>
      <c r="N333" s="105"/>
      <c r="O333" s="81"/>
      <c r="P333" s="105"/>
      <c r="Q333" s="81"/>
      <c r="R333" s="105"/>
      <c r="S333" s="81"/>
      <c r="T333" s="105"/>
      <c r="U333" s="81"/>
      <c r="V333" s="105"/>
      <c r="W333" s="81"/>
      <c r="X333" s="81"/>
      <c r="Y333" s="81"/>
      <c r="Z333" s="105"/>
      <c r="AA333" s="81"/>
      <c r="AB333" s="81"/>
      <c r="AC333" s="81"/>
      <c r="AD333" s="81"/>
    </row>
    <row r="334" spans="1:30" ht="24" customHeight="1" x14ac:dyDescent="0.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105"/>
      <c r="M334" s="81"/>
      <c r="N334" s="105"/>
      <c r="O334" s="81"/>
      <c r="P334" s="105"/>
      <c r="Q334" s="81"/>
      <c r="R334" s="105"/>
      <c r="S334" s="81"/>
      <c r="T334" s="105"/>
      <c r="U334" s="81"/>
      <c r="V334" s="105"/>
      <c r="W334" s="81"/>
      <c r="X334" s="81"/>
      <c r="Y334" s="81"/>
      <c r="Z334" s="105"/>
      <c r="AA334" s="81"/>
      <c r="AB334" s="81"/>
      <c r="AC334" s="81"/>
      <c r="AD334" s="81"/>
    </row>
    <row r="335" spans="1:30" ht="24" customHeight="1" x14ac:dyDescent="0.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105"/>
      <c r="M335" s="81"/>
      <c r="N335" s="105"/>
      <c r="O335" s="81"/>
      <c r="P335" s="105"/>
      <c r="Q335" s="81"/>
      <c r="R335" s="105"/>
      <c r="S335" s="81"/>
      <c r="T335" s="105"/>
      <c r="U335" s="81"/>
      <c r="V335" s="105"/>
      <c r="W335" s="81"/>
      <c r="X335" s="81"/>
      <c r="Y335" s="81"/>
      <c r="Z335" s="105"/>
      <c r="AA335" s="81"/>
      <c r="AB335" s="81"/>
      <c r="AC335" s="81"/>
      <c r="AD335" s="81"/>
    </row>
    <row r="336" spans="1:30" ht="24" customHeight="1" x14ac:dyDescent="0.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105"/>
      <c r="M336" s="81"/>
      <c r="N336" s="105"/>
      <c r="O336" s="81"/>
      <c r="P336" s="105"/>
      <c r="Q336" s="81"/>
      <c r="R336" s="105"/>
      <c r="S336" s="81"/>
      <c r="T336" s="105"/>
      <c r="U336" s="81"/>
      <c r="V336" s="105"/>
      <c r="W336" s="81"/>
      <c r="X336" s="81"/>
      <c r="Y336" s="81"/>
      <c r="Z336" s="105"/>
      <c r="AA336" s="81"/>
      <c r="AB336" s="81"/>
      <c r="AC336" s="81"/>
      <c r="AD336" s="81"/>
    </row>
    <row r="337" spans="1:30" ht="24" customHeight="1" x14ac:dyDescent="0.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105"/>
      <c r="M337" s="81"/>
      <c r="N337" s="105"/>
      <c r="O337" s="81"/>
      <c r="P337" s="105"/>
      <c r="Q337" s="81"/>
      <c r="R337" s="105"/>
      <c r="S337" s="81"/>
      <c r="T337" s="105"/>
      <c r="U337" s="81"/>
      <c r="V337" s="105"/>
      <c r="W337" s="81"/>
      <c r="X337" s="81"/>
      <c r="Y337" s="81"/>
      <c r="Z337" s="105"/>
      <c r="AA337" s="81"/>
      <c r="AB337" s="81"/>
      <c r="AC337" s="81"/>
      <c r="AD337" s="81"/>
    </row>
    <row r="338" spans="1:30" ht="24" customHeight="1" x14ac:dyDescent="0.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105"/>
      <c r="M338" s="81"/>
      <c r="N338" s="105"/>
      <c r="O338" s="81"/>
      <c r="P338" s="105"/>
      <c r="Q338" s="81"/>
      <c r="R338" s="105"/>
      <c r="S338" s="81"/>
      <c r="T338" s="105"/>
      <c r="U338" s="81"/>
      <c r="V338" s="105"/>
      <c r="W338" s="81"/>
      <c r="X338" s="81"/>
      <c r="Y338" s="81"/>
      <c r="Z338" s="105"/>
      <c r="AA338" s="81"/>
      <c r="AB338" s="81"/>
      <c r="AC338" s="81"/>
      <c r="AD338" s="81"/>
    </row>
    <row r="339" spans="1:30" ht="24" customHeight="1" x14ac:dyDescent="0.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105"/>
      <c r="M339" s="81"/>
      <c r="N339" s="105"/>
      <c r="O339" s="81"/>
      <c r="P339" s="105"/>
      <c r="Q339" s="81"/>
      <c r="R339" s="105"/>
      <c r="S339" s="81"/>
      <c r="T339" s="105"/>
      <c r="U339" s="81"/>
      <c r="V339" s="105"/>
      <c r="W339" s="81"/>
      <c r="X339" s="81"/>
      <c r="Y339" s="81"/>
      <c r="Z339" s="105"/>
      <c r="AA339" s="81"/>
      <c r="AB339" s="81"/>
      <c r="AC339" s="81"/>
      <c r="AD339" s="81"/>
    </row>
    <row r="340" spans="1:30" ht="24" customHeight="1" x14ac:dyDescent="0.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105"/>
      <c r="M340" s="81"/>
      <c r="N340" s="105"/>
      <c r="O340" s="81"/>
      <c r="P340" s="105"/>
      <c r="Q340" s="81"/>
      <c r="R340" s="105"/>
      <c r="S340" s="81"/>
      <c r="T340" s="105"/>
      <c r="U340" s="81"/>
      <c r="V340" s="105"/>
      <c r="W340" s="81"/>
      <c r="X340" s="81"/>
      <c r="Y340" s="81"/>
      <c r="Z340" s="105"/>
      <c r="AA340" s="81"/>
      <c r="AB340" s="81"/>
      <c r="AC340" s="81"/>
      <c r="AD340" s="81"/>
    </row>
    <row r="341" spans="1:30" ht="24" customHeight="1" x14ac:dyDescent="0.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105"/>
      <c r="M341" s="81"/>
      <c r="N341" s="105"/>
      <c r="O341" s="81"/>
      <c r="P341" s="105"/>
      <c r="Q341" s="81"/>
      <c r="R341" s="105"/>
      <c r="S341" s="81"/>
      <c r="T341" s="105"/>
      <c r="U341" s="81"/>
      <c r="V341" s="105"/>
      <c r="W341" s="81"/>
      <c r="X341" s="81"/>
      <c r="Y341" s="81"/>
      <c r="Z341" s="105"/>
      <c r="AA341" s="81"/>
      <c r="AB341" s="81"/>
      <c r="AC341" s="81"/>
      <c r="AD341" s="81"/>
    </row>
    <row r="342" spans="1:30" ht="24" customHeight="1" x14ac:dyDescent="0.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105"/>
      <c r="M342" s="81"/>
      <c r="N342" s="105"/>
      <c r="O342" s="81"/>
      <c r="P342" s="105"/>
      <c r="Q342" s="81"/>
      <c r="R342" s="105"/>
      <c r="S342" s="81"/>
      <c r="T342" s="105"/>
      <c r="U342" s="81"/>
      <c r="V342" s="105"/>
      <c r="W342" s="81"/>
      <c r="X342" s="81"/>
      <c r="Y342" s="81"/>
      <c r="Z342" s="105"/>
      <c r="AA342" s="81"/>
      <c r="AB342" s="81"/>
      <c r="AC342" s="81"/>
      <c r="AD342" s="81"/>
    </row>
    <row r="343" spans="1:30" ht="24" customHeight="1" x14ac:dyDescent="0.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105"/>
      <c r="M343" s="81"/>
      <c r="N343" s="105"/>
      <c r="O343" s="81"/>
      <c r="P343" s="105"/>
      <c r="Q343" s="81"/>
      <c r="R343" s="105"/>
      <c r="S343" s="81"/>
      <c r="T343" s="105"/>
      <c r="U343" s="81"/>
      <c r="V343" s="105"/>
      <c r="W343" s="81"/>
      <c r="X343" s="81"/>
      <c r="Y343" s="81"/>
      <c r="Z343" s="105"/>
      <c r="AA343" s="81"/>
      <c r="AB343" s="81"/>
      <c r="AC343" s="81"/>
      <c r="AD343" s="81"/>
    </row>
    <row r="344" spans="1:30" ht="24" customHeight="1" x14ac:dyDescent="0.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105"/>
      <c r="M344" s="81"/>
      <c r="N344" s="105"/>
      <c r="O344" s="81"/>
      <c r="P344" s="105"/>
      <c r="Q344" s="81"/>
      <c r="R344" s="105"/>
      <c r="S344" s="81"/>
      <c r="T344" s="105"/>
      <c r="U344" s="81"/>
      <c r="V344" s="105"/>
      <c r="W344" s="81"/>
      <c r="X344" s="81"/>
      <c r="Y344" s="81"/>
      <c r="Z344" s="105"/>
      <c r="AA344" s="81"/>
      <c r="AB344" s="81"/>
      <c r="AC344" s="81"/>
      <c r="AD344" s="81"/>
    </row>
    <row r="345" spans="1:30" ht="24" customHeight="1" x14ac:dyDescent="0.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105"/>
      <c r="M345" s="81"/>
      <c r="N345" s="105"/>
      <c r="O345" s="81"/>
      <c r="P345" s="105"/>
      <c r="Q345" s="81"/>
      <c r="R345" s="105"/>
      <c r="S345" s="81"/>
      <c r="T345" s="105"/>
      <c r="U345" s="81"/>
      <c r="V345" s="105"/>
      <c r="W345" s="81"/>
      <c r="X345" s="81"/>
      <c r="Y345" s="81"/>
      <c r="Z345" s="105"/>
      <c r="AA345" s="81"/>
      <c r="AB345" s="81"/>
      <c r="AC345" s="81"/>
      <c r="AD345" s="81"/>
    </row>
    <row r="346" spans="1:30" ht="24" customHeight="1" x14ac:dyDescent="0.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105"/>
      <c r="M346" s="81"/>
      <c r="N346" s="105"/>
      <c r="O346" s="81"/>
      <c r="P346" s="105"/>
      <c r="Q346" s="81"/>
      <c r="R346" s="105"/>
      <c r="S346" s="81"/>
      <c r="T346" s="105"/>
      <c r="U346" s="81"/>
      <c r="V346" s="105"/>
      <c r="W346" s="81"/>
      <c r="X346" s="81"/>
      <c r="Y346" s="81"/>
      <c r="Z346" s="105"/>
      <c r="AA346" s="81"/>
      <c r="AB346" s="81"/>
      <c r="AC346" s="81"/>
      <c r="AD346" s="81"/>
    </row>
    <row r="347" spans="1:30" ht="24" customHeight="1" x14ac:dyDescent="0.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105"/>
      <c r="M347" s="81"/>
      <c r="N347" s="105"/>
      <c r="O347" s="81"/>
      <c r="P347" s="105"/>
      <c r="Q347" s="81"/>
      <c r="R347" s="105"/>
      <c r="S347" s="81"/>
      <c r="T347" s="105"/>
      <c r="U347" s="81"/>
      <c r="V347" s="105"/>
      <c r="W347" s="81"/>
      <c r="X347" s="81"/>
      <c r="Y347" s="81"/>
      <c r="Z347" s="105"/>
      <c r="AA347" s="81"/>
      <c r="AB347" s="81"/>
      <c r="AC347" s="81"/>
      <c r="AD347" s="81"/>
    </row>
    <row r="348" spans="1:30" ht="24" customHeight="1" x14ac:dyDescent="0.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105"/>
      <c r="M348" s="81"/>
      <c r="N348" s="105"/>
      <c r="O348" s="81"/>
      <c r="P348" s="105"/>
      <c r="Q348" s="81"/>
      <c r="R348" s="105"/>
      <c r="S348" s="81"/>
      <c r="T348" s="105"/>
      <c r="U348" s="81"/>
      <c r="V348" s="105"/>
      <c r="W348" s="81"/>
      <c r="X348" s="81"/>
      <c r="Y348" s="81"/>
      <c r="Z348" s="105"/>
      <c r="AA348" s="81"/>
      <c r="AB348" s="81"/>
      <c r="AC348" s="81"/>
      <c r="AD348" s="81"/>
    </row>
    <row r="349" spans="1:30" ht="24" customHeight="1" x14ac:dyDescent="0.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105"/>
      <c r="M349" s="81"/>
      <c r="N349" s="105"/>
      <c r="O349" s="81"/>
      <c r="P349" s="105"/>
      <c r="Q349" s="81"/>
      <c r="R349" s="105"/>
      <c r="S349" s="81"/>
      <c r="T349" s="105"/>
      <c r="U349" s="81"/>
      <c r="V349" s="105"/>
      <c r="W349" s="81"/>
      <c r="X349" s="81"/>
      <c r="Y349" s="81"/>
      <c r="Z349" s="105"/>
      <c r="AA349" s="81"/>
      <c r="AB349" s="81"/>
      <c r="AC349" s="81"/>
      <c r="AD349" s="81"/>
    </row>
    <row r="350" spans="1:30" ht="24" customHeight="1" x14ac:dyDescent="0.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105"/>
      <c r="M350" s="81"/>
      <c r="N350" s="105"/>
      <c r="O350" s="81"/>
      <c r="P350" s="105"/>
      <c r="Q350" s="81"/>
      <c r="R350" s="105"/>
      <c r="S350" s="81"/>
      <c r="T350" s="105"/>
      <c r="U350" s="81"/>
      <c r="V350" s="105"/>
      <c r="W350" s="81"/>
      <c r="X350" s="81"/>
      <c r="Y350" s="81"/>
      <c r="Z350" s="105"/>
      <c r="AA350" s="81"/>
      <c r="AB350" s="81"/>
      <c r="AC350" s="81"/>
      <c r="AD350" s="81"/>
    </row>
    <row r="351" spans="1:30" ht="24" customHeight="1" x14ac:dyDescent="0.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105"/>
      <c r="M351" s="81"/>
      <c r="N351" s="105"/>
      <c r="O351" s="81"/>
      <c r="P351" s="105"/>
      <c r="Q351" s="81"/>
      <c r="R351" s="105"/>
      <c r="S351" s="81"/>
      <c r="T351" s="105"/>
      <c r="U351" s="81"/>
      <c r="V351" s="105"/>
      <c r="W351" s="81"/>
      <c r="X351" s="81"/>
      <c r="Y351" s="81"/>
      <c r="Z351" s="105"/>
      <c r="AA351" s="81"/>
      <c r="AB351" s="81"/>
      <c r="AC351" s="81"/>
      <c r="AD351" s="81"/>
    </row>
    <row r="352" spans="1:30" ht="24" customHeight="1" x14ac:dyDescent="0.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105"/>
      <c r="M352" s="81"/>
      <c r="N352" s="105"/>
      <c r="O352" s="81"/>
      <c r="P352" s="105"/>
      <c r="Q352" s="81"/>
      <c r="R352" s="105"/>
      <c r="S352" s="81"/>
      <c r="T352" s="105"/>
      <c r="U352" s="81"/>
      <c r="V352" s="105"/>
      <c r="W352" s="81"/>
      <c r="X352" s="81"/>
      <c r="Y352" s="81"/>
      <c r="Z352" s="105"/>
      <c r="AA352" s="81"/>
      <c r="AB352" s="81"/>
      <c r="AC352" s="81"/>
      <c r="AD352" s="81"/>
    </row>
    <row r="353" spans="1:30" ht="24" customHeight="1" x14ac:dyDescent="0.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105"/>
      <c r="M353" s="81"/>
      <c r="N353" s="105"/>
      <c r="O353" s="81"/>
      <c r="P353" s="105"/>
      <c r="Q353" s="81"/>
      <c r="R353" s="105"/>
      <c r="S353" s="81"/>
      <c r="T353" s="105"/>
      <c r="U353" s="81"/>
      <c r="V353" s="105"/>
      <c r="W353" s="81"/>
      <c r="X353" s="81"/>
      <c r="Y353" s="81"/>
      <c r="Z353" s="105"/>
      <c r="AA353" s="81"/>
      <c r="AB353" s="81"/>
      <c r="AC353" s="81"/>
      <c r="AD353" s="81"/>
    </row>
    <row r="354" spans="1:30" ht="24" customHeight="1" x14ac:dyDescent="0.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105"/>
      <c r="M354" s="81"/>
      <c r="N354" s="105"/>
      <c r="O354" s="81"/>
      <c r="P354" s="105"/>
      <c r="Q354" s="81"/>
      <c r="R354" s="105"/>
      <c r="S354" s="81"/>
      <c r="T354" s="105"/>
      <c r="U354" s="81"/>
      <c r="V354" s="105"/>
      <c r="W354" s="81"/>
      <c r="X354" s="81"/>
      <c r="Y354" s="81"/>
      <c r="Z354" s="105"/>
      <c r="AA354" s="81"/>
      <c r="AB354" s="81"/>
      <c r="AC354" s="81"/>
      <c r="AD354" s="81"/>
    </row>
    <row r="355" spans="1:30" ht="24" customHeight="1" x14ac:dyDescent="0.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105"/>
      <c r="M355" s="81"/>
      <c r="N355" s="105"/>
      <c r="O355" s="81"/>
      <c r="P355" s="105"/>
      <c r="Q355" s="81"/>
      <c r="R355" s="105"/>
      <c r="S355" s="81"/>
      <c r="T355" s="105"/>
      <c r="U355" s="81"/>
      <c r="V355" s="105"/>
      <c r="W355" s="81"/>
      <c r="X355" s="81"/>
      <c r="Y355" s="81"/>
      <c r="Z355" s="105"/>
      <c r="AA355" s="81"/>
      <c r="AB355" s="81"/>
      <c r="AC355" s="81"/>
      <c r="AD355" s="81"/>
    </row>
    <row r="356" spans="1:30" ht="24" customHeight="1" x14ac:dyDescent="0.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105"/>
      <c r="M356" s="81"/>
      <c r="N356" s="105"/>
      <c r="O356" s="81"/>
      <c r="P356" s="105"/>
      <c r="Q356" s="81"/>
      <c r="R356" s="105"/>
      <c r="S356" s="81"/>
      <c r="T356" s="105"/>
      <c r="U356" s="81"/>
      <c r="V356" s="105"/>
      <c r="W356" s="81"/>
      <c r="X356" s="81"/>
      <c r="Y356" s="81"/>
      <c r="Z356" s="105"/>
      <c r="AA356" s="81"/>
      <c r="AB356" s="81"/>
      <c r="AC356" s="81"/>
      <c r="AD356" s="81"/>
    </row>
    <row r="357" spans="1:30" ht="24" customHeight="1" x14ac:dyDescent="0.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105"/>
      <c r="M357" s="81"/>
      <c r="N357" s="105"/>
      <c r="O357" s="81"/>
      <c r="P357" s="105"/>
      <c r="Q357" s="81"/>
      <c r="R357" s="105"/>
      <c r="S357" s="81"/>
      <c r="T357" s="105"/>
      <c r="U357" s="81"/>
      <c r="V357" s="105"/>
      <c r="W357" s="81"/>
      <c r="X357" s="81"/>
      <c r="Y357" s="81"/>
      <c r="Z357" s="105"/>
      <c r="AA357" s="81"/>
      <c r="AB357" s="81"/>
      <c r="AC357" s="81"/>
      <c r="AD357" s="81"/>
    </row>
    <row r="358" spans="1:30" ht="24" customHeight="1" x14ac:dyDescent="0.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105"/>
      <c r="M358" s="81"/>
      <c r="N358" s="105"/>
      <c r="O358" s="81"/>
      <c r="P358" s="105"/>
      <c r="Q358" s="81"/>
      <c r="R358" s="105"/>
      <c r="S358" s="81"/>
      <c r="T358" s="105"/>
      <c r="U358" s="81"/>
      <c r="V358" s="105"/>
      <c r="W358" s="81"/>
      <c r="X358" s="81"/>
      <c r="Y358" s="81"/>
      <c r="Z358" s="105"/>
      <c r="AA358" s="81"/>
      <c r="AB358" s="81"/>
      <c r="AC358" s="81"/>
      <c r="AD358" s="81"/>
    </row>
    <row r="359" spans="1:30" ht="24" customHeight="1" x14ac:dyDescent="0.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105"/>
      <c r="M359" s="81"/>
      <c r="N359" s="105"/>
      <c r="O359" s="81"/>
      <c r="P359" s="105"/>
      <c r="Q359" s="81"/>
      <c r="R359" s="105"/>
      <c r="S359" s="81"/>
      <c r="T359" s="105"/>
      <c r="U359" s="81"/>
      <c r="V359" s="105"/>
      <c r="W359" s="81"/>
      <c r="X359" s="81"/>
      <c r="Y359" s="81"/>
      <c r="Z359" s="105"/>
      <c r="AA359" s="81"/>
      <c r="AB359" s="81"/>
      <c r="AC359" s="81"/>
      <c r="AD359" s="81"/>
    </row>
    <row r="360" spans="1:30" ht="24" customHeight="1" x14ac:dyDescent="0.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105"/>
      <c r="M360" s="81"/>
      <c r="N360" s="105"/>
      <c r="O360" s="81"/>
      <c r="P360" s="105"/>
      <c r="Q360" s="81"/>
      <c r="R360" s="105"/>
      <c r="S360" s="81"/>
      <c r="T360" s="105"/>
      <c r="U360" s="81"/>
      <c r="V360" s="105"/>
      <c r="W360" s="81"/>
      <c r="X360" s="81"/>
      <c r="Y360" s="81"/>
      <c r="Z360" s="105"/>
      <c r="AA360" s="81"/>
      <c r="AB360" s="81"/>
      <c r="AC360" s="81"/>
      <c r="AD360" s="81"/>
    </row>
    <row r="361" spans="1:30" ht="24" customHeight="1" x14ac:dyDescent="0.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105"/>
      <c r="M361" s="81"/>
      <c r="N361" s="105"/>
      <c r="O361" s="81"/>
      <c r="P361" s="105"/>
      <c r="Q361" s="81"/>
      <c r="R361" s="105"/>
      <c r="S361" s="81"/>
      <c r="T361" s="105"/>
      <c r="U361" s="81"/>
      <c r="V361" s="105"/>
      <c r="W361" s="81"/>
      <c r="X361" s="81"/>
      <c r="Y361" s="81"/>
      <c r="Z361" s="105"/>
      <c r="AA361" s="81"/>
      <c r="AB361" s="81"/>
      <c r="AC361" s="81"/>
      <c r="AD361" s="81"/>
    </row>
    <row r="362" spans="1:30" ht="24" customHeight="1" x14ac:dyDescent="0.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105"/>
      <c r="M362" s="81"/>
      <c r="N362" s="105"/>
      <c r="O362" s="81"/>
      <c r="P362" s="105"/>
      <c r="Q362" s="81"/>
      <c r="R362" s="105"/>
      <c r="S362" s="81"/>
      <c r="T362" s="105"/>
      <c r="U362" s="81"/>
      <c r="V362" s="105"/>
      <c r="W362" s="81"/>
      <c r="X362" s="81"/>
      <c r="Y362" s="81"/>
      <c r="Z362" s="105"/>
      <c r="AA362" s="81"/>
      <c r="AB362" s="81"/>
      <c r="AC362" s="81"/>
      <c r="AD362" s="81"/>
    </row>
    <row r="363" spans="1:30" ht="24" customHeight="1" x14ac:dyDescent="0.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105"/>
      <c r="M363" s="81"/>
      <c r="N363" s="105"/>
      <c r="O363" s="81"/>
      <c r="P363" s="105"/>
      <c r="Q363" s="81"/>
      <c r="R363" s="105"/>
      <c r="S363" s="81"/>
      <c r="T363" s="105"/>
      <c r="U363" s="81"/>
      <c r="V363" s="105"/>
      <c r="W363" s="81"/>
      <c r="X363" s="81"/>
      <c r="Y363" s="81"/>
      <c r="Z363" s="105"/>
      <c r="AA363" s="81"/>
      <c r="AB363" s="81"/>
      <c r="AC363" s="81"/>
      <c r="AD363" s="81"/>
    </row>
    <row r="364" spans="1:30" ht="24" customHeight="1" x14ac:dyDescent="0.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105"/>
      <c r="M364" s="81"/>
      <c r="N364" s="105"/>
      <c r="O364" s="81"/>
      <c r="P364" s="105"/>
      <c r="Q364" s="81"/>
      <c r="R364" s="105"/>
      <c r="S364" s="81"/>
      <c r="T364" s="105"/>
      <c r="U364" s="81"/>
      <c r="V364" s="105"/>
      <c r="W364" s="81"/>
      <c r="X364" s="81"/>
      <c r="Y364" s="81"/>
      <c r="Z364" s="105"/>
      <c r="AA364" s="81"/>
      <c r="AB364" s="81"/>
      <c r="AC364" s="81"/>
      <c r="AD364" s="81"/>
    </row>
    <row r="365" spans="1:30" ht="24" customHeight="1" x14ac:dyDescent="0.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105"/>
      <c r="M365" s="81"/>
      <c r="N365" s="105"/>
      <c r="O365" s="81"/>
      <c r="P365" s="105"/>
      <c r="Q365" s="81"/>
      <c r="R365" s="105"/>
      <c r="S365" s="81"/>
      <c r="T365" s="105"/>
      <c r="U365" s="81"/>
      <c r="V365" s="105"/>
      <c r="W365" s="81"/>
      <c r="X365" s="81"/>
      <c r="Y365" s="81"/>
      <c r="Z365" s="105"/>
      <c r="AA365" s="81"/>
      <c r="AB365" s="81"/>
      <c r="AC365" s="81"/>
      <c r="AD365" s="81"/>
    </row>
    <row r="366" spans="1:30" ht="24" customHeight="1" x14ac:dyDescent="0.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105"/>
      <c r="M366" s="81"/>
      <c r="N366" s="105"/>
      <c r="O366" s="81"/>
      <c r="P366" s="105"/>
      <c r="Q366" s="81"/>
      <c r="R366" s="105"/>
      <c r="S366" s="81"/>
      <c r="T366" s="105"/>
      <c r="U366" s="81"/>
      <c r="V366" s="105"/>
      <c r="W366" s="81"/>
      <c r="X366" s="81"/>
      <c r="Y366" s="81"/>
      <c r="Z366" s="105"/>
      <c r="AA366" s="81"/>
      <c r="AB366" s="81"/>
      <c r="AC366" s="81"/>
      <c r="AD366" s="81"/>
    </row>
    <row r="367" spans="1:30" ht="24" customHeight="1" x14ac:dyDescent="0.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105"/>
      <c r="M367" s="81"/>
      <c r="N367" s="105"/>
      <c r="O367" s="81"/>
      <c r="P367" s="105"/>
      <c r="Q367" s="81"/>
      <c r="R367" s="105"/>
      <c r="S367" s="81"/>
      <c r="T367" s="105"/>
      <c r="U367" s="81"/>
      <c r="V367" s="105"/>
      <c r="W367" s="81"/>
      <c r="X367" s="81"/>
      <c r="Y367" s="81"/>
      <c r="Z367" s="105"/>
      <c r="AA367" s="81"/>
      <c r="AB367" s="81"/>
      <c r="AC367" s="81"/>
      <c r="AD367" s="81"/>
    </row>
    <row r="368" spans="1:30" ht="24" customHeight="1" x14ac:dyDescent="0.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105"/>
      <c r="M368" s="81"/>
      <c r="N368" s="105"/>
      <c r="O368" s="81"/>
      <c r="P368" s="105"/>
      <c r="Q368" s="81"/>
      <c r="R368" s="105"/>
      <c r="S368" s="81"/>
      <c r="T368" s="105"/>
      <c r="U368" s="81"/>
      <c r="V368" s="105"/>
      <c r="W368" s="81"/>
      <c r="X368" s="81"/>
      <c r="Y368" s="81"/>
      <c r="Z368" s="105"/>
      <c r="AA368" s="81"/>
      <c r="AB368" s="81"/>
      <c r="AC368" s="81"/>
      <c r="AD368" s="81"/>
    </row>
    <row r="369" spans="1:30" ht="24" customHeight="1" x14ac:dyDescent="0.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105"/>
      <c r="M369" s="81"/>
      <c r="N369" s="105"/>
      <c r="O369" s="81"/>
      <c r="P369" s="105"/>
      <c r="Q369" s="81"/>
      <c r="R369" s="105"/>
      <c r="S369" s="81"/>
      <c r="T369" s="105"/>
      <c r="U369" s="81"/>
      <c r="V369" s="105"/>
      <c r="W369" s="81"/>
      <c r="X369" s="81"/>
      <c r="Y369" s="81"/>
      <c r="Z369" s="105"/>
      <c r="AA369" s="81"/>
      <c r="AB369" s="81"/>
      <c r="AC369" s="81"/>
      <c r="AD369" s="81"/>
    </row>
    <row r="370" spans="1:30" ht="24" customHeight="1" x14ac:dyDescent="0.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105"/>
      <c r="M370" s="81"/>
      <c r="N370" s="105"/>
      <c r="O370" s="81"/>
      <c r="P370" s="105"/>
      <c r="Q370" s="81"/>
      <c r="R370" s="105"/>
      <c r="S370" s="81"/>
      <c r="T370" s="105"/>
      <c r="U370" s="81"/>
      <c r="V370" s="105"/>
      <c r="W370" s="81"/>
      <c r="X370" s="81"/>
      <c r="Y370" s="81"/>
      <c r="Z370" s="105"/>
      <c r="AA370" s="81"/>
      <c r="AB370" s="81"/>
      <c r="AC370" s="81"/>
      <c r="AD370" s="81"/>
    </row>
    <row r="371" spans="1:30" ht="24" customHeight="1" x14ac:dyDescent="0.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105"/>
      <c r="M371" s="81"/>
      <c r="N371" s="105"/>
      <c r="O371" s="81"/>
      <c r="P371" s="105"/>
      <c r="Q371" s="81"/>
      <c r="R371" s="105"/>
      <c r="S371" s="81"/>
      <c r="T371" s="105"/>
      <c r="U371" s="81"/>
      <c r="V371" s="105"/>
      <c r="W371" s="81"/>
      <c r="X371" s="81"/>
      <c r="Y371" s="81"/>
      <c r="Z371" s="105"/>
      <c r="AA371" s="81"/>
      <c r="AB371" s="81"/>
      <c r="AC371" s="81"/>
      <c r="AD371" s="81"/>
    </row>
    <row r="372" spans="1:30" ht="24" customHeight="1" x14ac:dyDescent="0.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105"/>
      <c r="M372" s="81"/>
      <c r="N372" s="105"/>
      <c r="O372" s="81"/>
      <c r="P372" s="105"/>
      <c r="Q372" s="81"/>
      <c r="R372" s="105"/>
      <c r="S372" s="81"/>
      <c r="T372" s="105"/>
      <c r="U372" s="81"/>
      <c r="V372" s="105"/>
      <c r="W372" s="81"/>
      <c r="X372" s="81"/>
      <c r="Y372" s="81"/>
      <c r="Z372" s="105"/>
      <c r="AA372" s="81"/>
      <c r="AB372" s="81"/>
      <c r="AC372" s="81"/>
      <c r="AD372" s="81"/>
    </row>
    <row r="373" spans="1:30" ht="24" customHeight="1" x14ac:dyDescent="0.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105"/>
      <c r="M373" s="81"/>
      <c r="N373" s="105"/>
      <c r="O373" s="81"/>
      <c r="P373" s="105"/>
      <c r="Q373" s="81"/>
      <c r="R373" s="105"/>
      <c r="S373" s="81"/>
      <c r="T373" s="105"/>
      <c r="U373" s="81"/>
      <c r="V373" s="105"/>
      <c r="W373" s="81"/>
      <c r="X373" s="81"/>
      <c r="Y373" s="81"/>
      <c r="Z373" s="105"/>
      <c r="AA373" s="81"/>
      <c r="AB373" s="81"/>
      <c r="AC373" s="81"/>
      <c r="AD373" s="81"/>
    </row>
    <row r="374" spans="1:30" ht="24" customHeight="1" x14ac:dyDescent="0.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105"/>
      <c r="M374" s="81"/>
      <c r="N374" s="105"/>
      <c r="O374" s="81"/>
      <c r="P374" s="105"/>
      <c r="Q374" s="81"/>
      <c r="R374" s="105"/>
      <c r="S374" s="81"/>
      <c r="T374" s="105"/>
      <c r="U374" s="81"/>
      <c r="V374" s="105"/>
      <c r="W374" s="81"/>
      <c r="X374" s="81"/>
      <c r="Y374" s="81"/>
      <c r="Z374" s="105"/>
      <c r="AA374" s="81"/>
      <c r="AB374" s="81"/>
      <c r="AC374" s="81"/>
      <c r="AD374" s="81"/>
    </row>
    <row r="375" spans="1:30" ht="24" customHeight="1" x14ac:dyDescent="0.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105"/>
      <c r="M375" s="81"/>
      <c r="N375" s="105"/>
      <c r="O375" s="81"/>
      <c r="P375" s="105"/>
      <c r="Q375" s="81"/>
      <c r="R375" s="105"/>
      <c r="S375" s="81"/>
      <c r="T375" s="105"/>
      <c r="U375" s="81"/>
      <c r="V375" s="105"/>
      <c r="W375" s="81"/>
      <c r="X375" s="81"/>
      <c r="Y375" s="81"/>
      <c r="Z375" s="105"/>
      <c r="AA375" s="81"/>
      <c r="AB375" s="81"/>
      <c r="AC375" s="81"/>
      <c r="AD375" s="81"/>
    </row>
    <row r="376" spans="1:30" ht="24" customHeight="1" x14ac:dyDescent="0.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105"/>
      <c r="M376" s="81"/>
      <c r="N376" s="105"/>
      <c r="O376" s="81"/>
      <c r="P376" s="105"/>
      <c r="Q376" s="81"/>
      <c r="R376" s="105"/>
      <c r="S376" s="81"/>
      <c r="T376" s="105"/>
      <c r="U376" s="81"/>
      <c r="V376" s="105"/>
      <c r="W376" s="81"/>
      <c r="X376" s="81"/>
      <c r="Y376" s="81"/>
      <c r="Z376" s="105"/>
      <c r="AA376" s="81"/>
      <c r="AB376" s="81"/>
      <c r="AC376" s="81"/>
      <c r="AD376" s="81"/>
    </row>
    <row r="377" spans="1:30" ht="24" customHeight="1" x14ac:dyDescent="0.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105"/>
      <c r="M377" s="81"/>
      <c r="N377" s="105"/>
      <c r="O377" s="81"/>
      <c r="P377" s="105"/>
      <c r="Q377" s="81"/>
      <c r="R377" s="105"/>
      <c r="S377" s="81"/>
      <c r="T377" s="105"/>
      <c r="U377" s="81"/>
      <c r="V377" s="105"/>
      <c r="W377" s="81"/>
      <c r="X377" s="81"/>
      <c r="Y377" s="81"/>
      <c r="Z377" s="105"/>
      <c r="AA377" s="81"/>
      <c r="AB377" s="81"/>
      <c r="AC377" s="81"/>
      <c r="AD377" s="81"/>
    </row>
    <row r="378" spans="1:30" ht="24" customHeight="1" x14ac:dyDescent="0.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105"/>
      <c r="M378" s="81"/>
      <c r="N378" s="105"/>
      <c r="O378" s="81"/>
      <c r="P378" s="105"/>
      <c r="Q378" s="81"/>
      <c r="R378" s="105"/>
      <c r="S378" s="81"/>
      <c r="T378" s="105"/>
      <c r="U378" s="81"/>
      <c r="V378" s="105"/>
      <c r="W378" s="81"/>
      <c r="X378" s="81"/>
      <c r="Y378" s="81"/>
      <c r="Z378" s="105"/>
      <c r="AA378" s="81"/>
      <c r="AB378" s="81"/>
      <c r="AC378" s="81"/>
      <c r="AD378" s="81"/>
    </row>
    <row r="379" spans="1:30" ht="24" customHeight="1" x14ac:dyDescent="0.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105"/>
      <c r="M379" s="81"/>
      <c r="N379" s="105"/>
      <c r="O379" s="81"/>
      <c r="P379" s="105"/>
      <c r="Q379" s="81"/>
      <c r="R379" s="105"/>
      <c r="S379" s="81"/>
      <c r="T379" s="105"/>
      <c r="U379" s="81"/>
      <c r="V379" s="105"/>
      <c r="W379" s="81"/>
      <c r="X379" s="81"/>
      <c r="Y379" s="81"/>
      <c r="Z379" s="105"/>
      <c r="AA379" s="81"/>
      <c r="AB379" s="81"/>
      <c r="AC379" s="81"/>
      <c r="AD379" s="81"/>
    </row>
    <row r="380" spans="1:30" ht="24" customHeight="1" x14ac:dyDescent="0.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105"/>
      <c r="M380" s="81"/>
      <c r="N380" s="105"/>
      <c r="O380" s="81"/>
      <c r="P380" s="105"/>
      <c r="Q380" s="81"/>
      <c r="R380" s="105"/>
      <c r="S380" s="81"/>
      <c r="T380" s="105"/>
      <c r="U380" s="81"/>
      <c r="V380" s="105"/>
      <c r="W380" s="81"/>
      <c r="X380" s="81"/>
      <c r="Y380" s="81"/>
      <c r="Z380" s="105"/>
      <c r="AA380" s="81"/>
      <c r="AB380" s="81"/>
      <c r="AC380" s="81"/>
      <c r="AD380" s="81"/>
    </row>
    <row r="381" spans="1:30" ht="24" customHeight="1" x14ac:dyDescent="0.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105"/>
      <c r="M381" s="81"/>
      <c r="N381" s="105"/>
      <c r="O381" s="81"/>
      <c r="P381" s="105"/>
      <c r="Q381" s="81"/>
      <c r="R381" s="105"/>
      <c r="S381" s="81"/>
      <c r="T381" s="105"/>
      <c r="U381" s="81"/>
      <c r="V381" s="105"/>
      <c r="W381" s="81"/>
      <c r="X381" s="81"/>
      <c r="Y381" s="81"/>
      <c r="Z381" s="105"/>
      <c r="AA381" s="81"/>
      <c r="AB381" s="81"/>
      <c r="AC381" s="81"/>
      <c r="AD381" s="81"/>
    </row>
    <row r="382" spans="1:30" ht="24" customHeight="1" x14ac:dyDescent="0.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105"/>
      <c r="M382" s="81"/>
      <c r="N382" s="105"/>
      <c r="O382" s="81"/>
      <c r="P382" s="105"/>
      <c r="Q382" s="81"/>
      <c r="R382" s="105"/>
      <c r="S382" s="81"/>
      <c r="T382" s="105"/>
      <c r="U382" s="81"/>
      <c r="V382" s="105"/>
      <c r="W382" s="81"/>
      <c r="X382" s="81"/>
      <c r="Y382" s="81"/>
      <c r="Z382" s="105"/>
      <c r="AA382" s="81"/>
      <c r="AB382" s="81"/>
      <c r="AC382" s="81"/>
      <c r="AD382" s="81"/>
    </row>
    <row r="383" spans="1:30" ht="24" customHeight="1" x14ac:dyDescent="0.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105"/>
      <c r="M383" s="81"/>
      <c r="N383" s="105"/>
      <c r="O383" s="81"/>
      <c r="P383" s="105"/>
      <c r="Q383" s="81"/>
      <c r="R383" s="105"/>
      <c r="S383" s="81"/>
      <c r="T383" s="105"/>
      <c r="U383" s="81"/>
      <c r="V383" s="105"/>
      <c r="W383" s="81"/>
      <c r="X383" s="81"/>
      <c r="Y383" s="81"/>
      <c r="Z383" s="105"/>
      <c r="AA383" s="81"/>
      <c r="AB383" s="81"/>
      <c r="AC383" s="81"/>
      <c r="AD383" s="81"/>
    </row>
    <row r="384" spans="1:30" ht="24" customHeight="1" x14ac:dyDescent="0.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105"/>
      <c r="M384" s="81"/>
      <c r="N384" s="105"/>
      <c r="O384" s="81"/>
      <c r="P384" s="105"/>
      <c r="Q384" s="81"/>
      <c r="R384" s="105"/>
      <c r="S384" s="81"/>
      <c r="T384" s="105"/>
      <c r="U384" s="81"/>
      <c r="V384" s="105"/>
      <c r="W384" s="81"/>
      <c r="X384" s="81"/>
      <c r="Y384" s="81"/>
      <c r="Z384" s="105"/>
      <c r="AA384" s="81"/>
      <c r="AB384" s="81"/>
      <c r="AC384" s="81"/>
      <c r="AD384" s="81"/>
    </row>
    <row r="385" spans="1:30" ht="24" customHeight="1" x14ac:dyDescent="0.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105"/>
      <c r="M385" s="81"/>
      <c r="N385" s="105"/>
      <c r="O385" s="81"/>
      <c r="P385" s="105"/>
      <c r="Q385" s="81"/>
      <c r="R385" s="105"/>
      <c r="S385" s="81"/>
      <c r="T385" s="105"/>
      <c r="U385" s="81"/>
      <c r="V385" s="105"/>
      <c r="W385" s="81"/>
      <c r="X385" s="81"/>
      <c r="Y385" s="81"/>
      <c r="Z385" s="105"/>
      <c r="AA385" s="81"/>
      <c r="AB385" s="81"/>
      <c r="AC385" s="81"/>
      <c r="AD385" s="81"/>
    </row>
    <row r="386" spans="1:30" ht="24" customHeight="1" x14ac:dyDescent="0.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105"/>
      <c r="M386" s="81"/>
      <c r="N386" s="105"/>
      <c r="O386" s="81"/>
      <c r="P386" s="105"/>
      <c r="Q386" s="81"/>
      <c r="R386" s="105"/>
      <c r="S386" s="81"/>
      <c r="T386" s="105"/>
      <c r="U386" s="81"/>
      <c r="V386" s="105"/>
      <c r="W386" s="81"/>
      <c r="X386" s="81"/>
      <c r="Y386" s="81"/>
      <c r="Z386" s="105"/>
      <c r="AA386" s="81"/>
      <c r="AB386" s="81"/>
      <c r="AC386" s="81"/>
      <c r="AD386" s="81"/>
    </row>
    <row r="387" spans="1:30" ht="24" customHeight="1" x14ac:dyDescent="0.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105"/>
      <c r="M387" s="81"/>
      <c r="N387" s="105"/>
      <c r="O387" s="81"/>
      <c r="P387" s="105"/>
      <c r="Q387" s="81"/>
      <c r="R387" s="105"/>
      <c r="S387" s="81"/>
      <c r="T387" s="105"/>
      <c r="U387" s="81"/>
      <c r="V387" s="105"/>
      <c r="W387" s="81"/>
      <c r="X387" s="81"/>
      <c r="Y387" s="81"/>
      <c r="Z387" s="105"/>
      <c r="AA387" s="81"/>
      <c r="AB387" s="81"/>
      <c r="AC387" s="81"/>
      <c r="AD387" s="81"/>
    </row>
    <row r="388" spans="1:30" ht="24" customHeight="1" x14ac:dyDescent="0.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105"/>
      <c r="M388" s="81"/>
      <c r="N388" s="105"/>
      <c r="O388" s="81"/>
      <c r="P388" s="105"/>
      <c r="Q388" s="81"/>
      <c r="R388" s="105"/>
      <c r="S388" s="81"/>
      <c r="T388" s="105"/>
      <c r="U388" s="81"/>
      <c r="V388" s="105"/>
      <c r="W388" s="81"/>
      <c r="X388" s="81"/>
      <c r="Y388" s="81"/>
      <c r="Z388" s="105"/>
      <c r="AA388" s="81"/>
      <c r="AB388" s="81"/>
      <c r="AC388" s="81"/>
      <c r="AD388" s="81"/>
    </row>
    <row r="389" spans="1:30" ht="24" customHeight="1" x14ac:dyDescent="0.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105"/>
      <c r="M389" s="81"/>
      <c r="N389" s="105"/>
      <c r="O389" s="81"/>
      <c r="P389" s="105"/>
      <c r="Q389" s="81"/>
      <c r="R389" s="105"/>
      <c r="S389" s="81"/>
      <c r="T389" s="105"/>
      <c r="U389" s="81"/>
      <c r="V389" s="105"/>
      <c r="W389" s="81"/>
      <c r="X389" s="81"/>
      <c r="Y389" s="81"/>
      <c r="Z389" s="105"/>
      <c r="AA389" s="81"/>
      <c r="AB389" s="81"/>
      <c r="AC389" s="81"/>
      <c r="AD389" s="81"/>
    </row>
    <row r="390" spans="1:30" ht="24" customHeight="1" x14ac:dyDescent="0.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105"/>
      <c r="M390" s="81"/>
      <c r="N390" s="105"/>
      <c r="O390" s="81"/>
      <c r="P390" s="105"/>
      <c r="Q390" s="81"/>
      <c r="R390" s="105"/>
      <c r="S390" s="81"/>
      <c r="T390" s="105"/>
      <c r="U390" s="81"/>
      <c r="V390" s="105"/>
      <c r="W390" s="81"/>
      <c r="X390" s="81"/>
      <c r="Y390" s="81"/>
      <c r="Z390" s="105"/>
      <c r="AA390" s="81"/>
      <c r="AB390" s="81"/>
      <c r="AC390" s="81"/>
      <c r="AD390" s="81"/>
    </row>
    <row r="391" spans="1:30" ht="24" customHeight="1" x14ac:dyDescent="0.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105"/>
      <c r="M391" s="81"/>
      <c r="N391" s="105"/>
      <c r="O391" s="81"/>
      <c r="P391" s="105"/>
      <c r="Q391" s="81"/>
      <c r="R391" s="105"/>
      <c r="S391" s="81"/>
      <c r="T391" s="105"/>
      <c r="U391" s="81"/>
      <c r="V391" s="105"/>
      <c r="W391" s="81"/>
      <c r="X391" s="81"/>
      <c r="Y391" s="81"/>
      <c r="Z391" s="105"/>
      <c r="AA391" s="81"/>
      <c r="AB391" s="81"/>
      <c r="AC391" s="81"/>
      <c r="AD391" s="81"/>
    </row>
    <row r="392" spans="1:30" ht="24" customHeight="1" x14ac:dyDescent="0.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105"/>
      <c r="M392" s="81"/>
      <c r="N392" s="105"/>
      <c r="O392" s="81"/>
      <c r="P392" s="105"/>
      <c r="Q392" s="81"/>
      <c r="R392" s="105"/>
      <c r="S392" s="81"/>
      <c r="T392" s="105"/>
      <c r="U392" s="81"/>
      <c r="V392" s="105"/>
      <c r="W392" s="81"/>
      <c r="X392" s="81"/>
      <c r="Y392" s="81"/>
      <c r="Z392" s="105"/>
      <c r="AA392" s="81"/>
      <c r="AB392" s="81"/>
      <c r="AC392" s="81"/>
      <c r="AD392" s="81"/>
    </row>
    <row r="393" spans="1:30" ht="24" customHeight="1" x14ac:dyDescent="0.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105"/>
      <c r="M393" s="81"/>
      <c r="N393" s="105"/>
      <c r="O393" s="81"/>
      <c r="P393" s="105"/>
      <c r="Q393" s="81"/>
      <c r="R393" s="105"/>
      <c r="S393" s="81"/>
      <c r="T393" s="105"/>
      <c r="U393" s="81"/>
      <c r="V393" s="105"/>
      <c r="W393" s="81"/>
      <c r="X393" s="81"/>
      <c r="Y393" s="81"/>
      <c r="Z393" s="105"/>
      <c r="AA393" s="81"/>
      <c r="AB393" s="81"/>
      <c r="AC393" s="81"/>
      <c r="AD393" s="81"/>
    </row>
    <row r="394" spans="1:30" ht="24" customHeight="1" x14ac:dyDescent="0.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105"/>
      <c r="M394" s="81"/>
      <c r="N394" s="105"/>
      <c r="O394" s="81"/>
      <c r="P394" s="105"/>
      <c r="Q394" s="81"/>
      <c r="R394" s="105"/>
      <c r="S394" s="81"/>
      <c r="T394" s="105"/>
      <c r="U394" s="81"/>
      <c r="V394" s="105"/>
      <c r="W394" s="81"/>
      <c r="X394" s="81"/>
      <c r="Y394" s="81"/>
      <c r="Z394" s="105"/>
      <c r="AA394" s="81"/>
      <c r="AB394" s="81"/>
      <c r="AC394" s="81"/>
      <c r="AD394" s="81"/>
    </row>
    <row r="395" spans="1:30" ht="24" customHeight="1" x14ac:dyDescent="0.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105"/>
      <c r="M395" s="81"/>
      <c r="N395" s="105"/>
      <c r="O395" s="81"/>
      <c r="P395" s="105"/>
      <c r="Q395" s="81"/>
      <c r="R395" s="105"/>
      <c r="S395" s="81"/>
      <c r="T395" s="105"/>
      <c r="U395" s="81"/>
      <c r="V395" s="105"/>
      <c r="W395" s="81"/>
      <c r="X395" s="81"/>
      <c r="Y395" s="81"/>
      <c r="Z395" s="105"/>
      <c r="AA395" s="81"/>
      <c r="AB395" s="81"/>
      <c r="AC395" s="81"/>
      <c r="AD395" s="81"/>
    </row>
    <row r="396" spans="1:30" ht="24" customHeight="1" x14ac:dyDescent="0.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105"/>
      <c r="M396" s="81"/>
      <c r="N396" s="105"/>
      <c r="O396" s="81"/>
      <c r="P396" s="105"/>
      <c r="Q396" s="81"/>
      <c r="R396" s="105"/>
      <c r="S396" s="81"/>
      <c r="T396" s="105"/>
      <c r="U396" s="81"/>
      <c r="V396" s="105"/>
      <c r="W396" s="81"/>
      <c r="X396" s="81"/>
      <c r="Y396" s="81"/>
      <c r="Z396" s="105"/>
      <c r="AA396" s="81"/>
      <c r="AB396" s="81"/>
      <c r="AC396" s="81"/>
      <c r="AD396" s="81"/>
    </row>
    <row r="397" spans="1:30" ht="24" customHeight="1" x14ac:dyDescent="0.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105"/>
      <c r="M397" s="81"/>
      <c r="N397" s="105"/>
      <c r="O397" s="81"/>
      <c r="P397" s="105"/>
      <c r="Q397" s="81"/>
      <c r="R397" s="105"/>
      <c r="S397" s="81"/>
      <c r="T397" s="105"/>
      <c r="U397" s="81"/>
      <c r="V397" s="105"/>
      <c r="W397" s="81"/>
      <c r="X397" s="81"/>
      <c r="Y397" s="81"/>
      <c r="Z397" s="105"/>
      <c r="AA397" s="81"/>
      <c r="AB397" s="81"/>
      <c r="AC397" s="81"/>
      <c r="AD397" s="81"/>
    </row>
    <row r="398" spans="1:30" ht="24" customHeight="1" x14ac:dyDescent="0.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105"/>
      <c r="M398" s="81"/>
      <c r="N398" s="105"/>
      <c r="O398" s="81"/>
      <c r="P398" s="105"/>
      <c r="Q398" s="81"/>
      <c r="R398" s="105"/>
      <c r="S398" s="81"/>
      <c r="T398" s="105"/>
      <c r="U398" s="81"/>
      <c r="V398" s="105"/>
      <c r="W398" s="81"/>
      <c r="X398" s="81"/>
      <c r="Y398" s="81"/>
      <c r="Z398" s="105"/>
      <c r="AA398" s="81"/>
      <c r="AB398" s="81"/>
      <c r="AC398" s="81"/>
      <c r="AD398" s="81"/>
    </row>
    <row r="399" spans="1:30" ht="24" customHeight="1" x14ac:dyDescent="0.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105"/>
      <c r="M399" s="81"/>
      <c r="N399" s="105"/>
      <c r="O399" s="81"/>
      <c r="P399" s="105"/>
      <c r="Q399" s="81"/>
      <c r="R399" s="105"/>
      <c r="S399" s="81"/>
      <c r="T399" s="105"/>
      <c r="U399" s="81"/>
      <c r="V399" s="105"/>
      <c r="W399" s="81"/>
      <c r="X399" s="81"/>
      <c r="Y399" s="81"/>
      <c r="Z399" s="105"/>
      <c r="AA399" s="81"/>
      <c r="AB399" s="81"/>
      <c r="AC399" s="81"/>
      <c r="AD399" s="81"/>
    </row>
    <row r="400" spans="1:30" ht="24" customHeight="1" x14ac:dyDescent="0.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105"/>
      <c r="M400" s="81"/>
      <c r="N400" s="105"/>
      <c r="O400" s="81"/>
      <c r="P400" s="105"/>
      <c r="Q400" s="81"/>
      <c r="R400" s="105"/>
      <c r="S400" s="81"/>
      <c r="T400" s="105"/>
      <c r="U400" s="81"/>
      <c r="V400" s="105"/>
      <c r="W400" s="81"/>
      <c r="X400" s="81"/>
      <c r="Y400" s="81"/>
      <c r="Z400" s="105"/>
      <c r="AA400" s="81"/>
      <c r="AB400" s="81"/>
      <c r="AC400" s="81"/>
      <c r="AD400" s="81"/>
    </row>
    <row r="401" spans="1:30" ht="24" customHeight="1" x14ac:dyDescent="0.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105"/>
      <c r="M401" s="81"/>
      <c r="N401" s="105"/>
      <c r="O401" s="81"/>
      <c r="P401" s="105"/>
      <c r="Q401" s="81"/>
      <c r="R401" s="105"/>
      <c r="S401" s="81"/>
      <c r="T401" s="105"/>
      <c r="U401" s="81"/>
      <c r="V401" s="105"/>
      <c r="W401" s="81"/>
      <c r="X401" s="81"/>
      <c r="Y401" s="81"/>
      <c r="Z401" s="105"/>
      <c r="AA401" s="81"/>
      <c r="AB401" s="81"/>
      <c r="AC401" s="81"/>
      <c r="AD401" s="81"/>
    </row>
    <row r="402" spans="1:30" ht="24" customHeight="1" x14ac:dyDescent="0.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105"/>
      <c r="M402" s="81"/>
      <c r="N402" s="105"/>
      <c r="O402" s="81"/>
      <c r="P402" s="105"/>
      <c r="Q402" s="81"/>
      <c r="R402" s="105"/>
      <c r="S402" s="81"/>
      <c r="T402" s="105"/>
      <c r="U402" s="81"/>
      <c r="V402" s="105"/>
      <c r="W402" s="81"/>
      <c r="X402" s="81"/>
      <c r="Y402" s="81"/>
      <c r="Z402" s="105"/>
      <c r="AA402" s="81"/>
      <c r="AB402" s="81"/>
      <c r="AC402" s="81"/>
      <c r="AD402" s="81"/>
    </row>
    <row r="403" spans="1:30" ht="24" customHeight="1" x14ac:dyDescent="0.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105"/>
      <c r="M403" s="81"/>
      <c r="N403" s="105"/>
      <c r="O403" s="81"/>
      <c r="P403" s="105"/>
      <c r="Q403" s="81"/>
      <c r="R403" s="105"/>
      <c r="S403" s="81"/>
      <c r="T403" s="105"/>
      <c r="U403" s="81"/>
      <c r="V403" s="105"/>
      <c r="W403" s="81"/>
      <c r="X403" s="81"/>
      <c r="Y403" s="81"/>
      <c r="Z403" s="105"/>
      <c r="AA403" s="81"/>
      <c r="AB403" s="81"/>
      <c r="AC403" s="81"/>
      <c r="AD403" s="81"/>
    </row>
    <row r="404" spans="1:30" ht="24" customHeight="1" x14ac:dyDescent="0.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105"/>
      <c r="M404" s="81"/>
      <c r="N404" s="105"/>
      <c r="O404" s="81"/>
      <c r="P404" s="105"/>
      <c r="Q404" s="81"/>
      <c r="R404" s="105"/>
      <c r="S404" s="81"/>
      <c r="T404" s="105"/>
      <c r="U404" s="81"/>
      <c r="V404" s="105"/>
      <c r="W404" s="81"/>
      <c r="X404" s="81"/>
      <c r="Y404" s="81"/>
      <c r="Z404" s="105"/>
      <c r="AA404" s="81"/>
      <c r="AB404" s="81"/>
      <c r="AC404" s="81"/>
      <c r="AD404" s="81"/>
    </row>
    <row r="405" spans="1:30" ht="24" customHeight="1" x14ac:dyDescent="0.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105"/>
      <c r="M405" s="81"/>
      <c r="N405" s="105"/>
      <c r="O405" s="81"/>
      <c r="P405" s="105"/>
      <c r="Q405" s="81"/>
      <c r="R405" s="105"/>
      <c r="S405" s="81"/>
      <c r="T405" s="105"/>
      <c r="U405" s="81"/>
      <c r="V405" s="105"/>
      <c r="W405" s="81"/>
      <c r="X405" s="81"/>
      <c r="Y405" s="81"/>
      <c r="Z405" s="105"/>
      <c r="AA405" s="81"/>
      <c r="AB405" s="81"/>
      <c r="AC405" s="81"/>
      <c r="AD405" s="81"/>
    </row>
    <row r="406" spans="1:30" ht="24" customHeight="1" x14ac:dyDescent="0.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105"/>
      <c r="M406" s="81"/>
      <c r="N406" s="105"/>
      <c r="O406" s="81"/>
      <c r="P406" s="105"/>
      <c r="Q406" s="81"/>
      <c r="R406" s="105"/>
      <c r="S406" s="81"/>
      <c r="T406" s="105"/>
      <c r="U406" s="81"/>
      <c r="V406" s="105"/>
      <c r="W406" s="81"/>
      <c r="X406" s="81"/>
      <c r="Y406" s="81"/>
      <c r="Z406" s="105"/>
      <c r="AA406" s="81"/>
      <c r="AB406" s="81"/>
      <c r="AC406" s="81"/>
      <c r="AD406" s="81"/>
    </row>
    <row r="407" spans="1:30" ht="24" customHeight="1" x14ac:dyDescent="0.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105"/>
      <c r="M407" s="81"/>
      <c r="N407" s="105"/>
      <c r="O407" s="81"/>
      <c r="P407" s="105"/>
      <c r="Q407" s="81"/>
      <c r="R407" s="105"/>
      <c r="S407" s="81"/>
      <c r="T407" s="105"/>
      <c r="U407" s="81"/>
      <c r="V407" s="105"/>
      <c r="W407" s="81"/>
      <c r="X407" s="81"/>
      <c r="Y407" s="81"/>
      <c r="Z407" s="105"/>
      <c r="AA407" s="81"/>
      <c r="AB407" s="81"/>
      <c r="AC407" s="81"/>
      <c r="AD407" s="81"/>
    </row>
    <row r="408" spans="1:30" ht="24" customHeight="1" x14ac:dyDescent="0.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105"/>
      <c r="M408" s="81"/>
      <c r="N408" s="105"/>
      <c r="O408" s="81"/>
      <c r="P408" s="105"/>
      <c r="Q408" s="81"/>
      <c r="R408" s="105"/>
      <c r="S408" s="81"/>
      <c r="T408" s="105"/>
      <c r="U408" s="81"/>
      <c r="V408" s="105"/>
      <c r="W408" s="81"/>
      <c r="X408" s="81"/>
      <c r="Y408" s="81"/>
      <c r="Z408" s="105"/>
      <c r="AA408" s="81"/>
      <c r="AB408" s="81"/>
      <c r="AC408" s="81"/>
      <c r="AD408" s="81"/>
    </row>
    <row r="409" spans="1:30" ht="24" customHeight="1" x14ac:dyDescent="0.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105"/>
      <c r="M409" s="81"/>
      <c r="N409" s="105"/>
      <c r="O409" s="81"/>
      <c r="P409" s="105"/>
      <c r="Q409" s="81"/>
      <c r="R409" s="105"/>
      <c r="S409" s="81"/>
      <c r="T409" s="105"/>
      <c r="U409" s="81"/>
      <c r="V409" s="105"/>
      <c r="W409" s="81"/>
      <c r="X409" s="81"/>
      <c r="Y409" s="81"/>
      <c r="Z409" s="105"/>
      <c r="AA409" s="81"/>
      <c r="AB409" s="81"/>
      <c r="AC409" s="81"/>
      <c r="AD409" s="81"/>
    </row>
    <row r="410" spans="1:30" ht="24" customHeight="1" x14ac:dyDescent="0.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105"/>
      <c r="M410" s="81"/>
      <c r="N410" s="105"/>
      <c r="O410" s="81"/>
      <c r="P410" s="105"/>
      <c r="Q410" s="81"/>
      <c r="R410" s="105"/>
      <c r="S410" s="81"/>
      <c r="T410" s="105"/>
      <c r="U410" s="81"/>
      <c r="V410" s="105"/>
      <c r="W410" s="81"/>
      <c r="X410" s="81"/>
      <c r="Y410" s="81"/>
      <c r="Z410" s="105"/>
      <c r="AA410" s="81"/>
      <c r="AB410" s="81"/>
      <c r="AC410" s="81"/>
      <c r="AD410" s="81"/>
    </row>
    <row r="411" spans="1:30" ht="24" customHeight="1" x14ac:dyDescent="0.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105"/>
      <c r="M411" s="81"/>
      <c r="N411" s="105"/>
      <c r="O411" s="81"/>
      <c r="P411" s="105"/>
      <c r="Q411" s="81"/>
      <c r="R411" s="105"/>
      <c r="S411" s="81"/>
      <c r="T411" s="105"/>
      <c r="U411" s="81"/>
      <c r="V411" s="105"/>
      <c r="W411" s="81"/>
      <c r="X411" s="81"/>
      <c r="Y411" s="81"/>
      <c r="Z411" s="105"/>
      <c r="AA411" s="81"/>
      <c r="AB411" s="81"/>
      <c r="AC411" s="81"/>
      <c r="AD411" s="81"/>
    </row>
    <row r="412" spans="1:30" ht="24" customHeight="1" x14ac:dyDescent="0.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105"/>
      <c r="M412" s="81"/>
      <c r="N412" s="105"/>
      <c r="O412" s="81"/>
      <c r="P412" s="105"/>
      <c r="Q412" s="81"/>
      <c r="R412" s="105"/>
      <c r="S412" s="81"/>
      <c r="T412" s="105"/>
      <c r="U412" s="81"/>
      <c r="V412" s="105"/>
      <c r="W412" s="81"/>
      <c r="X412" s="81"/>
      <c r="Y412" s="81"/>
      <c r="Z412" s="105"/>
      <c r="AA412" s="81"/>
      <c r="AB412" s="81"/>
      <c r="AC412" s="81"/>
      <c r="AD412" s="81"/>
    </row>
    <row r="413" spans="1:30" ht="24" customHeight="1" x14ac:dyDescent="0.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105"/>
      <c r="M413" s="81"/>
      <c r="N413" s="105"/>
      <c r="O413" s="81"/>
      <c r="P413" s="105"/>
      <c r="Q413" s="81"/>
      <c r="R413" s="105"/>
      <c r="S413" s="81"/>
      <c r="T413" s="105"/>
      <c r="U413" s="81"/>
      <c r="V413" s="105"/>
      <c r="W413" s="81"/>
      <c r="X413" s="81"/>
      <c r="Y413" s="81"/>
      <c r="Z413" s="105"/>
      <c r="AA413" s="81"/>
      <c r="AB413" s="81"/>
      <c r="AC413" s="81"/>
      <c r="AD413" s="81"/>
    </row>
    <row r="414" spans="1:30" ht="24" customHeight="1" x14ac:dyDescent="0.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105"/>
      <c r="M414" s="81"/>
      <c r="N414" s="105"/>
      <c r="O414" s="81"/>
      <c r="P414" s="105"/>
      <c r="Q414" s="81"/>
      <c r="R414" s="105"/>
      <c r="S414" s="81"/>
      <c r="T414" s="105"/>
      <c r="U414" s="81"/>
      <c r="V414" s="105"/>
      <c r="W414" s="81"/>
      <c r="X414" s="81"/>
      <c r="Y414" s="81"/>
      <c r="Z414" s="105"/>
      <c r="AA414" s="81"/>
      <c r="AB414" s="81"/>
      <c r="AC414" s="81"/>
      <c r="AD414" s="81"/>
    </row>
    <row r="415" spans="1:30" ht="24" customHeight="1" x14ac:dyDescent="0.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105"/>
      <c r="M415" s="81"/>
      <c r="N415" s="105"/>
      <c r="O415" s="81"/>
      <c r="P415" s="105"/>
      <c r="Q415" s="81"/>
      <c r="R415" s="105"/>
      <c r="S415" s="81"/>
      <c r="T415" s="105"/>
      <c r="U415" s="81"/>
      <c r="V415" s="105"/>
      <c r="W415" s="81"/>
      <c r="X415" s="81"/>
      <c r="Y415" s="81"/>
      <c r="Z415" s="105"/>
      <c r="AA415" s="81"/>
      <c r="AB415" s="81"/>
      <c r="AC415" s="81"/>
      <c r="AD415" s="81"/>
    </row>
    <row r="416" spans="1:30" ht="24" customHeight="1" x14ac:dyDescent="0.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105"/>
      <c r="M416" s="81"/>
      <c r="N416" s="105"/>
      <c r="O416" s="81"/>
      <c r="P416" s="105"/>
      <c r="Q416" s="81"/>
      <c r="R416" s="105"/>
      <c r="S416" s="81"/>
      <c r="T416" s="105"/>
      <c r="U416" s="81"/>
      <c r="V416" s="105"/>
      <c r="W416" s="81"/>
      <c r="X416" s="81"/>
      <c r="Y416" s="81"/>
      <c r="Z416" s="105"/>
      <c r="AA416" s="81"/>
      <c r="AB416" s="81"/>
      <c r="AC416" s="81"/>
      <c r="AD416" s="81"/>
    </row>
    <row r="417" spans="1:30" ht="24" customHeight="1" x14ac:dyDescent="0.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105"/>
      <c r="M417" s="81"/>
      <c r="N417" s="105"/>
      <c r="O417" s="81"/>
      <c r="P417" s="105"/>
      <c r="Q417" s="81"/>
      <c r="R417" s="105"/>
      <c r="S417" s="81"/>
      <c r="T417" s="105"/>
      <c r="U417" s="81"/>
      <c r="V417" s="105"/>
      <c r="W417" s="81"/>
      <c r="X417" s="81"/>
      <c r="Y417" s="81"/>
      <c r="Z417" s="105"/>
      <c r="AA417" s="81"/>
      <c r="AB417" s="81"/>
      <c r="AC417" s="81"/>
      <c r="AD417" s="81"/>
    </row>
    <row r="418" spans="1:30" ht="24" customHeight="1" x14ac:dyDescent="0.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105"/>
      <c r="M418" s="81"/>
      <c r="N418" s="105"/>
      <c r="O418" s="81"/>
      <c r="P418" s="105"/>
      <c r="Q418" s="81"/>
      <c r="R418" s="105"/>
      <c r="S418" s="81"/>
      <c r="T418" s="105"/>
      <c r="U418" s="81"/>
      <c r="V418" s="105"/>
      <c r="W418" s="81"/>
      <c r="X418" s="81"/>
      <c r="Y418" s="81"/>
      <c r="Z418" s="105"/>
      <c r="AA418" s="81"/>
      <c r="AB418" s="81"/>
      <c r="AC418" s="81"/>
      <c r="AD418" s="81"/>
    </row>
    <row r="419" spans="1:30" ht="24" customHeight="1" x14ac:dyDescent="0.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105"/>
      <c r="M419" s="81"/>
      <c r="N419" s="105"/>
      <c r="O419" s="81"/>
      <c r="P419" s="105"/>
      <c r="Q419" s="81"/>
      <c r="R419" s="105"/>
      <c r="S419" s="81"/>
      <c r="T419" s="105"/>
      <c r="U419" s="81"/>
      <c r="V419" s="105"/>
      <c r="W419" s="81"/>
      <c r="X419" s="81"/>
      <c r="Y419" s="81"/>
      <c r="Z419" s="105"/>
      <c r="AA419" s="81"/>
      <c r="AB419" s="81"/>
      <c r="AC419" s="81"/>
      <c r="AD419" s="81"/>
    </row>
    <row r="420" spans="1:30" ht="24" customHeight="1" x14ac:dyDescent="0.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105"/>
      <c r="M420" s="81"/>
      <c r="N420" s="105"/>
      <c r="O420" s="81"/>
      <c r="P420" s="105"/>
      <c r="Q420" s="81"/>
      <c r="R420" s="105"/>
      <c r="S420" s="81"/>
      <c r="T420" s="105"/>
      <c r="U420" s="81"/>
      <c r="V420" s="105"/>
      <c r="W420" s="81"/>
      <c r="X420" s="81"/>
      <c r="Y420" s="81"/>
      <c r="Z420" s="105"/>
      <c r="AA420" s="81"/>
      <c r="AB420" s="81"/>
      <c r="AC420" s="81"/>
      <c r="AD420" s="81"/>
    </row>
    <row r="421" spans="1:30" ht="24" customHeight="1" x14ac:dyDescent="0.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105"/>
      <c r="M421" s="81"/>
      <c r="N421" s="105"/>
      <c r="O421" s="81"/>
      <c r="P421" s="105"/>
      <c r="Q421" s="81"/>
      <c r="R421" s="105"/>
      <c r="S421" s="81"/>
      <c r="T421" s="105"/>
      <c r="U421" s="81"/>
      <c r="V421" s="105"/>
      <c r="W421" s="81"/>
      <c r="X421" s="81"/>
      <c r="Y421" s="81"/>
      <c r="Z421" s="105"/>
      <c r="AA421" s="81"/>
      <c r="AB421" s="81"/>
      <c r="AC421" s="81"/>
      <c r="AD421" s="81"/>
    </row>
    <row r="422" spans="1:30" ht="24" customHeight="1" x14ac:dyDescent="0.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105"/>
      <c r="M422" s="81"/>
      <c r="N422" s="105"/>
      <c r="O422" s="81"/>
      <c r="P422" s="105"/>
      <c r="Q422" s="81"/>
      <c r="R422" s="105"/>
      <c r="S422" s="81"/>
      <c r="T422" s="105"/>
      <c r="U422" s="81"/>
      <c r="V422" s="105"/>
      <c r="W422" s="81"/>
      <c r="X422" s="81"/>
      <c r="Y422" s="81"/>
      <c r="Z422" s="105"/>
      <c r="AA422" s="81"/>
      <c r="AB422" s="81"/>
      <c r="AC422" s="81"/>
      <c r="AD422" s="81"/>
    </row>
    <row r="423" spans="1:30" ht="24" customHeight="1" x14ac:dyDescent="0.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105"/>
      <c r="M423" s="81"/>
      <c r="N423" s="105"/>
      <c r="O423" s="81"/>
      <c r="P423" s="105"/>
      <c r="Q423" s="81"/>
      <c r="R423" s="105"/>
      <c r="S423" s="81"/>
      <c r="T423" s="105"/>
      <c r="U423" s="81"/>
      <c r="V423" s="105"/>
      <c r="W423" s="81"/>
      <c r="X423" s="81"/>
      <c r="Y423" s="81"/>
      <c r="Z423" s="105"/>
      <c r="AA423" s="81"/>
      <c r="AB423" s="81"/>
      <c r="AC423" s="81"/>
      <c r="AD423" s="81"/>
    </row>
    <row r="424" spans="1:30" ht="24" customHeight="1" x14ac:dyDescent="0.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105"/>
      <c r="M424" s="81"/>
      <c r="N424" s="105"/>
      <c r="O424" s="81"/>
      <c r="P424" s="105"/>
      <c r="Q424" s="81"/>
      <c r="R424" s="105"/>
      <c r="S424" s="81"/>
      <c r="T424" s="105"/>
      <c r="U424" s="81"/>
      <c r="V424" s="105"/>
      <c r="W424" s="81"/>
      <c r="X424" s="81"/>
      <c r="Y424" s="81"/>
      <c r="Z424" s="105"/>
      <c r="AA424" s="81"/>
      <c r="AB424" s="81"/>
      <c r="AC424" s="81"/>
      <c r="AD424" s="81"/>
    </row>
    <row r="425" spans="1:30" ht="24" customHeight="1" x14ac:dyDescent="0.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105"/>
      <c r="M425" s="81"/>
      <c r="N425" s="105"/>
      <c r="O425" s="81"/>
      <c r="P425" s="105"/>
      <c r="Q425" s="81"/>
      <c r="R425" s="105"/>
      <c r="S425" s="81"/>
      <c r="T425" s="105"/>
      <c r="U425" s="81"/>
      <c r="V425" s="105"/>
      <c r="W425" s="81"/>
      <c r="X425" s="81"/>
      <c r="Y425" s="81"/>
      <c r="Z425" s="105"/>
      <c r="AA425" s="81"/>
      <c r="AB425" s="81"/>
      <c r="AC425" s="81"/>
      <c r="AD425" s="81"/>
    </row>
    <row r="426" spans="1:30" ht="24" customHeight="1" x14ac:dyDescent="0.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105"/>
      <c r="M426" s="81"/>
      <c r="N426" s="105"/>
      <c r="O426" s="81"/>
      <c r="P426" s="105"/>
      <c r="Q426" s="81"/>
      <c r="R426" s="105"/>
      <c r="S426" s="81"/>
      <c r="T426" s="105"/>
      <c r="U426" s="81"/>
      <c r="V426" s="105"/>
      <c r="W426" s="81"/>
      <c r="X426" s="81"/>
      <c r="Y426" s="81"/>
      <c r="Z426" s="105"/>
      <c r="AA426" s="81"/>
      <c r="AB426" s="81"/>
      <c r="AC426" s="81"/>
      <c r="AD426" s="81"/>
    </row>
    <row r="427" spans="1:30" ht="24" customHeight="1" x14ac:dyDescent="0.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105"/>
      <c r="M427" s="81"/>
      <c r="N427" s="105"/>
      <c r="O427" s="81"/>
      <c r="P427" s="105"/>
      <c r="Q427" s="81"/>
      <c r="R427" s="105"/>
      <c r="S427" s="81"/>
      <c r="T427" s="105"/>
      <c r="U427" s="81"/>
      <c r="V427" s="105"/>
      <c r="W427" s="81"/>
      <c r="X427" s="81"/>
      <c r="Y427" s="81"/>
      <c r="Z427" s="105"/>
      <c r="AA427" s="81"/>
      <c r="AB427" s="81"/>
      <c r="AC427" s="81"/>
      <c r="AD427" s="81"/>
    </row>
    <row r="428" spans="1:30" ht="24" customHeight="1" x14ac:dyDescent="0.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105"/>
      <c r="M428" s="81"/>
      <c r="N428" s="105"/>
      <c r="O428" s="81"/>
      <c r="P428" s="105"/>
      <c r="Q428" s="81"/>
      <c r="R428" s="105"/>
      <c r="S428" s="81"/>
      <c r="T428" s="105"/>
      <c r="U428" s="81"/>
      <c r="V428" s="105"/>
      <c r="W428" s="81"/>
      <c r="X428" s="81"/>
      <c r="Y428" s="81"/>
      <c r="Z428" s="105"/>
      <c r="AA428" s="81"/>
      <c r="AB428" s="81"/>
      <c r="AC428" s="81"/>
      <c r="AD428" s="81"/>
    </row>
    <row r="429" spans="1:30" ht="24" customHeight="1" x14ac:dyDescent="0.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105"/>
      <c r="M429" s="81"/>
      <c r="N429" s="105"/>
      <c r="O429" s="81"/>
      <c r="P429" s="105"/>
      <c r="Q429" s="81"/>
      <c r="R429" s="105"/>
      <c r="S429" s="81"/>
      <c r="T429" s="105"/>
      <c r="U429" s="81"/>
      <c r="V429" s="105"/>
      <c r="W429" s="81"/>
      <c r="X429" s="81"/>
      <c r="Y429" s="81"/>
      <c r="Z429" s="105"/>
      <c r="AA429" s="81"/>
      <c r="AB429" s="81"/>
      <c r="AC429" s="81"/>
      <c r="AD429" s="81"/>
    </row>
    <row r="430" spans="1:30" ht="24" customHeight="1" x14ac:dyDescent="0.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105"/>
      <c r="M430" s="81"/>
      <c r="N430" s="105"/>
      <c r="O430" s="81"/>
      <c r="P430" s="105"/>
      <c r="Q430" s="81"/>
      <c r="R430" s="105"/>
      <c r="S430" s="81"/>
      <c r="T430" s="105"/>
      <c r="U430" s="81"/>
      <c r="V430" s="105"/>
      <c r="W430" s="81"/>
      <c r="X430" s="81"/>
      <c r="Y430" s="81"/>
      <c r="Z430" s="105"/>
      <c r="AA430" s="81"/>
      <c r="AB430" s="81"/>
      <c r="AC430" s="81"/>
      <c r="AD430" s="81"/>
    </row>
    <row r="431" spans="1:30" ht="24" customHeight="1" x14ac:dyDescent="0.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105"/>
      <c r="M431" s="81"/>
      <c r="N431" s="105"/>
      <c r="O431" s="81"/>
      <c r="P431" s="105"/>
      <c r="Q431" s="81"/>
      <c r="R431" s="105"/>
      <c r="S431" s="81"/>
      <c r="T431" s="105"/>
      <c r="U431" s="81"/>
      <c r="V431" s="105"/>
      <c r="W431" s="81"/>
      <c r="X431" s="81"/>
      <c r="Y431" s="81"/>
      <c r="Z431" s="105"/>
      <c r="AA431" s="81"/>
      <c r="AB431" s="81"/>
      <c r="AC431" s="81"/>
      <c r="AD431" s="81"/>
    </row>
    <row r="432" spans="1:30" ht="24" customHeight="1" x14ac:dyDescent="0.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105"/>
      <c r="M432" s="81"/>
      <c r="N432" s="105"/>
      <c r="O432" s="81"/>
      <c r="P432" s="105"/>
      <c r="Q432" s="81"/>
      <c r="R432" s="105"/>
      <c r="S432" s="81"/>
      <c r="T432" s="105"/>
      <c r="U432" s="81"/>
      <c r="V432" s="105"/>
      <c r="W432" s="81"/>
      <c r="X432" s="81"/>
      <c r="Y432" s="81"/>
      <c r="Z432" s="105"/>
      <c r="AA432" s="81"/>
      <c r="AB432" s="81"/>
      <c r="AC432" s="81"/>
      <c r="AD432" s="81"/>
    </row>
    <row r="433" spans="1:30" ht="24" customHeight="1" x14ac:dyDescent="0.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105"/>
      <c r="M433" s="81"/>
      <c r="N433" s="105"/>
      <c r="O433" s="81"/>
      <c r="P433" s="105"/>
      <c r="Q433" s="81"/>
      <c r="R433" s="105"/>
      <c r="S433" s="81"/>
      <c r="T433" s="105"/>
      <c r="U433" s="81"/>
      <c r="V433" s="105"/>
      <c r="W433" s="81"/>
      <c r="X433" s="81"/>
      <c r="Y433" s="81"/>
      <c r="Z433" s="105"/>
      <c r="AA433" s="81"/>
      <c r="AB433" s="81"/>
      <c r="AC433" s="81"/>
      <c r="AD433" s="81"/>
    </row>
    <row r="434" spans="1:30" ht="24" customHeight="1" x14ac:dyDescent="0.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105"/>
      <c r="M434" s="81"/>
      <c r="N434" s="105"/>
      <c r="O434" s="81"/>
      <c r="P434" s="105"/>
      <c r="Q434" s="81"/>
      <c r="R434" s="105"/>
      <c r="S434" s="81"/>
      <c r="T434" s="105"/>
      <c r="U434" s="81"/>
      <c r="V434" s="105"/>
      <c r="W434" s="81"/>
      <c r="X434" s="81"/>
      <c r="Y434" s="81"/>
      <c r="Z434" s="105"/>
      <c r="AA434" s="81"/>
      <c r="AB434" s="81"/>
      <c r="AC434" s="81"/>
      <c r="AD434" s="81"/>
    </row>
    <row r="435" spans="1:30" ht="24" customHeight="1" x14ac:dyDescent="0.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105"/>
      <c r="M435" s="81"/>
      <c r="N435" s="105"/>
      <c r="O435" s="81"/>
      <c r="P435" s="105"/>
      <c r="Q435" s="81"/>
      <c r="R435" s="105"/>
      <c r="S435" s="81"/>
      <c r="T435" s="105"/>
      <c r="U435" s="81"/>
      <c r="V435" s="105"/>
      <c r="W435" s="81"/>
      <c r="X435" s="81"/>
      <c r="Y435" s="81"/>
      <c r="Z435" s="105"/>
      <c r="AA435" s="81"/>
      <c r="AB435" s="81"/>
      <c r="AC435" s="81"/>
      <c r="AD435" s="81"/>
    </row>
    <row r="436" spans="1:30" ht="24" customHeight="1" x14ac:dyDescent="0.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105"/>
      <c r="M436" s="81"/>
      <c r="N436" s="105"/>
      <c r="O436" s="81"/>
      <c r="P436" s="105"/>
      <c r="Q436" s="81"/>
      <c r="R436" s="105"/>
      <c r="S436" s="81"/>
      <c r="T436" s="105"/>
      <c r="U436" s="81"/>
      <c r="V436" s="105"/>
      <c r="W436" s="81"/>
      <c r="X436" s="81"/>
      <c r="Y436" s="81"/>
      <c r="Z436" s="105"/>
      <c r="AA436" s="81"/>
      <c r="AB436" s="81"/>
      <c r="AC436" s="81"/>
      <c r="AD436" s="81"/>
    </row>
    <row r="437" spans="1:30" ht="24" customHeight="1" x14ac:dyDescent="0.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105"/>
      <c r="M437" s="81"/>
      <c r="N437" s="105"/>
      <c r="O437" s="81"/>
      <c r="P437" s="105"/>
      <c r="Q437" s="81"/>
      <c r="R437" s="105"/>
      <c r="S437" s="81"/>
      <c r="T437" s="105"/>
      <c r="U437" s="81"/>
      <c r="V437" s="105"/>
      <c r="W437" s="81"/>
      <c r="X437" s="81"/>
      <c r="Y437" s="81"/>
      <c r="Z437" s="105"/>
      <c r="AA437" s="81"/>
      <c r="AB437" s="81"/>
      <c r="AC437" s="81"/>
      <c r="AD437" s="81"/>
    </row>
    <row r="438" spans="1:30" ht="24" customHeight="1" x14ac:dyDescent="0.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105"/>
      <c r="M438" s="81"/>
      <c r="N438" s="105"/>
      <c r="O438" s="81"/>
      <c r="P438" s="105"/>
      <c r="Q438" s="81"/>
      <c r="R438" s="105"/>
      <c r="S438" s="81"/>
      <c r="T438" s="105"/>
      <c r="U438" s="81"/>
      <c r="V438" s="105"/>
      <c r="W438" s="81"/>
      <c r="X438" s="81"/>
      <c r="Y438" s="81"/>
      <c r="Z438" s="105"/>
      <c r="AA438" s="81"/>
      <c r="AB438" s="81"/>
      <c r="AC438" s="81"/>
      <c r="AD438" s="81"/>
    </row>
    <row r="439" spans="1:30" ht="24" customHeight="1" x14ac:dyDescent="0.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105"/>
      <c r="M439" s="81"/>
      <c r="N439" s="105"/>
      <c r="O439" s="81"/>
      <c r="P439" s="105"/>
      <c r="Q439" s="81"/>
      <c r="R439" s="105"/>
      <c r="S439" s="81"/>
      <c r="T439" s="105"/>
      <c r="U439" s="81"/>
      <c r="V439" s="105"/>
      <c r="W439" s="81"/>
      <c r="X439" s="81"/>
      <c r="Y439" s="81"/>
      <c r="Z439" s="105"/>
      <c r="AA439" s="81"/>
      <c r="AB439" s="81"/>
      <c r="AC439" s="81"/>
      <c r="AD439" s="81"/>
    </row>
    <row r="440" spans="1:30" ht="24" customHeight="1" x14ac:dyDescent="0.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105"/>
      <c r="M440" s="81"/>
      <c r="N440" s="105"/>
      <c r="O440" s="81"/>
      <c r="P440" s="105"/>
      <c r="Q440" s="81"/>
      <c r="R440" s="105"/>
      <c r="S440" s="81"/>
      <c r="T440" s="105"/>
      <c r="U440" s="81"/>
      <c r="V440" s="105"/>
      <c r="W440" s="81"/>
      <c r="X440" s="81"/>
      <c r="Y440" s="81"/>
      <c r="Z440" s="105"/>
      <c r="AA440" s="81"/>
      <c r="AB440" s="81"/>
      <c r="AC440" s="81"/>
      <c r="AD440" s="81"/>
    </row>
    <row r="441" spans="1:30" ht="24" customHeight="1" x14ac:dyDescent="0.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105"/>
      <c r="M441" s="81"/>
      <c r="N441" s="105"/>
      <c r="O441" s="81"/>
      <c r="P441" s="105"/>
      <c r="Q441" s="81"/>
      <c r="R441" s="105"/>
      <c r="S441" s="81"/>
      <c r="T441" s="105"/>
      <c r="U441" s="81"/>
      <c r="V441" s="105"/>
      <c r="W441" s="81"/>
      <c r="X441" s="81"/>
      <c r="Y441" s="81"/>
      <c r="Z441" s="105"/>
      <c r="AA441" s="81"/>
      <c r="AB441" s="81"/>
      <c r="AC441" s="81"/>
      <c r="AD441" s="81"/>
    </row>
    <row r="442" spans="1:30" ht="24" customHeight="1" x14ac:dyDescent="0.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105"/>
      <c r="M442" s="81"/>
      <c r="N442" s="105"/>
      <c r="O442" s="81"/>
      <c r="P442" s="105"/>
      <c r="Q442" s="81"/>
      <c r="R442" s="105"/>
      <c r="S442" s="81"/>
      <c r="T442" s="105"/>
      <c r="U442" s="81"/>
      <c r="V442" s="105"/>
      <c r="W442" s="81"/>
      <c r="X442" s="81"/>
      <c r="Y442" s="81"/>
      <c r="Z442" s="105"/>
      <c r="AA442" s="81"/>
      <c r="AB442" s="81"/>
      <c r="AC442" s="81"/>
      <c r="AD442" s="81"/>
    </row>
    <row r="443" spans="1:30" ht="24" customHeight="1" x14ac:dyDescent="0.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105"/>
      <c r="M443" s="81"/>
      <c r="N443" s="105"/>
      <c r="O443" s="81"/>
      <c r="P443" s="105"/>
      <c r="Q443" s="81"/>
      <c r="R443" s="105"/>
      <c r="S443" s="81"/>
      <c r="T443" s="105"/>
      <c r="U443" s="81"/>
      <c r="V443" s="105"/>
      <c r="W443" s="81"/>
      <c r="X443" s="81"/>
      <c r="Y443" s="81"/>
      <c r="Z443" s="105"/>
      <c r="AA443" s="81"/>
      <c r="AB443" s="81"/>
      <c r="AC443" s="81"/>
      <c r="AD443" s="81"/>
    </row>
    <row r="444" spans="1:30" ht="24" customHeight="1" x14ac:dyDescent="0.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105"/>
      <c r="M444" s="81"/>
      <c r="N444" s="105"/>
      <c r="O444" s="81"/>
      <c r="P444" s="105"/>
      <c r="Q444" s="81"/>
      <c r="R444" s="105"/>
      <c r="S444" s="81"/>
      <c r="T444" s="105"/>
      <c r="U444" s="81"/>
      <c r="V444" s="105"/>
      <c r="W444" s="81"/>
      <c r="X444" s="81"/>
      <c r="Y444" s="81"/>
      <c r="Z444" s="105"/>
      <c r="AA444" s="81"/>
      <c r="AB444" s="81"/>
      <c r="AC444" s="81"/>
      <c r="AD444" s="81"/>
    </row>
    <row r="445" spans="1:30" ht="24" customHeight="1" x14ac:dyDescent="0.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105"/>
      <c r="M445" s="81"/>
      <c r="N445" s="105"/>
      <c r="O445" s="81"/>
      <c r="P445" s="105"/>
      <c r="Q445" s="81"/>
      <c r="R445" s="105"/>
      <c r="S445" s="81"/>
      <c r="T445" s="105"/>
      <c r="U445" s="81"/>
      <c r="V445" s="105"/>
      <c r="W445" s="81"/>
      <c r="X445" s="81"/>
      <c r="Y445" s="81"/>
      <c r="Z445" s="105"/>
      <c r="AA445" s="81"/>
      <c r="AB445" s="81"/>
      <c r="AC445" s="81"/>
      <c r="AD445" s="81"/>
    </row>
    <row r="446" spans="1:30" ht="24" customHeight="1" x14ac:dyDescent="0.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105"/>
      <c r="M446" s="81"/>
      <c r="N446" s="105"/>
      <c r="O446" s="81"/>
      <c r="P446" s="105"/>
      <c r="Q446" s="81"/>
      <c r="R446" s="105"/>
      <c r="S446" s="81"/>
      <c r="T446" s="105"/>
      <c r="U446" s="81"/>
      <c r="V446" s="105"/>
      <c r="W446" s="81"/>
      <c r="X446" s="81"/>
      <c r="Y446" s="81"/>
      <c r="Z446" s="105"/>
      <c r="AA446" s="81"/>
      <c r="AB446" s="81"/>
      <c r="AC446" s="81"/>
      <c r="AD446" s="81"/>
    </row>
    <row r="447" spans="1:30" ht="24" customHeight="1" x14ac:dyDescent="0.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105"/>
      <c r="M447" s="81"/>
      <c r="N447" s="105"/>
      <c r="O447" s="81"/>
      <c r="P447" s="105"/>
      <c r="Q447" s="81"/>
      <c r="R447" s="105"/>
      <c r="S447" s="81"/>
      <c r="T447" s="105"/>
      <c r="U447" s="81"/>
      <c r="V447" s="105"/>
      <c r="W447" s="81"/>
      <c r="X447" s="81"/>
      <c r="Y447" s="81"/>
      <c r="Z447" s="105"/>
      <c r="AA447" s="81"/>
      <c r="AB447" s="81"/>
      <c r="AC447" s="81"/>
      <c r="AD447" s="81"/>
    </row>
    <row r="448" spans="1:30" ht="24" customHeight="1" x14ac:dyDescent="0.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105"/>
      <c r="M448" s="81"/>
      <c r="N448" s="105"/>
      <c r="O448" s="81"/>
      <c r="P448" s="105"/>
      <c r="Q448" s="81"/>
      <c r="R448" s="105"/>
      <c r="S448" s="81"/>
      <c r="T448" s="105"/>
      <c r="U448" s="81"/>
      <c r="V448" s="105"/>
      <c r="W448" s="81"/>
      <c r="X448" s="81"/>
      <c r="Y448" s="81"/>
      <c r="Z448" s="105"/>
      <c r="AA448" s="81"/>
      <c r="AB448" s="81"/>
      <c r="AC448" s="81"/>
      <c r="AD448" s="81"/>
    </row>
    <row r="449" spans="1:30" ht="24" customHeight="1" x14ac:dyDescent="0.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105"/>
      <c r="M449" s="81"/>
      <c r="N449" s="105"/>
      <c r="O449" s="81"/>
      <c r="P449" s="105"/>
      <c r="Q449" s="81"/>
      <c r="R449" s="105"/>
      <c r="S449" s="81"/>
      <c r="T449" s="105"/>
      <c r="U449" s="81"/>
      <c r="V449" s="105"/>
      <c r="W449" s="81"/>
      <c r="X449" s="81"/>
      <c r="Y449" s="81"/>
      <c r="Z449" s="105"/>
      <c r="AA449" s="81"/>
      <c r="AB449" s="81"/>
      <c r="AC449" s="81"/>
      <c r="AD449" s="81"/>
    </row>
    <row r="450" spans="1:30" ht="24" customHeight="1" x14ac:dyDescent="0.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105"/>
      <c r="M450" s="81"/>
      <c r="N450" s="105"/>
      <c r="O450" s="81"/>
      <c r="P450" s="105"/>
      <c r="Q450" s="81"/>
      <c r="R450" s="105"/>
      <c r="S450" s="81"/>
      <c r="T450" s="105"/>
      <c r="U450" s="81"/>
      <c r="V450" s="105"/>
      <c r="W450" s="81"/>
      <c r="X450" s="81"/>
      <c r="Y450" s="81"/>
      <c r="Z450" s="105"/>
      <c r="AA450" s="81"/>
      <c r="AB450" s="81"/>
      <c r="AC450" s="81"/>
      <c r="AD450" s="81"/>
    </row>
    <row r="451" spans="1:30" ht="24" customHeight="1" x14ac:dyDescent="0.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105"/>
      <c r="M451" s="81"/>
      <c r="N451" s="105"/>
      <c r="O451" s="81"/>
      <c r="P451" s="105"/>
      <c r="Q451" s="81"/>
      <c r="R451" s="105"/>
      <c r="S451" s="81"/>
      <c r="T451" s="105"/>
      <c r="U451" s="81"/>
      <c r="V451" s="105"/>
      <c r="W451" s="81"/>
      <c r="X451" s="81"/>
      <c r="Y451" s="81"/>
      <c r="Z451" s="105"/>
      <c r="AA451" s="81"/>
      <c r="AB451" s="81"/>
      <c r="AC451" s="81"/>
      <c r="AD451" s="81"/>
    </row>
    <row r="452" spans="1:30" ht="24" customHeight="1" x14ac:dyDescent="0.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105"/>
      <c r="M452" s="81"/>
      <c r="N452" s="105"/>
      <c r="O452" s="81"/>
      <c r="P452" s="105"/>
      <c r="Q452" s="81"/>
      <c r="R452" s="105"/>
      <c r="S452" s="81"/>
      <c r="T452" s="105"/>
      <c r="U452" s="81"/>
      <c r="V452" s="105"/>
      <c r="W452" s="81"/>
      <c r="X452" s="81"/>
      <c r="Y452" s="81"/>
      <c r="Z452" s="105"/>
      <c r="AA452" s="81"/>
      <c r="AB452" s="81"/>
      <c r="AC452" s="81"/>
      <c r="AD452" s="81"/>
    </row>
    <row r="453" spans="1:30" ht="24" customHeight="1" x14ac:dyDescent="0.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105"/>
      <c r="M453" s="81"/>
      <c r="N453" s="105"/>
      <c r="O453" s="81"/>
      <c r="P453" s="105"/>
      <c r="Q453" s="81"/>
      <c r="R453" s="105"/>
      <c r="S453" s="81"/>
      <c r="T453" s="105"/>
      <c r="U453" s="81"/>
      <c r="V453" s="105"/>
      <c r="W453" s="81"/>
      <c r="X453" s="81"/>
      <c r="Y453" s="81"/>
      <c r="Z453" s="105"/>
      <c r="AA453" s="81"/>
      <c r="AB453" s="81"/>
      <c r="AC453" s="81"/>
      <c r="AD453" s="81"/>
    </row>
    <row r="454" spans="1:30" ht="24" customHeight="1" x14ac:dyDescent="0.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105"/>
      <c r="M454" s="81"/>
      <c r="N454" s="105"/>
      <c r="O454" s="81"/>
      <c r="P454" s="105"/>
      <c r="Q454" s="81"/>
      <c r="R454" s="105"/>
      <c r="S454" s="81"/>
      <c r="T454" s="105"/>
      <c r="U454" s="81"/>
      <c r="V454" s="105"/>
      <c r="W454" s="81"/>
      <c r="X454" s="81"/>
      <c r="Y454" s="81"/>
      <c r="Z454" s="105"/>
      <c r="AA454" s="81"/>
      <c r="AB454" s="81"/>
      <c r="AC454" s="81"/>
      <c r="AD454" s="81"/>
    </row>
    <row r="455" spans="1:30" ht="24" customHeight="1" x14ac:dyDescent="0.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105"/>
      <c r="M455" s="81"/>
      <c r="N455" s="105"/>
      <c r="O455" s="81"/>
      <c r="P455" s="105"/>
      <c r="Q455" s="81"/>
      <c r="R455" s="105"/>
      <c r="S455" s="81"/>
      <c r="T455" s="105"/>
      <c r="U455" s="81"/>
      <c r="V455" s="105"/>
      <c r="W455" s="81"/>
      <c r="X455" s="81"/>
      <c r="Y455" s="81"/>
      <c r="Z455" s="105"/>
      <c r="AA455" s="81"/>
      <c r="AB455" s="81"/>
      <c r="AC455" s="81"/>
      <c r="AD455" s="81"/>
    </row>
    <row r="456" spans="1:30" ht="24" customHeight="1" x14ac:dyDescent="0.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105"/>
      <c r="M456" s="81"/>
      <c r="N456" s="105"/>
      <c r="O456" s="81"/>
      <c r="P456" s="105"/>
      <c r="Q456" s="81"/>
      <c r="R456" s="105"/>
      <c r="S456" s="81"/>
      <c r="T456" s="105"/>
      <c r="U456" s="81"/>
      <c r="V456" s="105"/>
      <c r="W456" s="81"/>
      <c r="X456" s="81"/>
      <c r="Y456" s="81"/>
      <c r="Z456" s="105"/>
      <c r="AA456" s="81"/>
      <c r="AB456" s="81"/>
      <c r="AC456" s="81"/>
      <c r="AD456" s="81"/>
    </row>
    <row r="457" spans="1:30" ht="24" customHeight="1" x14ac:dyDescent="0.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105"/>
      <c r="M457" s="81"/>
      <c r="N457" s="105"/>
      <c r="O457" s="81"/>
      <c r="P457" s="105"/>
      <c r="Q457" s="81"/>
      <c r="R457" s="105"/>
      <c r="S457" s="81"/>
      <c r="T457" s="105"/>
      <c r="U457" s="81"/>
      <c r="V457" s="105"/>
      <c r="W457" s="81"/>
      <c r="X457" s="81"/>
      <c r="Y457" s="81"/>
      <c r="Z457" s="105"/>
      <c r="AA457" s="81"/>
      <c r="AB457" s="81"/>
      <c r="AC457" s="81"/>
      <c r="AD457" s="81"/>
    </row>
    <row r="458" spans="1:30" ht="24" customHeight="1" x14ac:dyDescent="0.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105"/>
      <c r="M458" s="81"/>
      <c r="N458" s="105"/>
      <c r="O458" s="81"/>
      <c r="P458" s="105"/>
      <c r="Q458" s="81"/>
      <c r="R458" s="105"/>
      <c r="S458" s="81"/>
      <c r="T458" s="105"/>
      <c r="U458" s="81"/>
      <c r="V458" s="105"/>
      <c r="W458" s="81"/>
      <c r="X458" s="81"/>
      <c r="Y458" s="81"/>
      <c r="Z458" s="105"/>
      <c r="AA458" s="81"/>
      <c r="AB458" s="81"/>
      <c r="AC458" s="81"/>
      <c r="AD458" s="81"/>
    </row>
    <row r="459" spans="1:30" ht="24" customHeight="1" x14ac:dyDescent="0.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105"/>
      <c r="M459" s="81"/>
      <c r="N459" s="105"/>
      <c r="O459" s="81"/>
      <c r="P459" s="105"/>
      <c r="Q459" s="81"/>
      <c r="R459" s="105"/>
      <c r="S459" s="81"/>
      <c r="T459" s="105"/>
      <c r="U459" s="81"/>
      <c r="V459" s="105"/>
      <c r="W459" s="81"/>
      <c r="X459" s="81"/>
      <c r="Y459" s="81"/>
      <c r="Z459" s="105"/>
      <c r="AA459" s="81"/>
      <c r="AB459" s="81"/>
      <c r="AC459" s="81"/>
      <c r="AD459" s="81"/>
    </row>
    <row r="460" spans="1:30" ht="24" customHeight="1" x14ac:dyDescent="0.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105"/>
      <c r="M460" s="81"/>
      <c r="N460" s="105"/>
      <c r="O460" s="81"/>
      <c r="P460" s="105"/>
      <c r="Q460" s="81"/>
      <c r="R460" s="105"/>
      <c r="S460" s="81"/>
      <c r="T460" s="105"/>
      <c r="U460" s="81"/>
      <c r="V460" s="105"/>
      <c r="W460" s="81"/>
      <c r="X460" s="81"/>
      <c r="Y460" s="81"/>
      <c r="Z460" s="105"/>
      <c r="AA460" s="81"/>
      <c r="AB460" s="81"/>
      <c r="AC460" s="81"/>
      <c r="AD460" s="81"/>
    </row>
    <row r="461" spans="1:30" ht="24" customHeight="1" x14ac:dyDescent="0.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105"/>
      <c r="M461" s="81"/>
      <c r="N461" s="105"/>
      <c r="O461" s="81"/>
      <c r="P461" s="105"/>
      <c r="Q461" s="81"/>
      <c r="R461" s="105"/>
      <c r="S461" s="81"/>
      <c r="T461" s="105"/>
      <c r="U461" s="81"/>
      <c r="V461" s="105"/>
      <c r="W461" s="81"/>
      <c r="X461" s="81"/>
      <c r="Y461" s="81"/>
      <c r="Z461" s="105"/>
      <c r="AA461" s="81"/>
      <c r="AB461" s="81"/>
      <c r="AC461" s="81"/>
      <c r="AD461" s="81"/>
    </row>
    <row r="462" spans="1:30" ht="24" customHeight="1" x14ac:dyDescent="0.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105"/>
      <c r="M462" s="81"/>
      <c r="N462" s="105"/>
      <c r="O462" s="81"/>
      <c r="P462" s="105"/>
      <c r="Q462" s="81"/>
      <c r="R462" s="105"/>
      <c r="S462" s="81"/>
      <c r="T462" s="105"/>
      <c r="U462" s="81"/>
      <c r="V462" s="105"/>
      <c r="W462" s="81"/>
      <c r="X462" s="81"/>
      <c r="Y462" s="81"/>
      <c r="Z462" s="105"/>
      <c r="AA462" s="81"/>
      <c r="AB462" s="81"/>
      <c r="AC462" s="81"/>
      <c r="AD462" s="81"/>
    </row>
    <row r="463" spans="1:30" ht="24" customHeight="1" x14ac:dyDescent="0.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105"/>
      <c r="M463" s="81"/>
      <c r="N463" s="105"/>
      <c r="O463" s="81"/>
      <c r="P463" s="105"/>
      <c r="Q463" s="81"/>
      <c r="R463" s="105"/>
      <c r="S463" s="81"/>
      <c r="T463" s="105"/>
      <c r="U463" s="81"/>
      <c r="V463" s="105"/>
      <c r="W463" s="81"/>
      <c r="X463" s="81"/>
      <c r="Y463" s="81"/>
      <c r="Z463" s="105"/>
      <c r="AA463" s="81"/>
      <c r="AB463" s="81"/>
      <c r="AC463" s="81"/>
      <c r="AD463" s="81"/>
    </row>
    <row r="464" spans="1:30" ht="24" customHeight="1" x14ac:dyDescent="0.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105"/>
      <c r="M464" s="81"/>
      <c r="N464" s="105"/>
      <c r="O464" s="81"/>
      <c r="P464" s="105"/>
      <c r="Q464" s="81"/>
      <c r="R464" s="105"/>
      <c r="S464" s="81"/>
      <c r="T464" s="105"/>
      <c r="U464" s="81"/>
      <c r="V464" s="105"/>
      <c r="W464" s="81"/>
      <c r="X464" s="81"/>
      <c r="Y464" s="81"/>
      <c r="Z464" s="105"/>
      <c r="AA464" s="81"/>
      <c r="AB464" s="81"/>
      <c r="AC464" s="81"/>
      <c r="AD464" s="81"/>
    </row>
    <row r="465" spans="1:30" ht="24" customHeight="1" x14ac:dyDescent="0.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105"/>
      <c r="M465" s="81"/>
      <c r="N465" s="105"/>
      <c r="O465" s="81"/>
      <c r="P465" s="105"/>
      <c r="Q465" s="81"/>
      <c r="R465" s="105"/>
      <c r="S465" s="81"/>
      <c r="T465" s="105"/>
      <c r="U465" s="81"/>
      <c r="V465" s="105"/>
      <c r="W465" s="81"/>
      <c r="X465" s="81"/>
      <c r="Y465" s="81"/>
      <c r="Z465" s="105"/>
      <c r="AA465" s="81"/>
      <c r="AB465" s="81"/>
      <c r="AC465" s="81"/>
      <c r="AD465" s="81"/>
    </row>
    <row r="466" spans="1:30" ht="24" customHeight="1" x14ac:dyDescent="0.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105"/>
      <c r="M466" s="81"/>
      <c r="N466" s="105"/>
      <c r="O466" s="81"/>
      <c r="P466" s="105"/>
      <c r="Q466" s="81"/>
      <c r="R466" s="105"/>
      <c r="S466" s="81"/>
      <c r="T466" s="105"/>
      <c r="U466" s="81"/>
      <c r="V466" s="105"/>
      <c r="W466" s="81"/>
      <c r="X466" s="81"/>
      <c r="Y466" s="81"/>
      <c r="Z466" s="105"/>
      <c r="AA466" s="81"/>
      <c r="AB466" s="81"/>
      <c r="AC466" s="81"/>
      <c r="AD466" s="81"/>
    </row>
    <row r="467" spans="1:30" ht="24" customHeight="1" x14ac:dyDescent="0.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105"/>
      <c r="M467" s="81"/>
      <c r="N467" s="105"/>
      <c r="O467" s="81"/>
      <c r="P467" s="105"/>
      <c r="Q467" s="81"/>
      <c r="R467" s="105"/>
      <c r="S467" s="81"/>
      <c r="T467" s="105"/>
      <c r="U467" s="81"/>
      <c r="V467" s="105"/>
      <c r="W467" s="81"/>
      <c r="X467" s="81"/>
      <c r="Y467" s="81"/>
      <c r="Z467" s="105"/>
      <c r="AA467" s="81"/>
      <c r="AB467" s="81"/>
      <c r="AC467" s="81"/>
      <c r="AD467" s="81"/>
    </row>
    <row r="468" spans="1:30" ht="24" customHeight="1" x14ac:dyDescent="0.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105"/>
      <c r="M468" s="81"/>
      <c r="N468" s="105"/>
      <c r="O468" s="81"/>
      <c r="P468" s="105"/>
      <c r="Q468" s="81"/>
      <c r="R468" s="105"/>
      <c r="S468" s="81"/>
      <c r="T468" s="105"/>
      <c r="U468" s="81"/>
      <c r="V468" s="105"/>
      <c r="W468" s="81"/>
      <c r="X468" s="81"/>
      <c r="Y468" s="81"/>
      <c r="Z468" s="105"/>
      <c r="AA468" s="81"/>
      <c r="AB468" s="81"/>
      <c r="AC468" s="81"/>
      <c r="AD468" s="81"/>
    </row>
    <row r="469" spans="1:30" ht="24" customHeight="1" x14ac:dyDescent="0.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105"/>
      <c r="M469" s="81"/>
      <c r="N469" s="105"/>
      <c r="O469" s="81"/>
      <c r="P469" s="105"/>
      <c r="Q469" s="81"/>
      <c r="R469" s="105"/>
      <c r="S469" s="81"/>
      <c r="T469" s="105"/>
      <c r="U469" s="81"/>
      <c r="V469" s="105"/>
      <c r="W469" s="81"/>
      <c r="X469" s="81"/>
      <c r="Y469" s="81"/>
      <c r="Z469" s="105"/>
      <c r="AA469" s="81"/>
      <c r="AB469" s="81"/>
      <c r="AC469" s="81"/>
      <c r="AD469" s="81"/>
    </row>
    <row r="470" spans="1:30" ht="24" customHeight="1" x14ac:dyDescent="0.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105"/>
      <c r="M470" s="81"/>
      <c r="N470" s="105"/>
      <c r="O470" s="81"/>
      <c r="P470" s="105"/>
      <c r="Q470" s="81"/>
      <c r="R470" s="105"/>
      <c r="S470" s="81"/>
      <c r="T470" s="105"/>
      <c r="U470" s="81"/>
      <c r="V470" s="105"/>
      <c r="W470" s="81"/>
      <c r="X470" s="81"/>
      <c r="Y470" s="81"/>
      <c r="Z470" s="105"/>
      <c r="AA470" s="81"/>
      <c r="AB470" s="81"/>
      <c r="AC470" s="81"/>
      <c r="AD470" s="81"/>
    </row>
    <row r="471" spans="1:30" ht="24" customHeight="1" x14ac:dyDescent="0.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105"/>
      <c r="M471" s="81"/>
      <c r="N471" s="105"/>
      <c r="O471" s="81"/>
      <c r="P471" s="105"/>
      <c r="Q471" s="81"/>
      <c r="R471" s="105"/>
      <c r="S471" s="81"/>
      <c r="T471" s="105"/>
      <c r="U471" s="81"/>
      <c r="V471" s="105"/>
      <c r="W471" s="81"/>
      <c r="X471" s="81"/>
      <c r="Y471" s="81"/>
      <c r="Z471" s="105"/>
      <c r="AA471" s="81"/>
      <c r="AB471" s="81"/>
      <c r="AC471" s="81"/>
      <c r="AD471" s="81"/>
    </row>
    <row r="472" spans="1:30" ht="24" customHeight="1" x14ac:dyDescent="0.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105"/>
      <c r="M472" s="81"/>
      <c r="N472" s="105"/>
      <c r="O472" s="81"/>
      <c r="P472" s="105"/>
      <c r="Q472" s="81"/>
      <c r="R472" s="105"/>
      <c r="S472" s="81"/>
      <c r="T472" s="105"/>
      <c r="U472" s="81"/>
      <c r="V472" s="105"/>
      <c r="W472" s="81"/>
      <c r="X472" s="81"/>
      <c r="Y472" s="81"/>
      <c r="Z472" s="105"/>
      <c r="AA472" s="81"/>
      <c r="AB472" s="81"/>
      <c r="AC472" s="81"/>
      <c r="AD472" s="81"/>
    </row>
    <row r="473" spans="1:30" ht="24" customHeight="1" x14ac:dyDescent="0.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105"/>
      <c r="M473" s="81"/>
      <c r="N473" s="105"/>
      <c r="O473" s="81"/>
      <c r="P473" s="105"/>
      <c r="Q473" s="81"/>
      <c r="R473" s="105"/>
      <c r="S473" s="81"/>
      <c r="T473" s="105"/>
      <c r="U473" s="81"/>
      <c r="V473" s="105"/>
      <c r="W473" s="81"/>
      <c r="X473" s="81"/>
      <c r="Y473" s="81"/>
      <c r="Z473" s="105"/>
      <c r="AA473" s="81"/>
      <c r="AB473" s="81"/>
      <c r="AC473" s="81"/>
      <c r="AD473" s="81"/>
    </row>
    <row r="474" spans="1:30" ht="24" customHeight="1" x14ac:dyDescent="0.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105"/>
      <c r="M474" s="81"/>
      <c r="N474" s="105"/>
      <c r="O474" s="81"/>
      <c r="P474" s="105"/>
      <c r="Q474" s="81"/>
      <c r="R474" s="105"/>
      <c r="S474" s="81"/>
      <c r="T474" s="105"/>
      <c r="U474" s="81"/>
      <c r="V474" s="105"/>
      <c r="W474" s="81"/>
      <c r="X474" s="81"/>
      <c r="Y474" s="81"/>
      <c r="Z474" s="105"/>
      <c r="AA474" s="81"/>
      <c r="AB474" s="81"/>
      <c r="AC474" s="81"/>
      <c r="AD474" s="81"/>
    </row>
    <row r="475" spans="1:30" ht="24" customHeight="1" x14ac:dyDescent="0.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105"/>
      <c r="M475" s="81"/>
      <c r="N475" s="105"/>
      <c r="O475" s="81"/>
      <c r="P475" s="105"/>
      <c r="Q475" s="81"/>
      <c r="R475" s="105"/>
      <c r="S475" s="81"/>
      <c r="T475" s="105"/>
      <c r="U475" s="81"/>
      <c r="V475" s="105"/>
      <c r="W475" s="81"/>
      <c r="X475" s="81"/>
      <c r="Y475" s="81"/>
      <c r="Z475" s="105"/>
      <c r="AA475" s="81"/>
      <c r="AB475" s="81"/>
      <c r="AC475" s="81"/>
      <c r="AD475" s="81"/>
    </row>
    <row r="476" spans="1:30" ht="24" customHeight="1" x14ac:dyDescent="0.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105"/>
      <c r="M476" s="81"/>
      <c r="N476" s="105"/>
      <c r="O476" s="81"/>
      <c r="P476" s="105"/>
      <c r="Q476" s="81"/>
      <c r="R476" s="105"/>
      <c r="S476" s="81"/>
      <c r="T476" s="105"/>
      <c r="U476" s="81"/>
      <c r="V476" s="105"/>
      <c r="W476" s="81"/>
      <c r="X476" s="81"/>
      <c r="Y476" s="81"/>
      <c r="Z476" s="105"/>
      <c r="AA476" s="81"/>
      <c r="AB476" s="81"/>
      <c r="AC476" s="81"/>
      <c r="AD476" s="81"/>
    </row>
    <row r="477" spans="1:30" ht="24" customHeight="1" x14ac:dyDescent="0.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105"/>
      <c r="M477" s="81"/>
      <c r="N477" s="105"/>
      <c r="O477" s="81"/>
      <c r="P477" s="105"/>
      <c r="Q477" s="81"/>
      <c r="R477" s="105"/>
      <c r="S477" s="81"/>
      <c r="T477" s="105"/>
      <c r="U477" s="81"/>
      <c r="V477" s="105"/>
      <c r="W477" s="81"/>
      <c r="X477" s="81"/>
      <c r="Y477" s="81"/>
      <c r="Z477" s="105"/>
      <c r="AA477" s="81"/>
      <c r="AB477" s="81"/>
      <c r="AC477" s="81"/>
      <c r="AD477" s="81"/>
    </row>
    <row r="478" spans="1:30" ht="24" customHeight="1" x14ac:dyDescent="0.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105"/>
      <c r="M478" s="81"/>
      <c r="N478" s="105"/>
      <c r="O478" s="81"/>
      <c r="P478" s="105"/>
      <c r="Q478" s="81"/>
      <c r="R478" s="105"/>
      <c r="S478" s="81"/>
      <c r="T478" s="105"/>
      <c r="U478" s="81"/>
      <c r="V478" s="105"/>
      <c r="W478" s="81"/>
      <c r="X478" s="81"/>
      <c r="Y478" s="81"/>
      <c r="Z478" s="105"/>
      <c r="AA478" s="81"/>
      <c r="AB478" s="81"/>
      <c r="AC478" s="81"/>
      <c r="AD478" s="81"/>
    </row>
    <row r="479" spans="1:30" ht="24" customHeight="1" x14ac:dyDescent="0.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105"/>
      <c r="M479" s="81"/>
      <c r="N479" s="105"/>
      <c r="O479" s="81"/>
      <c r="P479" s="105"/>
      <c r="Q479" s="81"/>
      <c r="R479" s="105"/>
      <c r="S479" s="81"/>
      <c r="T479" s="105"/>
      <c r="U479" s="81"/>
      <c r="V479" s="105"/>
      <c r="W479" s="81"/>
      <c r="X479" s="81"/>
      <c r="Y479" s="81"/>
      <c r="Z479" s="105"/>
      <c r="AA479" s="81"/>
      <c r="AB479" s="81"/>
      <c r="AC479" s="81"/>
      <c r="AD479" s="81"/>
    </row>
    <row r="480" spans="1:30" ht="24" customHeight="1" x14ac:dyDescent="0.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105"/>
      <c r="M480" s="81"/>
      <c r="N480" s="105"/>
      <c r="O480" s="81"/>
      <c r="P480" s="105"/>
      <c r="Q480" s="81"/>
      <c r="R480" s="105"/>
      <c r="S480" s="81"/>
      <c r="T480" s="105"/>
      <c r="U480" s="81"/>
      <c r="V480" s="105"/>
      <c r="W480" s="81"/>
      <c r="X480" s="81"/>
      <c r="Y480" s="81"/>
      <c r="Z480" s="105"/>
      <c r="AA480" s="81"/>
      <c r="AB480" s="81"/>
      <c r="AC480" s="81"/>
      <c r="AD480" s="81"/>
    </row>
    <row r="481" spans="1:30" ht="24" customHeight="1" x14ac:dyDescent="0.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105"/>
      <c r="M481" s="81"/>
      <c r="N481" s="105"/>
      <c r="O481" s="81"/>
      <c r="P481" s="105"/>
      <c r="Q481" s="81"/>
      <c r="R481" s="105"/>
      <c r="S481" s="81"/>
      <c r="T481" s="105"/>
      <c r="U481" s="81"/>
      <c r="V481" s="105"/>
      <c r="W481" s="81"/>
      <c r="X481" s="81"/>
      <c r="Y481" s="81"/>
      <c r="Z481" s="105"/>
      <c r="AA481" s="81"/>
      <c r="AB481" s="81"/>
      <c r="AC481" s="81"/>
      <c r="AD481" s="81"/>
    </row>
    <row r="482" spans="1:30" ht="24" customHeight="1" x14ac:dyDescent="0.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105"/>
      <c r="M482" s="81"/>
      <c r="N482" s="105"/>
      <c r="O482" s="81"/>
      <c r="P482" s="105"/>
      <c r="Q482" s="81"/>
      <c r="R482" s="105"/>
      <c r="S482" s="81"/>
      <c r="T482" s="105"/>
      <c r="U482" s="81"/>
      <c r="V482" s="105"/>
      <c r="W482" s="81"/>
      <c r="X482" s="81"/>
      <c r="Y482" s="81"/>
      <c r="Z482" s="105"/>
      <c r="AA482" s="81"/>
      <c r="AB482" s="81"/>
      <c r="AC482" s="81"/>
      <c r="AD482" s="81"/>
    </row>
    <row r="483" spans="1:30" ht="24" customHeight="1" x14ac:dyDescent="0.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105"/>
      <c r="M483" s="81"/>
      <c r="N483" s="105"/>
      <c r="O483" s="81"/>
      <c r="P483" s="105"/>
      <c r="Q483" s="81"/>
      <c r="R483" s="105"/>
      <c r="S483" s="81"/>
      <c r="T483" s="105"/>
      <c r="U483" s="81"/>
      <c r="V483" s="105"/>
      <c r="W483" s="81"/>
      <c r="X483" s="81"/>
      <c r="Y483" s="81"/>
      <c r="Z483" s="105"/>
      <c r="AA483" s="81"/>
      <c r="AB483" s="81"/>
      <c r="AC483" s="81"/>
      <c r="AD483" s="81"/>
    </row>
    <row r="484" spans="1:30" ht="24" customHeight="1" x14ac:dyDescent="0.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105"/>
      <c r="M484" s="81"/>
      <c r="N484" s="105"/>
      <c r="O484" s="81"/>
      <c r="P484" s="105"/>
      <c r="Q484" s="81"/>
      <c r="R484" s="105"/>
      <c r="S484" s="81"/>
      <c r="T484" s="105"/>
      <c r="U484" s="81"/>
      <c r="V484" s="105"/>
      <c r="W484" s="81"/>
      <c r="X484" s="81"/>
      <c r="Y484" s="81"/>
      <c r="Z484" s="105"/>
      <c r="AA484" s="81"/>
      <c r="AB484" s="81"/>
      <c r="AC484" s="81"/>
      <c r="AD484" s="81"/>
    </row>
    <row r="485" spans="1:30" ht="24" customHeight="1" x14ac:dyDescent="0.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105"/>
      <c r="M485" s="81"/>
      <c r="N485" s="105"/>
      <c r="O485" s="81"/>
      <c r="P485" s="105"/>
      <c r="Q485" s="81"/>
      <c r="R485" s="105"/>
      <c r="S485" s="81"/>
      <c r="T485" s="105"/>
      <c r="U485" s="81"/>
      <c r="V485" s="105"/>
      <c r="W485" s="81"/>
      <c r="X485" s="81"/>
      <c r="Y485" s="81"/>
      <c r="Z485" s="105"/>
      <c r="AA485" s="81"/>
      <c r="AB485" s="81"/>
      <c r="AC485" s="81"/>
      <c r="AD485" s="81"/>
    </row>
    <row r="486" spans="1:30" ht="24" customHeight="1" x14ac:dyDescent="0.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105"/>
      <c r="M486" s="81"/>
      <c r="N486" s="105"/>
      <c r="O486" s="81"/>
      <c r="P486" s="105"/>
      <c r="Q486" s="81"/>
      <c r="R486" s="105"/>
      <c r="S486" s="81"/>
      <c r="T486" s="105"/>
      <c r="U486" s="81"/>
      <c r="V486" s="105"/>
      <c r="W486" s="81"/>
      <c r="X486" s="81"/>
      <c r="Y486" s="81"/>
      <c r="Z486" s="105"/>
      <c r="AA486" s="81"/>
      <c r="AB486" s="81"/>
      <c r="AC486" s="81"/>
      <c r="AD486" s="81"/>
    </row>
    <row r="487" spans="1:30" ht="24" customHeight="1" x14ac:dyDescent="0.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105"/>
      <c r="M487" s="81"/>
      <c r="N487" s="105"/>
      <c r="O487" s="81"/>
      <c r="P487" s="105"/>
      <c r="Q487" s="81"/>
      <c r="R487" s="105"/>
      <c r="S487" s="81"/>
      <c r="T487" s="105"/>
      <c r="U487" s="81"/>
      <c r="V487" s="105"/>
      <c r="W487" s="81"/>
      <c r="X487" s="81"/>
      <c r="Y487" s="81"/>
      <c r="Z487" s="105"/>
      <c r="AA487" s="81"/>
      <c r="AB487" s="81"/>
      <c r="AC487" s="81"/>
      <c r="AD487" s="81"/>
    </row>
    <row r="488" spans="1:30" ht="24" customHeight="1" x14ac:dyDescent="0.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105"/>
      <c r="M488" s="81"/>
      <c r="N488" s="105"/>
      <c r="O488" s="81"/>
      <c r="P488" s="105"/>
      <c r="Q488" s="81"/>
      <c r="R488" s="105"/>
      <c r="S488" s="81"/>
      <c r="T488" s="105"/>
      <c r="U488" s="81"/>
      <c r="V488" s="105"/>
      <c r="W488" s="81"/>
      <c r="X488" s="81"/>
      <c r="Y488" s="81"/>
      <c r="Z488" s="105"/>
      <c r="AA488" s="81"/>
      <c r="AB488" s="81"/>
      <c r="AC488" s="81"/>
      <c r="AD488" s="81"/>
    </row>
    <row r="489" spans="1:30" ht="24" customHeight="1" x14ac:dyDescent="0.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105"/>
      <c r="M489" s="81"/>
      <c r="N489" s="105"/>
      <c r="O489" s="81"/>
      <c r="P489" s="105"/>
      <c r="Q489" s="81"/>
      <c r="R489" s="105"/>
      <c r="S489" s="81"/>
      <c r="T489" s="105"/>
      <c r="U489" s="81"/>
      <c r="V489" s="105"/>
      <c r="W489" s="81"/>
      <c r="X489" s="81"/>
      <c r="Y489" s="81"/>
      <c r="Z489" s="105"/>
      <c r="AA489" s="81"/>
      <c r="AB489" s="81"/>
      <c r="AC489" s="81"/>
      <c r="AD489" s="81"/>
    </row>
    <row r="490" spans="1:30" ht="24" customHeight="1" x14ac:dyDescent="0.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105"/>
      <c r="M490" s="81"/>
      <c r="N490" s="105"/>
      <c r="O490" s="81"/>
      <c r="P490" s="105"/>
      <c r="Q490" s="81"/>
      <c r="R490" s="105"/>
      <c r="S490" s="81"/>
      <c r="T490" s="105"/>
      <c r="U490" s="81"/>
      <c r="V490" s="105"/>
      <c r="W490" s="81"/>
      <c r="X490" s="81"/>
      <c r="Y490" s="81"/>
      <c r="Z490" s="105"/>
      <c r="AA490" s="81"/>
      <c r="AB490" s="81"/>
      <c r="AC490" s="81"/>
      <c r="AD490" s="81"/>
    </row>
    <row r="491" spans="1:30" ht="24" customHeight="1" x14ac:dyDescent="0.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105"/>
      <c r="M491" s="81"/>
      <c r="N491" s="105"/>
      <c r="O491" s="81"/>
      <c r="P491" s="105"/>
      <c r="Q491" s="81"/>
      <c r="R491" s="105"/>
      <c r="S491" s="81"/>
      <c r="T491" s="105"/>
      <c r="U491" s="81"/>
      <c r="V491" s="105"/>
      <c r="W491" s="81"/>
      <c r="X491" s="81"/>
      <c r="Y491" s="81"/>
      <c r="Z491" s="105"/>
      <c r="AA491" s="81"/>
      <c r="AB491" s="81"/>
      <c r="AC491" s="81"/>
      <c r="AD491" s="81"/>
    </row>
    <row r="492" spans="1:30" ht="24" customHeight="1" x14ac:dyDescent="0.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105"/>
      <c r="M492" s="81"/>
      <c r="N492" s="105"/>
      <c r="O492" s="81"/>
      <c r="P492" s="105"/>
      <c r="Q492" s="81"/>
      <c r="R492" s="105"/>
      <c r="S492" s="81"/>
      <c r="T492" s="105"/>
      <c r="U492" s="81"/>
      <c r="V492" s="105"/>
      <c r="W492" s="81"/>
      <c r="X492" s="81"/>
      <c r="Y492" s="81"/>
      <c r="Z492" s="105"/>
      <c r="AA492" s="81"/>
      <c r="AB492" s="81"/>
      <c r="AC492" s="81"/>
      <c r="AD492" s="81"/>
    </row>
    <row r="493" spans="1:30" ht="24" customHeight="1" x14ac:dyDescent="0.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105"/>
      <c r="M493" s="81"/>
      <c r="N493" s="105"/>
      <c r="O493" s="81"/>
      <c r="P493" s="105"/>
      <c r="Q493" s="81"/>
      <c r="R493" s="105"/>
      <c r="S493" s="81"/>
      <c r="T493" s="105"/>
      <c r="U493" s="81"/>
      <c r="V493" s="105"/>
      <c r="W493" s="81"/>
      <c r="X493" s="81"/>
      <c r="Y493" s="81"/>
      <c r="Z493" s="105"/>
      <c r="AA493" s="81"/>
      <c r="AB493" s="81"/>
      <c r="AC493" s="81"/>
      <c r="AD493" s="81"/>
    </row>
    <row r="494" spans="1:30" ht="24" customHeight="1" x14ac:dyDescent="0.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105"/>
      <c r="M494" s="81"/>
      <c r="N494" s="105"/>
      <c r="O494" s="81"/>
      <c r="P494" s="105"/>
      <c r="Q494" s="81"/>
      <c r="R494" s="105"/>
      <c r="S494" s="81"/>
      <c r="T494" s="105"/>
      <c r="U494" s="81"/>
      <c r="V494" s="105"/>
      <c r="W494" s="81"/>
      <c r="X494" s="81"/>
      <c r="Y494" s="81"/>
      <c r="Z494" s="105"/>
      <c r="AA494" s="81"/>
      <c r="AB494" s="81"/>
      <c r="AC494" s="81"/>
      <c r="AD494" s="81"/>
    </row>
    <row r="495" spans="1:30" ht="24" customHeight="1" x14ac:dyDescent="0.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105"/>
      <c r="M495" s="81"/>
      <c r="N495" s="105"/>
      <c r="O495" s="81"/>
      <c r="P495" s="105"/>
      <c r="Q495" s="81"/>
      <c r="R495" s="105"/>
      <c r="S495" s="81"/>
      <c r="T495" s="105"/>
      <c r="U495" s="81"/>
      <c r="V495" s="105"/>
      <c r="W495" s="81"/>
      <c r="X495" s="81"/>
      <c r="Y495" s="81"/>
      <c r="Z495" s="105"/>
      <c r="AA495" s="81"/>
      <c r="AB495" s="81"/>
      <c r="AC495" s="81"/>
      <c r="AD495" s="81"/>
    </row>
    <row r="496" spans="1:30" ht="24" customHeight="1" x14ac:dyDescent="0.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105"/>
      <c r="M496" s="81"/>
      <c r="N496" s="105"/>
      <c r="O496" s="81"/>
      <c r="P496" s="105"/>
      <c r="Q496" s="81"/>
      <c r="R496" s="105"/>
      <c r="S496" s="81"/>
      <c r="T496" s="105"/>
      <c r="U496" s="81"/>
      <c r="V496" s="105"/>
      <c r="W496" s="81"/>
      <c r="X496" s="81"/>
      <c r="Y496" s="81"/>
      <c r="Z496" s="105"/>
      <c r="AA496" s="81"/>
      <c r="AB496" s="81"/>
      <c r="AC496" s="81"/>
      <c r="AD496" s="81"/>
    </row>
    <row r="497" spans="1:30" ht="24" customHeight="1" x14ac:dyDescent="0.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105"/>
      <c r="M497" s="81"/>
      <c r="N497" s="105"/>
      <c r="O497" s="81"/>
      <c r="P497" s="105"/>
      <c r="Q497" s="81"/>
      <c r="R497" s="105"/>
      <c r="S497" s="81"/>
      <c r="T497" s="105"/>
      <c r="U497" s="81"/>
      <c r="V497" s="105"/>
      <c r="W497" s="81"/>
      <c r="X497" s="81"/>
      <c r="Y497" s="81"/>
      <c r="Z497" s="105"/>
      <c r="AA497" s="81"/>
      <c r="AB497" s="81"/>
      <c r="AC497" s="81"/>
      <c r="AD497" s="81"/>
    </row>
    <row r="498" spans="1:30" ht="24" customHeight="1" x14ac:dyDescent="0.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105"/>
      <c r="M498" s="81"/>
      <c r="N498" s="105"/>
      <c r="O498" s="81"/>
      <c r="P498" s="105"/>
      <c r="Q498" s="81"/>
      <c r="R498" s="105"/>
      <c r="S498" s="81"/>
      <c r="T498" s="105"/>
      <c r="U498" s="81"/>
      <c r="V498" s="105"/>
      <c r="W498" s="81"/>
      <c r="X498" s="81"/>
      <c r="Y498" s="81"/>
      <c r="Z498" s="105"/>
      <c r="AA498" s="81"/>
      <c r="AB498" s="81"/>
      <c r="AC498" s="81"/>
      <c r="AD498" s="81"/>
    </row>
    <row r="499" spans="1:30" ht="24" customHeight="1" x14ac:dyDescent="0.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105"/>
      <c r="M499" s="81"/>
      <c r="N499" s="105"/>
      <c r="O499" s="81"/>
      <c r="P499" s="105"/>
      <c r="Q499" s="81"/>
      <c r="R499" s="105"/>
      <c r="S499" s="81"/>
      <c r="T499" s="105"/>
      <c r="U499" s="81"/>
      <c r="V499" s="105"/>
      <c r="W499" s="81"/>
      <c r="X499" s="81"/>
      <c r="Y499" s="81"/>
      <c r="Z499" s="105"/>
      <c r="AA499" s="81"/>
      <c r="AB499" s="81"/>
      <c r="AC499" s="81"/>
      <c r="AD499" s="81"/>
    </row>
    <row r="500" spans="1:30" ht="24" customHeight="1" x14ac:dyDescent="0.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105"/>
      <c r="M500" s="81"/>
      <c r="N500" s="105"/>
      <c r="O500" s="81"/>
      <c r="P500" s="105"/>
      <c r="Q500" s="81"/>
      <c r="R500" s="105"/>
      <c r="S500" s="81"/>
      <c r="T500" s="105"/>
      <c r="U500" s="81"/>
      <c r="V500" s="105"/>
      <c r="W500" s="81"/>
      <c r="X500" s="81"/>
      <c r="Y500" s="81"/>
      <c r="Z500" s="105"/>
      <c r="AA500" s="81"/>
      <c r="AB500" s="81"/>
      <c r="AC500" s="81"/>
      <c r="AD500" s="81"/>
    </row>
    <row r="501" spans="1:30" ht="24" customHeight="1" x14ac:dyDescent="0.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105"/>
      <c r="M501" s="81"/>
      <c r="N501" s="105"/>
      <c r="O501" s="81"/>
      <c r="P501" s="105"/>
      <c r="Q501" s="81"/>
      <c r="R501" s="105"/>
      <c r="S501" s="81"/>
      <c r="T501" s="105"/>
      <c r="U501" s="81"/>
      <c r="V501" s="105"/>
      <c r="W501" s="81"/>
      <c r="X501" s="81"/>
      <c r="Y501" s="81"/>
      <c r="Z501" s="105"/>
      <c r="AA501" s="81"/>
      <c r="AB501" s="81"/>
      <c r="AC501" s="81"/>
      <c r="AD501" s="81"/>
    </row>
    <row r="502" spans="1:30" ht="24" customHeight="1" x14ac:dyDescent="0.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105"/>
      <c r="M502" s="81"/>
      <c r="N502" s="105"/>
      <c r="O502" s="81"/>
      <c r="P502" s="105"/>
      <c r="Q502" s="81"/>
      <c r="R502" s="105"/>
      <c r="S502" s="81"/>
      <c r="T502" s="105"/>
      <c r="U502" s="81"/>
      <c r="V502" s="105"/>
      <c r="W502" s="81"/>
      <c r="X502" s="81"/>
      <c r="Y502" s="81"/>
      <c r="Z502" s="105"/>
      <c r="AA502" s="81"/>
      <c r="AB502" s="81"/>
      <c r="AC502" s="81"/>
      <c r="AD502" s="81"/>
    </row>
    <row r="503" spans="1:30" ht="24" customHeight="1" x14ac:dyDescent="0.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105"/>
      <c r="M503" s="81"/>
      <c r="N503" s="105"/>
      <c r="O503" s="81"/>
      <c r="P503" s="105"/>
      <c r="Q503" s="81"/>
      <c r="R503" s="105"/>
      <c r="S503" s="81"/>
      <c r="T503" s="105"/>
      <c r="U503" s="81"/>
      <c r="V503" s="105"/>
      <c r="W503" s="81"/>
      <c r="X503" s="81"/>
      <c r="Y503" s="81"/>
      <c r="Z503" s="105"/>
      <c r="AA503" s="81"/>
      <c r="AB503" s="81"/>
      <c r="AC503" s="81"/>
      <c r="AD503" s="81"/>
    </row>
    <row r="504" spans="1:30" ht="24" customHeight="1" x14ac:dyDescent="0.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105"/>
      <c r="M504" s="81"/>
      <c r="N504" s="105"/>
      <c r="O504" s="81"/>
      <c r="P504" s="105"/>
      <c r="Q504" s="81"/>
      <c r="R504" s="105"/>
      <c r="S504" s="81"/>
      <c r="T504" s="105"/>
      <c r="U504" s="81"/>
      <c r="V504" s="105"/>
      <c r="W504" s="81"/>
      <c r="X504" s="81"/>
      <c r="Y504" s="81"/>
      <c r="Z504" s="105"/>
      <c r="AA504" s="81"/>
      <c r="AB504" s="81"/>
      <c r="AC504" s="81"/>
      <c r="AD504" s="81"/>
    </row>
    <row r="505" spans="1:30" ht="24" customHeight="1" x14ac:dyDescent="0.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105"/>
      <c r="M505" s="81"/>
      <c r="N505" s="105"/>
      <c r="O505" s="81"/>
      <c r="P505" s="105"/>
      <c r="Q505" s="81"/>
      <c r="R505" s="105"/>
      <c r="S505" s="81"/>
      <c r="T505" s="105"/>
      <c r="U505" s="81"/>
      <c r="V505" s="105"/>
      <c r="W505" s="81"/>
      <c r="X505" s="81"/>
      <c r="Y505" s="81"/>
      <c r="Z505" s="105"/>
      <c r="AA505" s="81"/>
      <c r="AB505" s="81"/>
      <c r="AC505" s="81"/>
      <c r="AD505" s="81"/>
    </row>
    <row r="506" spans="1:30" ht="24" customHeight="1" x14ac:dyDescent="0.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105"/>
      <c r="M506" s="81"/>
      <c r="N506" s="105"/>
      <c r="O506" s="81"/>
      <c r="P506" s="105"/>
      <c r="Q506" s="81"/>
      <c r="R506" s="105"/>
      <c r="S506" s="81"/>
      <c r="T506" s="105"/>
      <c r="U506" s="81"/>
      <c r="V506" s="105"/>
      <c r="W506" s="81"/>
      <c r="X506" s="81"/>
      <c r="Y506" s="81"/>
      <c r="Z506" s="105"/>
      <c r="AA506" s="81"/>
      <c r="AB506" s="81"/>
      <c r="AC506" s="81"/>
      <c r="AD506" s="81"/>
    </row>
    <row r="507" spans="1:30" ht="24" customHeight="1" x14ac:dyDescent="0.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105"/>
      <c r="M507" s="81"/>
      <c r="N507" s="105"/>
      <c r="O507" s="81"/>
      <c r="P507" s="105"/>
      <c r="Q507" s="81"/>
      <c r="R507" s="105"/>
      <c r="S507" s="81"/>
      <c r="T507" s="105"/>
      <c r="U507" s="81"/>
      <c r="V507" s="105"/>
      <c r="W507" s="81"/>
      <c r="X507" s="81"/>
      <c r="Y507" s="81"/>
      <c r="Z507" s="105"/>
      <c r="AA507" s="81"/>
      <c r="AB507" s="81"/>
      <c r="AC507" s="81"/>
      <c r="AD507" s="81"/>
    </row>
    <row r="508" spans="1:30" ht="24" customHeight="1" x14ac:dyDescent="0.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105"/>
      <c r="M508" s="81"/>
      <c r="N508" s="105"/>
      <c r="O508" s="81"/>
      <c r="P508" s="105"/>
      <c r="Q508" s="81"/>
      <c r="R508" s="105"/>
      <c r="S508" s="81"/>
      <c r="T508" s="105"/>
      <c r="U508" s="81"/>
      <c r="V508" s="105"/>
      <c r="W508" s="81"/>
      <c r="X508" s="81"/>
      <c r="Y508" s="81"/>
      <c r="Z508" s="105"/>
      <c r="AA508" s="81"/>
      <c r="AB508" s="81"/>
      <c r="AC508" s="81"/>
      <c r="AD508" s="81"/>
    </row>
    <row r="509" spans="1:30" ht="24" customHeight="1" x14ac:dyDescent="0.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105"/>
      <c r="M509" s="81"/>
      <c r="N509" s="105"/>
      <c r="O509" s="81"/>
      <c r="P509" s="105"/>
      <c r="Q509" s="81"/>
      <c r="R509" s="105"/>
      <c r="S509" s="81"/>
      <c r="T509" s="105"/>
      <c r="U509" s="81"/>
      <c r="V509" s="105"/>
      <c r="W509" s="81"/>
      <c r="X509" s="81"/>
      <c r="Y509" s="81"/>
      <c r="Z509" s="105"/>
      <c r="AA509" s="81"/>
      <c r="AB509" s="81"/>
      <c r="AC509" s="81"/>
      <c r="AD509" s="81"/>
    </row>
    <row r="510" spans="1:30" ht="24" customHeight="1" x14ac:dyDescent="0.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105"/>
      <c r="M510" s="81"/>
      <c r="N510" s="105"/>
      <c r="O510" s="81"/>
      <c r="P510" s="105"/>
      <c r="Q510" s="81"/>
      <c r="R510" s="105"/>
      <c r="S510" s="81"/>
      <c r="T510" s="105"/>
      <c r="U510" s="81"/>
      <c r="V510" s="105"/>
      <c r="W510" s="81"/>
      <c r="X510" s="81"/>
      <c r="Y510" s="81"/>
      <c r="Z510" s="105"/>
      <c r="AA510" s="81"/>
      <c r="AB510" s="81"/>
      <c r="AC510" s="81"/>
      <c r="AD510" s="81"/>
    </row>
    <row r="511" spans="1:30" ht="24" customHeight="1" x14ac:dyDescent="0.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105"/>
      <c r="M511" s="81"/>
      <c r="N511" s="105"/>
      <c r="O511" s="81"/>
      <c r="P511" s="105"/>
      <c r="Q511" s="81"/>
      <c r="R511" s="105"/>
      <c r="S511" s="81"/>
      <c r="T511" s="105"/>
      <c r="U511" s="81"/>
      <c r="V511" s="105"/>
      <c r="W511" s="81"/>
      <c r="X511" s="81"/>
      <c r="Y511" s="81"/>
      <c r="Z511" s="105"/>
      <c r="AA511" s="81"/>
      <c r="AB511" s="81"/>
      <c r="AC511" s="81"/>
      <c r="AD511" s="81"/>
    </row>
    <row r="512" spans="1:30" ht="24" customHeight="1" x14ac:dyDescent="0.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105"/>
      <c r="M512" s="81"/>
      <c r="N512" s="105"/>
      <c r="O512" s="81"/>
      <c r="P512" s="105"/>
      <c r="Q512" s="81"/>
      <c r="R512" s="105"/>
      <c r="S512" s="81"/>
      <c r="T512" s="105"/>
      <c r="U512" s="81"/>
      <c r="V512" s="105"/>
      <c r="W512" s="81"/>
      <c r="X512" s="81"/>
      <c r="Y512" s="81"/>
      <c r="Z512" s="105"/>
      <c r="AA512" s="81"/>
      <c r="AB512" s="81"/>
      <c r="AC512" s="81"/>
      <c r="AD512" s="81"/>
    </row>
    <row r="513" spans="1:30" ht="24" customHeight="1" x14ac:dyDescent="0.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105"/>
      <c r="M513" s="81"/>
      <c r="N513" s="105"/>
      <c r="O513" s="81"/>
      <c r="P513" s="105"/>
      <c r="Q513" s="81"/>
      <c r="R513" s="105"/>
      <c r="S513" s="81"/>
      <c r="T513" s="105"/>
      <c r="U513" s="81"/>
      <c r="V513" s="105"/>
      <c r="W513" s="81"/>
      <c r="X513" s="81"/>
      <c r="Y513" s="81"/>
      <c r="Z513" s="105"/>
      <c r="AA513" s="81"/>
      <c r="AB513" s="81"/>
      <c r="AC513" s="81"/>
      <c r="AD513" s="81"/>
    </row>
    <row r="514" spans="1:30" ht="24" customHeight="1" x14ac:dyDescent="0.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105"/>
      <c r="M514" s="81"/>
      <c r="N514" s="105"/>
      <c r="O514" s="81"/>
      <c r="P514" s="105"/>
      <c r="Q514" s="81"/>
      <c r="R514" s="105"/>
      <c r="S514" s="81"/>
      <c r="T514" s="105"/>
      <c r="U514" s="81"/>
      <c r="V514" s="105"/>
      <c r="W514" s="81"/>
      <c r="X514" s="81"/>
      <c r="Y514" s="81"/>
      <c r="Z514" s="105"/>
      <c r="AA514" s="81"/>
      <c r="AB514" s="81"/>
      <c r="AC514" s="81"/>
      <c r="AD514" s="81"/>
    </row>
    <row r="515" spans="1:30" ht="24" customHeight="1" x14ac:dyDescent="0.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105"/>
      <c r="M515" s="81"/>
      <c r="N515" s="105"/>
      <c r="O515" s="81"/>
      <c r="P515" s="105"/>
      <c r="Q515" s="81"/>
      <c r="R515" s="105"/>
      <c r="S515" s="81"/>
      <c r="T515" s="105"/>
      <c r="U515" s="81"/>
      <c r="V515" s="105"/>
      <c r="W515" s="81"/>
      <c r="X515" s="81"/>
      <c r="Y515" s="81"/>
      <c r="Z515" s="105"/>
      <c r="AA515" s="81"/>
      <c r="AB515" s="81"/>
      <c r="AC515" s="81"/>
      <c r="AD515" s="81"/>
    </row>
    <row r="516" spans="1:30" ht="24" customHeight="1" x14ac:dyDescent="0.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105"/>
      <c r="M516" s="81"/>
      <c r="N516" s="105"/>
      <c r="O516" s="81"/>
      <c r="P516" s="105"/>
      <c r="Q516" s="81"/>
      <c r="R516" s="105"/>
      <c r="S516" s="81"/>
      <c r="T516" s="105"/>
      <c r="U516" s="81"/>
      <c r="V516" s="105"/>
      <c r="W516" s="81"/>
      <c r="X516" s="81"/>
      <c r="Y516" s="81"/>
      <c r="Z516" s="105"/>
      <c r="AA516" s="81"/>
      <c r="AB516" s="81"/>
      <c r="AC516" s="81"/>
      <c r="AD516" s="81"/>
    </row>
    <row r="517" spans="1:30" ht="24" customHeight="1" x14ac:dyDescent="0.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105"/>
      <c r="M517" s="81"/>
      <c r="N517" s="105"/>
      <c r="O517" s="81"/>
      <c r="P517" s="105"/>
      <c r="Q517" s="81"/>
      <c r="R517" s="105"/>
      <c r="S517" s="81"/>
      <c r="T517" s="105"/>
      <c r="U517" s="81"/>
      <c r="V517" s="105"/>
      <c r="W517" s="81"/>
      <c r="X517" s="81"/>
      <c r="Y517" s="81"/>
      <c r="Z517" s="105"/>
      <c r="AA517" s="81"/>
      <c r="AB517" s="81"/>
      <c r="AC517" s="81"/>
      <c r="AD517" s="81"/>
    </row>
    <row r="518" spans="1:30" ht="24" customHeight="1" x14ac:dyDescent="0.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105"/>
      <c r="M518" s="81"/>
      <c r="N518" s="105"/>
      <c r="O518" s="81"/>
      <c r="P518" s="105"/>
      <c r="Q518" s="81"/>
      <c r="R518" s="105"/>
      <c r="S518" s="81"/>
      <c r="T518" s="105"/>
      <c r="U518" s="81"/>
      <c r="V518" s="105"/>
      <c r="W518" s="81"/>
      <c r="X518" s="81"/>
      <c r="Y518" s="81"/>
      <c r="Z518" s="105"/>
      <c r="AA518" s="81"/>
      <c r="AB518" s="81"/>
      <c r="AC518" s="81"/>
      <c r="AD518" s="81"/>
    </row>
    <row r="519" spans="1:30" ht="24" customHeight="1" x14ac:dyDescent="0.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105"/>
      <c r="M519" s="81"/>
      <c r="N519" s="105"/>
      <c r="O519" s="81"/>
      <c r="P519" s="105"/>
      <c r="Q519" s="81"/>
      <c r="R519" s="105"/>
      <c r="S519" s="81"/>
      <c r="T519" s="105"/>
      <c r="U519" s="81"/>
      <c r="V519" s="105"/>
      <c r="W519" s="81"/>
      <c r="X519" s="81"/>
      <c r="Y519" s="81"/>
      <c r="Z519" s="105"/>
      <c r="AA519" s="81"/>
      <c r="AB519" s="81"/>
      <c r="AC519" s="81"/>
      <c r="AD519" s="81"/>
    </row>
    <row r="520" spans="1:30" ht="24" customHeight="1" x14ac:dyDescent="0.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105"/>
      <c r="M520" s="81"/>
      <c r="N520" s="105"/>
      <c r="O520" s="81"/>
      <c r="P520" s="105"/>
      <c r="Q520" s="81"/>
      <c r="R520" s="105"/>
      <c r="S520" s="81"/>
      <c r="T520" s="105"/>
      <c r="U520" s="81"/>
      <c r="V520" s="105"/>
      <c r="W520" s="81"/>
      <c r="X520" s="81"/>
      <c r="Y520" s="81"/>
      <c r="Z520" s="105"/>
      <c r="AA520" s="81"/>
      <c r="AB520" s="81"/>
      <c r="AC520" s="81"/>
      <c r="AD520" s="81"/>
    </row>
    <row r="521" spans="1:30" ht="24" customHeight="1" x14ac:dyDescent="0.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105"/>
      <c r="M521" s="81"/>
      <c r="N521" s="105"/>
      <c r="O521" s="81"/>
      <c r="P521" s="105"/>
      <c r="Q521" s="81"/>
      <c r="R521" s="105"/>
      <c r="S521" s="81"/>
      <c r="T521" s="105"/>
      <c r="U521" s="81"/>
      <c r="V521" s="105"/>
      <c r="W521" s="81"/>
      <c r="X521" s="81"/>
      <c r="Y521" s="81"/>
      <c r="Z521" s="105"/>
      <c r="AA521" s="81"/>
      <c r="AB521" s="81"/>
      <c r="AC521" s="81"/>
      <c r="AD521" s="81"/>
    </row>
    <row r="522" spans="1:30" ht="24" customHeight="1" x14ac:dyDescent="0.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105"/>
      <c r="M522" s="81"/>
      <c r="N522" s="105"/>
      <c r="O522" s="81"/>
      <c r="P522" s="105"/>
      <c r="Q522" s="81"/>
      <c r="R522" s="105"/>
      <c r="S522" s="81"/>
      <c r="T522" s="105"/>
      <c r="U522" s="81"/>
      <c r="V522" s="105"/>
      <c r="W522" s="81"/>
      <c r="X522" s="81"/>
      <c r="Y522" s="81"/>
      <c r="Z522" s="105"/>
      <c r="AA522" s="81"/>
      <c r="AB522" s="81"/>
      <c r="AC522" s="81"/>
      <c r="AD522" s="81"/>
    </row>
    <row r="523" spans="1:30" ht="24" customHeight="1" x14ac:dyDescent="0.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105"/>
      <c r="M523" s="81"/>
      <c r="N523" s="105"/>
      <c r="O523" s="81"/>
      <c r="P523" s="105"/>
      <c r="Q523" s="81"/>
      <c r="R523" s="105"/>
      <c r="S523" s="81"/>
      <c r="T523" s="105"/>
      <c r="U523" s="81"/>
      <c r="V523" s="105"/>
      <c r="W523" s="81"/>
      <c r="X523" s="81"/>
      <c r="Y523" s="81"/>
      <c r="Z523" s="105"/>
      <c r="AA523" s="81"/>
      <c r="AB523" s="81"/>
      <c r="AC523" s="81"/>
      <c r="AD523" s="81"/>
    </row>
    <row r="524" spans="1:30" ht="24" customHeight="1" x14ac:dyDescent="0.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105"/>
      <c r="M524" s="81"/>
      <c r="N524" s="105"/>
      <c r="O524" s="81"/>
      <c r="P524" s="105"/>
      <c r="Q524" s="81"/>
      <c r="R524" s="105"/>
      <c r="S524" s="81"/>
      <c r="T524" s="105"/>
      <c r="U524" s="81"/>
      <c r="V524" s="105"/>
      <c r="W524" s="81"/>
      <c r="X524" s="81"/>
      <c r="Y524" s="81"/>
      <c r="Z524" s="105"/>
      <c r="AA524" s="81"/>
      <c r="AB524" s="81"/>
      <c r="AC524" s="81"/>
      <c r="AD524" s="81"/>
    </row>
    <row r="525" spans="1:30" ht="24" customHeight="1" x14ac:dyDescent="0.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105"/>
      <c r="M525" s="81"/>
      <c r="N525" s="105"/>
      <c r="O525" s="81"/>
      <c r="P525" s="105"/>
      <c r="Q525" s="81"/>
      <c r="R525" s="105"/>
      <c r="S525" s="81"/>
      <c r="T525" s="105"/>
      <c r="U525" s="81"/>
      <c r="V525" s="105"/>
      <c r="W525" s="81"/>
      <c r="X525" s="81"/>
      <c r="Y525" s="81"/>
      <c r="Z525" s="105"/>
      <c r="AA525" s="81"/>
      <c r="AB525" s="81"/>
      <c r="AC525" s="81"/>
      <c r="AD525" s="81"/>
    </row>
    <row r="526" spans="1:30" ht="24" customHeight="1" x14ac:dyDescent="0.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105"/>
      <c r="M526" s="81"/>
      <c r="N526" s="105"/>
      <c r="O526" s="81"/>
      <c r="P526" s="105"/>
      <c r="Q526" s="81"/>
      <c r="R526" s="105"/>
      <c r="S526" s="81"/>
      <c r="T526" s="105"/>
      <c r="U526" s="81"/>
      <c r="V526" s="105"/>
      <c r="W526" s="81"/>
      <c r="X526" s="81"/>
      <c r="Y526" s="81"/>
      <c r="Z526" s="105"/>
      <c r="AA526" s="81"/>
      <c r="AB526" s="81"/>
      <c r="AC526" s="81"/>
      <c r="AD526" s="81"/>
    </row>
    <row r="527" spans="1:30" ht="24" customHeight="1" x14ac:dyDescent="0.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105"/>
      <c r="M527" s="81"/>
      <c r="N527" s="105"/>
      <c r="O527" s="81"/>
      <c r="P527" s="105"/>
      <c r="Q527" s="81"/>
      <c r="R527" s="105"/>
      <c r="S527" s="81"/>
      <c r="T527" s="105"/>
      <c r="U527" s="81"/>
      <c r="V527" s="105"/>
      <c r="W527" s="81"/>
      <c r="X527" s="81"/>
      <c r="Y527" s="81"/>
      <c r="Z527" s="105"/>
      <c r="AA527" s="81"/>
      <c r="AB527" s="81"/>
      <c r="AC527" s="81"/>
      <c r="AD527" s="81"/>
    </row>
    <row r="528" spans="1:30" ht="24" customHeight="1" x14ac:dyDescent="0.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105"/>
      <c r="M528" s="81"/>
      <c r="N528" s="105"/>
      <c r="O528" s="81"/>
      <c r="P528" s="105"/>
      <c r="Q528" s="81"/>
      <c r="R528" s="105"/>
      <c r="S528" s="81"/>
      <c r="T528" s="105"/>
      <c r="U528" s="81"/>
      <c r="V528" s="105"/>
      <c r="W528" s="81"/>
      <c r="X528" s="81"/>
      <c r="Y528" s="81"/>
      <c r="Z528" s="105"/>
      <c r="AA528" s="81"/>
      <c r="AB528" s="81"/>
      <c r="AC528" s="81"/>
      <c r="AD528" s="81"/>
    </row>
    <row r="529" spans="1:30" ht="24" customHeight="1" x14ac:dyDescent="0.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105"/>
      <c r="M529" s="81"/>
      <c r="N529" s="105"/>
      <c r="O529" s="81"/>
      <c r="P529" s="105"/>
      <c r="Q529" s="81"/>
      <c r="R529" s="105"/>
      <c r="S529" s="81"/>
      <c r="T529" s="105"/>
      <c r="U529" s="81"/>
      <c r="V529" s="105"/>
      <c r="W529" s="81"/>
      <c r="X529" s="81"/>
      <c r="Y529" s="81"/>
      <c r="Z529" s="105"/>
      <c r="AA529" s="81"/>
      <c r="AB529" s="81"/>
      <c r="AC529" s="81"/>
      <c r="AD529" s="81"/>
    </row>
    <row r="530" spans="1:30" ht="24" customHeight="1" x14ac:dyDescent="0.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105"/>
      <c r="M530" s="81"/>
      <c r="N530" s="105"/>
      <c r="O530" s="81"/>
      <c r="P530" s="105"/>
      <c r="Q530" s="81"/>
      <c r="R530" s="105"/>
      <c r="S530" s="81"/>
      <c r="T530" s="105"/>
      <c r="U530" s="81"/>
      <c r="V530" s="105"/>
      <c r="W530" s="81"/>
      <c r="X530" s="81"/>
      <c r="Y530" s="81"/>
      <c r="Z530" s="105"/>
      <c r="AA530" s="81"/>
      <c r="AB530" s="81"/>
      <c r="AC530" s="81"/>
      <c r="AD530" s="81"/>
    </row>
    <row r="531" spans="1:30" ht="24" customHeight="1" x14ac:dyDescent="0.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105"/>
      <c r="M531" s="81"/>
      <c r="N531" s="105"/>
      <c r="O531" s="81"/>
      <c r="P531" s="105"/>
      <c r="Q531" s="81"/>
      <c r="R531" s="105"/>
      <c r="S531" s="81"/>
      <c r="T531" s="105"/>
      <c r="U531" s="81"/>
      <c r="V531" s="105"/>
      <c r="W531" s="81"/>
      <c r="X531" s="81"/>
      <c r="Y531" s="81"/>
      <c r="Z531" s="105"/>
      <c r="AA531" s="81"/>
      <c r="AB531" s="81"/>
      <c r="AC531" s="81"/>
      <c r="AD531" s="81"/>
    </row>
    <row r="532" spans="1:30" ht="24" customHeight="1" x14ac:dyDescent="0.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105"/>
      <c r="M532" s="81"/>
      <c r="N532" s="105"/>
      <c r="O532" s="81"/>
      <c r="P532" s="105"/>
      <c r="Q532" s="81"/>
      <c r="R532" s="105"/>
      <c r="S532" s="81"/>
      <c r="T532" s="105"/>
      <c r="U532" s="81"/>
      <c r="V532" s="105"/>
      <c r="W532" s="81"/>
      <c r="X532" s="81"/>
      <c r="Y532" s="81"/>
      <c r="Z532" s="105"/>
      <c r="AA532" s="81"/>
      <c r="AB532" s="81"/>
      <c r="AC532" s="81"/>
      <c r="AD532" s="81"/>
    </row>
    <row r="533" spans="1:30" ht="24" customHeight="1" x14ac:dyDescent="0.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105"/>
      <c r="M533" s="81"/>
      <c r="N533" s="105"/>
      <c r="O533" s="81"/>
      <c r="P533" s="105"/>
      <c r="Q533" s="81"/>
      <c r="R533" s="105"/>
      <c r="S533" s="81"/>
      <c r="T533" s="105"/>
      <c r="U533" s="81"/>
      <c r="V533" s="105"/>
      <c r="W533" s="81"/>
      <c r="X533" s="81"/>
      <c r="Y533" s="81"/>
      <c r="Z533" s="105"/>
      <c r="AA533" s="81"/>
      <c r="AB533" s="81"/>
      <c r="AC533" s="81"/>
      <c r="AD533" s="81"/>
    </row>
    <row r="534" spans="1:30" ht="24" customHeight="1" x14ac:dyDescent="0.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105"/>
      <c r="M534" s="81"/>
      <c r="N534" s="105"/>
      <c r="O534" s="81"/>
      <c r="P534" s="105"/>
      <c r="Q534" s="81"/>
      <c r="R534" s="105"/>
      <c r="S534" s="81"/>
      <c r="T534" s="105"/>
      <c r="U534" s="81"/>
      <c r="V534" s="105"/>
      <c r="W534" s="81"/>
      <c r="X534" s="81"/>
      <c r="Y534" s="81"/>
      <c r="Z534" s="105"/>
      <c r="AA534" s="81"/>
      <c r="AB534" s="81"/>
      <c r="AC534" s="81"/>
      <c r="AD534" s="81"/>
    </row>
    <row r="535" spans="1:30" ht="24" customHeight="1" x14ac:dyDescent="0.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105"/>
      <c r="M535" s="81"/>
      <c r="N535" s="105"/>
      <c r="O535" s="81"/>
      <c r="P535" s="105"/>
      <c r="Q535" s="81"/>
      <c r="R535" s="105"/>
      <c r="S535" s="81"/>
      <c r="T535" s="105"/>
      <c r="U535" s="81"/>
      <c r="V535" s="105"/>
      <c r="W535" s="81"/>
      <c r="X535" s="81"/>
      <c r="Y535" s="81"/>
      <c r="Z535" s="105"/>
      <c r="AA535" s="81"/>
      <c r="AB535" s="81"/>
      <c r="AC535" s="81"/>
      <c r="AD535" s="81"/>
    </row>
    <row r="536" spans="1:30" ht="24" customHeight="1" x14ac:dyDescent="0.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105"/>
      <c r="M536" s="81"/>
      <c r="N536" s="105"/>
      <c r="O536" s="81"/>
      <c r="P536" s="105"/>
      <c r="Q536" s="81"/>
      <c r="R536" s="105"/>
      <c r="S536" s="81"/>
      <c r="T536" s="105"/>
      <c r="U536" s="81"/>
      <c r="V536" s="105"/>
      <c r="W536" s="81"/>
      <c r="X536" s="81"/>
      <c r="Y536" s="81"/>
      <c r="Z536" s="105"/>
      <c r="AA536" s="81"/>
      <c r="AB536" s="81"/>
      <c r="AC536" s="81"/>
      <c r="AD536" s="81"/>
    </row>
    <row r="537" spans="1:30" ht="24" customHeight="1" x14ac:dyDescent="0.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105"/>
      <c r="M537" s="81"/>
      <c r="N537" s="105"/>
      <c r="O537" s="81"/>
      <c r="P537" s="105"/>
      <c r="Q537" s="81"/>
      <c r="R537" s="105"/>
      <c r="S537" s="81"/>
      <c r="T537" s="105"/>
      <c r="U537" s="81"/>
      <c r="V537" s="105"/>
      <c r="W537" s="81"/>
      <c r="X537" s="81"/>
      <c r="Y537" s="81"/>
      <c r="Z537" s="105"/>
      <c r="AA537" s="81"/>
      <c r="AB537" s="81"/>
      <c r="AC537" s="81"/>
      <c r="AD537" s="81"/>
    </row>
    <row r="538" spans="1:30" ht="24" customHeight="1" x14ac:dyDescent="0.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105"/>
      <c r="M538" s="81"/>
      <c r="N538" s="105"/>
      <c r="O538" s="81"/>
      <c r="P538" s="105"/>
      <c r="Q538" s="81"/>
      <c r="R538" s="105"/>
      <c r="S538" s="81"/>
      <c r="T538" s="105"/>
      <c r="U538" s="81"/>
      <c r="V538" s="105"/>
      <c r="W538" s="81"/>
      <c r="X538" s="81"/>
      <c r="Y538" s="81"/>
      <c r="Z538" s="105"/>
      <c r="AA538" s="81"/>
      <c r="AB538" s="81"/>
      <c r="AC538" s="81"/>
      <c r="AD538" s="81"/>
    </row>
    <row r="539" spans="1:30" ht="24" customHeight="1" x14ac:dyDescent="0.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105"/>
      <c r="M539" s="81"/>
      <c r="N539" s="105"/>
      <c r="O539" s="81"/>
      <c r="P539" s="105"/>
      <c r="Q539" s="81"/>
      <c r="R539" s="105"/>
      <c r="S539" s="81"/>
      <c r="T539" s="105"/>
      <c r="U539" s="81"/>
      <c r="V539" s="105"/>
      <c r="W539" s="81"/>
      <c r="X539" s="81"/>
      <c r="Y539" s="81"/>
      <c r="Z539" s="105"/>
      <c r="AA539" s="81"/>
      <c r="AB539" s="81"/>
      <c r="AC539" s="81"/>
      <c r="AD539" s="81"/>
    </row>
    <row r="540" spans="1:30" ht="24" customHeight="1" x14ac:dyDescent="0.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105"/>
      <c r="M540" s="81"/>
      <c r="N540" s="105"/>
      <c r="O540" s="81"/>
      <c r="P540" s="105"/>
      <c r="Q540" s="81"/>
      <c r="R540" s="105"/>
      <c r="S540" s="81"/>
      <c r="T540" s="105"/>
      <c r="U540" s="81"/>
      <c r="V540" s="105"/>
      <c r="W540" s="81"/>
      <c r="X540" s="81"/>
      <c r="Y540" s="81"/>
      <c r="Z540" s="105"/>
      <c r="AA540" s="81"/>
      <c r="AB540" s="81"/>
      <c r="AC540" s="81"/>
      <c r="AD540" s="81"/>
    </row>
    <row r="541" spans="1:30" ht="24" customHeight="1" x14ac:dyDescent="0.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105"/>
      <c r="M541" s="81"/>
      <c r="N541" s="105"/>
      <c r="O541" s="81"/>
      <c r="P541" s="105"/>
      <c r="Q541" s="81"/>
      <c r="R541" s="105"/>
      <c r="S541" s="81"/>
      <c r="T541" s="105"/>
      <c r="U541" s="81"/>
      <c r="V541" s="105"/>
      <c r="W541" s="81"/>
      <c r="X541" s="81"/>
      <c r="Y541" s="81"/>
      <c r="Z541" s="105"/>
      <c r="AA541" s="81"/>
      <c r="AB541" s="81"/>
      <c r="AC541" s="81"/>
      <c r="AD541" s="81"/>
    </row>
    <row r="542" spans="1:30" ht="24" customHeight="1" x14ac:dyDescent="0.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105"/>
      <c r="M542" s="81"/>
      <c r="N542" s="105"/>
      <c r="O542" s="81"/>
      <c r="P542" s="105"/>
      <c r="Q542" s="81"/>
      <c r="R542" s="105"/>
      <c r="S542" s="81"/>
      <c r="T542" s="105"/>
      <c r="U542" s="81"/>
      <c r="V542" s="105"/>
      <c r="W542" s="81"/>
      <c r="X542" s="81"/>
      <c r="Y542" s="81"/>
      <c r="Z542" s="105"/>
      <c r="AA542" s="81"/>
      <c r="AB542" s="81"/>
      <c r="AC542" s="81"/>
      <c r="AD542" s="81"/>
    </row>
    <row r="543" spans="1:30" ht="24" customHeight="1" x14ac:dyDescent="0.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105"/>
      <c r="M543" s="81"/>
      <c r="N543" s="105"/>
      <c r="O543" s="81"/>
      <c r="P543" s="105"/>
      <c r="Q543" s="81"/>
      <c r="R543" s="105"/>
      <c r="S543" s="81"/>
      <c r="T543" s="105"/>
      <c r="U543" s="81"/>
      <c r="V543" s="105"/>
      <c r="W543" s="81"/>
      <c r="X543" s="81"/>
      <c r="Y543" s="81"/>
      <c r="Z543" s="105"/>
      <c r="AA543" s="81"/>
      <c r="AB543" s="81"/>
      <c r="AC543" s="81"/>
      <c r="AD543" s="81"/>
    </row>
    <row r="544" spans="1:30" ht="24" customHeight="1" x14ac:dyDescent="0.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105"/>
      <c r="M544" s="81"/>
      <c r="N544" s="105"/>
      <c r="O544" s="81"/>
      <c r="P544" s="105"/>
      <c r="Q544" s="81"/>
      <c r="R544" s="105"/>
      <c r="S544" s="81"/>
      <c r="T544" s="105"/>
      <c r="U544" s="81"/>
      <c r="V544" s="105"/>
      <c r="W544" s="81"/>
      <c r="X544" s="81"/>
      <c r="Y544" s="81"/>
      <c r="Z544" s="105"/>
      <c r="AA544" s="81"/>
      <c r="AB544" s="81"/>
      <c r="AC544" s="81"/>
      <c r="AD544" s="81"/>
    </row>
    <row r="545" spans="1:30" ht="24" customHeight="1" x14ac:dyDescent="0.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105"/>
      <c r="M545" s="81"/>
      <c r="N545" s="105"/>
      <c r="O545" s="81"/>
      <c r="P545" s="105"/>
      <c r="Q545" s="81"/>
      <c r="R545" s="105"/>
      <c r="S545" s="81"/>
      <c r="T545" s="105"/>
      <c r="U545" s="81"/>
      <c r="V545" s="105"/>
      <c r="W545" s="81"/>
      <c r="X545" s="81"/>
      <c r="Y545" s="81"/>
      <c r="Z545" s="105"/>
      <c r="AA545" s="81"/>
      <c r="AB545" s="81"/>
      <c r="AC545" s="81"/>
      <c r="AD545" s="81"/>
    </row>
    <row r="546" spans="1:30" ht="24" customHeight="1" x14ac:dyDescent="0.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105"/>
      <c r="M546" s="81"/>
      <c r="N546" s="105"/>
      <c r="O546" s="81"/>
      <c r="P546" s="105"/>
      <c r="Q546" s="81"/>
      <c r="R546" s="105"/>
      <c r="S546" s="81"/>
      <c r="T546" s="105"/>
      <c r="U546" s="81"/>
      <c r="V546" s="105"/>
      <c r="W546" s="81"/>
      <c r="X546" s="81"/>
      <c r="Y546" s="81"/>
      <c r="Z546" s="105"/>
      <c r="AA546" s="81"/>
      <c r="AB546" s="81"/>
      <c r="AC546" s="81"/>
      <c r="AD546" s="81"/>
    </row>
    <row r="547" spans="1:30" ht="24" customHeight="1" x14ac:dyDescent="0.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105"/>
      <c r="M547" s="81"/>
      <c r="N547" s="105"/>
      <c r="O547" s="81"/>
      <c r="P547" s="105"/>
      <c r="Q547" s="81"/>
      <c r="R547" s="105"/>
      <c r="S547" s="81"/>
      <c r="T547" s="105"/>
      <c r="U547" s="81"/>
      <c r="V547" s="105"/>
      <c r="W547" s="81"/>
      <c r="X547" s="81"/>
      <c r="Y547" s="81"/>
      <c r="Z547" s="105"/>
      <c r="AA547" s="81"/>
      <c r="AB547" s="81"/>
      <c r="AC547" s="81"/>
      <c r="AD547" s="81"/>
    </row>
    <row r="548" spans="1:30" ht="24" customHeight="1" x14ac:dyDescent="0.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105"/>
      <c r="M548" s="81"/>
      <c r="N548" s="105"/>
      <c r="O548" s="81"/>
      <c r="P548" s="105"/>
      <c r="Q548" s="81"/>
      <c r="R548" s="105"/>
      <c r="S548" s="81"/>
      <c r="T548" s="105"/>
      <c r="U548" s="81"/>
      <c r="V548" s="105"/>
      <c r="W548" s="81"/>
      <c r="X548" s="81"/>
      <c r="Y548" s="81"/>
      <c r="Z548" s="105"/>
      <c r="AA548" s="81"/>
      <c r="AB548" s="81"/>
      <c r="AC548" s="81"/>
      <c r="AD548" s="81"/>
    </row>
    <row r="549" spans="1:30" ht="24" customHeight="1" x14ac:dyDescent="0.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105"/>
      <c r="M549" s="81"/>
      <c r="N549" s="105"/>
      <c r="O549" s="81"/>
      <c r="P549" s="105"/>
      <c r="Q549" s="81"/>
      <c r="R549" s="105"/>
      <c r="S549" s="81"/>
      <c r="T549" s="105"/>
      <c r="U549" s="81"/>
      <c r="V549" s="105"/>
      <c r="W549" s="81"/>
      <c r="X549" s="81"/>
      <c r="Y549" s="81"/>
      <c r="Z549" s="105"/>
      <c r="AA549" s="81"/>
      <c r="AB549" s="81"/>
      <c r="AC549" s="81"/>
      <c r="AD549" s="81"/>
    </row>
    <row r="550" spans="1:30" ht="24" customHeight="1" x14ac:dyDescent="0.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105"/>
      <c r="M550" s="81"/>
      <c r="N550" s="105"/>
      <c r="O550" s="81"/>
      <c r="P550" s="105"/>
      <c r="Q550" s="81"/>
      <c r="R550" s="105"/>
      <c r="S550" s="81"/>
      <c r="T550" s="105"/>
      <c r="U550" s="81"/>
      <c r="V550" s="105"/>
      <c r="W550" s="81"/>
      <c r="X550" s="81"/>
      <c r="Y550" s="81"/>
      <c r="Z550" s="105"/>
      <c r="AA550" s="81"/>
      <c r="AB550" s="81"/>
      <c r="AC550" s="81"/>
      <c r="AD550" s="81"/>
    </row>
    <row r="551" spans="1:30" ht="24" customHeight="1" x14ac:dyDescent="0.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105"/>
      <c r="M551" s="81"/>
      <c r="N551" s="105"/>
      <c r="O551" s="81"/>
      <c r="P551" s="105"/>
      <c r="Q551" s="81"/>
      <c r="R551" s="105"/>
      <c r="S551" s="81"/>
      <c r="T551" s="105"/>
      <c r="U551" s="81"/>
      <c r="V551" s="105"/>
      <c r="W551" s="81"/>
      <c r="X551" s="81"/>
      <c r="Y551" s="81"/>
      <c r="Z551" s="105"/>
      <c r="AA551" s="81"/>
      <c r="AB551" s="81"/>
      <c r="AC551" s="81"/>
      <c r="AD551" s="81"/>
    </row>
    <row r="552" spans="1:30" ht="24" customHeight="1" x14ac:dyDescent="0.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105"/>
      <c r="M552" s="81"/>
      <c r="N552" s="105"/>
      <c r="O552" s="81"/>
      <c r="P552" s="105"/>
      <c r="Q552" s="81"/>
      <c r="R552" s="105"/>
      <c r="S552" s="81"/>
      <c r="T552" s="105"/>
      <c r="U552" s="81"/>
      <c r="V552" s="105"/>
      <c r="W552" s="81"/>
      <c r="X552" s="81"/>
      <c r="Y552" s="81"/>
      <c r="Z552" s="105"/>
      <c r="AA552" s="81"/>
      <c r="AB552" s="81"/>
      <c r="AC552" s="81"/>
      <c r="AD552" s="81"/>
    </row>
    <row r="553" spans="1:30" ht="24" customHeight="1" x14ac:dyDescent="0.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105"/>
      <c r="M553" s="81"/>
      <c r="N553" s="105"/>
      <c r="O553" s="81"/>
      <c r="P553" s="105"/>
      <c r="Q553" s="81"/>
      <c r="R553" s="105"/>
      <c r="S553" s="81"/>
      <c r="T553" s="105"/>
      <c r="U553" s="81"/>
      <c r="V553" s="105"/>
      <c r="W553" s="81"/>
      <c r="X553" s="81"/>
      <c r="Y553" s="81"/>
      <c r="Z553" s="105"/>
      <c r="AA553" s="81"/>
      <c r="AB553" s="81"/>
      <c r="AC553" s="81"/>
      <c r="AD553" s="81"/>
    </row>
    <row r="554" spans="1:30" ht="24" customHeight="1" x14ac:dyDescent="0.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105"/>
      <c r="M554" s="81"/>
      <c r="N554" s="105"/>
      <c r="O554" s="81"/>
      <c r="P554" s="105"/>
      <c r="Q554" s="81"/>
      <c r="R554" s="105"/>
      <c r="S554" s="81"/>
      <c r="T554" s="105"/>
      <c r="U554" s="81"/>
      <c r="V554" s="105"/>
      <c r="W554" s="81"/>
      <c r="X554" s="81"/>
      <c r="Y554" s="81"/>
      <c r="Z554" s="105"/>
      <c r="AA554" s="81"/>
      <c r="AB554" s="81"/>
      <c r="AC554" s="81"/>
      <c r="AD554" s="81"/>
    </row>
    <row r="555" spans="1:30" ht="24" customHeight="1" x14ac:dyDescent="0.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105"/>
      <c r="M555" s="81"/>
      <c r="N555" s="105"/>
      <c r="O555" s="81"/>
      <c r="P555" s="105"/>
      <c r="Q555" s="81"/>
      <c r="R555" s="105"/>
      <c r="S555" s="81"/>
      <c r="T555" s="105"/>
      <c r="U555" s="81"/>
      <c r="V555" s="105"/>
      <c r="W555" s="81"/>
      <c r="X555" s="81"/>
      <c r="Y555" s="81"/>
      <c r="Z555" s="105"/>
      <c r="AA555" s="81"/>
      <c r="AB555" s="81"/>
      <c r="AC555" s="81"/>
      <c r="AD555" s="81"/>
    </row>
    <row r="556" spans="1:30" ht="24" customHeight="1" x14ac:dyDescent="0.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105"/>
      <c r="M556" s="81"/>
      <c r="N556" s="105"/>
      <c r="O556" s="81"/>
      <c r="P556" s="105"/>
      <c r="Q556" s="81"/>
      <c r="R556" s="105"/>
      <c r="S556" s="81"/>
      <c r="T556" s="105"/>
      <c r="U556" s="81"/>
      <c r="V556" s="105"/>
      <c r="W556" s="81"/>
      <c r="X556" s="81"/>
      <c r="Y556" s="81"/>
      <c r="Z556" s="105"/>
      <c r="AA556" s="81"/>
      <c r="AB556" s="81"/>
      <c r="AC556" s="81"/>
      <c r="AD556" s="81"/>
    </row>
    <row r="557" spans="1:30" ht="24" customHeight="1" x14ac:dyDescent="0.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105"/>
      <c r="M557" s="81"/>
      <c r="N557" s="105"/>
      <c r="O557" s="81"/>
      <c r="P557" s="105"/>
      <c r="Q557" s="81"/>
      <c r="R557" s="105"/>
      <c r="S557" s="81"/>
      <c r="T557" s="105"/>
      <c r="U557" s="81"/>
      <c r="V557" s="105"/>
      <c r="W557" s="81"/>
      <c r="X557" s="81"/>
      <c r="Y557" s="81"/>
      <c r="Z557" s="105"/>
      <c r="AA557" s="81"/>
      <c r="AB557" s="81"/>
      <c r="AC557" s="81"/>
      <c r="AD557" s="81"/>
    </row>
    <row r="558" spans="1:30" ht="24" customHeight="1" x14ac:dyDescent="0.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105"/>
      <c r="M558" s="81"/>
      <c r="N558" s="105"/>
      <c r="O558" s="81"/>
      <c r="P558" s="105"/>
      <c r="Q558" s="81"/>
      <c r="R558" s="105"/>
      <c r="S558" s="81"/>
      <c r="T558" s="105"/>
      <c r="U558" s="81"/>
      <c r="V558" s="105"/>
      <c r="W558" s="81"/>
      <c r="X558" s="81"/>
      <c r="Y558" s="81"/>
      <c r="Z558" s="105"/>
      <c r="AA558" s="81"/>
      <c r="AB558" s="81"/>
      <c r="AC558" s="81"/>
      <c r="AD558" s="81"/>
    </row>
    <row r="559" spans="1:30" ht="24" customHeight="1" x14ac:dyDescent="0.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105"/>
      <c r="M559" s="81"/>
      <c r="N559" s="105"/>
      <c r="O559" s="81"/>
      <c r="P559" s="105"/>
      <c r="Q559" s="81"/>
      <c r="R559" s="105"/>
      <c r="S559" s="81"/>
      <c r="T559" s="105"/>
      <c r="U559" s="81"/>
      <c r="V559" s="105"/>
      <c r="W559" s="81"/>
      <c r="X559" s="81"/>
      <c r="Y559" s="81"/>
      <c r="Z559" s="105"/>
      <c r="AA559" s="81"/>
      <c r="AB559" s="81"/>
      <c r="AC559" s="81"/>
      <c r="AD559" s="81"/>
    </row>
    <row r="560" spans="1:30" ht="24" customHeight="1" x14ac:dyDescent="0.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105"/>
      <c r="M560" s="81"/>
      <c r="N560" s="105"/>
      <c r="O560" s="81"/>
      <c r="P560" s="105"/>
      <c r="Q560" s="81"/>
      <c r="R560" s="105"/>
      <c r="S560" s="81"/>
      <c r="T560" s="105"/>
      <c r="U560" s="81"/>
      <c r="V560" s="105"/>
      <c r="W560" s="81"/>
      <c r="X560" s="81"/>
      <c r="Y560" s="81"/>
      <c r="Z560" s="105"/>
      <c r="AA560" s="81"/>
      <c r="AB560" s="81"/>
      <c r="AC560" s="81"/>
      <c r="AD560" s="81"/>
    </row>
    <row r="561" spans="1:30" ht="24" customHeight="1" x14ac:dyDescent="0.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105"/>
      <c r="M561" s="81"/>
      <c r="N561" s="105"/>
      <c r="O561" s="81"/>
      <c r="P561" s="105"/>
      <c r="Q561" s="81"/>
      <c r="R561" s="105"/>
      <c r="S561" s="81"/>
      <c r="T561" s="105"/>
      <c r="U561" s="81"/>
      <c r="V561" s="105"/>
      <c r="W561" s="81"/>
      <c r="X561" s="81"/>
      <c r="Y561" s="81"/>
      <c r="Z561" s="105"/>
      <c r="AA561" s="81"/>
      <c r="AB561" s="81"/>
      <c r="AC561" s="81"/>
      <c r="AD561" s="81"/>
    </row>
    <row r="562" spans="1:30" ht="24" customHeight="1" x14ac:dyDescent="0.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105"/>
      <c r="M562" s="81"/>
      <c r="N562" s="105"/>
      <c r="O562" s="81"/>
      <c r="P562" s="105"/>
      <c r="Q562" s="81"/>
      <c r="R562" s="105"/>
      <c r="S562" s="81"/>
      <c r="T562" s="105"/>
      <c r="U562" s="81"/>
      <c r="V562" s="105"/>
      <c r="W562" s="81"/>
      <c r="X562" s="81"/>
      <c r="Y562" s="81"/>
      <c r="Z562" s="105"/>
      <c r="AA562" s="81"/>
      <c r="AB562" s="81"/>
      <c r="AC562" s="81"/>
      <c r="AD562" s="81"/>
    </row>
    <row r="563" spans="1:30" ht="24" customHeight="1" x14ac:dyDescent="0.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105"/>
      <c r="M563" s="81"/>
      <c r="N563" s="105"/>
      <c r="O563" s="81"/>
      <c r="P563" s="105"/>
      <c r="Q563" s="81"/>
      <c r="R563" s="105"/>
      <c r="S563" s="81"/>
      <c r="T563" s="105"/>
      <c r="U563" s="81"/>
      <c r="V563" s="105"/>
      <c r="W563" s="81"/>
      <c r="X563" s="81"/>
      <c r="Y563" s="81"/>
      <c r="Z563" s="105"/>
      <c r="AA563" s="81"/>
      <c r="AB563" s="81"/>
      <c r="AC563" s="81"/>
      <c r="AD563" s="81"/>
    </row>
    <row r="564" spans="1:30" ht="24" customHeight="1" x14ac:dyDescent="0.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105"/>
      <c r="M564" s="81"/>
      <c r="N564" s="105"/>
      <c r="O564" s="81"/>
      <c r="P564" s="105"/>
      <c r="Q564" s="81"/>
      <c r="R564" s="105"/>
      <c r="S564" s="81"/>
      <c r="T564" s="105"/>
      <c r="U564" s="81"/>
      <c r="V564" s="105"/>
      <c r="W564" s="81"/>
      <c r="X564" s="81"/>
      <c r="Y564" s="81"/>
      <c r="Z564" s="105"/>
      <c r="AA564" s="81"/>
      <c r="AB564" s="81"/>
      <c r="AC564" s="81"/>
      <c r="AD564" s="81"/>
    </row>
    <row r="565" spans="1:30" ht="24" customHeight="1" x14ac:dyDescent="0.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105"/>
      <c r="M565" s="81"/>
      <c r="N565" s="105"/>
      <c r="O565" s="81"/>
      <c r="P565" s="105"/>
      <c r="Q565" s="81"/>
      <c r="R565" s="105"/>
      <c r="S565" s="81"/>
      <c r="T565" s="105"/>
      <c r="U565" s="81"/>
      <c r="V565" s="105"/>
      <c r="W565" s="81"/>
      <c r="X565" s="81"/>
      <c r="Y565" s="81"/>
      <c r="Z565" s="105"/>
      <c r="AA565" s="81"/>
      <c r="AB565" s="81"/>
      <c r="AC565" s="81"/>
      <c r="AD565" s="81"/>
    </row>
    <row r="566" spans="1:30" ht="24" customHeight="1" x14ac:dyDescent="0.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105"/>
      <c r="M566" s="81"/>
      <c r="N566" s="105"/>
      <c r="O566" s="81"/>
      <c r="P566" s="105"/>
      <c r="Q566" s="81"/>
      <c r="R566" s="105"/>
      <c r="S566" s="81"/>
      <c r="T566" s="105"/>
      <c r="U566" s="81"/>
      <c r="V566" s="105"/>
      <c r="W566" s="81"/>
      <c r="X566" s="81"/>
      <c r="Y566" s="81"/>
      <c r="Z566" s="105"/>
      <c r="AA566" s="81"/>
      <c r="AB566" s="81"/>
      <c r="AC566" s="81"/>
      <c r="AD566" s="81"/>
    </row>
    <row r="567" spans="1:30" ht="24" customHeight="1" x14ac:dyDescent="0.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105"/>
      <c r="M567" s="81"/>
      <c r="N567" s="105"/>
      <c r="O567" s="81"/>
      <c r="P567" s="105"/>
      <c r="Q567" s="81"/>
      <c r="R567" s="105"/>
      <c r="S567" s="81"/>
      <c r="T567" s="105"/>
      <c r="U567" s="81"/>
      <c r="V567" s="105"/>
      <c r="W567" s="81"/>
      <c r="X567" s="81"/>
      <c r="Y567" s="81"/>
      <c r="Z567" s="105"/>
      <c r="AA567" s="81"/>
      <c r="AB567" s="81"/>
      <c r="AC567" s="81"/>
      <c r="AD567" s="81"/>
    </row>
    <row r="568" spans="1:30" ht="24" customHeight="1" x14ac:dyDescent="0.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105"/>
      <c r="M568" s="81"/>
      <c r="N568" s="105"/>
      <c r="O568" s="81"/>
      <c r="P568" s="105"/>
      <c r="Q568" s="81"/>
      <c r="R568" s="105"/>
      <c r="S568" s="81"/>
      <c r="T568" s="105"/>
      <c r="U568" s="81"/>
      <c r="V568" s="105"/>
      <c r="W568" s="81"/>
      <c r="X568" s="81"/>
      <c r="Y568" s="81"/>
      <c r="Z568" s="105"/>
      <c r="AA568" s="81"/>
      <c r="AB568" s="81"/>
      <c r="AC568" s="81"/>
      <c r="AD568" s="81"/>
    </row>
    <row r="569" spans="1:30" ht="24" customHeight="1" x14ac:dyDescent="0.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105"/>
      <c r="M569" s="81"/>
      <c r="N569" s="105"/>
      <c r="O569" s="81"/>
      <c r="P569" s="105"/>
      <c r="Q569" s="81"/>
      <c r="R569" s="105"/>
      <c r="S569" s="81"/>
      <c r="T569" s="105"/>
      <c r="U569" s="81"/>
      <c r="V569" s="105"/>
      <c r="W569" s="81"/>
      <c r="X569" s="81"/>
      <c r="Y569" s="81"/>
      <c r="Z569" s="105"/>
      <c r="AA569" s="81"/>
      <c r="AB569" s="81"/>
      <c r="AC569" s="81"/>
      <c r="AD569" s="81"/>
    </row>
    <row r="570" spans="1:30" ht="24" customHeight="1" x14ac:dyDescent="0.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105"/>
      <c r="M570" s="81"/>
      <c r="N570" s="105"/>
      <c r="O570" s="81"/>
      <c r="P570" s="105"/>
      <c r="Q570" s="81"/>
      <c r="R570" s="105"/>
      <c r="S570" s="81"/>
      <c r="T570" s="105"/>
      <c r="U570" s="81"/>
      <c r="V570" s="105"/>
      <c r="W570" s="81"/>
      <c r="X570" s="81"/>
      <c r="Y570" s="81"/>
      <c r="Z570" s="105"/>
      <c r="AA570" s="81"/>
      <c r="AB570" s="81"/>
      <c r="AC570" s="81"/>
      <c r="AD570" s="81"/>
    </row>
    <row r="571" spans="1:30" ht="24" customHeight="1" x14ac:dyDescent="0.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105"/>
      <c r="M571" s="81"/>
      <c r="N571" s="105"/>
      <c r="O571" s="81"/>
      <c r="P571" s="105"/>
      <c r="Q571" s="81"/>
      <c r="R571" s="105"/>
      <c r="S571" s="81"/>
      <c r="T571" s="105"/>
      <c r="U571" s="81"/>
      <c r="V571" s="105"/>
      <c r="W571" s="81"/>
      <c r="X571" s="81"/>
      <c r="Y571" s="81"/>
      <c r="Z571" s="105"/>
      <c r="AA571" s="81"/>
      <c r="AB571" s="81"/>
      <c r="AC571" s="81"/>
      <c r="AD571" s="81"/>
    </row>
    <row r="572" spans="1:30" ht="24" customHeight="1" x14ac:dyDescent="0.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105"/>
      <c r="M572" s="81"/>
      <c r="N572" s="105"/>
      <c r="O572" s="81"/>
      <c r="P572" s="105"/>
      <c r="Q572" s="81"/>
      <c r="R572" s="105"/>
      <c r="S572" s="81"/>
      <c r="T572" s="105"/>
      <c r="U572" s="81"/>
      <c r="V572" s="105"/>
      <c r="W572" s="81"/>
      <c r="X572" s="81"/>
      <c r="Y572" s="81"/>
      <c r="Z572" s="105"/>
      <c r="AA572" s="81"/>
      <c r="AB572" s="81"/>
      <c r="AC572" s="81"/>
      <c r="AD572" s="81"/>
    </row>
    <row r="573" spans="1:30" ht="24" customHeight="1" x14ac:dyDescent="0.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105"/>
      <c r="M573" s="81"/>
      <c r="N573" s="105"/>
      <c r="O573" s="81"/>
      <c r="P573" s="105"/>
      <c r="Q573" s="81"/>
      <c r="R573" s="105"/>
      <c r="S573" s="81"/>
      <c r="T573" s="105"/>
      <c r="U573" s="81"/>
      <c r="V573" s="105"/>
      <c r="W573" s="81"/>
      <c r="X573" s="81"/>
      <c r="Y573" s="81"/>
      <c r="Z573" s="105"/>
      <c r="AA573" s="81"/>
      <c r="AB573" s="81"/>
      <c r="AC573" s="81"/>
      <c r="AD573" s="81"/>
    </row>
    <row r="574" spans="1:30" ht="24" customHeight="1" x14ac:dyDescent="0.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105"/>
      <c r="M574" s="81"/>
      <c r="N574" s="105"/>
      <c r="O574" s="81"/>
      <c r="P574" s="105"/>
      <c r="Q574" s="81"/>
      <c r="R574" s="105"/>
      <c r="S574" s="81"/>
      <c r="T574" s="105"/>
      <c r="U574" s="81"/>
      <c r="V574" s="105"/>
      <c r="W574" s="81"/>
      <c r="X574" s="81"/>
      <c r="Y574" s="81"/>
      <c r="Z574" s="105"/>
      <c r="AA574" s="81"/>
      <c r="AB574" s="81"/>
      <c r="AC574" s="81"/>
      <c r="AD574" s="81"/>
    </row>
    <row r="575" spans="1:30" ht="24" customHeight="1" x14ac:dyDescent="0.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105"/>
      <c r="M575" s="81"/>
      <c r="N575" s="105"/>
      <c r="O575" s="81"/>
      <c r="P575" s="105"/>
      <c r="Q575" s="81"/>
      <c r="R575" s="105"/>
      <c r="S575" s="81"/>
      <c r="T575" s="105"/>
      <c r="U575" s="81"/>
      <c r="V575" s="105"/>
      <c r="W575" s="81"/>
      <c r="X575" s="81"/>
      <c r="Y575" s="81"/>
      <c r="Z575" s="105"/>
      <c r="AA575" s="81"/>
      <c r="AB575" s="81"/>
      <c r="AC575" s="81"/>
      <c r="AD575" s="81"/>
    </row>
    <row r="576" spans="1:30" ht="24" customHeight="1" x14ac:dyDescent="0.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105"/>
      <c r="M576" s="81"/>
      <c r="N576" s="105"/>
      <c r="O576" s="81"/>
      <c r="P576" s="105"/>
      <c r="Q576" s="81"/>
      <c r="R576" s="105"/>
      <c r="S576" s="81"/>
      <c r="T576" s="105"/>
      <c r="U576" s="81"/>
      <c r="V576" s="105"/>
      <c r="W576" s="81"/>
      <c r="X576" s="81"/>
      <c r="Y576" s="81"/>
      <c r="Z576" s="105"/>
      <c r="AA576" s="81"/>
      <c r="AB576" s="81"/>
      <c r="AC576" s="81"/>
      <c r="AD576" s="81"/>
    </row>
    <row r="577" spans="1:30" ht="24" customHeight="1" x14ac:dyDescent="0.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105"/>
      <c r="M577" s="81"/>
      <c r="N577" s="105"/>
      <c r="O577" s="81"/>
      <c r="P577" s="105"/>
      <c r="Q577" s="81"/>
      <c r="R577" s="105"/>
      <c r="S577" s="81"/>
      <c r="T577" s="105"/>
      <c r="U577" s="81"/>
      <c r="V577" s="105"/>
      <c r="W577" s="81"/>
      <c r="X577" s="81"/>
      <c r="Y577" s="81"/>
      <c r="Z577" s="105"/>
      <c r="AA577" s="81"/>
      <c r="AB577" s="81"/>
      <c r="AC577" s="81"/>
      <c r="AD577" s="81"/>
    </row>
    <row r="578" spans="1:30" ht="24" customHeight="1" x14ac:dyDescent="0.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105"/>
      <c r="M578" s="81"/>
      <c r="N578" s="105"/>
      <c r="O578" s="81"/>
      <c r="P578" s="105"/>
      <c r="Q578" s="81"/>
      <c r="R578" s="105"/>
      <c r="S578" s="81"/>
      <c r="T578" s="105"/>
      <c r="U578" s="81"/>
      <c r="V578" s="105"/>
      <c r="W578" s="81"/>
      <c r="X578" s="81"/>
      <c r="Y578" s="81"/>
      <c r="Z578" s="105"/>
      <c r="AA578" s="81"/>
      <c r="AB578" s="81"/>
      <c r="AC578" s="81"/>
      <c r="AD578" s="81"/>
    </row>
    <row r="579" spans="1:30" ht="24" customHeight="1" x14ac:dyDescent="0.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105"/>
      <c r="M579" s="81"/>
      <c r="N579" s="105"/>
      <c r="O579" s="81"/>
      <c r="P579" s="105"/>
      <c r="Q579" s="81"/>
      <c r="R579" s="105"/>
      <c r="S579" s="81"/>
      <c r="T579" s="105"/>
      <c r="U579" s="81"/>
      <c r="V579" s="105"/>
      <c r="W579" s="81"/>
      <c r="X579" s="81"/>
      <c r="Y579" s="81"/>
      <c r="Z579" s="105"/>
      <c r="AA579" s="81"/>
      <c r="AB579" s="81"/>
      <c r="AC579" s="81"/>
      <c r="AD579" s="81"/>
    </row>
    <row r="580" spans="1:30" ht="24" customHeight="1" x14ac:dyDescent="0.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105"/>
      <c r="M580" s="81"/>
      <c r="N580" s="105"/>
      <c r="O580" s="81"/>
      <c r="P580" s="105"/>
      <c r="Q580" s="81"/>
      <c r="R580" s="105"/>
      <c r="S580" s="81"/>
      <c r="T580" s="105"/>
      <c r="U580" s="81"/>
      <c r="V580" s="105"/>
      <c r="W580" s="81"/>
      <c r="X580" s="81"/>
      <c r="Y580" s="81"/>
      <c r="Z580" s="105"/>
      <c r="AA580" s="81"/>
      <c r="AB580" s="81"/>
      <c r="AC580" s="81"/>
      <c r="AD580" s="81"/>
    </row>
    <row r="581" spans="1:30" ht="24" customHeight="1" x14ac:dyDescent="0.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105"/>
      <c r="M581" s="81"/>
      <c r="N581" s="105"/>
      <c r="O581" s="81"/>
      <c r="P581" s="105"/>
      <c r="Q581" s="81"/>
      <c r="R581" s="105"/>
      <c r="S581" s="81"/>
      <c r="T581" s="105"/>
      <c r="U581" s="81"/>
      <c r="V581" s="105"/>
      <c r="W581" s="81"/>
      <c r="X581" s="81"/>
      <c r="Y581" s="81"/>
      <c r="Z581" s="105"/>
      <c r="AA581" s="81"/>
      <c r="AB581" s="81"/>
      <c r="AC581" s="81"/>
      <c r="AD581" s="81"/>
    </row>
    <row r="582" spans="1:30" ht="24" customHeight="1" x14ac:dyDescent="0.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105"/>
      <c r="M582" s="81"/>
      <c r="N582" s="105"/>
      <c r="O582" s="81"/>
      <c r="P582" s="105"/>
      <c r="Q582" s="81"/>
      <c r="R582" s="105"/>
      <c r="S582" s="81"/>
      <c r="T582" s="105"/>
      <c r="U582" s="81"/>
      <c r="V582" s="105"/>
      <c r="W582" s="81"/>
      <c r="X582" s="81"/>
      <c r="Y582" s="81"/>
      <c r="Z582" s="105"/>
      <c r="AA582" s="81"/>
      <c r="AB582" s="81"/>
      <c r="AC582" s="81"/>
      <c r="AD582" s="81"/>
    </row>
    <row r="583" spans="1:30" ht="24" customHeight="1" x14ac:dyDescent="0.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105"/>
      <c r="M583" s="81"/>
      <c r="N583" s="105"/>
      <c r="O583" s="81"/>
      <c r="P583" s="105"/>
      <c r="Q583" s="81"/>
      <c r="R583" s="105"/>
      <c r="S583" s="81"/>
      <c r="T583" s="105"/>
      <c r="U583" s="81"/>
      <c r="V583" s="105"/>
      <c r="W583" s="81"/>
      <c r="X583" s="81"/>
      <c r="Y583" s="81"/>
      <c r="Z583" s="105"/>
      <c r="AA583" s="81"/>
      <c r="AB583" s="81"/>
      <c r="AC583" s="81"/>
      <c r="AD583" s="81"/>
    </row>
    <row r="584" spans="1:30" ht="24" customHeight="1" x14ac:dyDescent="0.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105"/>
      <c r="M584" s="81"/>
      <c r="N584" s="105"/>
      <c r="O584" s="81"/>
      <c r="P584" s="105"/>
      <c r="Q584" s="81"/>
      <c r="R584" s="105"/>
      <c r="S584" s="81"/>
      <c r="T584" s="105"/>
      <c r="U584" s="81"/>
      <c r="V584" s="105"/>
      <c r="W584" s="81"/>
      <c r="X584" s="81"/>
      <c r="Y584" s="81"/>
      <c r="Z584" s="105"/>
      <c r="AA584" s="81"/>
      <c r="AB584" s="81"/>
      <c r="AC584" s="81"/>
      <c r="AD584" s="81"/>
    </row>
    <row r="585" spans="1:30" ht="24" customHeight="1" x14ac:dyDescent="0.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105"/>
      <c r="M585" s="81"/>
      <c r="N585" s="105"/>
      <c r="O585" s="81"/>
      <c r="P585" s="105"/>
      <c r="Q585" s="81"/>
      <c r="R585" s="105"/>
      <c r="S585" s="81"/>
      <c r="T585" s="105"/>
      <c r="U585" s="81"/>
      <c r="V585" s="105"/>
      <c r="W585" s="81"/>
      <c r="X585" s="81"/>
      <c r="Y585" s="81"/>
      <c r="Z585" s="105"/>
      <c r="AA585" s="81"/>
      <c r="AB585" s="81"/>
      <c r="AC585" s="81"/>
      <c r="AD585" s="81"/>
    </row>
    <row r="586" spans="1:30" ht="24" customHeight="1" x14ac:dyDescent="0.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105"/>
      <c r="M586" s="81"/>
      <c r="N586" s="105"/>
      <c r="O586" s="81"/>
      <c r="P586" s="105"/>
      <c r="Q586" s="81"/>
      <c r="R586" s="105"/>
      <c r="S586" s="81"/>
      <c r="T586" s="105"/>
      <c r="U586" s="81"/>
      <c r="V586" s="105"/>
      <c r="W586" s="81"/>
      <c r="X586" s="81"/>
      <c r="Y586" s="81"/>
      <c r="Z586" s="105"/>
      <c r="AA586" s="81"/>
      <c r="AB586" s="81"/>
      <c r="AC586" s="81"/>
      <c r="AD586" s="81"/>
    </row>
    <row r="587" spans="1:30" ht="24" customHeight="1" x14ac:dyDescent="0.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105"/>
      <c r="M587" s="81"/>
      <c r="N587" s="105"/>
      <c r="O587" s="81"/>
      <c r="P587" s="105"/>
      <c r="Q587" s="81"/>
      <c r="R587" s="105"/>
      <c r="S587" s="81"/>
      <c r="T587" s="105"/>
      <c r="U587" s="81"/>
      <c r="V587" s="105"/>
      <c r="W587" s="81"/>
      <c r="X587" s="81"/>
      <c r="Y587" s="81"/>
      <c r="Z587" s="105"/>
      <c r="AA587" s="81"/>
      <c r="AB587" s="81"/>
      <c r="AC587" s="81"/>
      <c r="AD587" s="81"/>
    </row>
    <row r="588" spans="1:30" ht="24" customHeight="1" x14ac:dyDescent="0.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105"/>
      <c r="M588" s="81"/>
      <c r="N588" s="105"/>
      <c r="O588" s="81"/>
      <c r="P588" s="105"/>
      <c r="Q588" s="81"/>
      <c r="R588" s="105"/>
      <c r="S588" s="81"/>
      <c r="T588" s="105"/>
      <c r="U588" s="81"/>
      <c r="V588" s="105"/>
      <c r="W588" s="81"/>
      <c r="X588" s="81"/>
      <c r="Y588" s="81"/>
      <c r="Z588" s="105"/>
      <c r="AA588" s="81"/>
      <c r="AB588" s="81"/>
      <c r="AC588" s="81"/>
      <c r="AD588" s="81"/>
    </row>
    <row r="589" spans="1:30" ht="24" customHeight="1" x14ac:dyDescent="0.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105"/>
      <c r="M589" s="81"/>
      <c r="N589" s="105"/>
      <c r="O589" s="81"/>
      <c r="P589" s="105"/>
      <c r="Q589" s="81"/>
      <c r="R589" s="105"/>
      <c r="S589" s="81"/>
      <c r="T589" s="105"/>
      <c r="U589" s="81"/>
      <c r="V589" s="105"/>
      <c r="W589" s="81"/>
      <c r="X589" s="81"/>
      <c r="Y589" s="81"/>
      <c r="Z589" s="105"/>
      <c r="AA589" s="81"/>
      <c r="AB589" s="81"/>
      <c r="AC589" s="81"/>
      <c r="AD589" s="81"/>
    </row>
    <row r="590" spans="1:30" ht="24" customHeight="1" x14ac:dyDescent="0.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105"/>
      <c r="M590" s="81"/>
      <c r="N590" s="105"/>
      <c r="O590" s="81"/>
      <c r="P590" s="105"/>
      <c r="Q590" s="81"/>
      <c r="R590" s="105"/>
      <c r="S590" s="81"/>
      <c r="T590" s="105"/>
      <c r="U590" s="81"/>
      <c r="V590" s="105"/>
      <c r="W590" s="81"/>
      <c r="X590" s="81"/>
      <c r="Y590" s="81"/>
      <c r="Z590" s="105"/>
      <c r="AA590" s="81"/>
      <c r="AB590" s="81"/>
      <c r="AC590" s="81"/>
      <c r="AD590" s="81"/>
    </row>
    <row r="591" spans="1:30" ht="24" customHeight="1" x14ac:dyDescent="0.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105"/>
      <c r="M591" s="81"/>
      <c r="N591" s="105"/>
      <c r="O591" s="81"/>
      <c r="P591" s="105"/>
      <c r="Q591" s="81"/>
      <c r="R591" s="105"/>
      <c r="S591" s="81"/>
      <c r="T591" s="105"/>
      <c r="U591" s="81"/>
      <c r="V591" s="105"/>
      <c r="W591" s="81"/>
      <c r="X591" s="81"/>
      <c r="Y591" s="81"/>
      <c r="Z591" s="105"/>
      <c r="AA591" s="81"/>
      <c r="AB591" s="81"/>
      <c r="AC591" s="81"/>
      <c r="AD591" s="81"/>
    </row>
    <row r="592" spans="1:30" ht="24" customHeight="1" x14ac:dyDescent="0.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105"/>
      <c r="M592" s="81"/>
      <c r="N592" s="105"/>
      <c r="O592" s="81"/>
      <c r="P592" s="105"/>
      <c r="Q592" s="81"/>
      <c r="R592" s="105"/>
      <c r="S592" s="81"/>
      <c r="T592" s="105"/>
      <c r="U592" s="81"/>
      <c r="V592" s="105"/>
      <c r="W592" s="81"/>
      <c r="X592" s="81"/>
      <c r="Y592" s="81"/>
      <c r="Z592" s="105"/>
      <c r="AA592" s="81"/>
      <c r="AB592" s="81"/>
      <c r="AC592" s="81"/>
      <c r="AD592" s="81"/>
    </row>
    <row r="593" spans="1:30" ht="24" customHeight="1" x14ac:dyDescent="0.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105"/>
      <c r="M593" s="81"/>
      <c r="N593" s="105"/>
      <c r="O593" s="81"/>
      <c r="P593" s="105"/>
      <c r="Q593" s="81"/>
      <c r="R593" s="105"/>
      <c r="S593" s="81"/>
      <c r="T593" s="105"/>
      <c r="U593" s="81"/>
      <c r="V593" s="105"/>
      <c r="W593" s="81"/>
      <c r="X593" s="81"/>
      <c r="Y593" s="81"/>
      <c r="Z593" s="105"/>
      <c r="AA593" s="81"/>
      <c r="AB593" s="81"/>
      <c r="AC593" s="81"/>
      <c r="AD593" s="81"/>
    </row>
    <row r="594" spans="1:30" ht="24" customHeight="1" x14ac:dyDescent="0.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105"/>
      <c r="M594" s="81"/>
      <c r="N594" s="105"/>
      <c r="O594" s="81"/>
      <c r="P594" s="105"/>
      <c r="Q594" s="81"/>
      <c r="R594" s="105"/>
      <c r="S594" s="81"/>
      <c r="T594" s="105"/>
      <c r="U594" s="81"/>
      <c r="V594" s="105"/>
      <c r="W594" s="81"/>
      <c r="X594" s="81"/>
      <c r="Y594" s="81"/>
      <c r="Z594" s="105"/>
      <c r="AA594" s="81"/>
      <c r="AB594" s="81"/>
      <c r="AC594" s="81"/>
      <c r="AD594" s="81"/>
    </row>
    <row r="595" spans="1:30" ht="24" customHeight="1" x14ac:dyDescent="0.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105"/>
      <c r="M595" s="81"/>
      <c r="N595" s="105"/>
      <c r="O595" s="81"/>
      <c r="P595" s="105"/>
      <c r="Q595" s="81"/>
      <c r="R595" s="105"/>
      <c r="S595" s="81"/>
      <c r="T595" s="105"/>
      <c r="U595" s="81"/>
      <c r="V595" s="105"/>
      <c r="W595" s="81"/>
      <c r="X595" s="81"/>
      <c r="Y595" s="81"/>
      <c r="Z595" s="105"/>
      <c r="AA595" s="81"/>
      <c r="AB595" s="81"/>
      <c r="AC595" s="81"/>
      <c r="AD595" s="81"/>
    </row>
    <row r="596" spans="1:30" ht="24" customHeight="1" x14ac:dyDescent="0.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105"/>
      <c r="M596" s="81"/>
      <c r="N596" s="105"/>
      <c r="O596" s="81"/>
      <c r="P596" s="105"/>
      <c r="Q596" s="81"/>
      <c r="R596" s="105"/>
      <c r="S596" s="81"/>
      <c r="T596" s="105"/>
      <c r="U596" s="81"/>
      <c r="V596" s="105"/>
      <c r="W596" s="81"/>
      <c r="X596" s="81"/>
      <c r="Y596" s="81"/>
      <c r="Z596" s="105"/>
      <c r="AA596" s="81"/>
      <c r="AB596" s="81"/>
      <c r="AC596" s="81"/>
      <c r="AD596" s="81"/>
    </row>
    <row r="597" spans="1:30" ht="24" customHeight="1" x14ac:dyDescent="0.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105"/>
      <c r="M597" s="81"/>
      <c r="N597" s="105"/>
      <c r="O597" s="81"/>
      <c r="P597" s="105"/>
      <c r="Q597" s="81"/>
      <c r="R597" s="105"/>
      <c r="S597" s="81"/>
      <c r="T597" s="105"/>
      <c r="U597" s="81"/>
      <c r="V597" s="105"/>
      <c r="W597" s="81"/>
      <c r="X597" s="81"/>
      <c r="Y597" s="81"/>
      <c r="Z597" s="105"/>
      <c r="AA597" s="81"/>
      <c r="AB597" s="81"/>
      <c r="AC597" s="81"/>
      <c r="AD597" s="81"/>
    </row>
    <row r="598" spans="1:30" ht="24" customHeight="1" x14ac:dyDescent="0.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105"/>
      <c r="M598" s="81"/>
      <c r="N598" s="105"/>
      <c r="O598" s="81"/>
      <c r="P598" s="105"/>
      <c r="Q598" s="81"/>
      <c r="R598" s="105"/>
      <c r="S598" s="81"/>
      <c r="T598" s="105"/>
      <c r="U598" s="81"/>
      <c r="V598" s="105"/>
      <c r="W598" s="81"/>
      <c r="X598" s="81"/>
      <c r="Y598" s="81"/>
      <c r="Z598" s="105"/>
      <c r="AA598" s="81"/>
      <c r="AB598" s="81"/>
      <c r="AC598" s="81"/>
      <c r="AD598" s="81"/>
    </row>
    <row r="599" spans="1:30" ht="24" customHeight="1" x14ac:dyDescent="0.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105"/>
      <c r="M599" s="81"/>
      <c r="N599" s="105"/>
      <c r="O599" s="81"/>
      <c r="P599" s="105"/>
      <c r="Q599" s="81"/>
      <c r="R599" s="105"/>
      <c r="S599" s="81"/>
      <c r="T599" s="105"/>
      <c r="U599" s="81"/>
      <c r="V599" s="105"/>
      <c r="W599" s="81"/>
      <c r="X599" s="81"/>
      <c r="Y599" s="81"/>
      <c r="Z599" s="105"/>
      <c r="AA599" s="81"/>
      <c r="AB599" s="81"/>
      <c r="AC599" s="81"/>
      <c r="AD599" s="81"/>
    </row>
    <row r="600" spans="1:30" ht="24" customHeight="1" x14ac:dyDescent="0.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105"/>
      <c r="M600" s="81"/>
      <c r="N600" s="105"/>
      <c r="O600" s="81"/>
      <c r="P600" s="105"/>
      <c r="Q600" s="81"/>
      <c r="R600" s="105"/>
      <c r="S600" s="81"/>
      <c r="T600" s="105"/>
      <c r="U600" s="81"/>
      <c r="V600" s="105"/>
      <c r="W600" s="81"/>
      <c r="X600" s="81"/>
      <c r="Y600" s="81"/>
      <c r="Z600" s="105"/>
      <c r="AA600" s="81"/>
      <c r="AB600" s="81"/>
      <c r="AC600" s="81"/>
      <c r="AD600" s="81"/>
    </row>
    <row r="601" spans="1:30" ht="24" customHeight="1" x14ac:dyDescent="0.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105"/>
      <c r="M601" s="81"/>
      <c r="N601" s="105"/>
      <c r="O601" s="81"/>
      <c r="P601" s="105"/>
      <c r="Q601" s="81"/>
      <c r="R601" s="105"/>
      <c r="S601" s="81"/>
      <c r="T601" s="105"/>
      <c r="U601" s="81"/>
      <c r="V601" s="105"/>
      <c r="W601" s="81"/>
      <c r="X601" s="81"/>
      <c r="Y601" s="81"/>
      <c r="Z601" s="105"/>
      <c r="AA601" s="81"/>
      <c r="AB601" s="81"/>
      <c r="AC601" s="81"/>
      <c r="AD601" s="81"/>
    </row>
    <row r="602" spans="1:30" ht="24" customHeight="1" x14ac:dyDescent="0.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105"/>
      <c r="M602" s="81"/>
      <c r="N602" s="105"/>
      <c r="O602" s="81"/>
      <c r="P602" s="105"/>
      <c r="Q602" s="81"/>
      <c r="R602" s="105"/>
      <c r="S602" s="81"/>
      <c r="T602" s="105"/>
      <c r="U602" s="81"/>
      <c r="V602" s="105"/>
      <c r="W602" s="81"/>
      <c r="X602" s="81"/>
      <c r="Y602" s="81"/>
      <c r="Z602" s="105"/>
      <c r="AA602" s="81"/>
      <c r="AB602" s="81"/>
      <c r="AC602" s="81"/>
      <c r="AD602" s="81"/>
    </row>
    <row r="603" spans="1:30" ht="24" customHeight="1" x14ac:dyDescent="0.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105"/>
      <c r="M603" s="81"/>
      <c r="N603" s="105"/>
      <c r="O603" s="81"/>
      <c r="P603" s="105"/>
      <c r="Q603" s="81"/>
      <c r="R603" s="105"/>
      <c r="S603" s="81"/>
      <c r="T603" s="105"/>
      <c r="U603" s="81"/>
      <c r="V603" s="105"/>
      <c r="W603" s="81"/>
      <c r="X603" s="81"/>
      <c r="Y603" s="81"/>
      <c r="Z603" s="105"/>
      <c r="AA603" s="81"/>
      <c r="AB603" s="81"/>
      <c r="AC603" s="81"/>
      <c r="AD603" s="81"/>
    </row>
    <row r="604" spans="1:30" ht="24" customHeight="1" x14ac:dyDescent="0.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105"/>
      <c r="M604" s="81"/>
      <c r="N604" s="105"/>
      <c r="O604" s="81"/>
      <c r="P604" s="105"/>
      <c r="Q604" s="81"/>
      <c r="R604" s="105"/>
      <c r="S604" s="81"/>
      <c r="T604" s="105"/>
      <c r="U604" s="81"/>
      <c r="V604" s="105"/>
      <c r="W604" s="81"/>
      <c r="X604" s="81"/>
      <c r="Y604" s="81"/>
      <c r="Z604" s="105"/>
      <c r="AA604" s="81"/>
      <c r="AB604" s="81"/>
      <c r="AC604" s="81"/>
      <c r="AD604" s="81"/>
    </row>
    <row r="605" spans="1:30" ht="24" customHeight="1" x14ac:dyDescent="0.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105"/>
      <c r="M605" s="81"/>
      <c r="N605" s="105"/>
      <c r="O605" s="81"/>
      <c r="P605" s="105"/>
      <c r="Q605" s="81"/>
      <c r="R605" s="105"/>
      <c r="S605" s="81"/>
      <c r="T605" s="105"/>
      <c r="U605" s="81"/>
      <c r="V605" s="105"/>
      <c r="W605" s="81"/>
      <c r="X605" s="81"/>
      <c r="Y605" s="81"/>
      <c r="Z605" s="105"/>
      <c r="AA605" s="81"/>
      <c r="AB605" s="81"/>
      <c r="AC605" s="81"/>
      <c r="AD605" s="81"/>
    </row>
    <row r="606" spans="1:30" ht="24" customHeight="1" x14ac:dyDescent="0.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105"/>
      <c r="M606" s="81"/>
      <c r="N606" s="105"/>
      <c r="O606" s="81"/>
      <c r="P606" s="105"/>
      <c r="Q606" s="81"/>
      <c r="R606" s="105"/>
      <c r="S606" s="81"/>
      <c r="T606" s="105"/>
      <c r="U606" s="81"/>
      <c r="V606" s="105"/>
      <c r="W606" s="81"/>
      <c r="X606" s="81"/>
      <c r="Y606" s="81"/>
      <c r="Z606" s="105"/>
      <c r="AA606" s="81"/>
      <c r="AB606" s="81"/>
      <c r="AC606" s="81"/>
      <c r="AD606" s="81"/>
    </row>
    <row r="607" spans="1:30" ht="24" customHeight="1" x14ac:dyDescent="0.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105"/>
      <c r="M607" s="81"/>
      <c r="N607" s="105"/>
      <c r="O607" s="81"/>
      <c r="P607" s="105"/>
      <c r="Q607" s="81"/>
      <c r="R607" s="105"/>
      <c r="S607" s="81"/>
      <c r="T607" s="105"/>
      <c r="U607" s="81"/>
      <c r="V607" s="105"/>
      <c r="W607" s="81"/>
      <c r="X607" s="81"/>
      <c r="Y607" s="81"/>
      <c r="Z607" s="105"/>
      <c r="AA607" s="81"/>
      <c r="AB607" s="81"/>
      <c r="AC607" s="81"/>
      <c r="AD607" s="81"/>
    </row>
    <row r="608" spans="1:30" ht="24" customHeight="1" x14ac:dyDescent="0.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105"/>
      <c r="M608" s="81"/>
      <c r="N608" s="105"/>
      <c r="O608" s="81"/>
      <c r="P608" s="105"/>
      <c r="Q608" s="81"/>
      <c r="R608" s="105"/>
      <c r="S608" s="81"/>
      <c r="T608" s="105"/>
      <c r="U608" s="81"/>
      <c r="V608" s="105"/>
      <c r="W608" s="81"/>
      <c r="X608" s="81"/>
      <c r="Y608" s="81"/>
      <c r="Z608" s="105"/>
      <c r="AA608" s="81"/>
      <c r="AB608" s="81"/>
      <c r="AC608" s="81"/>
      <c r="AD608" s="81"/>
    </row>
    <row r="609" spans="1:30" ht="24" customHeight="1" x14ac:dyDescent="0.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105"/>
      <c r="M609" s="81"/>
      <c r="N609" s="105"/>
      <c r="O609" s="81"/>
      <c r="P609" s="105"/>
      <c r="Q609" s="81"/>
      <c r="R609" s="105"/>
      <c r="S609" s="81"/>
      <c r="T609" s="105"/>
      <c r="U609" s="81"/>
      <c r="V609" s="105"/>
      <c r="W609" s="81"/>
      <c r="X609" s="81"/>
      <c r="Y609" s="81"/>
      <c r="Z609" s="105"/>
      <c r="AA609" s="81"/>
      <c r="AB609" s="81"/>
      <c r="AC609" s="81"/>
      <c r="AD609" s="81"/>
    </row>
    <row r="610" spans="1:30" ht="24" customHeight="1" x14ac:dyDescent="0.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105"/>
      <c r="M610" s="81"/>
      <c r="N610" s="105"/>
      <c r="O610" s="81"/>
      <c r="P610" s="105"/>
      <c r="Q610" s="81"/>
      <c r="R610" s="105"/>
      <c r="S610" s="81"/>
      <c r="T610" s="105"/>
      <c r="U610" s="81"/>
      <c r="V610" s="105"/>
      <c r="W610" s="81"/>
      <c r="X610" s="81"/>
      <c r="Y610" s="81"/>
      <c r="Z610" s="105"/>
      <c r="AA610" s="81"/>
      <c r="AB610" s="81"/>
      <c r="AC610" s="81"/>
      <c r="AD610" s="81"/>
    </row>
    <row r="611" spans="1:30" ht="24" customHeight="1" x14ac:dyDescent="0.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105"/>
      <c r="M611" s="81"/>
      <c r="N611" s="105"/>
      <c r="O611" s="81"/>
      <c r="P611" s="105"/>
      <c r="Q611" s="81"/>
      <c r="R611" s="105"/>
      <c r="S611" s="81"/>
      <c r="T611" s="105"/>
      <c r="U611" s="81"/>
      <c r="V611" s="105"/>
      <c r="W611" s="81"/>
      <c r="X611" s="81"/>
      <c r="Y611" s="81"/>
      <c r="Z611" s="105"/>
      <c r="AA611" s="81"/>
      <c r="AB611" s="81"/>
      <c r="AC611" s="81"/>
      <c r="AD611" s="81"/>
    </row>
    <row r="612" spans="1:30" ht="24" customHeight="1" x14ac:dyDescent="0.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105"/>
      <c r="M612" s="81"/>
      <c r="N612" s="105"/>
      <c r="O612" s="81"/>
      <c r="P612" s="105"/>
      <c r="Q612" s="81"/>
      <c r="R612" s="105"/>
      <c r="S612" s="81"/>
      <c r="T612" s="105"/>
      <c r="U612" s="81"/>
      <c r="V612" s="105"/>
      <c r="W612" s="81"/>
      <c r="X612" s="81"/>
      <c r="Y612" s="81"/>
      <c r="Z612" s="105"/>
      <c r="AA612" s="81"/>
      <c r="AB612" s="81"/>
      <c r="AC612" s="81"/>
      <c r="AD612" s="81"/>
    </row>
    <row r="613" spans="1:30" ht="24" customHeight="1" x14ac:dyDescent="0.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105"/>
      <c r="M613" s="81"/>
      <c r="N613" s="105"/>
      <c r="O613" s="81"/>
      <c r="P613" s="105"/>
      <c r="Q613" s="81"/>
      <c r="R613" s="105"/>
      <c r="S613" s="81"/>
      <c r="T613" s="105"/>
      <c r="U613" s="81"/>
      <c r="V613" s="105"/>
      <c r="W613" s="81"/>
      <c r="X613" s="81"/>
      <c r="Y613" s="81"/>
      <c r="Z613" s="105"/>
      <c r="AA613" s="81"/>
      <c r="AB613" s="81"/>
      <c r="AC613" s="81"/>
      <c r="AD613" s="81"/>
    </row>
    <row r="614" spans="1:30" ht="24" customHeight="1" x14ac:dyDescent="0.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105"/>
      <c r="M614" s="81"/>
      <c r="N614" s="105"/>
      <c r="O614" s="81"/>
      <c r="P614" s="105"/>
      <c r="Q614" s="81"/>
      <c r="R614" s="105"/>
      <c r="S614" s="81"/>
      <c r="T614" s="105"/>
      <c r="U614" s="81"/>
      <c r="V614" s="105"/>
      <c r="W614" s="81"/>
      <c r="X614" s="81"/>
      <c r="Y614" s="81"/>
      <c r="Z614" s="105"/>
      <c r="AA614" s="81"/>
      <c r="AB614" s="81"/>
      <c r="AC614" s="81"/>
      <c r="AD614" s="81"/>
    </row>
    <row r="615" spans="1:30" ht="24" customHeight="1" x14ac:dyDescent="0.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105"/>
      <c r="M615" s="81"/>
      <c r="N615" s="105"/>
      <c r="O615" s="81"/>
      <c r="P615" s="105"/>
      <c r="Q615" s="81"/>
      <c r="R615" s="105"/>
      <c r="S615" s="81"/>
      <c r="T615" s="105"/>
      <c r="U615" s="81"/>
      <c r="V615" s="105"/>
      <c r="W615" s="81"/>
      <c r="X615" s="81"/>
      <c r="Y615" s="81"/>
      <c r="Z615" s="105"/>
      <c r="AA615" s="81"/>
      <c r="AB615" s="81"/>
      <c r="AC615" s="81"/>
      <c r="AD615" s="81"/>
    </row>
    <row r="616" spans="1:30" ht="24" customHeight="1" x14ac:dyDescent="0.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105"/>
      <c r="M616" s="81"/>
      <c r="N616" s="105"/>
      <c r="O616" s="81"/>
      <c r="P616" s="105"/>
      <c r="Q616" s="81"/>
      <c r="R616" s="105"/>
      <c r="S616" s="81"/>
      <c r="T616" s="105"/>
      <c r="U616" s="81"/>
      <c r="V616" s="105"/>
      <c r="W616" s="81"/>
      <c r="X616" s="81"/>
      <c r="Y616" s="81"/>
      <c r="Z616" s="105"/>
      <c r="AA616" s="81"/>
      <c r="AB616" s="81"/>
      <c r="AC616" s="81"/>
      <c r="AD616" s="81"/>
    </row>
    <row r="617" spans="1:30" ht="24" customHeight="1" x14ac:dyDescent="0.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105"/>
      <c r="M617" s="81"/>
      <c r="N617" s="105"/>
      <c r="O617" s="81"/>
      <c r="P617" s="105"/>
      <c r="Q617" s="81"/>
      <c r="R617" s="105"/>
      <c r="S617" s="81"/>
      <c r="T617" s="105"/>
      <c r="U617" s="81"/>
      <c r="V617" s="105"/>
      <c r="W617" s="81"/>
      <c r="X617" s="81"/>
      <c r="Y617" s="81"/>
      <c r="Z617" s="105"/>
      <c r="AA617" s="81"/>
      <c r="AB617" s="81"/>
      <c r="AC617" s="81"/>
      <c r="AD617" s="81"/>
    </row>
    <row r="618" spans="1:30" ht="24" customHeight="1" x14ac:dyDescent="0.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105"/>
      <c r="M618" s="81"/>
      <c r="N618" s="105"/>
      <c r="O618" s="81"/>
      <c r="P618" s="105"/>
      <c r="Q618" s="81"/>
      <c r="R618" s="105"/>
      <c r="S618" s="81"/>
      <c r="T618" s="105"/>
      <c r="U618" s="81"/>
      <c r="V618" s="105"/>
      <c r="W618" s="81"/>
      <c r="X618" s="81"/>
      <c r="Y618" s="81"/>
      <c r="Z618" s="105"/>
      <c r="AA618" s="81"/>
      <c r="AB618" s="81"/>
      <c r="AC618" s="81"/>
      <c r="AD618" s="81"/>
    </row>
    <row r="619" spans="1:30" ht="24" customHeight="1" x14ac:dyDescent="0.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105"/>
      <c r="M619" s="81"/>
      <c r="N619" s="105"/>
      <c r="O619" s="81"/>
      <c r="P619" s="105"/>
      <c r="Q619" s="81"/>
      <c r="R619" s="105"/>
      <c r="S619" s="81"/>
      <c r="T619" s="105"/>
      <c r="U619" s="81"/>
      <c r="V619" s="105"/>
      <c r="W619" s="81"/>
      <c r="X619" s="81"/>
      <c r="Y619" s="81"/>
      <c r="Z619" s="105"/>
      <c r="AA619" s="81"/>
      <c r="AB619" s="81"/>
      <c r="AC619" s="81"/>
      <c r="AD619" s="81"/>
    </row>
    <row r="620" spans="1:30" ht="24" customHeight="1" x14ac:dyDescent="0.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105"/>
      <c r="M620" s="81"/>
      <c r="N620" s="105"/>
      <c r="O620" s="81"/>
      <c r="P620" s="105"/>
      <c r="Q620" s="81"/>
      <c r="R620" s="105"/>
      <c r="S620" s="81"/>
      <c r="T620" s="105"/>
      <c r="U620" s="81"/>
      <c r="V620" s="105"/>
      <c r="W620" s="81"/>
      <c r="X620" s="81"/>
      <c r="Y620" s="81"/>
      <c r="Z620" s="105"/>
      <c r="AA620" s="81"/>
      <c r="AB620" s="81"/>
      <c r="AC620" s="81"/>
      <c r="AD620" s="81"/>
    </row>
    <row r="621" spans="1:30" ht="24" customHeight="1" x14ac:dyDescent="0.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105"/>
      <c r="M621" s="81"/>
      <c r="N621" s="105"/>
      <c r="O621" s="81"/>
      <c r="P621" s="105"/>
      <c r="Q621" s="81"/>
      <c r="R621" s="105"/>
      <c r="S621" s="81"/>
      <c r="T621" s="105"/>
      <c r="U621" s="81"/>
      <c r="V621" s="105"/>
      <c r="W621" s="81"/>
      <c r="X621" s="81"/>
      <c r="Y621" s="81"/>
      <c r="Z621" s="105"/>
      <c r="AA621" s="81"/>
      <c r="AB621" s="81"/>
      <c r="AC621" s="81"/>
      <c r="AD621" s="81"/>
    </row>
    <row r="622" spans="1:30" ht="24" customHeight="1" x14ac:dyDescent="0.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105"/>
      <c r="M622" s="81"/>
      <c r="N622" s="105"/>
      <c r="O622" s="81"/>
      <c r="P622" s="105"/>
      <c r="Q622" s="81"/>
      <c r="R622" s="105"/>
      <c r="S622" s="81"/>
      <c r="T622" s="105"/>
      <c r="U622" s="81"/>
      <c r="V622" s="105"/>
      <c r="W622" s="81"/>
      <c r="X622" s="81"/>
      <c r="Y622" s="81"/>
      <c r="Z622" s="105"/>
      <c r="AA622" s="81"/>
      <c r="AB622" s="81"/>
      <c r="AC622" s="81"/>
      <c r="AD622" s="81"/>
    </row>
    <row r="623" spans="1:30" ht="24" customHeight="1" x14ac:dyDescent="0.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105"/>
      <c r="M623" s="81"/>
      <c r="N623" s="105"/>
      <c r="O623" s="81"/>
      <c r="P623" s="105"/>
      <c r="Q623" s="81"/>
      <c r="R623" s="105"/>
      <c r="S623" s="81"/>
      <c r="T623" s="105"/>
      <c r="U623" s="81"/>
      <c r="V623" s="105"/>
      <c r="W623" s="81"/>
      <c r="X623" s="81"/>
      <c r="Y623" s="81"/>
      <c r="Z623" s="105"/>
      <c r="AA623" s="81"/>
      <c r="AB623" s="81"/>
      <c r="AC623" s="81"/>
      <c r="AD623" s="81"/>
    </row>
    <row r="624" spans="1:30" ht="24" customHeight="1" x14ac:dyDescent="0.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105"/>
      <c r="M624" s="81"/>
      <c r="N624" s="105"/>
      <c r="O624" s="81"/>
      <c r="P624" s="105"/>
      <c r="Q624" s="81"/>
      <c r="R624" s="105"/>
      <c r="S624" s="81"/>
      <c r="T624" s="105"/>
      <c r="U624" s="81"/>
      <c r="V624" s="105"/>
      <c r="W624" s="81"/>
      <c r="X624" s="81"/>
      <c r="Y624" s="81"/>
      <c r="Z624" s="105"/>
      <c r="AA624" s="81"/>
      <c r="AB624" s="81"/>
      <c r="AC624" s="81"/>
      <c r="AD624" s="81"/>
    </row>
    <row r="625" spans="1:30" ht="24" customHeight="1" x14ac:dyDescent="0.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105"/>
      <c r="M625" s="81"/>
      <c r="N625" s="105"/>
      <c r="O625" s="81"/>
      <c r="P625" s="105"/>
      <c r="Q625" s="81"/>
      <c r="R625" s="105"/>
      <c r="S625" s="81"/>
      <c r="T625" s="105"/>
      <c r="U625" s="81"/>
      <c r="V625" s="105"/>
      <c r="W625" s="81"/>
      <c r="X625" s="81"/>
      <c r="Y625" s="81"/>
      <c r="Z625" s="105"/>
      <c r="AA625" s="81"/>
      <c r="AB625" s="81"/>
      <c r="AC625" s="81"/>
      <c r="AD625" s="81"/>
    </row>
    <row r="626" spans="1:30" ht="24" customHeight="1" x14ac:dyDescent="0.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105"/>
      <c r="M626" s="81"/>
      <c r="N626" s="105"/>
      <c r="O626" s="81"/>
      <c r="P626" s="105"/>
      <c r="Q626" s="81"/>
      <c r="R626" s="105"/>
      <c r="S626" s="81"/>
      <c r="T626" s="105"/>
      <c r="U626" s="81"/>
      <c r="V626" s="105"/>
      <c r="W626" s="81"/>
      <c r="X626" s="81"/>
      <c r="Y626" s="81"/>
      <c r="Z626" s="105"/>
      <c r="AA626" s="81"/>
      <c r="AB626" s="81"/>
      <c r="AC626" s="81"/>
      <c r="AD626" s="81"/>
    </row>
    <row r="627" spans="1:30" ht="24" customHeight="1" x14ac:dyDescent="0.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105"/>
      <c r="M627" s="81"/>
      <c r="N627" s="105"/>
      <c r="O627" s="81"/>
      <c r="P627" s="105"/>
      <c r="Q627" s="81"/>
      <c r="R627" s="105"/>
      <c r="S627" s="81"/>
      <c r="T627" s="105"/>
      <c r="U627" s="81"/>
      <c r="V627" s="105"/>
      <c r="W627" s="81"/>
      <c r="X627" s="81"/>
      <c r="Y627" s="81"/>
      <c r="Z627" s="105"/>
      <c r="AA627" s="81"/>
      <c r="AB627" s="81"/>
      <c r="AC627" s="81"/>
      <c r="AD627" s="81"/>
    </row>
    <row r="628" spans="1:30" ht="24" customHeight="1" x14ac:dyDescent="0.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105"/>
      <c r="M628" s="81"/>
      <c r="N628" s="105"/>
      <c r="O628" s="81"/>
      <c r="P628" s="105"/>
      <c r="Q628" s="81"/>
      <c r="R628" s="105"/>
      <c r="S628" s="81"/>
      <c r="T628" s="105"/>
      <c r="U628" s="81"/>
      <c r="V628" s="105"/>
      <c r="W628" s="81"/>
      <c r="X628" s="81"/>
      <c r="Y628" s="81"/>
      <c r="Z628" s="105"/>
      <c r="AA628" s="81"/>
      <c r="AB628" s="81"/>
      <c r="AC628" s="81"/>
      <c r="AD628" s="81"/>
    </row>
    <row r="629" spans="1:30" ht="24" customHeight="1" x14ac:dyDescent="0.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105"/>
      <c r="M629" s="81"/>
      <c r="N629" s="105"/>
      <c r="O629" s="81"/>
      <c r="P629" s="105"/>
      <c r="Q629" s="81"/>
      <c r="R629" s="105"/>
      <c r="S629" s="81"/>
      <c r="T629" s="105"/>
      <c r="U629" s="81"/>
      <c r="V629" s="105"/>
      <c r="W629" s="81"/>
      <c r="X629" s="81"/>
      <c r="Y629" s="81"/>
      <c r="Z629" s="105"/>
      <c r="AA629" s="81"/>
      <c r="AB629" s="81"/>
      <c r="AC629" s="81"/>
      <c r="AD629" s="81"/>
    </row>
    <row r="630" spans="1:30" ht="24" customHeight="1" x14ac:dyDescent="0.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105"/>
      <c r="M630" s="81"/>
      <c r="N630" s="105"/>
      <c r="O630" s="81"/>
      <c r="P630" s="105"/>
      <c r="Q630" s="81"/>
      <c r="R630" s="105"/>
      <c r="S630" s="81"/>
      <c r="T630" s="105"/>
      <c r="U630" s="81"/>
      <c r="V630" s="105"/>
      <c r="W630" s="81"/>
      <c r="X630" s="81"/>
      <c r="Y630" s="81"/>
      <c r="Z630" s="105"/>
      <c r="AA630" s="81"/>
      <c r="AB630" s="81"/>
      <c r="AC630" s="81"/>
      <c r="AD630" s="81"/>
    </row>
    <row r="631" spans="1:30" ht="24" customHeight="1" x14ac:dyDescent="0.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105"/>
      <c r="M631" s="81"/>
      <c r="N631" s="105"/>
      <c r="O631" s="81"/>
      <c r="P631" s="105"/>
      <c r="Q631" s="81"/>
      <c r="R631" s="105"/>
      <c r="S631" s="81"/>
      <c r="T631" s="105"/>
      <c r="U631" s="81"/>
      <c r="V631" s="105"/>
      <c r="W631" s="81"/>
      <c r="X631" s="81"/>
      <c r="Y631" s="81"/>
      <c r="Z631" s="105"/>
      <c r="AA631" s="81"/>
      <c r="AB631" s="81"/>
      <c r="AC631" s="81"/>
      <c r="AD631" s="81"/>
    </row>
    <row r="632" spans="1:30" ht="24" customHeight="1" x14ac:dyDescent="0.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105"/>
      <c r="M632" s="81"/>
      <c r="N632" s="105"/>
      <c r="O632" s="81"/>
      <c r="P632" s="105"/>
      <c r="Q632" s="81"/>
      <c r="R632" s="105"/>
      <c r="S632" s="81"/>
      <c r="T632" s="105"/>
      <c r="U632" s="81"/>
      <c r="V632" s="105"/>
      <c r="W632" s="81"/>
      <c r="X632" s="81"/>
      <c r="Y632" s="81"/>
      <c r="Z632" s="105"/>
      <c r="AA632" s="81"/>
      <c r="AB632" s="81"/>
      <c r="AC632" s="81"/>
      <c r="AD632" s="81"/>
    </row>
    <row r="633" spans="1:30" ht="24" customHeight="1" x14ac:dyDescent="0.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105"/>
      <c r="M633" s="81"/>
      <c r="N633" s="105"/>
      <c r="O633" s="81"/>
      <c r="P633" s="105"/>
      <c r="Q633" s="81"/>
      <c r="R633" s="105"/>
      <c r="S633" s="81"/>
      <c r="T633" s="105"/>
      <c r="U633" s="81"/>
      <c r="V633" s="105"/>
      <c r="W633" s="81"/>
      <c r="X633" s="81"/>
      <c r="Y633" s="81"/>
      <c r="Z633" s="105"/>
      <c r="AA633" s="81"/>
      <c r="AB633" s="81"/>
      <c r="AC633" s="81"/>
      <c r="AD633" s="81"/>
    </row>
    <row r="634" spans="1:30" ht="24" customHeight="1" x14ac:dyDescent="0.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105"/>
      <c r="M634" s="81"/>
      <c r="N634" s="105"/>
      <c r="O634" s="81"/>
      <c r="P634" s="105"/>
      <c r="Q634" s="81"/>
      <c r="R634" s="105"/>
      <c r="S634" s="81"/>
      <c r="T634" s="105"/>
      <c r="U634" s="81"/>
      <c r="V634" s="105"/>
      <c r="W634" s="81"/>
      <c r="X634" s="81"/>
      <c r="Y634" s="81"/>
      <c r="Z634" s="105"/>
      <c r="AA634" s="81"/>
      <c r="AB634" s="81"/>
      <c r="AC634" s="81"/>
      <c r="AD634" s="81"/>
    </row>
    <row r="635" spans="1:30" ht="24" customHeight="1" x14ac:dyDescent="0.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105"/>
      <c r="M635" s="81"/>
      <c r="N635" s="105"/>
      <c r="O635" s="81"/>
      <c r="P635" s="105"/>
      <c r="Q635" s="81"/>
      <c r="R635" s="105"/>
      <c r="S635" s="81"/>
      <c r="T635" s="105"/>
      <c r="U635" s="81"/>
      <c r="V635" s="105"/>
      <c r="W635" s="81"/>
      <c r="X635" s="81"/>
      <c r="Y635" s="81"/>
      <c r="Z635" s="105"/>
      <c r="AA635" s="81"/>
      <c r="AB635" s="81"/>
      <c r="AC635" s="81"/>
      <c r="AD635" s="81"/>
    </row>
    <row r="636" spans="1:30" ht="24" customHeight="1" x14ac:dyDescent="0.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105"/>
      <c r="M636" s="81"/>
      <c r="N636" s="105"/>
      <c r="O636" s="81"/>
      <c r="P636" s="105"/>
      <c r="Q636" s="81"/>
      <c r="R636" s="105"/>
      <c r="S636" s="81"/>
      <c r="T636" s="105"/>
      <c r="U636" s="81"/>
      <c r="V636" s="105"/>
      <c r="W636" s="81"/>
      <c r="X636" s="81"/>
      <c r="Y636" s="81"/>
      <c r="Z636" s="105"/>
      <c r="AA636" s="81"/>
      <c r="AB636" s="81"/>
      <c r="AC636" s="81"/>
      <c r="AD636" s="81"/>
    </row>
    <row r="637" spans="1:30" ht="24" customHeight="1" x14ac:dyDescent="0.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105"/>
      <c r="M637" s="81"/>
      <c r="N637" s="105"/>
      <c r="O637" s="81"/>
      <c r="P637" s="105"/>
      <c r="Q637" s="81"/>
      <c r="R637" s="105"/>
      <c r="S637" s="81"/>
      <c r="T637" s="105"/>
      <c r="U637" s="81"/>
      <c r="V637" s="105"/>
      <c r="W637" s="81"/>
      <c r="X637" s="81"/>
      <c r="Y637" s="81"/>
      <c r="Z637" s="105"/>
      <c r="AA637" s="81"/>
      <c r="AB637" s="81"/>
      <c r="AC637" s="81"/>
      <c r="AD637" s="81"/>
    </row>
    <row r="638" spans="1:30" ht="24" customHeight="1" x14ac:dyDescent="0.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105"/>
      <c r="M638" s="81"/>
      <c r="N638" s="105"/>
      <c r="O638" s="81"/>
      <c r="P638" s="105"/>
      <c r="Q638" s="81"/>
      <c r="R638" s="105"/>
      <c r="S638" s="81"/>
      <c r="T638" s="105"/>
      <c r="U638" s="81"/>
      <c r="V638" s="105"/>
      <c r="W638" s="81"/>
      <c r="X638" s="81"/>
      <c r="Y638" s="81"/>
      <c r="Z638" s="105"/>
      <c r="AA638" s="81"/>
      <c r="AB638" s="81"/>
      <c r="AC638" s="81"/>
      <c r="AD638" s="81"/>
    </row>
    <row r="639" spans="1:30" ht="24" customHeight="1" x14ac:dyDescent="0.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105"/>
      <c r="M639" s="81"/>
      <c r="N639" s="105"/>
      <c r="O639" s="81"/>
      <c r="P639" s="105"/>
      <c r="Q639" s="81"/>
      <c r="R639" s="105"/>
      <c r="S639" s="81"/>
      <c r="T639" s="105"/>
      <c r="U639" s="81"/>
      <c r="V639" s="105"/>
      <c r="W639" s="81"/>
      <c r="X639" s="81"/>
      <c r="Y639" s="81"/>
      <c r="Z639" s="105"/>
      <c r="AA639" s="81"/>
      <c r="AB639" s="81"/>
      <c r="AC639" s="81"/>
      <c r="AD639" s="81"/>
    </row>
    <row r="640" spans="1:30" ht="24" customHeight="1" x14ac:dyDescent="0.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105"/>
      <c r="M640" s="81"/>
      <c r="N640" s="105"/>
      <c r="O640" s="81"/>
      <c r="P640" s="105"/>
      <c r="Q640" s="81"/>
      <c r="R640" s="105"/>
      <c r="S640" s="81"/>
      <c r="T640" s="105"/>
      <c r="U640" s="81"/>
      <c r="V640" s="105"/>
      <c r="W640" s="81"/>
      <c r="X640" s="81"/>
      <c r="Y640" s="81"/>
      <c r="Z640" s="105"/>
      <c r="AA640" s="81"/>
      <c r="AB640" s="81"/>
      <c r="AC640" s="81"/>
      <c r="AD640" s="81"/>
    </row>
    <row r="641" spans="1:30" ht="24" customHeight="1" x14ac:dyDescent="0.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105"/>
      <c r="M641" s="81"/>
      <c r="N641" s="105"/>
      <c r="O641" s="81"/>
      <c r="P641" s="105"/>
      <c r="Q641" s="81"/>
      <c r="R641" s="105"/>
      <c r="S641" s="81"/>
      <c r="T641" s="105"/>
      <c r="U641" s="81"/>
      <c r="V641" s="105"/>
      <c r="W641" s="81"/>
      <c r="X641" s="81"/>
      <c r="Y641" s="81"/>
      <c r="Z641" s="105"/>
      <c r="AA641" s="81"/>
      <c r="AB641" s="81"/>
      <c r="AC641" s="81"/>
      <c r="AD641" s="81"/>
    </row>
    <row r="642" spans="1:30" ht="24" customHeight="1" x14ac:dyDescent="0.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105"/>
      <c r="M642" s="81"/>
      <c r="N642" s="105"/>
      <c r="O642" s="81"/>
      <c r="P642" s="105"/>
      <c r="Q642" s="81"/>
      <c r="R642" s="105"/>
      <c r="S642" s="81"/>
      <c r="T642" s="105"/>
      <c r="U642" s="81"/>
      <c r="V642" s="105"/>
      <c r="W642" s="81"/>
      <c r="X642" s="81"/>
      <c r="Y642" s="81"/>
      <c r="Z642" s="105"/>
      <c r="AA642" s="81"/>
      <c r="AB642" s="81"/>
      <c r="AC642" s="81"/>
      <c r="AD642" s="81"/>
    </row>
    <row r="643" spans="1:30" ht="24" customHeight="1" x14ac:dyDescent="0.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105"/>
      <c r="M643" s="81"/>
      <c r="N643" s="105"/>
      <c r="O643" s="81"/>
      <c r="P643" s="105"/>
      <c r="Q643" s="81"/>
      <c r="R643" s="105"/>
      <c r="S643" s="81"/>
      <c r="T643" s="105"/>
      <c r="U643" s="81"/>
      <c r="V643" s="105"/>
      <c r="W643" s="81"/>
      <c r="X643" s="81"/>
      <c r="Y643" s="81"/>
      <c r="Z643" s="105"/>
      <c r="AA643" s="81"/>
      <c r="AB643" s="81"/>
      <c r="AC643" s="81"/>
      <c r="AD643" s="81"/>
    </row>
    <row r="644" spans="1:30" ht="24" customHeight="1" x14ac:dyDescent="0.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105"/>
      <c r="M644" s="81"/>
      <c r="N644" s="105"/>
      <c r="O644" s="81"/>
      <c r="P644" s="105"/>
      <c r="Q644" s="81"/>
      <c r="R644" s="105"/>
      <c r="S644" s="81"/>
      <c r="T644" s="105"/>
      <c r="U644" s="81"/>
      <c r="V644" s="105"/>
      <c r="W644" s="81"/>
      <c r="X644" s="81"/>
      <c r="Y644" s="81"/>
      <c r="Z644" s="105"/>
      <c r="AA644" s="81"/>
      <c r="AB644" s="81"/>
      <c r="AC644" s="81"/>
      <c r="AD644" s="81"/>
    </row>
    <row r="645" spans="1:30" ht="24" customHeight="1" x14ac:dyDescent="0.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105"/>
      <c r="M645" s="81"/>
      <c r="N645" s="105"/>
      <c r="O645" s="81"/>
      <c r="P645" s="105"/>
      <c r="Q645" s="81"/>
      <c r="R645" s="105"/>
      <c r="S645" s="81"/>
      <c r="T645" s="105"/>
      <c r="U645" s="81"/>
      <c r="V645" s="105"/>
      <c r="W645" s="81"/>
      <c r="X645" s="81"/>
      <c r="Y645" s="81"/>
      <c r="Z645" s="105"/>
      <c r="AA645" s="81"/>
      <c r="AB645" s="81"/>
      <c r="AC645" s="81"/>
      <c r="AD645" s="81"/>
    </row>
    <row r="646" spans="1:30" ht="24" customHeight="1" x14ac:dyDescent="0.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105"/>
      <c r="M646" s="81"/>
      <c r="N646" s="105"/>
      <c r="O646" s="81"/>
      <c r="P646" s="105"/>
      <c r="Q646" s="81"/>
      <c r="R646" s="105"/>
      <c r="S646" s="81"/>
      <c r="T646" s="105"/>
      <c r="U646" s="81"/>
      <c r="V646" s="105"/>
      <c r="W646" s="81"/>
      <c r="X646" s="81"/>
      <c r="Y646" s="81"/>
      <c r="Z646" s="105"/>
      <c r="AA646" s="81"/>
      <c r="AB646" s="81"/>
      <c r="AC646" s="81"/>
      <c r="AD646" s="81"/>
    </row>
    <row r="647" spans="1:30" ht="24" customHeight="1" x14ac:dyDescent="0.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105"/>
      <c r="M647" s="81"/>
      <c r="N647" s="105"/>
      <c r="O647" s="81"/>
      <c r="P647" s="105"/>
      <c r="Q647" s="81"/>
      <c r="R647" s="105"/>
      <c r="S647" s="81"/>
      <c r="T647" s="105"/>
      <c r="U647" s="81"/>
      <c r="V647" s="105"/>
      <c r="W647" s="81"/>
      <c r="X647" s="81"/>
      <c r="Y647" s="81"/>
      <c r="Z647" s="105"/>
      <c r="AA647" s="81"/>
      <c r="AB647" s="81"/>
      <c r="AC647" s="81"/>
      <c r="AD647" s="81"/>
    </row>
    <row r="648" spans="1:30" ht="24" customHeight="1" x14ac:dyDescent="0.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105"/>
      <c r="M648" s="81"/>
      <c r="N648" s="105"/>
      <c r="O648" s="81"/>
      <c r="P648" s="105"/>
      <c r="Q648" s="81"/>
      <c r="R648" s="105"/>
      <c r="S648" s="81"/>
      <c r="T648" s="105"/>
      <c r="U648" s="81"/>
      <c r="V648" s="105"/>
      <c r="W648" s="81"/>
      <c r="X648" s="81"/>
      <c r="Y648" s="81"/>
      <c r="Z648" s="105"/>
      <c r="AA648" s="81"/>
      <c r="AB648" s="81"/>
      <c r="AC648" s="81"/>
      <c r="AD648" s="81"/>
    </row>
    <row r="649" spans="1:30" ht="24" customHeight="1" x14ac:dyDescent="0.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105"/>
      <c r="M649" s="81"/>
      <c r="N649" s="105"/>
      <c r="O649" s="81"/>
      <c r="P649" s="105"/>
      <c r="Q649" s="81"/>
      <c r="R649" s="105"/>
      <c r="S649" s="81"/>
      <c r="T649" s="105"/>
      <c r="U649" s="81"/>
      <c r="V649" s="105"/>
      <c r="W649" s="81"/>
      <c r="X649" s="81"/>
      <c r="Y649" s="81"/>
      <c r="Z649" s="105"/>
      <c r="AA649" s="81"/>
      <c r="AB649" s="81"/>
      <c r="AC649" s="81"/>
      <c r="AD649" s="81"/>
    </row>
    <row r="650" spans="1:30" ht="24" customHeight="1" x14ac:dyDescent="0.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105"/>
      <c r="M650" s="81"/>
      <c r="N650" s="105"/>
      <c r="O650" s="81"/>
      <c r="P650" s="105"/>
      <c r="Q650" s="81"/>
      <c r="R650" s="105"/>
      <c r="S650" s="81"/>
      <c r="T650" s="105"/>
      <c r="U650" s="81"/>
      <c r="V650" s="105"/>
      <c r="W650" s="81"/>
      <c r="X650" s="81"/>
      <c r="Y650" s="81"/>
      <c r="Z650" s="105"/>
      <c r="AA650" s="81"/>
      <c r="AB650" s="81"/>
      <c r="AC650" s="81"/>
      <c r="AD650" s="81"/>
    </row>
    <row r="651" spans="1:30" ht="24" customHeight="1" x14ac:dyDescent="0.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105"/>
      <c r="M651" s="81"/>
      <c r="N651" s="105"/>
      <c r="O651" s="81"/>
      <c r="P651" s="105"/>
      <c r="Q651" s="81"/>
      <c r="R651" s="105"/>
      <c r="S651" s="81"/>
      <c r="T651" s="105"/>
      <c r="U651" s="81"/>
      <c r="V651" s="105"/>
      <c r="W651" s="81"/>
      <c r="X651" s="81"/>
      <c r="Y651" s="81"/>
      <c r="Z651" s="105"/>
      <c r="AA651" s="81"/>
      <c r="AB651" s="81"/>
      <c r="AC651" s="81"/>
      <c r="AD651" s="81"/>
    </row>
    <row r="652" spans="1:30" ht="24" customHeight="1" x14ac:dyDescent="0.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105"/>
      <c r="M652" s="81"/>
      <c r="N652" s="105"/>
      <c r="O652" s="81"/>
      <c r="P652" s="105"/>
      <c r="Q652" s="81"/>
      <c r="R652" s="105"/>
      <c r="S652" s="81"/>
      <c r="T652" s="105"/>
      <c r="U652" s="81"/>
      <c r="V652" s="105"/>
      <c r="W652" s="81"/>
      <c r="X652" s="81"/>
      <c r="Y652" s="81"/>
      <c r="Z652" s="105"/>
      <c r="AA652" s="81"/>
      <c r="AB652" s="81"/>
      <c r="AC652" s="81"/>
      <c r="AD652" s="81"/>
    </row>
    <row r="653" spans="1:30" ht="24" customHeight="1" x14ac:dyDescent="0.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105"/>
      <c r="M653" s="81"/>
      <c r="N653" s="105"/>
      <c r="O653" s="81"/>
      <c r="P653" s="105"/>
      <c r="Q653" s="81"/>
      <c r="R653" s="105"/>
      <c r="S653" s="81"/>
      <c r="T653" s="105"/>
      <c r="U653" s="81"/>
      <c r="V653" s="105"/>
      <c r="W653" s="81"/>
      <c r="X653" s="81"/>
      <c r="Y653" s="81"/>
      <c r="Z653" s="105"/>
      <c r="AA653" s="81"/>
      <c r="AB653" s="81"/>
      <c r="AC653" s="81"/>
      <c r="AD653" s="81"/>
    </row>
    <row r="654" spans="1:30" ht="24" customHeight="1" x14ac:dyDescent="0.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105"/>
      <c r="M654" s="81"/>
      <c r="N654" s="105"/>
      <c r="O654" s="81"/>
      <c r="P654" s="105"/>
      <c r="Q654" s="81"/>
      <c r="R654" s="105"/>
      <c r="S654" s="81"/>
      <c r="T654" s="105"/>
      <c r="U654" s="81"/>
      <c r="V654" s="105"/>
      <c r="W654" s="81"/>
      <c r="X654" s="81"/>
      <c r="Y654" s="81"/>
      <c r="Z654" s="105"/>
      <c r="AA654" s="81"/>
      <c r="AB654" s="81"/>
      <c r="AC654" s="81"/>
      <c r="AD654" s="81"/>
    </row>
    <row r="655" spans="1:30" ht="24" customHeight="1" x14ac:dyDescent="0.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105"/>
      <c r="M655" s="81"/>
      <c r="N655" s="105"/>
      <c r="O655" s="81"/>
      <c r="P655" s="105"/>
      <c r="Q655" s="81"/>
      <c r="R655" s="105"/>
      <c r="S655" s="81"/>
      <c r="T655" s="105"/>
      <c r="U655" s="81"/>
      <c r="V655" s="105"/>
      <c r="W655" s="81"/>
      <c r="X655" s="81"/>
      <c r="Y655" s="81"/>
      <c r="Z655" s="105"/>
      <c r="AA655" s="81"/>
      <c r="AB655" s="81"/>
      <c r="AC655" s="81"/>
      <c r="AD655" s="81"/>
    </row>
    <row r="656" spans="1:30" ht="24" customHeight="1" x14ac:dyDescent="0.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105"/>
      <c r="M656" s="81"/>
      <c r="N656" s="105"/>
      <c r="O656" s="81"/>
      <c r="P656" s="105"/>
      <c r="Q656" s="81"/>
      <c r="R656" s="105"/>
      <c r="S656" s="81"/>
      <c r="T656" s="105"/>
      <c r="U656" s="81"/>
      <c r="V656" s="105"/>
      <c r="W656" s="81"/>
      <c r="X656" s="81"/>
      <c r="Y656" s="81"/>
      <c r="Z656" s="105"/>
      <c r="AA656" s="81"/>
      <c r="AB656" s="81"/>
      <c r="AC656" s="81"/>
      <c r="AD656" s="81"/>
    </row>
    <row r="657" spans="1:30" ht="24" customHeight="1" x14ac:dyDescent="0.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105"/>
      <c r="M657" s="81"/>
      <c r="N657" s="105"/>
      <c r="O657" s="81"/>
      <c r="P657" s="105"/>
      <c r="Q657" s="81"/>
      <c r="R657" s="105"/>
      <c r="S657" s="81"/>
      <c r="T657" s="105"/>
      <c r="U657" s="81"/>
      <c r="V657" s="105"/>
      <c r="W657" s="81"/>
      <c r="X657" s="81"/>
      <c r="Y657" s="81"/>
      <c r="Z657" s="105"/>
      <c r="AA657" s="81"/>
      <c r="AB657" s="81"/>
      <c r="AC657" s="81"/>
      <c r="AD657" s="81"/>
    </row>
    <row r="658" spans="1:30" ht="24" customHeight="1" x14ac:dyDescent="0.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105"/>
      <c r="M658" s="81"/>
      <c r="N658" s="105"/>
      <c r="O658" s="81"/>
      <c r="P658" s="105"/>
      <c r="Q658" s="81"/>
      <c r="R658" s="105"/>
      <c r="S658" s="81"/>
      <c r="T658" s="105"/>
      <c r="U658" s="81"/>
      <c r="V658" s="105"/>
      <c r="W658" s="81"/>
      <c r="X658" s="81"/>
      <c r="Y658" s="81"/>
      <c r="Z658" s="105"/>
      <c r="AA658" s="81"/>
      <c r="AB658" s="81"/>
      <c r="AC658" s="81"/>
      <c r="AD658" s="81"/>
    </row>
    <row r="659" spans="1:30" ht="24" customHeight="1" x14ac:dyDescent="0.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105"/>
      <c r="M659" s="81"/>
      <c r="N659" s="105"/>
      <c r="O659" s="81"/>
      <c r="P659" s="105"/>
      <c r="Q659" s="81"/>
      <c r="R659" s="105"/>
      <c r="S659" s="81"/>
      <c r="T659" s="105"/>
      <c r="U659" s="81"/>
      <c r="V659" s="105"/>
      <c r="W659" s="81"/>
      <c r="X659" s="81"/>
      <c r="Y659" s="81"/>
      <c r="Z659" s="105"/>
      <c r="AA659" s="81"/>
      <c r="AB659" s="81"/>
      <c r="AC659" s="81"/>
      <c r="AD659" s="81"/>
    </row>
    <row r="660" spans="1:30" ht="24" customHeight="1" x14ac:dyDescent="0.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105"/>
      <c r="M660" s="81"/>
      <c r="N660" s="105"/>
      <c r="O660" s="81"/>
      <c r="P660" s="105"/>
      <c r="Q660" s="81"/>
      <c r="R660" s="105"/>
      <c r="S660" s="81"/>
      <c r="T660" s="105"/>
      <c r="U660" s="81"/>
      <c r="V660" s="105"/>
      <c r="W660" s="81"/>
      <c r="X660" s="81"/>
      <c r="Y660" s="81"/>
      <c r="Z660" s="105"/>
      <c r="AA660" s="81"/>
      <c r="AB660" s="81"/>
      <c r="AC660" s="81"/>
      <c r="AD660" s="81"/>
    </row>
    <row r="661" spans="1:30" ht="24" customHeight="1" x14ac:dyDescent="0.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105"/>
      <c r="M661" s="81"/>
      <c r="N661" s="105"/>
      <c r="O661" s="81"/>
      <c r="P661" s="105"/>
      <c r="Q661" s="81"/>
      <c r="R661" s="105"/>
      <c r="S661" s="81"/>
      <c r="T661" s="105"/>
      <c r="U661" s="81"/>
      <c r="V661" s="105"/>
      <c r="W661" s="81"/>
      <c r="X661" s="81"/>
      <c r="Y661" s="81"/>
      <c r="Z661" s="105"/>
      <c r="AA661" s="81"/>
      <c r="AB661" s="81"/>
      <c r="AC661" s="81"/>
      <c r="AD661" s="81"/>
    </row>
    <row r="662" spans="1:30" ht="24" customHeight="1" x14ac:dyDescent="0.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105"/>
      <c r="M662" s="81"/>
      <c r="N662" s="105"/>
      <c r="O662" s="81"/>
      <c r="P662" s="105"/>
      <c r="Q662" s="81"/>
      <c r="R662" s="105"/>
      <c r="S662" s="81"/>
      <c r="T662" s="105"/>
      <c r="U662" s="81"/>
      <c r="V662" s="105"/>
      <c r="W662" s="81"/>
      <c r="X662" s="81"/>
      <c r="Y662" s="81"/>
      <c r="Z662" s="105"/>
      <c r="AA662" s="81"/>
      <c r="AB662" s="81"/>
      <c r="AC662" s="81"/>
      <c r="AD662" s="81"/>
    </row>
    <row r="663" spans="1:30" ht="24" customHeight="1" x14ac:dyDescent="0.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105"/>
      <c r="M663" s="81"/>
      <c r="N663" s="105"/>
      <c r="O663" s="81"/>
      <c r="P663" s="105"/>
      <c r="Q663" s="81"/>
      <c r="R663" s="105"/>
      <c r="S663" s="81"/>
      <c r="T663" s="105"/>
      <c r="U663" s="81"/>
      <c r="V663" s="105"/>
      <c r="W663" s="81"/>
      <c r="X663" s="81"/>
      <c r="Y663" s="81"/>
      <c r="Z663" s="105"/>
      <c r="AA663" s="81"/>
      <c r="AB663" s="81"/>
      <c r="AC663" s="81"/>
      <c r="AD663" s="81"/>
    </row>
    <row r="664" spans="1:30" ht="24" customHeight="1" x14ac:dyDescent="0.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105"/>
      <c r="M664" s="81"/>
      <c r="N664" s="105"/>
      <c r="O664" s="81"/>
      <c r="P664" s="105"/>
      <c r="Q664" s="81"/>
      <c r="R664" s="105"/>
      <c r="S664" s="81"/>
      <c r="T664" s="105"/>
      <c r="U664" s="81"/>
      <c r="V664" s="105"/>
      <c r="W664" s="81"/>
      <c r="X664" s="81"/>
      <c r="Y664" s="81"/>
      <c r="Z664" s="105"/>
      <c r="AA664" s="81"/>
      <c r="AB664" s="81"/>
      <c r="AC664" s="81"/>
      <c r="AD664" s="81"/>
    </row>
    <row r="665" spans="1:30" ht="24" customHeight="1" x14ac:dyDescent="0.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105"/>
      <c r="M665" s="81"/>
      <c r="N665" s="105"/>
      <c r="O665" s="81"/>
      <c r="P665" s="105"/>
      <c r="Q665" s="81"/>
      <c r="R665" s="105"/>
      <c r="S665" s="81"/>
      <c r="T665" s="105"/>
      <c r="U665" s="81"/>
      <c r="V665" s="105"/>
      <c r="W665" s="81"/>
      <c r="X665" s="81"/>
      <c r="Y665" s="81"/>
      <c r="Z665" s="105"/>
      <c r="AA665" s="81"/>
      <c r="AB665" s="81"/>
      <c r="AC665" s="81"/>
      <c r="AD665" s="81"/>
    </row>
    <row r="666" spans="1:30" ht="24" customHeight="1" x14ac:dyDescent="0.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105"/>
      <c r="M666" s="81"/>
      <c r="N666" s="105"/>
      <c r="O666" s="81"/>
      <c r="P666" s="105"/>
      <c r="Q666" s="81"/>
      <c r="R666" s="105"/>
      <c r="S666" s="81"/>
      <c r="T666" s="105"/>
      <c r="U666" s="81"/>
      <c r="V666" s="105"/>
      <c r="W666" s="81"/>
      <c r="X666" s="81"/>
      <c r="Y666" s="81"/>
      <c r="Z666" s="105"/>
      <c r="AA666" s="81"/>
      <c r="AB666" s="81"/>
      <c r="AC666" s="81"/>
      <c r="AD666" s="81"/>
    </row>
    <row r="667" spans="1:30" ht="24" customHeight="1" x14ac:dyDescent="0.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105"/>
      <c r="M667" s="81"/>
      <c r="N667" s="105"/>
      <c r="O667" s="81"/>
      <c r="P667" s="105"/>
      <c r="Q667" s="81"/>
      <c r="R667" s="105"/>
      <c r="S667" s="81"/>
      <c r="T667" s="105"/>
      <c r="U667" s="81"/>
      <c r="V667" s="105"/>
      <c r="W667" s="81"/>
      <c r="X667" s="81"/>
      <c r="Y667" s="81"/>
      <c r="Z667" s="105"/>
      <c r="AA667" s="81"/>
      <c r="AB667" s="81"/>
      <c r="AC667" s="81"/>
      <c r="AD667" s="81"/>
    </row>
    <row r="668" spans="1:30" ht="24" customHeight="1" x14ac:dyDescent="0.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105"/>
      <c r="M668" s="81"/>
      <c r="N668" s="105"/>
      <c r="O668" s="81"/>
      <c r="P668" s="105"/>
      <c r="Q668" s="81"/>
      <c r="R668" s="105"/>
      <c r="S668" s="81"/>
      <c r="T668" s="105"/>
      <c r="U668" s="81"/>
      <c r="V668" s="105"/>
      <c r="W668" s="81"/>
      <c r="X668" s="81"/>
      <c r="Y668" s="81"/>
      <c r="Z668" s="105"/>
      <c r="AA668" s="81"/>
      <c r="AB668" s="81"/>
      <c r="AC668" s="81"/>
      <c r="AD668" s="81"/>
    </row>
    <row r="669" spans="1:30" ht="24" customHeight="1" x14ac:dyDescent="0.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105"/>
      <c r="M669" s="81"/>
      <c r="N669" s="105"/>
      <c r="O669" s="81"/>
      <c r="P669" s="105"/>
      <c r="Q669" s="81"/>
      <c r="R669" s="105"/>
      <c r="S669" s="81"/>
      <c r="T669" s="105"/>
      <c r="U669" s="81"/>
      <c r="V669" s="105"/>
      <c r="W669" s="81"/>
      <c r="X669" s="81"/>
      <c r="Y669" s="81"/>
      <c r="Z669" s="105"/>
      <c r="AA669" s="81"/>
      <c r="AB669" s="81"/>
      <c r="AC669" s="81"/>
      <c r="AD669" s="81"/>
    </row>
    <row r="670" spans="1:30" ht="24" customHeight="1" x14ac:dyDescent="0.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105"/>
      <c r="M670" s="81"/>
      <c r="N670" s="105"/>
      <c r="O670" s="81"/>
      <c r="P670" s="105"/>
      <c r="Q670" s="81"/>
      <c r="R670" s="105"/>
      <c r="S670" s="81"/>
      <c r="T670" s="105"/>
      <c r="U670" s="81"/>
      <c r="V670" s="105"/>
      <c r="W670" s="81"/>
      <c r="X670" s="81"/>
      <c r="Y670" s="81"/>
      <c r="Z670" s="105"/>
      <c r="AA670" s="81"/>
      <c r="AB670" s="81"/>
      <c r="AC670" s="81"/>
      <c r="AD670" s="81"/>
    </row>
    <row r="671" spans="1:30" ht="24" customHeight="1" x14ac:dyDescent="0.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105"/>
      <c r="M671" s="81"/>
      <c r="N671" s="105"/>
      <c r="O671" s="81"/>
      <c r="P671" s="105"/>
      <c r="Q671" s="81"/>
      <c r="R671" s="105"/>
      <c r="S671" s="81"/>
      <c r="T671" s="105"/>
      <c r="U671" s="81"/>
      <c r="V671" s="105"/>
      <c r="W671" s="81"/>
      <c r="X671" s="81"/>
      <c r="Y671" s="81"/>
      <c r="Z671" s="105"/>
      <c r="AA671" s="81"/>
      <c r="AB671" s="81"/>
      <c r="AC671" s="81"/>
      <c r="AD671" s="81"/>
    </row>
    <row r="672" spans="1:30" ht="24" customHeight="1" x14ac:dyDescent="0.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105"/>
      <c r="M672" s="81"/>
      <c r="N672" s="105"/>
      <c r="O672" s="81"/>
      <c r="P672" s="105"/>
      <c r="Q672" s="81"/>
      <c r="R672" s="105"/>
      <c r="S672" s="81"/>
      <c r="T672" s="105"/>
      <c r="U672" s="81"/>
      <c r="V672" s="105"/>
      <c r="W672" s="81"/>
      <c r="X672" s="81"/>
      <c r="Y672" s="81"/>
      <c r="Z672" s="105"/>
      <c r="AA672" s="81"/>
      <c r="AB672" s="81"/>
      <c r="AC672" s="81"/>
      <c r="AD672" s="81"/>
    </row>
    <row r="673" spans="1:30" ht="24" customHeight="1" x14ac:dyDescent="0.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105"/>
      <c r="M673" s="81"/>
      <c r="N673" s="105"/>
      <c r="O673" s="81"/>
      <c r="P673" s="105"/>
      <c r="Q673" s="81"/>
      <c r="R673" s="105"/>
      <c r="S673" s="81"/>
      <c r="T673" s="105"/>
      <c r="U673" s="81"/>
      <c r="V673" s="105"/>
      <c r="W673" s="81"/>
      <c r="X673" s="81"/>
      <c r="Y673" s="81"/>
      <c r="Z673" s="105"/>
      <c r="AA673" s="81"/>
      <c r="AB673" s="81"/>
      <c r="AC673" s="81"/>
      <c r="AD673" s="81"/>
    </row>
    <row r="674" spans="1:30" ht="24" customHeight="1" x14ac:dyDescent="0.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105"/>
      <c r="M674" s="81"/>
      <c r="N674" s="105"/>
      <c r="O674" s="81"/>
      <c r="P674" s="105"/>
      <c r="Q674" s="81"/>
      <c r="R674" s="105"/>
      <c r="S674" s="81"/>
      <c r="T674" s="105"/>
      <c r="U674" s="81"/>
      <c r="V674" s="105"/>
      <c r="W674" s="81"/>
      <c r="X674" s="81"/>
      <c r="Y674" s="81"/>
      <c r="Z674" s="105"/>
      <c r="AA674" s="81"/>
      <c r="AB674" s="81"/>
      <c r="AC674" s="81"/>
      <c r="AD674" s="81"/>
    </row>
    <row r="675" spans="1:30" ht="24" customHeight="1" x14ac:dyDescent="0.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105"/>
      <c r="M675" s="81"/>
      <c r="N675" s="105"/>
      <c r="O675" s="81"/>
      <c r="P675" s="105"/>
      <c r="Q675" s="81"/>
      <c r="R675" s="105"/>
      <c r="S675" s="81"/>
      <c r="T675" s="105"/>
      <c r="U675" s="81"/>
      <c r="V675" s="105"/>
      <c r="W675" s="81"/>
      <c r="X675" s="81"/>
      <c r="Y675" s="81"/>
      <c r="Z675" s="105"/>
      <c r="AA675" s="81"/>
      <c r="AB675" s="81"/>
      <c r="AC675" s="81"/>
      <c r="AD675" s="81"/>
    </row>
    <row r="676" spans="1:30" ht="24" customHeight="1" x14ac:dyDescent="0.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105"/>
      <c r="M676" s="81"/>
      <c r="N676" s="105"/>
      <c r="O676" s="81"/>
      <c r="P676" s="105"/>
      <c r="Q676" s="81"/>
      <c r="R676" s="105"/>
      <c r="S676" s="81"/>
      <c r="T676" s="105"/>
      <c r="U676" s="81"/>
      <c r="V676" s="105"/>
      <c r="W676" s="81"/>
      <c r="X676" s="81"/>
      <c r="Y676" s="81"/>
      <c r="Z676" s="105"/>
      <c r="AA676" s="81"/>
      <c r="AB676" s="81"/>
      <c r="AC676" s="81"/>
      <c r="AD676" s="81"/>
    </row>
    <row r="677" spans="1:30" ht="24" customHeight="1" x14ac:dyDescent="0.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105"/>
      <c r="M677" s="81"/>
      <c r="N677" s="105"/>
      <c r="O677" s="81"/>
      <c r="P677" s="105"/>
      <c r="Q677" s="81"/>
      <c r="R677" s="105"/>
      <c r="S677" s="81"/>
      <c r="T677" s="105"/>
      <c r="U677" s="81"/>
      <c r="V677" s="105"/>
      <c r="W677" s="81"/>
      <c r="X677" s="81"/>
      <c r="Y677" s="81"/>
      <c r="Z677" s="105"/>
      <c r="AA677" s="81"/>
      <c r="AB677" s="81"/>
      <c r="AC677" s="81"/>
      <c r="AD677" s="81"/>
    </row>
    <row r="678" spans="1:30" ht="24" customHeight="1" x14ac:dyDescent="0.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105"/>
      <c r="M678" s="81"/>
      <c r="N678" s="105"/>
      <c r="O678" s="81"/>
      <c r="P678" s="105"/>
      <c r="Q678" s="81"/>
      <c r="R678" s="105"/>
      <c r="S678" s="81"/>
      <c r="T678" s="105"/>
      <c r="U678" s="81"/>
      <c r="V678" s="105"/>
      <c r="W678" s="81"/>
      <c r="X678" s="81"/>
      <c r="Y678" s="81"/>
      <c r="Z678" s="105"/>
      <c r="AA678" s="81"/>
      <c r="AB678" s="81"/>
      <c r="AC678" s="81"/>
      <c r="AD678" s="81"/>
    </row>
    <row r="679" spans="1:30" ht="24" customHeight="1" x14ac:dyDescent="0.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105"/>
      <c r="M679" s="81"/>
      <c r="N679" s="105"/>
      <c r="O679" s="81"/>
      <c r="P679" s="105"/>
      <c r="Q679" s="81"/>
      <c r="R679" s="105"/>
      <c r="S679" s="81"/>
      <c r="T679" s="105"/>
      <c r="U679" s="81"/>
      <c r="V679" s="105"/>
      <c r="W679" s="81"/>
      <c r="X679" s="81"/>
      <c r="Y679" s="81"/>
      <c r="Z679" s="105"/>
      <c r="AA679" s="81"/>
      <c r="AB679" s="81"/>
      <c r="AC679" s="81"/>
      <c r="AD679" s="81"/>
    </row>
    <row r="680" spans="1:30" ht="24" customHeight="1" x14ac:dyDescent="0.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105"/>
      <c r="M680" s="81"/>
      <c r="N680" s="105"/>
      <c r="O680" s="81"/>
      <c r="P680" s="105"/>
      <c r="Q680" s="81"/>
      <c r="R680" s="105"/>
      <c r="S680" s="81"/>
      <c r="T680" s="105"/>
      <c r="U680" s="81"/>
      <c r="V680" s="105"/>
      <c r="W680" s="81"/>
      <c r="X680" s="81"/>
      <c r="Y680" s="81"/>
      <c r="Z680" s="105"/>
      <c r="AA680" s="81"/>
      <c r="AB680" s="81"/>
      <c r="AC680" s="81"/>
      <c r="AD680" s="81"/>
    </row>
    <row r="681" spans="1:30" ht="24" customHeight="1" x14ac:dyDescent="0.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105"/>
      <c r="M681" s="81"/>
      <c r="N681" s="105"/>
      <c r="O681" s="81"/>
      <c r="P681" s="105"/>
      <c r="Q681" s="81"/>
      <c r="R681" s="105"/>
      <c r="S681" s="81"/>
      <c r="T681" s="105"/>
      <c r="U681" s="81"/>
      <c r="V681" s="105"/>
      <c r="W681" s="81"/>
      <c r="X681" s="81"/>
      <c r="Y681" s="81"/>
      <c r="Z681" s="105"/>
      <c r="AA681" s="81"/>
      <c r="AB681" s="81"/>
      <c r="AC681" s="81"/>
      <c r="AD681" s="81"/>
    </row>
    <row r="682" spans="1:30" ht="24" customHeight="1" x14ac:dyDescent="0.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105"/>
      <c r="M682" s="81"/>
      <c r="N682" s="105"/>
      <c r="O682" s="81"/>
      <c r="P682" s="105"/>
      <c r="Q682" s="81"/>
      <c r="R682" s="105"/>
      <c r="S682" s="81"/>
      <c r="T682" s="105"/>
      <c r="U682" s="81"/>
      <c r="V682" s="105"/>
      <c r="W682" s="81"/>
      <c r="X682" s="81"/>
      <c r="Y682" s="81"/>
      <c r="Z682" s="105"/>
      <c r="AA682" s="81"/>
      <c r="AB682" s="81"/>
      <c r="AC682" s="81"/>
      <c r="AD682" s="81"/>
    </row>
    <row r="683" spans="1:30" ht="24" customHeight="1" x14ac:dyDescent="0.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105"/>
      <c r="M683" s="81"/>
      <c r="N683" s="105"/>
      <c r="O683" s="81"/>
      <c r="P683" s="105"/>
      <c r="Q683" s="81"/>
      <c r="R683" s="105"/>
      <c r="S683" s="81"/>
      <c r="T683" s="105"/>
      <c r="U683" s="81"/>
      <c r="V683" s="105"/>
      <c r="W683" s="81"/>
      <c r="X683" s="81"/>
      <c r="Y683" s="81"/>
      <c r="Z683" s="105"/>
      <c r="AA683" s="81"/>
      <c r="AB683" s="81"/>
      <c r="AC683" s="81"/>
      <c r="AD683" s="81"/>
    </row>
    <row r="684" spans="1:30" ht="24" customHeight="1" x14ac:dyDescent="0.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105"/>
      <c r="M684" s="81"/>
      <c r="N684" s="105"/>
      <c r="O684" s="81"/>
      <c r="P684" s="105"/>
      <c r="Q684" s="81"/>
      <c r="R684" s="105"/>
      <c r="S684" s="81"/>
      <c r="T684" s="105"/>
      <c r="U684" s="81"/>
      <c r="V684" s="105"/>
      <c r="W684" s="81"/>
      <c r="X684" s="81"/>
      <c r="Y684" s="81"/>
      <c r="Z684" s="105"/>
      <c r="AA684" s="81"/>
      <c r="AB684" s="81"/>
      <c r="AC684" s="81"/>
      <c r="AD684" s="81"/>
    </row>
    <row r="685" spans="1:30" ht="24" customHeight="1" x14ac:dyDescent="0.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105"/>
      <c r="M685" s="81"/>
      <c r="N685" s="105"/>
      <c r="O685" s="81"/>
      <c r="P685" s="105"/>
      <c r="Q685" s="81"/>
      <c r="R685" s="105"/>
      <c r="S685" s="81"/>
      <c r="T685" s="105"/>
      <c r="U685" s="81"/>
      <c r="V685" s="105"/>
      <c r="W685" s="81"/>
      <c r="X685" s="81"/>
      <c r="Y685" s="81"/>
      <c r="Z685" s="105"/>
      <c r="AA685" s="81"/>
      <c r="AB685" s="81"/>
      <c r="AC685" s="81"/>
      <c r="AD685" s="81"/>
    </row>
    <row r="686" spans="1:30" ht="24" customHeight="1" x14ac:dyDescent="0.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105"/>
      <c r="M686" s="81"/>
      <c r="N686" s="105"/>
      <c r="O686" s="81"/>
      <c r="P686" s="105"/>
      <c r="Q686" s="81"/>
      <c r="R686" s="105"/>
      <c r="S686" s="81"/>
      <c r="T686" s="105"/>
      <c r="U686" s="81"/>
      <c r="V686" s="105"/>
      <c r="W686" s="81"/>
      <c r="X686" s="81"/>
      <c r="Y686" s="81"/>
      <c r="Z686" s="105"/>
      <c r="AA686" s="81"/>
      <c r="AB686" s="81"/>
      <c r="AC686" s="81"/>
      <c r="AD686" s="81"/>
    </row>
    <row r="687" spans="1:30" ht="24" customHeight="1" x14ac:dyDescent="0.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105"/>
      <c r="M687" s="81"/>
      <c r="N687" s="105"/>
      <c r="O687" s="81"/>
      <c r="P687" s="105"/>
      <c r="Q687" s="81"/>
      <c r="R687" s="105"/>
      <c r="S687" s="81"/>
      <c r="T687" s="105"/>
      <c r="U687" s="81"/>
      <c r="V687" s="105"/>
      <c r="W687" s="81"/>
      <c r="X687" s="81"/>
      <c r="Y687" s="81"/>
      <c r="Z687" s="105"/>
      <c r="AA687" s="81"/>
      <c r="AB687" s="81"/>
      <c r="AC687" s="81"/>
      <c r="AD687" s="81"/>
    </row>
    <row r="688" spans="1:30" ht="24" customHeight="1" x14ac:dyDescent="0.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105"/>
      <c r="M688" s="81"/>
      <c r="N688" s="105"/>
      <c r="O688" s="81"/>
      <c r="P688" s="105"/>
      <c r="Q688" s="81"/>
      <c r="R688" s="105"/>
      <c r="S688" s="81"/>
      <c r="T688" s="105"/>
      <c r="U688" s="81"/>
      <c r="V688" s="105"/>
      <c r="W688" s="81"/>
      <c r="X688" s="81"/>
      <c r="Y688" s="81"/>
      <c r="Z688" s="105"/>
      <c r="AA688" s="81"/>
      <c r="AB688" s="81"/>
      <c r="AC688" s="81"/>
      <c r="AD688" s="81"/>
    </row>
    <row r="689" spans="1:30" ht="24" customHeight="1" x14ac:dyDescent="0.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105"/>
      <c r="M689" s="81"/>
      <c r="N689" s="105"/>
      <c r="O689" s="81"/>
      <c r="P689" s="105"/>
      <c r="Q689" s="81"/>
      <c r="R689" s="105"/>
      <c r="S689" s="81"/>
      <c r="T689" s="105"/>
      <c r="U689" s="81"/>
      <c r="V689" s="105"/>
      <c r="W689" s="81"/>
      <c r="X689" s="81"/>
      <c r="Y689" s="81"/>
      <c r="Z689" s="105"/>
      <c r="AA689" s="81"/>
      <c r="AB689" s="81"/>
      <c r="AC689" s="81"/>
      <c r="AD689" s="81"/>
    </row>
    <row r="690" spans="1:30" ht="24" customHeight="1" x14ac:dyDescent="0.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105"/>
      <c r="M690" s="81"/>
      <c r="N690" s="105"/>
      <c r="O690" s="81"/>
      <c r="P690" s="105"/>
      <c r="Q690" s="81"/>
      <c r="R690" s="105"/>
      <c r="S690" s="81"/>
      <c r="T690" s="105"/>
      <c r="U690" s="81"/>
      <c r="V690" s="105"/>
      <c r="W690" s="81"/>
      <c r="X690" s="81"/>
      <c r="Y690" s="81"/>
      <c r="Z690" s="105"/>
      <c r="AA690" s="81"/>
      <c r="AB690" s="81"/>
      <c r="AC690" s="81"/>
      <c r="AD690" s="81"/>
    </row>
    <row r="691" spans="1:30" ht="24" customHeight="1" x14ac:dyDescent="0.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105"/>
      <c r="M691" s="81"/>
      <c r="N691" s="105"/>
      <c r="O691" s="81"/>
      <c r="P691" s="105"/>
      <c r="Q691" s="81"/>
      <c r="R691" s="105"/>
      <c r="S691" s="81"/>
      <c r="T691" s="105"/>
      <c r="U691" s="81"/>
      <c r="V691" s="105"/>
      <c r="W691" s="81"/>
      <c r="X691" s="81"/>
      <c r="Y691" s="81"/>
      <c r="Z691" s="105"/>
      <c r="AA691" s="81"/>
      <c r="AB691" s="81"/>
      <c r="AC691" s="81"/>
      <c r="AD691" s="81"/>
    </row>
    <row r="692" spans="1:30" ht="24" customHeight="1" x14ac:dyDescent="0.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105"/>
      <c r="M692" s="81"/>
      <c r="N692" s="105"/>
      <c r="O692" s="81"/>
      <c r="P692" s="105"/>
      <c r="Q692" s="81"/>
      <c r="R692" s="105"/>
      <c r="S692" s="81"/>
      <c r="T692" s="105"/>
      <c r="U692" s="81"/>
      <c r="V692" s="105"/>
      <c r="W692" s="81"/>
      <c r="X692" s="81"/>
      <c r="Y692" s="81"/>
      <c r="Z692" s="105"/>
      <c r="AA692" s="81"/>
      <c r="AB692" s="81"/>
      <c r="AC692" s="81"/>
      <c r="AD692" s="81"/>
    </row>
    <row r="693" spans="1:30" ht="24" customHeight="1" x14ac:dyDescent="0.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105"/>
      <c r="M693" s="81"/>
      <c r="N693" s="105"/>
      <c r="O693" s="81"/>
      <c r="P693" s="105"/>
      <c r="Q693" s="81"/>
      <c r="R693" s="105"/>
      <c r="S693" s="81"/>
      <c r="T693" s="105"/>
      <c r="U693" s="81"/>
      <c r="V693" s="105"/>
      <c r="W693" s="81"/>
      <c r="X693" s="81"/>
      <c r="Y693" s="81"/>
      <c r="Z693" s="105"/>
      <c r="AA693" s="81"/>
      <c r="AB693" s="81"/>
      <c r="AC693" s="81"/>
      <c r="AD693" s="81"/>
    </row>
    <row r="694" spans="1:30" ht="24" customHeight="1" x14ac:dyDescent="0.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105"/>
      <c r="M694" s="81"/>
      <c r="N694" s="105"/>
      <c r="O694" s="81"/>
      <c r="P694" s="105"/>
      <c r="Q694" s="81"/>
      <c r="R694" s="105"/>
      <c r="S694" s="81"/>
      <c r="T694" s="105"/>
      <c r="U694" s="81"/>
      <c r="V694" s="105"/>
      <c r="W694" s="81"/>
      <c r="X694" s="81"/>
      <c r="Y694" s="81"/>
      <c r="Z694" s="105"/>
      <c r="AA694" s="81"/>
      <c r="AB694" s="81"/>
      <c r="AC694" s="81"/>
      <c r="AD694" s="81"/>
    </row>
    <row r="695" spans="1:30" ht="24" customHeight="1" x14ac:dyDescent="0.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105"/>
      <c r="M695" s="81"/>
      <c r="N695" s="105"/>
      <c r="O695" s="81"/>
      <c r="P695" s="105"/>
      <c r="Q695" s="81"/>
      <c r="R695" s="105"/>
      <c r="S695" s="81"/>
      <c r="T695" s="105"/>
      <c r="U695" s="81"/>
      <c r="V695" s="105"/>
      <c r="W695" s="81"/>
      <c r="X695" s="81"/>
      <c r="Y695" s="81"/>
      <c r="Z695" s="105"/>
      <c r="AA695" s="81"/>
      <c r="AB695" s="81"/>
      <c r="AC695" s="81"/>
      <c r="AD695" s="81"/>
    </row>
    <row r="696" spans="1:30" ht="24" customHeight="1" x14ac:dyDescent="0.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105"/>
      <c r="M696" s="81"/>
      <c r="N696" s="105"/>
      <c r="O696" s="81"/>
      <c r="P696" s="105"/>
      <c r="Q696" s="81"/>
      <c r="R696" s="105"/>
      <c r="S696" s="81"/>
      <c r="T696" s="105"/>
      <c r="U696" s="81"/>
      <c r="V696" s="105"/>
      <c r="W696" s="81"/>
      <c r="X696" s="81"/>
      <c r="Y696" s="81"/>
      <c r="Z696" s="105"/>
      <c r="AA696" s="81"/>
      <c r="AB696" s="81"/>
      <c r="AC696" s="81"/>
      <c r="AD696" s="81"/>
    </row>
    <row r="697" spans="1:30" ht="24" customHeight="1" x14ac:dyDescent="0.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105"/>
      <c r="M697" s="81"/>
      <c r="N697" s="105"/>
      <c r="O697" s="81"/>
      <c r="P697" s="105"/>
      <c r="Q697" s="81"/>
      <c r="R697" s="105"/>
      <c r="S697" s="81"/>
      <c r="T697" s="105"/>
      <c r="U697" s="81"/>
      <c r="V697" s="105"/>
      <c r="W697" s="81"/>
      <c r="X697" s="81"/>
      <c r="Y697" s="81"/>
      <c r="Z697" s="105"/>
      <c r="AA697" s="81"/>
      <c r="AB697" s="81"/>
      <c r="AC697" s="81"/>
      <c r="AD697" s="81"/>
    </row>
    <row r="698" spans="1:30" ht="24" customHeight="1" x14ac:dyDescent="0.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105"/>
      <c r="M698" s="81"/>
      <c r="N698" s="105"/>
      <c r="O698" s="81"/>
      <c r="P698" s="105"/>
      <c r="Q698" s="81"/>
      <c r="R698" s="105"/>
      <c r="S698" s="81"/>
      <c r="T698" s="105"/>
      <c r="U698" s="81"/>
      <c r="V698" s="105"/>
      <c r="W698" s="81"/>
      <c r="X698" s="81"/>
      <c r="Y698" s="81"/>
      <c r="Z698" s="105"/>
      <c r="AA698" s="81"/>
      <c r="AB698" s="81"/>
      <c r="AC698" s="81"/>
      <c r="AD698" s="81"/>
    </row>
    <row r="699" spans="1:30" ht="24" customHeight="1" x14ac:dyDescent="0.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105"/>
      <c r="M699" s="81"/>
      <c r="N699" s="105"/>
      <c r="O699" s="81"/>
      <c r="P699" s="105"/>
      <c r="Q699" s="81"/>
      <c r="R699" s="105"/>
      <c r="S699" s="81"/>
      <c r="T699" s="105"/>
      <c r="U699" s="81"/>
      <c r="V699" s="105"/>
      <c r="W699" s="81"/>
      <c r="X699" s="81"/>
      <c r="Y699" s="81"/>
      <c r="Z699" s="105"/>
      <c r="AA699" s="81"/>
      <c r="AB699" s="81"/>
      <c r="AC699" s="81"/>
      <c r="AD699" s="81"/>
    </row>
    <row r="700" spans="1:30" ht="24" customHeight="1" x14ac:dyDescent="0.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105"/>
      <c r="M700" s="81"/>
      <c r="N700" s="105"/>
      <c r="O700" s="81"/>
      <c r="P700" s="105"/>
      <c r="Q700" s="81"/>
      <c r="R700" s="105"/>
      <c r="S700" s="81"/>
      <c r="T700" s="105"/>
      <c r="U700" s="81"/>
      <c r="V700" s="105"/>
      <c r="W700" s="81"/>
      <c r="X700" s="81"/>
      <c r="Y700" s="81"/>
      <c r="Z700" s="105"/>
      <c r="AA700" s="81"/>
      <c r="AB700" s="81"/>
      <c r="AC700" s="81"/>
      <c r="AD700" s="81"/>
    </row>
    <row r="701" spans="1:30" ht="24" customHeight="1" x14ac:dyDescent="0.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105"/>
      <c r="M701" s="81"/>
      <c r="N701" s="105"/>
      <c r="O701" s="81"/>
      <c r="P701" s="105"/>
      <c r="Q701" s="81"/>
      <c r="R701" s="105"/>
      <c r="S701" s="81"/>
      <c r="T701" s="105"/>
      <c r="U701" s="81"/>
      <c r="V701" s="105"/>
      <c r="W701" s="81"/>
      <c r="X701" s="81"/>
      <c r="Y701" s="81"/>
      <c r="Z701" s="105"/>
      <c r="AA701" s="81"/>
      <c r="AB701" s="81"/>
      <c r="AC701" s="81"/>
      <c r="AD701" s="81"/>
    </row>
    <row r="702" spans="1:30" ht="24" customHeight="1" x14ac:dyDescent="0.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105"/>
      <c r="M702" s="81"/>
      <c r="N702" s="105"/>
      <c r="O702" s="81"/>
      <c r="P702" s="105"/>
      <c r="Q702" s="81"/>
      <c r="R702" s="105"/>
      <c r="S702" s="81"/>
      <c r="T702" s="105"/>
      <c r="U702" s="81"/>
      <c r="V702" s="105"/>
      <c r="W702" s="81"/>
      <c r="X702" s="81"/>
      <c r="Y702" s="81"/>
      <c r="Z702" s="105"/>
      <c r="AA702" s="81"/>
      <c r="AB702" s="81"/>
      <c r="AC702" s="81"/>
      <c r="AD702" s="81"/>
    </row>
    <row r="703" spans="1:30" ht="24" customHeight="1" x14ac:dyDescent="0.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105"/>
      <c r="M703" s="81"/>
      <c r="N703" s="105"/>
      <c r="O703" s="81"/>
      <c r="P703" s="105"/>
      <c r="Q703" s="81"/>
      <c r="R703" s="105"/>
      <c r="S703" s="81"/>
      <c r="T703" s="105"/>
      <c r="U703" s="81"/>
      <c r="V703" s="105"/>
      <c r="W703" s="81"/>
      <c r="X703" s="81"/>
      <c r="Y703" s="81"/>
      <c r="Z703" s="105"/>
      <c r="AA703" s="81"/>
      <c r="AB703" s="81"/>
      <c r="AC703" s="81"/>
      <c r="AD703" s="81"/>
    </row>
    <row r="704" spans="1:30" ht="24" customHeight="1" x14ac:dyDescent="0.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105"/>
      <c r="M704" s="81"/>
      <c r="N704" s="105"/>
      <c r="O704" s="81"/>
      <c r="P704" s="105"/>
      <c r="Q704" s="81"/>
      <c r="R704" s="105"/>
      <c r="S704" s="81"/>
      <c r="T704" s="105"/>
      <c r="U704" s="81"/>
      <c r="V704" s="105"/>
      <c r="W704" s="81"/>
      <c r="X704" s="81"/>
      <c r="Y704" s="81"/>
      <c r="Z704" s="105"/>
      <c r="AA704" s="81"/>
      <c r="AB704" s="81"/>
      <c r="AC704" s="81"/>
      <c r="AD704" s="81"/>
    </row>
    <row r="705" spans="1:30" ht="24" customHeight="1" x14ac:dyDescent="0.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105"/>
      <c r="M705" s="81"/>
      <c r="N705" s="105"/>
      <c r="O705" s="81"/>
      <c r="P705" s="105"/>
      <c r="Q705" s="81"/>
      <c r="R705" s="105"/>
      <c r="S705" s="81"/>
      <c r="T705" s="105"/>
      <c r="U705" s="81"/>
      <c r="V705" s="105"/>
      <c r="W705" s="81"/>
      <c r="X705" s="81"/>
      <c r="Y705" s="81"/>
      <c r="Z705" s="105"/>
      <c r="AA705" s="81"/>
      <c r="AB705" s="81"/>
      <c r="AC705" s="81"/>
      <c r="AD705" s="81"/>
    </row>
    <row r="706" spans="1:30" ht="24" customHeight="1" x14ac:dyDescent="0.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105"/>
      <c r="M706" s="81"/>
      <c r="N706" s="105"/>
      <c r="O706" s="81"/>
      <c r="P706" s="105"/>
      <c r="Q706" s="81"/>
      <c r="R706" s="105"/>
      <c r="S706" s="81"/>
      <c r="T706" s="105"/>
      <c r="U706" s="81"/>
      <c r="V706" s="105"/>
      <c r="W706" s="81"/>
      <c r="X706" s="81"/>
      <c r="Y706" s="81"/>
      <c r="Z706" s="105"/>
      <c r="AA706" s="81"/>
      <c r="AB706" s="81"/>
      <c r="AC706" s="81"/>
      <c r="AD706" s="81"/>
    </row>
    <row r="707" spans="1:30" ht="24" customHeight="1" x14ac:dyDescent="0.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105"/>
      <c r="M707" s="81"/>
      <c r="N707" s="105"/>
      <c r="O707" s="81"/>
      <c r="P707" s="105"/>
      <c r="Q707" s="81"/>
      <c r="R707" s="105"/>
      <c r="S707" s="81"/>
      <c r="T707" s="105"/>
      <c r="U707" s="81"/>
      <c r="V707" s="105"/>
      <c r="W707" s="81"/>
      <c r="X707" s="81"/>
      <c r="Y707" s="81"/>
      <c r="Z707" s="105"/>
      <c r="AA707" s="81"/>
      <c r="AB707" s="81"/>
      <c r="AC707" s="81"/>
      <c r="AD707" s="81"/>
    </row>
    <row r="708" spans="1:30" ht="24" customHeight="1" x14ac:dyDescent="0.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105"/>
      <c r="M708" s="81"/>
      <c r="N708" s="105"/>
      <c r="O708" s="81"/>
      <c r="P708" s="105"/>
      <c r="Q708" s="81"/>
      <c r="R708" s="105"/>
      <c r="S708" s="81"/>
      <c r="T708" s="105"/>
      <c r="U708" s="81"/>
      <c r="V708" s="105"/>
      <c r="W708" s="81"/>
      <c r="X708" s="81"/>
      <c r="Y708" s="81"/>
      <c r="Z708" s="105"/>
      <c r="AA708" s="81"/>
      <c r="AB708" s="81"/>
      <c r="AC708" s="81"/>
      <c r="AD708" s="81"/>
    </row>
    <row r="709" spans="1:30" ht="24" customHeight="1" x14ac:dyDescent="0.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105"/>
      <c r="M709" s="81"/>
      <c r="N709" s="105"/>
      <c r="O709" s="81"/>
      <c r="P709" s="105"/>
      <c r="Q709" s="81"/>
      <c r="R709" s="105"/>
      <c r="S709" s="81"/>
      <c r="T709" s="105"/>
      <c r="U709" s="81"/>
      <c r="V709" s="105"/>
      <c r="W709" s="81"/>
      <c r="X709" s="81"/>
      <c r="Y709" s="81"/>
      <c r="Z709" s="105"/>
      <c r="AA709" s="81"/>
      <c r="AB709" s="81"/>
      <c r="AC709" s="81"/>
      <c r="AD709" s="81"/>
    </row>
    <row r="710" spans="1:30" ht="24" customHeight="1" x14ac:dyDescent="0.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105"/>
      <c r="M710" s="81"/>
      <c r="N710" s="105"/>
      <c r="O710" s="81"/>
      <c r="P710" s="105"/>
      <c r="Q710" s="81"/>
      <c r="R710" s="105"/>
      <c r="S710" s="81"/>
      <c r="T710" s="105"/>
      <c r="U710" s="81"/>
      <c r="V710" s="105"/>
      <c r="W710" s="81"/>
      <c r="X710" s="81"/>
      <c r="Y710" s="81"/>
      <c r="Z710" s="105"/>
      <c r="AA710" s="81"/>
      <c r="AB710" s="81"/>
      <c r="AC710" s="81"/>
      <c r="AD710" s="81"/>
    </row>
    <row r="711" spans="1:30" ht="24" customHeight="1" x14ac:dyDescent="0.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105"/>
      <c r="M711" s="81"/>
      <c r="N711" s="105"/>
      <c r="O711" s="81"/>
      <c r="P711" s="105"/>
      <c r="Q711" s="81"/>
      <c r="R711" s="105"/>
      <c r="S711" s="81"/>
      <c r="T711" s="105"/>
      <c r="U711" s="81"/>
      <c r="V711" s="105"/>
      <c r="W711" s="81"/>
      <c r="X711" s="81"/>
      <c r="Y711" s="81"/>
      <c r="Z711" s="105"/>
      <c r="AA711" s="81"/>
      <c r="AB711" s="81"/>
      <c r="AC711" s="81"/>
      <c r="AD711" s="81"/>
    </row>
    <row r="712" spans="1:30" ht="24" customHeight="1" x14ac:dyDescent="0.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105"/>
      <c r="M712" s="81"/>
      <c r="N712" s="105"/>
      <c r="O712" s="81"/>
      <c r="P712" s="105"/>
      <c r="Q712" s="81"/>
      <c r="R712" s="105"/>
      <c r="S712" s="81"/>
      <c r="T712" s="105"/>
      <c r="U712" s="81"/>
      <c r="V712" s="105"/>
      <c r="W712" s="81"/>
      <c r="X712" s="81"/>
      <c r="Y712" s="81"/>
      <c r="Z712" s="105"/>
      <c r="AA712" s="81"/>
      <c r="AB712" s="81"/>
      <c r="AC712" s="81"/>
      <c r="AD712" s="81"/>
    </row>
    <row r="713" spans="1:30" ht="24" customHeight="1" x14ac:dyDescent="0.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105"/>
      <c r="M713" s="81"/>
      <c r="N713" s="105"/>
      <c r="O713" s="81"/>
      <c r="P713" s="105"/>
      <c r="Q713" s="81"/>
      <c r="R713" s="105"/>
      <c r="S713" s="81"/>
      <c r="T713" s="105"/>
      <c r="U713" s="81"/>
      <c r="V713" s="105"/>
      <c r="W713" s="81"/>
      <c r="X713" s="81"/>
      <c r="Y713" s="81"/>
      <c r="Z713" s="105"/>
      <c r="AA713" s="81"/>
      <c r="AB713" s="81"/>
      <c r="AC713" s="81"/>
      <c r="AD713" s="81"/>
    </row>
    <row r="714" spans="1:30" ht="24" customHeight="1" x14ac:dyDescent="0.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105"/>
      <c r="M714" s="81"/>
      <c r="N714" s="105"/>
      <c r="O714" s="81"/>
      <c r="P714" s="105"/>
      <c r="Q714" s="81"/>
      <c r="R714" s="105"/>
      <c r="S714" s="81"/>
      <c r="T714" s="105"/>
      <c r="U714" s="81"/>
      <c r="V714" s="105"/>
      <c r="W714" s="81"/>
      <c r="X714" s="81"/>
      <c r="Y714" s="81"/>
      <c r="Z714" s="105"/>
      <c r="AA714" s="81"/>
      <c r="AB714" s="81"/>
      <c r="AC714" s="81"/>
      <c r="AD714" s="81"/>
    </row>
    <row r="715" spans="1:30" ht="24" customHeight="1" x14ac:dyDescent="0.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105"/>
      <c r="M715" s="81"/>
      <c r="N715" s="105"/>
      <c r="O715" s="81"/>
      <c r="P715" s="105"/>
      <c r="Q715" s="81"/>
      <c r="R715" s="105"/>
      <c r="S715" s="81"/>
      <c r="T715" s="105"/>
      <c r="U715" s="81"/>
      <c r="V715" s="105"/>
      <c r="W715" s="81"/>
      <c r="X715" s="81"/>
      <c r="Y715" s="81"/>
      <c r="Z715" s="105"/>
      <c r="AA715" s="81"/>
      <c r="AB715" s="81"/>
      <c r="AC715" s="81"/>
      <c r="AD715" s="81"/>
    </row>
    <row r="716" spans="1:30" ht="24" customHeight="1" x14ac:dyDescent="0.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105"/>
      <c r="M716" s="81"/>
      <c r="N716" s="105"/>
      <c r="O716" s="81"/>
      <c r="P716" s="105"/>
      <c r="Q716" s="81"/>
      <c r="R716" s="105"/>
      <c r="S716" s="81"/>
      <c r="T716" s="105"/>
      <c r="U716" s="81"/>
      <c r="V716" s="105"/>
      <c r="W716" s="81"/>
      <c r="X716" s="81"/>
      <c r="Y716" s="81"/>
      <c r="Z716" s="105"/>
      <c r="AA716" s="81"/>
      <c r="AB716" s="81"/>
      <c r="AC716" s="81"/>
      <c r="AD716" s="81"/>
    </row>
    <row r="717" spans="1:30" ht="24" customHeight="1" x14ac:dyDescent="0.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105"/>
      <c r="M717" s="81"/>
      <c r="N717" s="105"/>
      <c r="O717" s="81"/>
      <c r="P717" s="105"/>
      <c r="Q717" s="81"/>
      <c r="R717" s="105"/>
      <c r="S717" s="81"/>
      <c r="T717" s="105"/>
      <c r="U717" s="81"/>
      <c r="V717" s="105"/>
      <c r="W717" s="81"/>
      <c r="X717" s="81"/>
      <c r="Y717" s="81"/>
      <c r="Z717" s="105"/>
      <c r="AA717" s="81"/>
      <c r="AB717" s="81"/>
      <c r="AC717" s="81"/>
      <c r="AD717" s="81"/>
    </row>
    <row r="718" spans="1:30" ht="24" customHeight="1" x14ac:dyDescent="0.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105"/>
      <c r="M718" s="81"/>
      <c r="N718" s="105"/>
      <c r="O718" s="81"/>
      <c r="P718" s="105"/>
      <c r="Q718" s="81"/>
      <c r="R718" s="105"/>
      <c r="S718" s="81"/>
      <c r="T718" s="105"/>
      <c r="U718" s="81"/>
      <c r="V718" s="105"/>
      <c r="W718" s="81"/>
      <c r="X718" s="81"/>
      <c r="Y718" s="81"/>
      <c r="Z718" s="105"/>
      <c r="AA718" s="81"/>
      <c r="AB718" s="81"/>
      <c r="AC718" s="81"/>
      <c r="AD718" s="81"/>
    </row>
    <row r="719" spans="1:30" ht="24" customHeight="1" x14ac:dyDescent="0.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105"/>
      <c r="M719" s="81"/>
      <c r="N719" s="105"/>
      <c r="O719" s="81"/>
      <c r="P719" s="105"/>
      <c r="Q719" s="81"/>
      <c r="R719" s="105"/>
      <c r="S719" s="81"/>
      <c r="T719" s="105"/>
      <c r="U719" s="81"/>
      <c r="V719" s="105"/>
      <c r="W719" s="81"/>
      <c r="X719" s="81"/>
      <c r="Y719" s="81"/>
      <c r="Z719" s="105"/>
      <c r="AA719" s="81"/>
      <c r="AB719" s="81"/>
      <c r="AC719" s="81"/>
      <c r="AD719" s="81"/>
    </row>
    <row r="720" spans="1:30" ht="24" customHeight="1" x14ac:dyDescent="0.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105"/>
      <c r="M720" s="81"/>
      <c r="N720" s="105"/>
      <c r="O720" s="81"/>
      <c r="P720" s="105"/>
      <c r="Q720" s="81"/>
      <c r="R720" s="105"/>
      <c r="S720" s="81"/>
      <c r="T720" s="105"/>
      <c r="U720" s="81"/>
      <c r="V720" s="105"/>
      <c r="W720" s="81"/>
      <c r="X720" s="81"/>
      <c r="Y720" s="81"/>
      <c r="Z720" s="105"/>
      <c r="AA720" s="81"/>
      <c r="AB720" s="81"/>
      <c r="AC720" s="81"/>
      <c r="AD720" s="81"/>
    </row>
    <row r="721" spans="1:30" ht="24" customHeight="1" x14ac:dyDescent="0.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105"/>
      <c r="M721" s="81"/>
      <c r="N721" s="105"/>
      <c r="O721" s="81"/>
      <c r="P721" s="105"/>
      <c r="Q721" s="81"/>
      <c r="R721" s="105"/>
      <c r="S721" s="81"/>
      <c r="T721" s="105"/>
      <c r="U721" s="81"/>
      <c r="V721" s="105"/>
      <c r="W721" s="81"/>
      <c r="X721" s="81"/>
      <c r="Y721" s="81"/>
      <c r="Z721" s="105"/>
      <c r="AA721" s="81"/>
      <c r="AB721" s="81"/>
      <c r="AC721" s="81"/>
      <c r="AD721" s="81"/>
    </row>
    <row r="722" spans="1:30" ht="24" customHeight="1" x14ac:dyDescent="0.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105"/>
      <c r="M722" s="81"/>
      <c r="N722" s="105"/>
      <c r="O722" s="81"/>
      <c r="P722" s="105"/>
      <c r="Q722" s="81"/>
      <c r="R722" s="105"/>
      <c r="S722" s="81"/>
      <c r="T722" s="105"/>
      <c r="U722" s="81"/>
      <c r="V722" s="105"/>
      <c r="W722" s="81"/>
      <c r="X722" s="81"/>
      <c r="Y722" s="81"/>
      <c r="Z722" s="105"/>
      <c r="AA722" s="81"/>
      <c r="AB722" s="81"/>
      <c r="AC722" s="81"/>
      <c r="AD722" s="81"/>
    </row>
    <row r="723" spans="1:30" ht="24" customHeight="1" x14ac:dyDescent="0.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105"/>
      <c r="M723" s="81"/>
      <c r="N723" s="105"/>
      <c r="O723" s="81"/>
      <c r="P723" s="105"/>
      <c r="Q723" s="81"/>
      <c r="R723" s="105"/>
      <c r="S723" s="81"/>
      <c r="T723" s="105"/>
      <c r="U723" s="81"/>
      <c r="V723" s="105"/>
      <c r="W723" s="81"/>
      <c r="X723" s="81"/>
      <c r="Y723" s="81"/>
      <c r="Z723" s="105"/>
      <c r="AA723" s="81"/>
      <c r="AB723" s="81"/>
      <c r="AC723" s="81"/>
      <c r="AD723" s="81"/>
    </row>
    <row r="724" spans="1:30" ht="24" customHeight="1" x14ac:dyDescent="0.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105"/>
      <c r="M724" s="81"/>
      <c r="N724" s="105"/>
      <c r="O724" s="81"/>
      <c r="P724" s="105"/>
      <c r="Q724" s="81"/>
      <c r="R724" s="105"/>
      <c r="S724" s="81"/>
      <c r="T724" s="105"/>
      <c r="U724" s="81"/>
      <c r="V724" s="105"/>
      <c r="W724" s="81"/>
      <c r="X724" s="81"/>
      <c r="Y724" s="81"/>
      <c r="Z724" s="105"/>
      <c r="AA724" s="81"/>
      <c r="AB724" s="81"/>
      <c r="AC724" s="81"/>
      <c r="AD724" s="81"/>
    </row>
    <row r="725" spans="1:30" ht="24" customHeight="1" x14ac:dyDescent="0.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105"/>
      <c r="M725" s="81"/>
      <c r="N725" s="105"/>
      <c r="O725" s="81"/>
      <c r="P725" s="105"/>
      <c r="Q725" s="81"/>
      <c r="R725" s="105"/>
      <c r="S725" s="81"/>
      <c r="T725" s="105"/>
      <c r="U725" s="81"/>
      <c r="V725" s="105"/>
      <c r="W725" s="81"/>
      <c r="X725" s="81"/>
      <c r="Y725" s="81"/>
      <c r="Z725" s="105"/>
      <c r="AA725" s="81"/>
      <c r="AB725" s="81"/>
      <c r="AC725" s="81"/>
      <c r="AD725" s="81"/>
    </row>
    <row r="726" spans="1:30" ht="24" customHeight="1" x14ac:dyDescent="0.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105"/>
      <c r="M726" s="81"/>
      <c r="N726" s="105"/>
      <c r="O726" s="81"/>
      <c r="P726" s="105"/>
      <c r="Q726" s="81"/>
      <c r="R726" s="105"/>
      <c r="S726" s="81"/>
      <c r="T726" s="105"/>
      <c r="U726" s="81"/>
      <c r="V726" s="105"/>
      <c r="W726" s="81"/>
      <c r="X726" s="81"/>
      <c r="Y726" s="81"/>
      <c r="Z726" s="105"/>
      <c r="AA726" s="81"/>
      <c r="AB726" s="81"/>
      <c r="AC726" s="81"/>
      <c r="AD726" s="81"/>
    </row>
    <row r="727" spans="1:30" ht="24" customHeight="1" x14ac:dyDescent="0.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105"/>
      <c r="M727" s="81"/>
      <c r="N727" s="105"/>
      <c r="O727" s="81"/>
      <c r="P727" s="105"/>
      <c r="Q727" s="81"/>
      <c r="R727" s="105"/>
      <c r="S727" s="81"/>
      <c r="T727" s="105"/>
      <c r="U727" s="81"/>
      <c r="V727" s="105"/>
      <c r="W727" s="81"/>
      <c r="X727" s="81"/>
      <c r="Y727" s="81"/>
      <c r="Z727" s="105"/>
      <c r="AA727" s="81"/>
      <c r="AB727" s="81"/>
      <c r="AC727" s="81"/>
      <c r="AD727" s="81"/>
    </row>
    <row r="728" spans="1:30" ht="24" customHeight="1" x14ac:dyDescent="0.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105"/>
      <c r="M728" s="81"/>
      <c r="N728" s="105"/>
      <c r="O728" s="81"/>
      <c r="P728" s="105"/>
      <c r="Q728" s="81"/>
      <c r="R728" s="105"/>
      <c r="S728" s="81"/>
      <c r="T728" s="105"/>
      <c r="U728" s="81"/>
      <c r="V728" s="105"/>
      <c r="W728" s="81"/>
      <c r="X728" s="81"/>
      <c r="Y728" s="81"/>
      <c r="Z728" s="105"/>
      <c r="AA728" s="81"/>
      <c r="AB728" s="81"/>
      <c r="AC728" s="81"/>
      <c r="AD728" s="81"/>
    </row>
    <row r="729" spans="1:30" ht="24" customHeight="1" x14ac:dyDescent="0.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105"/>
      <c r="M729" s="81"/>
      <c r="N729" s="105"/>
      <c r="O729" s="81"/>
      <c r="P729" s="105"/>
      <c r="Q729" s="81"/>
      <c r="R729" s="105"/>
      <c r="S729" s="81"/>
      <c r="T729" s="105"/>
      <c r="U729" s="81"/>
      <c r="V729" s="105"/>
      <c r="W729" s="81"/>
      <c r="X729" s="81"/>
      <c r="Y729" s="81"/>
      <c r="Z729" s="105"/>
      <c r="AA729" s="81"/>
      <c r="AB729" s="81"/>
      <c r="AC729" s="81"/>
      <c r="AD729" s="81"/>
    </row>
    <row r="730" spans="1:30" ht="24" customHeight="1" x14ac:dyDescent="0.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105"/>
      <c r="M730" s="81"/>
      <c r="N730" s="105"/>
      <c r="O730" s="81"/>
      <c r="P730" s="105"/>
      <c r="Q730" s="81"/>
      <c r="R730" s="105"/>
      <c r="S730" s="81"/>
      <c r="T730" s="105"/>
      <c r="U730" s="81"/>
      <c r="V730" s="105"/>
      <c r="W730" s="81"/>
      <c r="X730" s="81"/>
      <c r="Y730" s="81"/>
      <c r="Z730" s="105"/>
      <c r="AA730" s="81"/>
      <c r="AB730" s="81"/>
      <c r="AC730" s="81"/>
      <c r="AD730" s="81"/>
    </row>
    <row r="731" spans="1:30" ht="24" customHeight="1" x14ac:dyDescent="0.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105"/>
      <c r="M731" s="81"/>
      <c r="N731" s="105"/>
      <c r="O731" s="81"/>
      <c r="P731" s="105"/>
      <c r="Q731" s="81"/>
      <c r="R731" s="105"/>
      <c r="S731" s="81"/>
      <c r="T731" s="105"/>
      <c r="U731" s="81"/>
      <c r="V731" s="105"/>
      <c r="W731" s="81"/>
      <c r="X731" s="81"/>
      <c r="Y731" s="81"/>
      <c r="Z731" s="105"/>
      <c r="AA731" s="81"/>
      <c r="AB731" s="81"/>
      <c r="AC731" s="81"/>
      <c r="AD731" s="81"/>
    </row>
    <row r="732" spans="1:30" ht="24" customHeight="1" x14ac:dyDescent="0.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105"/>
      <c r="M732" s="81"/>
      <c r="N732" s="105"/>
      <c r="O732" s="81"/>
      <c r="P732" s="105"/>
      <c r="Q732" s="81"/>
      <c r="R732" s="105"/>
      <c r="S732" s="81"/>
      <c r="T732" s="105"/>
      <c r="U732" s="81"/>
      <c r="V732" s="105"/>
      <c r="W732" s="81"/>
      <c r="X732" s="81"/>
      <c r="Y732" s="81"/>
      <c r="Z732" s="105"/>
      <c r="AA732" s="81"/>
      <c r="AB732" s="81"/>
      <c r="AC732" s="81"/>
      <c r="AD732" s="81"/>
    </row>
    <row r="733" spans="1:30" ht="24" customHeight="1" x14ac:dyDescent="0.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105"/>
      <c r="M733" s="81"/>
      <c r="N733" s="105"/>
      <c r="O733" s="81"/>
      <c r="P733" s="105"/>
      <c r="Q733" s="81"/>
      <c r="R733" s="105"/>
      <c r="S733" s="81"/>
      <c r="T733" s="105"/>
      <c r="U733" s="81"/>
      <c r="V733" s="105"/>
      <c r="W733" s="81"/>
      <c r="X733" s="81"/>
      <c r="Y733" s="81"/>
      <c r="Z733" s="105"/>
      <c r="AA733" s="81"/>
      <c r="AB733" s="81"/>
      <c r="AC733" s="81"/>
      <c r="AD733" s="81"/>
    </row>
    <row r="734" spans="1:30" ht="24" customHeight="1" x14ac:dyDescent="0.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105"/>
      <c r="M734" s="81"/>
      <c r="N734" s="105"/>
      <c r="O734" s="81"/>
      <c r="P734" s="105"/>
      <c r="Q734" s="81"/>
      <c r="R734" s="105"/>
      <c r="S734" s="81"/>
      <c r="T734" s="105"/>
      <c r="U734" s="81"/>
      <c r="V734" s="105"/>
      <c r="W734" s="81"/>
      <c r="X734" s="81"/>
      <c r="Y734" s="81"/>
      <c r="Z734" s="105"/>
      <c r="AA734" s="81"/>
      <c r="AB734" s="81"/>
      <c r="AC734" s="81"/>
      <c r="AD734" s="81"/>
    </row>
    <row r="735" spans="1:30" ht="24" customHeight="1" x14ac:dyDescent="0.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105"/>
      <c r="M735" s="81"/>
      <c r="N735" s="105"/>
      <c r="O735" s="81"/>
      <c r="P735" s="105"/>
      <c r="Q735" s="81"/>
      <c r="R735" s="105"/>
      <c r="S735" s="81"/>
      <c r="T735" s="105"/>
      <c r="U735" s="81"/>
      <c r="V735" s="105"/>
      <c r="W735" s="81"/>
      <c r="X735" s="81"/>
      <c r="Y735" s="81"/>
      <c r="Z735" s="105"/>
      <c r="AA735" s="81"/>
      <c r="AB735" s="81"/>
      <c r="AC735" s="81"/>
      <c r="AD735" s="81"/>
    </row>
    <row r="736" spans="1:30" ht="24" customHeight="1" x14ac:dyDescent="0.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105"/>
      <c r="M736" s="81"/>
      <c r="N736" s="105"/>
      <c r="O736" s="81"/>
      <c r="P736" s="105"/>
      <c r="Q736" s="81"/>
      <c r="R736" s="105"/>
      <c r="S736" s="81"/>
      <c r="T736" s="105"/>
      <c r="U736" s="81"/>
      <c r="V736" s="105"/>
      <c r="W736" s="81"/>
      <c r="X736" s="81"/>
      <c r="Y736" s="81"/>
      <c r="Z736" s="105"/>
      <c r="AA736" s="81"/>
      <c r="AB736" s="81"/>
      <c r="AC736" s="81"/>
      <c r="AD736" s="81"/>
    </row>
    <row r="737" spans="1:30" ht="24" customHeight="1" x14ac:dyDescent="0.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105"/>
      <c r="M737" s="81"/>
      <c r="N737" s="105"/>
      <c r="O737" s="81"/>
      <c r="P737" s="105"/>
      <c r="Q737" s="81"/>
      <c r="R737" s="105"/>
      <c r="S737" s="81"/>
      <c r="T737" s="105"/>
      <c r="U737" s="81"/>
      <c r="V737" s="105"/>
      <c r="W737" s="81"/>
      <c r="X737" s="81"/>
      <c r="Y737" s="81"/>
      <c r="Z737" s="105"/>
      <c r="AA737" s="81"/>
      <c r="AB737" s="81"/>
      <c r="AC737" s="81"/>
      <c r="AD737" s="81"/>
    </row>
    <row r="738" spans="1:30" ht="24" customHeight="1" x14ac:dyDescent="0.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105"/>
      <c r="M738" s="81"/>
      <c r="N738" s="105"/>
      <c r="O738" s="81"/>
      <c r="P738" s="105"/>
      <c r="Q738" s="81"/>
      <c r="R738" s="105"/>
      <c r="S738" s="81"/>
      <c r="T738" s="105"/>
      <c r="U738" s="81"/>
      <c r="V738" s="105"/>
      <c r="W738" s="81"/>
      <c r="X738" s="81"/>
      <c r="Y738" s="81"/>
      <c r="Z738" s="105"/>
      <c r="AA738" s="81"/>
      <c r="AB738" s="81"/>
      <c r="AC738" s="81"/>
      <c r="AD738" s="81"/>
    </row>
    <row r="739" spans="1:30" ht="24" customHeight="1" x14ac:dyDescent="0.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105"/>
      <c r="M739" s="81"/>
      <c r="N739" s="105"/>
      <c r="O739" s="81"/>
      <c r="P739" s="105"/>
      <c r="Q739" s="81"/>
      <c r="R739" s="105"/>
      <c r="S739" s="81"/>
      <c r="T739" s="105"/>
      <c r="U739" s="81"/>
      <c r="V739" s="105"/>
      <c r="W739" s="81"/>
      <c r="X739" s="81"/>
      <c r="Y739" s="81"/>
      <c r="Z739" s="105"/>
      <c r="AA739" s="81"/>
      <c r="AB739" s="81"/>
      <c r="AC739" s="81"/>
      <c r="AD739" s="81"/>
    </row>
    <row r="740" spans="1:30" ht="24" customHeight="1" x14ac:dyDescent="0.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105"/>
      <c r="M740" s="81"/>
      <c r="N740" s="105"/>
      <c r="O740" s="81"/>
      <c r="P740" s="105"/>
      <c r="Q740" s="81"/>
      <c r="R740" s="105"/>
      <c r="S740" s="81"/>
      <c r="T740" s="105"/>
      <c r="U740" s="81"/>
      <c r="V740" s="105"/>
      <c r="W740" s="81"/>
      <c r="X740" s="81"/>
      <c r="Y740" s="81"/>
      <c r="Z740" s="105"/>
      <c r="AA740" s="81"/>
      <c r="AB740" s="81"/>
      <c r="AC740" s="81"/>
      <c r="AD740" s="81"/>
    </row>
    <row r="741" spans="1:30" ht="24" customHeight="1" x14ac:dyDescent="0.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105"/>
      <c r="M741" s="81"/>
      <c r="N741" s="105"/>
      <c r="O741" s="81"/>
      <c r="P741" s="105"/>
      <c r="Q741" s="81"/>
      <c r="R741" s="105"/>
      <c r="S741" s="81"/>
      <c r="T741" s="105"/>
      <c r="U741" s="81"/>
      <c r="V741" s="105"/>
      <c r="W741" s="81"/>
      <c r="X741" s="81"/>
      <c r="Y741" s="81"/>
      <c r="Z741" s="105"/>
      <c r="AA741" s="81"/>
      <c r="AB741" s="81"/>
      <c r="AC741" s="81"/>
      <c r="AD741" s="81"/>
    </row>
    <row r="742" spans="1:30" ht="24" customHeight="1" x14ac:dyDescent="0.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105"/>
      <c r="M742" s="81"/>
      <c r="N742" s="105"/>
      <c r="O742" s="81"/>
      <c r="P742" s="105"/>
      <c r="Q742" s="81"/>
      <c r="R742" s="105"/>
      <c r="S742" s="81"/>
      <c r="T742" s="105"/>
      <c r="U742" s="81"/>
      <c r="V742" s="105"/>
      <c r="W742" s="81"/>
      <c r="X742" s="81"/>
      <c r="Y742" s="81"/>
      <c r="Z742" s="105"/>
      <c r="AA742" s="81"/>
      <c r="AB742" s="81"/>
      <c r="AC742" s="81"/>
      <c r="AD742" s="81"/>
    </row>
    <row r="743" spans="1:30" ht="24" customHeight="1" x14ac:dyDescent="0.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105"/>
      <c r="M743" s="81"/>
      <c r="N743" s="105"/>
      <c r="O743" s="81"/>
      <c r="P743" s="105"/>
      <c r="Q743" s="81"/>
      <c r="R743" s="105"/>
      <c r="S743" s="81"/>
      <c r="T743" s="105"/>
      <c r="U743" s="81"/>
      <c r="V743" s="105"/>
      <c r="W743" s="81"/>
      <c r="X743" s="81"/>
      <c r="Y743" s="81"/>
      <c r="Z743" s="105"/>
      <c r="AA743" s="81"/>
      <c r="AB743" s="81"/>
      <c r="AC743" s="81"/>
      <c r="AD743" s="81"/>
    </row>
    <row r="744" spans="1:30" ht="24" customHeight="1" x14ac:dyDescent="0.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105"/>
      <c r="M744" s="81"/>
      <c r="N744" s="105"/>
      <c r="O744" s="81"/>
      <c r="P744" s="105"/>
      <c r="Q744" s="81"/>
      <c r="R744" s="105"/>
      <c r="S744" s="81"/>
      <c r="T744" s="105"/>
      <c r="U744" s="81"/>
      <c r="V744" s="105"/>
      <c r="W744" s="81"/>
      <c r="X744" s="81"/>
      <c r="Y744" s="81"/>
      <c r="Z744" s="105"/>
      <c r="AA744" s="81"/>
      <c r="AB744" s="81"/>
      <c r="AC744" s="81"/>
      <c r="AD744" s="81"/>
    </row>
    <row r="745" spans="1:30" ht="24" customHeight="1" x14ac:dyDescent="0.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105"/>
      <c r="M745" s="81"/>
      <c r="N745" s="105"/>
      <c r="O745" s="81"/>
      <c r="P745" s="105"/>
      <c r="Q745" s="81"/>
      <c r="R745" s="105"/>
      <c r="S745" s="81"/>
      <c r="T745" s="105"/>
      <c r="U745" s="81"/>
      <c r="V745" s="105"/>
      <c r="W745" s="81"/>
      <c r="X745" s="81"/>
      <c r="Y745" s="81"/>
      <c r="Z745" s="105"/>
      <c r="AA745" s="81"/>
      <c r="AB745" s="81"/>
      <c r="AC745" s="81"/>
      <c r="AD745" s="81"/>
    </row>
    <row r="746" spans="1:30" ht="24" customHeight="1" x14ac:dyDescent="0.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105"/>
      <c r="M746" s="81"/>
      <c r="N746" s="105"/>
      <c r="O746" s="81"/>
      <c r="P746" s="105"/>
      <c r="Q746" s="81"/>
      <c r="R746" s="105"/>
      <c r="S746" s="81"/>
      <c r="T746" s="105"/>
      <c r="U746" s="81"/>
      <c r="V746" s="105"/>
      <c r="W746" s="81"/>
      <c r="X746" s="81"/>
      <c r="Y746" s="81"/>
      <c r="Z746" s="105"/>
      <c r="AA746" s="81"/>
      <c r="AB746" s="81"/>
      <c r="AC746" s="81"/>
      <c r="AD746" s="81"/>
    </row>
    <row r="747" spans="1:30" ht="24" customHeight="1" x14ac:dyDescent="0.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105"/>
      <c r="M747" s="81"/>
      <c r="N747" s="105"/>
      <c r="O747" s="81"/>
      <c r="P747" s="105"/>
      <c r="Q747" s="81"/>
      <c r="R747" s="105"/>
      <c r="S747" s="81"/>
      <c r="T747" s="105"/>
      <c r="U747" s="81"/>
      <c r="V747" s="105"/>
      <c r="W747" s="81"/>
      <c r="X747" s="81"/>
      <c r="Y747" s="81"/>
      <c r="Z747" s="105"/>
      <c r="AA747" s="81"/>
      <c r="AB747" s="81"/>
      <c r="AC747" s="81"/>
      <c r="AD747" s="81"/>
    </row>
    <row r="748" spans="1:30" ht="24" customHeight="1" x14ac:dyDescent="0.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105"/>
      <c r="M748" s="81"/>
      <c r="N748" s="105"/>
      <c r="O748" s="81"/>
      <c r="P748" s="105"/>
      <c r="Q748" s="81"/>
      <c r="R748" s="105"/>
      <c r="S748" s="81"/>
      <c r="T748" s="105"/>
      <c r="U748" s="81"/>
      <c r="V748" s="105"/>
      <c r="W748" s="81"/>
      <c r="X748" s="81"/>
      <c r="Y748" s="81"/>
      <c r="Z748" s="105"/>
      <c r="AA748" s="81"/>
      <c r="AB748" s="81"/>
      <c r="AC748" s="81"/>
      <c r="AD748" s="81"/>
    </row>
    <row r="749" spans="1:30" ht="24" customHeight="1" x14ac:dyDescent="0.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105"/>
      <c r="M749" s="81"/>
      <c r="N749" s="105"/>
      <c r="O749" s="81"/>
      <c r="P749" s="105"/>
      <c r="Q749" s="81"/>
      <c r="R749" s="105"/>
      <c r="S749" s="81"/>
      <c r="T749" s="105"/>
      <c r="U749" s="81"/>
      <c r="V749" s="105"/>
      <c r="W749" s="81"/>
      <c r="X749" s="81"/>
      <c r="Y749" s="81"/>
      <c r="Z749" s="105"/>
      <c r="AA749" s="81"/>
      <c r="AB749" s="81"/>
      <c r="AC749" s="81"/>
      <c r="AD749" s="81"/>
    </row>
    <row r="750" spans="1:30" ht="24" customHeight="1" x14ac:dyDescent="0.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105"/>
      <c r="M750" s="81"/>
      <c r="N750" s="105"/>
      <c r="O750" s="81"/>
      <c r="P750" s="105"/>
      <c r="Q750" s="81"/>
      <c r="R750" s="105"/>
      <c r="S750" s="81"/>
      <c r="T750" s="105"/>
      <c r="U750" s="81"/>
      <c r="V750" s="105"/>
      <c r="W750" s="81"/>
      <c r="X750" s="81"/>
      <c r="Y750" s="81"/>
      <c r="Z750" s="105"/>
      <c r="AA750" s="81"/>
      <c r="AB750" s="81"/>
      <c r="AC750" s="81"/>
      <c r="AD750" s="81"/>
    </row>
    <row r="751" spans="1:30" ht="24" customHeight="1" x14ac:dyDescent="0.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105"/>
      <c r="M751" s="81"/>
      <c r="N751" s="105"/>
      <c r="O751" s="81"/>
      <c r="P751" s="105"/>
      <c r="Q751" s="81"/>
      <c r="R751" s="105"/>
      <c r="S751" s="81"/>
      <c r="T751" s="105"/>
      <c r="U751" s="81"/>
      <c r="V751" s="105"/>
      <c r="W751" s="81"/>
      <c r="X751" s="81"/>
      <c r="Y751" s="81"/>
      <c r="Z751" s="105"/>
      <c r="AA751" s="81"/>
      <c r="AB751" s="81"/>
      <c r="AC751" s="81"/>
      <c r="AD751" s="81"/>
    </row>
    <row r="752" spans="1:30" ht="24" customHeight="1" x14ac:dyDescent="0.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105"/>
      <c r="M752" s="81"/>
      <c r="N752" s="105"/>
      <c r="O752" s="81"/>
      <c r="P752" s="105"/>
      <c r="Q752" s="81"/>
      <c r="R752" s="105"/>
      <c r="S752" s="81"/>
      <c r="T752" s="105"/>
      <c r="U752" s="81"/>
      <c r="V752" s="105"/>
      <c r="W752" s="81"/>
      <c r="X752" s="81"/>
      <c r="Y752" s="81"/>
      <c r="Z752" s="105"/>
      <c r="AA752" s="81"/>
      <c r="AB752" s="81"/>
      <c r="AC752" s="81"/>
      <c r="AD752" s="81"/>
    </row>
    <row r="753" spans="1:30" ht="24" customHeight="1" x14ac:dyDescent="0.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105"/>
      <c r="M753" s="81"/>
      <c r="N753" s="105"/>
      <c r="O753" s="81"/>
      <c r="P753" s="105"/>
      <c r="Q753" s="81"/>
      <c r="R753" s="105"/>
      <c r="S753" s="81"/>
      <c r="T753" s="105"/>
      <c r="U753" s="81"/>
      <c r="V753" s="105"/>
      <c r="W753" s="81"/>
      <c r="X753" s="81"/>
      <c r="Y753" s="81"/>
      <c r="Z753" s="105"/>
      <c r="AA753" s="81"/>
      <c r="AB753" s="81"/>
      <c r="AC753" s="81"/>
      <c r="AD753" s="81"/>
    </row>
    <row r="754" spans="1:30" ht="24" customHeight="1" x14ac:dyDescent="0.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105"/>
      <c r="M754" s="81"/>
      <c r="N754" s="105"/>
      <c r="O754" s="81"/>
      <c r="P754" s="105"/>
      <c r="Q754" s="81"/>
      <c r="R754" s="105"/>
      <c r="S754" s="81"/>
      <c r="T754" s="105"/>
      <c r="U754" s="81"/>
      <c r="V754" s="105"/>
      <c r="W754" s="81"/>
      <c r="X754" s="81"/>
      <c r="Y754" s="81"/>
      <c r="Z754" s="105"/>
      <c r="AA754" s="81"/>
      <c r="AB754" s="81"/>
      <c r="AC754" s="81"/>
      <c r="AD754" s="81"/>
    </row>
    <row r="755" spans="1:30" ht="24" customHeight="1" x14ac:dyDescent="0.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105"/>
      <c r="M755" s="81"/>
      <c r="N755" s="105"/>
      <c r="O755" s="81"/>
      <c r="P755" s="105"/>
      <c r="Q755" s="81"/>
      <c r="R755" s="105"/>
      <c r="S755" s="81"/>
      <c r="T755" s="105"/>
      <c r="U755" s="81"/>
      <c r="V755" s="105"/>
      <c r="W755" s="81"/>
      <c r="X755" s="81"/>
      <c r="Y755" s="81"/>
      <c r="Z755" s="105"/>
      <c r="AA755" s="81"/>
      <c r="AB755" s="81"/>
      <c r="AC755" s="81"/>
      <c r="AD755" s="81"/>
    </row>
    <row r="756" spans="1:30" ht="24" customHeight="1" x14ac:dyDescent="0.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105"/>
      <c r="M756" s="81"/>
      <c r="N756" s="105"/>
      <c r="O756" s="81"/>
      <c r="P756" s="105"/>
      <c r="Q756" s="81"/>
      <c r="R756" s="105"/>
      <c r="S756" s="81"/>
      <c r="T756" s="105"/>
      <c r="U756" s="81"/>
      <c r="V756" s="105"/>
      <c r="W756" s="81"/>
      <c r="X756" s="81"/>
      <c r="Y756" s="81"/>
      <c r="Z756" s="105"/>
      <c r="AA756" s="81"/>
      <c r="AB756" s="81"/>
      <c r="AC756" s="81"/>
      <c r="AD756" s="81"/>
    </row>
    <row r="757" spans="1:30" ht="24" customHeight="1" x14ac:dyDescent="0.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105"/>
      <c r="M757" s="81"/>
      <c r="N757" s="105"/>
      <c r="O757" s="81"/>
      <c r="P757" s="105"/>
      <c r="Q757" s="81"/>
      <c r="R757" s="105"/>
      <c r="S757" s="81"/>
      <c r="T757" s="105"/>
      <c r="U757" s="81"/>
      <c r="V757" s="105"/>
      <c r="W757" s="81"/>
      <c r="X757" s="81"/>
      <c r="Y757" s="81"/>
      <c r="Z757" s="105"/>
      <c r="AA757" s="81"/>
      <c r="AB757" s="81"/>
      <c r="AC757" s="81"/>
      <c r="AD757" s="81"/>
    </row>
    <row r="758" spans="1:30" ht="24" customHeight="1" x14ac:dyDescent="0.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105"/>
      <c r="M758" s="81"/>
      <c r="N758" s="105"/>
      <c r="O758" s="81"/>
      <c r="P758" s="105"/>
      <c r="Q758" s="81"/>
      <c r="R758" s="105"/>
      <c r="S758" s="81"/>
      <c r="T758" s="105"/>
      <c r="U758" s="81"/>
      <c r="V758" s="105"/>
      <c r="W758" s="81"/>
      <c r="X758" s="81"/>
      <c r="Y758" s="81"/>
      <c r="Z758" s="105"/>
      <c r="AA758" s="81"/>
      <c r="AB758" s="81"/>
      <c r="AC758" s="81"/>
      <c r="AD758" s="81"/>
    </row>
    <row r="759" spans="1:30" ht="24" customHeight="1" x14ac:dyDescent="0.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105"/>
      <c r="M759" s="81"/>
      <c r="N759" s="105"/>
      <c r="O759" s="81"/>
      <c r="P759" s="105"/>
      <c r="Q759" s="81"/>
      <c r="R759" s="105"/>
      <c r="S759" s="81"/>
      <c r="T759" s="105"/>
      <c r="U759" s="81"/>
      <c r="V759" s="105"/>
      <c r="W759" s="81"/>
      <c r="X759" s="81"/>
      <c r="Y759" s="81"/>
      <c r="Z759" s="105"/>
      <c r="AA759" s="81"/>
      <c r="AB759" s="81"/>
      <c r="AC759" s="81"/>
      <c r="AD759" s="81"/>
    </row>
    <row r="760" spans="1:30" ht="24" customHeight="1" x14ac:dyDescent="0.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105"/>
      <c r="M760" s="81"/>
      <c r="N760" s="105"/>
      <c r="O760" s="81"/>
      <c r="P760" s="105"/>
      <c r="Q760" s="81"/>
      <c r="R760" s="105"/>
      <c r="S760" s="81"/>
      <c r="T760" s="105"/>
      <c r="U760" s="81"/>
      <c r="V760" s="105"/>
      <c r="W760" s="81"/>
      <c r="X760" s="81"/>
      <c r="Y760" s="81"/>
      <c r="Z760" s="105"/>
      <c r="AA760" s="81"/>
      <c r="AB760" s="81"/>
      <c r="AC760" s="81"/>
      <c r="AD760" s="81"/>
    </row>
    <row r="761" spans="1:30" ht="24" customHeight="1" x14ac:dyDescent="0.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105"/>
      <c r="M761" s="81"/>
      <c r="N761" s="105"/>
      <c r="O761" s="81"/>
      <c r="P761" s="105"/>
      <c r="Q761" s="81"/>
      <c r="R761" s="105"/>
      <c r="S761" s="81"/>
      <c r="T761" s="105"/>
      <c r="U761" s="81"/>
      <c r="V761" s="105"/>
      <c r="W761" s="81"/>
      <c r="X761" s="81"/>
      <c r="Y761" s="81"/>
      <c r="Z761" s="105"/>
      <c r="AA761" s="81"/>
      <c r="AB761" s="81"/>
      <c r="AC761" s="81"/>
      <c r="AD761" s="81"/>
    </row>
    <row r="762" spans="1:30" ht="24" customHeight="1" x14ac:dyDescent="0.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105"/>
      <c r="M762" s="81"/>
      <c r="N762" s="105"/>
      <c r="O762" s="81"/>
      <c r="P762" s="105"/>
      <c r="Q762" s="81"/>
      <c r="R762" s="105"/>
      <c r="S762" s="81"/>
      <c r="T762" s="105"/>
      <c r="U762" s="81"/>
      <c r="V762" s="105"/>
      <c r="W762" s="81"/>
      <c r="X762" s="81"/>
      <c r="Y762" s="81"/>
      <c r="Z762" s="105"/>
      <c r="AA762" s="81"/>
      <c r="AB762" s="81"/>
      <c r="AC762" s="81"/>
      <c r="AD762" s="81"/>
    </row>
    <row r="763" spans="1:30" ht="24" customHeight="1" x14ac:dyDescent="0.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105"/>
      <c r="M763" s="81"/>
      <c r="N763" s="105"/>
      <c r="O763" s="81"/>
      <c r="P763" s="105"/>
      <c r="Q763" s="81"/>
      <c r="R763" s="105"/>
      <c r="S763" s="81"/>
      <c r="T763" s="105"/>
      <c r="U763" s="81"/>
      <c r="V763" s="105"/>
      <c r="W763" s="81"/>
      <c r="X763" s="81"/>
      <c r="Y763" s="81"/>
      <c r="Z763" s="105"/>
      <c r="AA763" s="81"/>
      <c r="AB763" s="81"/>
      <c r="AC763" s="81"/>
      <c r="AD763" s="81"/>
    </row>
    <row r="764" spans="1:30" ht="24" customHeight="1" x14ac:dyDescent="0.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105"/>
      <c r="M764" s="81"/>
      <c r="N764" s="105"/>
      <c r="O764" s="81"/>
      <c r="P764" s="105"/>
      <c r="Q764" s="81"/>
      <c r="R764" s="105"/>
      <c r="S764" s="81"/>
      <c r="T764" s="105"/>
      <c r="U764" s="81"/>
      <c r="V764" s="105"/>
      <c r="W764" s="81"/>
      <c r="X764" s="81"/>
      <c r="Y764" s="81"/>
      <c r="Z764" s="105"/>
      <c r="AA764" s="81"/>
      <c r="AB764" s="81"/>
      <c r="AC764" s="81"/>
      <c r="AD764" s="81"/>
    </row>
    <row r="765" spans="1:30" ht="24" customHeight="1" x14ac:dyDescent="0.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105"/>
      <c r="M765" s="81"/>
      <c r="N765" s="105"/>
      <c r="O765" s="81"/>
      <c r="P765" s="105"/>
      <c r="Q765" s="81"/>
      <c r="R765" s="105"/>
      <c r="S765" s="81"/>
      <c r="T765" s="105"/>
      <c r="U765" s="81"/>
      <c r="V765" s="105"/>
      <c r="W765" s="81"/>
      <c r="X765" s="81"/>
      <c r="Y765" s="81"/>
      <c r="Z765" s="105"/>
      <c r="AA765" s="81"/>
      <c r="AB765" s="81"/>
      <c r="AC765" s="81"/>
      <c r="AD765" s="81"/>
    </row>
    <row r="766" spans="1:30" ht="24" customHeight="1" x14ac:dyDescent="0.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105"/>
      <c r="M766" s="81"/>
      <c r="N766" s="105"/>
      <c r="O766" s="81"/>
      <c r="P766" s="105"/>
      <c r="Q766" s="81"/>
      <c r="R766" s="105"/>
      <c r="S766" s="81"/>
      <c r="T766" s="105"/>
      <c r="U766" s="81"/>
      <c r="V766" s="105"/>
      <c r="W766" s="81"/>
      <c r="X766" s="81"/>
      <c r="Y766" s="81"/>
      <c r="Z766" s="105"/>
      <c r="AA766" s="81"/>
      <c r="AB766" s="81"/>
      <c r="AC766" s="81"/>
      <c r="AD766" s="81"/>
    </row>
    <row r="767" spans="1:30" ht="24" customHeight="1" x14ac:dyDescent="0.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105"/>
      <c r="M767" s="81"/>
      <c r="N767" s="105"/>
      <c r="O767" s="81"/>
      <c r="P767" s="105"/>
      <c r="Q767" s="81"/>
      <c r="R767" s="105"/>
      <c r="S767" s="81"/>
      <c r="T767" s="105"/>
      <c r="U767" s="81"/>
      <c r="V767" s="105"/>
      <c r="W767" s="81"/>
      <c r="X767" s="81"/>
      <c r="Y767" s="81"/>
      <c r="Z767" s="105"/>
      <c r="AA767" s="81"/>
      <c r="AB767" s="81"/>
      <c r="AC767" s="81"/>
      <c r="AD767" s="81"/>
    </row>
    <row r="768" spans="1:30" ht="24" customHeight="1" x14ac:dyDescent="0.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105"/>
      <c r="M768" s="81"/>
      <c r="N768" s="105"/>
      <c r="O768" s="81"/>
      <c r="P768" s="105"/>
      <c r="Q768" s="81"/>
      <c r="R768" s="105"/>
      <c r="S768" s="81"/>
      <c r="T768" s="105"/>
      <c r="U768" s="81"/>
      <c r="V768" s="105"/>
      <c r="W768" s="81"/>
      <c r="X768" s="81"/>
      <c r="Y768" s="81"/>
      <c r="Z768" s="105"/>
      <c r="AA768" s="81"/>
      <c r="AB768" s="81"/>
      <c r="AC768" s="81"/>
      <c r="AD768" s="81"/>
    </row>
    <row r="769" spans="1:30" ht="24" customHeight="1" x14ac:dyDescent="0.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105"/>
      <c r="M769" s="81"/>
      <c r="N769" s="105"/>
      <c r="O769" s="81"/>
      <c r="P769" s="105"/>
      <c r="Q769" s="81"/>
      <c r="R769" s="105"/>
      <c r="S769" s="81"/>
      <c r="T769" s="105"/>
      <c r="U769" s="81"/>
      <c r="V769" s="105"/>
      <c r="W769" s="81"/>
      <c r="X769" s="81"/>
      <c r="Y769" s="81"/>
      <c r="Z769" s="105"/>
      <c r="AA769" s="81"/>
      <c r="AB769" s="81"/>
      <c r="AC769" s="81"/>
      <c r="AD769" s="81"/>
    </row>
    <row r="770" spans="1:30" ht="24" customHeight="1" x14ac:dyDescent="0.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105"/>
      <c r="M770" s="81"/>
      <c r="N770" s="105"/>
      <c r="O770" s="81"/>
      <c r="P770" s="105"/>
      <c r="Q770" s="81"/>
      <c r="R770" s="105"/>
      <c r="S770" s="81"/>
      <c r="T770" s="105"/>
      <c r="U770" s="81"/>
      <c r="V770" s="105"/>
      <c r="W770" s="81"/>
      <c r="X770" s="81"/>
      <c r="Y770" s="81"/>
      <c r="Z770" s="105"/>
      <c r="AA770" s="81"/>
      <c r="AB770" s="81"/>
      <c r="AC770" s="81"/>
      <c r="AD770" s="81"/>
    </row>
    <row r="771" spans="1:30" ht="24" customHeight="1" x14ac:dyDescent="0.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105"/>
      <c r="M771" s="81"/>
      <c r="N771" s="105"/>
      <c r="O771" s="81"/>
      <c r="P771" s="105"/>
      <c r="Q771" s="81"/>
      <c r="R771" s="105"/>
      <c r="S771" s="81"/>
      <c r="T771" s="105"/>
      <c r="U771" s="81"/>
      <c r="V771" s="105"/>
      <c r="W771" s="81"/>
      <c r="X771" s="81"/>
      <c r="Y771" s="81"/>
      <c r="Z771" s="105"/>
      <c r="AA771" s="81"/>
      <c r="AB771" s="81"/>
      <c r="AC771" s="81"/>
      <c r="AD771" s="81"/>
    </row>
    <row r="772" spans="1:30" ht="24" customHeight="1" x14ac:dyDescent="0.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105"/>
      <c r="M772" s="81"/>
      <c r="N772" s="105"/>
      <c r="O772" s="81"/>
      <c r="P772" s="105"/>
      <c r="Q772" s="81"/>
      <c r="R772" s="105"/>
      <c r="S772" s="81"/>
      <c r="T772" s="105"/>
      <c r="U772" s="81"/>
      <c r="V772" s="105"/>
      <c r="W772" s="81"/>
      <c r="X772" s="81"/>
      <c r="Y772" s="81"/>
      <c r="Z772" s="105"/>
      <c r="AA772" s="81"/>
      <c r="AB772" s="81"/>
      <c r="AC772" s="81"/>
      <c r="AD772" s="81"/>
    </row>
    <row r="773" spans="1:30" ht="24" customHeight="1" x14ac:dyDescent="0.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105"/>
      <c r="M773" s="81"/>
      <c r="N773" s="105"/>
      <c r="O773" s="81"/>
      <c r="P773" s="105"/>
      <c r="Q773" s="81"/>
      <c r="R773" s="105"/>
      <c r="S773" s="81"/>
      <c r="T773" s="105"/>
      <c r="U773" s="81"/>
      <c r="V773" s="105"/>
      <c r="W773" s="81"/>
      <c r="X773" s="81"/>
      <c r="Y773" s="81"/>
      <c r="Z773" s="105"/>
      <c r="AA773" s="81"/>
      <c r="AB773" s="81"/>
      <c r="AC773" s="81"/>
      <c r="AD773" s="81"/>
    </row>
    <row r="774" spans="1:30" ht="24" customHeight="1" x14ac:dyDescent="0.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105"/>
      <c r="M774" s="81"/>
      <c r="N774" s="105"/>
      <c r="O774" s="81"/>
      <c r="P774" s="105"/>
      <c r="Q774" s="81"/>
      <c r="R774" s="105"/>
      <c r="S774" s="81"/>
      <c r="T774" s="105"/>
      <c r="U774" s="81"/>
      <c r="V774" s="105"/>
      <c r="W774" s="81"/>
      <c r="X774" s="81"/>
      <c r="Y774" s="81"/>
      <c r="Z774" s="105"/>
      <c r="AA774" s="81"/>
      <c r="AB774" s="81"/>
      <c r="AC774" s="81"/>
      <c r="AD774" s="81"/>
    </row>
    <row r="775" spans="1:30" ht="24" customHeight="1" x14ac:dyDescent="0.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105"/>
      <c r="M775" s="81"/>
      <c r="N775" s="105"/>
      <c r="O775" s="81"/>
      <c r="P775" s="105"/>
      <c r="Q775" s="81"/>
      <c r="R775" s="105"/>
      <c r="S775" s="81"/>
      <c r="T775" s="105"/>
      <c r="U775" s="81"/>
      <c r="V775" s="105"/>
      <c r="W775" s="81"/>
      <c r="X775" s="81"/>
      <c r="Y775" s="81"/>
      <c r="Z775" s="105"/>
      <c r="AA775" s="81"/>
      <c r="AB775" s="81"/>
      <c r="AC775" s="81"/>
      <c r="AD775" s="81"/>
    </row>
    <row r="776" spans="1:30" ht="24" customHeight="1" x14ac:dyDescent="0.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105"/>
      <c r="M776" s="81"/>
      <c r="N776" s="105"/>
      <c r="O776" s="81"/>
      <c r="P776" s="105"/>
      <c r="Q776" s="81"/>
      <c r="R776" s="105"/>
      <c r="S776" s="81"/>
      <c r="T776" s="105"/>
      <c r="U776" s="81"/>
      <c r="V776" s="105"/>
      <c r="W776" s="81"/>
      <c r="X776" s="81"/>
      <c r="Y776" s="81"/>
      <c r="Z776" s="105"/>
      <c r="AA776" s="81"/>
      <c r="AB776" s="81"/>
      <c r="AC776" s="81"/>
      <c r="AD776" s="81"/>
    </row>
    <row r="777" spans="1:30" ht="24" customHeight="1" x14ac:dyDescent="0.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105"/>
      <c r="M777" s="81"/>
      <c r="N777" s="105"/>
      <c r="O777" s="81"/>
      <c r="P777" s="105"/>
      <c r="Q777" s="81"/>
      <c r="R777" s="105"/>
      <c r="S777" s="81"/>
      <c r="T777" s="105"/>
      <c r="U777" s="81"/>
      <c r="V777" s="105"/>
      <c r="W777" s="81"/>
      <c r="X777" s="81"/>
      <c r="Y777" s="81"/>
      <c r="Z777" s="105"/>
      <c r="AA777" s="81"/>
      <c r="AB777" s="81"/>
      <c r="AC777" s="81"/>
      <c r="AD777" s="81"/>
    </row>
    <row r="778" spans="1:30" ht="24" customHeight="1" x14ac:dyDescent="0.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105"/>
      <c r="M778" s="81"/>
      <c r="N778" s="105"/>
      <c r="O778" s="81"/>
      <c r="P778" s="105"/>
      <c r="Q778" s="81"/>
      <c r="R778" s="105"/>
      <c r="S778" s="81"/>
      <c r="T778" s="105"/>
      <c r="U778" s="81"/>
      <c r="V778" s="105"/>
      <c r="W778" s="81"/>
      <c r="X778" s="81"/>
      <c r="Y778" s="81"/>
      <c r="Z778" s="105"/>
      <c r="AA778" s="81"/>
      <c r="AB778" s="81"/>
      <c r="AC778" s="81"/>
      <c r="AD778" s="81"/>
    </row>
    <row r="779" spans="1:30" ht="24" customHeight="1" x14ac:dyDescent="0.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105"/>
      <c r="M779" s="81"/>
      <c r="N779" s="105"/>
      <c r="O779" s="81"/>
      <c r="P779" s="105"/>
      <c r="Q779" s="81"/>
      <c r="R779" s="105"/>
      <c r="S779" s="81"/>
      <c r="T779" s="105"/>
      <c r="U779" s="81"/>
      <c r="V779" s="105"/>
      <c r="W779" s="81"/>
      <c r="X779" s="81"/>
      <c r="Y779" s="81"/>
      <c r="Z779" s="105"/>
      <c r="AA779" s="81"/>
      <c r="AB779" s="81"/>
      <c r="AC779" s="81"/>
      <c r="AD779" s="81"/>
    </row>
    <row r="780" spans="1:30" ht="24" customHeight="1" x14ac:dyDescent="0.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105"/>
      <c r="M780" s="81"/>
      <c r="N780" s="105"/>
      <c r="O780" s="81"/>
      <c r="P780" s="105"/>
      <c r="Q780" s="81"/>
      <c r="R780" s="105"/>
      <c r="S780" s="81"/>
      <c r="T780" s="105"/>
      <c r="U780" s="81"/>
      <c r="V780" s="105"/>
      <c r="W780" s="81"/>
      <c r="X780" s="81"/>
      <c r="Y780" s="81"/>
      <c r="Z780" s="105"/>
      <c r="AA780" s="81"/>
      <c r="AB780" s="81"/>
      <c r="AC780" s="81"/>
      <c r="AD780" s="81"/>
    </row>
    <row r="781" spans="1:30" ht="24" customHeight="1" x14ac:dyDescent="0.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105"/>
      <c r="M781" s="81"/>
      <c r="N781" s="105"/>
      <c r="O781" s="81"/>
      <c r="P781" s="105"/>
      <c r="Q781" s="81"/>
      <c r="R781" s="105"/>
      <c r="S781" s="81"/>
      <c r="T781" s="105"/>
      <c r="U781" s="81"/>
      <c r="V781" s="105"/>
      <c r="W781" s="81"/>
      <c r="X781" s="81"/>
      <c r="Y781" s="81"/>
      <c r="Z781" s="105"/>
      <c r="AA781" s="81"/>
      <c r="AB781" s="81"/>
      <c r="AC781" s="81"/>
      <c r="AD781" s="81"/>
    </row>
    <row r="782" spans="1:30" ht="24" customHeight="1" x14ac:dyDescent="0.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105"/>
      <c r="M782" s="81"/>
      <c r="N782" s="105"/>
      <c r="O782" s="81"/>
      <c r="P782" s="105"/>
      <c r="Q782" s="81"/>
      <c r="R782" s="105"/>
      <c r="S782" s="81"/>
      <c r="T782" s="105"/>
      <c r="U782" s="81"/>
      <c r="V782" s="105"/>
      <c r="W782" s="81"/>
      <c r="X782" s="81"/>
      <c r="Y782" s="81"/>
      <c r="Z782" s="105"/>
      <c r="AA782" s="81"/>
      <c r="AB782" s="81"/>
      <c r="AC782" s="81"/>
      <c r="AD782" s="81"/>
    </row>
    <row r="783" spans="1:30" ht="24" customHeight="1" x14ac:dyDescent="0.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105"/>
      <c r="M783" s="81"/>
      <c r="N783" s="105"/>
      <c r="O783" s="81"/>
      <c r="P783" s="105"/>
      <c r="Q783" s="81"/>
      <c r="R783" s="105"/>
      <c r="S783" s="81"/>
      <c r="T783" s="105"/>
      <c r="U783" s="81"/>
      <c r="V783" s="105"/>
      <c r="W783" s="81"/>
      <c r="X783" s="81"/>
      <c r="Y783" s="81"/>
      <c r="Z783" s="105"/>
      <c r="AA783" s="81"/>
      <c r="AB783" s="81"/>
      <c r="AC783" s="81"/>
      <c r="AD783" s="81"/>
    </row>
    <row r="784" spans="1:30" ht="24" customHeight="1" x14ac:dyDescent="0.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105"/>
      <c r="M784" s="81"/>
      <c r="N784" s="105"/>
      <c r="O784" s="81"/>
      <c r="P784" s="105"/>
      <c r="Q784" s="81"/>
      <c r="R784" s="105"/>
      <c r="S784" s="81"/>
      <c r="T784" s="105"/>
      <c r="U784" s="81"/>
      <c r="V784" s="105"/>
      <c r="W784" s="81"/>
      <c r="X784" s="81"/>
      <c r="Y784" s="81"/>
      <c r="Z784" s="105"/>
      <c r="AA784" s="81"/>
      <c r="AB784" s="81"/>
      <c r="AC784" s="81"/>
      <c r="AD784" s="81"/>
    </row>
    <row r="785" spans="1:30" ht="24" customHeight="1" x14ac:dyDescent="0.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105"/>
      <c r="M785" s="81"/>
      <c r="N785" s="105"/>
      <c r="O785" s="81"/>
      <c r="P785" s="105"/>
      <c r="Q785" s="81"/>
      <c r="R785" s="105"/>
      <c r="S785" s="81"/>
      <c r="T785" s="105"/>
      <c r="U785" s="81"/>
      <c r="V785" s="105"/>
      <c r="W785" s="81"/>
      <c r="X785" s="81"/>
      <c r="Y785" s="81"/>
      <c r="Z785" s="105"/>
      <c r="AA785" s="81"/>
      <c r="AB785" s="81"/>
      <c r="AC785" s="81"/>
      <c r="AD785" s="81"/>
    </row>
    <row r="786" spans="1:30" ht="24" customHeight="1" x14ac:dyDescent="0.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105"/>
      <c r="M786" s="81"/>
      <c r="N786" s="105"/>
      <c r="O786" s="81"/>
      <c r="P786" s="105"/>
      <c r="Q786" s="81"/>
      <c r="R786" s="105"/>
      <c r="S786" s="81"/>
      <c r="T786" s="105"/>
      <c r="U786" s="81"/>
      <c r="V786" s="105"/>
      <c r="W786" s="81"/>
      <c r="X786" s="81"/>
      <c r="Y786" s="81"/>
      <c r="Z786" s="105"/>
      <c r="AA786" s="81"/>
      <c r="AB786" s="81"/>
      <c r="AC786" s="81"/>
      <c r="AD786" s="81"/>
    </row>
    <row r="787" spans="1:30" ht="24" customHeight="1" x14ac:dyDescent="0.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105"/>
      <c r="M787" s="81"/>
      <c r="N787" s="105"/>
      <c r="O787" s="81"/>
      <c r="P787" s="105"/>
      <c r="Q787" s="81"/>
      <c r="R787" s="105"/>
      <c r="S787" s="81"/>
      <c r="T787" s="105"/>
      <c r="U787" s="81"/>
      <c r="V787" s="105"/>
      <c r="W787" s="81"/>
      <c r="X787" s="81"/>
      <c r="Y787" s="81"/>
      <c r="Z787" s="105"/>
      <c r="AA787" s="81"/>
      <c r="AB787" s="81"/>
      <c r="AC787" s="81"/>
      <c r="AD787" s="81"/>
    </row>
    <row r="788" spans="1:30" ht="24" customHeight="1" x14ac:dyDescent="0.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105"/>
      <c r="M788" s="81"/>
      <c r="N788" s="105"/>
      <c r="O788" s="81"/>
      <c r="P788" s="105"/>
      <c r="Q788" s="81"/>
      <c r="R788" s="105"/>
      <c r="S788" s="81"/>
      <c r="T788" s="105"/>
      <c r="U788" s="81"/>
      <c r="V788" s="105"/>
      <c r="W788" s="81"/>
      <c r="X788" s="81"/>
      <c r="Y788" s="81"/>
      <c r="Z788" s="105"/>
      <c r="AA788" s="81"/>
      <c r="AB788" s="81"/>
      <c r="AC788" s="81"/>
      <c r="AD788" s="81"/>
    </row>
    <row r="789" spans="1:30" ht="24" customHeight="1" x14ac:dyDescent="0.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105"/>
      <c r="M789" s="81"/>
      <c r="N789" s="105"/>
      <c r="O789" s="81"/>
      <c r="P789" s="105"/>
      <c r="Q789" s="81"/>
      <c r="R789" s="105"/>
      <c r="S789" s="81"/>
      <c r="T789" s="105"/>
      <c r="U789" s="81"/>
      <c r="V789" s="105"/>
      <c r="W789" s="81"/>
      <c r="X789" s="81"/>
      <c r="Y789" s="81"/>
      <c r="Z789" s="105"/>
      <c r="AA789" s="81"/>
      <c r="AB789" s="81"/>
      <c r="AC789" s="81"/>
      <c r="AD789" s="81"/>
    </row>
    <row r="790" spans="1:30" ht="24" customHeight="1" x14ac:dyDescent="0.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105"/>
      <c r="M790" s="81"/>
      <c r="N790" s="105"/>
      <c r="O790" s="81"/>
      <c r="P790" s="105"/>
      <c r="Q790" s="81"/>
      <c r="R790" s="105"/>
      <c r="S790" s="81"/>
      <c r="T790" s="105"/>
      <c r="U790" s="81"/>
      <c r="V790" s="105"/>
      <c r="W790" s="81"/>
      <c r="X790" s="81"/>
      <c r="Y790" s="81"/>
      <c r="Z790" s="105"/>
      <c r="AA790" s="81"/>
      <c r="AB790" s="81"/>
      <c r="AC790" s="81"/>
      <c r="AD790" s="81"/>
    </row>
    <row r="791" spans="1:30" ht="24" customHeight="1" x14ac:dyDescent="0.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105"/>
      <c r="M791" s="81"/>
      <c r="N791" s="105"/>
      <c r="O791" s="81"/>
      <c r="P791" s="105"/>
      <c r="Q791" s="81"/>
      <c r="R791" s="105"/>
      <c r="S791" s="81"/>
      <c r="T791" s="105"/>
      <c r="U791" s="81"/>
      <c r="V791" s="105"/>
      <c r="W791" s="81"/>
      <c r="X791" s="81"/>
      <c r="Y791" s="81"/>
      <c r="Z791" s="105"/>
      <c r="AA791" s="81"/>
      <c r="AB791" s="81"/>
      <c r="AC791" s="81"/>
      <c r="AD791" s="81"/>
    </row>
    <row r="792" spans="1:30" ht="24" customHeight="1" x14ac:dyDescent="0.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105"/>
      <c r="M792" s="81"/>
      <c r="N792" s="105"/>
      <c r="O792" s="81"/>
      <c r="P792" s="105"/>
      <c r="Q792" s="81"/>
      <c r="R792" s="105"/>
      <c r="S792" s="81"/>
      <c r="T792" s="105"/>
      <c r="U792" s="81"/>
      <c r="V792" s="105"/>
      <c r="W792" s="81"/>
      <c r="X792" s="81"/>
      <c r="Y792" s="81"/>
      <c r="Z792" s="105"/>
      <c r="AA792" s="81"/>
      <c r="AB792" s="81"/>
      <c r="AC792" s="81"/>
      <c r="AD792" s="81"/>
    </row>
    <row r="793" spans="1:30" ht="24" customHeight="1" x14ac:dyDescent="0.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105"/>
      <c r="M793" s="81"/>
      <c r="N793" s="105"/>
      <c r="O793" s="81"/>
      <c r="P793" s="105"/>
      <c r="Q793" s="81"/>
      <c r="R793" s="105"/>
      <c r="S793" s="81"/>
      <c r="T793" s="105"/>
      <c r="U793" s="81"/>
      <c r="V793" s="105"/>
      <c r="W793" s="81"/>
      <c r="X793" s="81"/>
      <c r="Y793" s="81"/>
      <c r="Z793" s="105"/>
      <c r="AA793" s="81"/>
      <c r="AB793" s="81"/>
      <c r="AC793" s="81"/>
      <c r="AD793" s="81"/>
    </row>
    <row r="794" spans="1:30" ht="24" customHeight="1" x14ac:dyDescent="0.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105"/>
      <c r="M794" s="81"/>
      <c r="N794" s="105"/>
      <c r="O794" s="81"/>
      <c r="P794" s="105"/>
      <c r="Q794" s="81"/>
      <c r="R794" s="105"/>
      <c r="S794" s="81"/>
      <c r="T794" s="105"/>
      <c r="U794" s="81"/>
      <c r="V794" s="105"/>
      <c r="W794" s="81"/>
      <c r="X794" s="81"/>
      <c r="Y794" s="81"/>
      <c r="Z794" s="105"/>
      <c r="AA794" s="81"/>
      <c r="AB794" s="81"/>
      <c r="AC794" s="81"/>
      <c r="AD794" s="81"/>
    </row>
    <row r="795" spans="1:30" ht="24" customHeight="1" x14ac:dyDescent="0.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105"/>
      <c r="M795" s="81"/>
      <c r="N795" s="105"/>
      <c r="O795" s="81"/>
      <c r="P795" s="105"/>
      <c r="Q795" s="81"/>
      <c r="R795" s="105"/>
      <c r="S795" s="81"/>
      <c r="T795" s="105"/>
      <c r="U795" s="81"/>
      <c r="V795" s="105"/>
      <c r="W795" s="81"/>
      <c r="X795" s="81"/>
      <c r="Y795" s="81"/>
      <c r="Z795" s="105"/>
      <c r="AA795" s="81"/>
      <c r="AB795" s="81"/>
      <c r="AC795" s="81"/>
      <c r="AD795" s="81"/>
    </row>
    <row r="796" spans="1:30" ht="24" customHeight="1" x14ac:dyDescent="0.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105"/>
      <c r="M796" s="81"/>
      <c r="N796" s="105"/>
      <c r="O796" s="81"/>
      <c r="P796" s="105"/>
      <c r="Q796" s="81"/>
      <c r="R796" s="105"/>
      <c r="S796" s="81"/>
      <c r="T796" s="105"/>
      <c r="U796" s="81"/>
      <c r="V796" s="105"/>
      <c r="W796" s="81"/>
      <c r="X796" s="81"/>
      <c r="Y796" s="81"/>
      <c r="Z796" s="105"/>
      <c r="AA796" s="81"/>
      <c r="AB796" s="81"/>
      <c r="AC796" s="81"/>
      <c r="AD796" s="81"/>
    </row>
    <row r="797" spans="1:30" ht="24" customHeight="1" x14ac:dyDescent="0.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105"/>
      <c r="M797" s="81"/>
      <c r="N797" s="105"/>
      <c r="O797" s="81"/>
      <c r="P797" s="105"/>
      <c r="Q797" s="81"/>
      <c r="R797" s="105"/>
      <c r="S797" s="81"/>
      <c r="T797" s="105"/>
      <c r="U797" s="81"/>
      <c r="V797" s="105"/>
      <c r="W797" s="81"/>
      <c r="X797" s="81"/>
      <c r="Y797" s="81"/>
      <c r="Z797" s="105"/>
      <c r="AA797" s="81"/>
      <c r="AB797" s="81"/>
      <c r="AC797" s="81"/>
      <c r="AD797" s="81"/>
    </row>
    <row r="798" spans="1:30" ht="24" customHeight="1" x14ac:dyDescent="0.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105"/>
      <c r="M798" s="81"/>
      <c r="N798" s="105"/>
      <c r="O798" s="81"/>
      <c r="P798" s="105"/>
      <c r="Q798" s="81"/>
      <c r="R798" s="105"/>
      <c r="S798" s="81"/>
      <c r="T798" s="105"/>
      <c r="U798" s="81"/>
      <c r="V798" s="105"/>
      <c r="W798" s="81"/>
      <c r="X798" s="81"/>
      <c r="Y798" s="81"/>
      <c r="Z798" s="105"/>
      <c r="AA798" s="81"/>
      <c r="AB798" s="81"/>
      <c r="AC798" s="81"/>
      <c r="AD798" s="81"/>
    </row>
    <row r="799" spans="1:30" ht="24" customHeight="1" x14ac:dyDescent="0.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105"/>
      <c r="M799" s="81"/>
      <c r="N799" s="105"/>
      <c r="O799" s="81"/>
      <c r="P799" s="105"/>
      <c r="Q799" s="81"/>
      <c r="R799" s="105"/>
      <c r="S799" s="81"/>
      <c r="T799" s="105"/>
      <c r="U799" s="81"/>
      <c r="V799" s="105"/>
      <c r="W799" s="81"/>
      <c r="X799" s="81"/>
      <c r="Y799" s="81"/>
      <c r="Z799" s="105"/>
      <c r="AA799" s="81"/>
      <c r="AB799" s="81"/>
      <c r="AC799" s="81"/>
      <c r="AD799" s="81"/>
    </row>
    <row r="800" spans="1:30" ht="24" customHeight="1" x14ac:dyDescent="0.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105"/>
      <c r="M800" s="81"/>
      <c r="N800" s="105"/>
      <c r="O800" s="81"/>
      <c r="P800" s="105"/>
      <c r="Q800" s="81"/>
      <c r="R800" s="105"/>
      <c r="S800" s="81"/>
      <c r="T800" s="105"/>
      <c r="U800" s="81"/>
      <c r="V800" s="105"/>
      <c r="W800" s="81"/>
      <c r="X800" s="81"/>
      <c r="Y800" s="81"/>
      <c r="Z800" s="105"/>
      <c r="AA800" s="81"/>
      <c r="AB800" s="81"/>
      <c r="AC800" s="81"/>
      <c r="AD800" s="81"/>
    </row>
    <row r="801" spans="1:30" ht="24" customHeight="1" x14ac:dyDescent="0.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105"/>
      <c r="M801" s="81"/>
      <c r="N801" s="105"/>
      <c r="O801" s="81"/>
      <c r="P801" s="105"/>
      <c r="Q801" s="81"/>
      <c r="R801" s="105"/>
      <c r="S801" s="81"/>
      <c r="T801" s="105"/>
      <c r="U801" s="81"/>
      <c r="V801" s="105"/>
      <c r="W801" s="81"/>
      <c r="X801" s="81"/>
      <c r="Y801" s="81"/>
      <c r="Z801" s="105"/>
      <c r="AA801" s="81"/>
      <c r="AB801" s="81"/>
      <c r="AC801" s="81"/>
      <c r="AD801" s="81"/>
    </row>
    <row r="802" spans="1:30" ht="24" customHeight="1" x14ac:dyDescent="0.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105"/>
      <c r="M802" s="81"/>
      <c r="N802" s="105"/>
      <c r="O802" s="81"/>
      <c r="P802" s="105"/>
      <c r="Q802" s="81"/>
      <c r="R802" s="105"/>
      <c r="S802" s="81"/>
      <c r="T802" s="105"/>
      <c r="U802" s="81"/>
      <c r="V802" s="105"/>
      <c r="W802" s="81"/>
      <c r="X802" s="81"/>
      <c r="Y802" s="81"/>
      <c r="Z802" s="105"/>
      <c r="AA802" s="81"/>
      <c r="AB802" s="81"/>
      <c r="AC802" s="81"/>
      <c r="AD802" s="81"/>
    </row>
    <row r="803" spans="1:30" ht="24" customHeight="1" x14ac:dyDescent="0.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105"/>
      <c r="M803" s="81"/>
      <c r="N803" s="105"/>
      <c r="O803" s="81"/>
      <c r="P803" s="105"/>
      <c r="Q803" s="81"/>
      <c r="R803" s="105"/>
      <c r="S803" s="81"/>
      <c r="T803" s="105"/>
      <c r="U803" s="81"/>
      <c r="V803" s="105"/>
      <c r="W803" s="81"/>
      <c r="X803" s="81"/>
      <c r="Y803" s="81"/>
      <c r="Z803" s="105"/>
      <c r="AA803" s="81"/>
      <c r="AB803" s="81"/>
      <c r="AC803" s="81"/>
      <c r="AD803" s="81"/>
    </row>
    <row r="804" spans="1:30" ht="24" customHeight="1" x14ac:dyDescent="0.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105"/>
      <c r="M804" s="81"/>
      <c r="N804" s="105"/>
      <c r="O804" s="81"/>
      <c r="P804" s="105"/>
      <c r="Q804" s="81"/>
      <c r="R804" s="105"/>
      <c r="S804" s="81"/>
      <c r="T804" s="105"/>
      <c r="U804" s="81"/>
      <c r="V804" s="105"/>
      <c r="W804" s="81"/>
      <c r="X804" s="81"/>
      <c r="Y804" s="81"/>
      <c r="Z804" s="105"/>
      <c r="AA804" s="81"/>
      <c r="AB804" s="81"/>
      <c r="AC804" s="81"/>
      <c r="AD804" s="81"/>
    </row>
    <row r="805" spans="1:30" ht="24" customHeight="1" x14ac:dyDescent="0.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105"/>
      <c r="M805" s="81"/>
      <c r="N805" s="105"/>
      <c r="O805" s="81"/>
      <c r="P805" s="105"/>
      <c r="Q805" s="81"/>
      <c r="R805" s="105"/>
      <c r="S805" s="81"/>
      <c r="T805" s="105"/>
      <c r="U805" s="81"/>
      <c r="V805" s="105"/>
      <c r="W805" s="81"/>
      <c r="X805" s="81"/>
      <c r="Y805" s="81"/>
      <c r="Z805" s="105"/>
      <c r="AA805" s="81"/>
      <c r="AB805" s="81"/>
      <c r="AC805" s="81"/>
      <c r="AD805" s="81"/>
    </row>
    <row r="806" spans="1:30" ht="24" customHeight="1" x14ac:dyDescent="0.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105"/>
      <c r="M806" s="81"/>
      <c r="N806" s="105"/>
      <c r="O806" s="81"/>
      <c r="P806" s="105"/>
      <c r="Q806" s="81"/>
      <c r="R806" s="105"/>
      <c r="S806" s="81"/>
      <c r="T806" s="105"/>
      <c r="U806" s="81"/>
      <c r="V806" s="105"/>
      <c r="W806" s="81"/>
      <c r="X806" s="81"/>
      <c r="Y806" s="81"/>
      <c r="Z806" s="105"/>
      <c r="AA806" s="81"/>
      <c r="AB806" s="81"/>
      <c r="AC806" s="81"/>
      <c r="AD806" s="81"/>
    </row>
    <row r="807" spans="1:30" ht="24" customHeight="1" x14ac:dyDescent="0.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105"/>
      <c r="M807" s="81"/>
      <c r="N807" s="105"/>
      <c r="O807" s="81"/>
      <c r="P807" s="105"/>
      <c r="Q807" s="81"/>
      <c r="R807" s="105"/>
      <c r="S807" s="81"/>
      <c r="T807" s="105"/>
      <c r="U807" s="81"/>
      <c r="V807" s="105"/>
      <c r="W807" s="81"/>
      <c r="X807" s="81"/>
      <c r="Y807" s="81"/>
      <c r="Z807" s="105"/>
      <c r="AA807" s="81"/>
      <c r="AB807" s="81"/>
      <c r="AC807" s="81"/>
      <c r="AD807" s="81"/>
    </row>
    <row r="808" spans="1:30" ht="24" customHeight="1" x14ac:dyDescent="0.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105"/>
      <c r="M808" s="81"/>
      <c r="N808" s="105"/>
      <c r="O808" s="81"/>
      <c r="P808" s="105"/>
      <c r="Q808" s="81"/>
      <c r="R808" s="105"/>
      <c r="S808" s="81"/>
      <c r="T808" s="105"/>
      <c r="U808" s="81"/>
      <c r="V808" s="105"/>
      <c r="W808" s="81"/>
      <c r="X808" s="81"/>
      <c r="Y808" s="81"/>
      <c r="Z808" s="105"/>
      <c r="AA808" s="81"/>
      <c r="AB808" s="81"/>
      <c r="AC808" s="81"/>
      <c r="AD808" s="81"/>
    </row>
    <row r="809" spans="1:30" ht="24" customHeight="1" x14ac:dyDescent="0.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105"/>
      <c r="M809" s="81"/>
      <c r="N809" s="105"/>
      <c r="O809" s="81"/>
      <c r="P809" s="105"/>
      <c r="Q809" s="81"/>
      <c r="R809" s="105"/>
      <c r="S809" s="81"/>
      <c r="T809" s="105"/>
      <c r="U809" s="81"/>
      <c r="V809" s="105"/>
      <c r="W809" s="81"/>
      <c r="X809" s="81"/>
      <c r="Y809" s="81"/>
      <c r="Z809" s="105"/>
      <c r="AA809" s="81"/>
      <c r="AB809" s="81"/>
      <c r="AC809" s="81"/>
      <c r="AD809" s="81"/>
    </row>
    <row r="810" spans="1:30" ht="24" customHeight="1" x14ac:dyDescent="0.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105"/>
      <c r="M810" s="81"/>
      <c r="N810" s="105"/>
      <c r="O810" s="81"/>
      <c r="P810" s="105"/>
      <c r="Q810" s="81"/>
      <c r="R810" s="105"/>
      <c r="S810" s="81"/>
      <c r="T810" s="105"/>
      <c r="U810" s="81"/>
      <c r="V810" s="105"/>
      <c r="W810" s="81"/>
      <c r="X810" s="81"/>
      <c r="Y810" s="81"/>
      <c r="Z810" s="105"/>
      <c r="AA810" s="81"/>
      <c r="AB810" s="81"/>
      <c r="AC810" s="81"/>
      <c r="AD810" s="81"/>
    </row>
    <row r="811" spans="1:30" ht="24" customHeight="1" x14ac:dyDescent="0.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105"/>
      <c r="M811" s="81"/>
      <c r="N811" s="105"/>
      <c r="O811" s="81"/>
      <c r="P811" s="105"/>
      <c r="Q811" s="81"/>
      <c r="R811" s="105"/>
      <c r="S811" s="81"/>
      <c r="T811" s="105"/>
      <c r="U811" s="81"/>
      <c r="V811" s="105"/>
      <c r="W811" s="81"/>
      <c r="X811" s="81"/>
      <c r="Y811" s="81"/>
      <c r="Z811" s="105"/>
      <c r="AA811" s="81"/>
      <c r="AB811" s="81"/>
      <c r="AC811" s="81"/>
      <c r="AD811" s="81"/>
    </row>
    <row r="812" spans="1:30" ht="24" customHeight="1" x14ac:dyDescent="0.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105"/>
      <c r="M812" s="81"/>
      <c r="N812" s="105"/>
      <c r="O812" s="81"/>
      <c r="P812" s="105"/>
      <c r="Q812" s="81"/>
      <c r="R812" s="105"/>
      <c r="S812" s="81"/>
      <c r="T812" s="105"/>
      <c r="U812" s="81"/>
      <c r="V812" s="105"/>
      <c r="W812" s="81"/>
      <c r="X812" s="81"/>
      <c r="Y812" s="81"/>
      <c r="Z812" s="105"/>
      <c r="AA812" s="81"/>
      <c r="AB812" s="81"/>
      <c r="AC812" s="81"/>
      <c r="AD812" s="81"/>
    </row>
    <row r="813" spans="1:30" ht="24" customHeight="1" x14ac:dyDescent="0.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105"/>
      <c r="M813" s="81"/>
      <c r="N813" s="105"/>
      <c r="O813" s="81"/>
      <c r="P813" s="105"/>
      <c r="Q813" s="81"/>
      <c r="R813" s="105"/>
      <c r="S813" s="81"/>
      <c r="T813" s="105"/>
      <c r="U813" s="81"/>
      <c r="V813" s="105"/>
      <c r="W813" s="81"/>
      <c r="X813" s="81"/>
      <c r="Y813" s="81"/>
      <c r="Z813" s="105"/>
      <c r="AA813" s="81"/>
      <c r="AB813" s="81"/>
      <c r="AC813" s="81"/>
      <c r="AD813" s="81"/>
    </row>
    <row r="814" spans="1:30" ht="24" customHeight="1" x14ac:dyDescent="0.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105"/>
      <c r="M814" s="81"/>
      <c r="N814" s="105"/>
      <c r="O814" s="81"/>
      <c r="P814" s="105"/>
      <c r="Q814" s="81"/>
      <c r="R814" s="105"/>
      <c r="S814" s="81"/>
      <c r="T814" s="105"/>
      <c r="U814" s="81"/>
      <c r="V814" s="105"/>
      <c r="W814" s="81"/>
      <c r="X814" s="81"/>
      <c r="Y814" s="81"/>
      <c r="Z814" s="105"/>
      <c r="AA814" s="81"/>
      <c r="AB814" s="81"/>
      <c r="AC814" s="81"/>
      <c r="AD814" s="81"/>
    </row>
    <row r="815" spans="1:30" ht="24" customHeight="1" x14ac:dyDescent="0.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105"/>
      <c r="M815" s="81"/>
      <c r="N815" s="105"/>
      <c r="O815" s="81"/>
      <c r="P815" s="105"/>
      <c r="Q815" s="81"/>
      <c r="R815" s="105"/>
      <c r="S815" s="81"/>
      <c r="T815" s="105"/>
      <c r="U815" s="81"/>
      <c r="V815" s="105"/>
      <c r="W815" s="81"/>
      <c r="X815" s="81"/>
      <c r="Y815" s="81"/>
      <c r="Z815" s="105"/>
      <c r="AA815" s="81"/>
      <c r="AB815" s="81"/>
      <c r="AC815" s="81"/>
      <c r="AD815" s="81"/>
    </row>
    <row r="816" spans="1:30" ht="24" customHeight="1" x14ac:dyDescent="0.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105"/>
      <c r="M816" s="81"/>
      <c r="N816" s="105"/>
      <c r="O816" s="81"/>
      <c r="P816" s="105"/>
      <c r="Q816" s="81"/>
      <c r="R816" s="105"/>
      <c r="S816" s="81"/>
      <c r="T816" s="105"/>
      <c r="U816" s="81"/>
      <c r="V816" s="105"/>
      <c r="W816" s="81"/>
      <c r="X816" s="81"/>
      <c r="Y816" s="81"/>
      <c r="Z816" s="105"/>
      <c r="AA816" s="81"/>
      <c r="AB816" s="81"/>
      <c r="AC816" s="81"/>
      <c r="AD816" s="81"/>
    </row>
    <row r="817" spans="1:30" ht="24" customHeight="1" x14ac:dyDescent="0.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105"/>
      <c r="M817" s="81"/>
      <c r="N817" s="105"/>
      <c r="O817" s="81"/>
      <c r="P817" s="105"/>
      <c r="Q817" s="81"/>
      <c r="R817" s="105"/>
      <c r="S817" s="81"/>
      <c r="T817" s="105"/>
      <c r="U817" s="81"/>
      <c r="V817" s="105"/>
      <c r="W817" s="81"/>
      <c r="X817" s="81"/>
      <c r="Y817" s="81"/>
      <c r="Z817" s="105"/>
      <c r="AA817" s="81"/>
      <c r="AB817" s="81"/>
      <c r="AC817" s="81"/>
      <c r="AD817" s="81"/>
    </row>
    <row r="818" spans="1:30" ht="24" customHeight="1" x14ac:dyDescent="0.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105"/>
      <c r="M818" s="81"/>
      <c r="N818" s="105"/>
      <c r="O818" s="81"/>
      <c r="P818" s="105"/>
      <c r="Q818" s="81"/>
      <c r="R818" s="105"/>
      <c r="S818" s="81"/>
      <c r="T818" s="105"/>
      <c r="U818" s="81"/>
      <c r="V818" s="105"/>
      <c r="W818" s="81"/>
      <c r="X818" s="81"/>
      <c r="Y818" s="81"/>
      <c r="Z818" s="105"/>
      <c r="AA818" s="81"/>
      <c r="AB818" s="81"/>
      <c r="AC818" s="81"/>
      <c r="AD818" s="81"/>
    </row>
    <row r="819" spans="1:30" ht="24" customHeight="1" x14ac:dyDescent="0.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105"/>
      <c r="M819" s="81"/>
      <c r="N819" s="105"/>
      <c r="O819" s="81"/>
      <c r="P819" s="105"/>
      <c r="Q819" s="81"/>
      <c r="R819" s="105"/>
      <c r="S819" s="81"/>
      <c r="T819" s="105"/>
      <c r="U819" s="81"/>
      <c r="V819" s="105"/>
      <c r="W819" s="81"/>
      <c r="X819" s="81"/>
      <c r="Y819" s="81"/>
      <c r="Z819" s="105"/>
      <c r="AA819" s="81"/>
      <c r="AB819" s="81"/>
      <c r="AC819" s="81"/>
      <c r="AD819" s="81"/>
    </row>
    <row r="820" spans="1:30" ht="24" customHeight="1" x14ac:dyDescent="0.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105"/>
      <c r="M820" s="81"/>
      <c r="N820" s="105"/>
      <c r="O820" s="81"/>
      <c r="P820" s="105"/>
      <c r="Q820" s="81"/>
      <c r="R820" s="105"/>
      <c r="S820" s="81"/>
      <c r="T820" s="105"/>
      <c r="U820" s="81"/>
      <c r="V820" s="105"/>
      <c r="W820" s="81"/>
      <c r="X820" s="81"/>
      <c r="Y820" s="81"/>
      <c r="Z820" s="105"/>
      <c r="AA820" s="81"/>
      <c r="AB820" s="81"/>
      <c r="AC820" s="81"/>
      <c r="AD820" s="81"/>
    </row>
    <row r="821" spans="1:30" ht="24" customHeight="1" x14ac:dyDescent="0.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105"/>
      <c r="M821" s="81"/>
      <c r="N821" s="105"/>
      <c r="O821" s="81"/>
      <c r="P821" s="105"/>
      <c r="Q821" s="81"/>
      <c r="R821" s="105"/>
      <c r="S821" s="81"/>
      <c r="T821" s="105"/>
      <c r="U821" s="81"/>
      <c r="V821" s="105"/>
      <c r="W821" s="81"/>
      <c r="X821" s="81"/>
      <c r="Y821" s="81"/>
      <c r="Z821" s="105"/>
      <c r="AA821" s="81"/>
      <c r="AB821" s="81"/>
      <c r="AC821" s="81"/>
      <c r="AD821" s="81"/>
    </row>
    <row r="822" spans="1:30" ht="24" customHeight="1" x14ac:dyDescent="0.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105"/>
      <c r="M822" s="81"/>
      <c r="N822" s="105"/>
      <c r="O822" s="81"/>
      <c r="P822" s="105"/>
      <c r="Q822" s="81"/>
      <c r="R822" s="105"/>
      <c r="S822" s="81"/>
      <c r="T822" s="105"/>
      <c r="U822" s="81"/>
      <c r="V822" s="105"/>
      <c r="W822" s="81"/>
      <c r="X822" s="81"/>
      <c r="Y822" s="81"/>
      <c r="Z822" s="105"/>
      <c r="AA822" s="81"/>
      <c r="AB822" s="81"/>
      <c r="AC822" s="81"/>
      <c r="AD822" s="81"/>
    </row>
    <row r="823" spans="1:30" ht="24" customHeight="1" x14ac:dyDescent="0.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105"/>
      <c r="M823" s="81"/>
      <c r="N823" s="105"/>
      <c r="O823" s="81"/>
      <c r="P823" s="105"/>
      <c r="Q823" s="81"/>
      <c r="R823" s="105"/>
      <c r="S823" s="81"/>
      <c r="T823" s="105"/>
      <c r="U823" s="81"/>
      <c r="V823" s="105"/>
      <c r="W823" s="81"/>
      <c r="X823" s="81"/>
      <c r="Y823" s="81"/>
      <c r="Z823" s="105"/>
      <c r="AA823" s="81"/>
      <c r="AB823" s="81"/>
      <c r="AC823" s="81"/>
      <c r="AD823" s="81"/>
    </row>
    <row r="824" spans="1:30" ht="24" customHeight="1" x14ac:dyDescent="0.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105"/>
      <c r="M824" s="81"/>
      <c r="N824" s="105"/>
      <c r="O824" s="81"/>
      <c r="P824" s="105"/>
      <c r="Q824" s="81"/>
      <c r="R824" s="105"/>
      <c r="S824" s="81"/>
      <c r="T824" s="105"/>
      <c r="U824" s="81"/>
      <c r="V824" s="105"/>
      <c r="W824" s="81"/>
      <c r="X824" s="81"/>
      <c r="Y824" s="81"/>
      <c r="Z824" s="105"/>
      <c r="AA824" s="81"/>
      <c r="AB824" s="81"/>
      <c r="AC824" s="81"/>
      <c r="AD824" s="81"/>
    </row>
    <row r="825" spans="1:30" ht="24" customHeight="1" x14ac:dyDescent="0.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105"/>
      <c r="M825" s="81"/>
      <c r="N825" s="105"/>
      <c r="O825" s="81"/>
      <c r="P825" s="105"/>
      <c r="Q825" s="81"/>
      <c r="R825" s="105"/>
      <c r="S825" s="81"/>
      <c r="T825" s="105"/>
      <c r="U825" s="81"/>
      <c r="V825" s="105"/>
      <c r="W825" s="81"/>
      <c r="X825" s="81"/>
      <c r="Y825" s="81"/>
      <c r="Z825" s="105"/>
      <c r="AA825" s="81"/>
      <c r="AB825" s="81"/>
      <c r="AC825" s="81"/>
      <c r="AD825" s="81"/>
    </row>
    <row r="826" spans="1:30" ht="24" customHeight="1" x14ac:dyDescent="0.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105"/>
      <c r="M826" s="81"/>
      <c r="N826" s="105"/>
      <c r="O826" s="81"/>
      <c r="P826" s="105"/>
      <c r="Q826" s="81"/>
      <c r="R826" s="105"/>
      <c r="S826" s="81"/>
      <c r="T826" s="105"/>
      <c r="U826" s="81"/>
      <c r="V826" s="105"/>
      <c r="W826" s="81"/>
      <c r="X826" s="81"/>
      <c r="Y826" s="81"/>
      <c r="Z826" s="105"/>
      <c r="AA826" s="81"/>
      <c r="AB826" s="81"/>
      <c r="AC826" s="81"/>
      <c r="AD826" s="81"/>
    </row>
    <row r="827" spans="1:30" ht="24" customHeight="1" x14ac:dyDescent="0.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105"/>
      <c r="M827" s="81"/>
      <c r="N827" s="105"/>
      <c r="O827" s="81"/>
      <c r="P827" s="105"/>
      <c r="Q827" s="81"/>
      <c r="R827" s="105"/>
      <c r="S827" s="81"/>
      <c r="T827" s="105"/>
      <c r="U827" s="81"/>
      <c r="V827" s="105"/>
      <c r="W827" s="81"/>
      <c r="X827" s="81"/>
      <c r="Y827" s="81"/>
      <c r="Z827" s="105"/>
      <c r="AA827" s="81"/>
      <c r="AB827" s="81"/>
      <c r="AC827" s="81"/>
      <c r="AD827" s="81"/>
    </row>
    <row r="828" spans="1:30" ht="24" customHeight="1" x14ac:dyDescent="0.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105"/>
      <c r="M828" s="81"/>
      <c r="N828" s="105"/>
      <c r="O828" s="81"/>
      <c r="P828" s="105"/>
      <c r="Q828" s="81"/>
      <c r="R828" s="105"/>
      <c r="S828" s="81"/>
      <c r="T828" s="105"/>
      <c r="U828" s="81"/>
      <c r="V828" s="105"/>
      <c r="W828" s="81"/>
      <c r="X828" s="81"/>
      <c r="Y828" s="81"/>
      <c r="Z828" s="105"/>
      <c r="AA828" s="81"/>
      <c r="AB828" s="81"/>
      <c r="AC828" s="81"/>
      <c r="AD828" s="81"/>
    </row>
    <row r="829" spans="1:30" ht="24" customHeight="1" x14ac:dyDescent="0.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105"/>
      <c r="M829" s="81"/>
      <c r="N829" s="105"/>
      <c r="O829" s="81"/>
      <c r="P829" s="105"/>
      <c r="Q829" s="81"/>
      <c r="R829" s="105"/>
      <c r="S829" s="81"/>
      <c r="T829" s="105"/>
      <c r="U829" s="81"/>
      <c r="V829" s="105"/>
      <c r="W829" s="81"/>
      <c r="X829" s="81"/>
      <c r="Y829" s="81"/>
      <c r="Z829" s="105"/>
      <c r="AA829" s="81"/>
      <c r="AB829" s="81"/>
      <c r="AC829" s="81"/>
      <c r="AD829" s="81"/>
    </row>
    <row r="830" spans="1:30" ht="24" customHeight="1" x14ac:dyDescent="0.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105"/>
      <c r="M830" s="81"/>
      <c r="N830" s="105"/>
      <c r="O830" s="81"/>
      <c r="P830" s="105"/>
      <c r="Q830" s="81"/>
      <c r="R830" s="105"/>
      <c r="S830" s="81"/>
      <c r="T830" s="105"/>
      <c r="U830" s="81"/>
      <c r="V830" s="105"/>
      <c r="W830" s="81"/>
      <c r="X830" s="81"/>
      <c r="Y830" s="81"/>
      <c r="Z830" s="105"/>
      <c r="AA830" s="81"/>
      <c r="AB830" s="81"/>
      <c r="AC830" s="81"/>
      <c r="AD830" s="81"/>
    </row>
    <row r="831" spans="1:30" ht="24" customHeight="1" x14ac:dyDescent="0.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105"/>
      <c r="M831" s="81"/>
      <c r="N831" s="105"/>
      <c r="O831" s="81"/>
      <c r="P831" s="105"/>
      <c r="Q831" s="81"/>
      <c r="R831" s="105"/>
      <c r="S831" s="81"/>
      <c r="T831" s="105"/>
      <c r="U831" s="81"/>
      <c r="V831" s="105"/>
      <c r="W831" s="81"/>
      <c r="X831" s="81"/>
      <c r="Y831" s="81"/>
      <c r="Z831" s="105"/>
      <c r="AA831" s="81"/>
      <c r="AB831" s="81"/>
      <c r="AC831" s="81"/>
      <c r="AD831" s="81"/>
    </row>
    <row r="832" spans="1:30" ht="24" customHeight="1" x14ac:dyDescent="0.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105"/>
      <c r="M832" s="81"/>
      <c r="N832" s="105"/>
      <c r="O832" s="81"/>
      <c r="P832" s="105"/>
      <c r="Q832" s="81"/>
      <c r="R832" s="105"/>
      <c r="S832" s="81"/>
      <c r="T832" s="105"/>
      <c r="U832" s="81"/>
      <c r="V832" s="105"/>
      <c r="W832" s="81"/>
      <c r="X832" s="81"/>
      <c r="Y832" s="81"/>
      <c r="Z832" s="105"/>
      <c r="AA832" s="81"/>
      <c r="AB832" s="81"/>
      <c r="AC832" s="81"/>
      <c r="AD832" s="81"/>
    </row>
    <row r="833" spans="1:30" ht="24" customHeight="1" x14ac:dyDescent="0.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105"/>
      <c r="M833" s="81"/>
      <c r="N833" s="105"/>
      <c r="O833" s="81"/>
      <c r="P833" s="105"/>
      <c r="Q833" s="81"/>
      <c r="R833" s="105"/>
      <c r="S833" s="81"/>
      <c r="T833" s="105"/>
      <c r="U833" s="81"/>
      <c r="V833" s="105"/>
      <c r="W833" s="81"/>
      <c r="X833" s="81"/>
      <c r="Y833" s="81"/>
      <c r="Z833" s="105"/>
      <c r="AA833" s="81"/>
      <c r="AB833" s="81"/>
      <c r="AC833" s="81"/>
      <c r="AD833" s="81"/>
    </row>
    <row r="834" spans="1:30" ht="24" customHeight="1" x14ac:dyDescent="0.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105"/>
      <c r="M834" s="81"/>
      <c r="N834" s="105"/>
      <c r="O834" s="81"/>
      <c r="P834" s="105"/>
      <c r="Q834" s="81"/>
      <c r="R834" s="105"/>
      <c r="S834" s="81"/>
      <c r="T834" s="105"/>
      <c r="U834" s="81"/>
      <c r="V834" s="105"/>
      <c r="W834" s="81"/>
      <c r="X834" s="81"/>
      <c r="Y834" s="81"/>
      <c r="Z834" s="105"/>
      <c r="AA834" s="81"/>
      <c r="AB834" s="81"/>
      <c r="AC834" s="81"/>
      <c r="AD834" s="81"/>
    </row>
    <row r="835" spans="1:30" ht="24" customHeight="1" x14ac:dyDescent="0.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105"/>
      <c r="M835" s="81"/>
      <c r="N835" s="105"/>
      <c r="O835" s="81"/>
      <c r="P835" s="105"/>
      <c r="Q835" s="81"/>
      <c r="R835" s="105"/>
      <c r="S835" s="81"/>
      <c r="T835" s="105"/>
      <c r="U835" s="81"/>
      <c r="V835" s="105"/>
      <c r="W835" s="81"/>
      <c r="X835" s="81"/>
      <c r="Y835" s="81"/>
      <c r="Z835" s="105"/>
      <c r="AA835" s="81"/>
      <c r="AB835" s="81"/>
      <c r="AC835" s="81"/>
      <c r="AD835" s="81"/>
    </row>
    <row r="836" spans="1:30" ht="24" customHeight="1" x14ac:dyDescent="0.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105"/>
      <c r="M836" s="81"/>
      <c r="N836" s="105"/>
      <c r="O836" s="81"/>
      <c r="P836" s="105"/>
      <c r="Q836" s="81"/>
      <c r="R836" s="105"/>
      <c r="S836" s="81"/>
      <c r="T836" s="105"/>
      <c r="U836" s="81"/>
      <c r="V836" s="105"/>
      <c r="W836" s="81"/>
      <c r="X836" s="81"/>
      <c r="Y836" s="81"/>
      <c r="Z836" s="105"/>
      <c r="AA836" s="81"/>
      <c r="AB836" s="81"/>
      <c r="AC836" s="81"/>
      <c r="AD836" s="81"/>
    </row>
    <row r="837" spans="1:30" ht="24" customHeight="1" x14ac:dyDescent="0.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105"/>
      <c r="M837" s="81"/>
      <c r="N837" s="105"/>
      <c r="O837" s="81"/>
      <c r="P837" s="105"/>
      <c r="Q837" s="81"/>
      <c r="R837" s="105"/>
      <c r="S837" s="81"/>
      <c r="T837" s="105"/>
      <c r="U837" s="81"/>
      <c r="V837" s="105"/>
      <c r="W837" s="81"/>
      <c r="X837" s="81"/>
      <c r="Y837" s="81"/>
      <c r="Z837" s="105"/>
      <c r="AA837" s="81"/>
      <c r="AB837" s="81"/>
      <c r="AC837" s="81"/>
      <c r="AD837" s="81"/>
    </row>
    <row r="838" spans="1:30" ht="24" customHeight="1" x14ac:dyDescent="0.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105"/>
      <c r="M838" s="81"/>
      <c r="N838" s="105"/>
      <c r="O838" s="81"/>
      <c r="P838" s="105"/>
      <c r="Q838" s="81"/>
      <c r="R838" s="105"/>
      <c r="S838" s="81"/>
      <c r="T838" s="105"/>
      <c r="U838" s="81"/>
      <c r="V838" s="105"/>
      <c r="W838" s="81"/>
      <c r="X838" s="81"/>
      <c r="Y838" s="81"/>
      <c r="Z838" s="105"/>
      <c r="AA838" s="81"/>
      <c r="AB838" s="81"/>
      <c r="AC838" s="81"/>
      <c r="AD838" s="81"/>
    </row>
    <row r="839" spans="1:30" ht="24" customHeight="1" x14ac:dyDescent="0.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105"/>
      <c r="M839" s="81"/>
      <c r="N839" s="105"/>
      <c r="O839" s="81"/>
      <c r="P839" s="105"/>
      <c r="Q839" s="81"/>
      <c r="R839" s="105"/>
      <c r="S839" s="81"/>
      <c r="T839" s="105"/>
      <c r="U839" s="81"/>
      <c r="V839" s="105"/>
      <c r="W839" s="81"/>
      <c r="X839" s="81"/>
      <c r="Y839" s="81"/>
      <c r="Z839" s="105"/>
      <c r="AA839" s="81"/>
      <c r="AB839" s="81"/>
      <c r="AC839" s="81"/>
      <c r="AD839" s="81"/>
    </row>
    <row r="840" spans="1:30" ht="24" customHeight="1" x14ac:dyDescent="0.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105"/>
      <c r="M840" s="81"/>
      <c r="N840" s="105"/>
      <c r="O840" s="81"/>
      <c r="P840" s="105"/>
      <c r="Q840" s="81"/>
      <c r="R840" s="105"/>
      <c r="S840" s="81"/>
      <c r="T840" s="105"/>
      <c r="U840" s="81"/>
      <c r="V840" s="105"/>
      <c r="W840" s="81"/>
      <c r="X840" s="81"/>
      <c r="Y840" s="81"/>
      <c r="Z840" s="105"/>
      <c r="AA840" s="81"/>
      <c r="AB840" s="81"/>
      <c r="AC840" s="81"/>
      <c r="AD840" s="81"/>
    </row>
    <row r="841" spans="1:30" ht="24" customHeight="1" x14ac:dyDescent="0.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105"/>
      <c r="M841" s="81"/>
      <c r="N841" s="105"/>
      <c r="O841" s="81"/>
      <c r="P841" s="105"/>
      <c r="Q841" s="81"/>
      <c r="R841" s="105"/>
      <c r="S841" s="81"/>
      <c r="T841" s="105"/>
      <c r="U841" s="81"/>
      <c r="V841" s="105"/>
      <c r="W841" s="81"/>
      <c r="X841" s="81"/>
      <c r="Y841" s="81"/>
      <c r="Z841" s="105"/>
      <c r="AA841" s="81"/>
      <c r="AB841" s="81"/>
      <c r="AC841" s="81"/>
      <c r="AD841" s="81"/>
    </row>
    <row r="842" spans="1:30" ht="24" customHeight="1" x14ac:dyDescent="0.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105"/>
      <c r="M842" s="81"/>
      <c r="N842" s="105"/>
      <c r="O842" s="81"/>
      <c r="P842" s="105"/>
      <c r="Q842" s="81"/>
      <c r="R842" s="105"/>
      <c r="S842" s="81"/>
      <c r="T842" s="105"/>
      <c r="U842" s="81"/>
      <c r="V842" s="105"/>
      <c r="W842" s="81"/>
      <c r="X842" s="81"/>
      <c r="Y842" s="81"/>
      <c r="Z842" s="105"/>
      <c r="AA842" s="81"/>
      <c r="AB842" s="81"/>
      <c r="AC842" s="81"/>
      <c r="AD842" s="81"/>
    </row>
    <row r="843" spans="1:30" ht="24" customHeight="1" x14ac:dyDescent="0.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105"/>
      <c r="M843" s="81"/>
      <c r="N843" s="105"/>
      <c r="O843" s="81"/>
      <c r="P843" s="105"/>
      <c r="Q843" s="81"/>
      <c r="R843" s="105"/>
      <c r="S843" s="81"/>
      <c r="T843" s="105"/>
      <c r="U843" s="81"/>
      <c r="V843" s="105"/>
      <c r="W843" s="81"/>
      <c r="X843" s="81"/>
      <c r="Y843" s="81"/>
      <c r="Z843" s="105"/>
      <c r="AA843" s="81"/>
      <c r="AB843" s="81"/>
      <c r="AC843" s="81"/>
      <c r="AD843" s="81"/>
    </row>
    <row r="844" spans="1:30" ht="24" customHeight="1" x14ac:dyDescent="0.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105"/>
      <c r="M844" s="81"/>
      <c r="N844" s="105"/>
      <c r="O844" s="81"/>
      <c r="P844" s="105"/>
      <c r="Q844" s="81"/>
      <c r="R844" s="105"/>
      <c r="S844" s="81"/>
      <c r="T844" s="105"/>
      <c r="U844" s="81"/>
      <c r="V844" s="105"/>
      <c r="W844" s="81"/>
      <c r="X844" s="81"/>
      <c r="Y844" s="81"/>
      <c r="Z844" s="105"/>
      <c r="AA844" s="81"/>
      <c r="AB844" s="81"/>
      <c r="AC844" s="81"/>
      <c r="AD844" s="81"/>
    </row>
    <row r="845" spans="1:30" ht="24" customHeight="1" x14ac:dyDescent="0.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105"/>
      <c r="M845" s="81"/>
      <c r="N845" s="105"/>
      <c r="O845" s="81"/>
      <c r="P845" s="105"/>
      <c r="Q845" s="81"/>
      <c r="R845" s="105"/>
      <c r="S845" s="81"/>
      <c r="T845" s="105"/>
      <c r="U845" s="81"/>
      <c r="V845" s="105"/>
      <c r="W845" s="81"/>
      <c r="X845" s="81"/>
      <c r="Y845" s="81"/>
      <c r="Z845" s="105"/>
      <c r="AA845" s="81"/>
      <c r="AB845" s="81"/>
      <c r="AC845" s="81"/>
      <c r="AD845" s="81"/>
    </row>
    <row r="846" spans="1:30" ht="24" customHeight="1" x14ac:dyDescent="0.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105"/>
      <c r="M846" s="81"/>
      <c r="N846" s="105"/>
      <c r="O846" s="81"/>
      <c r="P846" s="105"/>
      <c r="Q846" s="81"/>
      <c r="R846" s="105"/>
      <c r="S846" s="81"/>
      <c r="T846" s="105"/>
      <c r="U846" s="81"/>
      <c r="V846" s="105"/>
      <c r="W846" s="81"/>
      <c r="X846" s="81"/>
      <c r="Y846" s="81"/>
      <c r="Z846" s="105"/>
      <c r="AA846" s="81"/>
      <c r="AB846" s="81"/>
      <c r="AC846" s="81"/>
      <c r="AD846" s="81"/>
    </row>
    <row r="847" spans="1:30" ht="24" customHeight="1" x14ac:dyDescent="0.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105"/>
      <c r="M847" s="81"/>
      <c r="N847" s="105"/>
      <c r="O847" s="81"/>
      <c r="P847" s="105"/>
      <c r="Q847" s="81"/>
      <c r="R847" s="105"/>
      <c r="S847" s="81"/>
      <c r="T847" s="105"/>
      <c r="U847" s="81"/>
      <c r="V847" s="105"/>
      <c r="W847" s="81"/>
      <c r="X847" s="81"/>
      <c r="Y847" s="81"/>
      <c r="Z847" s="105"/>
      <c r="AA847" s="81"/>
      <c r="AB847" s="81"/>
      <c r="AC847" s="81"/>
      <c r="AD847" s="81"/>
    </row>
    <row r="848" spans="1:30" ht="24" customHeight="1" x14ac:dyDescent="0.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105"/>
      <c r="M848" s="81"/>
      <c r="N848" s="105"/>
      <c r="O848" s="81"/>
      <c r="P848" s="105"/>
      <c r="Q848" s="81"/>
      <c r="R848" s="105"/>
      <c r="S848" s="81"/>
      <c r="T848" s="105"/>
      <c r="U848" s="81"/>
      <c r="V848" s="105"/>
      <c r="W848" s="81"/>
      <c r="X848" s="81"/>
      <c r="Y848" s="81"/>
      <c r="Z848" s="105"/>
      <c r="AA848" s="81"/>
      <c r="AB848" s="81"/>
      <c r="AC848" s="81"/>
      <c r="AD848" s="81"/>
    </row>
    <row r="849" spans="1:30" ht="24" customHeight="1" x14ac:dyDescent="0.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105"/>
      <c r="M849" s="81"/>
      <c r="N849" s="105"/>
      <c r="O849" s="81"/>
      <c r="P849" s="105"/>
      <c r="Q849" s="81"/>
      <c r="R849" s="105"/>
      <c r="S849" s="81"/>
      <c r="T849" s="105"/>
      <c r="U849" s="81"/>
      <c r="V849" s="105"/>
      <c r="W849" s="81"/>
      <c r="X849" s="81"/>
      <c r="Y849" s="81"/>
      <c r="Z849" s="105"/>
      <c r="AA849" s="81"/>
      <c r="AB849" s="81"/>
      <c r="AC849" s="81"/>
      <c r="AD849" s="81"/>
    </row>
    <row r="850" spans="1:30" ht="24" customHeight="1" x14ac:dyDescent="0.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105"/>
      <c r="M850" s="81"/>
      <c r="N850" s="105"/>
      <c r="O850" s="81"/>
      <c r="P850" s="105"/>
      <c r="Q850" s="81"/>
      <c r="R850" s="105"/>
      <c r="S850" s="81"/>
      <c r="T850" s="105"/>
      <c r="U850" s="81"/>
      <c r="V850" s="105"/>
      <c r="W850" s="81"/>
      <c r="X850" s="81"/>
      <c r="Y850" s="81"/>
      <c r="Z850" s="105"/>
      <c r="AA850" s="81"/>
      <c r="AB850" s="81"/>
      <c r="AC850" s="81"/>
      <c r="AD850" s="81"/>
    </row>
    <row r="851" spans="1:30" ht="24" customHeight="1" x14ac:dyDescent="0.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105"/>
      <c r="M851" s="81"/>
      <c r="N851" s="105"/>
      <c r="O851" s="81"/>
      <c r="P851" s="105"/>
      <c r="Q851" s="81"/>
      <c r="R851" s="105"/>
      <c r="S851" s="81"/>
      <c r="T851" s="105"/>
      <c r="U851" s="81"/>
      <c r="V851" s="105"/>
      <c r="W851" s="81"/>
      <c r="X851" s="81"/>
      <c r="Y851" s="81"/>
      <c r="Z851" s="105"/>
      <c r="AA851" s="81"/>
      <c r="AB851" s="81"/>
      <c r="AC851" s="81"/>
      <c r="AD851" s="81"/>
    </row>
    <row r="852" spans="1:30" ht="24" customHeight="1" x14ac:dyDescent="0.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105"/>
      <c r="M852" s="81"/>
      <c r="N852" s="105"/>
      <c r="O852" s="81"/>
      <c r="P852" s="105"/>
      <c r="Q852" s="81"/>
      <c r="R852" s="105"/>
      <c r="S852" s="81"/>
      <c r="T852" s="105"/>
      <c r="U852" s="81"/>
      <c r="V852" s="105"/>
      <c r="W852" s="81"/>
      <c r="X852" s="81"/>
      <c r="Y852" s="81"/>
      <c r="Z852" s="105"/>
      <c r="AA852" s="81"/>
      <c r="AB852" s="81"/>
      <c r="AC852" s="81"/>
      <c r="AD852" s="81"/>
    </row>
    <row r="853" spans="1:30" ht="24" customHeight="1" x14ac:dyDescent="0.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105"/>
      <c r="M853" s="81"/>
      <c r="N853" s="105"/>
      <c r="O853" s="81"/>
      <c r="P853" s="105"/>
      <c r="Q853" s="81"/>
      <c r="R853" s="105"/>
      <c r="S853" s="81"/>
      <c r="T853" s="105"/>
      <c r="U853" s="81"/>
      <c r="V853" s="105"/>
      <c r="W853" s="81"/>
      <c r="X853" s="81"/>
      <c r="Y853" s="81"/>
      <c r="Z853" s="105"/>
      <c r="AA853" s="81"/>
      <c r="AB853" s="81"/>
      <c r="AC853" s="81"/>
      <c r="AD853" s="81"/>
    </row>
    <row r="854" spans="1:30" ht="24" customHeight="1" x14ac:dyDescent="0.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105"/>
      <c r="M854" s="81"/>
      <c r="N854" s="105"/>
      <c r="O854" s="81"/>
      <c r="P854" s="105"/>
      <c r="Q854" s="81"/>
      <c r="R854" s="105"/>
      <c r="S854" s="81"/>
      <c r="T854" s="105"/>
      <c r="U854" s="81"/>
      <c r="V854" s="105"/>
      <c r="W854" s="81"/>
      <c r="X854" s="81"/>
      <c r="Y854" s="81"/>
      <c r="Z854" s="105"/>
      <c r="AA854" s="81"/>
      <c r="AB854" s="81"/>
      <c r="AC854" s="81"/>
      <c r="AD854" s="81"/>
    </row>
    <row r="855" spans="1:30" ht="24" customHeight="1" x14ac:dyDescent="0.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105"/>
      <c r="M855" s="81"/>
      <c r="N855" s="105"/>
      <c r="O855" s="81"/>
      <c r="P855" s="105"/>
      <c r="Q855" s="81"/>
      <c r="R855" s="105"/>
      <c r="S855" s="81"/>
      <c r="T855" s="105"/>
      <c r="U855" s="81"/>
      <c r="V855" s="105"/>
      <c r="W855" s="81"/>
      <c r="X855" s="81"/>
      <c r="Y855" s="81"/>
      <c r="Z855" s="105"/>
      <c r="AA855" s="81"/>
      <c r="AB855" s="81"/>
      <c r="AC855" s="81"/>
      <c r="AD855" s="81"/>
    </row>
    <row r="856" spans="1:30" ht="24" customHeight="1" x14ac:dyDescent="0.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105"/>
      <c r="M856" s="81"/>
      <c r="N856" s="105"/>
      <c r="O856" s="81"/>
      <c r="P856" s="105"/>
      <c r="Q856" s="81"/>
      <c r="R856" s="105"/>
      <c r="S856" s="81"/>
      <c r="T856" s="105"/>
      <c r="U856" s="81"/>
      <c r="V856" s="105"/>
      <c r="W856" s="81"/>
      <c r="X856" s="81"/>
      <c r="Y856" s="81"/>
      <c r="Z856" s="105"/>
      <c r="AA856" s="81"/>
      <c r="AB856" s="81"/>
      <c r="AC856" s="81"/>
      <c r="AD856" s="81"/>
    </row>
    <row r="857" spans="1:30" ht="24" customHeight="1" x14ac:dyDescent="0.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105"/>
      <c r="M857" s="81"/>
      <c r="N857" s="105"/>
      <c r="O857" s="81"/>
      <c r="P857" s="105"/>
      <c r="Q857" s="81"/>
      <c r="R857" s="105"/>
      <c r="S857" s="81"/>
      <c r="T857" s="105"/>
      <c r="U857" s="81"/>
      <c r="V857" s="105"/>
      <c r="W857" s="81"/>
      <c r="X857" s="81"/>
      <c r="Y857" s="81"/>
      <c r="Z857" s="105"/>
      <c r="AA857" s="81"/>
      <c r="AB857" s="81"/>
      <c r="AC857" s="81"/>
      <c r="AD857" s="81"/>
    </row>
    <row r="858" spans="1:30" ht="24" customHeight="1" x14ac:dyDescent="0.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105"/>
      <c r="M858" s="81"/>
      <c r="N858" s="105"/>
      <c r="O858" s="81"/>
      <c r="P858" s="105"/>
      <c r="Q858" s="81"/>
      <c r="R858" s="105"/>
      <c r="S858" s="81"/>
      <c r="T858" s="105"/>
      <c r="U858" s="81"/>
      <c r="V858" s="105"/>
      <c r="W858" s="81"/>
      <c r="X858" s="81"/>
      <c r="Y858" s="81"/>
      <c r="Z858" s="105"/>
      <c r="AA858" s="81"/>
      <c r="AB858" s="81"/>
      <c r="AC858" s="81"/>
      <c r="AD858" s="81"/>
    </row>
    <row r="859" spans="1:30" ht="24" customHeight="1" x14ac:dyDescent="0.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105"/>
      <c r="M859" s="81"/>
      <c r="N859" s="105"/>
      <c r="O859" s="81"/>
      <c r="P859" s="105"/>
      <c r="Q859" s="81"/>
      <c r="R859" s="105"/>
      <c r="S859" s="81"/>
      <c r="T859" s="105"/>
      <c r="U859" s="81"/>
      <c r="V859" s="105"/>
      <c r="W859" s="81"/>
      <c r="X859" s="81"/>
      <c r="Y859" s="81"/>
      <c r="Z859" s="105"/>
      <c r="AA859" s="81"/>
      <c r="AB859" s="81"/>
      <c r="AC859" s="81"/>
      <c r="AD859" s="81"/>
    </row>
    <row r="860" spans="1:30" ht="24" customHeight="1" x14ac:dyDescent="0.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105"/>
      <c r="M860" s="81"/>
      <c r="N860" s="105"/>
      <c r="O860" s="81"/>
      <c r="P860" s="105"/>
      <c r="Q860" s="81"/>
      <c r="R860" s="105"/>
      <c r="S860" s="81"/>
      <c r="T860" s="105"/>
      <c r="U860" s="81"/>
      <c r="V860" s="105"/>
      <c r="W860" s="81"/>
      <c r="X860" s="81"/>
      <c r="Y860" s="81"/>
      <c r="Z860" s="105"/>
      <c r="AA860" s="81"/>
      <c r="AB860" s="81"/>
      <c r="AC860" s="81"/>
      <c r="AD860" s="81"/>
    </row>
    <row r="861" spans="1:30" ht="24" customHeight="1" x14ac:dyDescent="0.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105"/>
      <c r="M861" s="81"/>
      <c r="N861" s="105"/>
      <c r="O861" s="81"/>
      <c r="P861" s="105"/>
      <c r="Q861" s="81"/>
      <c r="R861" s="105"/>
      <c r="S861" s="81"/>
      <c r="T861" s="105"/>
      <c r="U861" s="81"/>
      <c r="V861" s="105"/>
      <c r="W861" s="81"/>
      <c r="X861" s="81"/>
      <c r="Y861" s="81"/>
      <c r="Z861" s="105"/>
      <c r="AA861" s="81"/>
      <c r="AB861" s="81"/>
      <c r="AC861" s="81"/>
      <c r="AD861" s="81"/>
    </row>
    <row r="862" spans="1:30" ht="24" customHeight="1" x14ac:dyDescent="0.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105"/>
      <c r="M862" s="81"/>
      <c r="N862" s="105"/>
      <c r="O862" s="81"/>
      <c r="P862" s="105"/>
      <c r="Q862" s="81"/>
      <c r="R862" s="105"/>
      <c r="S862" s="81"/>
      <c r="T862" s="105"/>
      <c r="U862" s="81"/>
      <c r="V862" s="105"/>
      <c r="W862" s="81"/>
      <c r="X862" s="81"/>
      <c r="Y862" s="81"/>
      <c r="Z862" s="105"/>
      <c r="AA862" s="81"/>
      <c r="AB862" s="81"/>
      <c r="AC862" s="81"/>
      <c r="AD862" s="81"/>
    </row>
    <row r="863" spans="1:30" ht="24" customHeight="1" x14ac:dyDescent="0.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105"/>
      <c r="M863" s="81"/>
      <c r="N863" s="105"/>
      <c r="O863" s="81"/>
      <c r="P863" s="105"/>
      <c r="Q863" s="81"/>
      <c r="R863" s="105"/>
      <c r="S863" s="81"/>
      <c r="T863" s="105"/>
      <c r="U863" s="81"/>
      <c r="V863" s="105"/>
      <c r="W863" s="81"/>
      <c r="X863" s="81"/>
      <c r="Y863" s="81"/>
      <c r="Z863" s="105"/>
      <c r="AA863" s="81"/>
      <c r="AB863" s="81"/>
      <c r="AC863" s="81"/>
      <c r="AD863" s="81"/>
    </row>
    <row r="864" spans="1:30" ht="24" customHeight="1" x14ac:dyDescent="0.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105"/>
      <c r="M864" s="81"/>
      <c r="N864" s="105"/>
      <c r="O864" s="81"/>
      <c r="P864" s="105"/>
      <c r="Q864" s="81"/>
      <c r="R864" s="105"/>
      <c r="S864" s="81"/>
      <c r="T864" s="105"/>
      <c r="U864" s="81"/>
      <c r="V864" s="105"/>
      <c r="W864" s="81"/>
      <c r="X864" s="81"/>
      <c r="Y864" s="81"/>
      <c r="Z864" s="105"/>
      <c r="AA864" s="81"/>
      <c r="AB864" s="81"/>
      <c r="AC864" s="81"/>
      <c r="AD864" s="81"/>
    </row>
    <row r="865" spans="1:30" ht="24" customHeight="1" x14ac:dyDescent="0.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105"/>
      <c r="M865" s="81"/>
      <c r="N865" s="105"/>
      <c r="O865" s="81"/>
      <c r="P865" s="105"/>
      <c r="Q865" s="81"/>
      <c r="R865" s="105"/>
      <c r="S865" s="81"/>
      <c r="T865" s="105"/>
      <c r="U865" s="81"/>
      <c r="V865" s="105"/>
      <c r="W865" s="81"/>
      <c r="X865" s="81"/>
      <c r="Y865" s="81"/>
      <c r="Z865" s="105"/>
      <c r="AA865" s="81"/>
      <c r="AB865" s="81"/>
      <c r="AC865" s="81"/>
      <c r="AD865" s="81"/>
    </row>
    <row r="866" spans="1:30" ht="24" customHeight="1" x14ac:dyDescent="0.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105"/>
      <c r="M866" s="81"/>
      <c r="N866" s="105"/>
      <c r="O866" s="81"/>
      <c r="P866" s="105"/>
      <c r="Q866" s="81"/>
      <c r="R866" s="105"/>
      <c r="S866" s="81"/>
      <c r="T866" s="105"/>
      <c r="U866" s="81"/>
      <c r="V866" s="105"/>
      <c r="W866" s="81"/>
      <c r="X866" s="81"/>
      <c r="Y866" s="81"/>
      <c r="Z866" s="105"/>
      <c r="AA866" s="81"/>
      <c r="AB866" s="81"/>
      <c r="AC866" s="81"/>
      <c r="AD866" s="81"/>
    </row>
    <row r="867" spans="1:30" ht="24" customHeight="1" x14ac:dyDescent="0.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105"/>
      <c r="M867" s="81"/>
      <c r="N867" s="105"/>
      <c r="O867" s="81"/>
      <c r="P867" s="105"/>
      <c r="Q867" s="81"/>
      <c r="R867" s="105"/>
      <c r="S867" s="81"/>
      <c r="T867" s="105"/>
      <c r="U867" s="81"/>
      <c r="V867" s="105"/>
      <c r="W867" s="81"/>
      <c r="X867" s="81"/>
      <c r="Y867" s="81"/>
      <c r="Z867" s="105"/>
      <c r="AA867" s="81"/>
      <c r="AB867" s="81"/>
      <c r="AC867" s="81"/>
      <c r="AD867" s="81"/>
    </row>
    <row r="868" spans="1:30" ht="24" customHeight="1" x14ac:dyDescent="0.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105"/>
      <c r="M868" s="81"/>
      <c r="N868" s="105"/>
      <c r="O868" s="81"/>
      <c r="P868" s="105"/>
      <c r="Q868" s="81"/>
      <c r="R868" s="105"/>
      <c r="S868" s="81"/>
      <c r="T868" s="105"/>
      <c r="U868" s="81"/>
      <c r="V868" s="105"/>
      <c r="W868" s="81"/>
      <c r="X868" s="81"/>
      <c r="Y868" s="81"/>
      <c r="Z868" s="105"/>
      <c r="AA868" s="81"/>
      <c r="AB868" s="81"/>
      <c r="AC868" s="81"/>
      <c r="AD868" s="81"/>
    </row>
    <row r="869" spans="1:30" ht="24" customHeight="1" x14ac:dyDescent="0.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105"/>
      <c r="M869" s="81"/>
      <c r="N869" s="105"/>
      <c r="O869" s="81"/>
      <c r="P869" s="105"/>
      <c r="Q869" s="81"/>
      <c r="R869" s="105"/>
      <c r="S869" s="81"/>
      <c r="T869" s="105"/>
      <c r="U869" s="81"/>
      <c r="V869" s="105"/>
      <c r="W869" s="81"/>
      <c r="X869" s="81"/>
      <c r="Y869" s="81"/>
      <c r="Z869" s="105"/>
      <c r="AA869" s="81"/>
      <c r="AB869" s="81"/>
      <c r="AC869" s="81"/>
      <c r="AD869" s="81"/>
    </row>
    <row r="870" spans="1:30" ht="24" customHeight="1" x14ac:dyDescent="0.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105"/>
      <c r="M870" s="81"/>
      <c r="N870" s="105"/>
      <c r="O870" s="81"/>
      <c r="P870" s="105"/>
      <c r="Q870" s="81"/>
      <c r="R870" s="105"/>
      <c r="S870" s="81"/>
      <c r="T870" s="105"/>
      <c r="U870" s="81"/>
      <c r="V870" s="105"/>
      <c r="W870" s="81"/>
      <c r="X870" s="81"/>
      <c r="Y870" s="81"/>
      <c r="Z870" s="105"/>
      <c r="AA870" s="81"/>
      <c r="AB870" s="81"/>
      <c r="AC870" s="81"/>
      <c r="AD870" s="81"/>
    </row>
    <row r="871" spans="1:30" ht="24" customHeight="1" x14ac:dyDescent="0.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105"/>
      <c r="M871" s="81"/>
      <c r="N871" s="105"/>
      <c r="O871" s="81"/>
      <c r="P871" s="105"/>
      <c r="Q871" s="81"/>
      <c r="R871" s="105"/>
      <c r="S871" s="81"/>
      <c r="T871" s="105"/>
      <c r="U871" s="81"/>
      <c r="V871" s="105"/>
      <c r="W871" s="81"/>
      <c r="X871" s="81"/>
      <c r="Y871" s="81"/>
      <c r="Z871" s="105"/>
      <c r="AA871" s="81"/>
      <c r="AB871" s="81"/>
      <c r="AC871" s="81"/>
      <c r="AD871" s="81"/>
    </row>
    <row r="872" spans="1:30" ht="24" customHeight="1" x14ac:dyDescent="0.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105"/>
      <c r="M872" s="81"/>
      <c r="N872" s="105"/>
      <c r="O872" s="81"/>
      <c r="P872" s="105"/>
      <c r="Q872" s="81"/>
      <c r="R872" s="105"/>
      <c r="S872" s="81"/>
      <c r="T872" s="105"/>
      <c r="U872" s="81"/>
      <c r="V872" s="105"/>
      <c r="W872" s="81"/>
      <c r="X872" s="81"/>
      <c r="Y872" s="81"/>
      <c r="Z872" s="105"/>
      <c r="AA872" s="81"/>
      <c r="AB872" s="81"/>
      <c r="AC872" s="81"/>
      <c r="AD872" s="81"/>
    </row>
    <row r="873" spans="1:30" ht="24" customHeight="1" x14ac:dyDescent="0.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105"/>
      <c r="M873" s="81"/>
      <c r="N873" s="105"/>
      <c r="O873" s="81"/>
      <c r="P873" s="105"/>
      <c r="Q873" s="81"/>
      <c r="R873" s="105"/>
      <c r="S873" s="81"/>
      <c r="T873" s="105"/>
      <c r="U873" s="81"/>
      <c r="V873" s="105"/>
      <c r="W873" s="81"/>
      <c r="X873" s="81"/>
      <c r="Y873" s="81"/>
      <c r="Z873" s="105"/>
      <c r="AA873" s="81"/>
      <c r="AB873" s="81"/>
      <c r="AC873" s="81"/>
      <c r="AD873" s="81"/>
    </row>
    <row r="874" spans="1:30" ht="24" customHeight="1" x14ac:dyDescent="0.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105"/>
      <c r="M874" s="81"/>
      <c r="N874" s="105"/>
      <c r="O874" s="81"/>
      <c r="P874" s="105"/>
      <c r="Q874" s="81"/>
      <c r="R874" s="105"/>
      <c r="S874" s="81"/>
      <c r="T874" s="105"/>
      <c r="U874" s="81"/>
      <c r="V874" s="105"/>
      <c r="W874" s="81"/>
      <c r="X874" s="81"/>
      <c r="Y874" s="81"/>
      <c r="Z874" s="105"/>
      <c r="AA874" s="81"/>
      <c r="AB874" s="81"/>
      <c r="AC874" s="81"/>
      <c r="AD874" s="81"/>
    </row>
    <row r="875" spans="1:30" ht="24" customHeight="1" x14ac:dyDescent="0.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105"/>
      <c r="M875" s="81"/>
      <c r="N875" s="105"/>
      <c r="O875" s="81"/>
      <c r="P875" s="105"/>
      <c r="Q875" s="81"/>
      <c r="R875" s="105"/>
      <c r="S875" s="81"/>
      <c r="T875" s="105"/>
      <c r="U875" s="81"/>
      <c r="V875" s="105"/>
      <c r="W875" s="81"/>
      <c r="X875" s="81"/>
      <c r="Y875" s="81"/>
      <c r="Z875" s="105"/>
      <c r="AA875" s="81"/>
      <c r="AB875" s="81"/>
      <c r="AC875" s="81"/>
      <c r="AD875" s="81"/>
    </row>
    <row r="876" spans="1:30" ht="24" customHeight="1" x14ac:dyDescent="0.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105"/>
      <c r="M876" s="81"/>
      <c r="N876" s="105"/>
      <c r="O876" s="81"/>
      <c r="P876" s="105"/>
      <c r="Q876" s="81"/>
      <c r="R876" s="105"/>
      <c r="S876" s="81"/>
      <c r="T876" s="105"/>
      <c r="U876" s="81"/>
      <c r="V876" s="105"/>
      <c r="W876" s="81"/>
      <c r="X876" s="81"/>
      <c r="Y876" s="81"/>
      <c r="Z876" s="105"/>
      <c r="AA876" s="81"/>
      <c r="AB876" s="81"/>
      <c r="AC876" s="81"/>
      <c r="AD876" s="81"/>
    </row>
    <row r="877" spans="1:30" ht="24" customHeight="1" x14ac:dyDescent="0.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105"/>
      <c r="M877" s="81"/>
      <c r="N877" s="105"/>
      <c r="O877" s="81"/>
      <c r="P877" s="105"/>
      <c r="Q877" s="81"/>
      <c r="R877" s="105"/>
      <c r="S877" s="81"/>
      <c r="T877" s="105"/>
      <c r="U877" s="81"/>
      <c r="V877" s="105"/>
      <c r="W877" s="81"/>
      <c r="X877" s="81"/>
      <c r="Y877" s="81"/>
      <c r="Z877" s="105"/>
      <c r="AA877" s="81"/>
      <c r="AB877" s="81"/>
      <c r="AC877" s="81"/>
      <c r="AD877" s="81"/>
    </row>
    <row r="878" spans="1:30" ht="24" customHeight="1" x14ac:dyDescent="0.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105"/>
      <c r="M878" s="81"/>
      <c r="N878" s="105"/>
      <c r="O878" s="81"/>
      <c r="P878" s="105"/>
      <c r="Q878" s="81"/>
      <c r="R878" s="105"/>
      <c r="S878" s="81"/>
      <c r="T878" s="105"/>
      <c r="U878" s="81"/>
      <c r="V878" s="105"/>
      <c r="W878" s="81"/>
      <c r="X878" s="81"/>
      <c r="Y878" s="81"/>
      <c r="Z878" s="105"/>
      <c r="AA878" s="81"/>
      <c r="AB878" s="81"/>
      <c r="AC878" s="81"/>
      <c r="AD878" s="81"/>
    </row>
    <row r="879" spans="1:30" ht="24" customHeight="1" x14ac:dyDescent="0.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105"/>
      <c r="M879" s="81"/>
      <c r="N879" s="105"/>
      <c r="O879" s="81"/>
      <c r="P879" s="105"/>
      <c r="Q879" s="81"/>
      <c r="R879" s="105"/>
      <c r="S879" s="81"/>
      <c r="T879" s="105"/>
      <c r="U879" s="81"/>
      <c r="V879" s="105"/>
      <c r="W879" s="81"/>
      <c r="X879" s="81"/>
      <c r="Y879" s="81"/>
      <c r="Z879" s="105"/>
      <c r="AA879" s="81"/>
      <c r="AB879" s="81"/>
      <c r="AC879" s="81"/>
      <c r="AD879" s="81"/>
    </row>
    <row r="880" spans="1:30" ht="24" customHeight="1" x14ac:dyDescent="0.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105"/>
      <c r="M880" s="81"/>
      <c r="N880" s="105"/>
      <c r="O880" s="81"/>
      <c r="P880" s="105"/>
      <c r="Q880" s="81"/>
      <c r="R880" s="105"/>
      <c r="S880" s="81"/>
      <c r="T880" s="105"/>
      <c r="U880" s="81"/>
      <c r="V880" s="105"/>
      <c r="W880" s="81"/>
      <c r="X880" s="81"/>
      <c r="Y880" s="81"/>
      <c r="Z880" s="105"/>
      <c r="AA880" s="81"/>
      <c r="AB880" s="81"/>
      <c r="AC880" s="81"/>
      <c r="AD880" s="81"/>
    </row>
    <row r="881" spans="1:30" ht="24" customHeight="1" x14ac:dyDescent="0.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105"/>
      <c r="M881" s="81"/>
      <c r="N881" s="105"/>
      <c r="O881" s="81"/>
      <c r="P881" s="105"/>
      <c r="Q881" s="81"/>
      <c r="R881" s="105"/>
      <c r="S881" s="81"/>
      <c r="T881" s="105"/>
      <c r="U881" s="81"/>
      <c r="V881" s="105"/>
      <c r="W881" s="81"/>
      <c r="X881" s="81"/>
      <c r="Y881" s="81"/>
      <c r="Z881" s="105"/>
      <c r="AA881" s="81"/>
      <c r="AB881" s="81"/>
      <c r="AC881" s="81"/>
      <c r="AD881" s="81"/>
    </row>
    <row r="882" spans="1:30" ht="24" customHeight="1" x14ac:dyDescent="0.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105"/>
      <c r="M882" s="81"/>
      <c r="N882" s="105"/>
      <c r="O882" s="81"/>
      <c r="P882" s="105"/>
      <c r="Q882" s="81"/>
      <c r="R882" s="105"/>
      <c r="S882" s="81"/>
      <c r="T882" s="105"/>
      <c r="U882" s="81"/>
      <c r="V882" s="105"/>
      <c r="W882" s="81"/>
      <c r="X882" s="81"/>
      <c r="Y882" s="81"/>
      <c r="Z882" s="105"/>
      <c r="AA882" s="81"/>
      <c r="AB882" s="81"/>
      <c r="AC882" s="81"/>
      <c r="AD882" s="81"/>
    </row>
    <row r="883" spans="1:30" ht="24" customHeight="1" x14ac:dyDescent="0.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105"/>
      <c r="M883" s="81"/>
      <c r="N883" s="105"/>
      <c r="O883" s="81"/>
      <c r="P883" s="105"/>
      <c r="Q883" s="81"/>
      <c r="R883" s="105"/>
      <c r="S883" s="81"/>
      <c r="T883" s="105"/>
      <c r="U883" s="81"/>
      <c r="V883" s="105"/>
      <c r="W883" s="81"/>
      <c r="X883" s="81"/>
      <c r="Y883" s="81"/>
      <c r="Z883" s="105"/>
      <c r="AA883" s="81"/>
      <c r="AB883" s="81"/>
      <c r="AC883" s="81"/>
      <c r="AD883" s="81"/>
    </row>
    <row r="884" spans="1:30" ht="24" customHeight="1" x14ac:dyDescent="0.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105"/>
      <c r="M884" s="81"/>
      <c r="N884" s="105"/>
      <c r="O884" s="81"/>
      <c r="P884" s="105"/>
      <c r="Q884" s="81"/>
      <c r="R884" s="105"/>
      <c r="S884" s="81"/>
      <c r="T884" s="105"/>
      <c r="U884" s="81"/>
      <c r="V884" s="105"/>
      <c r="W884" s="81"/>
      <c r="X884" s="81"/>
      <c r="Y884" s="81"/>
      <c r="Z884" s="105"/>
      <c r="AA884" s="81"/>
      <c r="AB884" s="81"/>
      <c r="AC884" s="81"/>
      <c r="AD884" s="81"/>
    </row>
    <row r="885" spans="1:30" ht="24" customHeight="1" x14ac:dyDescent="0.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105"/>
      <c r="M885" s="81"/>
      <c r="N885" s="105"/>
      <c r="O885" s="81"/>
      <c r="P885" s="105"/>
      <c r="Q885" s="81"/>
      <c r="R885" s="105"/>
      <c r="S885" s="81"/>
      <c r="T885" s="105"/>
      <c r="U885" s="81"/>
      <c r="V885" s="105"/>
      <c r="W885" s="81"/>
      <c r="X885" s="81"/>
      <c r="Y885" s="81"/>
      <c r="Z885" s="105"/>
      <c r="AA885" s="81"/>
      <c r="AB885" s="81"/>
      <c r="AC885" s="81"/>
      <c r="AD885" s="81"/>
    </row>
    <row r="886" spans="1:30" ht="24" customHeight="1" x14ac:dyDescent="0.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105"/>
      <c r="M886" s="81"/>
      <c r="N886" s="105"/>
      <c r="O886" s="81"/>
      <c r="P886" s="105"/>
      <c r="Q886" s="81"/>
      <c r="R886" s="105"/>
      <c r="S886" s="81"/>
      <c r="T886" s="105"/>
      <c r="U886" s="81"/>
      <c r="V886" s="105"/>
      <c r="W886" s="81"/>
      <c r="X886" s="81"/>
      <c r="Y886" s="81"/>
      <c r="Z886" s="105"/>
      <c r="AA886" s="81"/>
      <c r="AB886" s="81"/>
      <c r="AC886" s="81"/>
      <c r="AD886" s="81"/>
    </row>
    <row r="887" spans="1:30" ht="24" customHeight="1" x14ac:dyDescent="0.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105"/>
      <c r="M887" s="81"/>
      <c r="N887" s="105"/>
      <c r="O887" s="81"/>
      <c r="P887" s="105"/>
      <c r="Q887" s="81"/>
      <c r="R887" s="105"/>
      <c r="S887" s="81"/>
      <c r="T887" s="105"/>
      <c r="U887" s="81"/>
      <c r="V887" s="105"/>
      <c r="W887" s="81"/>
      <c r="X887" s="81"/>
      <c r="Y887" s="81"/>
      <c r="Z887" s="105"/>
      <c r="AA887" s="81"/>
      <c r="AB887" s="81"/>
      <c r="AC887" s="81"/>
      <c r="AD887" s="81"/>
    </row>
    <row r="888" spans="1:30" ht="24" customHeight="1" x14ac:dyDescent="0.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105"/>
      <c r="M888" s="81"/>
      <c r="N888" s="105"/>
      <c r="O888" s="81"/>
      <c r="P888" s="105"/>
      <c r="Q888" s="81"/>
      <c r="R888" s="105"/>
      <c r="S888" s="81"/>
      <c r="T888" s="105"/>
      <c r="U888" s="81"/>
      <c r="V888" s="105"/>
      <c r="W888" s="81"/>
      <c r="X888" s="81"/>
      <c r="Y888" s="81"/>
      <c r="Z888" s="105"/>
      <c r="AA888" s="81"/>
      <c r="AB888" s="81"/>
      <c r="AC888" s="81"/>
      <c r="AD888" s="81"/>
    </row>
    <row r="889" spans="1:30" ht="24" customHeight="1" x14ac:dyDescent="0.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105"/>
      <c r="M889" s="81"/>
      <c r="N889" s="105"/>
      <c r="O889" s="81"/>
      <c r="P889" s="105"/>
      <c r="Q889" s="81"/>
      <c r="R889" s="105"/>
      <c r="S889" s="81"/>
      <c r="T889" s="105"/>
      <c r="U889" s="81"/>
      <c r="V889" s="105"/>
      <c r="W889" s="81"/>
      <c r="X889" s="81"/>
      <c r="Y889" s="81"/>
      <c r="Z889" s="105"/>
      <c r="AA889" s="81"/>
      <c r="AB889" s="81"/>
      <c r="AC889" s="81"/>
      <c r="AD889" s="81"/>
    </row>
    <row r="890" spans="1:30" ht="24" customHeight="1" x14ac:dyDescent="0.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105"/>
      <c r="M890" s="81"/>
      <c r="N890" s="105"/>
      <c r="O890" s="81"/>
      <c r="P890" s="105"/>
      <c r="Q890" s="81"/>
      <c r="R890" s="105"/>
      <c r="S890" s="81"/>
      <c r="T890" s="105"/>
      <c r="U890" s="81"/>
      <c r="V890" s="105"/>
      <c r="W890" s="81"/>
      <c r="X890" s="81"/>
      <c r="Y890" s="81"/>
      <c r="Z890" s="105"/>
      <c r="AA890" s="81"/>
      <c r="AB890" s="81"/>
      <c r="AC890" s="81"/>
      <c r="AD890" s="81"/>
    </row>
    <row r="891" spans="1:30" ht="24" customHeight="1" x14ac:dyDescent="0.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105"/>
      <c r="M891" s="81"/>
      <c r="N891" s="105"/>
      <c r="O891" s="81"/>
      <c r="P891" s="105"/>
      <c r="Q891" s="81"/>
      <c r="R891" s="105"/>
      <c r="S891" s="81"/>
      <c r="T891" s="105"/>
      <c r="U891" s="81"/>
      <c r="V891" s="105"/>
      <c r="W891" s="81"/>
      <c r="X891" s="81"/>
      <c r="Y891" s="81"/>
      <c r="Z891" s="105"/>
      <c r="AA891" s="81"/>
      <c r="AB891" s="81"/>
      <c r="AC891" s="81"/>
      <c r="AD891" s="81"/>
    </row>
    <row r="892" spans="1:30" ht="24" customHeight="1" x14ac:dyDescent="0.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105"/>
      <c r="M892" s="81"/>
      <c r="N892" s="105"/>
      <c r="O892" s="81"/>
      <c r="P892" s="105"/>
      <c r="Q892" s="81"/>
      <c r="R892" s="105"/>
      <c r="S892" s="81"/>
      <c r="T892" s="105"/>
      <c r="U892" s="81"/>
      <c r="V892" s="105"/>
      <c r="W892" s="81"/>
      <c r="X892" s="81"/>
      <c r="Y892" s="81"/>
      <c r="Z892" s="105"/>
      <c r="AA892" s="81"/>
      <c r="AB892" s="81"/>
      <c r="AC892" s="81"/>
      <c r="AD892" s="81"/>
    </row>
    <row r="893" spans="1:30" ht="24" customHeight="1" x14ac:dyDescent="0.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105"/>
      <c r="M893" s="81"/>
      <c r="N893" s="105"/>
      <c r="O893" s="81"/>
      <c r="P893" s="105"/>
      <c r="Q893" s="81"/>
      <c r="R893" s="105"/>
      <c r="S893" s="81"/>
      <c r="T893" s="105"/>
      <c r="U893" s="81"/>
      <c r="V893" s="105"/>
      <c r="W893" s="81"/>
      <c r="X893" s="81"/>
      <c r="Y893" s="81"/>
      <c r="Z893" s="105"/>
      <c r="AA893" s="81"/>
      <c r="AB893" s="81"/>
      <c r="AC893" s="81"/>
      <c r="AD893" s="81"/>
    </row>
    <row r="894" spans="1:30" ht="24" customHeight="1" x14ac:dyDescent="0.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105"/>
      <c r="M894" s="81"/>
      <c r="N894" s="105"/>
      <c r="O894" s="81"/>
      <c r="P894" s="105"/>
      <c r="Q894" s="81"/>
      <c r="R894" s="105"/>
      <c r="S894" s="81"/>
      <c r="T894" s="105"/>
      <c r="U894" s="81"/>
      <c r="V894" s="105"/>
      <c r="W894" s="81"/>
      <c r="X894" s="81"/>
      <c r="Y894" s="81"/>
      <c r="Z894" s="105"/>
      <c r="AA894" s="81"/>
      <c r="AB894" s="81"/>
      <c r="AC894" s="81"/>
      <c r="AD894" s="81"/>
    </row>
    <row r="895" spans="1:30" ht="24" customHeight="1" x14ac:dyDescent="0.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105"/>
      <c r="M895" s="81"/>
      <c r="N895" s="105"/>
      <c r="O895" s="81"/>
      <c r="P895" s="105"/>
      <c r="Q895" s="81"/>
      <c r="R895" s="105"/>
      <c r="S895" s="81"/>
      <c r="T895" s="105"/>
      <c r="U895" s="81"/>
      <c r="V895" s="105"/>
      <c r="W895" s="81"/>
      <c r="X895" s="81"/>
      <c r="Y895" s="81"/>
      <c r="Z895" s="105"/>
      <c r="AA895" s="81"/>
      <c r="AB895" s="81"/>
      <c r="AC895" s="81"/>
      <c r="AD895" s="81"/>
    </row>
    <row r="896" spans="1:30" ht="24" customHeight="1" x14ac:dyDescent="0.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105"/>
      <c r="M896" s="81"/>
      <c r="N896" s="105"/>
      <c r="O896" s="81"/>
      <c r="P896" s="105"/>
      <c r="Q896" s="81"/>
      <c r="R896" s="105"/>
      <c r="S896" s="81"/>
      <c r="T896" s="105"/>
      <c r="U896" s="81"/>
      <c r="V896" s="105"/>
      <c r="W896" s="81"/>
      <c r="X896" s="81"/>
      <c r="Y896" s="81"/>
      <c r="Z896" s="105"/>
      <c r="AA896" s="81"/>
      <c r="AB896" s="81"/>
      <c r="AC896" s="81"/>
      <c r="AD896" s="81"/>
    </row>
    <row r="897" spans="1:30" ht="24" customHeight="1" x14ac:dyDescent="0.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105"/>
      <c r="M897" s="81"/>
      <c r="N897" s="105"/>
      <c r="O897" s="81"/>
      <c r="P897" s="105"/>
      <c r="Q897" s="81"/>
      <c r="R897" s="105"/>
      <c r="S897" s="81"/>
      <c r="T897" s="105"/>
      <c r="U897" s="81"/>
      <c r="V897" s="105"/>
      <c r="W897" s="81"/>
      <c r="X897" s="81"/>
      <c r="Y897" s="81"/>
      <c r="Z897" s="105"/>
      <c r="AA897" s="81"/>
      <c r="AB897" s="81"/>
      <c r="AC897" s="81"/>
      <c r="AD897" s="81"/>
    </row>
    <row r="898" spans="1:30" ht="24" customHeight="1" x14ac:dyDescent="0.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105"/>
      <c r="M898" s="81"/>
      <c r="N898" s="105"/>
      <c r="O898" s="81"/>
      <c r="P898" s="105"/>
      <c r="Q898" s="81"/>
      <c r="R898" s="105"/>
      <c r="S898" s="81"/>
      <c r="T898" s="105"/>
      <c r="U898" s="81"/>
      <c r="V898" s="105"/>
      <c r="W898" s="81"/>
      <c r="X898" s="81"/>
      <c r="Y898" s="81"/>
      <c r="Z898" s="105"/>
      <c r="AA898" s="81"/>
      <c r="AB898" s="81"/>
      <c r="AC898" s="81"/>
      <c r="AD898" s="81"/>
    </row>
    <row r="899" spans="1:30" ht="24" customHeight="1" x14ac:dyDescent="0.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105"/>
      <c r="M899" s="81"/>
      <c r="N899" s="105"/>
      <c r="O899" s="81"/>
      <c r="P899" s="105"/>
      <c r="Q899" s="81"/>
      <c r="R899" s="105"/>
      <c r="S899" s="81"/>
      <c r="T899" s="105"/>
      <c r="U899" s="81"/>
      <c r="V899" s="105"/>
      <c r="W899" s="81"/>
      <c r="X899" s="81"/>
      <c r="Y899" s="81"/>
      <c r="Z899" s="105"/>
      <c r="AA899" s="81"/>
      <c r="AB899" s="81"/>
      <c r="AC899" s="81"/>
      <c r="AD899" s="81"/>
    </row>
    <row r="900" spans="1:30" ht="24" customHeight="1" x14ac:dyDescent="0.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105"/>
      <c r="M900" s="81"/>
      <c r="N900" s="105"/>
      <c r="O900" s="81"/>
      <c r="P900" s="105"/>
      <c r="Q900" s="81"/>
      <c r="R900" s="105"/>
      <c r="S900" s="81"/>
      <c r="T900" s="105"/>
      <c r="U900" s="81"/>
      <c r="V900" s="105"/>
      <c r="W900" s="81"/>
      <c r="X900" s="81"/>
      <c r="Y900" s="81"/>
      <c r="Z900" s="105"/>
      <c r="AA900" s="81"/>
      <c r="AB900" s="81"/>
      <c r="AC900" s="81"/>
      <c r="AD900" s="81"/>
    </row>
    <row r="901" spans="1:30" ht="24" customHeight="1" x14ac:dyDescent="0.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105"/>
      <c r="M901" s="81"/>
      <c r="N901" s="105"/>
      <c r="O901" s="81"/>
      <c r="P901" s="105"/>
      <c r="Q901" s="81"/>
      <c r="R901" s="105"/>
      <c r="S901" s="81"/>
      <c r="T901" s="105"/>
      <c r="U901" s="81"/>
      <c r="V901" s="105"/>
      <c r="W901" s="81"/>
      <c r="X901" s="81"/>
      <c r="Y901" s="81"/>
      <c r="Z901" s="105"/>
      <c r="AA901" s="81"/>
      <c r="AB901" s="81"/>
      <c r="AC901" s="81"/>
      <c r="AD901" s="81"/>
    </row>
    <row r="902" spans="1:30" ht="24" customHeight="1" x14ac:dyDescent="0.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105"/>
      <c r="M902" s="81"/>
      <c r="N902" s="105"/>
      <c r="O902" s="81"/>
      <c r="P902" s="105"/>
      <c r="Q902" s="81"/>
      <c r="R902" s="105"/>
      <c r="S902" s="81"/>
      <c r="T902" s="105"/>
      <c r="U902" s="81"/>
      <c r="V902" s="105"/>
      <c r="W902" s="81"/>
      <c r="X902" s="81"/>
      <c r="Y902" s="81"/>
      <c r="Z902" s="105"/>
      <c r="AA902" s="81"/>
      <c r="AB902" s="81"/>
      <c r="AC902" s="81"/>
      <c r="AD902" s="81"/>
    </row>
    <row r="903" spans="1:30" ht="24" customHeight="1" x14ac:dyDescent="0.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105"/>
      <c r="M903" s="81"/>
      <c r="N903" s="105"/>
      <c r="O903" s="81"/>
      <c r="P903" s="105"/>
      <c r="Q903" s="81"/>
      <c r="R903" s="105"/>
      <c r="S903" s="81"/>
      <c r="T903" s="105"/>
      <c r="U903" s="81"/>
      <c r="V903" s="105"/>
      <c r="W903" s="81"/>
      <c r="X903" s="81"/>
      <c r="Y903" s="81"/>
      <c r="Z903" s="105"/>
      <c r="AA903" s="81"/>
      <c r="AB903" s="81"/>
      <c r="AC903" s="81"/>
      <c r="AD903" s="81"/>
    </row>
    <row r="904" spans="1:30" ht="24" customHeight="1" x14ac:dyDescent="0.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105"/>
      <c r="M904" s="81"/>
      <c r="N904" s="105"/>
      <c r="O904" s="81"/>
      <c r="P904" s="105"/>
      <c r="Q904" s="81"/>
      <c r="R904" s="105"/>
      <c r="S904" s="81"/>
      <c r="T904" s="105"/>
      <c r="U904" s="81"/>
      <c r="V904" s="105"/>
      <c r="W904" s="81"/>
      <c r="X904" s="81"/>
      <c r="Y904" s="81"/>
      <c r="Z904" s="105"/>
      <c r="AA904" s="81"/>
      <c r="AB904" s="81"/>
      <c r="AC904" s="81"/>
      <c r="AD904" s="81"/>
    </row>
    <row r="905" spans="1:30" ht="24" customHeight="1" x14ac:dyDescent="0.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105"/>
      <c r="M905" s="81"/>
      <c r="N905" s="105"/>
      <c r="O905" s="81"/>
      <c r="P905" s="105"/>
      <c r="Q905" s="81"/>
      <c r="R905" s="105"/>
      <c r="S905" s="81"/>
      <c r="T905" s="105"/>
      <c r="U905" s="81"/>
      <c r="V905" s="105"/>
      <c r="W905" s="81"/>
      <c r="X905" s="81"/>
      <c r="Y905" s="81"/>
      <c r="Z905" s="105"/>
      <c r="AA905" s="81"/>
      <c r="AB905" s="81"/>
      <c r="AC905" s="81"/>
      <c r="AD905" s="81"/>
    </row>
    <row r="906" spans="1:30" ht="24" customHeight="1" x14ac:dyDescent="0.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105"/>
      <c r="M906" s="81"/>
      <c r="N906" s="105"/>
      <c r="O906" s="81"/>
      <c r="P906" s="105"/>
      <c r="Q906" s="81"/>
      <c r="R906" s="105"/>
      <c r="S906" s="81"/>
      <c r="T906" s="105"/>
      <c r="U906" s="81"/>
      <c r="V906" s="105"/>
      <c r="W906" s="81"/>
      <c r="X906" s="81"/>
      <c r="Y906" s="81"/>
      <c r="Z906" s="105"/>
      <c r="AA906" s="81"/>
      <c r="AB906" s="81"/>
      <c r="AC906" s="81"/>
      <c r="AD906" s="81"/>
    </row>
    <row r="907" spans="1:30" ht="24" customHeight="1" x14ac:dyDescent="0.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105"/>
      <c r="M907" s="81"/>
      <c r="N907" s="105"/>
      <c r="O907" s="81"/>
      <c r="P907" s="105"/>
      <c r="Q907" s="81"/>
      <c r="R907" s="105"/>
      <c r="S907" s="81"/>
      <c r="T907" s="105"/>
      <c r="U907" s="81"/>
      <c r="V907" s="105"/>
      <c r="W907" s="81"/>
      <c r="X907" s="81"/>
      <c r="Y907" s="81"/>
      <c r="Z907" s="105"/>
      <c r="AA907" s="81"/>
      <c r="AB907" s="81"/>
      <c r="AC907" s="81"/>
      <c r="AD907" s="81"/>
    </row>
    <row r="908" spans="1:30" ht="24" customHeight="1" x14ac:dyDescent="0.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105"/>
      <c r="M908" s="81"/>
      <c r="N908" s="105"/>
      <c r="O908" s="81"/>
      <c r="P908" s="105"/>
      <c r="Q908" s="81"/>
      <c r="R908" s="105"/>
      <c r="S908" s="81"/>
      <c r="T908" s="105"/>
      <c r="U908" s="81"/>
      <c r="V908" s="105"/>
      <c r="W908" s="81"/>
      <c r="X908" s="81"/>
      <c r="Y908" s="81"/>
      <c r="Z908" s="105"/>
      <c r="AA908" s="81"/>
      <c r="AB908" s="81"/>
      <c r="AC908" s="81"/>
      <c r="AD908" s="81"/>
    </row>
    <row r="909" spans="1:30" ht="24" customHeight="1" x14ac:dyDescent="0.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105"/>
      <c r="M909" s="81"/>
      <c r="N909" s="105"/>
      <c r="O909" s="81"/>
      <c r="P909" s="105"/>
      <c r="Q909" s="81"/>
      <c r="R909" s="105"/>
      <c r="S909" s="81"/>
      <c r="T909" s="105"/>
      <c r="U909" s="81"/>
      <c r="V909" s="105"/>
      <c r="W909" s="81"/>
      <c r="X909" s="81"/>
      <c r="Y909" s="81"/>
      <c r="Z909" s="105"/>
      <c r="AA909" s="81"/>
      <c r="AB909" s="81"/>
      <c r="AC909" s="81"/>
      <c r="AD909" s="81"/>
    </row>
    <row r="910" spans="1:30" ht="24" customHeight="1" x14ac:dyDescent="0.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105"/>
      <c r="M910" s="81"/>
      <c r="N910" s="105"/>
      <c r="O910" s="81"/>
      <c r="P910" s="105"/>
      <c r="Q910" s="81"/>
      <c r="R910" s="105"/>
      <c r="S910" s="81"/>
      <c r="T910" s="105"/>
      <c r="U910" s="81"/>
      <c r="V910" s="105"/>
      <c r="W910" s="81"/>
      <c r="X910" s="81"/>
      <c r="Y910" s="81"/>
      <c r="Z910" s="105"/>
      <c r="AA910" s="81"/>
      <c r="AB910" s="81"/>
      <c r="AC910" s="81"/>
      <c r="AD910" s="81"/>
    </row>
    <row r="911" spans="1:30" ht="24" customHeight="1" x14ac:dyDescent="0.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105"/>
      <c r="M911" s="81"/>
      <c r="N911" s="105"/>
      <c r="O911" s="81"/>
      <c r="P911" s="105"/>
      <c r="Q911" s="81"/>
      <c r="R911" s="105"/>
      <c r="S911" s="81"/>
      <c r="T911" s="105"/>
      <c r="U911" s="81"/>
      <c r="V911" s="105"/>
      <c r="W911" s="81"/>
      <c r="X911" s="81"/>
      <c r="Y911" s="81"/>
      <c r="Z911" s="105"/>
      <c r="AA911" s="81"/>
      <c r="AB911" s="81"/>
      <c r="AC911" s="81"/>
      <c r="AD911" s="81"/>
    </row>
    <row r="912" spans="1:30" ht="24" customHeight="1" x14ac:dyDescent="0.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105"/>
      <c r="M912" s="81"/>
      <c r="N912" s="105"/>
      <c r="O912" s="81"/>
      <c r="P912" s="105"/>
      <c r="Q912" s="81"/>
      <c r="R912" s="105"/>
      <c r="S912" s="81"/>
      <c r="T912" s="105"/>
      <c r="U912" s="81"/>
      <c r="V912" s="105"/>
      <c r="W912" s="81"/>
      <c r="X912" s="81"/>
      <c r="Y912" s="81"/>
      <c r="Z912" s="105"/>
      <c r="AA912" s="81"/>
      <c r="AB912" s="81"/>
      <c r="AC912" s="81"/>
      <c r="AD912" s="81"/>
    </row>
    <row r="913" spans="1:30" ht="24" customHeight="1" x14ac:dyDescent="0.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105"/>
      <c r="M913" s="81"/>
      <c r="N913" s="105"/>
      <c r="O913" s="81"/>
      <c r="P913" s="105"/>
      <c r="Q913" s="81"/>
      <c r="R913" s="105"/>
      <c r="S913" s="81"/>
      <c r="T913" s="105"/>
      <c r="U913" s="81"/>
      <c r="V913" s="105"/>
      <c r="W913" s="81"/>
      <c r="X913" s="81"/>
      <c r="Y913" s="81"/>
      <c r="Z913" s="105"/>
      <c r="AA913" s="81"/>
      <c r="AB913" s="81"/>
      <c r="AC913" s="81"/>
      <c r="AD913" s="81"/>
    </row>
    <row r="914" spans="1:30" ht="24" customHeight="1" x14ac:dyDescent="0.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105"/>
      <c r="M914" s="81"/>
      <c r="N914" s="105"/>
      <c r="O914" s="81"/>
      <c r="P914" s="105"/>
      <c r="Q914" s="81"/>
      <c r="R914" s="105"/>
      <c r="S914" s="81"/>
      <c r="T914" s="105"/>
      <c r="U914" s="81"/>
      <c r="V914" s="105"/>
      <c r="W914" s="81"/>
      <c r="X914" s="81"/>
      <c r="Y914" s="81"/>
      <c r="Z914" s="105"/>
      <c r="AA914" s="81"/>
      <c r="AB914" s="81"/>
      <c r="AC914" s="81"/>
      <c r="AD914" s="81"/>
    </row>
    <row r="915" spans="1:30" ht="24" customHeight="1" x14ac:dyDescent="0.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105"/>
      <c r="M915" s="81"/>
      <c r="N915" s="105"/>
      <c r="O915" s="81"/>
      <c r="P915" s="105"/>
      <c r="Q915" s="81"/>
      <c r="R915" s="105"/>
      <c r="S915" s="81"/>
      <c r="T915" s="105"/>
      <c r="U915" s="81"/>
      <c r="V915" s="105"/>
      <c r="W915" s="81"/>
      <c r="X915" s="81"/>
      <c r="Y915" s="81"/>
      <c r="Z915" s="105"/>
      <c r="AA915" s="81"/>
      <c r="AB915" s="81"/>
      <c r="AC915" s="81"/>
      <c r="AD915" s="81"/>
    </row>
    <row r="916" spans="1:30" ht="24" customHeight="1" x14ac:dyDescent="0.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105"/>
      <c r="M916" s="81"/>
      <c r="N916" s="105"/>
      <c r="O916" s="81"/>
      <c r="P916" s="105"/>
      <c r="Q916" s="81"/>
      <c r="R916" s="105"/>
      <c r="S916" s="81"/>
      <c r="T916" s="105"/>
      <c r="U916" s="81"/>
      <c r="V916" s="105"/>
      <c r="W916" s="81"/>
      <c r="X916" s="81"/>
      <c r="Y916" s="81"/>
      <c r="Z916" s="105"/>
      <c r="AA916" s="81"/>
      <c r="AB916" s="81"/>
      <c r="AC916" s="81"/>
      <c r="AD916" s="81"/>
    </row>
    <row r="917" spans="1:30" ht="24" customHeight="1" x14ac:dyDescent="0.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105"/>
      <c r="M917" s="81"/>
      <c r="N917" s="105"/>
      <c r="O917" s="81"/>
      <c r="P917" s="105"/>
      <c r="Q917" s="81"/>
      <c r="R917" s="105"/>
      <c r="S917" s="81"/>
      <c r="T917" s="105"/>
      <c r="U917" s="81"/>
      <c r="V917" s="105"/>
      <c r="W917" s="81"/>
      <c r="X917" s="81"/>
      <c r="Y917" s="81"/>
      <c r="Z917" s="105"/>
      <c r="AA917" s="81"/>
      <c r="AB917" s="81"/>
      <c r="AC917" s="81"/>
      <c r="AD917" s="81"/>
    </row>
    <row r="918" spans="1:30" ht="24" customHeight="1" x14ac:dyDescent="0.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105"/>
      <c r="M918" s="81"/>
      <c r="N918" s="105"/>
      <c r="O918" s="81"/>
      <c r="P918" s="105"/>
      <c r="Q918" s="81"/>
      <c r="R918" s="105"/>
      <c r="S918" s="81"/>
      <c r="T918" s="105"/>
      <c r="U918" s="81"/>
      <c r="V918" s="105"/>
      <c r="W918" s="81"/>
      <c r="X918" s="81"/>
      <c r="Y918" s="81"/>
      <c r="Z918" s="105"/>
      <c r="AA918" s="81"/>
      <c r="AB918" s="81"/>
      <c r="AC918" s="81"/>
      <c r="AD918" s="81"/>
    </row>
    <row r="919" spans="1:30" ht="24" customHeight="1" x14ac:dyDescent="0.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105"/>
      <c r="M919" s="81"/>
      <c r="N919" s="105"/>
      <c r="O919" s="81"/>
      <c r="P919" s="105"/>
      <c r="Q919" s="81"/>
      <c r="R919" s="105"/>
      <c r="S919" s="81"/>
      <c r="T919" s="105"/>
      <c r="U919" s="81"/>
      <c r="V919" s="105"/>
      <c r="W919" s="81"/>
      <c r="X919" s="81"/>
      <c r="Y919" s="81"/>
      <c r="Z919" s="105"/>
      <c r="AA919" s="81"/>
      <c r="AB919" s="81"/>
      <c r="AC919" s="81"/>
      <c r="AD919" s="81"/>
    </row>
    <row r="920" spans="1:30" ht="24" customHeight="1" x14ac:dyDescent="0.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105"/>
      <c r="M920" s="81"/>
      <c r="N920" s="105"/>
      <c r="O920" s="81"/>
      <c r="P920" s="105"/>
      <c r="Q920" s="81"/>
      <c r="R920" s="105"/>
      <c r="S920" s="81"/>
      <c r="T920" s="105"/>
      <c r="U920" s="81"/>
      <c r="V920" s="105"/>
      <c r="W920" s="81"/>
      <c r="X920" s="81"/>
      <c r="Y920" s="81"/>
      <c r="Z920" s="105"/>
      <c r="AA920" s="81"/>
      <c r="AB920" s="81"/>
      <c r="AC920" s="81"/>
      <c r="AD920" s="81"/>
    </row>
    <row r="921" spans="1:30" ht="24" customHeight="1" x14ac:dyDescent="0.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105"/>
      <c r="M921" s="81"/>
      <c r="N921" s="105"/>
      <c r="O921" s="81"/>
      <c r="P921" s="105"/>
      <c r="Q921" s="81"/>
      <c r="R921" s="105"/>
      <c r="S921" s="81"/>
      <c r="T921" s="105"/>
      <c r="U921" s="81"/>
      <c r="V921" s="105"/>
      <c r="W921" s="81"/>
      <c r="X921" s="81"/>
      <c r="Y921" s="81"/>
      <c r="Z921" s="105"/>
      <c r="AA921" s="81"/>
      <c r="AB921" s="81"/>
      <c r="AC921" s="81"/>
      <c r="AD921" s="81"/>
    </row>
    <row r="922" spans="1:30" ht="24" customHeight="1" x14ac:dyDescent="0.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105"/>
      <c r="M922" s="81"/>
      <c r="N922" s="105"/>
      <c r="O922" s="81"/>
      <c r="P922" s="105"/>
      <c r="Q922" s="81"/>
      <c r="R922" s="105"/>
      <c r="S922" s="81"/>
      <c r="T922" s="105"/>
      <c r="U922" s="81"/>
      <c r="V922" s="105"/>
      <c r="W922" s="81"/>
      <c r="X922" s="81"/>
      <c r="Y922" s="81"/>
      <c r="Z922" s="105"/>
      <c r="AA922" s="81"/>
      <c r="AB922" s="81"/>
      <c r="AC922" s="81"/>
      <c r="AD922" s="81"/>
    </row>
    <row r="923" spans="1:30" ht="24" customHeight="1" x14ac:dyDescent="0.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105"/>
      <c r="M923" s="81"/>
      <c r="N923" s="105"/>
      <c r="O923" s="81"/>
      <c r="P923" s="105"/>
      <c r="Q923" s="81"/>
      <c r="R923" s="105"/>
      <c r="S923" s="81"/>
      <c r="T923" s="105"/>
      <c r="U923" s="81"/>
      <c r="V923" s="105"/>
      <c r="W923" s="81"/>
      <c r="X923" s="81"/>
      <c r="Y923" s="81"/>
      <c r="Z923" s="105"/>
      <c r="AA923" s="81"/>
      <c r="AB923" s="81"/>
      <c r="AC923" s="81"/>
      <c r="AD923" s="81"/>
    </row>
    <row r="924" spans="1:30" ht="24" customHeight="1" x14ac:dyDescent="0.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105"/>
      <c r="M924" s="81"/>
      <c r="N924" s="105"/>
      <c r="O924" s="81"/>
      <c r="P924" s="105"/>
      <c r="Q924" s="81"/>
      <c r="R924" s="105"/>
      <c r="S924" s="81"/>
      <c r="T924" s="105"/>
      <c r="U924" s="81"/>
      <c r="V924" s="105"/>
      <c r="W924" s="81"/>
      <c r="X924" s="81"/>
      <c r="Y924" s="81"/>
      <c r="Z924" s="105"/>
      <c r="AA924" s="81"/>
      <c r="AB924" s="81"/>
      <c r="AC924" s="81"/>
      <c r="AD924" s="81"/>
    </row>
    <row r="925" spans="1:30" ht="24" customHeight="1" x14ac:dyDescent="0.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105"/>
      <c r="M925" s="81"/>
      <c r="N925" s="105"/>
      <c r="O925" s="81"/>
      <c r="P925" s="105"/>
      <c r="Q925" s="81"/>
      <c r="R925" s="105"/>
      <c r="S925" s="81"/>
      <c r="T925" s="105"/>
      <c r="U925" s="81"/>
      <c r="V925" s="105"/>
      <c r="W925" s="81"/>
      <c r="X925" s="81"/>
      <c r="Y925" s="81"/>
      <c r="Z925" s="105"/>
      <c r="AA925" s="81"/>
      <c r="AB925" s="81"/>
      <c r="AC925" s="81"/>
      <c r="AD925" s="81"/>
    </row>
    <row r="926" spans="1:30" ht="24" customHeight="1" x14ac:dyDescent="0.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105"/>
      <c r="M926" s="81"/>
      <c r="N926" s="105"/>
      <c r="O926" s="81"/>
      <c r="P926" s="105"/>
      <c r="Q926" s="81"/>
      <c r="R926" s="105"/>
      <c r="S926" s="81"/>
      <c r="T926" s="105"/>
      <c r="U926" s="81"/>
      <c r="V926" s="105"/>
      <c r="W926" s="81"/>
      <c r="X926" s="81"/>
      <c r="Y926" s="81"/>
      <c r="Z926" s="105"/>
      <c r="AA926" s="81"/>
      <c r="AB926" s="81"/>
      <c r="AC926" s="81"/>
      <c r="AD926" s="81"/>
    </row>
    <row r="927" spans="1:30" ht="24" customHeight="1" x14ac:dyDescent="0.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105"/>
      <c r="M927" s="81"/>
      <c r="N927" s="105"/>
      <c r="O927" s="81"/>
      <c r="P927" s="105"/>
      <c r="Q927" s="81"/>
      <c r="R927" s="105"/>
      <c r="S927" s="81"/>
      <c r="T927" s="105"/>
      <c r="U927" s="81"/>
      <c r="V927" s="105"/>
      <c r="W927" s="81"/>
      <c r="X927" s="81"/>
      <c r="Y927" s="81"/>
      <c r="Z927" s="105"/>
      <c r="AA927" s="81"/>
      <c r="AB927" s="81"/>
      <c r="AC927" s="81"/>
      <c r="AD927" s="81"/>
    </row>
    <row r="928" spans="1:30" ht="24" customHeight="1" x14ac:dyDescent="0.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105"/>
      <c r="M928" s="81"/>
      <c r="N928" s="105"/>
      <c r="O928" s="81"/>
      <c r="P928" s="105"/>
      <c r="Q928" s="81"/>
      <c r="R928" s="105"/>
      <c r="S928" s="81"/>
      <c r="T928" s="105"/>
      <c r="U928" s="81"/>
      <c r="V928" s="105"/>
      <c r="W928" s="81"/>
      <c r="X928" s="81"/>
      <c r="Y928" s="81"/>
      <c r="Z928" s="105"/>
      <c r="AA928" s="81"/>
      <c r="AB928" s="81"/>
      <c r="AC928" s="81"/>
      <c r="AD928" s="81"/>
    </row>
    <row r="929" spans="1:30" ht="24" customHeight="1" x14ac:dyDescent="0.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105"/>
      <c r="M929" s="81"/>
      <c r="N929" s="105"/>
      <c r="O929" s="81"/>
      <c r="P929" s="105"/>
      <c r="Q929" s="81"/>
      <c r="R929" s="105"/>
      <c r="S929" s="81"/>
      <c r="T929" s="105"/>
      <c r="U929" s="81"/>
      <c r="V929" s="105"/>
      <c r="W929" s="81"/>
      <c r="X929" s="81"/>
      <c r="Y929" s="81"/>
      <c r="Z929" s="105"/>
      <c r="AA929" s="81"/>
      <c r="AB929" s="81"/>
      <c r="AC929" s="81"/>
      <c r="AD929" s="81"/>
    </row>
    <row r="930" spans="1:30" ht="24" customHeight="1" x14ac:dyDescent="0.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105"/>
      <c r="M930" s="81"/>
      <c r="N930" s="105"/>
      <c r="O930" s="81"/>
      <c r="P930" s="105"/>
      <c r="Q930" s="81"/>
      <c r="R930" s="105"/>
      <c r="S930" s="81"/>
      <c r="T930" s="105"/>
      <c r="U930" s="81"/>
      <c r="V930" s="105"/>
      <c r="W930" s="81"/>
      <c r="X930" s="81"/>
      <c r="Y930" s="81"/>
      <c r="Z930" s="105"/>
      <c r="AA930" s="81"/>
      <c r="AB930" s="81"/>
      <c r="AC930" s="81"/>
      <c r="AD930" s="81"/>
    </row>
    <row r="931" spans="1:30" ht="24" customHeight="1" x14ac:dyDescent="0.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105"/>
      <c r="M931" s="81"/>
      <c r="N931" s="105"/>
      <c r="O931" s="81"/>
      <c r="P931" s="105"/>
      <c r="Q931" s="81"/>
      <c r="R931" s="105"/>
      <c r="S931" s="81"/>
      <c r="T931" s="105"/>
      <c r="U931" s="81"/>
      <c r="V931" s="105"/>
      <c r="W931" s="81"/>
      <c r="X931" s="81"/>
      <c r="Y931" s="81"/>
      <c r="Z931" s="105"/>
      <c r="AA931" s="81"/>
      <c r="AB931" s="81"/>
      <c r="AC931" s="81"/>
      <c r="AD931" s="81"/>
    </row>
    <row r="932" spans="1:30" ht="24" customHeight="1" x14ac:dyDescent="0.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105"/>
      <c r="M932" s="81"/>
      <c r="N932" s="105"/>
      <c r="O932" s="81"/>
      <c r="P932" s="105"/>
      <c r="Q932" s="81"/>
      <c r="R932" s="105"/>
      <c r="S932" s="81"/>
      <c r="T932" s="105"/>
      <c r="U932" s="81"/>
      <c r="V932" s="105"/>
      <c r="W932" s="81"/>
      <c r="X932" s="81"/>
      <c r="Y932" s="81"/>
      <c r="Z932" s="105"/>
      <c r="AA932" s="81"/>
      <c r="AB932" s="81"/>
      <c r="AC932" s="81"/>
      <c r="AD932" s="81"/>
    </row>
    <row r="933" spans="1:30" ht="24" customHeight="1" x14ac:dyDescent="0.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105"/>
      <c r="M933" s="81"/>
      <c r="N933" s="105"/>
      <c r="O933" s="81"/>
      <c r="P933" s="105"/>
      <c r="Q933" s="81"/>
      <c r="R933" s="105"/>
      <c r="S933" s="81"/>
      <c r="T933" s="105"/>
      <c r="U933" s="81"/>
      <c r="V933" s="105"/>
      <c r="W933" s="81"/>
      <c r="X933" s="81"/>
      <c r="Y933" s="81"/>
      <c r="Z933" s="105"/>
      <c r="AA933" s="81"/>
      <c r="AB933" s="81"/>
      <c r="AC933" s="81"/>
      <c r="AD933" s="81"/>
    </row>
    <row r="934" spans="1:30" ht="24" customHeight="1" x14ac:dyDescent="0.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105"/>
      <c r="M934" s="81"/>
      <c r="N934" s="105"/>
      <c r="O934" s="81"/>
      <c r="P934" s="105"/>
      <c r="Q934" s="81"/>
      <c r="R934" s="105"/>
      <c r="S934" s="81"/>
      <c r="T934" s="105"/>
      <c r="U934" s="81"/>
      <c r="V934" s="105"/>
      <c r="W934" s="81"/>
      <c r="X934" s="81"/>
      <c r="Y934" s="81"/>
      <c r="Z934" s="105"/>
      <c r="AA934" s="81"/>
      <c r="AB934" s="81"/>
      <c r="AC934" s="81"/>
      <c r="AD934" s="81"/>
    </row>
    <row r="935" spans="1:30" ht="24" customHeight="1" x14ac:dyDescent="0.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105"/>
      <c r="M935" s="81"/>
      <c r="N935" s="105"/>
      <c r="O935" s="81"/>
      <c r="P935" s="105"/>
      <c r="Q935" s="81"/>
      <c r="R935" s="105"/>
      <c r="S935" s="81"/>
      <c r="T935" s="105"/>
      <c r="U935" s="81"/>
      <c r="V935" s="105"/>
      <c r="W935" s="81"/>
      <c r="X935" s="81"/>
      <c r="Y935" s="81"/>
      <c r="Z935" s="105"/>
      <c r="AA935" s="81"/>
      <c r="AB935" s="81"/>
      <c r="AC935" s="81"/>
      <c r="AD935" s="81"/>
    </row>
    <row r="936" spans="1:30" ht="24" customHeight="1" x14ac:dyDescent="0.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105"/>
      <c r="M936" s="81"/>
      <c r="N936" s="105"/>
      <c r="O936" s="81"/>
      <c r="P936" s="105"/>
      <c r="Q936" s="81"/>
      <c r="R936" s="105"/>
      <c r="S936" s="81"/>
      <c r="T936" s="105"/>
      <c r="U936" s="81"/>
      <c r="V936" s="105"/>
      <c r="W936" s="81"/>
      <c r="X936" s="81"/>
      <c r="Y936" s="81"/>
      <c r="Z936" s="105"/>
      <c r="AA936" s="81"/>
      <c r="AB936" s="81"/>
      <c r="AC936" s="81"/>
      <c r="AD936" s="81"/>
    </row>
    <row r="937" spans="1:30" ht="24" customHeight="1" x14ac:dyDescent="0.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105"/>
      <c r="M937" s="81"/>
      <c r="N937" s="105"/>
      <c r="O937" s="81"/>
      <c r="P937" s="105"/>
      <c r="Q937" s="81"/>
      <c r="R937" s="105"/>
      <c r="S937" s="81"/>
      <c r="T937" s="105"/>
      <c r="U937" s="81"/>
      <c r="V937" s="105"/>
      <c r="W937" s="81"/>
      <c r="X937" s="81"/>
      <c r="Y937" s="81"/>
      <c r="Z937" s="105"/>
      <c r="AA937" s="81"/>
      <c r="AB937" s="81"/>
      <c r="AC937" s="81"/>
      <c r="AD937" s="81"/>
    </row>
    <row r="938" spans="1:30" ht="24" customHeight="1" x14ac:dyDescent="0.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105"/>
      <c r="M938" s="81"/>
      <c r="N938" s="105"/>
      <c r="O938" s="81"/>
      <c r="P938" s="105"/>
      <c r="Q938" s="81"/>
      <c r="R938" s="105"/>
      <c r="S938" s="81"/>
      <c r="T938" s="105"/>
      <c r="U938" s="81"/>
      <c r="V938" s="105"/>
      <c r="W938" s="81"/>
      <c r="X938" s="81"/>
      <c r="Y938" s="81"/>
      <c r="Z938" s="105"/>
      <c r="AA938" s="81"/>
      <c r="AB938" s="81"/>
      <c r="AC938" s="81"/>
      <c r="AD938" s="81"/>
    </row>
    <row r="939" spans="1:30" ht="24" customHeight="1" x14ac:dyDescent="0.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105"/>
      <c r="M939" s="81"/>
      <c r="N939" s="105"/>
      <c r="O939" s="81"/>
      <c r="P939" s="105"/>
      <c r="Q939" s="81"/>
      <c r="R939" s="105"/>
      <c r="S939" s="81"/>
      <c r="T939" s="105"/>
      <c r="U939" s="81"/>
      <c r="V939" s="105"/>
      <c r="W939" s="81"/>
      <c r="X939" s="81"/>
      <c r="Y939" s="81"/>
      <c r="Z939" s="105"/>
      <c r="AA939" s="81"/>
      <c r="AB939" s="81"/>
      <c r="AC939" s="81"/>
      <c r="AD939" s="81"/>
    </row>
    <row r="940" spans="1:30" ht="24" customHeight="1" x14ac:dyDescent="0.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105"/>
      <c r="M940" s="81"/>
      <c r="N940" s="105"/>
      <c r="O940" s="81"/>
      <c r="P940" s="105"/>
      <c r="Q940" s="81"/>
      <c r="R940" s="105"/>
      <c r="S940" s="81"/>
      <c r="T940" s="105"/>
      <c r="U940" s="81"/>
      <c r="V940" s="105"/>
      <c r="W940" s="81"/>
      <c r="X940" s="81"/>
      <c r="Y940" s="81"/>
      <c r="Z940" s="105"/>
      <c r="AA940" s="81"/>
      <c r="AB940" s="81"/>
      <c r="AC940" s="81"/>
      <c r="AD940" s="81"/>
    </row>
    <row r="941" spans="1:30" ht="24" customHeight="1" x14ac:dyDescent="0.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105"/>
      <c r="M941" s="81"/>
      <c r="N941" s="105"/>
      <c r="O941" s="81"/>
      <c r="P941" s="105"/>
      <c r="Q941" s="81"/>
      <c r="R941" s="105"/>
      <c r="S941" s="81"/>
      <c r="T941" s="105"/>
      <c r="U941" s="81"/>
      <c r="V941" s="105"/>
      <c r="W941" s="81"/>
      <c r="X941" s="81"/>
      <c r="Y941" s="81"/>
      <c r="Z941" s="105"/>
      <c r="AA941" s="81"/>
      <c r="AB941" s="81"/>
      <c r="AC941" s="81"/>
      <c r="AD941" s="81"/>
    </row>
    <row r="942" spans="1:30" ht="24" customHeight="1" x14ac:dyDescent="0.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105"/>
      <c r="M942" s="81"/>
      <c r="N942" s="105"/>
      <c r="O942" s="81"/>
      <c r="P942" s="105"/>
      <c r="Q942" s="81"/>
      <c r="R942" s="105"/>
      <c r="S942" s="81"/>
      <c r="T942" s="105"/>
      <c r="U942" s="81"/>
      <c r="V942" s="105"/>
      <c r="W942" s="81"/>
      <c r="X942" s="81"/>
      <c r="Y942" s="81"/>
      <c r="Z942" s="105"/>
      <c r="AA942" s="81"/>
      <c r="AB942" s="81"/>
      <c r="AC942" s="81"/>
      <c r="AD942" s="81"/>
    </row>
    <row r="943" spans="1:30" ht="24" customHeight="1" x14ac:dyDescent="0.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105"/>
      <c r="M943" s="81"/>
      <c r="N943" s="105"/>
      <c r="O943" s="81"/>
      <c r="P943" s="105"/>
      <c r="Q943" s="81"/>
      <c r="R943" s="105"/>
      <c r="S943" s="81"/>
      <c r="T943" s="105"/>
      <c r="U943" s="81"/>
      <c r="V943" s="105"/>
      <c r="W943" s="81"/>
      <c r="X943" s="81"/>
      <c r="Y943" s="81"/>
      <c r="Z943" s="105"/>
      <c r="AA943" s="81"/>
      <c r="AB943" s="81"/>
      <c r="AC943" s="81"/>
      <c r="AD943" s="81"/>
    </row>
    <row r="944" spans="1:30" ht="24" customHeight="1" x14ac:dyDescent="0.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105"/>
      <c r="M944" s="81"/>
      <c r="N944" s="105"/>
      <c r="O944" s="81"/>
      <c r="P944" s="105"/>
      <c r="Q944" s="81"/>
      <c r="R944" s="105"/>
      <c r="S944" s="81"/>
      <c r="T944" s="105"/>
      <c r="U944" s="81"/>
      <c r="V944" s="105"/>
      <c r="W944" s="81"/>
      <c r="X944" s="81"/>
      <c r="Y944" s="81"/>
      <c r="Z944" s="105"/>
      <c r="AA944" s="81"/>
      <c r="AB944" s="81"/>
      <c r="AC944" s="81"/>
      <c r="AD944" s="81"/>
    </row>
    <row r="945" spans="1:30" ht="24" customHeight="1" x14ac:dyDescent="0.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105"/>
      <c r="M945" s="81"/>
      <c r="N945" s="105"/>
      <c r="O945" s="81"/>
      <c r="P945" s="105"/>
      <c r="Q945" s="81"/>
      <c r="R945" s="105"/>
      <c r="S945" s="81"/>
      <c r="T945" s="105"/>
      <c r="U945" s="81"/>
      <c r="V945" s="105"/>
      <c r="W945" s="81"/>
      <c r="X945" s="81"/>
      <c r="Y945" s="81"/>
      <c r="Z945" s="105"/>
      <c r="AA945" s="81"/>
      <c r="AB945" s="81"/>
      <c r="AC945" s="81"/>
      <c r="AD945" s="81"/>
    </row>
    <row r="946" spans="1:30" ht="24" customHeight="1" x14ac:dyDescent="0.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105"/>
      <c r="M946" s="81"/>
      <c r="N946" s="105"/>
      <c r="O946" s="81"/>
      <c r="P946" s="105"/>
      <c r="Q946" s="81"/>
      <c r="R946" s="105"/>
      <c r="S946" s="81"/>
      <c r="T946" s="105"/>
      <c r="U946" s="81"/>
      <c r="V946" s="105"/>
      <c r="W946" s="81"/>
      <c r="X946" s="81"/>
      <c r="Y946" s="81"/>
      <c r="Z946" s="105"/>
      <c r="AA946" s="81"/>
      <c r="AB946" s="81"/>
      <c r="AC946" s="81"/>
      <c r="AD946" s="81"/>
    </row>
    <row r="947" spans="1:30" ht="24" customHeight="1" x14ac:dyDescent="0.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105"/>
      <c r="M947" s="81"/>
      <c r="N947" s="105"/>
      <c r="O947" s="81"/>
      <c r="P947" s="105"/>
      <c r="Q947" s="81"/>
      <c r="R947" s="105"/>
      <c r="S947" s="81"/>
      <c r="T947" s="105"/>
      <c r="U947" s="81"/>
      <c r="V947" s="105"/>
      <c r="W947" s="81"/>
      <c r="X947" s="81"/>
      <c r="Y947" s="81"/>
      <c r="Z947" s="105"/>
      <c r="AA947" s="81"/>
      <c r="AB947" s="81"/>
      <c r="AC947" s="81"/>
      <c r="AD947" s="81"/>
    </row>
    <row r="948" spans="1:30" ht="24" customHeight="1" x14ac:dyDescent="0.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105"/>
      <c r="M948" s="81"/>
      <c r="N948" s="105"/>
      <c r="O948" s="81"/>
      <c r="P948" s="105"/>
      <c r="Q948" s="81"/>
      <c r="R948" s="105"/>
      <c r="S948" s="81"/>
      <c r="T948" s="105"/>
      <c r="U948" s="81"/>
      <c r="V948" s="105"/>
      <c r="W948" s="81"/>
      <c r="X948" s="81"/>
      <c r="Y948" s="81"/>
      <c r="Z948" s="105"/>
      <c r="AA948" s="81"/>
      <c r="AB948" s="81"/>
      <c r="AC948" s="81"/>
      <c r="AD948" s="81"/>
    </row>
    <row r="949" spans="1:30" ht="24" customHeight="1" x14ac:dyDescent="0.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105"/>
      <c r="M949" s="81"/>
      <c r="N949" s="105"/>
      <c r="O949" s="81"/>
      <c r="P949" s="105"/>
      <c r="Q949" s="81"/>
      <c r="R949" s="105"/>
      <c r="S949" s="81"/>
      <c r="T949" s="105"/>
      <c r="U949" s="81"/>
      <c r="V949" s="105"/>
      <c r="W949" s="81"/>
      <c r="X949" s="81"/>
      <c r="Y949" s="81"/>
      <c r="Z949" s="105"/>
      <c r="AA949" s="81"/>
      <c r="AB949" s="81"/>
      <c r="AC949" s="81"/>
      <c r="AD949" s="81"/>
    </row>
    <row r="950" spans="1:30" ht="24" customHeight="1" x14ac:dyDescent="0.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105"/>
      <c r="M950" s="81"/>
      <c r="N950" s="105"/>
      <c r="O950" s="81"/>
      <c r="P950" s="105"/>
      <c r="Q950" s="81"/>
      <c r="R950" s="105"/>
      <c r="S950" s="81"/>
      <c r="T950" s="105"/>
      <c r="U950" s="81"/>
      <c r="V950" s="105"/>
      <c r="W950" s="81"/>
      <c r="X950" s="81"/>
      <c r="Y950" s="81"/>
      <c r="Z950" s="105"/>
      <c r="AA950" s="81"/>
      <c r="AB950" s="81"/>
      <c r="AC950" s="81"/>
      <c r="AD950" s="81"/>
    </row>
    <row r="951" spans="1:30" ht="24" customHeight="1" x14ac:dyDescent="0.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105"/>
      <c r="M951" s="81"/>
      <c r="N951" s="105"/>
      <c r="O951" s="81"/>
      <c r="P951" s="105"/>
      <c r="Q951" s="81"/>
      <c r="R951" s="105"/>
      <c r="S951" s="81"/>
      <c r="T951" s="105"/>
      <c r="U951" s="81"/>
      <c r="V951" s="105"/>
      <c r="W951" s="81"/>
      <c r="X951" s="81"/>
      <c r="Y951" s="81"/>
      <c r="Z951" s="105"/>
      <c r="AA951" s="81"/>
      <c r="AB951" s="81"/>
      <c r="AC951" s="81"/>
      <c r="AD951" s="81"/>
    </row>
    <row r="952" spans="1:30" ht="24" customHeight="1" x14ac:dyDescent="0.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105"/>
      <c r="M952" s="81"/>
      <c r="N952" s="105"/>
      <c r="O952" s="81"/>
      <c r="P952" s="105"/>
      <c r="Q952" s="81"/>
      <c r="R952" s="105"/>
      <c r="S952" s="81"/>
      <c r="T952" s="105"/>
      <c r="U952" s="81"/>
      <c r="V952" s="105"/>
      <c r="W952" s="81"/>
      <c r="X952" s="81"/>
      <c r="Y952" s="81"/>
      <c r="Z952" s="105"/>
      <c r="AA952" s="81"/>
      <c r="AB952" s="81"/>
      <c r="AC952" s="81"/>
      <c r="AD952" s="81"/>
    </row>
    <row r="953" spans="1:30" ht="24" customHeight="1" x14ac:dyDescent="0.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105"/>
      <c r="M953" s="81"/>
      <c r="N953" s="105"/>
      <c r="O953" s="81"/>
      <c r="P953" s="105"/>
      <c r="Q953" s="81"/>
      <c r="R953" s="105"/>
      <c r="S953" s="81"/>
      <c r="T953" s="105"/>
      <c r="U953" s="81"/>
      <c r="V953" s="105"/>
      <c r="W953" s="81"/>
      <c r="X953" s="81"/>
      <c r="Y953" s="81"/>
      <c r="Z953" s="105"/>
      <c r="AA953" s="81"/>
      <c r="AB953" s="81"/>
      <c r="AC953" s="81"/>
      <c r="AD953" s="81"/>
    </row>
    <row r="954" spans="1:30" ht="24" customHeight="1" x14ac:dyDescent="0.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105"/>
      <c r="M954" s="81"/>
      <c r="N954" s="105"/>
      <c r="O954" s="81"/>
      <c r="P954" s="105"/>
      <c r="Q954" s="81"/>
      <c r="R954" s="105"/>
      <c r="S954" s="81"/>
      <c r="T954" s="105"/>
      <c r="U954" s="81"/>
      <c r="V954" s="105"/>
      <c r="W954" s="81"/>
      <c r="X954" s="81"/>
      <c r="Y954" s="81"/>
      <c r="Z954" s="105"/>
      <c r="AA954" s="81"/>
      <c r="AB954" s="81"/>
      <c r="AC954" s="81"/>
      <c r="AD954" s="81"/>
    </row>
    <row r="955" spans="1:30" ht="24" customHeight="1" x14ac:dyDescent="0.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105"/>
      <c r="M955" s="81"/>
      <c r="N955" s="105"/>
      <c r="O955" s="81"/>
      <c r="P955" s="105"/>
      <c r="Q955" s="81"/>
      <c r="R955" s="105"/>
      <c r="S955" s="81"/>
      <c r="T955" s="105"/>
      <c r="U955" s="81"/>
      <c r="V955" s="105"/>
      <c r="W955" s="81"/>
      <c r="X955" s="81"/>
      <c r="Y955" s="81"/>
      <c r="Z955" s="105"/>
      <c r="AA955" s="81"/>
      <c r="AB955" s="81"/>
      <c r="AC955" s="81"/>
      <c r="AD955" s="81"/>
    </row>
    <row r="956" spans="1:30" ht="24" customHeight="1" x14ac:dyDescent="0.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105"/>
      <c r="M956" s="81"/>
      <c r="N956" s="105"/>
      <c r="O956" s="81"/>
      <c r="P956" s="105"/>
      <c r="Q956" s="81"/>
      <c r="R956" s="105"/>
      <c r="S956" s="81"/>
      <c r="T956" s="105"/>
      <c r="U956" s="81"/>
      <c r="V956" s="105"/>
      <c r="W956" s="81"/>
      <c r="X956" s="81"/>
      <c r="Y956" s="81"/>
      <c r="Z956" s="105"/>
      <c r="AA956" s="81"/>
      <c r="AB956" s="81"/>
      <c r="AC956" s="81"/>
      <c r="AD956" s="81"/>
    </row>
    <row r="957" spans="1:30" ht="24" customHeight="1" x14ac:dyDescent="0.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105"/>
      <c r="M957" s="81"/>
      <c r="N957" s="105"/>
      <c r="O957" s="81"/>
      <c r="P957" s="105"/>
      <c r="Q957" s="81"/>
      <c r="R957" s="105"/>
      <c r="S957" s="81"/>
      <c r="T957" s="105"/>
      <c r="U957" s="81"/>
      <c r="V957" s="105"/>
      <c r="W957" s="81"/>
      <c r="X957" s="81"/>
      <c r="Y957" s="81"/>
      <c r="Z957" s="105"/>
      <c r="AA957" s="81"/>
      <c r="AB957" s="81"/>
      <c r="AC957" s="81"/>
      <c r="AD957" s="81"/>
    </row>
    <row r="958" spans="1:30" ht="24" customHeight="1" x14ac:dyDescent="0.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105"/>
      <c r="M958" s="81"/>
      <c r="N958" s="105"/>
      <c r="O958" s="81"/>
      <c r="P958" s="105"/>
      <c r="Q958" s="81"/>
      <c r="R958" s="105"/>
      <c r="S958" s="81"/>
      <c r="T958" s="105"/>
      <c r="U958" s="81"/>
      <c r="V958" s="105"/>
      <c r="W958" s="81"/>
      <c r="X958" s="81"/>
      <c r="Y958" s="81"/>
      <c r="Z958" s="105"/>
      <c r="AA958" s="81"/>
      <c r="AB958" s="81"/>
      <c r="AC958" s="81"/>
      <c r="AD958" s="81"/>
    </row>
    <row r="959" spans="1:30" ht="24" customHeight="1" x14ac:dyDescent="0.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105"/>
      <c r="M959" s="81"/>
      <c r="N959" s="105"/>
      <c r="O959" s="81"/>
      <c r="P959" s="105"/>
      <c r="Q959" s="81"/>
      <c r="R959" s="105"/>
      <c r="S959" s="81"/>
      <c r="T959" s="105"/>
      <c r="U959" s="81"/>
      <c r="V959" s="105"/>
      <c r="W959" s="81"/>
      <c r="X959" s="81"/>
      <c r="Y959" s="81"/>
      <c r="Z959" s="105"/>
      <c r="AA959" s="81"/>
      <c r="AB959" s="81"/>
      <c r="AC959" s="81"/>
      <c r="AD959" s="81"/>
    </row>
    <row r="960" spans="1:30" ht="24" customHeight="1" x14ac:dyDescent="0.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105"/>
      <c r="M960" s="81"/>
      <c r="N960" s="105"/>
      <c r="O960" s="81"/>
      <c r="P960" s="105"/>
      <c r="Q960" s="81"/>
      <c r="R960" s="105"/>
      <c r="S960" s="81"/>
      <c r="T960" s="105"/>
      <c r="U960" s="81"/>
      <c r="V960" s="105"/>
      <c r="W960" s="81"/>
      <c r="X960" s="81"/>
      <c r="Y960" s="81"/>
      <c r="Z960" s="105"/>
      <c r="AA960" s="81"/>
      <c r="AB960" s="81"/>
      <c r="AC960" s="81"/>
      <c r="AD960" s="81"/>
    </row>
    <row r="961" spans="1:30" ht="24" customHeight="1" x14ac:dyDescent="0.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105"/>
      <c r="M961" s="81"/>
      <c r="N961" s="105"/>
      <c r="O961" s="81"/>
      <c r="P961" s="105"/>
      <c r="Q961" s="81"/>
      <c r="R961" s="105"/>
      <c r="S961" s="81"/>
      <c r="T961" s="105"/>
      <c r="U961" s="81"/>
      <c r="V961" s="105"/>
      <c r="W961" s="81"/>
      <c r="X961" s="81"/>
      <c r="Y961" s="81"/>
      <c r="Z961" s="105"/>
      <c r="AA961" s="81"/>
      <c r="AB961" s="81"/>
      <c r="AC961" s="81"/>
      <c r="AD961" s="81"/>
    </row>
    <row r="962" spans="1:30" ht="24" customHeight="1" x14ac:dyDescent="0.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105"/>
      <c r="M962" s="81"/>
      <c r="N962" s="105"/>
      <c r="O962" s="81"/>
      <c r="P962" s="105"/>
      <c r="Q962" s="81"/>
      <c r="R962" s="105"/>
      <c r="S962" s="81"/>
      <c r="T962" s="105"/>
      <c r="U962" s="81"/>
      <c r="V962" s="105"/>
      <c r="W962" s="81"/>
      <c r="X962" s="81"/>
      <c r="Y962" s="81"/>
      <c r="Z962" s="105"/>
      <c r="AA962" s="81"/>
      <c r="AB962" s="81"/>
      <c r="AC962" s="81"/>
      <c r="AD962" s="81"/>
    </row>
    <row r="963" spans="1:30" ht="24" customHeight="1" x14ac:dyDescent="0.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105"/>
      <c r="M963" s="81"/>
      <c r="N963" s="105"/>
      <c r="O963" s="81"/>
      <c r="P963" s="105"/>
      <c r="Q963" s="81"/>
      <c r="R963" s="105"/>
      <c r="S963" s="81"/>
      <c r="T963" s="105"/>
      <c r="U963" s="81"/>
      <c r="V963" s="105"/>
      <c r="W963" s="81"/>
      <c r="X963" s="81"/>
      <c r="Y963" s="81"/>
      <c r="Z963" s="105"/>
      <c r="AA963" s="81"/>
      <c r="AB963" s="81"/>
      <c r="AC963" s="81"/>
      <c r="AD963" s="81"/>
    </row>
    <row r="964" spans="1:30" ht="24" customHeight="1" x14ac:dyDescent="0.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105"/>
      <c r="M964" s="81"/>
      <c r="N964" s="105"/>
      <c r="O964" s="81"/>
      <c r="P964" s="105"/>
      <c r="Q964" s="81"/>
      <c r="R964" s="105"/>
      <c r="S964" s="81"/>
      <c r="T964" s="105"/>
      <c r="U964" s="81"/>
      <c r="V964" s="105"/>
      <c r="W964" s="81"/>
      <c r="X964" s="81"/>
      <c r="Y964" s="81"/>
      <c r="Z964" s="105"/>
      <c r="AA964" s="81"/>
      <c r="AB964" s="81"/>
      <c r="AC964" s="81"/>
      <c r="AD964" s="81"/>
    </row>
    <row r="965" spans="1:30" ht="24" customHeight="1" x14ac:dyDescent="0.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105"/>
      <c r="M965" s="81"/>
      <c r="N965" s="105"/>
      <c r="O965" s="81"/>
      <c r="P965" s="105"/>
      <c r="Q965" s="81"/>
      <c r="R965" s="105"/>
      <c r="S965" s="81"/>
      <c r="T965" s="105"/>
      <c r="U965" s="81"/>
      <c r="V965" s="105"/>
      <c r="W965" s="81"/>
      <c r="X965" s="81"/>
      <c r="Y965" s="81"/>
      <c r="Z965" s="105"/>
      <c r="AA965" s="81"/>
      <c r="AB965" s="81"/>
      <c r="AC965" s="81"/>
      <c r="AD965" s="81"/>
    </row>
    <row r="966" spans="1:30" ht="24" customHeight="1" x14ac:dyDescent="0.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105"/>
      <c r="M966" s="81"/>
      <c r="N966" s="105"/>
      <c r="O966" s="81"/>
      <c r="P966" s="105"/>
      <c r="Q966" s="81"/>
      <c r="R966" s="105"/>
      <c r="S966" s="81"/>
      <c r="T966" s="105"/>
      <c r="U966" s="81"/>
      <c r="V966" s="105"/>
      <c r="W966" s="81"/>
      <c r="X966" s="81"/>
      <c r="Y966" s="81"/>
      <c r="Z966" s="105"/>
      <c r="AA966" s="81"/>
      <c r="AB966" s="81"/>
      <c r="AC966" s="81"/>
      <c r="AD966" s="81"/>
    </row>
    <row r="967" spans="1:30" ht="24" customHeight="1" x14ac:dyDescent="0.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105"/>
      <c r="M967" s="81"/>
      <c r="N967" s="105"/>
      <c r="O967" s="81"/>
      <c r="P967" s="105"/>
      <c r="Q967" s="81"/>
      <c r="R967" s="105"/>
      <c r="S967" s="81"/>
      <c r="T967" s="105"/>
      <c r="U967" s="81"/>
      <c r="V967" s="105"/>
      <c r="W967" s="81"/>
      <c r="X967" s="81"/>
      <c r="Y967" s="81"/>
      <c r="Z967" s="105"/>
      <c r="AA967" s="81"/>
      <c r="AB967" s="81"/>
      <c r="AC967" s="81"/>
      <c r="AD967" s="81"/>
    </row>
    <row r="968" spans="1:30" ht="24" customHeight="1" x14ac:dyDescent="0.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105"/>
      <c r="M968" s="81"/>
      <c r="N968" s="105"/>
      <c r="O968" s="81"/>
      <c r="P968" s="105"/>
      <c r="Q968" s="81"/>
      <c r="R968" s="105"/>
      <c r="S968" s="81"/>
      <c r="T968" s="105"/>
      <c r="U968" s="81"/>
      <c r="V968" s="105"/>
      <c r="W968" s="81"/>
      <c r="X968" s="81"/>
      <c r="Y968" s="81"/>
      <c r="Z968" s="105"/>
      <c r="AA968" s="81"/>
      <c r="AB968" s="81"/>
      <c r="AC968" s="81"/>
      <c r="AD968" s="81"/>
    </row>
    <row r="969" spans="1:30" ht="24" customHeight="1" x14ac:dyDescent="0.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105"/>
      <c r="M969" s="81"/>
      <c r="N969" s="105"/>
      <c r="O969" s="81"/>
      <c r="P969" s="105"/>
      <c r="Q969" s="81"/>
      <c r="R969" s="105"/>
      <c r="S969" s="81"/>
      <c r="T969" s="105"/>
      <c r="U969" s="81"/>
      <c r="V969" s="105"/>
      <c r="W969" s="81"/>
      <c r="X969" s="81"/>
      <c r="Y969" s="81"/>
      <c r="Z969" s="105"/>
      <c r="AA969" s="81"/>
      <c r="AB969" s="81"/>
      <c r="AC969" s="81"/>
      <c r="AD969" s="81"/>
    </row>
    <row r="970" spans="1:30" ht="24" customHeight="1" x14ac:dyDescent="0.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105"/>
      <c r="M970" s="81"/>
      <c r="N970" s="105"/>
      <c r="O970" s="81"/>
      <c r="P970" s="105"/>
      <c r="Q970" s="81"/>
      <c r="R970" s="105"/>
      <c r="S970" s="81"/>
      <c r="T970" s="105"/>
      <c r="U970" s="81"/>
      <c r="V970" s="105"/>
      <c r="W970" s="81"/>
      <c r="X970" s="81"/>
      <c r="Y970" s="81"/>
      <c r="Z970" s="105"/>
      <c r="AA970" s="81"/>
      <c r="AB970" s="81"/>
      <c r="AC970" s="81"/>
      <c r="AD970" s="81"/>
    </row>
    <row r="971" spans="1:30" ht="24" customHeight="1" x14ac:dyDescent="0.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105"/>
      <c r="M971" s="81"/>
      <c r="N971" s="105"/>
      <c r="O971" s="81"/>
      <c r="P971" s="105"/>
      <c r="Q971" s="81"/>
      <c r="R971" s="105"/>
      <c r="S971" s="81"/>
      <c r="T971" s="105"/>
      <c r="U971" s="81"/>
      <c r="V971" s="105"/>
      <c r="W971" s="81"/>
      <c r="X971" s="81"/>
      <c r="Y971" s="81"/>
      <c r="Z971" s="105"/>
      <c r="AA971" s="81"/>
      <c r="AB971" s="81"/>
      <c r="AC971" s="81"/>
      <c r="AD971" s="81"/>
    </row>
    <row r="972" spans="1:30" ht="24" customHeight="1" x14ac:dyDescent="0.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105"/>
      <c r="M972" s="81"/>
      <c r="N972" s="105"/>
      <c r="O972" s="81"/>
      <c r="P972" s="105"/>
      <c r="Q972" s="81"/>
      <c r="R972" s="105"/>
      <c r="S972" s="81"/>
      <c r="T972" s="105"/>
      <c r="U972" s="81"/>
      <c r="V972" s="105"/>
      <c r="W972" s="81"/>
      <c r="X972" s="81"/>
      <c r="Y972" s="81"/>
      <c r="Z972" s="105"/>
      <c r="AA972" s="81"/>
      <c r="AB972" s="81"/>
      <c r="AC972" s="81"/>
      <c r="AD972" s="81"/>
    </row>
    <row r="973" spans="1:30" ht="24" customHeight="1" x14ac:dyDescent="0.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105"/>
      <c r="M973" s="81"/>
      <c r="N973" s="105"/>
      <c r="O973" s="81"/>
      <c r="P973" s="105"/>
      <c r="Q973" s="81"/>
      <c r="R973" s="105"/>
      <c r="S973" s="81"/>
      <c r="T973" s="105"/>
      <c r="U973" s="81"/>
      <c r="V973" s="105"/>
      <c r="W973" s="81"/>
      <c r="X973" s="81"/>
      <c r="Y973" s="81"/>
      <c r="Z973" s="105"/>
      <c r="AA973" s="81"/>
      <c r="AB973" s="81"/>
      <c r="AC973" s="81"/>
      <c r="AD973" s="81"/>
    </row>
    <row r="974" spans="1:30" ht="24" customHeight="1" x14ac:dyDescent="0.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105"/>
      <c r="M974" s="81"/>
      <c r="N974" s="105"/>
      <c r="O974" s="81"/>
      <c r="P974" s="105"/>
      <c r="Q974" s="81"/>
      <c r="R974" s="105"/>
      <c r="S974" s="81"/>
      <c r="T974" s="105"/>
      <c r="U974" s="81"/>
      <c r="V974" s="105"/>
      <c r="W974" s="81"/>
      <c r="X974" s="81"/>
      <c r="Y974" s="81"/>
      <c r="Z974" s="105"/>
      <c r="AA974" s="81"/>
      <c r="AB974" s="81"/>
      <c r="AC974" s="81"/>
      <c r="AD974" s="81"/>
    </row>
    <row r="975" spans="1:30" ht="24" customHeight="1" x14ac:dyDescent="0.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105"/>
      <c r="M975" s="81"/>
      <c r="N975" s="105"/>
      <c r="O975" s="81"/>
      <c r="P975" s="105"/>
      <c r="Q975" s="81"/>
      <c r="R975" s="105"/>
      <c r="S975" s="81"/>
      <c r="T975" s="105"/>
      <c r="U975" s="81"/>
      <c r="V975" s="105"/>
      <c r="W975" s="81"/>
      <c r="X975" s="81"/>
      <c r="Y975" s="81"/>
      <c r="Z975" s="105"/>
      <c r="AA975" s="81"/>
      <c r="AB975" s="81"/>
      <c r="AC975" s="81"/>
      <c r="AD975" s="81"/>
    </row>
    <row r="976" spans="1:30" ht="24" customHeight="1" x14ac:dyDescent="0.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105"/>
      <c r="M976" s="81"/>
      <c r="N976" s="105"/>
      <c r="O976" s="81"/>
      <c r="P976" s="105"/>
      <c r="Q976" s="81"/>
      <c r="R976" s="105"/>
      <c r="S976" s="81"/>
      <c r="T976" s="105"/>
      <c r="U976" s="81"/>
      <c r="V976" s="105"/>
      <c r="W976" s="81"/>
      <c r="X976" s="81"/>
      <c r="Y976" s="81"/>
      <c r="Z976" s="105"/>
      <c r="AA976" s="81"/>
      <c r="AB976" s="81"/>
      <c r="AC976" s="81"/>
      <c r="AD976" s="81"/>
    </row>
    <row r="977" spans="1:30" ht="24" customHeight="1" x14ac:dyDescent="0.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105"/>
      <c r="M977" s="81"/>
      <c r="N977" s="105"/>
      <c r="O977" s="81"/>
      <c r="P977" s="105"/>
      <c r="Q977" s="81"/>
      <c r="R977" s="105"/>
      <c r="S977" s="81"/>
      <c r="T977" s="105"/>
      <c r="U977" s="81"/>
      <c r="V977" s="105"/>
      <c r="W977" s="81"/>
      <c r="X977" s="81"/>
      <c r="Y977" s="81"/>
      <c r="Z977" s="105"/>
      <c r="AA977" s="81"/>
      <c r="AB977" s="81"/>
      <c r="AC977" s="81"/>
      <c r="AD977" s="81"/>
    </row>
    <row r="978" spans="1:30" ht="24" customHeight="1" x14ac:dyDescent="0.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105"/>
      <c r="M978" s="81"/>
      <c r="N978" s="105"/>
      <c r="O978" s="81"/>
      <c r="P978" s="105"/>
      <c r="Q978" s="81"/>
      <c r="R978" s="105"/>
      <c r="S978" s="81"/>
      <c r="T978" s="105"/>
      <c r="U978" s="81"/>
      <c r="V978" s="105"/>
      <c r="W978" s="81"/>
      <c r="X978" s="81"/>
      <c r="Y978" s="81"/>
      <c r="Z978" s="105"/>
      <c r="AA978" s="81"/>
      <c r="AB978" s="81"/>
      <c r="AC978" s="81"/>
      <c r="AD978" s="81"/>
    </row>
    <row r="979" spans="1:30" ht="24" customHeight="1" x14ac:dyDescent="0.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105"/>
      <c r="M979" s="81"/>
      <c r="N979" s="105"/>
      <c r="O979" s="81"/>
      <c r="P979" s="105"/>
      <c r="Q979" s="81"/>
      <c r="R979" s="105"/>
      <c r="S979" s="81"/>
      <c r="T979" s="105"/>
      <c r="U979" s="81"/>
      <c r="V979" s="105"/>
      <c r="W979" s="81"/>
      <c r="X979" s="81"/>
      <c r="Y979" s="81"/>
      <c r="Z979" s="105"/>
      <c r="AA979" s="81"/>
      <c r="AB979" s="81"/>
      <c r="AC979" s="81"/>
      <c r="AD979" s="81"/>
    </row>
    <row r="980" spans="1:30" ht="24" customHeight="1" x14ac:dyDescent="0.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105"/>
      <c r="M980" s="81"/>
      <c r="N980" s="105"/>
      <c r="O980" s="81"/>
      <c r="P980" s="105"/>
      <c r="Q980" s="81"/>
      <c r="R980" s="105"/>
      <c r="S980" s="81"/>
      <c r="T980" s="105"/>
      <c r="U980" s="81"/>
      <c r="V980" s="105"/>
      <c r="W980" s="81"/>
      <c r="X980" s="81"/>
      <c r="Y980" s="81"/>
      <c r="Z980" s="105"/>
      <c r="AA980" s="81"/>
      <c r="AB980" s="81"/>
      <c r="AC980" s="81"/>
      <c r="AD980" s="81"/>
    </row>
    <row r="981" spans="1:30" ht="24" customHeight="1" x14ac:dyDescent="0.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105"/>
      <c r="M981" s="81"/>
      <c r="N981" s="105"/>
      <c r="O981" s="81"/>
      <c r="P981" s="105"/>
      <c r="Q981" s="81"/>
      <c r="R981" s="105"/>
      <c r="S981" s="81"/>
      <c r="T981" s="105"/>
      <c r="U981" s="81"/>
      <c r="V981" s="105"/>
      <c r="W981" s="81"/>
      <c r="X981" s="81"/>
      <c r="Y981" s="81"/>
      <c r="Z981" s="105"/>
      <c r="AA981" s="81"/>
      <c r="AB981" s="81"/>
      <c r="AC981" s="81"/>
      <c r="AD981" s="81"/>
    </row>
    <row r="982" spans="1:30" ht="24" customHeight="1" x14ac:dyDescent="0.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105"/>
      <c r="M982" s="81"/>
      <c r="N982" s="105"/>
      <c r="O982" s="81"/>
      <c r="P982" s="105"/>
      <c r="Q982" s="81"/>
      <c r="R982" s="105"/>
      <c r="S982" s="81"/>
      <c r="T982" s="105"/>
      <c r="U982" s="81"/>
      <c r="V982" s="105"/>
      <c r="W982" s="81"/>
      <c r="X982" s="81"/>
      <c r="Y982" s="81"/>
      <c r="Z982" s="105"/>
      <c r="AA982" s="81"/>
      <c r="AB982" s="81"/>
      <c r="AC982" s="81"/>
      <c r="AD982" s="81"/>
    </row>
    <row r="983" spans="1:30" ht="24" customHeight="1" x14ac:dyDescent="0.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105"/>
      <c r="M983" s="81"/>
      <c r="N983" s="105"/>
      <c r="O983" s="81"/>
      <c r="P983" s="105"/>
      <c r="Q983" s="81"/>
      <c r="R983" s="105"/>
      <c r="S983" s="81"/>
      <c r="T983" s="105"/>
      <c r="U983" s="81"/>
      <c r="V983" s="105"/>
      <c r="W983" s="81"/>
      <c r="X983" s="81"/>
      <c r="Y983" s="81"/>
      <c r="Z983" s="105"/>
      <c r="AA983" s="81"/>
      <c r="AB983" s="81"/>
      <c r="AC983" s="81"/>
      <c r="AD983" s="81"/>
    </row>
    <row r="984" spans="1:30" ht="24" customHeight="1" x14ac:dyDescent="0.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105"/>
      <c r="M984" s="81"/>
      <c r="N984" s="105"/>
      <c r="O984" s="81"/>
      <c r="P984" s="105"/>
      <c r="Q984" s="81"/>
      <c r="R984" s="105"/>
      <c r="S984" s="81"/>
      <c r="T984" s="105"/>
      <c r="U984" s="81"/>
      <c r="V984" s="105"/>
      <c r="W984" s="81"/>
      <c r="X984" s="81"/>
      <c r="Y984" s="81"/>
      <c r="Z984" s="105"/>
      <c r="AA984" s="81"/>
      <c r="AB984" s="81"/>
      <c r="AC984" s="81"/>
      <c r="AD984" s="81"/>
    </row>
    <row r="985" spans="1:30" ht="24" customHeight="1" x14ac:dyDescent="0.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105"/>
      <c r="M985" s="81"/>
      <c r="N985" s="105"/>
      <c r="O985" s="81"/>
      <c r="P985" s="105"/>
      <c r="Q985" s="81"/>
      <c r="R985" s="105"/>
      <c r="S985" s="81"/>
      <c r="T985" s="105"/>
      <c r="U985" s="81"/>
      <c r="V985" s="105"/>
      <c r="W985" s="81"/>
      <c r="X985" s="81"/>
      <c r="Y985" s="81"/>
      <c r="Z985" s="105"/>
      <c r="AA985" s="81"/>
      <c r="AB985" s="81"/>
      <c r="AC985" s="81"/>
      <c r="AD985" s="81"/>
    </row>
    <row r="986" spans="1:30" ht="24" customHeight="1" x14ac:dyDescent="0.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105"/>
      <c r="M986" s="81"/>
      <c r="N986" s="105"/>
      <c r="O986" s="81"/>
      <c r="P986" s="105"/>
      <c r="Q986" s="81"/>
      <c r="R986" s="105"/>
      <c r="S986" s="81"/>
      <c r="T986" s="105"/>
      <c r="U986" s="81"/>
      <c r="V986" s="105"/>
      <c r="W986" s="81"/>
      <c r="X986" s="81"/>
      <c r="Y986" s="81"/>
      <c r="Z986" s="105"/>
      <c r="AA986" s="81"/>
      <c r="AB986" s="81"/>
      <c r="AC986" s="81"/>
      <c r="AD986" s="81"/>
    </row>
    <row r="987" spans="1:30" ht="24" customHeight="1" x14ac:dyDescent="0.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105"/>
      <c r="M987" s="81"/>
      <c r="N987" s="105"/>
      <c r="O987" s="81"/>
      <c r="P987" s="105"/>
      <c r="Q987" s="81"/>
      <c r="R987" s="105"/>
      <c r="S987" s="81"/>
      <c r="T987" s="105"/>
      <c r="U987" s="81"/>
      <c r="V987" s="105"/>
      <c r="W987" s="81"/>
      <c r="X987" s="81"/>
      <c r="Y987" s="81"/>
      <c r="Z987" s="105"/>
      <c r="AA987" s="81"/>
      <c r="AB987" s="81"/>
      <c r="AC987" s="81"/>
      <c r="AD987" s="81"/>
    </row>
    <row r="988" spans="1:30" ht="24" customHeight="1" x14ac:dyDescent="0.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105"/>
      <c r="M988" s="81"/>
      <c r="N988" s="105"/>
      <c r="O988" s="81"/>
      <c r="P988" s="105"/>
      <c r="Q988" s="81"/>
      <c r="R988" s="105"/>
      <c r="S988" s="81"/>
      <c r="T988" s="105"/>
      <c r="U988" s="81"/>
      <c r="V988" s="105"/>
      <c r="W988" s="81"/>
      <c r="X988" s="81"/>
      <c r="Y988" s="81"/>
      <c r="Z988" s="105"/>
      <c r="AA988" s="81"/>
      <c r="AB988" s="81"/>
      <c r="AC988" s="81"/>
      <c r="AD988" s="81"/>
    </row>
    <row r="989" spans="1:30" ht="24" customHeight="1" x14ac:dyDescent="0.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105"/>
      <c r="M989" s="81"/>
      <c r="N989" s="105"/>
      <c r="O989" s="81"/>
      <c r="P989" s="105"/>
      <c r="Q989" s="81"/>
      <c r="R989" s="105"/>
      <c r="S989" s="81"/>
      <c r="T989" s="105"/>
      <c r="U989" s="81"/>
      <c r="V989" s="105"/>
      <c r="W989" s="81"/>
      <c r="X989" s="81"/>
      <c r="Y989" s="81"/>
      <c r="Z989" s="105"/>
      <c r="AA989" s="81"/>
      <c r="AB989" s="81"/>
      <c r="AC989" s="81"/>
      <c r="AD989" s="81"/>
    </row>
    <row r="990" spans="1:30" ht="24" customHeight="1" x14ac:dyDescent="0.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105"/>
      <c r="M990" s="81"/>
      <c r="N990" s="105"/>
      <c r="O990" s="81"/>
      <c r="P990" s="105"/>
      <c r="Q990" s="81"/>
      <c r="R990" s="105"/>
      <c r="S990" s="81"/>
      <c r="T990" s="105"/>
      <c r="U990" s="81"/>
      <c r="V990" s="105"/>
      <c r="W990" s="81"/>
      <c r="X990" s="81"/>
      <c r="Y990" s="81"/>
      <c r="Z990" s="105"/>
      <c r="AA990" s="81"/>
      <c r="AB990" s="81"/>
      <c r="AC990" s="81"/>
      <c r="AD990" s="81"/>
    </row>
    <row r="991" spans="1:30" ht="24" customHeight="1" x14ac:dyDescent="0.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105"/>
      <c r="M991" s="81"/>
      <c r="N991" s="105"/>
      <c r="O991" s="81"/>
      <c r="P991" s="105"/>
      <c r="Q991" s="81"/>
      <c r="R991" s="105"/>
      <c r="S991" s="81"/>
      <c r="T991" s="105"/>
      <c r="U991" s="81"/>
      <c r="V991" s="105"/>
      <c r="W991" s="81"/>
      <c r="X991" s="81"/>
      <c r="Y991" s="81"/>
      <c r="Z991" s="105"/>
      <c r="AA991" s="81"/>
      <c r="AB991" s="81"/>
      <c r="AC991" s="81"/>
      <c r="AD991" s="81"/>
    </row>
    <row r="992" spans="1:30" ht="24" customHeight="1" x14ac:dyDescent="0.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105"/>
      <c r="M992" s="81"/>
      <c r="N992" s="105"/>
      <c r="O992" s="81"/>
      <c r="P992" s="105"/>
      <c r="Q992" s="81"/>
      <c r="R992" s="105"/>
      <c r="S992" s="81"/>
      <c r="T992" s="105"/>
      <c r="U992" s="81"/>
      <c r="V992" s="105"/>
      <c r="W992" s="81"/>
      <c r="X992" s="81"/>
      <c r="Y992" s="81"/>
      <c r="Z992" s="105"/>
      <c r="AA992" s="81"/>
      <c r="AB992" s="81"/>
      <c r="AC992" s="81"/>
      <c r="AD992" s="81"/>
    </row>
    <row r="993" spans="1:30" ht="24" customHeight="1" x14ac:dyDescent="0.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105"/>
      <c r="M993" s="81"/>
      <c r="N993" s="105"/>
      <c r="O993" s="81"/>
      <c r="P993" s="105"/>
      <c r="Q993" s="81"/>
      <c r="R993" s="105"/>
      <c r="S993" s="81"/>
      <c r="T993" s="105"/>
      <c r="U993" s="81"/>
      <c r="V993" s="105"/>
      <c r="W993" s="81"/>
      <c r="X993" s="81"/>
      <c r="Y993" s="81"/>
      <c r="Z993" s="105"/>
      <c r="AA993" s="81"/>
      <c r="AB993" s="81"/>
      <c r="AC993" s="81"/>
      <c r="AD993" s="81"/>
    </row>
    <row r="994" spans="1:30" ht="24" customHeight="1" x14ac:dyDescent="0.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105"/>
      <c r="M994" s="81"/>
      <c r="N994" s="105"/>
      <c r="O994" s="81"/>
      <c r="P994" s="105"/>
      <c r="Q994" s="81"/>
      <c r="R994" s="105"/>
      <c r="S994" s="81"/>
      <c r="T994" s="105"/>
      <c r="U994" s="81"/>
      <c r="V994" s="105"/>
      <c r="W994" s="81"/>
      <c r="X994" s="81"/>
      <c r="Y994" s="81"/>
      <c r="Z994" s="105"/>
      <c r="AA994" s="81"/>
      <c r="AB994" s="81"/>
      <c r="AC994" s="81"/>
      <c r="AD994" s="81"/>
    </row>
    <row r="995" spans="1:30" ht="24" customHeight="1" x14ac:dyDescent="0.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105"/>
      <c r="M995" s="81"/>
      <c r="N995" s="105"/>
      <c r="O995" s="81"/>
      <c r="P995" s="105"/>
      <c r="Q995" s="81"/>
      <c r="R995" s="105"/>
      <c r="S995" s="81"/>
      <c r="T995" s="105"/>
      <c r="U995" s="81"/>
      <c r="V995" s="105"/>
      <c r="W995" s="81"/>
      <c r="X995" s="81"/>
      <c r="Y995" s="81"/>
      <c r="Z995" s="105"/>
      <c r="AA995" s="81"/>
      <c r="AB995" s="81"/>
      <c r="AC995" s="81"/>
      <c r="AD995" s="81"/>
    </row>
    <row r="996" spans="1:30" ht="24" customHeight="1" x14ac:dyDescent="0.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105"/>
      <c r="M996" s="81"/>
      <c r="N996" s="105"/>
      <c r="O996" s="81"/>
      <c r="P996" s="105"/>
      <c r="Q996" s="81"/>
      <c r="R996" s="105"/>
      <c r="S996" s="81"/>
      <c r="T996" s="105"/>
      <c r="U996" s="81"/>
      <c r="V996" s="105"/>
      <c r="W996" s="81"/>
      <c r="X996" s="81"/>
      <c r="Y996" s="81"/>
      <c r="Z996" s="105"/>
      <c r="AA996" s="81"/>
      <c r="AB996" s="81"/>
      <c r="AC996" s="81"/>
      <c r="AD996" s="81"/>
    </row>
    <row r="997" spans="1:30" ht="24" customHeight="1" x14ac:dyDescent="0.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105"/>
      <c r="M997" s="81"/>
      <c r="N997" s="105"/>
      <c r="O997" s="81"/>
      <c r="P997" s="105"/>
      <c r="Q997" s="81"/>
      <c r="R997" s="105"/>
      <c r="S997" s="81"/>
      <c r="T997" s="105"/>
      <c r="U997" s="81"/>
      <c r="V997" s="105"/>
      <c r="W997" s="81"/>
      <c r="X997" s="81"/>
      <c r="Y997" s="81"/>
      <c r="Z997" s="105"/>
      <c r="AA997" s="81"/>
      <c r="AB997" s="81"/>
      <c r="AC997" s="81"/>
      <c r="AD997" s="81"/>
    </row>
    <row r="998" spans="1:30" ht="24" customHeight="1" x14ac:dyDescent="0.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105"/>
      <c r="M998" s="81"/>
      <c r="N998" s="105"/>
      <c r="O998" s="81"/>
      <c r="P998" s="105"/>
      <c r="Q998" s="81"/>
      <c r="R998" s="105"/>
      <c r="S998" s="81"/>
      <c r="T998" s="105"/>
      <c r="U998" s="81"/>
      <c r="V998" s="105"/>
      <c r="W998" s="81"/>
      <c r="X998" s="81"/>
      <c r="Y998" s="81"/>
      <c r="Z998" s="105"/>
      <c r="AA998" s="81"/>
      <c r="AB998" s="81"/>
      <c r="AC998" s="81"/>
      <c r="AD998" s="81"/>
    </row>
    <row r="999" spans="1:30" ht="24" customHeight="1" x14ac:dyDescent="0.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105"/>
      <c r="M999" s="81"/>
      <c r="N999" s="105"/>
      <c r="O999" s="81"/>
      <c r="P999" s="105"/>
      <c r="Q999" s="81"/>
      <c r="R999" s="105"/>
      <c r="S999" s="81"/>
      <c r="T999" s="105"/>
      <c r="U999" s="81"/>
      <c r="V999" s="105"/>
      <c r="W999" s="81"/>
      <c r="X999" s="81"/>
      <c r="Y999" s="81"/>
      <c r="Z999" s="105"/>
      <c r="AA999" s="81"/>
      <c r="AB999" s="81"/>
      <c r="AC999" s="81"/>
      <c r="AD999" s="81"/>
    </row>
    <row r="1000" spans="1:30" ht="24" customHeight="1" x14ac:dyDescent="0.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105"/>
      <c r="M1000" s="81"/>
      <c r="N1000" s="105"/>
      <c r="O1000" s="81"/>
      <c r="P1000" s="105"/>
      <c r="Q1000" s="81"/>
      <c r="R1000" s="105"/>
      <c r="S1000" s="81"/>
      <c r="T1000" s="105"/>
      <c r="U1000" s="81"/>
      <c r="V1000" s="105"/>
      <c r="W1000" s="81"/>
      <c r="X1000" s="81"/>
      <c r="Y1000" s="81"/>
      <c r="Z1000" s="105"/>
      <c r="AA1000" s="81"/>
      <c r="AB1000" s="81"/>
      <c r="AC1000" s="81"/>
      <c r="AD1000" s="81"/>
    </row>
  </sheetData>
  <mergeCells count="33">
    <mergeCell ref="K6:L7"/>
    <mergeCell ref="F7:G7"/>
    <mergeCell ref="A91:B91"/>
    <mergeCell ref="A106:B106"/>
    <mergeCell ref="A7:B8"/>
    <mergeCell ref="D7:D8"/>
    <mergeCell ref="A9:B9"/>
    <mergeCell ref="A15:B15"/>
    <mergeCell ref="A33:B33"/>
    <mergeCell ref="A54:B54"/>
    <mergeCell ref="A76:B76"/>
    <mergeCell ref="Y6:AB6"/>
    <mergeCell ref="Y7:Z7"/>
    <mergeCell ref="A2:B6"/>
    <mergeCell ref="C2:AD3"/>
    <mergeCell ref="H4:J5"/>
    <mergeCell ref="K4:X4"/>
    <mergeCell ref="Y4:AD4"/>
    <mergeCell ref="K5:X5"/>
    <mergeCell ref="Y5:AD5"/>
    <mergeCell ref="AC6:AD6"/>
    <mergeCell ref="C4:G5"/>
    <mergeCell ref="C6:E6"/>
    <mergeCell ref="F6:G6"/>
    <mergeCell ref="H6:H7"/>
    <mergeCell ref="I6:I7"/>
    <mergeCell ref="J6:J7"/>
    <mergeCell ref="M6:N7"/>
    <mergeCell ref="O6:P7"/>
    <mergeCell ref="Q6:R7"/>
    <mergeCell ref="S6:T7"/>
    <mergeCell ref="U7:V7"/>
    <mergeCell ref="U6:X6"/>
  </mergeCells>
  <printOptions horizontalCentered="1"/>
  <pageMargins left="0.20866141699999999" right="0.20866141699999999" top="0.74803149606299202" bottom="0.24803149599999999" header="0" footer="0"/>
  <pageSetup paperSize="9" scale="55" orientation="landscape" r:id="rId1"/>
  <rowBreaks count="4" manualBreakCount="4">
    <brk id="32" max="29" man="1"/>
    <brk id="53" max="29" man="1"/>
    <brk id="75" max="29" man="1"/>
    <brk id="90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27</vt:i4>
      </vt:variant>
    </vt:vector>
  </HeadingPairs>
  <TitlesOfParts>
    <vt:vector size="45" baseType="lpstr">
      <vt:lpstr>แปลงใหญ่</vt:lpstr>
      <vt:lpstr>แปรรูปสมุนไพร</vt:lpstr>
      <vt:lpstr>GAP</vt:lpstr>
      <vt:lpstr>พระราชดำริ</vt:lpstr>
      <vt:lpstr>ศิลปหัตถกรรม</vt:lpstr>
      <vt:lpstr>กษ.รุ่นใหม่+SF</vt:lpstr>
      <vt:lpstr>ยกระดับรายได้+แปลงรวม</vt:lpstr>
      <vt:lpstr>จัดที่ดิน</vt:lpstr>
      <vt:lpstr>เกษตรอินทรีย์</vt:lpstr>
      <vt:lpstr>วนเกษตร</vt:lpstr>
      <vt:lpstr>ทฤษฎีใหม่</vt:lpstr>
      <vt:lpstr>ธุรกิจชุมชน</vt:lpstr>
      <vt:lpstr>ตรวจสอบที่ดิน</vt:lpstr>
      <vt:lpstr>พัฒนาผู้แทนฯ</vt:lpstr>
      <vt:lpstr>RTK</vt:lpstr>
      <vt:lpstr>ศูนย์บริการ ปชช.</vt:lpstr>
      <vt:lpstr>ที่ดินชุมชน</vt:lpstr>
      <vt:lpstr>ที่ดินเอกชน</vt:lpstr>
      <vt:lpstr>RTK!Print_Area</vt:lpstr>
      <vt:lpstr>เกษตรอินทรีย์!Print_Area</vt:lpstr>
      <vt:lpstr>ทฤษฎีใหม่!Print_Area</vt:lpstr>
      <vt:lpstr>ที่ดินชุมชน!Print_Area</vt:lpstr>
      <vt:lpstr>ที่ดินเอกชน!Print_Area</vt:lpstr>
      <vt:lpstr>ธุรกิจชุมชน!Print_Area</vt:lpstr>
      <vt:lpstr>พัฒนาผู้แทนฯ!Print_Area</vt:lpstr>
      <vt:lpstr>วนเกษตร!Print_Area</vt:lpstr>
      <vt:lpstr>'ศูนย์บริการ ปชช.'!Print_Area</vt:lpstr>
      <vt:lpstr>GAP!Print_Titles</vt:lpstr>
      <vt:lpstr>RTK!Print_Titles</vt:lpstr>
      <vt:lpstr>'กษ.รุ่นใหม่+SF'!Print_Titles</vt:lpstr>
      <vt:lpstr>เกษตรอินทรีย์!Print_Titles</vt:lpstr>
      <vt:lpstr>จัดที่ดิน!Print_Titles</vt:lpstr>
      <vt:lpstr>ตรวจสอบที่ดิน!Print_Titles</vt:lpstr>
      <vt:lpstr>ทฤษฎีใหม่!Print_Titles</vt:lpstr>
      <vt:lpstr>ที่ดินชุมชน!Print_Titles</vt:lpstr>
      <vt:lpstr>ที่ดินเอกชน!Print_Titles</vt:lpstr>
      <vt:lpstr>ธุรกิจชุมชน!Print_Titles</vt:lpstr>
      <vt:lpstr>แปรรูปสมุนไพร!Print_Titles</vt:lpstr>
      <vt:lpstr>แปลงใหญ่!Print_Titles</vt:lpstr>
      <vt:lpstr>พระราชดำริ!Print_Titles</vt:lpstr>
      <vt:lpstr>พัฒนาผู้แทนฯ!Print_Titles</vt:lpstr>
      <vt:lpstr>'ยกระดับรายได้+แปลงรวม'!Print_Titles</vt:lpstr>
      <vt:lpstr>วนเกษตร!Print_Titles</vt:lpstr>
      <vt:lpstr>ศิลปหัตถกรรม!Print_Titles</vt:lpstr>
      <vt:lpstr>'ศูนย์บริการ ปชช.'!Print_Titles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2021-12-08T11:25:35Z</cp:lastPrinted>
  <dcterms:modified xsi:type="dcterms:W3CDTF">2022-01-12T08:39:58Z</dcterms:modified>
</cp:coreProperties>
</file>